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2022年3月30日=待提交的GR文件\附件图\2022年3月30日=每个附图+图注\"/>
    </mc:Choice>
  </mc:AlternateContent>
  <bookViews>
    <workbookView xWindow="0" yWindow="0" windowWidth="28800" windowHeight="12210"/>
  </bookViews>
  <sheets>
    <sheet name="README" sheetId="3" r:id="rId1"/>
    <sheet name="WT+ vs WT-(ALL)" sheetId="1" r:id="rId2"/>
    <sheet name="WT+ vs KO+ (ALL)" sheetId="2" r:id="rId3"/>
    <sheet name="WT+ vs WT- (protein)" sheetId="4" r:id="rId4"/>
    <sheet name="WT+ vs KO+ (protein)" sheetId="5" r:id="rId5"/>
    <sheet name="2012 overlapped proteins" sheetId="6" r:id="rId6"/>
  </sheets>
  <definedNames>
    <definedName name="_xlnm._FilterDatabase" localSheetId="2" hidden="1">'WT+ vs KO+ (ALL)'!$A$1:$I$4669</definedName>
    <definedName name="_xlnm._FilterDatabase" localSheetId="1" hidden="1">'WT+ vs WT-(ALL)'!$A$1:$I$6200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662" i="2" l="1"/>
  <c r="A2" i="2"/>
  <c r="H1" i="2" l="1"/>
  <c r="G1" i="2"/>
  <c r="H9" i="2"/>
  <c r="I4669" i="2" l="1"/>
  <c r="H4669" i="2"/>
  <c r="A4669" i="2"/>
  <c r="I4668" i="2"/>
  <c r="H4668" i="2"/>
  <c r="A4668" i="2"/>
  <c r="I4667" i="2"/>
  <c r="H4667" i="2"/>
  <c r="A4667" i="2"/>
  <c r="I4666" i="2"/>
  <c r="H4666" i="2"/>
  <c r="A4666" i="2"/>
  <c r="I4665" i="2"/>
  <c r="H4665" i="2"/>
  <c r="A4665" i="2"/>
  <c r="I4664" i="2"/>
  <c r="H4664" i="2"/>
  <c r="A4664" i="2"/>
  <c r="I4663" i="2"/>
  <c r="H4663" i="2"/>
  <c r="A4663" i="2"/>
  <c r="I4662" i="2"/>
  <c r="H4662" i="2"/>
  <c r="I4661" i="2"/>
  <c r="H4661" i="2"/>
  <c r="A4661" i="2"/>
  <c r="I4660" i="2"/>
  <c r="H4660" i="2"/>
  <c r="A4660" i="2"/>
  <c r="I4659" i="2"/>
  <c r="H4659" i="2"/>
  <c r="A4659" i="2"/>
  <c r="I4658" i="2"/>
  <c r="H4658" i="2"/>
  <c r="A4658" i="2"/>
  <c r="I4657" i="2"/>
  <c r="H4657" i="2"/>
  <c r="A4657" i="2"/>
  <c r="I4656" i="2"/>
  <c r="H4656" i="2"/>
  <c r="A4656" i="2"/>
  <c r="I4655" i="2"/>
  <c r="H4655" i="2"/>
  <c r="A4655" i="2"/>
  <c r="I4654" i="2"/>
  <c r="H4654" i="2"/>
  <c r="A4654" i="2"/>
  <c r="I4653" i="2"/>
  <c r="H4653" i="2"/>
  <c r="A4653" i="2"/>
  <c r="I4652" i="2"/>
  <c r="H4652" i="2"/>
  <c r="A4652" i="2"/>
  <c r="I4651" i="2"/>
  <c r="H4651" i="2"/>
  <c r="A4651" i="2"/>
  <c r="I4650" i="2"/>
  <c r="H4650" i="2"/>
  <c r="A4650" i="2"/>
  <c r="I4649" i="2"/>
  <c r="H4649" i="2"/>
  <c r="A4649" i="2"/>
  <c r="I4648" i="2"/>
  <c r="H4648" i="2"/>
  <c r="A4648" i="2"/>
  <c r="I4647" i="2"/>
  <c r="H4647" i="2"/>
  <c r="A4647" i="2"/>
  <c r="I4646" i="2"/>
  <c r="H4646" i="2"/>
  <c r="A4646" i="2"/>
  <c r="I4645" i="2"/>
  <c r="H4645" i="2"/>
  <c r="A4645" i="2"/>
  <c r="I4644" i="2"/>
  <c r="H4644" i="2"/>
  <c r="A4644" i="2"/>
  <c r="I4643" i="2"/>
  <c r="H4643" i="2"/>
  <c r="A4643" i="2"/>
  <c r="I4642" i="2"/>
  <c r="H4642" i="2"/>
  <c r="A4642" i="2"/>
  <c r="I4641" i="2"/>
  <c r="H4641" i="2"/>
  <c r="A4641" i="2"/>
  <c r="I4640" i="2"/>
  <c r="H4640" i="2"/>
  <c r="A4640" i="2"/>
  <c r="I4639" i="2"/>
  <c r="H4639" i="2"/>
  <c r="A4639" i="2"/>
  <c r="I4638" i="2"/>
  <c r="H4638" i="2"/>
  <c r="A4638" i="2"/>
  <c r="I4637" i="2"/>
  <c r="H4637" i="2"/>
  <c r="A4637" i="2"/>
  <c r="I4636" i="2"/>
  <c r="H4636" i="2"/>
  <c r="A4636" i="2"/>
  <c r="I4635" i="2"/>
  <c r="H4635" i="2"/>
  <c r="A4635" i="2"/>
  <c r="I4634" i="2"/>
  <c r="H4634" i="2"/>
  <c r="A4634" i="2"/>
  <c r="I4633" i="2"/>
  <c r="H4633" i="2"/>
  <c r="A4633" i="2"/>
  <c r="I4632" i="2"/>
  <c r="H4632" i="2"/>
  <c r="A4632" i="2"/>
  <c r="I4631" i="2"/>
  <c r="H4631" i="2"/>
  <c r="A4631" i="2"/>
  <c r="I4630" i="2"/>
  <c r="H4630" i="2"/>
  <c r="A4630" i="2"/>
  <c r="I4629" i="2"/>
  <c r="H4629" i="2"/>
  <c r="A4629" i="2"/>
  <c r="I4628" i="2"/>
  <c r="H4628" i="2"/>
  <c r="A4628" i="2"/>
  <c r="I4627" i="2"/>
  <c r="H4627" i="2"/>
  <c r="A4627" i="2"/>
  <c r="I4626" i="2"/>
  <c r="H4626" i="2"/>
  <c r="A4626" i="2"/>
  <c r="I4625" i="2"/>
  <c r="H4625" i="2"/>
  <c r="A4625" i="2"/>
  <c r="I4624" i="2"/>
  <c r="H4624" i="2"/>
  <c r="A4624" i="2"/>
  <c r="I4623" i="2"/>
  <c r="H4623" i="2"/>
  <c r="A4623" i="2"/>
  <c r="I4622" i="2"/>
  <c r="H4622" i="2"/>
  <c r="A4622" i="2"/>
  <c r="I4621" i="2"/>
  <c r="H4621" i="2"/>
  <c r="A4621" i="2"/>
  <c r="I4620" i="2"/>
  <c r="H4620" i="2"/>
  <c r="A4620" i="2"/>
  <c r="I4619" i="2"/>
  <c r="H4619" i="2"/>
  <c r="A4619" i="2"/>
  <c r="I4618" i="2"/>
  <c r="H4618" i="2"/>
  <c r="A4618" i="2"/>
  <c r="I4617" i="2"/>
  <c r="H4617" i="2"/>
  <c r="A4617" i="2"/>
  <c r="I4616" i="2"/>
  <c r="H4616" i="2"/>
  <c r="A4616" i="2"/>
  <c r="I4615" i="2"/>
  <c r="H4615" i="2"/>
  <c r="A4615" i="2"/>
  <c r="I4614" i="2"/>
  <c r="H4614" i="2"/>
  <c r="A4614" i="2"/>
  <c r="I4613" i="2"/>
  <c r="H4613" i="2"/>
  <c r="A4613" i="2"/>
  <c r="I4612" i="2"/>
  <c r="H4612" i="2"/>
  <c r="A4612" i="2"/>
  <c r="I4611" i="2"/>
  <c r="H4611" i="2"/>
  <c r="A4611" i="2"/>
  <c r="I4610" i="2"/>
  <c r="H4610" i="2"/>
  <c r="A4610" i="2"/>
  <c r="I4609" i="2"/>
  <c r="H4609" i="2"/>
  <c r="A4609" i="2"/>
  <c r="I4608" i="2"/>
  <c r="H4608" i="2"/>
  <c r="A4608" i="2"/>
  <c r="I4607" i="2"/>
  <c r="H4607" i="2"/>
  <c r="A4607" i="2"/>
  <c r="I4606" i="2"/>
  <c r="H4606" i="2"/>
  <c r="A4606" i="2"/>
  <c r="I4605" i="2"/>
  <c r="H4605" i="2"/>
  <c r="A4605" i="2"/>
  <c r="I4604" i="2"/>
  <c r="H4604" i="2"/>
  <c r="A4604" i="2"/>
  <c r="I4603" i="2"/>
  <c r="H4603" i="2"/>
  <c r="A4603" i="2"/>
  <c r="I4602" i="2"/>
  <c r="H4602" i="2"/>
  <c r="A4602" i="2"/>
  <c r="I4601" i="2"/>
  <c r="H4601" i="2"/>
  <c r="A4601" i="2"/>
  <c r="I4600" i="2"/>
  <c r="H4600" i="2"/>
  <c r="A4600" i="2"/>
  <c r="I4599" i="2"/>
  <c r="H4599" i="2"/>
  <c r="A4599" i="2"/>
  <c r="I4598" i="2"/>
  <c r="H4598" i="2"/>
  <c r="A4598" i="2"/>
  <c r="I4597" i="2"/>
  <c r="H4597" i="2"/>
  <c r="A4597" i="2"/>
  <c r="I4596" i="2"/>
  <c r="H4596" i="2"/>
  <c r="A4596" i="2"/>
  <c r="I4595" i="2"/>
  <c r="H4595" i="2"/>
  <c r="A4595" i="2"/>
  <c r="I4594" i="2"/>
  <c r="H4594" i="2"/>
  <c r="A4594" i="2"/>
  <c r="I4593" i="2"/>
  <c r="H4593" i="2"/>
  <c r="A4593" i="2"/>
  <c r="I4592" i="2"/>
  <c r="H4592" i="2"/>
  <c r="A4592" i="2"/>
  <c r="I4591" i="2"/>
  <c r="H4591" i="2"/>
  <c r="A4591" i="2"/>
  <c r="I4590" i="2"/>
  <c r="H4590" i="2"/>
  <c r="A4590" i="2"/>
  <c r="I4589" i="2"/>
  <c r="H4589" i="2"/>
  <c r="A4589" i="2"/>
  <c r="I4588" i="2"/>
  <c r="H4588" i="2"/>
  <c r="A4588" i="2"/>
  <c r="I4587" i="2"/>
  <c r="H4587" i="2"/>
  <c r="A4587" i="2"/>
  <c r="I4586" i="2"/>
  <c r="H4586" i="2"/>
  <c r="A4586" i="2"/>
  <c r="I4585" i="2"/>
  <c r="H4585" i="2"/>
  <c r="A4585" i="2"/>
  <c r="I4584" i="2"/>
  <c r="H4584" i="2"/>
  <c r="A4584" i="2"/>
  <c r="I4583" i="2"/>
  <c r="H4583" i="2"/>
  <c r="A4583" i="2"/>
  <c r="I4582" i="2"/>
  <c r="H4582" i="2"/>
  <c r="A4582" i="2"/>
  <c r="I4581" i="2"/>
  <c r="H4581" i="2"/>
  <c r="A4581" i="2"/>
  <c r="I4580" i="2"/>
  <c r="H4580" i="2"/>
  <c r="A4580" i="2"/>
  <c r="I4579" i="2"/>
  <c r="H4579" i="2"/>
  <c r="A4579" i="2"/>
  <c r="I4578" i="2"/>
  <c r="H4578" i="2"/>
  <c r="A4578" i="2"/>
  <c r="I4577" i="2"/>
  <c r="H4577" i="2"/>
  <c r="A4577" i="2"/>
  <c r="I4576" i="2"/>
  <c r="H4576" i="2"/>
  <c r="A4576" i="2"/>
  <c r="I4575" i="2"/>
  <c r="H4575" i="2"/>
  <c r="A4575" i="2"/>
  <c r="I4574" i="2"/>
  <c r="H4574" i="2"/>
  <c r="A4574" i="2"/>
  <c r="I4573" i="2"/>
  <c r="H4573" i="2"/>
  <c r="A4573" i="2"/>
  <c r="I4572" i="2"/>
  <c r="H4572" i="2"/>
  <c r="A4572" i="2"/>
  <c r="I4571" i="2"/>
  <c r="H4571" i="2"/>
  <c r="A4571" i="2"/>
  <c r="I4570" i="2"/>
  <c r="H4570" i="2"/>
  <c r="A4570" i="2"/>
  <c r="I4569" i="2"/>
  <c r="H4569" i="2"/>
  <c r="A4569" i="2"/>
  <c r="I4568" i="2"/>
  <c r="H4568" i="2"/>
  <c r="A4568" i="2"/>
  <c r="I4567" i="2"/>
  <c r="H4567" i="2"/>
  <c r="A4567" i="2"/>
  <c r="I4566" i="2"/>
  <c r="H4566" i="2"/>
  <c r="A4566" i="2"/>
  <c r="I4565" i="2"/>
  <c r="H4565" i="2"/>
  <c r="A4565" i="2"/>
  <c r="I4564" i="2"/>
  <c r="H4564" i="2"/>
  <c r="A4564" i="2"/>
  <c r="I4563" i="2"/>
  <c r="H4563" i="2"/>
  <c r="A4563" i="2"/>
  <c r="I4562" i="2"/>
  <c r="H4562" i="2"/>
  <c r="A4562" i="2"/>
  <c r="I4561" i="2"/>
  <c r="H4561" i="2"/>
  <c r="A4561" i="2"/>
  <c r="I4560" i="2"/>
  <c r="H4560" i="2"/>
  <c r="A4560" i="2"/>
  <c r="I4559" i="2"/>
  <c r="H4559" i="2"/>
  <c r="A4559" i="2"/>
  <c r="I4558" i="2"/>
  <c r="H4558" i="2"/>
  <c r="A4558" i="2"/>
  <c r="I4557" i="2"/>
  <c r="H4557" i="2"/>
  <c r="A4557" i="2"/>
  <c r="I4556" i="2"/>
  <c r="H4556" i="2"/>
  <c r="A4556" i="2"/>
  <c r="I4555" i="2"/>
  <c r="H4555" i="2"/>
  <c r="A4555" i="2"/>
  <c r="I4554" i="2"/>
  <c r="H4554" i="2"/>
  <c r="A4554" i="2"/>
  <c r="I4553" i="2"/>
  <c r="H4553" i="2"/>
  <c r="A4553" i="2"/>
  <c r="I4552" i="2"/>
  <c r="H4552" i="2"/>
  <c r="A4552" i="2"/>
  <c r="I4551" i="2"/>
  <c r="H4551" i="2"/>
  <c r="A4551" i="2"/>
  <c r="I4550" i="2"/>
  <c r="H4550" i="2"/>
  <c r="A4550" i="2"/>
  <c r="I4549" i="2"/>
  <c r="H4549" i="2"/>
  <c r="A4549" i="2"/>
  <c r="I4548" i="2"/>
  <c r="H4548" i="2"/>
  <c r="A4548" i="2"/>
  <c r="I4547" i="2"/>
  <c r="H4547" i="2"/>
  <c r="A4547" i="2"/>
  <c r="I4546" i="2"/>
  <c r="H4546" i="2"/>
  <c r="A4546" i="2"/>
  <c r="I4545" i="2"/>
  <c r="H4545" i="2"/>
  <c r="A4545" i="2"/>
  <c r="I4544" i="2"/>
  <c r="H4544" i="2"/>
  <c r="A4544" i="2"/>
  <c r="I4543" i="2"/>
  <c r="H4543" i="2"/>
  <c r="A4543" i="2"/>
  <c r="I4542" i="2"/>
  <c r="H4542" i="2"/>
  <c r="A4542" i="2"/>
  <c r="I4541" i="2"/>
  <c r="H4541" i="2"/>
  <c r="A4541" i="2"/>
  <c r="I4540" i="2"/>
  <c r="H4540" i="2"/>
  <c r="A4540" i="2"/>
  <c r="I4539" i="2"/>
  <c r="H4539" i="2"/>
  <c r="A4539" i="2"/>
  <c r="I4538" i="2"/>
  <c r="H4538" i="2"/>
  <c r="A4538" i="2"/>
  <c r="I4537" i="2"/>
  <c r="H4537" i="2"/>
  <c r="A4537" i="2"/>
  <c r="I4536" i="2"/>
  <c r="H4536" i="2"/>
  <c r="A4536" i="2"/>
  <c r="I4535" i="2"/>
  <c r="H4535" i="2"/>
  <c r="A4535" i="2"/>
  <c r="I4534" i="2"/>
  <c r="H4534" i="2"/>
  <c r="A4534" i="2"/>
  <c r="I4533" i="2"/>
  <c r="H4533" i="2"/>
  <c r="A4533" i="2"/>
  <c r="I4532" i="2"/>
  <c r="H4532" i="2"/>
  <c r="A4532" i="2"/>
  <c r="I4531" i="2"/>
  <c r="H4531" i="2"/>
  <c r="A4531" i="2"/>
  <c r="I4530" i="2"/>
  <c r="H4530" i="2"/>
  <c r="A4530" i="2"/>
  <c r="I4529" i="2"/>
  <c r="H4529" i="2"/>
  <c r="A4529" i="2"/>
  <c r="I4528" i="2"/>
  <c r="H4528" i="2"/>
  <c r="A4528" i="2"/>
  <c r="I4527" i="2"/>
  <c r="H4527" i="2"/>
  <c r="A4527" i="2"/>
  <c r="I4526" i="2"/>
  <c r="H4526" i="2"/>
  <c r="A4526" i="2"/>
  <c r="I4525" i="2"/>
  <c r="H4525" i="2"/>
  <c r="A4525" i="2"/>
  <c r="I4524" i="2"/>
  <c r="H4524" i="2"/>
  <c r="A4524" i="2"/>
  <c r="I4523" i="2"/>
  <c r="H4523" i="2"/>
  <c r="A4523" i="2"/>
  <c r="I4522" i="2"/>
  <c r="H4522" i="2"/>
  <c r="A4522" i="2"/>
  <c r="I4521" i="2"/>
  <c r="H4521" i="2"/>
  <c r="A4521" i="2"/>
  <c r="I4520" i="2"/>
  <c r="H4520" i="2"/>
  <c r="A4520" i="2"/>
  <c r="I4519" i="2"/>
  <c r="H4519" i="2"/>
  <c r="A4519" i="2"/>
  <c r="I4518" i="2"/>
  <c r="H4518" i="2"/>
  <c r="A4518" i="2"/>
  <c r="I4517" i="2"/>
  <c r="H4517" i="2"/>
  <c r="A4517" i="2"/>
  <c r="I4516" i="2"/>
  <c r="H4516" i="2"/>
  <c r="A4516" i="2"/>
  <c r="I4515" i="2"/>
  <c r="H4515" i="2"/>
  <c r="A4515" i="2"/>
  <c r="I4514" i="2"/>
  <c r="H4514" i="2"/>
  <c r="A4514" i="2"/>
  <c r="I4513" i="2"/>
  <c r="H4513" i="2"/>
  <c r="A4513" i="2"/>
  <c r="I4512" i="2"/>
  <c r="H4512" i="2"/>
  <c r="A4512" i="2"/>
  <c r="I4511" i="2"/>
  <c r="H4511" i="2"/>
  <c r="A4511" i="2"/>
  <c r="I4510" i="2"/>
  <c r="H4510" i="2"/>
  <c r="A4510" i="2"/>
  <c r="I4509" i="2"/>
  <c r="H4509" i="2"/>
  <c r="A4509" i="2"/>
  <c r="I4508" i="2"/>
  <c r="H4508" i="2"/>
  <c r="A4508" i="2"/>
  <c r="I4507" i="2"/>
  <c r="H4507" i="2"/>
  <c r="A4507" i="2"/>
  <c r="I4506" i="2"/>
  <c r="H4506" i="2"/>
  <c r="A4506" i="2"/>
  <c r="I4505" i="2"/>
  <c r="H4505" i="2"/>
  <c r="A4505" i="2"/>
  <c r="I4504" i="2"/>
  <c r="H4504" i="2"/>
  <c r="A4504" i="2"/>
  <c r="I4503" i="2"/>
  <c r="H4503" i="2"/>
  <c r="A4503" i="2"/>
  <c r="I4502" i="2"/>
  <c r="H4502" i="2"/>
  <c r="A4502" i="2"/>
  <c r="I4501" i="2"/>
  <c r="H4501" i="2"/>
  <c r="A4501" i="2"/>
  <c r="I4500" i="2"/>
  <c r="H4500" i="2"/>
  <c r="A4500" i="2"/>
  <c r="I4499" i="2"/>
  <c r="H4499" i="2"/>
  <c r="A4499" i="2"/>
  <c r="I4498" i="2"/>
  <c r="H4498" i="2"/>
  <c r="A4498" i="2"/>
  <c r="I4497" i="2"/>
  <c r="H4497" i="2"/>
  <c r="A4497" i="2"/>
  <c r="I4496" i="2"/>
  <c r="H4496" i="2"/>
  <c r="A4496" i="2"/>
  <c r="I4495" i="2"/>
  <c r="H4495" i="2"/>
  <c r="A4495" i="2"/>
  <c r="I4494" i="2"/>
  <c r="H4494" i="2"/>
  <c r="A4494" i="2"/>
  <c r="I4493" i="2"/>
  <c r="H4493" i="2"/>
  <c r="A4493" i="2"/>
  <c r="I4492" i="2"/>
  <c r="H4492" i="2"/>
  <c r="A4492" i="2"/>
  <c r="I4491" i="2"/>
  <c r="H4491" i="2"/>
  <c r="A4491" i="2"/>
  <c r="I4490" i="2"/>
  <c r="H4490" i="2"/>
  <c r="A4490" i="2"/>
  <c r="I4489" i="2"/>
  <c r="H4489" i="2"/>
  <c r="A4489" i="2"/>
  <c r="I4488" i="2"/>
  <c r="H4488" i="2"/>
  <c r="A4488" i="2"/>
  <c r="I4487" i="2"/>
  <c r="H4487" i="2"/>
  <c r="A4487" i="2"/>
  <c r="I4486" i="2"/>
  <c r="H4486" i="2"/>
  <c r="A4486" i="2"/>
  <c r="I4485" i="2"/>
  <c r="H4485" i="2"/>
  <c r="A4485" i="2"/>
  <c r="I4484" i="2"/>
  <c r="H4484" i="2"/>
  <c r="A4484" i="2"/>
  <c r="I4483" i="2"/>
  <c r="H4483" i="2"/>
  <c r="A4483" i="2"/>
  <c r="I4482" i="2"/>
  <c r="H4482" i="2"/>
  <c r="A4482" i="2"/>
  <c r="I4481" i="2"/>
  <c r="H4481" i="2"/>
  <c r="A4481" i="2"/>
  <c r="I4480" i="2"/>
  <c r="H4480" i="2"/>
  <c r="A4480" i="2"/>
  <c r="I4479" i="2"/>
  <c r="H4479" i="2"/>
  <c r="A4479" i="2"/>
  <c r="I4478" i="2"/>
  <c r="H4478" i="2"/>
  <c r="A4478" i="2"/>
  <c r="I4477" i="2"/>
  <c r="H4477" i="2"/>
  <c r="A4477" i="2"/>
  <c r="I4476" i="2"/>
  <c r="H4476" i="2"/>
  <c r="A4476" i="2"/>
  <c r="I4475" i="2"/>
  <c r="H4475" i="2"/>
  <c r="A4475" i="2"/>
  <c r="I4474" i="2"/>
  <c r="H4474" i="2"/>
  <c r="A4474" i="2"/>
  <c r="I4473" i="2"/>
  <c r="H4473" i="2"/>
  <c r="A4473" i="2"/>
  <c r="I4472" i="2"/>
  <c r="H4472" i="2"/>
  <c r="A4472" i="2"/>
  <c r="I4471" i="2"/>
  <c r="H4471" i="2"/>
  <c r="A4471" i="2"/>
  <c r="I4470" i="2"/>
  <c r="H4470" i="2"/>
  <c r="A4470" i="2"/>
  <c r="I4469" i="2"/>
  <c r="H4469" i="2"/>
  <c r="A4469" i="2"/>
  <c r="I4468" i="2"/>
  <c r="H4468" i="2"/>
  <c r="A4468" i="2"/>
  <c r="I4467" i="2"/>
  <c r="H4467" i="2"/>
  <c r="A4467" i="2"/>
  <c r="I4466" i="2"/>
  <c r="H4466" i="2"/>
  <c r="A4466" i="2"/>
  <c r="I4465" i="2"/>
  <c r="H4465" i="2"/>
  <c r="A4465" i="2"/>
  <c r="I4464" i="2"/>
  <c r="H4464" i="2"/>
  <c r="A4464" i="2"/>
  <c r="I4463" i="2"/>
  <c r="H4463" i="2"/>
  <c r="A4463" i="2"/>
  <c r="I4462" i="2"/>
  <c r="H4462" i="2"/>
  <c r="A4462" i="2"/>
  <c r="I4461" i="2"/>
  <c r="H4461" i="2"/>
  <c r="A4461" i="2"/>
  <c r="I4460" i="2"/>
  <c r="H4460" i="2"/>
  <c r="A4460" i="2"/>
  <c r="I4459" i="2"/>
  <c r="H4459" i="2"/>
  <c r="A4459" i="2"/>
  <c r="I4458" i="2"/>
  <c r="H4458" i="2"/>
  <c r="A4458" i="2"/>
  <c r="I4457" i="2"/>
  <c r="H4457" i="2"/>
  <c r="A4457" i="2"/>
  <c r="I4456" i="2"/>
  <c r="H4456" i="2"/>
  <c r="A4456" i="2"/>
  <c r="I4455" i="2"/>
  <c r="H4455" i="2"/>
  <c r="A4455" i="2"/>
  <c r="I4454" i="2"/>
  <c r="H4454" i="2"/>
  <c r="A4454" i="2"/>
  <c r="I4453" i="2"/>
  <c r="H4453" i="2"/>
  <c r="A4453" i="2"/>
  <c r="I4452" i="2"/>
  <c r="H4452" i="2"/>
  <c r="A4452" i="2"/>
  <c r="I4451" i="2"/>
  <c r="H4451" i="2"/>
  <c r="A4451" i="2"/>
  <c r="I4450" i="2"/>
  <c r="H4450" i="2"/>
  <c r="A4450" i="2"/>
  <c r="I4449" i="2"/>
  <c r="H4449" i="2"/>
  <c r="A4449" i="2"/>
  <c r="I4448" i="2"/>
  <c r="H4448" i="2"/>
  <c r="A4448" i="2"/>
  <c r="I4447" i="2"/>
  <c r="H4447" i="2"/>
  <c r="A4447" i="2"/>
  <c r="I4446" i="2"/>
  <c r="H4446" i="2"/>
  <c r="A4446" i="2"/>
  <c r="I4445" i="2"/>
  <c r="H4445" i="2"/>
  <c r="A4445" i="2"/>
  <c r="I4444" i="2"/>
  <c r="H4444" i="2"/>
  <c r="A4444" i="2"/>
  <c r="I4443" i="2"/>
  <c r="H4443" i="2"/>
  <c r="A4443" i="2"/>
  <c r="I4442" i="2"/>
  <c r="H4442" i="2"/>
  <c r="A4442" i="2"/>
  <c r="I4441" i="2"/>
  <c r="H4441" i="2"/>
  <c r="A4441" i="2"/>
  <c r="I4440" i="2"/>
  <c r="H4440" i="2"/>
  <c r="A4440" i="2"/>
  <c r="I4439" i="2"/>
  <c r="H4439" i="2"/>
  <c r="A4439" i="2"/>
  <c r="I4438" i="2"/>
  <c r="H4438" i="2"/>
  <c r="A4438" i="2"/>
  <c r="I4437" i="2"/>
  <c r="H4437" i="2"/>
  <c r="A4437" i="2"/>
  <c r="I4436" i="2"/>
  <c r="H4436" i="2"/>
  <c r="A4436" i="2"/>
  <c r="I4435" i="2"/>
  <c r="H4435" i="2"/>
  <c r="A4435" i="2"/>
  <c r="I4434" i="2"/>
  <c r="H4434" i="2"/>
  <c r="A4434" i="2"/>
  <c r="I4433" i="2"/>
  <c r="H4433" i="2"/>
  <c r="A4433" i="2"/>
  <c r="I4432" i="2"/>
  <c r="H4432" i="2"/>
  <c r="A4432" i="2"/>
  <c r="I4431" i="2"/>
  <c r="H4431" i="2"/>
  <c r="A4431" i="2"/>
  <c r="I4430" i="2"/>
  <c r="H4430" i="2"/>
  <c r="A4430" i="2"/>
  <c r="I4429" i="2"/>
  <c r="H4429" i="2"/>
  <c r="A4429" i="2"/>
  <c r="I4428" i="2"/>
  <c r="H4428" i="2"/>
  <c r="A4428" i="2"/>
  <c r="I4427" i="2"/>
  <c r="H4427" i="2"/>
  <c r="A4427" i="2"/>
  <c r="I4426" i="2"/>
  <c r="H4426" i="2"/>
  <c r="A4426" i="2"/>
  <c r="I4425" i="2"/>
  <c r="H4425" i="2"/>
  <c r="A4425" i="2"/>
  <c r="I4424" i="2"/>
  <c r="H4424" i="2"/>
  <c r="A4424" i="2"/>
  <c r="I4423" i="2"/>
  <c r="H4423" i="2"/>
  <c r="A4423" i="2"/>
  <c r="I4422" i="2"/>
  <c r="H4422" i="2"/>
  <c r="A4422" i="2"/>
  <c r="I4421" i="2"/>
  <c r="H4421" i="2"/>
  <c r="A4421" i="2"/>
  <c r="I4420" i="2"/>
  <c r="H4420" i="2"/>
  <c r="A4420" i="2"/>
  <c r="I4419" i="2"/>
  <c r="H4419" i="2"/>
  <c r="A4419" i="2"/>
  <c r="I4418" i="2"/>
  <c r="H4418" i="2"/>
  <c r="A4418" i="2"/>
  <c r="I4417" i="2"/>
  <c r="H4417" i="2"/>
  <c r="A4417" i="2"/>
  <c r="I4416" i="2"/>
  <c r="H4416" i="2"/>
  <c r="A4416" i="2"/>
  <c r="I4415" i="2"/>
  <c r="H4415" i="2"/>
  <c r="A4415" i="2"/>
  <c r="I4414" i="2"/>
  <c r="H4414" i="2"/>
  <c r="A4414" i="2"/>
  <c r="I4413" i="2"/>
  <c r="H4413" i="2"/>
  <c r="A4413" i="2"/>
  <c r="I4412" i="2"/>
  <c r="H4412" i="2"/>
  <c r="A4412" i="2"/>
  <c r="I4411" i="2"/>
  <c r="H4411" i="2"/>
  <c r="A4411" i="2"/>
  <c r="I4410" i="2"/>
  <c r="H4410" i="2"/>
  <c r="A4410" i="2"/>
  <c r="I4409" i="2"/>
  <c r="H4409" i="2"/>
  <c r="A4409" i="2"/>
  <c r="I4408" i="2"/>
  <c r="H4408" i="2"/>
  <c r="A4408" i="2"/>
  <c r="I4407" i="2"/>
  <c r="H4407" i="2"/>
  <c r="A4407" i="2"/>
  <c r="I4406" i="2"/>
  <c r="H4406" i="2"/>
  <c r="A4406" i="2"/>
  <c r="I4405" i="2"/>
  <c r="H4405" i="2"/>
  <c r="A4405" i="2"/>
  <c r="I4404" i="2"/>
  <c r="H4404" i="2"/>
  <c r="A4404" i="2"/>
  <c r="I4403" i="2"/>
  <c r="H4403" i="2"/>
  <c r="A4403" i="2"/>
  <c r="I4402" i="2"/>
  <c r="H4402" i="2"/>
  <c r="A4402" i="2"/>
  <c r="I4401" i="2"/>
  <c r="H4401" i="2"/>
  <c r="A4401" i="2"/>
  <c r="I4400" i="2"/>
  <c r="H4400" i="2"/>
  <c r="A4400" i="2"/>
  <c r="I4399" i="2"/>
  <c r="H4399" i="2"/>
  <c r="A4399" i="2"/>
  <c r="I4398" i="2"/>
  <c r="H4398" i="2"/>
  <c r="A4398" i="2"/>
  <c r="I4397" i="2"/>
  <c r="H4397" i="2"/>
  <c r="A4397" i="2"/>
  <c r="I4396" i="2"/>
  <c r="H4396" i="2"/>
  <c r="A4396" i="2"/>
  <c r="I4395" i="2"/>
  <c r="H4395" i="2"/>
  <c r="A4395" i="2"/>
  <c r="I4394" i="2"/>
  <c r="H4394" i="2"/>
  <c r="A4394" i="2"/>
  <c r="I4393" i="2"/>
  <c r="H4393" i="2"/>
  <c r="A4393" i="2"/>
  <c r="I4392" i="2"/>
  <c r="H4392" i="2"/>
  <c r="A4392" i="2"/>
  <c r="I4391" i="2"/>
  <c r="H4391" i="2"/>
  <c r="A4391" i="2"/>
  <c r="I4390" i="2"/>
  <c r="H4390" i="2"/>
  <c r="A4390" i="2"/>
  <c r="I4389" i="2"/>
  <c r="H4389" i="2"/>
  <c r="A4389" i="2"/>
  <c r="I4388" i="2"/>
  <c r="H4388" i="2"/>
  <c r="A4388" i="2"/>
  <c r="I4387" i="2"/>
  <c r="H4387" i="2"/>
  <c r="A4387" i="2"/>
  <c r="I4386" i="2"/>
  <c r="H4386" i="2"/>
  <c r="A4386" i="2"/>
  <c r="I4385" i="2"/>
  <c r="H4385" i="2"/>
  <c r="A4385" i="2"/>
  <c r="I4384" i="2"/>
  <c r="H4384" i="2"/>
  <c r="A4384" i="2"/>
  <c r="I4383" i="2"/>
  <c r="H4383" i="2"/>
  <c r="A4383" i="2"/>
  <c r="I4382" i="2"/>
  <c r="H4382" i="2"/>
  <c r="A4382" i="2"/>
  <c r="I4381" i="2"/>
  <c r="H4381" i="2"/>
  <c r="A4381" i="2"/>
  <c r="I4380" i="2"/>
  <c r="H4380" i="2"/>
  <c r="A4380" i="2"/>
  <c r="I4379" i="2"/>
  <c r="H4379" i="2"/>
  <c r="A4379" i="2"/>
  <c r="I4378" i="2"/>
  <c r="H4378" i="2"/>
  <c r="A4378" i="2"/>
  <c r="I4377" i="2"/>
  <c r="H4377" i="2"/>
  <c r="A4377" i="2"/>
  <c r="I4376" i="2"/>
  <c r="H4376" i="2"/>
  <c r="A4376" i="2"/>
  <c r="I4375" i="2"/>
  <c r="H4375" i="2"/>
  <c r="A4375" i="2"/>
  <c r="I4374" i="2"/>
  <c r="H4374" i="2"/>
  <c r="A4374" i="2"/>
  <c r="I4373" i="2"/>
  <c r="H4373" i="2"/>
  <c r="A4373" i="2"/>
  <c r="I4372" i="2"/>
  <c r="H4372" i="2"/>
  <c r="A4372" i="2"/>
  <c r="I4371" i="2"/>
  <c r="H4371" i="2"/>
  <c r="A4371" i="2"/>
  <c r="I4370" i="2"/>
  <c r="H4370" i="2"/>
  <c r="A4370" i="2"/>
  <c r="I4369" i="2"/>
  <c r="H4369" i="2"/>
  <c r="A4369" i="2"/>
  <c r="I4368" i="2"/>
  <c r="H4368" i="2"/>
  <c r="A4368" i="2"/>
  <c r="I4367" i="2"/>
  <c r="H4367" i="2"/>
  <c r="A4367" i="2"/>
  <c r="I4366" i="2"/>
  <c r="H4366" i="2"/>
  <c r="A4366" i="2"/>
  <c r="I4365" i="2"/>
  <c r="H4365" i="2"/>
  <c r="A4365" i="2"/>
  <c r="I4364" i="2"/>
  <c r="H4364" i="2"/>
  <c r="A4364" i="2"/>
  <c r="I4363" i="2"/>
  <c r="H4363" i="2"/>
  <c r="A4363" i="2"/>
  <c r="I4362" i="2"/>
  <c r="H4362" i="2"/>
  <c r="A4362" i="2"/>
  <c r="I4361" i="2"/>
  <c r="H4361" i="2"/>
  <c r="A4361" i="2"/>
  <c r="I4360" i="2"/>
  <c r="H4360" i="2"/>
  <c r="A4360" i="2"/>
  <c r="I4359" i="2"/>
  <c r="H4359" i="2"/>
  <c r="A4359" i="2"/>
  <c r="I4358" i="2"/>
  <c r="H4358" i="2"/>
  <c r="A4358" i="2"/>
  <c r="I4357" i="2"/>
  <c r="H4357" i="2"/>
  <c r="A4357" i="2"/>
  <c r="I4356" i="2"/>
  <c r="H4356" i="2"/>
  <c r="A4356" i="2"/>
  <c r="I4355" i="2"/>
  <c r="H4355" i="2"/>
  <c r="A4355" i="2"/>
  <c r="I4354" i="2"/>
  <c r="H4354" i="2"/>
  <c r="A4354" i="2"/>
  <c r="I4353" i="2"/>
  <c r="H4353" i="2"/>
  <c r="A4353" i="2"/>
  <c r="I4352" i="2"/>
  <c r="H4352" i="2"/>
  <c r="A4352" i="2"/>
  <c r="I4351" i="2"/>
  <c r="H4351" i="2"/>
  <c r="A4351" i="2"/>
  <c r="I4350" i="2"/>
  <c r="H4350" i="2"/>
  <c r="A4350" i="2"/>
  <c r="I4349" i="2"/>
  <c r="H4349" i="2"/>
  <c r="A4349" i="2"/>
  <c r="I4348" i="2"/>
  <c r="H4348" i="2"/>
  <c r="A4348" i="2"/>
  <c r="I4347" i="2"/>
  <c r="H4347" i="2"/>
  <c r="A4347" i="2"/>
  <c r="I4346" i="2"/>
  <c r="H4346" i="2"/>
  <c r="A4346" i="2"/>
  <c r="I4345" i="2"/>
  <c r="H4345" i="2"/>
  <c r="A4345" i="2"/>
  <c r="I4344" i="2"/>
  <c r="H4344" i="2"/>
  <c r="A4344" i="2"/>
  <c r="I4343" i="2"/>
  <c r="H4343" i="2"/>
  <c r="A4343" i="2"/>
  <c r="I4342" i="2"/>
  <c r="H4342" i="2"/>
  <c r="A4342" i="2"/>
  <c r="I4341" i="2"/>
  <c r="H4341" i="2"/>
  <c r="A4341" i="2"/>
  <c r="I4340" i="2"/>
  <c r="H4340" i="2"/>
  <c r="A4340" i="2"/>
  <c r="I4339" i="2"/>
  <c r="H4339" i="2"/>
  <c r="A4339" i="2"/>
  <c r="I4338" i="2"/>
  <c r="H4338" i="2"/>
  <c r="A4338" i="2"/>
  <c r="I4337" i="2"/>
  <c r="H4337" i="2"/>
  <c r="A4337" i="2"/>
  <c r="I4336" i="2"/>
  <c r="H4336" i="2"/>
  <c r="A4336" i="2"/>
  <c r="I4335" i="2"/>
  <c r="H4335" i="2"/>
  <c r="A4335" i="2"/>
  <c r="I4334" i="2"/>
  <c r="H4334" i="2"/>
  <c r="A4334" i="2"/>
  <c r="I4333" i="2"/>
  <c r="H4333" i="2"/>
  <c r="A4333" i="2"/>
  <c r="I4332" i="2"/>
  <c r="H4332" i="2"/>
  <c r="A4332" i="2"/>
  <c r="I4331" i="2"/>
  <c r="H4331" i="2"/>
  <c r="A4331" i="2"/>
  <c r="I4330" i="2"/>
  <c r="H4330" i="2"/>
  <c r="A4330" i="2"/>
  <c r="I4329" i="2"/>
  <c r="H4329" i="2"/>
  <c r="A4329" i="2"/>
  <c r="I4328" i="2"/>
  <c r="H4328" i="2"/>
  <c r="A4328" i="2"/>
  <c r="I4327" i="2"/>
  <c r="H4327" i="2"/>
  <c r="A4327" i="2"/>
  <c r="I4326" i="2"/>
  <c r="H4326" i="2"/>
  <c r="A4326" i="2"/>
  <c r="I4325" i="2"/>
  <c r="H4325" i="2"/>
  <c r="A4325" i="2"/>
  <c r="I4324" i="2"/>
  <c r="H4324" i="2"/>
  <c r="A4324" i="2"/>
  <c r="I4323" i="2"/>
  <c r="H4323" i="2"/>
  <c r="A4323" i="2"/>
  <c r="I4322" i="2"/>
  <c r="H4322" i="2"/>
  <c r="A4322" i="2"/>
  <c r="I4321" i="2"/>
  <c r="H4321" i="2"/>
  <c r="A4321" i="2"/>
  <c r="I4320" i="2"/>
  <c r="H4320" i="2"/>
  <c r="A4320" i="2"/>
  <c r="I4319" i="2"/>
  <c r="H4319" i="2"/>
  <c r="A4319" i="2"/>
  <c r="I4318" i="2"/>
  <c r="H4318" i="2"/>
  <c r="A4318" i="2"/>
  <c r="I4317" i="2"/>
  <c r="H4317" i="2"/>
  <c r="A4317" i="2"/>
  <c r="I4316" i="2"/>
  <c r="H4316" i="2"/>
  <c r="A4316" i="2"/>
  <c r="I4315" i="2"/>
  <c r="H4315" i="2"/>
  <c r="A4315" i="2"/>
  <c r="I4314" i="2"/>
  <c r="H4314" i="2"/>
  <c r="A4314" i="2"/>
  <c r="I4313" i="2"/>
  <c r="H4313" i="2"/>
  <c r="A4313" i="2"/>
  <c r="I4312" i="2"/>
  <c r="H4312" i="2"/>
  <c r="A4312" i="2"/>
  <c r="I4311" i="2"/>
  <c r="H4311" i="2"/>
  <c r="A4311" i="2"/>
  <c r="I4310" i="2"/>
  <c r="H4310" i="2"/>
  <c r="A4310" i="2"/>
  <c r="I4309" i="2"/>
  <c r="H4309" i="2"/>
  <c r="A4309" i="2"/>
  <c r="I4308" i="2"/>
  <c r="H4308" i="2"/>
  <c r="A4308" i="2"/>
  <c r="I4307" i="2"/>
  <c r="H4307" i="2"/>
  <c r="A4307" i="2"/>
  <c r="I4306" i="2"/>
  <c r="H4306" i="2"/>
  <c r="A4306" i="2"/>
  <c r="I4305" i="2"/>
  <c r="H4305" i="2"/>
  <c r="A4305" i="2"/>
  <c r="I4304" i="2"/>
  <c r="H4304" i="2"/>
  <c r="A4304" i="2"/>
  <c r="I4303" i="2"/>
  <c r="H4303" i="2"/>
  <c r="A4303" i="2"/>
  <c r="I4302" i="2"/>
  <c r="H4302" i="2"/>
  <c r="A4302" i="2"/>
  <c r="I4301" i="2"/>
  <c r="H4301" i="2"/>
  <c r="A4301" i="2"/>
  <c r="I4300" i="2"/>
  <c r="H4300" i="2"/>
  <c r="A4300" i="2"/>
  <c r="I4299" i="2"/>
  <c r="H4299" i="2"/>
  <c r="A4299" i="2"/>
  <c r="I4298" i="2"/>
  <c r="H4298" i="2"/>
  <c r="A4298" i="2"/>
  <c r="I4297" i="2"/>
  <c r="H4297" i="2"/>
  <c r="A4297" i="2"/>
  <c r="I4296" i="2"/>
  <c r="H4296" i="2"/>
  <c r="A4296" i="2"/>
  <c r="I4295" i="2"/>
  <c r="H4295" i="2"/>
  <c r="A4295" i="2"/>
  <c r="I4294" i="2"/>
  <c r="H4294" i="2"/>
  <c r="A4294" i="2"/>
  <c r="I4293" i="2"/>
  <c r="H4293" i="2"/>
  <c r="A4293" i="2"/>
  <c r="I4292" i="2"/>
  <c r="H4292" i="2"/>
  <c r="A4292" i="2"/>
  <c r="I4291" i="2"/>
  <c r="H4291" i="2"/>
  <c r="A4291" i="2"/>
  <c r="I4290" i="2"/>
  <c r="H4290" i="2"/>
  <c r="A4290" i="2"/>
  <c r="I4289" i="2"/>
  <c r="H4289" i="2"/>
  <c r="A4289" i="2"/>
  <c r="I4288" i="2"/>
  <c r="H4288" i="2"/>
  <c r="A4288" i="2"/>
  <c r="I4287" i="2"/>
  <c r="H4287" i="2"/>
  <c r="A4287" i="2"/>
  <c r="I4286" i="2"/>
  <c r="H4286" i="2"/>
  <c r="A4286" i="2"/>
  <c r="I4285" i="2"/>
  <c r="H4285" i="2"/>
  <c r="A4285" i="2"/>
  <c r="I4284" i="2"/>
  <c r="H4284" i="2"/>
  <c r="A4284" i="2"/>
  <c r="I4283" i="2"/>
  <c r="H4283" i="2"/>
  <c r="A4283" i="2"/>
  <c r="I4282" i="2"/>
  <c r="H4282" i="2"/>
  <c r="A4282" i="2"/>
  <c r="I4281" i="2"/>
  <c r="H4281" i="2"/>
  <c r="A4281" i="2"/>
  <c r="I4280" i="2"/>
  <c r="H4280" i="2"/>
  <c r="A4280" i="2"/>
  <c r="I4279" i="2"/>
  <c r="H4279" i="2"/>
  <c r="A4279" i="2"/>
  <c r="I4278" i="2"/>
  <c r="H4278" i="2"/>
  <c r="A4278" i="2"/>
  <c r="I4277" i="2"/>
  <c r="H4277" i="2"/>
  <c r="A4277" i="2"/>
  <c r="I4276" i="2"/>
  <c r="H4276" i="2"/>
  <c r="A4276" i="2"/>
  <c r="I4275" i="2"/>
  <c r="H4275" i="2"/>
  <c r="A4275" i="2"/>
  <c r="I4274" i="2"/>
  <c r="H4274" i="2"/>
  <c r="A4274" i="2"/>
  <c r="I4273" i="2"/>
  <c r="H4273" i="2"/>
  <c r="A4273" i="2"/>
  <c r="I4272" i="2"/>
  <c r="H4272" i="2"/>
  <c r="A4272" i="2"/>
  <c r="I4271" i="2"/>
  <c r="H4271" i="2"/>
  <c r="A4271" i="2"/>
  <c r="I4270" i="2"/>
  <c r="H4270" i="2"/>
  <c r="A4270" i="2"/>
  <c r="I4269" i="2"/>
  <c r="H4269" i="2"/>
  <c r="A4269" i="2"/>
  <c r="I4268" i="2"/>
  <c r="H4268" i="2"/>
  <c r="A4268" i="2"/>
  <c r="I4267" i="2"/>
  <c r="H4267" i="2"/>
  <c r="A4267" i="2"/>
  <c r="I4266" i="2"/>
  <c r="H4266" i="2"/>
  <c r="A4266" i="2"/>
  <c r="I4265" i="2"/>
  <c r="H4265" i="2"/>
  <c r="A4265" i="2"/>
  <c r="I4264" i="2"/>
  <c r="H4264" i="2"/>
  <c r="A4264" i="2"/>
  <c r="I4263" i="2"/>
  <c r="H4263" i="2"/>
  <c r="A4263" i="2"/>
  <c r="I4262" i="2"/>
  <c r="H4262" i="2"/>
  <c r="A4262" i="2"/>
  <c r="I4261" i="2"/>
  <c r="H4261" i="2"/>
  <c r="A4261" i="2"/>
  <c r="I4260" i="2"/>
  <c r="H4260" i="2"/>
  <c r="A4260" i="2"/>
  <c r="I4259" i="2"/>
  <c r="H4259" i="2"/>
  <c r="A4259" i="2"/>
  <c r="I4258" i="2"/>
  <c r="H4258" i="2"/>
  <c r="A4258" i="2"/>
  <c r="I4257" i="2"/>
  <c r="H4257" i="2"/>
  <c r="A4257" i="2"/>
  <c r="I4256" i="2"/>
  <c r="H4256" i="2"/>
  <c r="A4256" i="2"/>
  <c r="I4255" i="2"/>
  <c r="H4255" i="2"/>
  <c r="A4255" i="2"/>
  <c r="I4254" i="2"/>
  <c r="H4254" i="2"/>
  <c r="A4254" i="2"/>
  <c r="I4253" i="2"/>
  <c r="H4253" i="2"/>
  <c r="A4253" i="2"/>
  <c r="I4252" i="2"/>
  <c r="H4252" i="2"/>
  <c r="A4252" i="2"/>
  <c r="I4251" i="2"/>
  <c r="H4251" i="2"/>
  <c r="A4251" i="2"/>
  <c r="I4250" i="2"/>
  <c r="H4250" i="2"/>
  <c r="A4250" i="2"/>
  <c r="I4249" i="2"/>
  <c r="H4249" i="2"/>
  <c r="A4249" i="2"/>
  <c r="I4248" i="2"/>
  <c r="H4248" i="2"/>
  <c r="A4248" i="2"/>
  <c r="I4247" i="2"/>
  <c r="H4247" i="2"/>
  <c r="A4247" i="2"/>
  <c r="I4246" i="2"/>
  <c r="H4246" i="2"/>
  <c r="A4246" i="2"/>
  <c r="I4245" i="2"/>
  <c r="H4245" i="2"/>
  <c r="A4245" i="2"/>
  <c r="I4244" i="2"/>
  <c r="H4244" i="2"/>
  <c r="A4244" i="2"/>
  <c r="I4243" i="2"/>
  <c r="H4243" i="2"/>
  <c r="A4243" i="2"/>
  <c r="I4242" i="2"/>
  <c r="H4242" i="2"/>
  <c r="A4242" i="2"/>
  <c r="I4241" i="2"/>
  <c r="H4241" i="2"/>
  <c r="A4241" i="2"/>
  <c r="I4240" i="2"/>
  <c r="H4240" i="2"/>
  <c r="A4240" i="2"/>
  <c r="I4239" i="2"/>
  <c r="H4239" i="2"/>
  <c r="A4239" i="2"/>
  <c r="I4238" i="2"/>
  <c r="H4238" i="2"/>
  <c r="A4238" i="2"/>
  <c r="I4237" i="2"/>
  <c r="H4237" i="2"/>
  <c r="A4237" i="2"/>
  <c r="I4236" i="2"/>
  <c r="H4236" i="2"/>
  <c r="A4236" i="2"/>
  <c r="I4235" i="2"/>
  <c r="H4235" i="2"/>
  <c r="A4235" i="2"/>
  <c r="I4234" i="2"/>
  <c r="H4234" i="2"/>
  <c r="A4234" i="2"/>
  <c r="I4233" i="2"/>
  <c r="H4233" i="2"/>
  <c r="A4233" i="2"/>
  <c r="I4232" i="2"/>
  <c r="H4232" i="2"/>
  <c r="A4232" i="2"/>
  <c r="I4231" i="2"/>
  <c r="H4231" i="2"/>
  <c r="A4231" i="2"/>
  <c r="I4230" i="2"/>
  <c r="H4230" i="2"/>
  <c r="A4230" i="2"/>
  <c r="I4229" i="2"/>
  <c r="H4229" i="2"/>
  <c r="A4229" i="2"/>
  <c r="I4228" i="2"/>
  <c r="H4228" i="2"/>
  <c r="A4228" i="2"/>
  <c r="I4227" i="2"/>
  <c r="H4227" i="2"/>
  <c r="A4227" i="2"/>
  <c r="I4226" i="2"/>
  <c r="H4226" i="2"/>
  <c r="A4226" i="2"/>
  <c r="I4225" i="2"/>
  <c r="H4225" i="2"/>
  <c r="A4225" i="2"/>
  <c r="I4224" i="2"/>
  <c r="H4224" i="2"/>
  <c r="A4224" i="2"/>
  <c r="I4223" i="2"/>
  <c r="H4223" i="2"/>
  <c r="A4223" i="2"/>
  <c r="I4222" i="2"/>
  <c r="H4222" i="2"/>
  <c r="A4222" i="2"/>
  <c r="I4221" i="2"/>
  <c r="H4221" i="2"/>
  <c r="A4221" i="2"/>
  <c r="I4220" i="2"/>
  <c r="H4220" i="2"/>
  <c r="A4220" i="2"/>
  <c r="I4219" i="2"/>
  <c r="H4219" i="2"/>
  <c r="A4219" i="2"/>
  <c r="I4218" i="2"/>
  <c r="H4218" i="2"/>
  <c r="A4218" i="2"/>
  <c r="I4217" i="2"/>
  <c r="H4217" i="2"/>
  <c r="A4217" i="2"/>
  <c r="I4216" i="2"/>
  <c r="H4216" i="2"/>
  <c r="A4216" i="2"/>
  <c r="I4215" i="2"/>
  <c r="H4215" i="2"/>
  <c r="A4215" i="2"/>
  <c r="I4214" i="2"/>
  <c r="H4214" i="2"/>
  <c r="A4214" i="2"/>
  <c r="I4213" i="2"/>
  <c r="H4213" i="2"/>
  <c r="A4213" i="2"/>
  <c r="I4212" i="2"/>
  <c r="H4212" i="2"/>
  <c r="A4212" i="2"/>
  <c r="I4211" i="2"/>
  <c r="H4211" i="2"/>
  <c r="A4211" i="2"/>
  <c r="I4210" i="2"/>
  <c r="H4210" i="2"/>
  <c r="A4210" i="2"/>
  <c r="I4209" i="2"/>
  <c r="H4209" i="2"/>
  <c r="A4209" i="2"/>
  <c r="I4208" i="2"/>
  <c r="H4208" i="2"/>
  <c r="A4208" i="2"/>
  <c r="I4207" i="2"/>
  <c r="H4207" i="2"/>
  <c r="A4207" i="2"/>
  <c r="I4206" i="2"/>
  <c r="H4206" i="2"/>
  <c r="A4206" i="2"/>
  <c r="I4205" i="2"/>
  <c r="H4205" i="2"/>
  <c r="A4205" i="2"/>
  <c r="I4204" i="2"/>
  <c r="H4204" i="2"/>
  <c r="A4204" i="2"/>
  <c r="I4203" i="2"/>
  <c r="H4203" i="2"/>
  <c r="A4203" i="2"/>
  <c r="I4202" i="2"/>
  <c r="H4202" i="2"/>
  <c r="A4202" i="2"/>
  <c r="I4201" i="2"/>
  <c r="H4201" i="2"/>
  <c r="A4201" i="2"/>
  <c r="I4200" i="2"/>
  <c r="H4200" i="2"/>
  <c r="A4200" i="2"/>
  <c r="I4199" i="2"/>
  <c r="H4199" i="2"/>
  <c r="A4199" i="2"/>
  <c r="I4198" i="2"/>
  <c r="H4198" i="2"/>
  <c r="A4198" i="2"/>
  <c r="I4197" i="2"/>
  <c r="H4197" i="2"/>
  <c r="A4197" i="2"/>
  <c r="I4196" i="2"/>
  <c r="H4196" i="2"/>
  <c r="A4196" i="2"/>
  <c r="I4195" i="2"/>
  <c r="H4195" i="2"/>
  <c r="A4195" i="2"/>
  <c r="I4194" i="2"/>
  <c r="H4194" i="2"/>
  <c r="A4194" i="2"/>
  <c r="I4193" i="2"/>
  <c r="H4193" i="2"/>
  <c r="A4193" i="2"/>
  <c r="I4192" i="2"/>
  <c r="H4192" i="2"/>
  <c r="A4192" i="2"/>
  <c r="I4191" i="2"/>
  <c r="H4191" i="2"/>
  <c r="A4191" i="2"/>
  <c r="I4190" i="2"/>
  <c r="H4190" i="2"/>
  <c r="A4190" i="2"/>
  <c r="I4189" i="2"/>
  <c r="H4189" i="2"/>
  <c r="A4189" i="2"/>
  <c r="I4188" i="2"/>
  <c r="H4188" i="2"/>
  <c r="A4188" i="2"/>
  <c r="I4187" i="2"/>
  <c r="H4187" i="2"/>
  <c r="A4187" i="2"/>
  <c r="I4186" i="2"/>
  <c r="H4186" i="2"/>
  <c r="A4186" i="2"/>
  <c r="I4185" i="2"/>
  <c r="H4185" i="2"/>
  <c r="A4185" i="2"/>
  <c r="I4184" i="2"/>
  <c r="H4184" i="2"/>
  <c r="A4184" i="2"/>
  <c r="I4183" i="2"/>
  <c r="H4183" i="2"/>
  <c r="A4183" i="2"/>
  <c r="I4182" i="2"/>
  <c r="H4182" i="2"/>
  <c r="A4182" i="2"/>
  <c r="I4181" i="2"/>
  <c r="H4181" i="2"/>
  <c r="A4181" i="2"/>
  <c r="I4180" i="2"/>
  <c r="H4180" i="2"/>
  <c r="A4180" i="2"/>
  <c r="I4179" i="2"/>
  <c r="H4179" i="2"/>
  <c r="A4179" i="2"/>
  <c r="I4178" i="2"/>
  <c r="H4178" i="2"/>
  <c r="A4178" i="2"/>
  <c r="I4177" i="2"/>
  <c r="H4177" i="2"/>
  <c r="A4177" i="2"/>
  <c r="I4176" i="2"/>
  <c r="H4176" i="2"/>
  <c r="A4176" i="2"/>
  <c r="I4175" i="2"/>
  <c r="H4175" i="2"/>
  <c r="A4175" i="2"/>
  <c r="I4174" i="2"/>
  <c r="H4174" i="2"/>
  <c r="A4174" i="2"/>
  <c r="I4173" i="2"/>
  <c r="H4173" i="2"/>
  <c r="A4173" i="2"/>
  <c r="I4172" i="2"/>
  <c r="H4172" i="2"/>
  <c r="A4172" i="2"/>
  <c r="I4171" i="2"/>
  <c r="H4171" i="2"/>
  <c r="A4171" i="2"/>
  <c r="I4170" i="2"/>
  <c r="H4170" i="2"/>
  <c r="A4170" i="2"/>
  <c r="I4169" i="2"/>
  <c r="H4169" i="2"/>
  <c r="A4169" i="2"/>
  <c r="I4168" i="2"/>
  <c r="H4168" i="2"/>
  <c r="A4168" i="2"/>
  <c r="I4167" i="2"/>
  <c r="H4167" i="2"/>
  <c r="A4167" i="2"/>
  <c r="I4166" i="2"/>
  <c r="H4166" i="2"/>
  <c r="A4166" i="2"/>
  <c r="I4165" i="2"/>
  <c r="H4165" i="2"/>
  <c r="A4165" i="2"/>
  <c r="I4164" i="2"/>
  <c r="H4164" i="2"/>
  <c r="A4164" i="2"/>
  <c r="I4163" i="2"/>
  <c r="H4163" i="2"/>
  <c r="A4163" i="2"/>
  <c r="I4162" i="2"/>
  <c r="H4162" i="2"/>
  <c r="A4162" i="2"/>
  <c r="I4161" i="2"/>
  <c r="H4161" i="2"/>
  <c r="A4161" i="2"/>
  <c r="I4160" i="2"/>
  <c r="H4160" i="2"/>
  <c r="A4160" i="2"/>
  <c r="I4159" i="2"/>
  <c r="H4159" i="2"/>
  <c r="A4159" i="2"/>
  <c r="I4158" i="2"/>
  <c r="H4158" i="2"/>
  <c r="A4158" i="2"/>
  <c r="I4157" i="2"/>
  <c r="H4157" i="2"/>
  <c r="A4157" i="2"/>
  <c r="I4156" i="2"/>
  <c r="H4156" i="2"/>
  <c r="A4156" i="2"/>
  <c r="I4155" i="2"/>
  <c r="H4155" i="2"/>
  <c r="A4155" i="2"/>
  <c r="I4154" i="2"/>
  <c r="H4154" i="2"/>
  <c r="A4154" i="2"/>
  <c r="I4153" i="2"/>
  <c r="H4153" i="2"/>
  <c r="A4153" i="2"/>
  <c r="I4152" i="2"/>
  <c r="H4152" i="2"/>
  <c r="A4152" i="2"/>
  <c r="I4151" i="2"/>
  <c r="H4151" i="2"/>
  <c r="A4151" i="2"/>
  <c r="I4150" i="2"/>
  <c r="H4150" i="2"/>
  <c r="A4150" i="2"/>
  <c r="I4149" i="2"/>
  <c r="H4149" i="2"/>
  <c r="A4149" i="2"/>
  <c r="I4148" i="2"/>
  <c r="H4148" i="2"/>
  <c r="A4148" i="2"/>
  <c r="I4147" i="2"/>
  <c r="H4147" i="2"/>
  <c r="A4147" i="2"/>
  <c r="I4146" i="2"/>
  <c r="H4146" i="2"/>
  <c r="A4146" i="2"/>
  <c r="I4145" i="2"/>
  <c r="H4145" i="2"/>
  <c r="A4145" i="2"/>
  <c r="I4144" i="2"/>
  <c r="H4144" i="2"/>
  <c r="A4144" i="2"/>
  <c r="I4143" i="2"/>
  <c r="H4143" i="2"/>
  <c r="A4143" i="2"/>
  <c r="I4142" i="2"/>
  <c r="H4142" i="2"/>
  <c r="A4142" i="2"/>
  <c r="I4141" i="2"/>
  <c r="H4141" i="2"/>
  <c r="A4141" i="2"/>
  <c r="I4140" i="2"/>
  <c r="H4140" i="2"/>
  <c r="A4140" i="2"/>
  <c r="I4139" i="2"/>
  <c r="H4139" i="2"/>
  <c r="A4139" i="2"/>
  <c r="I4138" i="2"/>
  <c r="H4138" i="2"/>
  <c r="A4138" i="2"/>
  <c r="I4137" i="2"/>
  <c r="H4137" i="2"/>
  <c r="A4137" i="2"/>
  <c r="I4136" i="2"/>
  <c r="H4136" i="2"/>
  <c r="A4136" i="2"/>
  <c r="I4135" i="2"/>
  <c r="H4135" i="2"/>
  <c r="A4135" i="2"/>
  <c r="I4134" i="2"/>
  <c r="H4134" i="2"/>
  <c r="A4134" i="2"/>
  <c r="I4133" i="2"/>
  <c r="H4133" i="2"/>
  <c r="A4133" i="2"/>
  <c r="I4132" i="2"/>
  <c r="H4132" i="2"/>
  <c r="A4132" i="2"/>
  <c r="I4131" i="2"/>
  <c r="H4131" i="2"/>
  <c r="A4131" i="2"/>
  <c r="I4130" i="2"/>
  <c r="H4130" i="2"/>
  <c r="A4130" i="2"/>
  <c r="I4129" i="2"/>
  <c r="H4129" i="2"/>
  <c r="A4129" i="2"/>
  <c r="I4128" i="2"/>
  <c r="H4128" i="2"/>
  <c r="A4128" i="2"/>
  <c r="I4127" i="2"/>
  <c r="H4127" i="2"/>
  <c r="A4127" i="2"/>
  <c r="I4126" i="2"/>
  <c r="H4126" i="2"/>
  <c r="A4126" i="2"/>
  <c r="I4125" i="2"/>
  <c r="H4125" i="2"/>
  <c r="A4125" i="2"/>
  <c r="I4124" i="2"/>
  <c r="H4124" i="2"/>
  <c r="A4124" i="2"/>
  <c r="I4123" i="2"/>
  <c r="H4123" i="2"/>
  <c r="A4123" i="2"/>
  <c r="I4122" i="2"/>
  <c r="H4122" i="2"/>
  <c r="A4122" i="2"/>
  <c r="I4121" i="2"/>
  <c r="H4121" i="2"/>
  <c r="A4121" i="2"/>
  <c r="I4120" i="2"/>
  <c r="H4120" i="2"/>
  <c r="A4120" i="2"/>
  <c r="I4119" i="2"/>
  <c r="H4119" i="2"/>
  <c r="A4119" i="2"/>
  <c r="I4118" i="2"/>
  <c r="H4118" i="2"/>
  <c r="A4118" i="2"/>
  <c r="I4117" i="2"/>
  <c r="H4117" i="2"/>
  <c r="A4117" i="2"/>
  <c r="I4116" i="2"/>
  <c r="H4116" i="2"/>
  <c r="A4116" i="2"/>
  <c r="I4115" i="2"/>
  <c r="H4115" i="2"/>
  <c r="A4115" i="2"/>
  <c r="I4114" i="2"/>
  <c r="H4114" i="2"/>
  <c r="A4114" i="2"/>
  <c r="I4113" i="2"/>
  <c r="H4113" i="2"/>
  <c r="A4113" i="2"/>
  <c r="I4112" i="2"/>
  <c r="H4112" i="2"/>
  <c r="A4112" i="2"/>
  <c r="I4111" i="2"/>
  <c r="H4111" i="2"/>
  <c r="A4111" i="2"/>
  <c r="I4110" i="2"/>
  <c r="H4110" i="2"/>
  <c r="A4110" i="2"/>
  <c r="I4109" i="2"/>
  <c r="H4109" i="2"/>
  <c r="A4109" i="2"/>
  <c r="I4108" i="2"/>
  <c r="H4108" i="2"/>
  <c r="A4108" i="2"/>
  <c r="I4107" i="2"/>
  <c r="H4107" i="2"/>
  <c r="A4107" i="2"/>
  <c r="I4106" i="2"/>
  <c r="H4106" i="2"/>
  <c r="A4106" i="2"/>
  <c r="I4105" i="2"/>
  <c r="H4105" i="2"/>
  <c r="A4105" i="2"/>
  <c r="I4104" i="2"/>
  <c r="H4104" i="2"/>
  <c r="A4104" i="2"/>
  <c r="I4103" i="2"/>
  <c r="H4103" i="2"/>
  <c r="A4103" i="2"/>
  <c r="I4102" i="2"/>
  <c r="H4102" i="2"/>
  <c r="A4102" i="2"/>
  <c r="I4101" i="2"/>
  <c r="H4101" i="2"/>
  <c r="A4101" i="2"/>
  <c r="I4100" i="2"/>
  <c r="H4100" i="2"/>
  <c r="A4100" i="2"/>
  <c r="I4099" i="2"/>
  <c r="H4099" i="2"/>
  <c r="A4099" i="2"/>
  <c r="I4098" i="2"/>
  <c r="H4098" i="2"/>
  <c r="A4098" i="2"/>
  <c r="I4097" i="2"/>
  <c r="H4097" i="2"/>
  <c r="A4097" i="2"/>
  <c r="I4096" i="2"/>
  <c r="H4096" i="2"/>
  <c r="A4096" i="2"/>
  <c r="I4095" i="2"/>
  <c r="H4095" i="2"/>
  <c r="A4095" i="2"/>
  <c r="I4094" i="2"/>
  <c r="H4094" i="2"/>
  <c r="A4094" i="2"/>
  <c r="I4093" i="2"/>
  <c r="H4093" i="2"/>
  <c r="A4093" i="2"/>
  <c r="I4092" i="2"/>
  <c r="H4092" i="2"/>
  <c r="A4092" i="2"/>
  <c r="I4091" i="2"/>
  <c r="H4091" i="2"/>
  <c r="A4091" i="2"/>
  <c r="I4090" i="2"/>
  <c r="H4090" i="2"/>
  <c r="A4090" i="2"/>
  <c r="I4089" i="2"/>
  <c r="H4089" i="2"/>
  <c r="A4089" i="2"/>
  <c r="I4088" i="2"/>
  <c r="H4088" i="2"/>
  <c r="A4088" i="2"/>
  <c r="I4087" i="2"/>
  <c r="H4087" i="2"/>
  <c r="A4087" i="2"/>
  <c r="I4086" i="2"/>
  <c r="H4086" i="2"/>
  <c r="A4086" i="2"/>
  <c r="I4085" i="2"/>
  <c r="H4085" i="2"/>
  <c r="A4085" i="2"/>
  <c r="I4084" i="2"/>
  <c r="H4084" i="2"/>
  <c r="A4084" i="2"/>
  <c r="I4083" i="2"/>
  <c r="H4083" i="2"/>
  <c r="A4083" i="2"/>
  <c r="I4082" i="2"/>
  <c r="H4082" i="2"/>
  <c r="A4082" i="2"/>
  <c r="I4081" i="2"/>
  <c r="H4081" i="2"/>
  <c r="A4081" i="2"/>
  <c r="I4080" i="2"/>
  <c r="H4080" i="2"/>
  <c r="A4080" i="2"/>
  <c r="I4079" i="2"/>
  <c r="H4079" i="2"/>
  <c r="A4079" i="2"/>
  <c r="I4078" i="2"/>
  <c r="H4078" i="2"/>
  <c r="A4078" i="2"/>
  <c r="I4077" i="2"/>
  <c r="H4077" i="2"/>
  <c r="A4077" i="2"/>
  <c r="I4076" i="2"/>
  <c r="H4076" i="2"/>
  <c r="A4076" i="2"/>
  <c r="I4075" i="2"/>
  <c r="H4075" i="2"/>
  <c r="A4075" i="2"/>
  <c r="I4074" i="2"/>
  <c r="H4074" i="2"/>
  <c r="A4074" i="2"/>
  <c r="I4073" i="2"/>
  <c r="H4073" i="2"/>
  <c r="A4073" i="2"/>
  <c r="I4072" i="2"/>
  <c r="H4072" i="2"/>
  <c r="A4072" i="2"/>
  <c r="I4071" i="2"/>
  <c r="H4071" i="2"/>
  <c r="A4071" i="2"/>
  <c r="I4070" i="2"/>
  <c r="H4070" i="2"/>
  <c r="A4070" i="2"/>
  <c r="I4069" i="2"/>
  <c r="H4069" i="2"/>
  <c r="A4069" i="2"/>
  <c r="I4068" i="2"/>
  <c r="H4068" i="2"/>
  <c r="A4068" i="2"/>
  <c r="I4067" i="2"/>
  <c r="H4067" i="2"/>
  <c r="A4067" i="2"/>
  <c r="I4066" i="2"/>
  <c r="H4066" i="2"/>
  <c r="A4066" i="2"/>
  <c r="I4065" i="2"/>
  <c r="H4065" i="2"/>
  <c r="A4065" i="2"/>
  <c r="I4064" i="2"/>
  <c r="H4064" i="2"/>
  <c r="A4064" i="2"/>
  <c r="I4063" i="2"/>
  <c r="H4063" i="2"/>
  <c r="A4063" i="2"/>
  <c r="I4062" i="2"/>
  <c r="H4062" i="2"/>
  <c r="A4062" i="2"/>
  <c r="I4061" i="2"/>
  <c r="H4061" i="2"/>
  <c r="A4061" i="2"/>
  <c r="I4060" i="2"/>
  <c r="H4060" i="2"/>
  <c r="A4060" i="2"/>
  <c r="I4059" i="2"/>
  <c r="H4059" i="2"/>
  <c r="A4059" i="2"/>
  <c r="I4058" i="2"/>
  <c r="H4058" i="2"/>
  <c r="A4058" i="2"/>
  <c r="I4057" i="2"/>
  <c r="H4057" i="2"/>
  <c r="A4057" i="2"/>
  <c r="I4056" i="2"/>
  <c r="H4056" i="2"/>
  <c r="A4056" i="2"/>
  <c r="I4055" i="2"/>
  <c r="H4055" i="2"/>
  <c r="A4055" i="2"/>
  <c r="I4054" i="2"/>
  <c r="H4054" i="2"/>
  <c r="A4054" i="2"/>
  <c r="I4053" i="2"/>
  <c r="H4053" i="2"/>
  <c r="A4053" i="2"/>
  <c r="I4052" i="2"/>
  <c r="H4052" i="2"/>
  <c r="A4052" i="2"/>
  <c r="I4051" i="2"/>
  <c r="H4051" i="2"/>
  <c r="A4051" i="2"/>
  <c r="I4050" i="2"/>
  <c r="H4050" i="2"/>
  <c r="A4050" i="2"/>
  <c r="I4049" i="2"/>
  <c r="H4049" i="2"/>
  <c r="A4049" i="2"/>
  <c r="I4048" i="2"/>
  <c r="H4048" i="2"/>
  <c r="A4048" i="2"/>
  <c r="I4047" i="2"/>
  <c r="H4047" i="2"/>
  <c r="A4047" i="2"/>
  <c r="I4046" i="2"/>
  <c r="H4046" i="2"/>
  <c r="A4046" i="2"/>
  <c r="I4045" i="2"/>
  <c r="H4045" i="2"/>
  <c r="A4045" i="2"/>
  <c r="I4044" i="2"/>
  <c r="H4044" i="2"/>
  <c r="A4044" i="2"/>
  <c r="I4043" i="2"/>
  <c r="H4043" i="2"/>
  <c r="A4043" i="2"/>
  <c r="I4042" i="2"/>
  <c r="H4042" i="2"/>
  <c r="A4042" i="2"/>
  <c r="I4041" i="2"/>
  <c r="H4041" i="2"/>
  <c r="A4041" i="2"/>
  <c r="I4040" i="2"/>
  <c r="H4040" i="2"/>
  <c r="A4040" i="2"/>
  <c r="I4039" i="2"/>
  <c r="H4039" i="2"/>
  <c r="A4039" i="2"/>
  <c r="I4038" i="2"/>
  <c r="H4038" i="2"/>
  <c r="A4038" i="2"/>
  <c r="I4037" i="2"/>
  <c r="H4037" i="2"/>
  <c r="A4037" i="2"/>
  <c r="I4036" i="2"/>
  <c r="H4036" i="2"/>
  <c r="A4036" i="2"/>
  <c r="I4035" i="2"/>
  <c r="H4035" i="2"/>
  <c r="A4035" i="2"/>
  <c r="I4034" i="2"/>
  <c r="H4034" i="2"/>
  <c r="A4034" i="2"/>
  <c r="I4033" i="2"/>
  <c r="H4033" i="2"/>
  <c r="A4033" i="2"/>
  <c r="I4032" i="2"/>
  <c r="H4032" i="2"/>
  <c r="A4032" i="2"/>
  <c r="I4031" i="2"/>
  <c r="H4031" i="2"/>
  <c r="A4031" i="2"/>
  <c r="I4030" i="2"/>
  <c r="H4030" i="2"/>
  <c r="A4030" i="2"/>
  <c r="I4029" i="2"/>
  <c r="H4029" i="2"/>
  <c r="A4029" i="2"/>
  <c r="I4028" i="2"/>
  <c r="H4028" i="2"/>
  <c r="A4028" i="2"/>
  <c r="I4027" i="2"/>
  <c r="H4027" i="2"/>
  <c r="A4027" i="2"/>
  <c r="I4026" i="2"/>
  <c r="H4026" i="2"/>
  <c r="A4026" i="2"/>
  <c r="I4025" i="2"/>
  <c r="H4025" i="2"/>
  <c r="A4025" i="2"/>
  <c r="I4024" i="2"/>
  <c r="H4024" i="2"/>
  <c r="A4024" i="2"/>
  <c r="I4023" i="2"/>
  <c r="H4023" i="2"/>
  <c r="A4023" i="2"/>
  <c r="I4022" i="2"/>
  <c r="H4022" i="2"/>
  <c r="A4022" i="2"/>
  <c r="I4021" i="2"/>
  <c r="H4021" i="2"/>
  <c r="A4021" i="2"/>
  <c r="I4020" i="2"/>
  <c r="H4020" i="2"/>
  <c r="A4020" i="2"/>
  <c r="I4019" i="2"/>
  <c r="H4019" i="2"/>
  <c r="A4019" i="2"/>
  <c r="I4018" i="2"/>
  <c r="H4018" i="2"/>
  <c r="A4018" i="2"/>
  <c r="I4017" i="2"/>
  <c r="H4017" i="2"/>
  <c r="A4017" i="2"/>
  <c r="I4016" i="2"/>
  <c r="H4016" i="2"/>
  <c r="A4016" i="2"/>
  <c r="I4015" i="2"/>
  <c r="H4015" i="2"/>
  <c r="A4015" i="2"/>
  <c r="I4014" i="2"/>
  <c r="H4014" i="2"/>
  <c r="A4014" i="2"/>
  <c r="I4013" i="2"/>
  <c r="H4013" i="2"/>
  <c r="A4013" i="2"/>
  <c r="I4012" i="2"/>
  <c r="H4012" i="2"/>
  <c r="A4012" i="2"/>
  <c r="I4011" i="2"/>
  <c r="H4011" i="2"/>
  <c r="A4011" i="2"/>
  <c r="I4010" i="2"/>
  <c r="H4010" i="2"/>
  <c r="A4010" i="2"/>
  <c r="I4009" i="2"/>
  <c r="H4009" i="2"/>
  <c r="A4009" i="2"/>
  <c r="I4008" i="2"/>
  <c r="H4008" i="2"/>
  <c r="A4008" i="2"/>
  <c r="I4007" i="2"/>
  <c r="H4007" i="2"/>
  <c r="A4007" i="2"/>
  <c r="I4006" i="2"/>
  <c r="H4006" i="2"/>
  <c r="A4006" i="2"/>
  <c r="I4005" i="2"/>
  <c r="H4005" i="2"/>
  <c r="A4005" i="2"/>
  <c r="I4004" i="2"/>
  <c r="H4004" i="2"/>
  <c r="A4004" i="2"/>
  <c r="I4003" i="2"/>
  <c r="H4003" i="2"/>
  <c r="A4003" i="2"/>
  <c r="I4002" i="2"/>
  <c r="H4002" i="2"/>
  <c r="A4002" i="2"/>
  <c r="I4001" i="2"/>
  <c r="H4001" i="2"/>
  <c r="A4001" i="2"/>
  <c r="I4000" i="2"/>
  <c r="H4000" i="2"/>
  <c r="A4000" i="2"/>
  <c r="I3999" i="2"/>
  <c r="H3999" i="2"/>
  <c r="A3999" i="2"/>
  <c r="I3998" i="2"/>
  <c r="H3998" i="2"/>
  <c r="A3998" i="2"/>
  <c r="I3997" i="2"/>
  <c r="H3997" i="2"/>
  <c r="A3997" i="2"/>
  <c r="I3996" i="2"/>
  <c r="H3996" i="2"/>
  <c r="A3996" i="2"/>
  <c r="I3995" i="2"/>
  <c r="H3995" i="2"/>
  <c r="A3995" i="2"/>
  <c r="I3994" i="2"/>
  <c r="H3994" i="2"/>
  <c r="A3994" i="2"/>
  <c r="I3993" i="2"/>
  <c r="H3993" i="2"/>
  <c r="A3993" i="2"/>
  <c r="I3992" i="2"/>
  <c r="H3992" i="2"/>
  <c r="A3992" i="2"/>
  <c r="I3991" i="2"/>
  <c r="H3991" i="2"/>
  <c r="A3991" i="2"/>
  <c r="I3990" i="2"/>
  <c r="H3990" i="2"/>
  <c r="A3990" i="2"/>
  <c r="I3989" i="2"/>
  <c r="H3989" i="2"/>
  <c r="A3989" i="2"/>
  <c r="I3988" i="2"/>
  <c r="H3988" i="2"/>
  <c r="A3988" i="2"/>
  <c r="I3987" i="2"/>
  <c r="H3987" i="2"/>
  <c r="A3987" i="2"/>
  <c r="I3986" i="2"/>
  <c r="H3986" i="2"/>
  <c r="A3986" i="2"/>
  <c r="I3985" i="2"/>
  <c r="H3985" i="2"/>
  <c r="A3985" i="2"/>
  <c r="I3984" i="2"/>
  <c r="H3984" i="2"/>
  <c r="A3984" i="2"/>
  <c r="I3983" i="2"/>
  <c r="H3983" i="2"/>
  <c r="A3983" i="2"/>
  <c r="I3982" i="2"/>
  <c r="H3982" i="2"/>
  <c r="A3982" i="2"/>
  <c r="I3981" i="2"/>
  <c r="H3981" i="2"/>
  <c r="A3981" i="2"/>
  <c r="I3980" i="2"/>
  <c r="H3980" i="2"/>
  <c r="A3980" i="2"/>
  <c r="I3979" i="2"/>
  <c r="H3979" i="2"/>
  <c r="A3979" i="2"/>
  <c r="I3978" i="2"/>
  <c r="H3978" i="2"/>
  <c r="A3978" i="2"/>
  <c r="I3977" i="2"/>
  <c r="H3977" i="2"/>
  <c r="A3977" i="2"/>
  <c r="I3976" i="2"/>
  <c r="H3976" i="2"/>
  <c r="A3976" i="2"/>
  <c r="I3975" i="2"/>
  <c r="H3975" i="2"/>
  <c r="A3975" i="2"/>
  <c r="I3974" i="2"/>
  <c r="H3974" i="2"/>
  <c r="A3974" i="2"/>
  <c r="I3973" i="2"/>
  <c r="H3973" i="2"/>
  <c r="A3973" i="2"/>
  <c r="I3972" i="2"/>
  <c r="H3972" i="2"/>
  <c r="A3972" i="2"/>
  <c r="I3971" i="2"/>
  <c r="H3971" i="2"/>
  <c r="A3971" i="2"/>
  <c r="I3970" i="2"/>
  <c r="H3970" i="2"/>
  <c r="A3970" i="2"/>
  <c r="I3969" i="2"/>
  <c r="H3969" i="2"/>
  <c r="A3969" i="2"/>
  <c r="I3968" i="2"/>
  <c r="H3968" i="2"/>
  <c r="A3968" i="2"/>
  <c r="I3967" i="2"/>
  <c r="H3967" i="2"/>
  <c r="A3967" i="2"/>
  <c r="I3966" i="2"/>
  <c r="H3966" i="2"/>
  <c r="A3966" i="2"/>
  <c r="I3965" i="2"/>
  <c r="H3965" i="2"/>
  <c r="A3965" i="2"/>
  <c r="I3964" i="2"/>
  <c r="H3964" i="2"/>
  <c r="A3964" i="2"/>
  <c r="I3963" i="2"/>
  <c r="H3963" i="2"/>
  <c r="A3963" i="2"/>
  <c r="I3962" i="2"/>
  <c r="H3962" i="2"/>
  <c r="A3962" i="2"/>
  <c r="I3961" i="2"/>
  <c r="H3961" i="2"/>
  <c r="A3961" i="2"/>
  <c r="I3960" i="2"/>
  <c r="H3960" i="2"/>
  <c r="A3960" i="2"/>
  <c r="I3959" i="2"/>
  <c r="H3959" i="2"/>
  <c r="A3959" i="2"/>
  <c r="I3958" i="2"/>
  <c r="H3958" i="2"/>
  <c r="A3958" i="2"/>
  <c r="I3957" i="2"/>
  <c r="H3957" i="2"/>
  <c r="A3957" i="2"/>
  <c r="I3956" i="2"/>
  <c r="H3956" i="2"/>
  <c r="A3956" i="2"/>
  <c r="I3955" i="2"/>
  <c r="H3955" i="2"/>
  <c r="A3955" i="2"/>
  <c r="I3954" i="2"/>
  <c r="H3954" i="2"/>
  <c r="A3954" i="2"/>
  <c r="I3953" i="2"/>
  <c r="H3953" i="2"/>
  <c r="A3953" i="2"/>
  <c r="I3952" i="2"/>
  <c r="H3952" i="2"/>
  <c r="A3952" i="2"/>
  <c r="I3951" i="2"/>
  <c r="H3951" i="2"/>
  <c r="A3951" i="2"/>
  <c r="I3950" i="2"/>
  <c r="H3950" i="2"/>
  <c r="A3950" i="2"/>
  <c r="I3949" i="2"/>
  <c r="H3949" i="2"/>
  <c r="A3949" i="2"/>
  <c r="I3948" i="2"/>
  <c r="H3948" i="2"/>
  <c r="A3948" i="2"/>
  <c r="I3947" i="2"/>
  <c r="H3947" i="2"/>
  <c r="A3947" i="2"/>
  <c r="I3946" i="2"/>
  <c r="H3946" i="2"/>
  <c r="A3946" i="2"/>
  <c r="I3945" i="2"/>
  <c r="H3945" i="2"/>
  <c r="A3945" i="2"/>
  <c r="I3944" i="2"/>
  <c r="H3944" i="2"/>
  <c r="A3944" i="2"/>
  <c r="I3943" i="2"/>
  <c r="H3943" i="2"/>
  <c r="A3943" i="2"/>
  <c r="I3942" i="2"/>
  <c r="H3942" i="2"/>
  <c r="A3942" i="2"/>
  <c r="I3941" i="2"/>
  <c r="H3941" i="2"/>
  <c r="A3941" i="2"/>
  <c r="I3940" i="2"/>
  <c r="H3940" i="2"/>
  <c r="A3940" i="2"/>
  <c r="I3939" i="2"/>
  <c r="H3939" i="2"/>
  <c r="A3939" i="2"/>
  <c r="I3938" i="2"/>
  <c r="H3938" i="2"/>
  <c r="A3938" i="2"/>
  <c r="I3937" i="2"/>
  <c r="H3937" i="2"/>
  <c r="A3937" i="2"/>
  <c r="I3936" i="2"/>
  <c r="H3936" i="2"/>
  <c r="A3936" i="2"/>
  <c r="I3935" i="2"/>
  <c r="H3935" i="2"/>
  <c r="A3935" i="2"/>
  <c r="I3934" i="2"/>
  <c r="H3934" i="2"/>
  <c r="A3934" i="2"/>
  <c r="I3933" i="2"/>
  <c r="H3933" i="2"/>
  <c r="A3933" i="2"/>
  <c r="I3932" i="2"/>
  <c r="H3932" i="2"/>
  <c r="A3932" i="2"/>
  <c r="I3931" i="2"/>
  <c r="H3931" i="2"/>
  <c r="A3931" i="2"/>
  <c r="I3930" i="2"/>
  <c r="H3930" i="2"/>
  <c r="A3930" i="2"/>
  <c r="I3929" i="2"/>
  <c r="H3929" i="2"/>
  <c r="A3929" i="2"/>
  <c r="I3928" i="2"/>
  <c r="H3928" i="2"/>
  <c r="A3928" i="2"/>
  <c r="I3927" i="2"/>
  <c r="H3927" i="2"/>
  <c r="A3927" i="2"/>
  <c r="I3926" i="2"/>
  <c r="H3926" i="2"/>
  <c r="A3926" i="2"/>
  <c r="I3925" i="2"/>
  <c r="H3925" i="2"/>
  <c r="A3925" i="2"/>
  <c r="I3924" i="2"/>
  <c r="H3924" i="2"/>
  <c r="A3924" i="2"/>
  <c r="I3923" i="2"/>
  <c r="H3923" i="2"/>
  <c r="A3923" i="2"/>
  <c r="I3922" i="2"/>
  <c r="H3922" i="2"/>
  <c r="A3922" i="2"/>
  <c r="I3921" i="2"/>
  <c r="H3921" i="2"/>
  <c r="A3921" i="2"/>
  <c r="I3920" i="2"/>
  <c r="H3920" i="2"/>
  <c r="A3920" i="2"/>
  <c r="I3919" i="2"/>
  <c r="H3919" i="2"/>
  <c r="A3919" i="2"/>
  <c r="I3918" i="2"/>
  <c r="H3918" i="2"/>
  <c r="A3918" i="2"/>
  <c r="I3917" i="2"/>
  <c r="H3917" i="2"/>
  <c r="A3917" i="2"/>
  <c r="I3916" i="2"/>
  <c r="H3916" i="2"/>
  <c r="A3916" i="2"/>
  <c r="I3915" i="2"/>
  <c r="H3915" i="2"/>
  <c r="A3915" i="2"/>
  <c r="I3914" i="2"/>
  <c r="H3914" i="2"/>
  <c r="A3914" i="2"/>
  <c r="I3913" i="2"/>
  <c r="H3913" i="2"/>
  <c r="A3913" i="2"/>
  <c r="I3912" i="2"/>
  <c r="H3912" i="2"/>
  <c r="A3912" i="2"/>
  <c r="I3911" i="2"/>
  <c r="H3911" i="2"/>
  <c r="A3911" i="2"/>
  <c r="I3910" i="2"/>
  <c r="H3910" i="2"/>
  <c r="A3910" i="2"/>
  <c r="I3909" i="2"/>
  <c r="H3909" i="2"/>
  <c r="A3909" i="2"/>
  <c r="I3908" i="2"/>
  <c r="H3908" i="2"/>
  <c r="A3908" i="2"/>
  <c r="I3907" i="2"/>
  <c r="H3907" i="2"/>
  <c r="A3907" i="2"/>
  <c r="I3906" i="2"/>
  <c r="H3906" i="2"/>
  <c r="A3906" i="2"/>
  <c r="I3905" i="2"/>
  <c r="H3905" i="2"/>
  <c r="A3905" i="2"/>
  <c r="I3904" i="2"/>
  <c r="H3904" i="2"/>
  <c r="A3904" i="2"/>
  <c r="I3903" i="2"/>
  <c r="H3903" i="2"/>
  <c r="A3903" i="2"/>
  <c r="I3902" i="2"/>
  <c r="H3902" i="2"/>
  <c r="A3902" i="2"/>
  <c r="I3901" i="2"/>
  <c r="H3901" i="2"/>
  <c r="A3901" i="2"/>
  <c r="I3900" i="2"/>
  <c r="H3900" i="2"/>
  <c r="A3900" i="2"/>
  <c r="I3899" i="2"/>
  <c r="H3899" i="2"/>
  <c r="A3899" i="2"/>
  <c r="I3898" i="2"/>
  <c r="H3898" i="2"/>
  <c r="A3898" i="2"/>
  <c r="I3897" i="2"/>
  <c r="H3897" i="2"/>
  <c r="A3897" i="2"/>
  <c r="I3896" i="2"/>
  <c r="H3896" i="2"/>
  <c r="A3896" i="2"/>
  <c r="I3895" i="2"/>
  <c r="H3895" i="2"/>
  <c r="A3895" i="2"/>
  <c r="I3894" i="2"/>
  <c r="H3894" i="2"/>
  <c r="A3894" i="2"/>
  <c r="I3893" i="2"/>
  <c r="H3893" i="2"/>
  <c r="A3893" i="2"/>
  <c r="I3892" i="2"/>
  <c r="H3892" i="2"/>
  <c r="A3892" i="2"/>
  <c r="I3891" i="2"/>
  <c r="H3891" i="2"/>
  <c r="A3891" i="2"/>
  <c r="I3890" i="2"/>
  <c r="H3890" i="2"/>
  <c r="A3890" i="2"/>
  <c r="I3889" i="2"/>
  <c r="H3889" i="2"/>
  <c r="A3889" i="2"/>
  <c r="I3888" i="2"/>
  <c r="H3888" i="2"/>
  <c r="A3888" i="2"/>
  <c r="I3887" i="2"/>
  <c r="H3887" i="2"/>
  <c r="A3887" i="2"/>
  <c r="I3886" i="2"/>
  <c r="H3886" i="2"/>
  <c r="A3886" i="2"/>
  <c r="I3885" i="2"/>
  <c r="H3885" i="2"/>
  <c r="A3885" i="2"/>
  <c r="I3884" i="2"/>
  <c r="H3884" i="2"/>
  <c r="A3884" i="2"/>
  <c r="I3883" i="2"/>
  <c r="H3883" i="2"/>
  <c r="A3883" i="2"/>
  <c r="I3882" i="2"/>
  <c r="H3882" i="2"/>
  <c r="A3882" i="2"/>
  <c r="I3881" i="2"/>
  <c r="H3881" i="2"/>
  <c r="A3881" i="2"/>
  <c r="I3880" i="2"/>
  <c r="H3880" i="2"/>
  <c r="A3880" i="2"/>
  <c r="I3879" i="2"/>
  <c r="H3879" i="2"/>
  <c r="A3879" i="2"/>
  <c r="I3878" i="2"/>
  <c r="H3878" i="2"/>
  <c r="A3878" i="2"/>
  <c r="I3877" i="2"/>
  <c r="H3877" i="2"/>
  <c r="A3877" i="2"/>
  <c r="I3876" i="2"/>
  <c r="H3876" i="2"/>
  <c r="A3876" i="2"/>
  <c r="I3875" i="2"/>
  <c r="H3875" i="2"/>
  <c r="A3875" i="2"/>
  <c r="I3874" i="2"/>
  <c r="H3874" i="2"/>
  <c r="A3874" i="2"/>
  <c r="I3873" i="2"/>
  <c r="H3873" i="2"/>
  <c r="A3873" i="2"/>
  <c r="I3872" i="2"/>
  <c r="H3872" i="2"/>
  <c r="A3872" i="2"/>
  <c r="I3871" i="2"/>
  <c r="H3871" i="2"/>
  <c r="A3871" i="2"/>
  <c r="I3870" i="2"/>
  <c r="H3870" i="2"/>
  <c r="A3870" i="2"/>
  <c r="I3869" i="2"/>
  <c r="H3869" i="2"/>
  <c r="A3869" i="2"/>
  <c r="I3868" i="2"/>
  <c r="H3868" i="2"/>
  <c r="A3868" i="2"/>
  <c r="I3867" i="2"/>
  <c r="H3867" i="2"/>
  <c r="A3867" i="2"/>
  <c r="I3866" i="2"/>
  <c r="H3866" i="2"/>
  <c r="A3866" i="2"/>
  <c r="I3865" i="2"/>
  <c r="H3865" i="2"/>
  <c r="A3865" i="2"/>
  <c r="I3864" i="2"/>
  <c r="H3864" i="2"/>
  <c r="A3864" i="2"/>
  <c r="I3863" i="2"/>
  <c r="H3863" i="2"/>
  <c r="A3863" i="2"/>
  <c r="I3862" i="2"/>
  <c r="H3862" i="2"/>
  <c r="A3862" i="2"/>
  <c r="I3861" i="2"/>
  <c r="H3861" i="2"/>
  <c r="A3861" i="2"/>
  <c r="I3860" i="2"/>
  <c r="H3860" i="2"/>
  <c r="A3860" i="2"/>
  <c r="I3859" i="2"/>
  <c r="H3859" i="2"/>
  <c r="A3859" i="2"/>
  <c r="I3858" i="2"/>
  <c r="H3858" i="2"/>
  <c r="A3858" i="2"/>
  <c r="I3857" i="2"/>
  <c r="H3857" i="2"/>
  <c r="A3857" i="2"/>
  <c r="I3856" i="2"/>
  <c r="H3856" i="2"/>
  <c r="A3856" i="2"/>
  <c r="I3855" i="2"/>
  <c r="H3855" i="2"/>
  <c r="A3855" i="2"/>
  <c r="I3854" i="2"/>
  <c r="H3854" i="2"/>
  <c r="A3854" i="2"/>
  <c r="I3853" i="2"/>
  <c r="H3853" i="2"/>
  <c r="A3853" i="2"/>
  <c r="I3852" i="2"/>
  <c r="H3852" i="2"/>
  <c r="A3852" i="2"/>
  <c r="I3851" i="2"/>
  <c r="H3851" i="2"/>
  <c r="A3851" i="2"/>
  <c r="I3850" i="2"/>
  <c r="H3850" i="2"/>
  <c r="A3850" i="2"/>
  <c r="I3849" i="2"/>
  <c r="H3849" i="2"/>
  <c r="A3849" i="2"/>
  <c r="I3848" i="2"/>
  <c r="H3848" i="2"/>
  <c r="A3848" i="2"/>
  <c r="I3847" i="2"/>
  <c r="H3847" i="2"/>
  <c r="A3847" i="2"/>
  <c r="I3846" i="2"/>
  <c r="H3846" i="2"/>
  <c r="A3846" i="2"/>
  <c r="I3845" i="2"/>
  <c r="H3845" i="2"/>
  <c r="A3845" i="2"/>
  <c r="I3844" i="2"/>
  <c r="H3844" i="2"/>
  <c r="A3844" i="2"/>
  <c r="I3843" i="2"/>
  <c r="H3843" i="2"/>
  <c r="A3843" i="2"/>
  <c r="I3842" i="2"/>
  <c r="H3842" i="2"/>
  <c r="A3842" i="2"/>
  <c r="I3841" i="2"/>
  <c r="H3841" i="2"/>
  <c r="A3841" i="2"/>
  <c r="I3840" i="2"/>
  <c r="H3840" i="2"/>
  <c r="A3840" i="2"/>
  <c r="I3839" i="2"/>
  <c r="H3839" i="2"/>
  <c r="A3839" i="2"/>
  <c r="I3838" i="2"/>
  <c r="H3838" i="2"/>
  <c r="A3838" i="2"/>
  <c r="I3837" i="2"/>
  <c r="H3837" i="2"/>
  <c r="A3837" i="2"/>
  <c r="I3836" i="2"/>
  <c r="H3836" i="2"/>
  <c r="A3836" i="2"/>
  <c r="I3835" i="2"/>
  <c r="H3835" i="2"/>
  <c r="A3835" i="2"/>
  <c r="I3834" i="2"/>
  <c r="H3834" i="2"/>
  <c r="A3834" i="2"/>
  <c r="I3833" i="2"/>
  <c r="H3833" i="2"/>
  <c r="A3833" i="2"/>
  <c r="I3832" i="2"/>
  <c r="H3832" i="2"/>
  <c r="A3832" i="2"/>
  <c r="I3831" i="2"/>
  <c r="H3831" i="2"/>
  <c r="A3831" i="2"/>
  <c r="I3830" i="2"/>
  <c r="H3830" i="2"/>
  <c r="A3830" i="2"/>
  <c r="I3829" i="2"/>
  <c r="H3829" i="2"/>
  <c r="A3829" i="2"/>
  <c r="I3828" i="2"/>
  <c r="H3828" i="2"/>
  <c r="A3828" i="2"/>
  <c r="I3827" i="2"/>
  <c r="H3827" i="2"/>
  <c r="A3827" i="2"/>
  <c r="I3826" i="2"/>
  <c r="H3826" i="2"/>
  <c r="A3826" i="2"/>
  <c r="I3825" i="2"/>
  <c r="H3825" i="2"/>
  <c r="A3825" i="2"/>
  <c r="I3824" i="2"/>
  <c r="H3824" i="2"/>
  <c r="A3824" i="2"/>
  <c r="I3823" i="2"/>
  <c r="H3823" i="2"/>
  <c r="A3823" i="2"/>
  <c r="I3822" i="2"/>
  <c r="H3822" i="2"/>
  <c r="A3822" i="2"/>
  <c r="I3821" i="2"/>
  <c r="H3821" i="2"/>
  <c r="A3821" i="2"/>
  <c r="I3820" i="2"/>
  <c r="H3820" i="2"/>
  <c r="A3820" i="2"/>
  <c r="I3819" i="2"/>
  <c r="H3819" i="2"/>
  <c r="A3819" i="2"/>
  <c r="I3818" i="2"/>
  <c r="H3818" i="2"/>
  <c r="A3818" i="2"/>
  <c r="I3817" i="2"/>
  <c r="H3817" i="2"/>
  <c r="A3817" i="2"/>
  <c r="I3816" i="2"/>
  <c r="H3816" i="2"/>
  <c r="A3816" i="2"/>
  <c r="I3815" i="2"/>
  <c r="H3815" i="2"/>
  <c r="A3815" i="2"/>
  <c r="I3814" i="2"/>
  <c r="H3814" i="2"/>
  <c r="A3814" i="2"/>
  <c r="I3813" i="2"/>
  <c r="H3813" i="2"/>
  <c r="A3813" i="2"/>
  <c r="I3812" i="2"/>
  <c r="H3812" i="2"/>
  <c r="A3812" i="2"/>
  <c r="I3811" i="2"/>
  <c r="H3811" i="2"/>
  <c r="A3811" i="2"/>
  <c r="I3810" i="2"/>
  <c r="H3810" i="2"/>
  <c r="A3810" i="2"/>
  <c r="I3809" i="2"/>
  <c r="H3809" i="2"/>
  <c r="A3809" i="2"/>
  <c r="I3808" i="2"/>
  <c r="H3808" i="2"/>
  <c r="A3808" i="2"/>
  <c r="I3807" i="2"/>
  <c r="H3807" i="2"/>
  <c r="A3807" i="2"/>
  <c r="I3806" i="2"/>
  <c r="H3806" i="2"/>
  <c r="A3806" i="2"/>
  <c r="I3805" i="2"/>
  <c r="H3805" i="2"/>
  <c r="A3805" i="2"/>
  <c r="I3804" i="2"/>
  <c r="H3804" i="2"/>
  <c r="A3804" i="2"/>
  <c r="I3803" i="2"/>
  <c r="H3803" i="2"/>
  <c r="A3803" i="2"/>
  <c r="I3802" i="2"/>
  <c r="H3802" i="2"/>
  <c r="A3802" i="2"/>
  <c r="I3801" i="2"/>
  <c r="H3801" i="2"/>
  <c r="A3801" i="2"/>
  <c r="I3800" i="2"/>
  <c r="H3800" i="2"/>
  <c r="A3800" i="2"/>
  <c r="I3799" i="2"/>
  <c r="H3799" i="2"/>
  <c r="A3799" i="2"/>
  <c r="I3798" i="2"/>
  <c r="H3798" i="2"/>
  <c r="A3798" i="2"/>
  <c r="I3797" i="2"/>
  <c r="H3797" i="2"/>
  <c r="A3797" i="2"/>
  <c r="I3796" i="2"/>
  <c r="H3796" i="2"/>
  <c r="A3796" i="2"/>
  <c r="I3795" i="2"/>
  <c r="H3795" i="2"/>
  <c r="A3795" i="2"/>
  <c r="I3794" i="2"/>
  <c r="H3794" i="2"/>
  <c r="A3794" i="2"/>
  <c r="I3793" i="2"/>
  <c r="H3793" i="2"/>
  <c r="A3793" i="2"/>
  <c r="I3792" i="2"/>
  <c r="H3792" i="2"/>
  <c r="A3792" i="2"/>
  <c r="I3791" i="2"/>
  <c r="H3791" i="2"/>
  <c r="A3791" i="2"/>
  <c r="I3790" i="2"/>
  <c r="H3790" i="2"/>
  <c r="A3790" i="2"/>
  <c r="I3789" i="2"/>
  <c r="H3789" i="2"/>
  <c r="A3789" i="2"/>
  <c r="I3788" i="2"/>
  <c r="H3788" i="2"/>
  <c r="A3788" i="2"/>
  <c r="I3787" i="2"/>
  <c r="H3787" i="2"/>
  <c r="A3787" i="2"/>
  <c r="I3786" i="2"/>
  <c r="H3786" i="2"/>
  <c r="A3786" i="2"/>
  <c r="I3785" i="2"/>
  <c r="H3785" i="2"/>
  <c r="A3785" i="2"/>
  <c r="I3784" i="2"/>
  <c r="H3784" i="2"/>
  <c r="A3784" i="2"/>
  <c r="I3783" i="2"/>
  <c r="H3783" i="2"/>
  <c r="A3783" i="2"/>
  <c r="I3782" i="2"/>
  <c r="H3782" i="2"/>
  <c r="A3782" i="2"/>
  <c r="I3781" i="2"/>
  <c r="H3781" i="2"/>
  <c r="A3781" i="2"/>
  <c r="I3780" i="2"/>
  <c r="H3780" i="2"/>
  <c r="A3780" i="2"/>
  <c r="I3779" i="2"/>
  <c r="H3779" i="2"/>
  <c r="A3779" i="2"/>
  <c r="I3778" i="2"/>
  <c r="H3778" i="2"/>
  <c r="A3778" i="2"/>
  <c r="I3777" i="2"/>
  <c r="H3777" i="2"/>
  <c r="A3777" i="2"/>
  <c r="I3776" i="2"/>
  <c r="H3776" i="2"/>
  <c r="A3776" i="2"/>
  <c r="I3775" i="2"/>
  <c r="H3775" i="2"/>
  <c r="A3775" i="2"/>
  <c r="I3774" i="2"/>
  <c r="H3774" i="2"/>
  <c r="A3774" i="2"/>
  <c r="I3773" i="2"/>
  <c r="H3773" i="2"/>
  <c r="A3773" i="2"/>
  <c r="I3772" i="2"/>
  <c r="H3772" i="2"/>
  <c r="A3772" i="2"/>
  <c r="I3771" i="2"/>
  <c r="H3771" i="2"/>
  <c r="A3771" i="2"/>
  <c r="I3770" i="2"/>
  <c r="H3770" i="2"/>
  <c r="A3770" i="2"/>
  <c r="I3769" i="2"/>
  <c r="H3769" i="2"/>
  <c r="A3769" i="2"/>
  <c r="I3768" i="2"/>
  <c r="H3768" i="2"/>
  <c r="A3768" i="2"/>
  <c r="I3767" i="2"/>
  <c r="H3767" i="2"/>
  <c r="A3767" i="2"/>
  <c r="I3766" i="2"/>
  <c r="H3766" i="2"/>
  <c r="A3766" i="2"/>
  <c r="I3765" i="2"/>
  <c r="H3765" i="2"/>
  <c r="A3765" i="2"/>
  <c r="I3764" i="2"/>
  <c r="H3764" i="2"/>
  <c r="A3764" i="2"/>
  <c r="I3763" i="2"/>
  <c r="H3763" i="2"/>
  <c r="A3763" i="2"/>
  <c r="I3762" i="2"/>
  <c r="H3762" i="2"/>
  <c r="A3762" i="2"/>
  <c r="I3761" i="2"/>
  <c r="H3761" i="2"/>
  <c r="A3761" i="2"/>
  <c r="I3760" i="2"/>
  <c r="H3760" i="2"/>
  <c r="A3760" i="2"/>
  <c r="I3759" i="2"/>
  <c r="H3759" i="2"/>
  <c r="A3759" i="2"/>
  <c r="I3758" i="2"/>
  <c r="H3758" i="2"/>
  <c r="A3758" i="2"/>
  <c r="I3757" i="2"/>
  <c r="H3757" i="2"/>
  <c r="A3757" i="2"/>
  <c r="I3756" i="2"/>
  <c r="H3756" i="2"/>
  <c r="A3756" i="2"/>
  <c r="I3755" i="2"/>
  <c r="H3755" i="2"/>
  <c r="A3755" i="2"/>
  <c r="I3754" i="2"/>
  <c r="H3754" i="2"/>
  <c r="A3754" i="2"/>
  <c r="I3753" i="2"/>
  <c r="H3753" i="2"/>
  <c r="A3753" i="2"/>
  <c r="I3752" i="2"/>
  <c r="H3752" i="2"/>
  <c r="A3752" i="2"/>
  <c r="I3751" i="2"/>
  <c r="H3751" i="2"/>
  <c r="A3751" i="2"/>
  <c r="I3750" i="2"/>
  <c r="H3750" i="2"/>
  <c r="A3750" i="2"/>
  <c r="I3749" i="2"/>
  <c r="H3749" i="2"/>
  <c r="A3749" i="2"/>
  <c r="I3748" i="2"/>
  <c r="H3748" i="2"/>
  <c r="A3748" i="2"/>
  <c r="I3747" i="2"/>
  <c r="H3747" i="2"/>
  <c r="A3747" i="2"/>
  <c r="I3746" i="2"/>
  <c r="H3746" i="2"/>
  <c r="A3746" i="2"/>
  <c r="I3745" i="2"/>
  <c r="H3745" i="2"/>
  <c r="A3745" i="2"/>
  <c r="I3744" i="2"/>
  <c r="H3744" i="2"/>
  <c r="A3744" i="2"/>
  <c r="I3743" i="2"/>
  <c r="H3743" i="2"/>
  <c r="A3743" i="2"/>
  <c r="I3742" i="2"/>
  <c r="H3742" i="2"/>
  <c r="A3742" i="2"/>
  <c r="I3741" i="2"/>
  <c r="H3741" i="2"/>
  <c r="A3741" i="2"/>
  <c r="I3740" i="2"/>
  <c r="H3740" i="2"/>
  <c r="A3740" i="2"/>
  <c r="I3739" i="2"/>
  <c r="H3739" i="2"/>
  <c r="A3739" i="2"/>
  <c r="I3738" i="2"/>
  <c r="H3738" i="2"/>
  <c r="A3738" i="2"/>
  <c r="I3737" i="2"/>
  <c r="H3737" i="2"/>
  <c r="A3737" i="2"/>
  <c r="I3736" i="2"/>
  <c r="H3736" i="2"/>
  <c r="A3736" i="2"/>
  <c r="I3735" i="2"/>
  <c r="H3735" i="2"/>
  <c r="A3735" i="2"/>
  <c r="I3734" i="2"/>
  <c r="H3734" i="2"/>
  <c r="A3734" i="2"/>
  <c r="I3733" i="2"/>
  <c r="H3733" i="2"/>
  <c r="A3733" i="2"/>
  <c r="I3732" i="2"/>
  <c r="H3732" i="2"/>
  <c r="A3732" i="2"/>
  <c r="I3731" i="2"/>
  <c r="H3731" i="2"/>
  <c r="A3731" i="2"/>
  <c r="I3730" i="2"/>
  <c r="H3730" i="2"/>
  <c r="A3730" i="2"/>
  <c r="I3729" i="2"/>
  <c r="H3729" i="2"/>
  <c r="A3729" i="2"/>
  <c r="I3728" i="2"/>
  <c r="H3728" i="2"/>
  <c r="A3728" i="2"/>
  <c r="I3727" i="2"/>
  <c r="H3727" i="2"/>
  <c r="A3727" i="2"/>
  <c r="I3726" i="2"/>
  <c r="H3726" i="2"/>
  <c r="A3726" i="2"/>
  <c r="I3725" i="2"/>
  <c r="H3725" i="2"/>
  <c r="A3725" i="2"/>
  <c r="I3724" i="2"/>
  <c r="H3724" i="2"/>
  <c r="A3724" i="2"/>
  <c r="I3723" i="2"/>
  <c r="H3723" i="2"/>
  <c r="A3723" i="2"/>
  <c r="I3722" i="2"/>
  <c r="H3722" i="2"/>
  <c r="A3722" i="2"/>
  <c r="I3721" i="2"/>
  <c r="H3721" i="2"/>
  <c r="A3721" i="2"/>
  <c r="I3720" i="2"/>
  <c r="H3720" i="2"/>
  <c r="A3720" i="2"/>
  <c r="I3719" i="2"/>
  <c r="H3719" i="2"/>
  <c r="A3719" i="2"/>
  <c r="I3718" i="2"/>
  <c r="H3718" i="2"/>
  <c r="A3718" i="2"/>
  <c r="I3717" i="2"/>
  <c r="H3717" i="2"/>
  <c r="A3717" i="2"/>
  <c r="I3716" i="2"/>
  <c r="H3716" i="2"/>
  <c r="A3716" i="2"/>
  <c r="I3715" i="2"/>
  <c r="H3715" i="2"/>
  <c r="A3715" i="2"/>
  <c r="I3714" i="2"/>
  <c r="H3714" i="2"/>
  <c r="A3714" i="2"/>
  <c r="I3713" i="2"/>
  <c r="H3713" i="2"/>
  <c r="A3713" i="2"/>
  <c r="I3712" i="2"/>
  <c r="H3712" i="2"/>
  <c r="A3712" i="2"/>
  <c r="I3711" i="2"/>
  <c r="H3711" i="2"/>
  <c r="A3711" i="2"/>
  <c r="I3710" i="2"/>
  <c r="H3710" i="2"/>
  <c r="A3710" i="2"/>
  <c r="I3709" i="2"/>
  <c r="H3709" i="2"/>
  <c r="A3709" i="2"/>
  <c r="I3708" i="2"/>
  <c r="H3708" i="2"/>
  <c r="A3708" i="2"/>
  <c r="I3707" i="2"/>
  <c r="H3707" i="2"/>
  <c r="A3707" i="2"/>
  <c r="I3706" i="2"/>
  <c r="H3706" i="2"/>
  <c r="A3706" i="2"/>
  <c r="I3705" i="2"/>
  <c r="H3705" i="2"/>
  <c r="A3705" i="2"/>
  <c r="I3704" i="2"/>
  <c r="H3704" i="2"/>
  <c r="A3704" i="2"/>
  <c r="I3703" i="2"/>
  <c r="H3703" i="2"/>
  <c r="A3703" i="2"/>
  <c r="I3702" i="2"/>
  <c r="H3702" i="2"/>
  <c r="A3702" i="2"/>
  <c r="I3701" i="2"/>
  <c r="H3701" i="2"/>
  <c r="A3701" i="2"/>
  <c r="I3700" i="2"/>
  <c r="H3700" i="2"/>
  <c r="A3700" i="2"/>
  <c r="I3699" i="2"/>
  <c r="H3699" i="2"/>
  <c r="A3699" i="2"/>
  <c r="I3698" i="2"/>
  <c r="H3698" i="2"/>
  <c r="A3698" i="2"/>
  <c r="I3697" i="2"/>
  <c r="H3697" i="2"/>
  <c r="A3697" i="2"/>
  <c r="I3696" i="2"/>
  <c r="H3696" i="2"/>
  <c r="A3696" i="2"/>
  <c r="I3695" i="2"/>
  <c r="H3695" i="2"/>
  <c r="A3695" i="2"/>
  <c r="I3694" i="2"/>
  <c r="H3694" i="2"/>
  <c r="A3694" i="2"/>
  <c r="I3693" i="2"/>
  <c r="H3693" i="2"/>
  <c r="A3693" i="2"/>
  <c r="I3692" i="2"/>
  <c r="H3692" i="2"/>
  <c r="A3692" i="2"/>
  <c r="I3691" i="2"/>
  <c r="H3691" i="2"/>
  <c r="A3691" i="2"/>
  <c r="I3690" i="2"/>
  <c r="H3690" i="2"/>
  <c r="A3690" i="2"/>
  <c r="I3689" i="2"/>
  <c r="H3689" i="2"/>
  <c r="A3689" i="2"/>
  <c r="I3688" i="2"/>
  <c r="H3688" i="2"/>
  <c r="A3688" i="2"/>
  <c r="I3687" i="2"/>
  <c r="H3687" i="2"/>
  <c r="A3687" i="2"/>
  <c r="I3686" i="2"/>
  <c r="H3686" i="2"/>
  <c r="A3686" i="2"/>
  <c r="I3685" i="2"/>
  <c r="H3685" i="2"/>
  <c r="A3685" i="2"/>
  <c r="I3684" i="2"/>
  <c r="H3684" i="2"/>
  <c r="A3684" i="2"/>
  <c r="I3683" i="2"/>
  <c r="H3683" i="2"/>
  <c r="A3683" i="2"/>
  <c r="I3682" i="2"/>
  <c r="H3682" i="2"/>
  <c r="A3682" i="2"/>
  <c r="I3681" i="2"/>
  <c r="H3681" i="2"/>
  <c r="A3681" i="2"/>
  <c r="I3680" i="2"/>
  <c r="H3680" i="2"/>
  <c r="A3680" i="2"/>
  <c r="I3679" i="2"/>
  <c r="H3679" i="2"/>
  <c r="A3679" i="2"/>
  <c r="I3678" i="2"/>
  <c r="H3678" i="2"/>
  <c r="A3678" i="2"/>
  <c r="I3677" i="2"/>
  <c r="H3677" i="2"/>
  <c r="A3677" i="2"/>
  <c r="I3676" i="2"/>
  <c r="H3676" i="2"/>
  <c r="A3676" i="2"/>
  <c r="I3675" i="2"/>
  <c r="H3675" i="2"/>
  <c r="A3675" i="2"/>
  <c r="I3674" i="2"/>
  <c r="H3674" i="2"/>
  <c r="A3674" i="2"/>
  <c r="I3673" i="2"/>
  <c r="H3673" i="2"/>
  <c r="A3673" i="2"/>
  <c r="I3672" i="2"/>
  <c r="H3672" i="2"/>
  <c r="A3672" i="2"/>
  <c r="I3671" i="2"/>
  <c r="H3671" i="2"/>
  <c r="A3671" i="2"/>
  <c r="I3670" i="2"/>
  <c r="H3670" i="2"/>
  <c r="A3670" i="2"/>
  <c r="I3669" i="2"/>
  <c r="H3669" i="2"/>
  <c r="A3669" i="2"/>
  <c r="I3668" i="2"/>
  <c r="H3668" i="2"/>
  <c r="A3668" i="2"/>
  <c r="I3667" i="2"/>
  <c r="H3667" i="2"/>
  <c r="A3667" i="2"/>
  <c r="I3666" i="2"/>
  <c r="H3666" i="2"/>
  <c r="A3666" i="2"/>
  <c r="I3665" i="2"/>
  <c r="H3665" i="2"/>
  <c r="A3665" i="2"/>
  <c r="I3664" i="2"/>
  <c r="H3664" i="2"/>
  <c r="A3664" i="2"/>
  <c r="I3663" i="2"/>
  <c r="H3663" i="2"/>
  <c r="A3663" i="2"/>
  <c r="I3662" i="2"/>
  <c r="H3662" i="2"/>
  <c r="A3662" i="2"/>
  <c r="I3661" i="2"/>
  <c r="H3661" i="2"/>
  <c r="A3661" i="2"/>
  <c r="I3660" i="2"/>
  <c r="H3660" i="2"/>
  <c r="A3660" i="2"/>
  <c r="I3659" i="2"/>
  <c r="H3659" i="2"/>
  <c r="A3659" i="2"/>
  <c r="I3658" i="2"/>
  <c r="H3658" i="2"/>
  <c r="A3658" i="2"/>
  <c r="I3657" i="2"/>
  <c r="H3657" i="2"/>
  <c r="A3657" i="2"/>
  <c r="I3656" i="2"/>
  <c r="H3656" i="2"/>
  <c r="A3656" i="2"/>
  <c r="I3655" i="2"/>
  <c r="H3655" i="2"/>
  <c r="A3655" i="2"/>
  <c r="I3654" i="2"/>
  <c r="H3654" i="2"/>
  <c r="A3654" i="2"/>
  <c r="I3653" i="2"/>
  <c r="H3653" i="2"/>
  <c r="A3653" i="2"/>
  <c r="I3652" i="2"/>
  <c r="H3652" i="2"/>
  <c r="A3652" i="2"/>
  <c r="I3651" i="2"/>
  <c r="H3651" i="2"/>
  <c r="A3651" i="2"/>
  <c r="I3650" i="2"/>
  <c r="H3650" i="2"/>
  <c r="A3650" i="2"/>
  <c r="I3649" i="2"/>
  <c r="H3649" i="2"/>
  <c r="A3649" i="2"/>
  <c r="I3648" i="2"/>
  <c r="H3648" i="2"/>
  <c r="A3648" i="2"/>
  <c r="I3647" i="2"/>
  <c r="H3647" i="2"/>
  <c r="A3647" i="2"/>
  <c r="I3646" i="2"/>
  <c r="H3646" i="2"/>
  <c r="A3646" i="2"/>
  <c r="I3645" i="2"/>
  <c r="H3645" i="2"/>
  <c r="A3645" i="2"/>
  <c r="I3644" i="2"/>
  <c r="H3644" i="2"/>
  <c r="A3644" i="2"/>
  <c r="I3643" i="2"/>
  <c r="H3643" i="2"/>
  <c r="A3643" i="2"/>
  <c r="I3642" i="2"/>
  <c r="H3642" i="2"/>
  <c r="A3642" i="2"/>
  <c r="I3641" i="2"/>
  <c r="H3641" i="2"/>
  <c r="A3641" i="2"/>
  <c r="I3640" i="2"/>
  <c r="H3640" i="2"/>
  <c r="A3640" i="2"/>
  <c r="I3639" i="2"/>
  <c r="H3639" i="2"/>
  <c r="A3639" i="2"/>
  <c r="I3638" i="2"/>
  <c r="H3638" i="2"/>
  <c r="A3638" i="2"/>
  <c r="I3637" i="2"/>
  <c r="H3637" i="2"/>
  <c r="A3637" i="2"/>
  <c r="I3636" i="2"/>
  <c r="H3636" i="2"/>
  <c r="A3636" i="2"/>
  <c r="I3635" i="2"/>
  <c r="H3635" i="2"/>
  <c r="A3635" i="2"/>
  <c r="I3634" i="2"/>
  <c r="H3634" i="2"/>
  <c r="A3634" i="2"/>
  <c r="I3633" i="2"/>
  <c r="H3633" i="2"/>
  <c r="A3633" i="2"/>
  <c r="I3632" i="2"/>
  <c r="H3632" i="2"/>
  <c r="A3632" i="2"/>
  <c r="I3631" i="2"/>
  <c r="H3631" i="2"/>
  <c r="A3631" i="2"/>
  <c r="I3630" i="2"/>
  <c r="H3630" i="2"/>
  <c r="A3630" i="2"/>
  <c r="I3629" i="2"/>
  <c r="H3629" i="2"/>
  <c r="A3629" i="2"/>
  <c r="I3628" i="2"/>
  <c r="H3628" i="2"/>
  <c r="A3628" i="2"/>
  <c r="I3627" i="2"/>
  <c r="H3627" i="2"/>
  <c r="A3627" i="2"/>
  <c r="I3626" i="2"/>
  <c r="H3626" i="2"/>
  <c r="A3626" i="2"/>
  <c r="I3625" i="2"/>
  <c r="H3625" i="2"/>
  <c r="A3625" i="2"/>
  <c r="I3624" i="2"/>
  <c r="H3624" i="2"/>
  <c r="A3624" i="2"/>
  <c r="I3623" i="2"/>
  <c r="H3623" i="2"/>
  <c r="A3623" i="2"/>
  <c r="I3622" i="2"/>
  <c r="H3622" i="2"/>
  <c r="A3622" i="2"/>
  <c r="I3621" i="2"/>
  <c r="H3621" i="2"/>
  <c r="A3621" i="2"/>
  <c r="I3620" i="2"/>
  <c r="H3620" i="2"/>
  <c r="A3620" i="2"/>
  <c r="I3619" i="2"/>
  <c r="H3619" i="2"/>
  <c r="A3619" i="2"/>
  <c r="I3618" i="2"/>
  <c r="H3618" i="2"/>
  <c r="A3618" i="2"/>
  <c r="I3617" i="2"/>
  <c r="H3617" i="2"/>
  <c r="A3617" i="2"/>
  <c r="I3616" i="2"/>
  <c r="H3616" i="2"/>
  <c r="A3616" i="2"/>
  <c r="I3615" i="2"/>
  <c r="H3615" i="2"/>
  <c r="A3615" i="2"/>
  <c r="I3614" i="2"/>
  <c r="H3614" i="2"/>
  <c r="A3614" i="2"/>
  <c r="I3613" i="2"/>
  <c r="H3613" i="2"/>
  <c r="A3613" i="2"/>
  <c r="I3612" i="2"/>
  <c r="H3612" i="2"/>
  <c r="A3612" i="2"/>
  <c r="I3611" i="2"/>
  <c r="H3611" i="2"/>
  <c r="A3611" i="2"/>
  <c r="I3610" i="2"/>
  <c r="H3610" i="2"/>
  <c r="A3610" i="2"/>
  <c r="I3609" i="2"/>
  <c r="H3609" i="2"/>
  <c r="A3609" i="2"/>
  <c r="I3608" i="2"/>
  <c r="H3608" i="2"/>
  <c r="A3608" i="2"/>
  <c r="I3607" i="2"/>
  <c r="H3607" i="2"/>
  <c r="A3607" i="2"/>
  <c r="I3606" i="2"/>
  <c r="H3606" i="2"/>
  <c r="A3606" i="2"/>
  <c r="I3605" i="2"/>
  <c r="H3605" i="2"/>
  <c r="A3605" i="2"/>
  <c r="I3604" i="2"/>
  <c r="H3604" i="2"/>
  <c r="A3604" i="2"/>
  <c r="I3603" i="2"/>
  <c r="H3603" i="2"/>
  <c r="A3603" i="2"/>
  <c r="I3602" i="2"/>
  <c r="H3602" i="2"/>
  <c r="A3602" i="2"/>
  <c r="I3601" i="2"/>
  <c r="H3601" i="2"/>
  <c r="A3601" i="2"/>
  <c r="I3600" i="2"/>
  <c r="H3600" i="2"/>
  <c r="A3600" i="2"/>
  <c r="I3599" i="2"/>
  <c r="H3599" i="2"/>
  <c r="A3599" i="2"/>
  <c r="I3598" i="2"/>
  <c r="H3598" i="2"/>
  <c r="A3598" i="2"/>
  <c r="I3597" i="2"/>
  <c r="H3597" i="2"/>
  <c r="A3597" i="2"/>
  <c r="I3596" i="2"/>
  <c r="H3596" i="2"/>
  <c r="A3596" i="2"/>
  <c r="I3595" i="2"/>
  <c r="H3595" i="2"/>
  <c r="A3595" i="2"/>
  <c r="I3594" i="2"/>
  <c r="H3594" i="2"/>
  <c r="A3594" i="2"/>
  <c r="I3593" i="2"/>
  <c r="H3593" i="2"/>
  <c r="A3593" i="2"/>
  <c r="I3592" i="2"/>
  <c r="H3592" i="2"/>
  <c r="A3592" i="2"/>
  <c r="I3591" i="2"/>
  <c r="H3591" i="2"/>
  <c r="A3591" i="2"/>
  <c r="I3590" i="2"/>
  <c r="H3590" i="2"/>
  <c r="A3590" i="2"/>
  <c r="I3589" i="2"/>
  <c r="H3589" i="2"/>
  <c r="A3589" i="2"/>
  <c r="I3588" i="2"/>
  <c r="H3588" i="2"/>
  <c r="A3588" i="2"/>
  <c r="I3587" i="2"/>
  <c r="H3587" i="2"/>
  <c r="A3587" i="2"/>
  <c r="I3586" i="2"/>
  <c r="H3586" i="2"/>
  <c r="A3586" i="2"/>
  <c r="I3585" i="2"/>
  <c r="H3585" i="2"/>
  <c r="A3585" i="2"/>
  <c r="I3584" i="2"/>
  <c r="H3584" i="2"/>
  <c r="A3584" i="2"/>
  <c r="I3583" i="2"/>
  <c r="H3583" i="2"/>
  <c r="A3583" i="2"/>
  <c r="I3582" i="2"/>
  <c r="H3582" i="2"/>
  <c r="A3582" i="2"/>
  <c r="I3581" i="2"/>
  <c r="H3581" i="2"/>
  <c r="A3581" i="2"/>
  <c r="I3580" i="2"/>
  <c r="H3580" i="2"/>
  <c r="A3580" i="2"/>
  <c r="I3579" i="2"/>
  <c r="H3579" i="2"/>
  <c r="A3579" i="2"/>
  <c r="I3578" i="2"/>
  <c r="H3578" i="2"/>
  <c r="A3578" i="2"/>
  <c r="I3577" i="2"/>
  <c r="H3577" i="2"/>
  <c r="A3577" i="2"/>
  <c r="I3576" i="2"/>
  <c r="H3576" i="2"/>
  <c r="A3576" i="2"/>
  <c r="I3575" i="2"/>
  <c r="H3575" i="2"/>
  <c r="A3575" i="2"/>
  <c r="I3574" i="2"/>
  <c r="H3574" i="2"/>
  <c r="A3574" i="2"/>
  <c r="I3573" i="2"/>
  <c r="H3573" i="2"/>
  <c r="A3573" i="2"/>
  <c r="I3572" i="2"/>
  <c r="H3572" i="2"/>
  <c r="A3572" i="2"/>
  <c r="I3571" i="2"/>
  <c r="H3571" i="2"/>
  <c r="A3571" i="2"/>
  <c r="I3570" i="2"/>
  <c r="H3570" i="2"/>
  <c r="A3570" i="2"/>
  <c r="I3569" i="2"/>
  <c r="H3569" i="2"/>
  <c r="A3569" i="2"/>
  <c r="I3568" i="2"/>
  <c r="H3568" i="2"/>
  <c r="A3568" i="2"/>
  <c r="I3567" i="2"/>
  <c r="H3567" i="2"/>
  <c r="A3567" i="2"/>
  <c r="I3566" i="2"/>
  <c r="H3566" i="2"/>
  <c r="A3566" i="2"/>
  <c r="I3565" i="2"/>
  <c r="H3565" i="2"/>
  <c r="A3565" i="2"/>
  <c r="I3564" i="2"/>
  <c r="H3564" i="2"/>
  <c r="A3564" i="2"/>
  <c r="I3563" i="2"/>
  <c r="H3563" i="2"/>
  <c r="A3563" i="2"/>
  <c r="I3562" i="2"/>
  <c r="H3562" i="2"/>
  <c r="A3562" i="2"/>
  <c r="I3561" i="2"/>
  <c r="H3561" i="2"/>
  <c r="A3561" i="2"/>
  <c r="I3560" i="2"/>
  <c r="H3560" i="2"/>
  <c r="A3560" i="2"/>
  <c r="I3559" i="2"/>
  <c r="H3559" i="2"/>
  <c r="A3559" i="2"/>
  <c r="I3558" i="2"/>
  <c r="H3558" i="2"/>
  <c r="A3558" i="2"/>
  <c r="I3557" i="2"/>
  <c r="H3557" i="2"/>
  <c r="A3557" i="2"/>
  <c r="I3556" i="2"/>
  <c r="H3556" i="2"/>
  <c r="A3556" i="2"/>
  <c r="I3555" i="2"/>
  <c r="H3555" i="2"/>
  <c r="A3555" i="2"/>
  <c r="I3554" i="2"/>
  <c r="H3554" i="2"/>
  <c r="A3554" i="2"/>
  <c r="I3553" i="2"/>
  <c r="H3553" i="2"/>
  <c r="A3553" i="2"/>
  <c r="I3552" i="2"/>
  <c r="H3552" i="2"/>
  <c r="A3552" i="2"/>
  <c r="I3551" i="2"/>
  <c r="H3551" i="2"/>
  <c r="A3551" i="2"/>
  <c r="I3550" i="2"/>
  <c r="H3550" i="2"/>
  <c r="A3550" i="2"/>
  <c r="I3549" i="2"/>
  <c r="H3549" i="2"/>
  <c r="A3549" i="2"/>
  <c r="I3548" i="2"/>
  <c r="H3548" i="2"/>
  <c r="A3548" i="2"/>
  <c r="I3547" i="2"/>
  <c r="H3547" i="2"/>
  <c r="A3547" i="2"/>
  <c r="I3546" i="2"/>
  <c r="H3546" i="2"/>
  <c r="A3546" i="2"/>
  <c r="I3545" i="2"/>
  <c r="H3545" i="2"/>
  <c r="A3545" i="2"/>
  <c r="I3544" i="2"/>
  <c r="H3544" i="2"/>
  <c r="A3544" i="2"/>
  <c r="I3543" i="2"/>
  <c r="H3543" i="2"/>
  <c r="A3543" i="2"/>
  <c r="I3542" i="2"/>
  <c r="H3542" i="2"/>
  <c r="A3542" i="2"/>
  <c r="I3541" i="2"/>
  <c r="H3541" i="2"/>
  <c r="A3541" i="2"/>
  <c r="I3540" i="2"/>
  <c r="H3540" i="2"/>
  <c r="A3540" i="2"/>
  <c r="I3539" i="2"/>
  <c r="H3539" i="2"/>
  <c r="A3539" i="2"/>
  <c r="I3538" i="2"/>
  <c r="H3538" i="2"/>
  <c r="A3538" i="2"/>
  <c r="I3537" i="2"/>
  <c r="H3537" i="2"/>
  <c r="A3537" i="2"/>
  <c r="I3536" i="2"/>
  <c r="H3536" i="2"/>
  <c r="A3536" i="2"/>
  <c r="I3535" i="2"/>
  <c r="H3535" i="2"/>
  <c r="A3535" i="2"/>
  <c r="I3534" i="2"/>
  <c r="H3534" i="2"/>
  <c r="A3534" i="2"/>
  <c r="I3533" i="2"/>
  <c r="H3533" i="2"/>
  <c r="A3533" i="2"/>
  <c r="I3532" i="2"/>
  <c r="H3532" i="2"/>
  <c r="A3532" i="2"/>
  <c r="I3531" i="2"/>
  <c r="H3531" i="2"/>
  <c r="A3531" i="2"/>
  <c r="I3530" i="2"/>
  <c r="H3530" i="2"/>
  <c r="A3530" i="2"/>
  <c r="I3529" i="2"/>
  <c r="H3529" i="2"/>
  <c r="A3529" i="2"/>
  <c r="I3528" i="2"/>
  <c r="H3528" i="2"/>
  <c r="A3528" i="2"/>
  <c r="I3527" i="2"/>
  <c r="H3527" i="2"/>
  <c r="A3527" i="2"/>
  <c r="I3526" i="2"/>
  <c r="H3526" i="2"/>
  <c r="A3526" i="2"/>
  <c r="I3525" i="2"/>
  <c r="H3525" i="2"/>
  <c r="A3525" i="2"/>
  <c r="I3524" i="2"/>
  <c r="H3524" i="2"/>
  <c r="A3524" i="2"/>
  <c r="I3523" i="2"/>
  <c r="H3523" i="2"/>
  <c r="A3523" i="2"/>
  <c r="I3522" i="2"/>
  <c r="H3522" i="2"/>
  <c r="A3522" i="2"/>
  <c r="I3521" i="2"/>
  <c r="H3521" i="2"/>
  <c r="A3521" i="2"/>
  <c r="I3520" i="2"/>
  <c r="H3520" i="2"/>
  <c r="A3520" i="2"/>
  <c r="I3519" i="2"/>
  <c r="H3519" i="2"/>
  <c r="A3519" i="2"/>
  <c r="I3518" i="2"/>
  <c r="H3518" i="2"/>
  <c r="A3518" i="2"/>
  <c r="I3517" i="2"/>
  <c r="H3517" i="2"/>
  <c r="A3517" i="2"/>
  <c r="I3516" i="2"/>
  <c r="H3516" i="2"/>
  <c r="A3516" i="2"/>
  <c r="I3515" i="2"/>
  <c r="H3515" i="2"/>
  <c r="A3515" i="2"/>
  <c r="I3514" i="2"/>
  <c r="H3514" i="2"/>
  <c r="A3514" i="2"/>
  <c r="I3513" i="2"/>
  <c r="H3513" i="2"/>
  <c r="A3513" i="2"/>
  <c r="I3512" i="2"/>
  <c r="H3512" i="2"/>
  <c r="A3512" i="2"/>
  <c r="I3511" i="2"/>
  <c r="H3511" i="2"/>
  <c r="A3511" i="2"/>
  <c r="I3510" i="2"/>
  <c r="H3510" i="2"/>
  <c r="A3510" i="2"/>
  <c r="I3509" i="2"/>
  <c r="H3509" i="2"/>
  <c r="A3509" i="2"/>
  <c r="I3508" i="2"/>
  <c r="H3508" i="2"/>
  <c r="A3508" i="2"/>
  <c r="I3507" i="2"/>
  <c r="H3507" i="2"/>
  <c r="A3507" i="2"/>
  <c r="I3506" i="2"/>
  <c r="H3506" i="2"/>
  <c r="A3506" i="2"/>
  <c r="I3505" i="2"/>
  <c r="H3505" i="2"/>
  <c r="A3505" i="2"/>
  <c r="I3504" i="2"/>
  <c r="H3504" i="2"/>
  <c r="A3504" i="2"/>
  <c r="I3503" i="2"/>
  <c r="H3503" i="2"/>
  <c r="A3503" i="2"/>
  <c r="I3502" i="2"/>
  <c r="H3502" i="2"/>
  <c r="A3502" i="2"/>
  <c r="I3501" i="2"/>
  <c r="H3501" i="2"/>
  <c r="A3501" i="2"/>
  <c r="I3500" i="2"/>
  <c r="H3500" i="2"/>
  <c r="A3500" i="2"/>
  <c r="I3499" i="2"/>
  <c r="H3499" i="2"/>
  <c r="A3499" i="2"/>
  <c r="I3498" i="2"/>
  <c r="H3498" i="2"/>
  <c r="A3498" i="2"/>
  <c r="I3497" i="2"/>
  <c r="H3497" i="2"/>
  <c r="A3497" i="2"/>
  <c r="I3496" i="2"/>
  <c r="H3496" i="2"/>
  <c r="A3496" i="2"/>
  <c r="I3495" i="2"/>
  <c r="H3495" i="2"/>
  <c r="A3495" i="2"/>
  <c r="I3494" i="2"/>
  <c r="H3494" i="2"/>
  <c r="A3494" i="2"/>
  <c r="I3493" i="2"/>
  <c r="H3493" i="2"/>
  <c r="A3493" i="2"/>
  <c r="I3492" i="2"/>
  <c r="H3492" i="2"/>
  <c r="A3492" i="2"/>
  <c r="I3491" i="2"/>
  <c r="H3491" i="2"/>
  <c r="A3491" i="2"/>
  <c r="I3490" i="2"/>
  <c r="H3490" i="2"/>
  <c r="A3490" i="2"/>
  <c r="I3489" i="2"/>
  <c r="H3489" i="2"/>
  <c r="A3489" i="2"/>
  <c r="I3488" i="2"/>
  <c r="H3488" i="2"/>
  <c r="A3488" i="2"/>
  <c r="I3487" i="2"/>
  <c r="H3487" i="2"/>
  <c r="A3487" i="2"/>
  <c r="I3486" i="2"/>
  <c r="H3486" i="2"/>
  <c r="A3486" i="2"/>
  <c r="I3485" i="2"/>
  <c r="H3485" i="2"/>
  <c r="A3485" i="2"/>
  <c r="I3484" i="2"/>
  <c r="H3484" i="2"/>
  <c r="A3484" i="2"/>
  <c r="I3483" i="2"/>
  <c r="H3483" i="2"/>
  <c r="A3483" i="2"/>
  <c r="I3482" i="2"/>
  <c r="H3482" i="2"/>
  <c r="A3482" i="2"/>
  <c r="I3481" i="2"/>
  <c r="H3481" i="2"/>
  <c r="A3481" i="2"/>
  <c r="I3480" i="2"/>
  <c r="H3480" i="2"/>
  <c r="A3480" i="2"/>
  <c r="I3479" i="2"/>
  <c r="H3479" i="2"/>
  <c r="A3479" i="2"/>
  <c r="I3478" i="2"/>
  <c r="H3478" i="2"/>
  <c r="A3478" i="2"/>
  <c r="I3477" i="2"/>
  <c r="H3477" i="2"/>
  <c r="A3477" i="2"/>
  <c r="I3476" i="2"/>
  <c r="H3476" i="2"/>
  <c r="A3476" i="2"/>
  <c r="I3475" i="2"/>
  <c r="H3475" i="2"/>
  <c r="A3475" i="2"/>
  <c r="I3474" i="2"/>
  <c r="H3474" i="2"/>
  <c r="A3474" i="2"/>
  <c r="I3473" i="2"/>
  <c r="H3473" i="2"/>
  <c r="A3473" i="2"/>
  <c r="I3472" i="2"/>
  <c r="H3472" i="2"/>
  <c r="A3472" i="2"/>
  <c r="I3471" i="2"/>
  <c r="H3471" i="2"/>
  <c r="A3471" i="2"/>
  <c r="I3470" i="2"/>
  <c r="H3470" i="2"/>
  <c r="A3470" i="2"/>
  <c r="I3469" i="2"/>
  <c r="H3469" i="2"/>
  <c r="A3469" i="2"/>
  <c r="I3468" i="2"/>
  <c r="H3468" i="2"/>
  <c r="A3468" i="2"/>
  <c r="I3467" i="2"/>
  <c r="H3467" i="2"/>
  <c r="A3467" i="2"/>
  <c r="I3466" i="2"/>
  <c r="H3466" i="2"/>
  <c r="A3466" i="2"/>
  <c r="I3465" i="2"/>
  <c r="H3465" i="2"/>
  <c r="A3465" i="2"/>
  <c r="I3464" i="2"/>
  <c r="H3464" i="2"/>
  <c r="A3464" i="2"/>
  <c r="I3463" i="2"/>
  <c r="H3463" i="2"/>
  <c r="A3463" i="2"/>
  <c r="I3462" i="2"/>
  <c r="H3462" i="2"/>
  <c r="A3462" i="2"/>
  <c r="I3461" i="2"/>
  <c r="H3461" i="2"/>
  <c r="A3461" i="2"/>
  <c r="I3460" i="2"/>
  <c r="H3460" i="2"/>
  <c r="A3460" i="2"/>
  <c r="I3459" i="2"/>
  <c r="H3459" i="2"/>
  <c r="A3459" i="2"/>
  <c r="I3458" i="2"/>
  <c r="H3458" i="2"/>
  <c r="A3458" i="2"/>
  <c r="I3457" i="2"/>
  <c r="H3457" i="2"/>
  <c r="A3457" i="2"/>
  <c r="I3456" i="2"/>
  <c r="H3456" i="2"/>
  <c r="A3456" i="2"/>
  <c r="I3455" i="2"/>
  <c r="H3455" i="2"/>
  <c r="A3455" i="2"/>
  <c r="I3454" i="2"/>
  <c r="H3454" i="2"/>
  <c r="A3454" i="2"/>
  <c r="I3453" i="2"/>
  <c r="H3453" i="2"/>
  <c r="A3453" i="2"/>
  <c r="I3452" i="2"/>
  <c r="H3452" i="2"/>
  <c r="A3452" i="2"/>
  <c r="I3451" i="2"/>
  <c r="H3451" i="2"/>
  <c r="A3451" i="2"/>
  <c r="I3450" i="2"/>
  <c r="H3450" i="2"/>
  <c r="A3450" i="2"/>
  <c r="I3449" i="2"/>
  <c r="H3449" i="2"/>
  <c r="A3449" i="2"/>
  <c r="I3448" i="2"/>
  <c r="H3448" i="2"/>
  <c r="A3448" i="2"/>
  <c r="I3447" i="2"/>
  <c r="H3447" i="2"/>
  <c r="A3447" i="2"/>
  <c r="I3446" i="2"/>
  <c r="H3446" i="2"/>
  <c r="A3446" i="2"/>
  <c r="I3445" i="2"/>
  <c r="H3445" i="2"/>
  <c r="A3445" i="2"/>
  <c r="I3444" i="2"/>
  <c r="H3444" i="2"/>
  <c r="A3444" i="2"/>
  <c r="I3443" i="2"/>
  <c r="H3443" i="2"/>
  <c r="A3443" i="2"/>
  <c r="I3442" i="2"/>
  <c r="H3442" i="2"/>
  <c r="A3442" i="2"/>
  <c r="I3441" i="2"/>
  <c r="H3441" i="2"/>
  <c r="A3441" i="2"/>
  <c r="I3440" i="2"/>
  <c r="H3440" i="2"/>
  <c r="A3440" i="2"/>
  <c r="I3439" i="2"/>
  <c r="H3439" i="2"/>
  <c r="A3439" i="2"/>
  <c r="I3438" i="2"/>
  <c r="H3438" i="2"/>
  <c r="A3438" i="2"/>
  <c r="I3437" i="2"/>
  <c r="H3437" i="2"/>
  <c r="A3437" i="2"/>
  <c r="I3436" i="2"/>
  <c r="H3436" i="2"/>
  <c r="A3436" i="2"/>
  <c r="I3435" i="2"/>
  <c r="H3435" i="2"/>
  <c r="A3435" i="2"/>
  <c r="I3434" i="2"/>
  <c r="H3434" i="2"/>
  <c r="A3434" i="2"/>
  <c r="I3433" i="2"/>
  <c r="H3433" i="2"/>
  <c r="A3433" i="2"/>
  <c r="I3432" i="2"/>
  <c r="H3432" i="2"/>
  <c r="A3432" i="2"/>
  <c r="I3431" i="2"/>
  <c r="H3431" i="2"/>
  <c r="A3431" i="2"/>
  <c r="I3430" i="2"/>
  <c r="H3430" i="2"/>
  <c r="A3430" i="2"/>
  <c r="I3429" i="2"/>
  <c r="H3429" i="2"/>
  <c r="A3429" i="2"/>
  <c r="I3428" i="2"/>
  <c r="H3428" i="2"/>
  <c r="A3428" i="2"/>
  <c r="I3427" i="2"/>
  <c r="H3427" i="2"/>
  <c r="A3427" i="2"/>
  <c r="I3426" i="2"/>
  <c r="H3426" i="2"/>
  <c r="A3426" i="2"/>
  <c r="I3425" i="2"/>
  <c r="H3425" i="2"/>
  <c r="A3425" i="2"/>
  <c r="I3424" i="2"/>
  <c r="H3424" i="2"/>
  <c r="A3424" i="2"/>
  <c r="I3423" i="2"/>
  <c r="H3423" i="2"/>
  <c r="A3423" i="2"/>
  <c r="I3422" i="2"/>
  <c r="H3422" i="2"/>
  <c r="A3422" i="2"/>
  <c r="I3421" i="2"/>
  <c r="H3421" i="2"/>
  <c r="A3421" i="2"/>
  <c r="I3420" i="2"/>
  <c r="H3420" i="2"/>
  <c r="A3420" i="2"/>
  <c r="I3419" i="2"/>
  <c r="H3419" i="2"/>
  <c r="A3419" i="2"/>
  <c r="I3418" i="2"/>
  <c r="H3418" i="2"/>
  <c r="A3418" i="2"/>
  <c r="I3417" i="2"/>
  <c r="H3417" i="2"/>
  <c r="A3417" i="2"/>
  <c r="I3416" i="2"/>
  <c r="H3416" i="2"/>
  <c r="A3416" i="2"/>
  <c r="I3415" i="2"/>
  <c r="H3415" i="2"/>
  <c r="A3415" i="2"/>
  <c r="I3414" i="2"/>
  <c r="H3414" i="2"/>
  <c r="A3414" i="2"/>
  <c r="I3413" i="2"/>
  <c r="H3413" i="2"/>
  <c r="A3413" i="2"/>
  <c r="I3412" i="2"/>
  <c r="H3412" i="2"/>
  <c r="A3412" i="2"/>
  <c r="I3411" i="2"/>
  <c r="H3411" i="2"/>
  <c r="A3411" i="2"/>
  <c r="I3410" i="2"/>
  <c r="H3410" i="2"/>
  <c r="A3410" i="2"/>
  <c r="I3409" i="2"/>
  <c r="H3409" i="2"/>
  <c r="A3409" i="2"/>
  <c r="I3408" i="2"/>
  <c r="H3408" i="2"/>
  <c r="A3408" i="2"/>
  <c r="I3407" i="2"/>
  <c r="H3407" i="2"/>
  <c r="A3407" i="2"/>
  <c r="I3406" i="2"/>
  <c r="H3406" i="2"/>
  <c r="A3406" i="2"/>
  <c r="I3405" i="2"/>
  <c r="H3405" i="2"/>
  <c r="A3405" i="2"/>
  <c r="I3404" i="2"/>
  <c r="H3404" i="2"/>
  <c r="A3404" i="2"/>
  <c r="I3403" i="2"/>
  <c r="H3403" i="2"/>
  <c r="A3403" i="2"/>
  <c r="I3402" i="2"/>
  <c r="H3402" i="2"/>
  <c r="A3402" i="2"/>
  <c r="I3401" i="2"/>
  <c r="H3401" i="2"/>
  <c r="A3401" i="2"/>
  <c r="I3400" i="2"/>
  <c r="H3400" i="2"/>
  <c r="A3400" i="2"/>
  <c r="I3399" i="2"/>
  <c r="H3399" i="2"/>
  <c r="A3399" i="2"/>
  <c r="I3398" i="2"/>
  <c r="H3398" i="2"/>
  <c r="A3398" i="2"/>
  <c r="I3397" i="2"/>
  <c r="H3397" i="2"/>
  <c r="A3397" i="2"/>
  <c r="I3396" i="2"/>
  <c r="H3396" i="2"/>
  <c r="A3396" i="2"/>
  <c r="I3395" i="2"/>
  <c r="H3395" i="2"/>
  <c r="A3395" i="2"/>
  <c r="I3394" i="2"/>
  <c r="H3394" i="2"/>
  <c r="A3394" i="2"/>
  <c r="I3393" i="2"/>
  <c r="H3393" i="2"/>
  <c r="A3393" i="2"/>
  <c r="I3392" i="2"/>
  <c r="H3392" i="2"/>
  <c r="A3392" i="2"/>
  <c r="I3391" i="2"/>
  <c r="H3391" i="2"/>
  <c r="A3391" i="2"/>
  <c r="I3390" i="2"/>
  <c r="H3390" i="2"/>
  <c r="A3390" i="2"/>
  <c r="I3389" i="2"/>
  <c r="H3389" i="2"/>
  <c r="A3389" i="2"/>
  <c r="I3388" i="2"/>
  <c r="H3388" i="2"/>
  <c r="A3388" i="2"/>
  <c r="I3387" i="2"/>
  <c r="H3387" i="2"/>
  <c r="A3387" i="2"/>
  <c r="I3386" i="2"/>
  <c r="H3386" i="2"/>
  <c r="A3386" i="2"/>
  <c r="I3385" i="2"/>
  <c r="H3385" i="2"/>
  <c r="A3385" i="2"/>
  <c r="I3384" i="2"/>
  <c r="H3384" i="2"/>
  <c r="A3384" i="2"/>
  <c r="I3383" i="2"/>
  <c r="H3383" i="2"/>
  <c r="A3383" i="2"/>
  <c r="I3382" i="2"/>
  <c r="H3382" i="2"/>
  <c r="A3382" i="2"/>
  <c r="I3381" i="2"/>
  <c r="H3381" i="2"/>
  <c r="A3381" i="2"/>
  <c r="I3380" i="2"/>
  <c r="H3380" i="2"/>
  <c r="A3380" i="2"/>
  <c r="I3379" i="2"/>
  <c r="H3379" i="2"/>
  <c r="A3379" i="2"/>
  <c r="I3378" i="2"/>
  <c r="H3378" i="2"/>
  <c r="A3378" i="2"/>
  <c r="I3377" i="2"/>
  <c r="H3377" i="2"/>
  <c r="A3377" i="2"/>
  <c r="I3376" i="2"/>
  <c r="H3376" i="2"/>
  <c r="A3376" i="2"/>
  <c r="I3375" i="2"/>
  <c r="H3375" i="2"/>
  <c r="A3375" i="2"/>
  <c r="I3374" i="2"/>
  <c r="H3374" i="2"/>
  <c r="A3374" i="2"/>
  <c r="I3373" i="2"/>
  <c r="H3373" i="2"/>
  <c r="A3373" i="2"/>
  <c r="I3372" i="2"/>
  <c r="H3372" i="2"/>
  <c r="A3372" i="2"/>
  <c r="I3371" i="2"/>
  <c r="H3371" i="2"/>
  <c r="A3371" i="2"/>
  <c r="I3370" i="2"/>
  <c r="H3370" i="2"/>
  <c r="A3370" i="2"/>
  <c r="I3369" i="2"/>
  <c r="H3369" i="2"/>
  <c r="A3369" i="2"/>
  <c r="I3368" i="2"/>
  <c r="H3368" i="2"/>
  <c r="A3368" i="2"/>
  <c r="I3367" i="2"/>
  <c r="H3367" i="2"/>
  <c r="A3367" i="2"/>
  <c r="I3366" i="2"/>
  <c r="H3366" i="2"/>
  <c r="A3366" i="2"/>
  <c r="I3365" i="2"/>
  <c r="H3365" i="2"/>
  <c r="A3365" i="2"/>
  <c r="I3364" i="2"/>
  <c r="H3364" i="2"/>
  <c r="A3364" i="2"/>
  <c r="I3363" i="2"/>
  <c r="H3363" i="2"/>
  <c r="A3363" i="2"/>
  <c r="I3362" i="2"/>
  <c r="H3362" i="2"/>
  <c r="A3362" i="2"/>
  <c r="I3361" i="2"/>
  <c r="H3361" i="2"/>
  <c r="A3361" i="2"/>
  <c r="I3360" i="2"/>
  <c r="H3360" i="2"/>
  <c r="A3360" i="2"/>
  <c r="I3359" i="2"/>
  <c r="H3359" i="2"/>
  <c r="A3359" i="2"/>
  <c r="I3358" i="2"/>
  <c r="H3358" i="2"/>
  <c r="A3358" i="2"/>
  <c r="I3357" i="2"/>
  <c r="H3357" i="2"/>
  <c r="A3357" i="2"/>
  <c r="I3356" i="2"/>
  <c r="H3356" i="2"/>
  <c r="A3356" i="2"/>
  <c r="I3355" i="2"/>
  <c r="H3355" i="2"/>
  <c r="A3355" i="2"/>
  <c r="I3354" i="2"/>
  <c r="H3354" i="2"/>
  <c r="A3354" i="2"/>
  <c r="I3353" i="2"/>
  <c r="H3353" i="2"/>
  <c r="A3353" i="2"/>
  <c r="I3352" i="2"/>
  <c r="H3352" i="2"/>
  <c r="A3352" i="2"/>
  <c r="I3351" i="2"/>
  <c r="H3351" i="2"/>
  <c r="A3351" i="2"/>
  <c r="I3350" i="2"/>
  <c r="H3350" i="2"/>
  <c r="A3350" i="2"/>
  <c r="I3349" i="2"/>
  <c r="H3349" i="2"/>
  <c r="A3349" i="2"/>
  <c r="I3348" i="2"/>
  <c r="H3348" i="2"/>
  <c r="A3348" i="2"/>
  <c r="I3347" i="2"/>
  <c r="H3347" i="2"/>
  <c r="A3347" i="2"/>
  <c r="I3346" i="2"/>
  <c r="H3346" i="2"/>
  <c r="A3346" i="2"/>
  <c r="I3345" i="2"/>
  <c r="H3345" i="2"/>
  <c r="A3345" i="2"/>
  <c r="I3344" i="2"/>
  <c r="H3344" i="2"/>
  <c r="A3344" i="2"/>
  <c r="I3343" i="2"/>
  <c r="H3343" i="2"/>
  <c r="A3343" i="2"/>
  <c r="I3342" i="2"/>
  <c r="H3342" i="2"/>
  <c r="A3342" i="2"/>
  <c r="I3341" i="2"/>
  <c r="H3341" i="2"/>
  <c r="A3341" i="2"/>
  <c r="I3340" i="2"/>
  <c r="H3340" i="2"/>
  <c r="A3340" i="2"/>
  <c r="I3339" i="2"/>
  <c r="H3339" i="2"/>
  <c r="A3339" i="2"/>
  <c r="I3338" i="2"/>
  <c r="H3338" i="2"/>
  <c r="A3338" i="2"/>
  <c r="I3337" i="2"/>
  <c r="H3337" i="2"/>
  <c r="A3337" i="2"/>
  <c r="I3336" i="2"/>
  <c r="H3336" i="2"/>
  <c r="A3336" i="2"/>
  <c r="I3335" i="2"/>
  <c r="H3335" i="2"/>
  <c r="A3335" i="2"/>
  <c r="I3334" i="2"/>
  <c r="H3334" i="2"/>
  <c r="A3334" i="2"/>
  <c r="I3333" i="2"/>
  <c r="H3333" i="2"/>
  <c r="A3333" i="2"/>
  <c r="I3332" i="2"/>
  <c r="H3332" i="2"/>
  <c r="A3332" i="2"/>
  <c r="I3331" i="2"/>
  <c r="H3331" i="2"/>
  <c r="A3331" i="2"/>
  <c r="I3330" i="2"/>
  <c r="H3330" i="2"/>
  <c r="A3330" i="2"/>
  <c r="I3329" i="2"/>
  <c r="H3329" i="2"/>
  <c r="A3329" i="2"/>
  <c r="I3328" i="2"/>
  <c r="H3328" i="2"/>
  <c r="A3328" i="2"/>
  <c r="I3327" i="2"/>
  <c r="H3327" i="2"/>
  <c r="A3327" i="2"/>
  <c r="I3326" i="2"/>
  <c r="H3326" i="2"/>
  <c r="A3326" i="2"/>
  <c r="I3325" i="2"/>
  <c r="H3325" i="2"/>
  <c r="A3325" i="2"/>
  <c r="I3324" i="2"/>
  <c r="H3324" i="2"/>
  <c r="A3324" i="2"/>
  <c r="I3323" i="2"/>
  <c r="H3323" i="2"/>
  <c r="A3323" i="2"/>
  <c r="I3322" i="2"/>
  <c r="H3322" i="2"/>
  <c r="A3322" i="2"/>
  <c r="I3321" i="2"/>
  <c r="H3321" i="2"/>
  <c r="A3321" i="2"/>
  <c r="I3320" i="2"/>
  <c r="H3320" i="2"/>
  <c r="A3320" i="2"/>
  <c r="I3319" i="2"/>
  <c r="H3319" i="2"/>
  <c r="A3319" i="2"/>
  <c r="I3318" i="2"/>
  <c r="H3318" i="2"/>
  <c r="A3318" i="2"/>
  <c r="I3317" i="2"/>
  <c r="H3317" i="2"/>
  <c r="A3317" i="2"/>
  <c r="I3316" i="2"/>
  <c r="H3316" i="2"/>
  <c r="A3316" i="2"/>
  <c r="I3315" i="2"/>
  <c r="H3315" i="2"/>
  <c r="A3315" i="2"/>
  <c r="I3314" i="2"/>
  <c r="H3314" i="2"/>
  <c r="A3314" i="2"/>
  <c r="I3313" i="2"/>
  <c r="H3313" i="2"/>
  <c r="A3313" i="2"/>
  <c r="I3312" i="2"/>
  <c r="H3312" i="2"/>
  <c r="A3312" i="2"/>
  <c r="I3311" i="2"/>
  <c r="H3311" i="2"/>
  <c r="A3311" i="2"/>
  <c r="I3310" i="2"/>
  <c r="H3310" i="2"/>
  <c r="A3310" i="2"/>
  <c r="I3309" i="2"/>
  <c r="H3309" i="2"/>
  <c r="A3309" i="2"/>
  <c r="I3308" i="2"/>
  <c r="H3308" i="2"/>
  <c r="A3308" i="2"/>
  <c r="I3307" i="2"/>
  <c r="H3307" i="2"/>
  <c r="A3307" i="2"/>
  <c r="I3306" i="2"/>
  <c r="H3306" i="2"/>
  <c r="A3306" i="2"/>
  <c r="I3305" i="2"/>
  <c r="H3305" i="2"/>
  <c r="A3305" i="2"/>
  <c r="I3304" i="2"/>
  <c r="H3304" i="2"/>
  <c r="A3304" i="2"/>
  <c r="I3303" i="2"/>
  <c r="H3303" i="2"/>
  <c r="A3303" i="2"/>
  <c r="I3302" i="2"/>
  <c r="H3302" i="2"/>
  <c r="A3302" i="2"/>
  <c r="I3301" i="2"/>
  <c r="H3301" i="2"/>
  <c r="A3301" i="2"/>
  <c r="I3300" i="2"/>
  <c r="H3300" i="2"/>
  <c r="A3300" i="2"/>
  <c r="I3299" i="2"/>
  <c r="H3299" i="2"/>
  <c r="A3299" i="2"/>
  <c r="I3298" i="2"/>
  <c r="H3298" i="2"/>
  <c r="A3298" i="2"/>
  <c r="I3297" i="2"/>
  <c r="H3297" i="2"/>
  <c r="A3297" i="2"/>
  <c r="I3296" i="2"/>
  <c r="H3296" i="2"/>
  <c r="A3296" i="2"/>
  <c r="I3295" i="2"/>
  <c r="H3295" i="2"/>
  <c r="A3295" i="2"/>
  <c r="I3294" i="2"/>
  <c r="H3294" i="2"/>
  <c r="A3294" i="2"/>
  <c r="I3293" i="2"/>
  <c r="H3293" i="2"/>
  <c r="A3293" i="2"/>
  <c r="I3292" i="2"/>
  <c r="H3292" i="2"/>
  <c r="A3292" i="2"/>
  <c r="I3291" i="2"/>
  <c r="H3291" i="2"/>
  <c r="A3291" i="2"/>
  <c r="I3290" i="2"/>
  <c r="H3290" i="2"/>
  <c r="A3290" i="2"/>
  <c r="I3289" i="2"/>
  <c r="H3289" i="2"/>
  <c r="A3289" i="2"/>
  <c r="I3288" i="2"/>
  <c r="H3288" i="2"/>
  <c r="A3288" i="2"/>
  <c r="I3287" i="2"/>
  <c r="H3287" i="2"/>
  <c r="A3287" i="2"/>
  <c r="I3286" i="2"/>
  <c r="H3286" i="2"/>
  <c r="A3286" i="2"/>
  <c r="I3285" i="2"/>
  <c r="H3285" i="2"/>
  <c r="A3285" i="2"/>
  <c r="I3284" i="2"/>
  <c r="H3284" i="2"/>
  <c r="A3284" i="2"/>
  <c r="I3283" i="2"/>
  <c r="H3283" i="2"/>
  <c r="A3283" i="2"/>
  <c r="I3282" i="2"/>
  <c r="H3282" i="2"/>
  <c r="A3282" i="2"/>
  <c r="I3281" i="2"/>
  <c r="H3281" i="2"/>
  <c r="A3281" i="2"/>
  <c r="I3280" i="2"/>
  <c r="H3280" i="2"/>
  <c r="A3280" i="2"/>
  <c r="I3279" i="2"/>
  <c r="H3279" i="2"/>
  <c r="A3279" i="2"/>
  <c r="I3278" i="2"/>
  <c r="H3278" i="2"/>
  <c r="A3278" i="2"/>
  <c r="I3277" i="2"/>
  <c r="H3277" i="2"/>
  <c r="A3277" i="2"/>
  <c r="I3276" i="2"/>
  <c r="H3276" i="2"/>
  <c r="A3276" i="2"/>
  <c r="I3275" i="2"/>
  <c r="H3275" i="2"/>
  <c r="A3275" i="2"/>
  <c r="I3274" i="2"/>
  <c r="H3274" i="2"/>
  <c r="A3274" i="2"/>
  <c r="I3273" i="2"/>
  <c r="H3273" i="2"/>
  <c r="A3273" i="2"/>
  <c r="I3272" i="2"/>
  <c r="H3272" i="2"/>
  <c r="A3272" i="2"/>
  <c r="I3271" i="2"/>
  <c r="H3271" i="2"/>
  <c r="A3271" i="2"/>
  <c r="I3270" i="2"/>
  <c r="H3270" i="2"/>
  <c r="A3270" i="2"/>
  <c r="I3269" i="2"/>
  <c r="H3269" i="2"/>
  <c r="A3269" i="2"/>
  <c r="I3268" i="2"/>
  <c r="H3268" i="2"/>
  <c r="A3268" i="2"/>
  <c r="I3267" i="2"/>
  <c r="H3267" i="2"/>
  <c r="A3267" i="2"/>
  <c r="I3266" i="2"/>
  <c r="H3266" i="2"/>
  <c r="A3266" i="2"/>
  <c r="I3265" i="2"/>
  <c r="H3265" i="2"/>
  <c r="A3265" i="2"/>
  <c r="I3264" i="2"/>
  <c r="H3264" i="2"/>
  <c r="A3264" i="2"/>
  <c r="I3263" i="2"/>
  <c r="H3263" i="2"/>
  <c r="A3263" i="2"/>
  <c r="I3262" i="2"/>
  <c r="H3262" i="2"/>
  <c r="A3262" i="2"/>
  <c r="I3261" i="2"/>
  <c r="H3261" i="2"/>
  <c r="A3261" i="2"/>
  <c r="I3260" i="2"/>
  <c r="H3260" i="2"/>
  <c r="A3260" i="2"/>
  <c r="I3259" i="2"/>
  <c r="H3259" i="2"/>
  <c r="A3259" i="2"/>
  <c r="I3258" i="2"/>
  <c r="H3258" i="2"/>
  <c r="A3258" i="2"/>
  <c r="I3257" i="2"/>
  <c r="H3257" i="2"/>
  <c r="A3257" i="2"/>
  <c r="I3256" i="2"/>
  <c r="H3256" i="2"/>
  <c r="A3256" i="2"/>
  <c r="I3255" i="2"/>
  <c r="H3255" i="2"/>
  <c r="A3255" i="2"/>
  <c r="I3254" i="2"/>
  <c r="H3254" i="2"/>
  <c r="A3254" i="2"/>
  <c r="I3253" i="2"/>
  <c r="H3253" i="2"/>
  <c r="A3253" i="2"/>
  <c r="I3252" i="2"/>
  <c r="H3252" i="2"/>
  <c r="A3252" i="2"/>
  <c r="I3251" i="2"/>
  <c r="H3251" i="2"/>
  <c r="A3251" i="2"/>
  <c r="I3250" i="2"/>
  <c r="H3250" i="2"/>
  <c r="A3250" i="2"/>
  <c r="I3249" i="2"/>
  <c r="H3249" i="2"/>
  <c r="A3249" i="2"/>
  <c r="I3248" i="2"/>
  <c r="H3248" i="2"/>
  <c r="A3248" i="2"/>
  <c r="I3247" i="2"/>
  <c r="H3247" i="2"/>
  <c r="A3247" i="2"/>
  <c r="I3246" i="2"/>
  <c r="H3246" i="2"/>
  <c r="A3246" i="2"/>
  <c r="I3245" i="2"/>
  <c r="H3245" i="2"/>
  <c r="A3245" i="2"/>
  <c r="I3244" i="2"/>
  <c r="H3244" i="2"/>
  <c r="A3244" i="2"/>
  <c r="I3243" i="2"/>
  <c r="H3243" i="2"/>
  <c r="A3243" i="2"/>
  <c r="I3242" i="2"/>
  <c r="H3242" i="2"/>
  <c r="A3242" i="2"/>
  <c r="I3241" i="2"/>
  <c r="H3241" i="2"/>
  <c r="A3241" i="2"/>
  <c r="I3240" i="2"/>
  <c r="H3240" i="2"/>
  <c r="A3240" i="2"/>
  <c r="I3239" i="2"/>
  <c r="H3239" i="2"/>
  <c r="A3239" i="2"/>
  <c r="I3238" i="2"/>
  <c r="H3238" i="2"/>
  <c r="A3238" i="2"/>
  <c r="I3237" i="2"/>
  <c r="H3237" i="2"/>
  <c r="A3237" i="2"/>
  <c r="I3236" i="2"/>
  <c r="H3236" i="2"/>
  <c r="A3236" i="2"/>
  <c r="I3235" i="2"/>
  <c r="H3235" i="2"/>
  <c r="A3235" i="2"/>
  <c r="I3234" i="2"/>
  <c r="H3234" i="2"/>
  <c r="A3234" i="2"/>
  <c r="I3233" i="2"/>
  <c r="H3233" i="2"/>
  <c r="A3233" i="2"/>
  <c r="I3232" i="2"/>
  <c r="H3232" i="2"/>
  <c r="A3232" i="2"/>
  <c r="I3231" i="2"/>
  <c r="H3231" i="2"/>
  <c r="A3231" i="2"/>
  <c r="I3230" i="2"/>
  <c r="H3230" i="2"/>
  <c r="A3230" i="2"/>
  <c r="I3229" i="2"/>
  <c r="H3229" i="2"/>
  <c r="A3229" i="2"/>
  <c r="I3228" i="2"/>
  <c r="H3228" i="2"/>
  <c r="A3228" i="2"/>
  <c r="I3227" i="2"/>
  <c r="H3227" i="2"/>
  <c r="A3227" i="2"/>
  <c r="I3226" i="2"/>
  <c r="H3226" i="2"/>
  <c r="A3226" i="2"/>
  <c r="I3225" i="2"/>
  <c r="H3225" i="2"/>
  <c r="A3225" i="2"/>
  <c r="I3224" i="2"/>
  <c r="H3224" i="2"/>
  <c r="A3224" i="2"/>
  <c r="I3223" i="2"/>
  <c r="H3223" i="2"/>
  <c r="A3223" i="2"/>
  <c r="I3222" i="2"/>
  <c r="H3222" i="2"/>
  <c r="A3222" i="2"/>
  <c r="I3221" i="2"/>
  <c r="H3221" i="2"/>
  <c r="A3221" i="2"/>
  <c r="I3220" i="2"/>
  <c r="H3220" i="2"/>
  <c r="A3220" i="2"/>
  <c r="I3219" i="2"/>
  <c r="H3219" i="2"/>
  <c r="A3219" i="2"/>
  <c r="I3218" i="2"/>
  <c r="H3218" i="2"/>
  <c r="A3218" i="2"/>
  <c r="I3217" i="2"/>
  <c r="H3217" i="2"/>
  <c r="A3217" i="2"/>
  <c r="I3216" i="2"/>
  <c r="H3216" i="2"/>
  <c r="A3216" i="2"/>
  <c r="I3215" i="2"/>
  <c r="H3215" i="2"/>
  <c r="A3215" i="2"/>
  <c r="I3214" i="2"/>
  <c r="H3214" i="2"/>
  <c r="A3214" i="2"/>
  <c r="I3213" i="2"/>
  <c r="H3213" i="2"/>
  <c r="A3213" i="2"/>
  <c r="I3212" i="2"/>
  <c r="H3212" i="2"/>
  <c r="A3212" i="2"/>
  <c r="I3211" i="2"/>
  <c r="H3211" i="2"/>
  <c r="A3211" i="2"/>
  <c r="I3210" i="2"/>
  <c r="H3210" i="2"/>
  <c r="A3210" i="2"/>
  <c r="I3209" i="2"/>
  <c r="H3209" i="2"/>
  <c r="A3209" i="2"/>
  <c r="I3208" i="2"/>
  <c r="H3208" i="2"/>
  <c r="A3208" i="2"/>
  <c r="I3207" i="2"/>
  <c r="H3207" i="2"/>
  <c r="A3207" i="2"/>
  <c r="I3206" i="2"/>
  <c r="H3206" i="2"/>
  <c r="A3206" i="2"/>
  <c r="I3205" i="2"/>
  <c r="H3205" i="2"/>
  <c r="A3205" i="2"/>
  <c r="I3204" i="2"/>
  <c r="H3204" i="2"/>
  <c r="A3204" i="2"/>
  <c r="I3203" i="2"/>
  <c r="H3203" i="2"/>
  <c r="A3203" i="2"/>
  <c r="I3202" i="2"/>
  <c r="H3202" i="2"/>
  <c r="A3202" i="2"/>
  <c r="I3201" i="2"/>
  <c r="H3201" i="2"/>
  <c r="A3201" i="2"/>
  <c r="I3200" i="2"/>
  <c r="H3200" i="2"/>
  <c r="A3200" i="2"/>
  <c r="I3199" i="2"/>
  <c r="H3199" i="2"/>
  <c r="A3199" i="2"/>
  <c r="I3198" i="2"/>
  <c r="H3198" i="2"/>
  <c r="A3198" i="2"/>
  <c r="I3197" i="2"/>
  <c r="H3197" i="2"/>
  <c r="A3197" i="2"/>
  <c r="I3196" i="2"/>
  <c r="H3196" i="2"/>
  <c r="A3196" i="2"/>
  <c r="I3195" i="2"/>
  <c r="H3195" i="2"/>
  <c r="A3195" i="2"/>
  <c r="I3194" i="2"/>
  <c r="H3194" i="2"/>
  <c r="A3194" i="2"/>
  <c r="I3193" i="2"/>
  <c r="H3193" i="2"/>
  <c r="A3193" i="2"/>
  <c r="I3192" i="2"/>
  <c r="H3192" i="2"/>
  <c r="A3192" i="2"/>
  <c r="I3191" i="2"/>
  <c r="H3191" i="2"/>
  <c r="A3191" i="2"/>
  <c r="I3190" i="2"/>
  <c r="H3190" i="2"/>
  <c r="A3190" i="2"/>
  <c r="I3189" i="2"/>
  <c r="H3189" i="2"/>
  <c r="A3189" i="2"/>
  <c r="I3188" i="2"/>
  <c r="H3188" i="2"/>
  <c r="A3188" i="2"/>
  <c r="I3187" i="2"/>
  <c r="H3187" i="2"/>
  <c r="A3187" i="2"/>
  <c r="I3186" i="2"/>
  <c r="H3186" i="2"/>
  <c r="A3186" i="2"/>
  <c r="I3185" i="2"/>
  <c r="H3185" i="2"/>
  <c r="A3185" i="2"/>
  <c r="I3184" i="2"/>
  <c r="H3184" i="2"/>
  <c r="A3184" i="2"/>
  <c r="I3183" i="2"/>
  <c r="H3183" i="2"/>
  <c r="A3183" i="2"/>
  <c r="I3182" i="2"/>
  <c r="H3182" i="2"/>
  <c r="A3182" i="2"/>
  <c r="I3181" i="2"/>
  <c r="H3181" i="2"/>
  <c r="A3181" i="2"/>
  <c r="I3180" i="2"/>
  <c r="H3180" i="2"/>
  <c r="A3180" i="2"/>
  <c r="I3179" i="2"/>
  <c r="H3179" i="2"/>
  <c r="A3179" i="2"/>
  <c r="I3178" i="2"/>
  <c r="H3178" i="2"/>
  <c r="A3178" i="2"/>
  <c r="I3177" i="2"/>
  <c r="H3177" i="2"/>
  <c r="A3177" i="2"/>
  <c r="I3176" i="2"/>
  <c r="H3176" i="2"/>
  <c r="A3176" i="2"/>
  <c r="I3175" i="2"/>
  <c r="H3175" i="2"/>
  <c r="A3175" i="2"/>
  <c r="I3174" i="2"/>
  <c r="H3174" i="2"/>
  <c r="A3174" i="2"/>
  <c r="I3173" i="2"/>
  <c r="H3173" i="2"/>
  <c r="A3173" i="2"/>
  <c r="I3172" i="2"/>
  <c r="H3172" i="2"/>
  <c r="A3172" i="2"/>
  <c r="I3171" i="2"/>
  <c r="H3171" i="2"/>
  <c r="A3171" i="2"/>
  <c r="I3170" i="2"/>
  <c r="H3170" i="2"/>
  <c r="A3170" i="2"/>
  <c r="I3169" i="2"/>
  <c r="H3169" i="2"/>
  <c r="A3169" i="2"/>
  <c r="I3168" i="2"/>
  <c r="H3168" i="2"/>
  <c r="A3168" i="2"/>
  <c r="I3167" i="2"/>
  <c r="H3167" i="2"/>
  <c r="A3167" i="2"/>
  <c r="I3166" i="2"/>
  <c r="H3166" i="2"/>
  <c r="A3166" i="2"/>
  <c r="I3165" i="2"/>
  <c r="H3165" i="2"/>
  <c r="A3165" i="2"/>
  <c r="I3164" i="2"/>
  <c r="H3164" i="2"/>
  <c r="A3164" i="2"/>
  <c r="I3163" i="2"/>
  <c r="H3163" i="2"/>
  <c r="A3163" i="2"/>
  <c r="I3162" i="2"/>
  <c r="H3162" i="2"/>
  <c r="A3162" i="2"/>
  <c r="I3161" i="2"/>
  <c r="H3161" i="2"/>
  <c r="A3161" i="2"/>
  <c r="I3160" i="2"/>
  <c r="H3160" i="2"/>
  <c r="A3160" i="2"/>
  <c r="I3159" i="2"/>
  <c r="H3159" i="2"/>
  <c r="A3159" i="2"/>
  <c r="I3158" i="2"/>
  <c r="H3158" i="2"/>
  <c r="A3158" i="2"/>
  <c r="I3157" i="2"/>
  <c r="H3157" i="2"/>
  <c r="A3157" i="2"/>
  <c r="I3156" i="2"/>
  <c r="H3156" i="2"/>
  <c r="A3156" i="2"/>
  <c r="I3155" i="2"/>
  <c r="H3155" i="2"/>
  <c r="A3155" i="2"/>
  <c r="I3154" i="2"/>
  <c r="H3154" i="2"/>
  <c r="A3154" i="2"/>
  <c r="I3153" i="2"/>
  <c r="H3153" i="2"/>
  <c r="A3153" i="2"/>
  <c r="I3152" i="2"/>
  <c r="H3152" i="2"/>
  <c r="A3152" i="2"/>
  <c r="I3151" i="2"/>
  <c r="H3151" i="2"/>
  <c r="A3151" i="2"/>
  <c r="I3150" i="2"/>
  <c r="H3150" i="2"/>
  <c r="A3150" i="2"/>
  <c r="I3149" i="2"/>
  <c r="H3149" i="2"/>
  <c r="A3149" i="2"/>
  <c r="I3148" i="2"/>
  <c r="H3148" i="2"/>
  <c r="A3148" i="2"/>
  <c r="I3147" i="2"/>
  <c r="H3147" i="2"/>
  <c r="A3147" i="2"/>
  <c r="I3146" i="2"/>
  <c r="H3146" i="2"/>
  <c r="A3146" i="2"/>
  <c r="I3145" i="2"/>
  <c r="H3145" i="2"/>
  <c r="A3145" i="2"/>
  <c r="I3144" i="2"/>
  <c r="H3144" i="2"/>
  <c r="A3144" i="2"/>
  <c r="I3143" i="2"/>
  <c r="H3143" i="2"/>
  <c r="A3143" i="2"/>
  <c r="I3142" i="2"/>
  <c r="H3142" i="2"/>
  <c r="A3142" i="2"/>
  <c r="I3141" i="2"/>
  <c r="H3141" i="2"/>
  <c r="A3141" i="2"/>
  <c r="I3140" i="2"/>
  <c r="H3140" i="2"/>
  <c r="A3140" i="2"/>
  <c r="I3139" i="2"/>
  <c r="H3139" i="2"/>
  <c r="A3139" i="2"/>
  <c r="I3138" i="2"/>
  <c r="H3138" i="2"/>
  <c r="A3138" i="2"/>
  <c r="I3137" i="2"/>
  <c r="H3137" i="2"/>
  <c r="A3137" i="2"/>
  <c r="I3136" i="2"/>
  <c r="H3136" i="2"/>
  <c r="A3136" i="2"/>
  <c r="I3135" i="2"/>
  <c r="H3135" i="2"/>
  <c r="A3135" i="2"/>
  <c r="I3134" i="2"/>
  <c r="H3134" i="2"/>
  <c r="A3134" i="2"/>
  <c r="I3133" i="2"/>
  <c r="H3133" i="2"/>
  <c r="A3133" i="2"/>
  <c r="I3132" i="2"/>
  <c r="H3132" i="2"/>
  <c r="A3132" i="2"/>
  <c r="I3131" i="2"/>
  <c r="H3131" i="2"/>
  <c r="A3131" i="2"/>
  <c r="I3130" i="2"/>
  <c r="H3130" i="2"/>
  <c r="A3130" i="2"/>
  <c r="I3129" i="2"/>
  <c r="H3129" i="2"/>
  <c r="A3129" i="2"/>
  <c r="I3128" i="2"/>
  <c r="H3128" i="2"/>
  <c r="A3128" i="2"/>
  <c r="I3127" i="2"/>
  <c r="H3127" i="2"/>
  <c r="A3127" i="2"/>
  <c r="I3126" i="2"/>
  <c r="H3126" i="2"/>
  <c r="A3126" i="2"/>
  <c r="I3125" i="2"/>
  <c r="H3125" i="2"/>
  <c r="A3125" i="2"/>
  <c r="I3124" i="2"/>
  <c r="H3124" i="2"/>
  <c r="A3124" i="2"/>
  <c r="I3123" i="2"/>
  <c r="H3123" i="2"/>
  <c r="A3123" i="2"/>
  <c r="I3122" i="2"/>
  <c r="H3122" i="2"/>
  <c r="A3122" i="2"/>
  <c r="I3121" i="2"/>
  <c r="H3121" i="2"/>
  <c r="A3121" i="2"/>
  <c r="I3120" i="2"/>
  <c r="H3120" i="2"/>
  <c r="A3120" i="2"/>
  <c r="I3119" i="2"/>
  <c r="H3119" i="2"/>
  <c r="A3119" i="2"/>
  <c r="I3118" i="2"/>
  <c r="H3118" i="2"/>
  <c r="A3118" i="2"/>
  <c r="I3117" i="2"/>
  <c r="H3117" i="2"/>
  <c r="A3117" i="2"/>
  <c r="I3116" i="2"/>
  <c r="H3116" i="2"/>
  <c r="A3116" i="2"/>
  <c r="I3115" i="2"/>
  <c r="H3115" i="2"/>
  <c r="A3115" i="2"/>
  <c r="I3114" i="2"/>
  <c r="H3114" i="2"/>
  <c r="A3114" i="2"/>
  <c r="I3113" i="2"/>
  <c r="H3113" i="2"/>
  <c r="A3113" i="2"/>
  <c r="I3112" i="2"/>
  <c r="H3112" i="2"/>
  <c r="A3112" i="2"/>
  <c r="I3111" i="2"/>
  <c r="H3111" i="2"/>
  <c r="A3111" i="2"/>
  <c r="I3110" i="2"/>
  <c r="H3110" i="2"/>
  <c r="A3110" i="2"/>
  <c r="I3109" i="2"/>
  <c r="H3109" i="2"/>
  <c r="A3109" i="2"/>
  <c r="I3108" i="2"/>
  <c r="H3108" i="2"/>
  <c r="A3108" i="2"/>
  <c r="I3107" i="2"/>
  <c r="H3107" i="2"/>
  <c r="A3107" i="2"/>
  <c r="I3106" i="2"/>
  <c r="H3106" i="2"/>
  <c r="A3106" i="2"/>
  <c r="I3105" i="2"/>
  <c r="H3105" i="2"/>
  <c r="A3105" i="2"/>
  <c r="I3104" i="2"/>
  <c r="H3104" i="2"/>
  <c r="A3104" i="2"/>
  <c r="I3103" i="2"/>
  <c r="H3103" i="2"/>
  <c r="A3103" i="2"/>
  <c r="I3102" i="2"/>
  <c r="H3102" i="2"/>
  <c r="A3102" i="2"/>
  <c r="I3101" i="2"/>
  <c r="H3101" i="2"/>
  <c r="A3101" i="2"/>
  <c r="I3100" i="2"/>
  <c r="H3100" i="2"/>
  <c r="A3100" i="2"/>
  <c r="I3099" i="2"/>
  <c r="H3099" i="2"/>
  <c r="A3099" i="2"/>
  <c r="I3098" i="2"/>
  <c r="H3098" i="2"/>
  <c r="A3098" i="2"/>
  <c r="I3097" i="2"/>
  <c r="H3097" i="2"/>
  <c r="A3097" i="2"/>
  <c r="I3096" i="2"/>
  <c r="H3096" i="2"/>
  <c r="A3096" i="2"/>
  <c r="I3095" i="2"/>
  <c r="H3095" i="2"/>
  <c r="A3095" i="2"/>
  <c r="I3094" i="2"/>
  <c r="H3094" i="2"/>
  <c r="A3094" i="2"/>
  <c r="I3093" i="2"/>
  <c r="H3093" i="2"/>
  <c r="A3093" i="2"/>
  <c r="I3092" i="2"/>
  <c r="H3092" i="2"/>
  <c r="A3092" i="2"/>
  <c r="I3091" i="2"/>
  <c r="H3091" i="2"/>
  <c r="A3091" i="2"/>
  <c r="I3090" i="2"/>
  <c r="H3090" i="2"/>
  <c r="A3090" i="2"/>
  <c r="I3089" i="2"/>
  <c r="H3089" i="2"/>
  <c r="A3089" i="2"/>
  <c r="I3088" i="2"/>
  <c r="H3088" i="2"/>
  <c r="A3088" i="2"/>
  <c r="I3087" i="2"/>
  <c r="H3087" i="2"/>
  <c r="A3087" i="2"/>
  <c r="I3086" i="2"/>
  <c r="H3086" i="2"/>
  <c r="A3086" i="2"/>
  <c r="I3085" i="2"/>
  <c r="H3085" i="2"/>
  <c r="A3085" i="2"/>
  <c r="I3084" i="2"/>
  <c r="H3084" i="2"/>
  <c r="A3084" i="2"/>
  <c r="I3083" i="2"/>
  <c r="H3083" i="2"/>
  <c r="A3083" i="2"/>
  <c r="I3082" i="2"/>
  <c r="H3082" i="2"/>
  <c r="A3082" i="2"/>
  <c r="I3081" i="2"/>
  <c r="H3081" i="2"/>
  <c r="A3081" i="2"/>
  <c r="I3080" i="2"/>
  <c r="H3080" i="2"/>
  <c r="A3080" i="2"/>
  <c r="I3079" i="2"/>
  <c r="H3079" i="2"/>
  <c r="A3079" i="2"/>
  <c r="I3078" i="2"/>
  <c r="H3078" i="2"/>
  <c r="A3078" i="2"/>
  <c r="I3077" i="2"/>
  <c r="H3077" i="2"/>
  <c r="A3077" i="2"/>
  <c r="I3076" i="2"/>
  <c r="H3076" i="2"/>
  <c r="A3076" i="2"/>
  <c r="I3075" i="2"/>
  <c r="H3075" i="2"/>
  <c r="A3075" i="2"/>
  <c r="I3074" i="2"/>
  <c r="H3074" i="2"/>
  <c r="A3074" i="2"/>
  <c r="I3073" i="2"/>
  <c r="H3073" i="2"/>
  <c r="A3073" i="2"/>
  <c r="I3072" i="2"/>
  <c r="H3072" i="2"/>
  <c r="A3072" i="2"/>
  <c r="I3071" i="2"/>
  <c r="H3071" i="2"/>
  <c r="A3071" i="2"/>
  <c r="I3070" i="2"/>
  <c r="H3070" i="2"/>
  <c r="A3070" i="2"/>
  <c r="I3069" i="2"/>
  <c r="H3069" i="2"/>
  <c r="A3069" i="2"/>
  <c r="I3068" i="2"/>
  <c r="H3068" i="2"/>
  <c r="A3068" i="2"/>
  <c r="I3067" i="2"/>
  <c r="H3067" i="2"/>
  <c r="A3067" i="2"/>
  <c r="I3066" i="2"/>
  <c r="H3066" i="2"/>
  <c r="A3066" i="2"/>
  <c r="I3065" i="2"/>
  <c r="H3065" i="2"/>
  <c r="A3065" i="2"/>
  <c r="I3064" i="2"/>
  <c r="H3064" i="2"/>
  <c r="A3064" i="2"/>
  <c r="I3063" i="2"/>
  <c r="H3063" i="2"/>
  <c r="A3063" i="2"/>
  <c r="I3062" i="2"/>
  <c r="H3062" i="2"/>
  <c r="A3062" i="2"/>
  <c r="I3061" i="2"/>
  <c r="H3061" i="2"/>
  <c r="A3061" i="2"/>
  <c r="I3060" i="2"/>
  <c r="H3060" i="2"/>
  <c r="A3060" i="2"/>
  <c r="I3059" i="2"/>
  <c r="H3059" i="2"/>
  <c r="A3059" i="2"/>
  <c r="I3058" i="2"/>
  <c r="H3058" i="2"/>
  <c r="A3058" i="2"/>
  <c r="I3057" i="2"/>
  <c r="H3057" i="2"/>
  <c r="A3057" i="2"/>
  <c r="I3056" i="2"/>
  <c r="H3056" i="2"/>
  <c r="A3056" i="2"/>
  <c r="I3055" i="2"/>
  <c r="H3055" i="2"/>
  <c r="A3055" i="2"/>
  <c r="I3054" i="2"/>
  <c r="H3054" i="2"/>
  <c r="A3054" i="2"/>
  <c r="I3053" i="2"/>
  <c r="H3053" i="2"/>
  <c r="A3053" i="2"/>
  <c r="I3052" i="2"/>
  <c r="H3052" i="2"/>
  <c r="A3052" i="2"/>
  <c r="I3051" i="2"/>
  <c r="H3051" i="2"/>
  <c r="A3051" i="2"/>
  <c r="I3050" i="2"/>
  <c r="H3050" i="2"/>
  <c r="A3050" i="2"/>
  <c r="I3049" i="2"/>
  <c r="H3049" i="2"/>
  <c r="A3049" i="2"/>
  <c r="I3048" i="2"/>
  <c r="H3048" i="2"/>
  <c r="A3048" i="2"/>
  <c r="I3047" i="2"/>
  <c r="H3047" i="2"/>
  <c r="A3047" i="2"/>
  <c r="I3046" i="2"/>
  <c r="H3046" i="2"/>
  <c r="A3046" i="2"/>
  <c r="I3045" i="2"/>
  <c r="H3045" i="2"/>
  <c r="A3045" i="2"/>
  <c r="I3044" i="2"/>
  <c r="H3044" i="2"/>
  <c r="A3044" i="2"/>
  <c r="I3043" i="2"/>
  <c r="H3043" i="2"/>
  <c r="A3043" i="2"/>
  <c r="I3042" i="2"/>
  <c r="H3042" i="2"/>
  <c r="A3042" i="2"/>
  <c r="I3041" i="2"/>
  <c r="H3041" i="2"/>
  <c r="A3041" i="2"/>
  <c r="I3040" i="2"/>
  <c r="H3040" i="2"/>
  <c r="A3040" i="2"/>
  <c r="I3039" i="2"/>
  <c r="H3039" i="2"/>
  <c r="A3039" i="2"/>
  <c r="I3038" i="2"/>
  <c r="H3038" i="2"/>
  <c r="A3038" i="2"/>
  <c r="I3037" i="2"/>
  <c r="H3037" i="2"/>
  <c r="A3037" i="2"/>
  <c r="I3036" i="2"/>
  <c r="H3036" i="2"/>
  <c r="A3036" i="2"/>
  <c r="I3035" i="2"/>
  <c r="H3035" i="2"/>
  <c r="A3035" i="2"/>
  <c r="I3034" i="2"/>
  <c r="H3034" i="2"/>
  <c r="A3034" i="2"/>
  <c r="I3033" i="2"/>
  <c r="H3033" i="2"/>
  <c r="A3033" i="2"/>
  <c r="I3032" i="2"/>
  <c r="H3032" i="2"/>
  <c r="A3032" i="2"/>
  <c r="I3031" i="2"/>
  <c r="H3031" i="2"/>
  <c r="A3031" i="2"/>
  <c r="I3030" i="2"/>
  <c r="H3030" i="2"/>
  <c r="A3030" i="2"/>
  <c r="I3029" i="2"/>
  <c r="H3029" i="2"/>
  <c r="A3029" i="2"/>
  <c r="I3028" i="2"/>
  <c r="H3028" i="2"/>
  <c r="A3028" i="2"/>
  <c r="I3027" i="2"/>
  <c r="H3027" i="2"/>
  <c r="A3027" i="2"/>
  <c r="I3026" i="2"/>
  <c r="H3026" i="2"/>
  <c r="A3026" i="2"/>
  <c r="I3025" i="2"/>
  <c r="H3025" i="2"/>
  <c r="A3025" i="2"/>
  <c r="I3024" i="2"/>
  <c r="H3024" i="2"/>
  <c r="A3024" i="2"/>
  <c r="I3023" i="2"/>
  <c r="H3023" i="2"/>
  <c r="A3023" i="2"/>
  <c r="I3022" i="2"/>
  <c r="H3022" i="2"/>
  <c r="A3022" i="2"/>
  <c r="I3021" i="2"/>
  <c r="H3021" i="2"/>
  <c r="A3021" i="2"/>
  <c r="I3020" i="2"/>
  <c r="H3020" i="2"/>
  <c r="A3020" i="2"/>
  <c r="I3019" i="2"/>
  <c r="H3019" i="2"/>
  <c r="A3019" i="2"/>
  <c r="I3018" i="2"/>
  <c r="H3018" i="2"/>
  <c r="A3018" i="2"/>
  <c r="I3017" i="2"/>
  <c r="H3017" i="2"/>
  <c r="A3017" i="2"/>
  <c r="I3016" i="2"/>
  <c r="H3016" i="2"/>
  <c r="A3016" i="2"/>
  <c r="I3015" i="2"/>
  <c r="H3015" i="2"/>
  <c r="A3015" i="2"/>
  <c r="I3014" i="2"/>
  <c r="H3014" i="2"/>
  <c r="A3014" i="2"/>
  <c r="I3013" i="2"/>
  <c r="H3013" i="2"/>
  <c r="A3013" i="2"/>
  <c r="I3012" i="2"/>
  <c r="H3012" i="2"/>
  <c r="A3012" i="2"/>
  <c r="I3011" i="2"/>
  <c r="H3011" i="2"/>
  <c r="A3011" i="2"/>
  <c r="I3010" i="2"/>
  <c r="H3010" i="2"/>
  <c r="A3010" i="2"/>
  <c r="I3009" i="2"/>
  <c r="H3009" i="2"/>
  <c r="A3009" i="2"/>
  <c r="I3008" i="2"/>
  <c r="H3008" i="2"/>
  <c r="A3008" i="2"/>
  <c r="I3007" i="2"/>
  <c r="H3007" i="2"/>
  <c r="A3007" i="2"/>
  <c r="I3006" i="2"/>
  <c r="H3006" i="2"/>
  <c r="A3006" i="2"/>
  <c r="I3005" i="2"/>
  <c r="H3005" i="2"/>
  <c r="A3005" i="2"/>
  <c r="I3004" i="2"/>
  <c r="H3004" i="2"/>
  <c r="A3004" i="2"/>
  <c r="I3003" i="2"/>
  <c r="H3003" i="2"/>
  <c r="A3003" i="2"/>
  <c r="I3002" i="2"/>
  <c r="H3002" i="2"/>
  <c r="A3002" i="2"/>
  <c r="I3001" i="2"/>
  <c r="H3001" i="2"/>
  <c r="A3001" i="2"/>
  <c r="I3000" i="2"/>
  <c r="H3000" i="2"/>
  <c r="A3000" i="2"/>
  <c r="I2999" i="2"/>
  <c r="H2999" i="2"/>
  <c r="A2999" i="2"/>
  <c r="I2998" i="2"/>
  <c r="H2998" i="2"/>
  <c r="A2998" i="2"/>
  <c r="I2997" i="2"/>
  <c r="H2997" i="2"/>
  <c r="A2997" i="2"/>
  <c r="I2996" i="2"/>
  <c r="H2996" i="2"/>
  <c r="A2996" i="2"/>
  <c r="I2995" i="2"/>
  <c r="H2995" i="2"/>
  <c r="A2995" i="2"/>
  <c r="I2994" i="2"/>
  <c r="H2994" i="2"/>
  <c r="A2994" i="2"/>
  <c r="I2993" i="2"/>
  <c r="H2993" i="2"/>
  <c r="A2993" i="2"/>
  <c r="I2992" i="2"/>
  <c r="H2992" i="2"/>
  <c r="A2992" i="2"/>
  <c r="I2991" i="2"/>
  <c r="H2991" i="2"/>
  <c r="A2991" i="2"/>
  <c r="I2990" i="2"/>
  <c r="H2990" i="2"/>
  <c r="A2990" i="2"/>
  <c r="I2989" i="2"/>
  <c r="H2989" i="2"/>
  <c r="A2989" i="2"/>
  <c r="I2988" i="2"/>
  <c r="H2988" i="2"/>
  <c r="A2988" i="2"/>
  <c r="I2987" i="2"/>
  <c r="H2987" i="2"/>
  <c r="A2987" i="2"/>
  <c r="I2986" i="2"/>
  <c r="H2986" i="2"/>
  <c r="A2986" i="2"/>
  <c r="I2985" i="2"/>
  <c r="H2985" i="2"/>
  <c r="A2985" i="2"/>
  <c r="I2984" i="2"/>
  <c r="H2984" i="2"/>
  <c r="A2984" i="2"/>
  <c r="I2983" i="2"/>
  <c r="H2983" i="2"/>
  <c r="A2983" i="2"/>
  <c r="I2982" i="2"/>
  <c r="H2982" i="2"/>
  <c r="A2982" i="2"/>
  <c r="I2981" i="2"/>
  <c r="H2981" i="2"/>
  <c r="A2981" i="2"/>
  <c r="I2980" i="2"/>
  <c r="H2980" i="2"/>
  <c r="A2980" i="2"/>
  <c r="I2979" i="2"/>
  <c r="H2979" i="2"/>
  <c r="A2979" i="2"/>
  <c r="I2978" i="2"/>
  <c r="H2978" i="2"/>
  <c r="A2978" i="2"/>
  <c r="I2977" i="2"/>
  <c r="H2977" i="2"/>
  <c r="A2977" i="2"/>
  <c r="I2976" i="2"/>
  <c r="H2976" i="2"/>
  <c r="A2976" i="2"/>
  <c r="I2975" i="2"/>
  <c r="H2975" i="2"/>
  <c r="A2975" i="2"/>
  <c r="I2974" i="2"/>
  <c r="H2974" i="2"/>
  <c r="A2974" i="2"/>
  <c r="I2973" i="2"/>
  <c r="H2973" i="2"/>
  <c r="A2973" i="2"/>
  <c r="I2972" i="2"/>
  <c r="H2972" i="2"/>
  <c r="A2972" i="2"/>
  <c r="I2971" i="2"/>
  <c r="H2971" i="2"/>
  <c r="A2971" i="2"/>
  <c r="I2970" i="2"/>
  <c r="H2970" i="2"/>
  <c r="A2970" i="2"/>
  <c r="I2969" i="2"/>
  <c r="H2969" i="2"/>
  <c r="A2969" i="2"/>
  <c r="I2968" i="2"/>
  <c r="H2968" i="2"/>
  <c r="A2968" i="2"/>
  <c r="I2967" i="2"/>
  <c r="H2967" i="2"/>
  <c r="A2967" i="2"/>
  <c r="I2966" i="2"/>
  <c r="H2966" i="2"/>
  <c r="A2966" i="2"/>
  <c r="I2965" i="2"/>
  <c r="H2965" i="2"/>
  <c r="A2965" i="2"/>
  <c r="I2964" i="2"/>
  <c r="H2964" i="2"/>
  <c r="A2964" i="2"/>
  <c r="I2963" i="2"/>
  <c r="H2963" i="2"/>
  <c r="A2963" i="2"/>
  <c r="I2962" i="2"/>
  <c r="H2962" i="2"/>
  <c r="A2962" i="2"/>
  <c r="I2961" i="2"/>
  <c r="H2961" i="2"/>
  <c r="A2961" i="2"/>
  <c r="I2960" i="2"/>
  <c r="H2960" i="2"/>
  <c r="A2960" i="2"/>
  <c r="I2959" i="2"/>
  <c r="H2959" i="2"/>
  <c r="A2959" i="2"/>
  <c r="I2958" i="2"/>
  <c r="H2958" i="2"/>
  <c r="A2958" i="2"/>
  <c r="I2957" i="2"/>
  <c r="H2957" i="2"/>
  <c r="A2957" i="2"/>
  <c r="I2956" i="2"/>
  <c r="H2956" i="2"/>
  <c r="A2956" i="2"/>
  <c r="I2955" i="2"/>
  <c r="H2955" i="2"/>
  <c r="A2955" i="2"/>
  <c r="I2954" i="2"/>
  <c r="H2954" i="2"/>
  <c r="A2954" i="2"/>
  <c r="I2953" i="2"/>
  <c r="H2953" i="2"/>
  <c r="A2953" i="2"/>
  <c r="I2952" i="2"/>
  <c r="H2952" i="2"/>
  <c r="A2952" i="2"/>
  <c r="I2951" i="2"/>
  <c r="H2951" i="2"/>
  <c r="A2951" i="2"/>
  <c r="I2950" i="2"/>
  <c r="H2950" i="2"/>
  <c r="A2950" i="2"/>
  <c r="I2949" i="2"/>
  <c r="H2949" i="2"/>
  <c r="A2949" i="2"/>
  <c r="I2948" i="2"/>
  <c r="H2948" i="2"/>
  <c r="A2948" i="2"/>
  <c r="I2947" i="2"/>
  <c r="H2947" i="2"/>
  <c r="A2947" i="2"/>
  <c r="I2946" i="2"/>
  <c r="H2946" i="2"/>
  <c r="A2946" i="2"/>
  <c r="I2945" i="2"/>
  <c r="H2945" i="2"/>
  <c r="A2945" i="2"/>
  <c r="I2944" i="2"/>
  <c r="H2944" i="2"/>
  <c r="A2944" i="2"/>
  <c r="I2943" i="2"/>
  <c r="H2943" i="2"/>
  <c r="A2943" i="2"/>
  <c r="I2942" i="2"/>
  <c r="H2942" i="2"/>
  <c r="A2942" i="2"/>
  <c r="I2941" i="2"/>
  <c r="H2941" i="2"/>
  <c r="A2941" i="2"/>
  <c r="I2940" i="2"/>
  <c r="H2940" i="2"/>
  <c r="A2940" i="2"/>
  <c r="I2939" i="2"/>
  <c r="H2939" i="2"/>
  <c r="A2939" i="2"/>
  <c r="I2938" i="2"/>
  <c r="H2938" i="2"/>
  <c r="A2938" i="2"/>
  <c r="I2937" i="2"/>
  <c r="H2937" i="2"/>
  <c r="A2937" i="2"/>
  <c r="I2936" i="2"/>
  <c r="H2936" i="2"/>
  <c r="A2936" i="2"/>
  <c r="I2935" i="2"/>
  <c r="H2935" i="2"/>
  <c r="A2935" i="2"/>
  <c r="I2934" i="2"/>
  <c r="H2934" i="2"/>
  <c r="A2934" i="2"/>
  <c r="I2933" i="2"/>
  <c r="H2933" i="2"/>
  <c r="A2933" i="2"/>
  <c r="I2932" i="2"/>
  <c r="H2932" i="2"/>
  <c r="A2932" i="2"/>
  <c r="I2931" i="2"/>
  <c r="H2931" i="2"/>
  <c r="A2931" i="2"/>
  <c r="I2930" i="2"/>
  <c r="H2930" i="2"/>
  <c r="A2930" i="2"/>
  <c r="I2929" i="2"/>
  <c r="H2929" i="2"/>
  <c r="A2929" i="2"/>
  <c r="I2928" i="2"/>
  <c r="H2928" i="2"/>
  <c r="A2928" i="2"/>
  <c r="I2927" i="2"/>
  <c r="H2927" i="2"/>
  <c r="A2927" i="2"/>
  <c r="I2926" i="2"/>
  <c r="H2926" i="2"/>
  <c r="A2926" i="2"/>
  <c r="I2925" i="2"/>
  <c r="H2925" i="2"/>
  <c r="A2925" i="2"/>
  <c r="I2924" i="2"/>
  <c r="H2924" i="2"/>
  <c r="A2924" i="2"/>
  <c r="I2923" i="2"/>
  <c r="H2923" i="2"/>
  <c r="A2923" i="2"/>
  <c r="I2922" i="2"/>
  <c r="H2922" i="2"/>
  <c r="A2922" i="2"/>
  <c r="I2921" i="2"/>
  <c r="H2921" i="2"/>
  <c r="A2921" i="2"/>
  <c r="I2920" i="2"/>
  <c r="H2920" i="2"/>
  <c r="A2920" i="2"/>
  <c r="I2919" i="2"/>
  <c r="H2919" i="2"/>
  <c r="A2919" i="2"/>
  <c r="I2918" i="2"/>
  <c r="H2918" i="2"/>
  <c r="A2918" i="2"/>
  <c r="I2917" i="2"/>
  <c r="H2917" i="2"/>
  <c r="A2917" i="2"/>
  <c r="I2916" i="2"/>
  <c r="H2916" i="2"/>
  <c r="A2916" i="2"/>
  <c r="I2915" i="2"/>
  <c r="H2915" i="2"/>
  <c r="A2915" i="2"/>
  <c r="I2914" i="2"/>
  <c r="H2914" i="2"/>
  <c r="A2914" i="2"/>
  <c r="I2913" i="2"/>
  <c r="H2913" i="2"/>
  <c r="A2913" i="2"/>
  <c r="I2912" i="2"/>
  <c r="H2912" i="2"/>
  <c r="A2912" i="2"/>
  <c r="I2911" i="2"/>
  <c r="H2911" i="2"/>
  <c r="A2911" i="2"/>
  <c r="I2910" i="2"/>
  <c r="H2910" i="2"/>
  <c r="A2910" i="2"/>
  <c r="I2909" i="2"/>
  <c r="H2909" i="2"/>
  <c r="A2909" i="2"/>
  <c r="I2908" i="2"/>
  <c r="H2908" i="2"/>
  <c r="A2908" i="2"/>
  <c r="I2907" i="2"/>
  <c r="H2907" i="2"/>
  <c r="A2907" i="2"/>
  <c r="I2906" i="2"/>
  <c r="H2906" i="2"/>
  <c r="A2906" i="2"/>
  <c r="I2905" i="2"/>
  <c r="H2905" i="2"/>
  <c r="A2905" i="2"/>
  <c r="I2904" i="2"/>
  <c r="H2904" i="2"/>
  <c r="A2904" i="2"/>
  <c r="I2903" i="2"/>
  <c r="H2903" i="2"/>
  <c r="A2903" i="2"/>
  <c r="I2902" i="2"/>
  <c r="H2902" i="2"/>
  <c r="A2902" i="2"/>
  <c r="I2901" i="2"/>
  <c r="H2901" i="2"/>
  <c r="A2901" i="2"/>
  <c r="I2900" i="2"/>
  <c r="H2900" i="2"/>
  <c r="A2900" i="2"/>
  <c r="I2899" i="2"/>
  <c r="H2899" i="2"/>
  <c r="A2899" i="2"/>
  <c r="I2898" i="2"/>
  <c r="H2898" i="2"/>
  <c r="A2898" i="2"/>
  <c r="I2897" i="2"/>
  <c r="H2897" i="2"/>
  <c r="A2897" i="2"/>
  <c r="I2896" i="2"/>
  <c r="H2896" i="2"/>
  <c r="A2896" i="2"/>
  <c r="I2895" i="2"/>
  <c r="H2895" i="2"/>
  <c r="A2895" i="2"/>
  <c r="I2894" i="2"/>
  <c r="H2894" i="2"/>
  <c r="A2894" i="2"/>
  <c r="I2893" i="2"/>
  <c r="H2893" i="2"/>
  <c r="A2893" i="2"/>
  <c r="I2892" i="2"/>
  <c r="H2892" i="2"/>
  <c r="A2892" i="2"/>
  <c r="I2891" i="2"/>
  <c r="H2891" i="2"/>
  <c r="A2891" i="2"/>
  <c r="I2890" i="2"/>
  <c r="H2890" i="2"/>
  <c r="A2890" i="2"/>
  <c r="I2889" i="2"/>
  <c r="H2889" i="2"/>
  <c r="A2889" i="2"/>
  <c r="I2888" i="2"/>
  <c r="H2888" i="2"/>
  <c r="A2888" i="2"/>
  <c r="I2887" i="2"/>
  <c r="H2887" i="2"/>
  <c r="A2887" i="2"/>
  <c r="I2886" i="2"/>
  <c r="H2886" i="2"/>
  <c r="A2886" i="2"/>
  <c r="I2885" i="2"/>
  <c r="H2885" i="2"/>
  <c r="A2885" i="2"/>
  <c r="I2884" i="2"/>
  <c r="H2884" i="2"/>
  <c r="A2884" i="2"/>
  <c r="I2883" i="2"/>
  <c r="H2883" i="2"/>
  <c r="A2883" i="2"/>
  <c r="I2882" i="2"/>
  <c r="H2882" i="2"/>
  <c r="A2882" i="2"/>
  <c r="I2881" i="2"/>
  <c r="H2881" i="2"/>
  <c r="A2881" i="2"/>
  <c r="I2880" i="2"/>
  <c r="H2880" i="2"/>
  <c r="A2880" i="2"/>
  <c r="I2879" i="2"/>
  <c r="H2879" i="2"/>
  <c r="A2879" i="2"/>
  <c r="I2878" i="2"/>
  <c r="H2878" i="2"/>
  <c r="A2878" i="2"/>
  <c r="I2877" i="2"/>
  <c r="H2877" i="2"/>
  <c r="A2877" i="2"/>
  <c r="I2876" i="2"/>
  <c r="H2876" i="2"/>
  <c r="A2876" i="2"/>
  <c r="I2875" i="2"/>
  <c r="H2875" i="2"/>
  <c r="A2875" i="2"/>
  <c r="I2874" i="2"/>
  <c r="H2874" i="2"/>
  <c r="A2874" i="2"/>
  <c r="I2873" i="2"/>
  <c r="H2873" i="2"/>
  <c r="A2873" i="2"/>
  <c r="I2872" i="2"/>
  <c r="H2872" i="2"/>
  <c r="A2872" i="2"/>
  <c r="I2871" i="2"/>
  <c r="H2871" i="2"/>
  <c r="A2871" i="2"/>
  <c r="I2870" i="2"/>
  <c r="H2870" i="2"/>
  <c r="A2870" i="2"/>
  <c r="I2869" i="2"/>
  <c r="H2869" i="2"/>
  <c r="A2869" i="2"/>
  <c r="I2868" i="2"/>
  <c r="H2868" i="2"/>
  <c r="A2868" i="2"/>
  <c r="I2867" i="2"/>
  <c r="H2867" i="2"/>
  <c r="A2867" i="2"/>
  <c r="I2866" i="2"/>
  <c r="H2866" i="2"/>
  <c r="A2866" i="2"/>
  <c r="I2865" i="2"/>
  <c r="H2865" i="2"/>
  <c r="A2865" i="2"/>
  <c r="I2864" i="2"/>
  <c r="H2864" i="2"/>
  <c r="A2864" i="2"/>
  <c r="I2863" i="2"/>
  <c r="H2863" i="2"/>
  <c r="A2863" i="2"/>
  <c r="I2862" i="2"/>
  <c r="H2862" i="2"/>
  <c r="A2862" i="2"/>
  <c r="I2861" i="2"/>
  <c r="H2861" i="2"/>
  <c r="A2861" i="2"/>
  <c r="I2860" i="2"/>
  <c r="H2860" i="2"/>
  <c r="A2860" i="2"/>
  <c r="I2859" i="2"/>
  <c r="H2859" i="2"/>
  <c r="A2859" i="2"/>
  <c r="I2858" i="2"/>
  <c r="H2858" i="2"/>
  <c r="A2858" i="2"/>
  <c r="I2857" i="2"/>
  <c r="H2857" i="2"/>
  <c r="A2857" i="2"/>
  <c r="I2856" i="2"/>
  <c r="H2856" i="2"/>
  <c r="A2856" i="2"/>
  <c r="I2855" i="2"/>
  <c r="H2855" i="2"/>
  <c r="A2855" i="2"/>
  <c r="I2854" i="2"/>
  <c r="H2854" i="2"/>
  <c r="A2854" i="2"/>
  <c r="I2853" i="2"/>
  <c r="H2853" i="2"/>
  <c r="A2853" i="2"/>
  <c r="I2852" i="2"/>
  <c r="H2852" i="2"/>
  <c r="A2852" i="2"/>
  <c r="I2851" i="2"/>
  <c r="H2851" i="2"/>
  <c r="A2851" i="2"/>
  <c r="I2850" i="2"/>
  <c r="H2850" i="2"/>
  <c r="A2850" i="2"/>
  <c r="I2849" i="2"/>
  <c r="H2849" i="2"/>
  <c r="A2849" i="2"/>
  <c r="I2848" i="2"/>
  <c r="H2848" i="2"/>
  <c r="A2848" i="2"/>
  <c r="I2847" i="2"/>
  <c r="H2847" i="2"/>
  <c r="A2847" i="2"/>
  <c r="I2846" i="2"/>
  <c r="H2846" i="2"/>
  <c r="A2846" i="2"/>
  <c r="I2845" i="2"/>
  <c r="H2845" i="2"/>
  <c r="A2845" i="2"/>
  <c r="I2844" i="2"/>
  <c r="H2844" i="2"/>
  <c r="A2844" i="2"/>
  <c r="I2843" i="2"/>
  <c r="H2843" i="2"/>
  <c r="A2843" i="2"/>
  <c r="I2842" i="2"/>
  <c r="H2842" i="2"/>
  <c r="A2842" i="2"/>
  <c r="I2841" i="2"/>
  <c r="H2841" i="2"/>
  <c r="A2841" i="2"/>
  <c r="I2840" i="2"/>
  <c r="H2840" i="2"/>
  <c r="A2840" i="2"/>
  <c r="I2839" i="2"/>
  <c r="H2839" i="2"/>
  <c r="A2839" i="2"/>
  <c r="I2838" i="2"/>
  <c r="H2838" i="2"/>
  <c r="A2838" i="2"/>
  <c r="I2837" i="2"/>
  <c r="H2837" i="2"/>
  <c r="A2837" i="2"/>
  <c r="I2836" i="2"/>
  <c r="H2836" i="2"/>
  <c r="A2836" i="2"/>
  <c r="I2835" i="2"/>
  <c r="H2835" i="2"/>
  <c r="A2835" i="2"/>
  <c r="I2834" i="2"/>
  <c r="H2834" i="2"/>
  <c r="A2834" i="2"/>
  <c r="I2833" i="2"/>
  <c r="H2833" i="2"/>
  <c r="A2833" i="2"/>
  <c r="I2832" i="2"/>
  <c r="H2832" i="2"/>
  <c r="A2832" i="2"/>
  <c r="I2831" i="2"/>
  <c r="H2831" i="2"/>
  <c r="A2831" i="2"/>
  <c r="I2830" i="2"/>
  <c r="H2830" i="2"/>
  <c r="A2830" i="2"/>
  <c r="I2829" i="2"/>
  <c r="H2829" i="2"/>
  <c r="A2829" i="2"/>
  <c r="I2828" i="2"/>
  <c r="H2828" i="2"/>
  <c r="A2828" i="2"/>
  <c r="I2827" i="2"/>
  <c r="H2827" i="2"/>
  <c r="A2827" i="2"/>
  <c r="I2826" i="2"/>
  <c r="H2826" i="2"/>
  <c r="A2826" i="2"/>
  <c r="I2825" i="2"/>
  <c r="H2825" i="2"/>
  <c r="A2825" i="2"/>
  <c r="I2824" i="2"/>
  <c r="H2824" i="2"/>
  <c r="A2824" i="2"/>
  <c r="I2823" i="2"/>
  <c r="H2823" i="2"/>
  <c r="A2823" i="2"/>
  <c r="I2822" i="2"/>
  <c r="H2822" i="2"/>
  <c r="A2822" i="2"/>
  <c r="I2821" i="2"/>
  <c r="H2821" i="2"/>
  <c r="A2821" i="2"/>
  <c r="I2820" i="2"/>
  <c r="H2820" i="2"/>
  <c r="A2820" i="2"/>
  <c r="I2819" i="2"/>
  <c r="H2819" i="2"/>
  <c r="A2819" i="2"/>
  <c r="I2818" i="2"/>
  <c r="H2818" i="2"/>
  <c r="A2818" i="2"/>
  <c r="I2817" i="2"/>
  <c r="H2817" i="2"/>
  <c r="A2817" i="2"/>
  <c r="I2816" i="2"/>
  <c r="H2816" i="2"/>
  <c r="A2816" i="2"/>
  <c r="I2815" i="2"/>
  <c r="H2815" i="2"/>
  <c r="A2815" i="2"/>
  <c r="I2814" i="2"/>
  <c r="H2814" i="2"/>
  <c r="A2814" i="2"/>
  <c r="I2813" i="2"/>
  <c r="H2813" i="2"/>
  <c r="A2813" i="2"/>
  <c r="I2812" i="2"/>
  <c r="H2812" i="2"/>
  <c r="A2812" i="2"/>
  <c r="I2811" i="2"/>
  <c r="H2811" i="2"/>
  <c r="A2811" i="2"/>
  <c r="I2810" i="2"/>
  <c r="H2810" i="2"/>
  <c r="A2810" i="2"/>
  <c r="I2809" i="2"/>
  <c r="H2809" i="2"/>
  <c r="A2809" i="2"/>
  <c r="I2808" i="2"/>
  <c r="H2808" i="2"/>
  <c r="A2808" i="2"/>
  <c r="I2807" i="2"/>
  <c r="H2807" i="2"/>
  <c r="A2807" i="2"/>
  <c r="I2806" i="2"/>
  <c r="H2806" i="2"/>
  <c r="A2806" i="2"/>
  <c r="I2805" i="2"/>
  <c r="H2805" i="2"/>
  <c r="A2805" i="2"/>
  <c r="I2804" i="2"/>
  <c r="H2804" i="2"/>
  <c r="A2804" i="2"/>
  <c r="I2803" i="2"/>
  <c r="H2803" i="2"/>
  <c r="A2803" i="2"/>
  <c r="I2802" i="2"/>
  <c r="H2802" i="2"/>
  <c r="A2802" i="2"/>
  <c r="I2801" i="2"/>
  <c r="H2801" i="2"/>
  <c r="A2801" i="2"/>
  <c r="I2800" i="2"/>
  <c r="H2800" i="2"/>
  <c r="A2800" i="2"/>
  <c r="I2799" i="2"/>
  <c r="H2799" i="2"/>
  <c r="A2799" i="2"/>
  <c r="I2798" i="2"/>
  <c r="H2798" i="2"/>
  <c r="A2798" i="2"/>
  <c r="I2797" i="2"/>
  <c r="H2797" i="2"/>
  <c r="A2797" i="2"/>
  <c r="I2796" i="2"/>
  <c r="H2796" i="2"/>
  <c r="A2796" i="2"/>
  <c r="I2795" i="2"/>
  <c r="H2795" i="2"/>
  <c r="A2795" i="2"/>
  <c r="I2794" i="2"/>
  <c r="H2794" i="2"/>
  <c r="A2794" i="2"/>
  <c r="I2793" i="2"/>
  <c r="H2793" i="2"/>
  <c r="A2793" i="2"/>
  <c r="I2792" i="2"/>
  <c r="H2792" i="2"/>
  <c r="A2792" i="2"/>
  <c r="I2791" i="2"/>
  <c r="H2791" i="2"/>
  <c r="A2791" i="2"/>
  <c r="I2790" i="2"/>
  <c r="H2790" i="2"/>
  <c r="A2790" i="2"/>
  <c r="I2789" i="2"/>
  <c r="H2789" i="2"/>
  <c r="A2789" i="2"/>
  <c r="I2788" i="2"/>
  <c r="H2788" i="2"/>
  <c r="A2788" i="2"/>
  <c r="I2787" i="2"/>
  <c r="H2787" i="2"/>
  <c r="A2787" i="2"/>
  <c r="I2786" i="2"/>
  <c r="H2786" i="2"/>
  <c r="A2786" i="2"/>
  <c r="I2785" i="2"/>
  <c r="H2785" i="2"/>
  <c r="A2785" i="2"/>
  <c r="I2784" i="2"/>
  <c r="H2784" i="2"/>
  <c r="A2784" i="2"/>
  <c r="I2783" i="2"/>
  <c r="H2783" i="2"/>
  <c r="A2783" i="2"/>
  <c r="I2782" i="2"/>
  <c r="H2782" i="2"/>
  <c r="A2782" i="2"/>
  <c r="I2781" i="2"/>
  <c r="H2781" i="2"/>
  <c r="A2781" i="2"/>
  <c r="I2780" i="2"/>
  <c r="H2780" i="2"/>
  <c r="A2780" i="2"/>
  <c r="I2779" i="2"/>
  <c r="H2779" i="2"/>
  <c r="A2779" i="2"/>
  <c r="I2778" i="2"/>
  <c r="H2778" i="2"/>
  <c r="A2778" i="2"/>
  <c r="I2777" i="2"/>
  <c r="H2777" i="2"/>
  <c r="A2777" i="2"/>
  <c r="I2776" i="2"/>
  <c r="H2776" i="2"/>
  <c r="A2776" i="2"/>
  <c r="I2775" i="2"/>
  <c r="H2775" i="2"/>
  <c r="A2775" i="2"/>
  <c r="I2774" i="2"/>
  <c r="H2774" i="2"/>
  <c r="A2774" i="2"/>
  <c r="I2773" i="2"/>
  <c r="H2773" i="2"/>
  <c r="A2773" i="2"/>
  <c r="I2772" i="2"/>
  <c r="H2772" i="2"/>
  <c r="A2772" i="2"/>
  <c r="I2771" i="2"/>
  <c r="H2771" i="2"/>
  <c r="A2771" i="2"/>
  <c r="I2770" i="2"/>
  <c r="H2770" i="2"/>
  <c r="A2770" i="2"/>
  <c r="I2769" i="2"/>
  <c r="H2769" i="2"/>
  <c r="A2769" i="2"/>
  <c r="I2768" i="2"/>
  <c r="H2768" i="2"/>
  <c r="A2768" i="2"/>
  <c r="I2767" i="2"/>
  <c r="H2767" i="2"/>
  <c r="A2767" i="2"/>
  <c r="I2766" i="2"/>
  <c r="H2766" i="2"/>
  <c r="A2766" i="2"/>
  <c r="I2765" i="2"/>
  <c r="H2765" i="2"/>
  <c r="A2765" i="2"/>
  <c r="I2764" i="2"/>
  <c r="H2764" i="2"/>
  <c r="A2764" i="2"/>
  <c r="I2763" i="2"/>
  <c r="H2763" i="2"/>
  <c r="A2763" i="2"/>
  <c r="I2762" i="2"/>
  <c r="H2762" i="2"/>
  <c r="A2762" i="2"/>
  <c r="I2761" i="2"/>
  <c r="H2761" i="2"/>
  <c r="A2761" i="2"/>
  <c r="I2760" i="2"/>
  <c r="H2760" i="2"/>
  <c r="A2760" i="2"/>
  <c r="I2759" i="2"/>
  <c r="H2759" i="2"/>
  <c r="A2759" i="2"/>
  <c r="I2758" i="2"/>
  <c r="H2758" i="2"/>
  <c r="A2758" i="2"/>
  <c r="I2757" i="2"/>
  <c r="H2757" i="2"/>
  <c r="A2757" i="2"/>
  <c r="I2756" i="2"/>
  <c r="H2756" i="2"/>
  <c r="A2756" i="2"/>
  <c r="I2755" i="2"/>
  <c r="H2755" i="2"/>
  <c r="A2755" i="2"/>
  <c r="I2754" i="2"/>
  <c r="H2754" i="2"/>
  <c r="A2754" i="2"/>
  <c r="I2753" i="2"/>
  <c r="H2753" i="2"/>
  <c r="A2753" i="2"/>
  <c r="I2752" i="2"/>
  <c r="H2752" i="2"/>
  <c r="A2752" i="2"/>
  <c r="I2751" i="2"/>
  <c r="H2751" i="2"/>
  <c r="A2751" i="2"/>
  <c r="I2750" i="2"/>
  <c r="H2750" i="2"/>
  <c r="A2750" i="2"/>
  <c r="I2749" i="2"/>
  <c r="H2749" i="2"/>
  <c r="A2749" i="2"/>
  <c r="I2748" i="2"/>
  <c r="H2748" i="2"/>
  <c r="A2748" i="2"/>
  <c r="I2747" i="2"/>
  <c r="H2747" i="2"/>
  <c r="A2747" i="2"/>
  <c r="I2746" i="2"/>
  <c r="H2746" i="2"/>
  <c r="A2746" i="2"/>
  <c r="I2745" i="2"/>
  <c r="H2745" i="2"/>
  <c r="A2745" i="2"/>
  <c r="I2744" i="2"/>
  <c r="H2744" i="2"/>
  <c r="A2744" i="2"/>
  <c r="I2743" i="2"/>
  <c r="H2743" i="2"/>
  <c r="A2743" i="2"/>
  <c r="I2742" i="2"/>
  <c r="H2742" i="2"/>
  <c r="A2742" i="2"/>
  <c r="I2741" i="2"/>
  <c r="H2741" i="2"/>
  <c r="A2741" i="2"/>
  <c r="I2740" i="2"/>
  <c r="H2740" i="2"/>
  <c r="A2740" i="2"/>
  <c r="I2739" i="2"/>
  <c r="H2739" i="2"/>
  <c r="A2739" i="2"/>
  <c r="I2738" i="2"/>
  <c r="H2738" i="2"/>
  <c r="A2738" i="2"/>
  <c r="I2737" i="2"/>
  <c r="H2737" i="2"/>
  <c r="A2737" i="2"/>
  <c r="I2736" i="2"/>
  <c r="H2736" i="2"/>
  <c r="A2736" i="2"/>
  <c r="I2735" i="2"/>
  <c r="H2735" i="2"/>
  <c r="A2735" i="2"/>
  <c r="I2734" i="2"/>
  <c r="H2734" i="2"/>
  <c r="A2734" i="2"/>
  <c r="I2733" i="2"/>
  <c r="H2733" i="2"/>
  <c r="A2733" i="2"/>
  <c r="I2732" i="2"/>
  <c r="H2732" i="2"/>
  <c r="A2732" i="2"/>
  <c r="I2731" i="2"/>
  <c r="H2731" i="2"/>
  <c r="A2731" i="2"/>
  <c r="I2730" i="2"/>
  <c r="H2730" i="2"/>
  <c r="A2730" i="2"/>
  <c r="I2729" i="2"/>
  <c r="H2729" i="2"/>
  <c r="A2729" i="2"/>
  <c r="I2728" i="2"/>
  <c r="H2728" i="2"/>
  <c r="A2728" i="2"/>
  <c r="I2727" i="2"/>
  <c r="H2727" i="2"/>
  <c r="A2727" i="2"/>
  <c r="I2726" i="2"/>
  <c r="H2726" i="2"/>
  <c r="A2726" i="2"/>
  <c r="I2725" i="2"/>
  <c r="H2725" i="2"/>
  <c r="A2725" i="2"/>
  <c r="I2724" i="2"/>
  <c r="H2724" i="2"/>
  <c r="A2724" i="2"/>
  <c r="I2723" i="2"/>
  <c r="H2723" i="2"/>
  <c r="A2723" i="2"/>
  <c r="I2722" i="2"/>
  <c r="H2722" i="2"/>
  <c r="A2722" i="2"/>
  <c r="I2721" i="2"/>
  <c r="H2721" i="2"/>
  <c r="A2721" i="2"/>
  <c r="I2720" i="2"/>
  <c r="H2720" i="2"/>
  <c r="A2720" i="2"/>
  <c r="I2719" i="2"/>
  <c r="H2719" i="2"/>
  <c r="A2719" i="2"/>
  <c r="I2718" i="2"/>
  <c r="H2718" i="2"/>
  <c r="A2718" i="2"/>
  <c r="I2717" i="2"/>
  <c r="H2717" i="2"/>
  <c r="A2717" i="2"/>
  <c r="I2716" i="2"/>
  <c r="H2716" i="2"/>
  <c r="A2716" i="2"/>
  <c r="I2715" i="2"/>
  <c r="H2715" i="2"/>
  <c r="A2715" i="2"/>
  <c r="I2714" i="2"/>
  <c r="H2714" i="2"/>
  <c r="A2714" i="2"/>
  <c r="I2713" i="2"/>
  <c r="H2713" i="2"/>
  <c r="A2713" i="2"/>
  <c r="I2712" i="2"/>
  <c r="H2712" i="2"/>
  <c r="A2712" i="2"/>
  <c r="I2711" i="2"/>
  <c r="H2711" i="2"/>
  <c r="A2711" i="2"/>
  <c r="I2710" i="2"/>
  <c r="H2710" i="2"/>
  <c r="A2710" i="2"/>
  <c r="I2709" i="2"/>
  <c r="H2709" i="2"/>
  <c r="A2709" i="2"/>
  <c r="I2708" i="2"/>
  <c r="H2708" i="2"/>
  <c r="A2708" i="2"/>
  <c r="I2707" i="2"/>
  <c r="H2707" i="2"/>
  <c r="A2707" i="2"/>
  <c r="I2706" i="2"/>
  <c r="H2706" i="2"/>
  <c r="A2706" i="2"/>
  <c r="I2705" i="2"/>
  <c r="H2705" i="2"/>
  <c r="A2705" i="2"/>
  <c r="I2704" i="2"/>
  <c r="H2704" i="2"/>
  <c r="A2704" i="2"/>
  <c r="I2703" i="2"/>
  <c r="H2703" i="2"/>
  <c r="A2703" i="2"/>
  <c r="I2702" i="2"/>
  <c r="H2702" i="2"/>
  <c r="A2702" i="2"/>
  <c r="I2701" i="2"/>
  <c r="H2701" i="2"/>
  <c r="A2701" i="2"/>
  <c r="I2700" i="2"/>
  <c r="H2700" i="2"/>
  <c r="A2700" i="2"/>
  <c r="I2699" i="2"/>
  <c r="H2699" i="2"/>
  <c r="A2699" i="2"/>
  <c r="I2698" i="2"/>
  <c r="H2698" i="2"/>
  <c r="A2698" i="2"/>
  <c r="I2697" i="2"/>
  <c r="H2697" i="2"/>
  <c r="A2697" i="2"/>
  <c r="I2696" i="2"/>
  <c r="H2696" i="2"/>
  <c r="A2696" i="2"/>
  <c r="I2695" i="2"/>
  <c r="H2695" i="2"/>
  <c r="A2695" i="2"/>
  <c r="I2694" i="2"/>
  <c r="H2694" i="2"/>
  <c r="A2694" i="2"/>
  <c r="I2693" i="2"/>
  <c r="H2693" i="2"/>
  <c r="A2693" i="2"/>
  <c r="I2692" i="2"/>
  <c r="H2692" i="2"/>
  <c r="A2692" i="2"/>
  <c r="I2691" i="2"/>
  <c r="H2691" i="2"/>
  <c r="A2691" i="2"/>
  <c r="I2690" i="2"/>
  <c r="H2690" i="2"/>
  <c r="A2690" i="2"/>
  <c r="I2689" i="2"/>
  <c r="H2689" i="2"/>
  <c r="A2689" i="2"/>
  <c r="I2688" i="2"/>
  <c r="H2688" i="2"/>
  <c r="A2688" i="2"/>
  <c r="I2687" i="2"/>
  <c r="H2687" i="2"/>
  <c r="A2687" i="2"/>
  <c r="I2686" i="2"/>
  <c r="H2686" i="2"/>
  <c r="A2686" i="2"/>
  <c r="I2685" i="2"/>
  <c r="H2685" i="2"/>
  <c r="A2685" i="2"/>
  <c r="I2684" i="2"/>
  <c r="H2684" i="2"/>
  <c r="A2684" i="2"/>
  <c r="I2683" i="2"/>
  <c r="H2683" i="2"/>
  <c r="A2683" i="2"/>
  <c r="I2682" i="2"/>
  <c r="H2682" i="2"/>
  <c r="A2682" i="2"/>
  <c r="I2681" i="2"/>
  <c r="H2681" i="2"/>
  <c r="A2681" i="2"/>
  <c r="I2680" i="2"/>
  <c r="H2680" i="2"/>
  <c r="A2680" i="2"/>
  <c r="I2679" i="2"/>
  <c r="H2679" i="2"/>
  <c r="A2679" i="2"/>
  <c r="I2678" i="2"/>
  <c r="H2678" i="2"/>
  <c r="A2678" i="2"/>
  <c r="I2677" i="2"/>
  <c r="H2677" i="2"/>
  <c r="A2677" i="2"/>
  <c r="I2676" i="2"/>
  <c r="H2676" i="2"/>
  <c r="A2676" i="2"/>
  <c r="I2675" i="2"/>
  <c r="H2675" i="2"/>
  <c r="A2675" i="2"/>
  <c r="I2674" i="2"/>
  <c r="H2674" i="2"/>
  <c r="A2674" i="2"/>
  <c r="I2673" i="2"/>
  <c r="H2673" i="2"/>
  <c r="A2673" i="2"/>
  <c r="I2672" i="2"/>
  <c r="H2672" i="2"/>
  <c r="A2672" i="2"/>
  <c r="I2671" i="2"/>
  <c r="H2671" i="2"/>
  <c r="A2671" i="2"/>
  <c r="I2670" i="2"/>
  <c r="H2670" i="2"/>
  <c r="A2670" i="2"/>
  <c r="I2669" i="2"/>
  <c r="H2669" i="2"/>
  <c r="A2669" i="2"/>
  <c r="I2668" i="2"/>
  <c r="H2668" i="2"/>
  <c r="A2668" i="2"/>
  <c r="I2667" i="2"/>
  <c r="H2667" i="2"/>
  <c r="A2667" i="2"/>
  <c r="I2666" i="2"/>
  <c r="H2666" i="2"/>
  <c r="A2666" i="2"/>
  <c r="I2665" i="2"/>
  <c r="H2665" i="2"/>
  <c r="A2665" i="2"/>
  <c r="I2664" i="2"/>
  <c r="H2664" i="2"/>
  <c r="A2664" i="2"/>
  <c r="I2663" i="2"/>
  <c r="H2663" i="2"/>
  <c r="A2663" i="2"/>
  <c r="I2662" i="2"/>
  <c r="H2662" i="2"/>
  <c r="A2662" i="2"/>
  <c r="I2661" i="2"/>
  <c r="H2661" i="2"/>
  <c r="A2661" i="2"/>
  <c r="I2660" i="2"/>
  <c r="H2660" i="2"/>
  <c r="A2660" i="2"/>
  <c r="I2659" i="2"/>
  <c r="H2659" i="2"/>
  <c r="A2659" i="2"/>
  <c r="I2658" i="2"/>
  <c r="H2658" i="2"/>
  <c r="A2658" i="2"/>
  <c r="I2657" i="2"/>
  <c r="H2657" i="2"/>
  <c r="A2657" i="2"/>
  <c r="I2656" i="2"/>
  <c r="H2656" i="2"/>
  <c r="A2656" i="2"/>
  <c r="I2655" i="2"/>
  <c r="H2655" i="2"/>
  <c r="A2655" i="2"/>
  <c r="I2654" i="2"/>
  <c r="H2654" i="2"/>
  <c r="A2654" i="2"/>
  <c r="I2653" i="2"/>
  <c r="H2653" i="2"/>
  <c r="A2653" i="2"/>
  <c r="I2652" i="2"/>
  <c r="H2652" i="2"/>
  <c r="A2652" i="2"/>
  <c r="I2651" i="2"/>
  <c r="H2651" i="2"/>
  <c r="A2651" i="2"/>
  <c r="I2650" i="2"/>
  <c r="H2650" i="2"/>
  <c r="A2650" i="2"/>
  <c r="I2649" i="2"/>
  <c r="H2649" i="2"/>
  <c r="A2649" i="2"/>
  <c r="I2648" i="2"/>
  <c r="H2648" i="2"/>
  <c r="A2648" i="2"/>
  <c r="I2647" i="2"/>
  <c r="H2647" i="2"/>
  <c r="A2647" i="2"/>
  <c r="I2646" i="2"/>
  <c r="H2646" i="2"/>
  <c r="A2646" i="2"/>
  <c r="I2645" i="2"/>
  <c r="H2645" i="2"/>
  <c r="A2645" i="2"/>
  <c r="I2644" i="2"/>
  <c r="H2644" i="2"/>
  <c r="A2644" i="2"/>
  <c r="I2643" i="2"/>
  <c r="H2643" i="2"/>
  <c r="A2643" i="2"/>
  <c r="I2642" i="2"/>
  <c r="H2642" i="2"/>
  <c r="A2642" i="2"/>
  <c r="I2641" i="2"/>
  <c r="H2641" i="2"/>
  <c r="A2641" i="2"/>
  <c r="I2640" i="2"/>
  <c r="H2640" i="2"/>
  <c r="A2640" i="2"/>
  <c r="I2639" i="2"/>
  <c r="H2639" i="2"/>
  <c r="A2639" i="2"/>
  <c r="I2638" i="2"/>
  <c r="H2638" i="2"/>
  <c r="A2638" i="2"/>
  <c r="I2637" i="2"/>
  <c r="H2637" i="2"/>
  <c r="A2637" i="2"/>
  <c r="I2636" i="2"/>
  <c r="H2636" i="2"/>
  <c r="A2636" i="2"/>
  <c r="I2635" i="2"/>
  <c r="H2635" i="2"/>
  <c r="A2635" i="2"/>
  <c r="I2634" i="2"/>
  <c r="H2634" i="2"/>
  <c r="A2634" i="2"/>
  <c r="I2633" i="2"/>
  <c r="H2633" i="2"/>
  <c r="A2633" i="2"/>
  <c r="I2632" i="2"/>
  <c r="H2632" i="2"/>
  <c r="A2632" i="2"/>
  <c r="I2631" i="2"/>
  <c r="H2631" i="2"/>
  <c r="A2631" i="2"/>
  <c r="I2630" i="2"/>
  <c r="H2630" i="2"/>
  <c r="A2630" i="2"/>
  <c r="I2629" i="2"/>
  <c r="H2629" i="2"/>
  <c r="A2629" i="2"/>
  <c r="I2628" i="2"/>
  <c r="H2628" i="2"/>
  <c r="A2628" i="2"/>
  <c r="I2627" i="2"/>
  <c r="H2627" i="2"/>
  <c r="A2627" i="2"/>
  <c r="I2626" i="2"/>
  <c r="H2626" i="2"/>
  <c r="A2626" i="2"/>
  <c r="I2625" i="2"/>
  <c r="H2625" i="2"/>
  <c r="A2625" i="2"/>
  <c r="I2624" i="2"/>
  <c r="H2624" i="2"/>
  <c r="A2624" i="2"/>
  <c r="I2623" i="2"/>
  <c r="H2623" i="2"/>
  <c r="A2623" i="2"/>
  <c r="I2622" i="2"/>
  <c r="H2622" i="2"/>
  <c r="A2622" i="2"/>
  <c r="I2621" i="2"/>
  <c r="H2621" i="2"/>
  <c r="A2621" i="2"/>
  <c r="I2620" i="2"/>
  <c r="H2620" i="2"/>
  <c r="A2620" i="2"/>
  <c r="I2619" i="2"/>
  <c r="H2619" i="2"/>
  <c r="A2619" i="2"/>
  <c r="I2618" i="2"/>
  <c r="H2618" i="2"/>
  <c r="A2618" i="2"/>
  <c r="I2617" i="2"/>
  <c r="H2617" i="2"/>
  <c r="A2617" i="2"/>
  <c r="I2616" i="2"/>
  <c r="H2616" i="2"/>
  <c r="A2616" i="2"/>
  <c r="I2615" i="2"/>
  <c r="H2615" i="2"/>
  <c r="A2615" i="2"/>
  <c r="I2614" i="2"/>
  <c r="H2614" i="2"/>
  <c r="A2614" i="2"/>
  <c r="I2613" i="2"/>
  <c r="H2613" i="2"/>
  <c r="A2613" i="2"/>
  <c r="I2612" i="2"/>
  <c r="H2612" i="2"/>
  <c r="A2612" i="2"/>
  <c r="I2611" i="2"/>
  <c r="H2611" i="2"/>
  <c r="A2611" i="2"/>
  <c r="I2610" i="2"/>
  <c r="H2610" i="2"/>
  <c r="A2610" i="2"/>
  <c r="I2609" i="2"/>
  <c r="H2609" i="2"/>
  <c r="A2609" i="2"/>
  <c r="I2608" i="2"/>
  <c r="H2608" i="2"/>
  <c r="A2608" i="2"/>
  <c r="I2607" i="2"/>
  <c r="H2607" i="2"/>
  <c r="A2607" i="2"/>
  <c r="I2606" i="2"/>
  <c r="H2606" i="2"/>
  <c r="A2606" i="2"/>
  <c r="I2605" i="2"/>
  <c r="H2605" i="2"/>
  <c r="A2605" i="2"/>
  <c r="I2604" i="2"/>
  <c r="H2604" i="2"/>
  <c r="A2604" i="2"/>
  <c r="I2603" i="2"/>
  <c r="H2603" i="2"/>
  <c r="A2603" i="2"/>
  <c r="I2602" i="2"/>
  <c r="H2602" i="2"/>
  <c r="A2602" i="2"/>
  <c r="I2601" i="2"/>
  <c r="H2601" i="2"/>
  <c r="A2601" i="2"/>
  <c r="I2600" i="2"/>
  <c r="H2600" i="2"/>
  <c r="A2600" i="2"/>
  <c r="I2599" i="2"/>
  <c r="H2599" i="2"/>
  <c r="A2599" i="2"/>
  <c r="I2598" i="2"/>
  <c r="H2598" i="2"/>
  <c r="A2598" i="2"/>
  <c r="I2597" i="2"/>
  <c r="H2597" i="2"/>
  <c r="A2597" i="2"/>
  <c r="I2596" i="2"/>
  <c r="H2596" i="2"/>
  <c r="A2596" i="2"/>
  <c r="I2595" i="2"/>
  <c r="H2595" i="2"/>
  <c r="A2595" i="2"/>
  <c r="I2594" i="2"/>
  <c r="H2594" i="2"/>
  <c r="A2594" i="2"/>
  <c r="I2593" i="2"/>
  <c r="H2593" i="2"/>
  <c r="A2593" i="2"/>
  <c r="I2592" i="2"/>
  <c r="H2592" i="2"/>
  <c r="A2592" i="2"/>
  <c r="I2591" i="2"/>
  <c r="H2591" i="2"/>
  <c r="A2591" i="2"/>
  <c r="I2590" i="2"/>
  <c r="H2590" i="2"/>
  <c r="A2590" i="2"/>
  <c r="I2589" i="2"/>
  <c r="H2589" i="2"/>
  <c r="A2589" i="2"/>
  <c r="I2588" i="2"/>
  <c r="H2588" i="2"/>
  <c r="A2588" i="2"/>
  <c r="I2587" i="2"/>
  <c r="H2587" i="2"/>
  <c r="A2587" i="2"/>
  <c r="I2586" i="2"/>
  <c r="H2586" i="2"/>
  <c r="A2586" i="2"/>
  <c r="I2585" i="2"/>
  <c r="H2585" i="2"/>
  <c r="A2585" i="2"/>
  <c r="I2584" i="2"/>
  <c r="H2584" i="2"/>
  <c r="A2584" i="2"/>
  <c r="I2583" i="2"/>
  <c r="H2583" i="2"/>
  <c r="A2583" i="2"/>
  <c r="I2582" i="2"/>
  <c r="H2582" i="2"/>
  <c r="A2582" i="2"/>
  <c r="I2581" i="2"/>
  <c r="H2581" i="2"/>
  <c r="A2581" i="2"/>
  <c r="I2580" i="2"/>
  <c r="H2580" i="2"/>
  <c r="A2580" i="2"/>
  <c r="I2579" i="2"/>
  <c r="H2579" i="2"/>
  <c r="A2579" i="2"/>
  <c r="I2578" i="2"/>
  <c r="H2578" i="2"/>
  <c r="A2578" i="2"/>
  <c r="I2577" i="2"/>
  <c r="H2577" i="2"/>
  <c r="A2577" i="2"/>
  <c r="I2576" i="2"/>
  <c r="H2576" i="2"/>
  <c r="A2576" i="2"/>
  <c r="I2575" i="2"/>
  <c r="H2575" i="2"/>
  <c r="A2575" i="2"/>
  <c r="I2574" i="2"/>
  <c r="H2574" i="2"/>
  <c r="A2574" i="2"/>
  <c r="I2573" i="2"/>
  <c r="H2573" i="2"/>
  <c r="A2573" i="2"/>
  <c r="I2572" i="2"/>
  <c r="H2572" i="2"/>
  <c r="A2572" i="2"/>
  <c r="I2571" i="2"/>
  <c r="H2571" i="2"/>
  <c r="A2571" i="2"/>
  <c r="I2570" i="2"/>
  <c r="H2570" i="2"/>
  <c r="A2570" i="2"/>
  <c r="I2569" i="2"/>
  <c r="H2569" i="2"/>
  <c r="A2569" i="2"/>
  <c r="I2568" i="2"/>
  <c r="H2568" i="2"/>
  <c r="A2568" i="2"/>
  <c r="I2567" i="2"/>
  <c r="H2567" i="2"/>
  <c r="A2567" i="2"/>
  <c r="I2566" i="2"/>
  <c r="H2566" i="2"/>
  <c r="A2566" i="2"/>
  <c r="I2565" i="2"/>
  <c r="H2565" i="2"/>
  <c r="A2565" i="2"/>
  <c r="I2564" i="2"/>
  <c r="H2564" i="2"/>
  <c r="A2564" i="2"/>
  <c r="I2563" i="2"/>
  <c r="H2563" i="2"/>
  <c r="A2563" i="2"/>
  <c r="I2562" i="2"/>
  <c r="H2562" i="2"/>
  <c r="A2562" i="2"/>
  <c r="I2561" i="2"/>
  <c r="H2561" i="2"/>
  <c r="A2561" i="2"/>
  <c r="I2560" i="2"/>
  <c r="H2560" i="2"/>
  <c r="A2560" i="2"/>
  <c r="I2559" i="2"/>
  <c r="H2559" i="2"/>
  <c r="A2559" i="2"/>
  <c r="I2558" i="2"/>
  <c r="H2558" i="2"/>
  <c r="A2558" i="2"/>
  <c r="I2557" i="2"/>
  <c r="H2557" i="2"/>
  <c r="A2557" i="2"/>
  <c r="I2556" i="2"/>
  <c r="H2556" i="2"/>
  <c r="A2556" i="2"/>
  <c r="I2555" i="2"/>
  <c r="H2555" i="2"/>
  <c r="A2555" i="2"/>
  <c r="I2554" i="2"/>
  <c r="H2554" i="2"/>
  <c r="A2554" i="2"/>
  <c r="I2553" i="2"/>
  <c r="H2553" i="2"/>
  <c r="A2553" i="2"/>
  <c r="I2552" i="2"/>
  <c r="H2552" i="2"/>
  <c r="A2552" i="2"/>
  <c r="I2551" i="2"/>
  <c r="H2551" i="2"/>
  <c r="A2551" i="2"/>
  <c r="I2550" i="2"/>
  <c r="H2550" i="2"/>
  <c r="A2550" i="2"/>
  <c r="I2549" i="2"/>
  <c r="H2549" i="2"/>
  <c r="A2549" i="2"/>
  <c r="I2548" i="2"/>
  <c r="H2548" i="2"/>
  <c r="A2548" i="2"/>
  <c r="I2547" i="2"/>
  <c r="H2547" i="2"/>
  <c r="A2547" i="2"/>
  <c r="I2546" i="2"/>
  <c r="H2546" i="2"/>
  <c r="A2546" i="2"/>
  <c r="I2545" i="2"/>
  <c r="H2545" i="2"/>
  <c r="A2545" i="2"/>
  <c r="I2544" i="2"/>
  <c r="H2544" i="2"/>
  <c r="A2544" i="2"/>
  <c r="I2543" i="2"/>
  <c r="H2543" i="2"/>
  <c r="A2543" i="2"/>
  <c r="I2542" i="2"/>
  <c r="H2542" i="2"/>
  <c r="A2542" i="2"/>
  <c r="I2541" i="2"/>
  <c r="H2541" i="2"/>
  <c r="A2541" i="2"/>
  <c r="I2540" i="2"/>
  <c r="H2540" i="2"/>
  <c r="A2540" i="2"/>
  <c r="I2539" i="2"/>
  <c r="H2539" i="2"/>
  <c r="A2539" i="2"/>
  <c r="I2538" i="2"/>
  <c r="H2538" i="2"/>
  <c r="A2538" i="2"/>
  <c r="I2537" i="2"/>
  <c r="H2537" i="2"/>
  <c r="A2537" i="2"/>
  <c r="I2536" i="2"/>
  <c r="H2536" i="2"/>
  <c r="A2536" i="2"/>
  <c r="I2535" i="2"/>
  <c r="H2535" i="2"/>
  <c r="A2535" i="2"/>
  <c r="I2534" i="2"/>
  <c r="H2534" i="2"/>
  <c r="A2534" i="2"/>
  <c r="I2533" i="2"/>
  <c r="H2533" i="2"/>
  <c r="A2533" i="2"/>
  <c r="I2532" i="2"/>
  <c r="H2532" i="2"/>
  <c r="A2532" i="2"/>
  <c r="I2531" i="2"/>
  <c r="H2531" i="2"/>
  <c r="A2531" i="2"/>
  <c r="I2530" i="2"/>
  <c r="H2530" i="2"/>
  <c r="A2530" i="2"/>
  <c r="I2529" i="2"/>
  <c r="H2529" i="2"/>
  <c r="A2529" i="2"/>
  <c r="I2528" i="2"/>
  <c r="H2528" i="2"/>
  <c r="A2528" i="2"/>
  <c r="I2527" i="2"/>
  <c r="H2527" i="2"/>
  <c r="A2527" i="2"/>
  <c r="I2526" i="2"/>
  <c r="H2526" i="2"/>
  <c r="A2526" i="2"/>
  <c r="I2525" i="2"/>
  <c r="H2525" i="2"/>
  <c r="A2525" i="2"/>
  <c r="I2524" i="2"/>
  <c r="H2524" i="2"/>
  <c r="A2524" i="2"/>
  <c r="I2523" i="2"/>
  <c r="H2523" i="2"/>
  <c r="A2523" i="2"/>
  <c r="I2522" i="2"/>
  <c r="H2522" i="2"/>
  <c r="A2522" i="2"/>
  <c r="I2521" i="2"/>
  <c r="H2521" i="2"/>
  <c r="A2521" i="2"/>
  <c r="I2520" i="2"/>
  <c r="H2520" i="2"/>
  <c r="A2520" i="2"/>
  <c r="I2519" i="2"/>
  <c r="H2519" i="2"/>
  <c r="A2519" i="2"/>
  <c r="I2518" i="2"/>
  <c r="H2518" i="2"/>
  <c r="A2518" i="2"/>
  <c r="I2517" i="2"/>
  <c r="H2517" i="2"/>
  <c r="A2517" i="2"/>
  <c r="I2516" i="2"/>
  <c r="H2516" i="2"/>
  <c r="A2516" i="2"/>
  <c r="I2515" i="2"/>
  <c r="H2515" i="2"/>
  <c r="A2515" i="2"/>
  <c r="I2514" i="2"/>
  <c r="H2514" i="2"/>
  <c r="A2514" i="2"/>
  <c r="I2513" i="2"/>
  <c r="H2513" i="2"/>
  <c r="A2513" i="2"/>
  <c r="I2512" i="2"/>
  <c r="H2512" i="2"/>
  <c r="A2512" i="2"/>
  <c r="I2511" i="2"/>
  <c r="H2511" i="2"/>
  <c r="A2511" i="2"/>
  <c r="I2510" i="2"/>
  <c r="H2510" i="2"/>
  <c r="A2510" i="2"/>
  <c r="I2509" i="2"/>
  <c r="H2509" i="2"/>
  <c r="A2509" i="2"/>
  <c r="I2508" i="2"/>
  <c r="H2508" i="2"/>
  <c r="A2508" i="2"/>
  <c r="I2507" i="2"/>
  <c r="H2507" i="2"/>
  <c r="A2507" i="2"/>
  <c r="I2506" i="2"/>
  <c r="H2506" i="2"/>
  <c r="A2506" i="2"/>
  <c r="I2505" i="2"/>
  <c r="H2505" i="2"/>
  <c r="A2505" i="2"/>
  <c r="I2504" i="2"/>
  <c r="H2504" i="2"/>
  <c r="A2504" i="2"/>
  <c r="I2503" i="2"/>
  <c r="H2503" i="2"/>
  <c r="A2503" i="2"/>
  <c r="I2502" i="2"/>
  <c r="H2502" i="2"/>
  <c r="A2502" i="2"/>
  <c r="I2501" i="2"/>
  <c r="H2501" i="2"/>
  <c r="A2501" i="2"/>
  <c r="I2500" i="2"/>
  <c r="H2500" i="2"/>
  <c r="A2500" i="2"/>
  <c r="I2499" i="2"/>
  <c r="H2499" i="2"/>
  <c r="A2499" i="2"/>
  <c r="I2498" i="2"/>
  <c r="H2498" i="2"/>
  <c r="A2498" i="2"/>
  <c r="I2497" i="2"/>
  <c r="H2497" i="2"/>
  <c r="A2497" i="2"/>
  <c r="I2496" i="2"/>
  <c r="H2496" i="2"/>
  <c r="A2496" i="2"/>
  <c r="I2495" i="2"/>
  <c r="H2495" i="2"/>
  <c r="A2495" i="2"/>
  <c r="I2494" i="2"/>
  <c r="H2494" i="2"/>
  <c r="A2494" i="2"/>
  <c r="I2493" i="2"/>
  <c r="H2493" i="2"/>
  <c r="A2493" i="2"/>
  <c r="I2492" i="2"/>
  <c r="H2492" i="2"/>
  <c r="A2492" i="2"/>
  <c r="I2491" i="2"/>
  <c r="H2491" i="2"/>
  <c r="A2491" i="2"/>
  <c r="I2490" i="2"/>
  <c r="H2490" i="2"/>
  <c r="A2490" i="2"/>
  <c r="I2489" i="2"/>
  <c r="H2489" i="2"/>
  <c r="A2489" i="2"/>
  <c r="I2488" i="2"/>
  <c r="H2488" i="2"/>
  <c r="A2488" i="2"/>
  <c r="I2487" i="2"/>
  <c r="H2487" i="2"/>
  <c r="A2487" i="2"/>
  <c r="I2486" i="2"/>
  <c r="H2486" i="2"/>
  <c r="A2486" i="2"/>
  <c r="I2485" i="2"/>
  <c r="H2485" i="2"/>
  <c r="A2485" i="2"/>
  <c r="I2484" i="2"/>
  <c r="H2484" i="2"/>
  <c r="A2484" i="2"/>
  <c r="I2483" i="2"/>
  <c r="H2483" i="2"/>
  <c r="A2483" i="2"/>
  <c r="I2482" i="2"/>
  <c r="H2482" i="2"/>
  <c r="A2482" i="2"/>
  <c r="I2481" i="2"/>
  <c r="H2481" i="2"/>
  <c r="A2481" i="2"/>
  <c r="I2480" i="2"/>
  <c r="H2480" i="2"/>
  <c r="A2480" i="2"/>
  <c r="I2479" i="2"/>
  <c r="H2479" i="2"/>
  <c r="A2479" i="2"/>
  <c r="I2478" i="2"/>
  <c r="H2478" i="2"/>
  <c r="A2478" i="2"/>
  <c r="I2477" i="2"/>
  <c r="H2477" i="2"/>
  <c r="A2477" i="2"/>
  <c r="I2476" i="2"/>
  <c r="H2476" i="2"/>
  <c r="A2476" i="2"/>
  <c r="I2475" i="2"/>
  <c r="H2475" i="2"/>
  <c r="A2475" i="2"/>
  <c r="I2474" i="2"/>
  <c r="H2474" i="2"/>
  <c r="A2474" i="2"/>
  <c r="I2473" i="2"/>
  <c r="H2473" i="2"/>
  <c r="A2473" i="2"/>
  <c r="I2472" i="2"/>
  <c r="H2472" i="2"/>
  <c r="A2472" i="2"/>
  <c r="I2471" i="2"/>
  <c r="H2471" i="2"/>
  <c r="A2471" i="2"/>
  <c r="I2470" i="2"/>
  <c r="H2470" i="2"/>
  <c r="A2470" i="2"/>
  <c r="I2469" i="2"/>
  <c r="H2469" i="2"/>
  <c r="A2469" i="2"/>
  <c r="I2468" i="2"/>
  <c r="H2468" i="2"/>
  <c r="A2468" i="2"/>
  <c r="I2467" i="2"/>
  <c r="H2467" i="2"/>
  <c r="A2467" i="2"/>
  <c r="I2466" i="2"/>
  <c r="H2466" i="2"/>
  <c r="A2466" i="2"/>
  <c r="I2465" i="2"/>
  <c r="H2465" i="2"/>
  <c r="A2465" i="2"/>
  <c r="I2464" i="2"/>
  <c r="H2464" i="2"/>
  <c r="A2464" i="2"/>
  <c r="I2463" i="2"/>
  <c r="H2463" i="2"/>
  <c r="A2463" i="2"/>
  <c r="I2462" i="2"/>
  <c r="H2462" i="2"/>
  <c r="A2462" i="2"/>
  <c r="I2461" i="2"/>
  <c r="H2461" i="2"/>
  <c r="A2461" i="2"/>
  <c r="I2460" i="2"/>
  <c r="H2460" i="2"/>
  <c r="A2460" i="2"/>
  <c r="I2459" i="2"/>
  <c r="H2459" i="2"/>
  <c r="A2459" i="2"/>
  <c r="I2458" i="2"/>
  <c r="H2458" i="2"/>
  <c r="A2458" i="2"/>
  <c r="I2457" i="2"/>
  <c r="H2457" i="2"/>
  <c r="A2457" i="2"/>
  <c r="I2456" i="2"/>
  <c r="H2456" i="2"/>
  <c r="A2456" i="2"/>
  <c r="I2455" i="2"/>
  <c r="H2455" i="2"/>
  <c r="A2455" i="2"/>
  <c r="I2454" i="2"/>
  <c r="H2454" i="2"/>
  <c r="A2454" i="2"/>
  <c r="I2453" i="2"/>
  <c r="H2453" i="2"/>
  <c r="A2453" i="2"/>
  <c r="I2452" i="2"/>
  <c r="H2452" i="2"/>
  <c r="A2452" i="2"/>
  <c r="I2451" i="2"/>
  <c r="H2451" i="2"/>
  <c r="A2451" i="2"/>
  <c r="I2450" i="2"/>
  <c r="H2450" i="2"/>
  <c r="A2450" i="2"/>
  <c r="I2449" i="2"/>
  <c r="H2449" i="2"/>
  <c r="A2449" i="2"/>
  <c r="I2448" i="2"/>
  <c r="H2448" i="2"/>
  <c r="A2448" i="2"/>
  <c r="I2447" i="2"/>
  <c r="H2447" i="2"/>
  <c r="A2447" i="2"/>
  <c r="I2446" i="2"/>
  <c r="H2446" i="2"/>
  <c r="A2446" i="2"/>
  <c r="I2445" i="2"/>
  <c r="H2445" i="2"/>
  <c r="A2445" i="2"/>
  <c r="I2444" i="2"/>
  <c r="H2444" i="2"/>
  <c r="A2444" i="2"/>
  <c r="I2443" i="2"/>
  <c r="H2443" i="2"/>
  <c r="A2443" i="2"/>
  <c r="I2442" i="2"/>
  <c r="H2442" i="2"/>
  <c r="A2442" i="2"/>
  <c r="I2441" i="2"/>
  <c r="H2441" i="2"/>
  <c r="A2441" i="2"/>
  <c r="I2440" i="2"/>
  <c r="H2440" i="2"/>
  <c r="A2440" i="2"/>
  <c r="I2439" i="2"/>
  <c r="H2439" i="2"/>
  <c r="A2439" i="2"/>
  <c r="I2438" i="2"/>
  <c r="H2438" i="2"/>
  <c r="A2438" i="2"/>
  <c r="I2437" i="2"/>
  <c r="H2437" i="2"/>
  <c r="A2437" i="2"/>
  <c r="I2436" i="2"/>
  <c r="H2436" i="2"/>
  <c r="A2436" i="2"/>
  <c r="I2435" i="2"/>
  <c r="H2435" i="2"/>
  <c r="A2435" i="2"/>
  <c r="I2434" i="2"/>
  <c r="H2434" i="2"/>
  <c r="A2434" i="2"/>
  <c r="I2433" i="2"/>
  <c r="H2433" i="2"/>
  <c r="A2433" i="2"/>
  <c r="I2432" i="2"/>
  <c r="H2432" i="2"/>
  <c r="A2432" i="2"/>
  <c r="I2431" i="2"/>
  <c r="H2431" i="2"/>
  <c r="A2431" i="2"/>
  <c r="I2430" i="2"/>
  <c r="H2430" i="2"/>
  <c r="A2430" i="2"/>
  <c r="I2429" i="2"/>
  <c r="H2429" i="2"/>
  <c r="A2429" i="2"/>
  <c r="I2428" i="2"/>
  <c r="H2428" i="2"/>
  <c r="A2428" i="2"/>
  <c r="I2427" i="2"/>
  <c r="H2427" i="2"/>
  <c r="A2427" i="2"/>
  <c r="I2426" i="2"/>
  <c r="H2426" i="2"/>
  <c r="A2426" i="2"/>
  <c r="I2425" i="2"/>
  <c r="H2425" i="2"/>
  <c r="A2425" i="2"/>
  <c r="I2424" i="2"/>
  <c r="H2424" i="2"/>
  <c r="A2424" i="2"/>
  <c r="I2423" i="2"/>
  <c r="H2423" i="2"/>
  <c r="A2423" i="2"/>
  <c r="I2422" i="2"/>
  <c r="H2422" i="2"/>
  <c r="A2422" i="2"/>
  <c r="I2421" i="2"/>
  <c r="H2421" i="2"/>
  <c r="A2421" i="2"/>
  <c r="I2420" i="2"/>
  <c r="H2420" i="2"/>
  <c r="A2420" i="2"/>
  <c r="I2419" i="2"/>
  <c r="H2419" i="2"/>
  <c r="A2419" i="2"/>
  <c r="I2418" i="2"/>
  <c r="H2418" i="2"/>
  <c r="A2418" i="2"/>
  <c r="I2417" i="2"/>
  <c r="H2417" i="2"/>
  <c r="A2417" i="2"/>
  <c r="I2416" i="2"/>
  <c r="H2416" i="2"/>
  <c r="A2416" i="2"/>
  <c r="I2415" i="2"/>
  <c r="H2415" i="2"/>
  <c r="A2415" i="2"/>
  <c r="I2414" i="2"/>
  <c r="H2414" i="2"/>
  <c r="A2414" i="2"/>
  <c r="I2413" i="2"/>
  <c r="H2413" i="2"/>
  <c r="A2413" i="2"/>
  <c r="I2412" i="2"/>
  <c r="H2412" i="2"/>
  <c r="A2412" i="2"/>
  <c r="I2411" i="2"/>
  <c r="H2411" i="2"/>
  <c r="A2411" i="2"/>
  <c r="I2410" i="2"/>
  <c r="H2410" i="2"/>
  <c r="A2410" i="2"/>
  <c r="I2409" i="2"/>
  <c r="H2409" i="2"/>
  <c r="A2409" i="2"/>
  <c r="I2408" i="2"/>
  <c r="H2408" i="2"/>
  <c r="A2408" i="2"/>
  <c r="I2407" i="2"/>
  <c r="H2407" i="2"/>
  <c r="A2407" i="2"/>
  <c r="I2406" i="2"/>
  <c r="H2406" i="2"/>
  <c r="A2406" i="2"/>
  <c r="I2405" i="2"/>
  <c r="H2405" i="2"/>
  <c r="A2405" i="2"/>
  <c r="I2404" i="2"/>
  <c r="H2404" i="2"/>
  <c r="A2404" i="2"/>
  <c r="I2403" i="2"/>
  <c r="H2403" i="2"/>
  <c r="A2403" i="2"/>
  <c r="I2402" i="2"/>
  <c r="H2402" i="2"/>
  <c r="A2402" i="2"/>
  <c r="I2401" i="2"/>
  <c r="H2401" i="2"/>
  <c r="A2401" i="2"/>
  <c r="I2400" i="2"/>
  <c r="H2400" i="2"/>
  <c r="A2400" i="2"/>
  <c r="I2399" i="2"/>
  <c r="H2399" i="2"/>
  <c r="A2399" i="2"/>
  <c r="I2398" i="2"/>
  <c r="H2398" i="2"/>
  <c r="A2398" i="2"/>
  <c r="I2397" i="2"/>
  <c r="H2397" i="2"/>
  <c r="A2397" i="2"/>
  <c r="I2396" i="2"/>
  <c r="H2396" i="2"/>
  <c r="A2396" i="2"/>
  <c r="I2395" i="2"/>
  <c r="H2395" i="2"/>
  <c r="A2395" i="2"/>
  <c r="I2394" i="2"/>
  <c r="H2394" i="2"/>
  <c r="A2394" i="2"/>
  <c r="I2393" i="2"/>
  <c r="H2393" i="2"/>
  <c r="A2393" i="2"/>
  <c r="I2392" i="2"/>
  <c r="H2392" i="2"/>
  <c r="A2392" i="2"/>
  <c r="I2391" i="2"/>
  <c r="H2391" i="2"/>
  <c r="A2391" i="2"/>
  <c r="I2390" i="2"/>
  <c r="H2390" i="2"/>
  <c r="A2390" i="2"/>
  <c r="I2389" i="2"/>
  <c r="H2389" i="2"/>
  <c r="A2389" i="2"/>
  <c r="I2388" i="2"/>
  <c r="H2388" i="2"/>
  <c r="A2388" i="2"/>
  <c r="I2387" i="2"/>
  <c r="H2387" i="2"/>
  <c r="A2387" i="2"/>
  <c r="I2386" i="2"/>
  <c r="H2386" i="2"/>
  <c r="A2386" i="2"/>
  <c r="I2385" i="2"/>
  <c r="H2385" i="2"/>
  <c r="A2385" i="2"/>
  <c r="I2384" i="2"/>
  <c r="H2384" i="2"/>
  <c r="A2384" i="2"/>
  <c r="I2383" i="2"/>
  <c r="H2383" i="2"/>
  <c r="A2383" i="2"/>
  <c r="I2382" i="2"/>
  <c r="H2382" i="2"/>
  <c r="A2382" i="2"/>
  <c r="I2381" i="2"/>
  <c r="H2381" i="2"/>
  <c r="A2381" i="2"/>
  <c r="I2380" i="2"/>
  <c r="H2380" i="2"/>
  <c r="A2380" i="2"/>
  <c r="I2379" i="2"/>
  <c r="H2379" i="2"/>
  <c r="A2379" i="2"/>
  <c r="I2378" i="2"/>
  <c r="H2378" i="2"/>
  <c r="A2378" i="2"/>
  <c r="I2377" i="2"/>
  <c r="H2377" i="2"/>
  <c r="A2377" i="2"/>
  <c r="I2376" i="2"/>
  <c r="H2376" i="2"/>
  <c r="A2376" i="2"/>
  <c r="I2375" i="2"/>
  <c r="H2375" i="2"/>
  <c r="A2375" i="2"/>
  <c r="I2374" i="2"/>
  <c r="H2374" i="2"/>
  <c r="A2374" i="2"/>
  <c r="I2373" i="2"/>
  <c r="H2373" i="2"/>
  <c r="A2373" i="2"/>
  <c r="I2372" i="2"/>
  <c r="H2372" i="2"/>
  <c r="A2372" i="2"/>
  <c r="I2371" i="2"/>
  <c r="H2371" i="2"/>
  <c r="A2371" i="2"/>
  <c r="I2370" i="2"/>
  <c r="H2370" i="2"/>
  <c r="A2370" i="2"/>
  <c r="I2369" i="2"/>
  <c r="H2369" i="2"/>
  <c r="A2369" i="2"/>
  <c r="I2368" i="2"/>
  <c r="H2368" i="2"/>
  <c r="A2368" i="2"/>
  <c r="I2367" i="2"/>
  <c r="H2367" i="2"/>
  <c r="A2367" i="2"/>
  <c r="I2366" i="2"/>
  <c r="H2366" i="2"/>
  <c r="A2366" i="2"/>
  <c r="I2365" i="2"/>
  <c r="H2365" i="2"/>
  <c r="A2365" i="2"/>
  <c r="I2364" i="2"/>
  <c r="H2364" i="2"/>
  <c r="A2364" i="2"/>
  <c r="I2363" i="2"/>
  <c r="H2363" i="2"/>
  <c r="A2363" i="2"/>
  <c r="I2362" i="2"/>
  <c r="H2362" i="2"/>
  <c r="A2362" i="2"/>
  <c r="I2361" i="2"/>
  <c r="H2361" i="2"/>
  <c r="A2361" i="2"/>
  <c r="I2360" i="2"/>
  <c r="H2360" i="2"/>
  <c r="A2360" i="2"/>
  <c r="I2359" i="2"/>
  <c r="H2359" i="2"/>
  <c r="A2359" i="2"/>
  <c r="I2358" i="2"/>
  <c r="H2358" i="2"/>
  <c r="A2358" i="2"/>
  <c r="I2357" i="2"/>
  <c r="H2357" i="2"/>
  <c r="A2357" i="2"/>
  <c r="I2356" i="2"/>
  <c r="H2356" i="2"/>
  <c r="A2356" i="2"/>
  <c r="I2355" i="2"/>
  <c r="H2355" i="2"/>
  <c r="A2355" i="2"/>
  <c r="I2354" i="2"/>
  <c r="H2354" i="2"/>
  <c r="A2354" i="2"/>
  <c r="I2353" i="2"/>
  <c r="H2353" i="2"/>
  <c r="A2353" i="2"/>
  <c r="I2352" i="2"/>
  <c r="H2352" i="2"/>
  <c r="A2352" i="2"/>
  <c r="I2351" i="2"/>
  <c r="H2351" i="2"/>
  <c r="A2351" i="2"/>
  <c r="I2350" i="2"/>
  <c r="H2350" i="2"/>
  <c r="A2350" i="2"/>
  <c r="I2349" i="2"/>
  <c r="H2349" i="2"/>
  <c r="A2349" i="2"/>
  <c r="I2348" i="2"/>
  <c r="H2348" i="2"/>
  <c r="A2348" i="2"/>
  <c r="I2347" i="2"/>
  <c r="H2347" i="2"/>
  <c r="A2347" i="2"/>
  <c r="I2346" i="2"/>
  <c r="H2346" i="2"/>
  <c r="A2346" i="2"/>
  <c r="I2345" i="2"/>
  <c r="H2345" i="2"/>
  <c r="A2345" i="2"/>
  <c r="I2344" i="2"/>
  <c r="H2344" i="2"/>
  <c r="A2344" i="2"/>
  <c r="I2343" i="2"/>
  <c r="H2343" i="2"/>
  <c r="A2343" i="2"/>
  <c r="I2342" i="2"/>
  <c r="H2342" i="2"/>
  <c r="A2342" i="2"/>
  <c r="I2341" i="2"/>
  <c r="H2341" i="2"/>
  <c r="A2341" i="2"/>
  <c r="I2340" i="2"/>
  <c r="H2340" i="2"/>
  <c r="A2340" i="2"/>
  <c r="I2339" i="2"/>
  <c r="H2339" i="2"/>
  <c r="A2339" i="2"/>
  <c r="I2338" i="2"/>
  <c r="H2338" i="2"/>
  <c r="A2338" i="2"/>
  <c r="I2337" i="2"/>
  <c r="H2337" i="2"/>
  <c r="A2337" i="2"/>
  <c r="I2336" i="2"/>
  <c r="H2336" i="2"/>
  <c r="A2336" i="2"/>
  <c r="I2335" i="2"/>
  <c r="H2335" i="2"/>
  <c r="A2335" i="2"/>
  <c r="I2334" i="2"/>
  <c r="H2334" i="2"/>
  <c r="A2334" i="2"/>
  <c r="I2333" i="2"/>
  <c r="H2333" i="2"/>
  <c r="A2333" i="2"/>
  <c r="I2332" i="2"/>
  <c r="H2332" i="2"/>
  <c r="A2332" i="2"/>
  <c r="I2331" i="2"/>
  <c r="H2331" i="2"/>
  <c r="A2331" i="2"/>
  <c r="I2330" i="2"/>
  <c r="H2330" i="2"/>
  <c r="A2330" i="2"/>
  <c r="I2329" i="2"/>
  <c r="H2329" i="2"/>
  <c r="A2329" i="2"/>
  <c r="I2328" i="2"/>
  <c r="H2328" i="2"/>
  <c r="A2328" i="2"/>
  <c r="I2327" i="2"/>
  <c r="H2327" i="2"/>
  <c r="A2327" i="2"/>
  <c r="I2326" i="2"/>
  <c r="H2326" i="2"/>
  <c r="A2326" i="2"/>
  <c r="I2325" i="2"/>
  <c r="H2325" i="2"/>
  <c r="A2325" i="2"/>
  <c r="I2324" i="2"/>
  <c r="H2324" i="2"/>
  <c r="A2324" i="2"/>
  <c r="I2323" i="2"/>
  <c r="H2323" i="2"/>
  <c r="A2323" i="2"/>
  <c r="I2322" i="2"/>
  <c r="H2322" i="2"/>
  <c r="A2322" i="2"/>
  <c r="I2321" i="2"/>
  <c r="H2321" i="2"/>
  <c r="A2321" i="2"/>
  <c r="I2320" i="2"/>
  <c r="H2320" i="2"/>
  <c r="A2320" i="2"/>
  <c r="I2319" i="2"/>
  <c r="H2319" i="2"/>
  <c r="A2319" i="2"/>
  <c r="I2318" i="2"/>
  <c r="H2318" i="2"/>
  <c r="A2318" i="2"/>
  <c r="I2317" i="2"/>
  <c r="H2317" i="2"/>
  <c r="A2317" i="2"/>
  <c r="I2316" i="2"/>
  <c r="H2316" i="2"/>
  <c r="A2316" i="2"/>
  <c r="I2315" i="2"/>
  <c r="H2315" i="2"/>
  <c r="A2315" i="2"/>
  <c r="I2314" i="2"/>
  <c r="H2314" i="2"/>
  <c r="A2314" i="2"/>
  <c r="I2313" i="2"/>
  <c r="H2313" i="2"/>
  <c r="A2313" i="2"/>
  <c r="I2312" i="2"/>
  <c r="H2312" i="2"/>
  <c r="A2312" i="2"/>
  <c r="I2311" i="2"/>
  <c r="H2311" i="2"/>
  <c r="A2311" i="2"/>
  <c r="I2310" i="2"/>
  <c r="H2310" i="2"/>
  <c r="A2310" i="2"/>
  <c r="I2309" i="2"/>
  <c r="H2309" i="2"/>
  <c r="A2309" i="2"/>
  <c r="I2308" i="2"/>
  <c r="H2308" i="2"/>
  <c r="A2308" i="2"/>
  <c r="I2307" i="2"/>
  <c r="H2307" i="2"/>
  <c r="A2307" i="2"/>
  <c r="I2306" i="2"/>
  <c r="H2306" i="2"/>
  <c r="A2306" i="2"/>
  <c r="I2305" i="2"/>
  <c r="H2305" i="2"/>
  <c r="A2305" i="2"/>
  <c r="I2304" i="2"/>
  <c r="H2304" i="2"/>
  <c r="A2304" i="2"/>
  <c r="I2303" i="2"/>
  <c r="H2303" i="2"/>
  <c r="A2303" i="2"/>
  <c r="I2302" i="2"/>
  <c r="H2302" i="2"/>
  <c r="A2302" i="2"/>
  <c r="I2301" i="2"/>
  <c r="H2301" i="2"/>
  <c r="A2301" i="2"/>
  <c r="I2300" i="2"/>
  <c r="H2300" i="2"/>
  <c r="A2300" i="2"/>
  <c r="I2299" i="2"/>
  <c r="H2299" i="2"/>
  <c r="A2299" i="2"/>
  <c r="I2298" i="2"/>
  <c r="H2298" i="2"/>
  <c r="A2298" i="2"/>
  <c r="I2297" i="2"/>
  <c r="H2297" i="2"/>
  <c r="A2297" i="2"/>
  <c r="I2296" i="2"/>
  <c r="H2296" i="2"/>
  <c r="A2296" i="2"/>
  <c r="I2295" i="2"/>
  <c r="H2295" i="2"/>
  <c r="A2295" i="2"/>
  <c r="I2294" i="2"/>
  <c r="H2294" i="2"/>
  <c r="A2294" i="2"/>
  <c r="I2293" i="2"/>
  <c r="H2293" i="2"/>
  <c r="A2293" i="2"/>
  <c r="I2292" i="2"/>
  <c r="H2292" i="2"/>
  <c r="A2292" i="2"/>
  <c r="I2291" i="2"/>
  <c r="H2291" i="2"/>
  <c r="A2291" i="2"/>
  <c r="I2290" i="2"/>
  <c r="H2290" i="2"/>
  <c r="A2290" i="2"/>
  <c r="I2289" i="2"/>
  <c r="H2289" i="2"/>
  <c r="A2289" i="2"/>
  <c r="I2288" i="2"/>
  <c r="H2288" i="2"/>
  <c r="A2288" i="2"/>
  <c r="I2287" i="2"/>
  <c r="H2287" i="2"/>
  <c r="A2287" i="2"/>
  <c r="I2286" i="2"/>
  <c r="H2286" i="2"/>
  <c r="A2286" i="2"/>
  <c r="I2285" i="2"/>
  <c r="H2285" i="2"/>
  <c r="A2285" i="2"/>
  <c r="I2284" i="2"/>
  <c r="H2284" i="2"/>
  <c r="A2284" i="2"/>
  <c r="I2283" i="2"/>
  <c r="H2283" i="2"/>
  <c r="A2283" i="2"/>
  <c r="I2282" i="2"/>
  <c r="H2282" i="2"/>
  <c r="A2282" i="2"/>
  <c r="I2281" i="2"/>
  <c r="H2281" i="2"/>
  <c r="A2281" i="2"/>
  <c r="I2280" i="2"/>
  <c r="H2280" i="2"/>
  <c r="A2280" i="2"/>
  <c r="I2279" i="2"/>
  <c r="H2279" i="2"/>
  <c r="A2279" i="2"/>
  <c r="I2278" i="2"/>
  <c r="H2278" i="2"/>
  <c r="A2278" i="2"/>
  <c r="I2277" i="2"/>
  <c r="H2277" i="2"/>
  <c r="A2277" i="2"/>
  <c r="I2276" i="2"/>
  <c r="H2276" i="2"/>
  <c r="A2276" i="2"/>
  <c r="I2275" i="2"/>
  <c r="H2275" i="2"/>
  <c r="A2275" i="2"/>
  <c r="I2274" i="2"/>
  <c r="H2274" i="2"/>
  <c r="A2274" i="2"/>
  <c r="I2273" i="2"/>
  <c r="H2273" i="2"/>
  <c r="A2273" i="2"/>
  <c r="I2272" i="2"/>
  <c r="H2272" i="2"/>
  <c r="A2272" i="2"/>
  <c r="I2271" i="2"/>
  <c r="H2271" i="2"/>
  <c r="A2271" i="2"/>
  <c r="I2270" i="2"/>
  <c r="H2270" i="2"/>
  <c r="A2270" i="2"/>
  <c r="I2269" i="2"/>
  <c r="H2269" i="2"/>
  <c r="A2269" i="2"/>
  <c r="I2268" i="2"/>
  <c r="H2268" i="2"/>
  <c r="A2268" i="2"/>
  <c r="I2267" i="2"/>
  <c r="H2267" i="2"/>
  <c r="A2267" i="2"/>
  <c r="I2266" i="2"/>
  <c r="H2266" i="2"/>
  <c r="A2266" i="2"/>
  <c r="I2265" i="2"/>
  <c r="H2265" i="2"/>
  <c r="A2265" i="2"/>
  <c r="I2264" i="2"/>
  <c r="H2264" i="2"/>
  <c r="A2264" i="2"/>
  <c r="I2263" i="2"/>
  <c r="H2263" i="2"/>
  <c r="A2263" i="2"/>
  <c r="I2262" i="2"/>
  <c r="H2262" i="2"/>
  <c r="A2262" i="2"/>
  <c r="I2261" i="2"/>
  <c r="H2261" i="2"/>
  <c r="A2261" i="2"/>
  <c r="I2260" i="2"/>
  <c r="H2260" i="2"/>
  <c r="A2260" i="2"/>
  <c r="I2259" i="2"/>
  <c r="H2259" i="2"/>
  <c r="A2259" i="2"/>
  <c r="I2258" i="2"/>
  <c r="H2258" i="2"/>
  <c r="A2258" i="2"/>
  <c r="I2257" i="2"/>
  <c r="H2257" i="2"/>
  <c r="A2257" i="2"/>
  <c r="I2256" i="2"/>
  <c r="H2256" i="2"/>
  <c r="A2256" i="2"/>
  <c r="I2255" i="2"/>
  <c r="H2255" i="2"/>
  <c r="A2255" i="2"/>
  <c r="I2254" i="2"/>
  <c r="H2254" i="2"/>
  <c r="A2254" i="2"/>
  <c r="I2253" i="2"/>
  <c r="H2253" i="2"/>
  <c r="A2253" i="2"/>
  <c r="I2252" i="2"/>
  <c r="H2252" i="2"/>
  <c r="A2252" i="2"/>
  <c r="I2251" i="2"/>
  <c r="H2251" i="2"/>
  <c r="A2251" i="2"/>
  <c r="I2250" i="2"/>
  <c r="H2250" i="2"/>
  <c r="A2250" i="2"/>
  <c r="I2249" i="2"/>
  <c r="H2249" i="2"/>
  <c r="A2249" i="2"/>
  <c r="I2248" i="2"/>
  <c r="H2248" i="2"/>
  <c r="A2248" i="2"/>
  <c r="I2247" i="2"/>
  <c r="H2247" i="2"/>
  <c r="A2247" i="2"/>
  <c r="I2246" i="2"/>
  <c r="H2246" i="2"/>
  <c r="A2246" i="2"/>
  <c r="I2245" i="2"/>
  <c r="H2245" i="2"/>
  <c r="A2245" i="2"/>
  <c r="I2244" i="2"/>
  <c r="H2244" i="2"/>
  <c r="A2244" i="2"/>
  <c r="I2243" i="2"/>
  <c r="H2243" i="2"/>
  <c r="A2243" i="2"/>
  <c r="I2242" i="2"/>
  <c r="H2242" i="2"/>
  <c r="A2242" i="2"/>
  <c r="I2241" i="2"/>
  <c r="H2241" i="2"/>
  <c r="A2241" i="2"/>
  <c r="I2240" i="2"/>
  <c r="H2240" i="2"/>
  <c r="A2240" i="2"/>
  <c r="I2239" i="2"/>
  <c r="H2239" i="2"/>
  <c r="A2239" i="2"/>
  <c r="I2238" i="2"/>
  <c r="H2238" i="2"/>
  <c r="A2238" i="2"/>
  <c r="I2237" i="2"/>
  <c r="H2237" i="2"/>
  <c r="A2237" i="2"/>
  <c r="I2236" i="2"/>
  <c r="H2236" i="2"/>
  <c r="A2236" i="2"/>
  <c r="I2235" i="2"/>
  <c r="H2235" i="2"/>
  <c r="A2235" i="2"/>
  <c r="I2234" i="2"/>
  <c r="H2234" i="2"/>
  <c r="A2234" i="2"/>
  <c r="I2233" i="2"/>
  <c r="H2233" i="2"/>
  <c r="A2233" i="2"/>
  <c r="I2232" i="2"/>
  <c r="H2232" i="2"/>
  <c r="A2232" i="2"/>
  <c r="I2231" i="2"/>
  <c r="H2231" i="2"/>
  <c r="A2231" i="2"/>
  <c r="I2230" i="2"/>
  <c r="H2230" i="2"/>
  <c r="A2230" i="2"/>
  <c r="I2229" i="2"/>
  <c r="H2229" i="2"/>
  <c r="A2229" i="2"/>
  <c r="I2228" i="2"/>
  <c r="H2228" i="2"/>
  <c r="A2228" i="2"/>
  <c r="I2227" i="2"/>
  <c r="H2227" i="2"/>
  <c r="A2227" i="2"/>
  <c r="I2226" i="2"/>
  <c r="H2226" i="2"/>
  <c r="A2226" i="2"/>
  <c r="I2225" i="2"/>
  <c r="H2225" i="2"/>
  <c r="A2225" i="2"/>
  <c r="I2224" i="2"/>
  <c r="H2224" i="2"/>
  <c r="A2224" i="2"/>
  <c r="I2223" i="2"/>
  <c r="H2223" i="2"/>
  <c r="A2223" i="2"/>
  <c r="I2222" i="2"/>
  <c r="H2222" i="2"/>
  <c r="A2222" i="2"/>
  <c r="I2221" i="2"/>
  <c r="H2221" i="2"/>
  <c r="A2221" i="2"/>
  <c r="I2220" i="2"/>
  <c r="H2220" i="2"/>
  <c r="A2220" i="2"/>
  <c r="I2219" i="2"/>
  <c r="H2219" i="2"/>
  <c r="A2219" i="2"/>
  <c r="I2218" i="2"/>
  <c r="H2218" i="2"/>
  <c r="A2218" i="2"/>
  <c r="I2217" i="2"/>
  <c r="H2217" i="2"/>
  <c r="A2217" i="2"/>
  <c r="I2216" i="2"/>
  <c r="H2216" i="2"/>
  <c r="A2216" i="2"/>
  <c r="I2215" i="2"/>
  <c r="H2215" i="2"/>
  <c r="A2215" i="2"/>
  <c r="I2214" i="2"/>
  <c r="H2214" i="2"/>
  <c r="A2214" i="2"/>
  <c r="I2213" i="2"/>
  <c r="H2213" i="2"/>
  <c r="A2213" i="2"/>
  <c r="I2212" i="2"/>
  <c r="H2212" i="2"/>
  <c r="A2212" i="2"/>
  <c r="I2211" i="2"/>
  <c r="H2211" i="2"/>
  <c r="A2211" i="2"/>
  <c r="I2210" i="2"/>
  <c r="H2210" i="2"/>
  <c r="A2210" i="2"/>
  <c r="I2209" i="2"/>
  <c r="H2209" i="2"/>
  <c r="A2209" i="2"/>
  <c r="I2208" i="2"/>
  <c r="H2208" i="2"/>
  <c r="A2208" i="2"/>
  <c r="I2207" i="2"/>
  <c r="H2207" i="2"/>
  <c r="A2207" i="2"/>
  <c r="I2206" i="2"/>
  <c r="H2206" i="2"/>
  <c r="A2206" i="2"/>
  <c r="I2205" i="2"/>
  <c r="H2205" i="2"/>
  <c r="A2205" i="2"/>
  <c r="I2204" i="2"/>
  <c r="H2204" i="2"/>
  <c r="A2204" i="2"/>
  <c r="I2203" i="2"/>
  <c r="H2203" i="2"/>
  <c r="A2203" i="2"/>
  <c r="I2202" i="2"/>
  <c r="H2202" i="2"/>
  <c r="A2202" i="2"/>
  <c r="I2201" i="2"/>
  <c r="H2201" i="2"/>
  <c r="A2201" i="2"/>
  <c r="I2200" i="2"/>
  <c r="H2200" i="2"/>
  <c r="A2200" i="2"/>
  <c r="I2199" i="2"/>
  <c r="H2199" i="2"/>
  <c r="A2199" i="2"/>
  <c r="I2198" i="2"/>
  <c r="H2198" i="2"/>
  <c r="A2198" i="2"/>
  <c r="I2197" i="2"/>
  <c r="H2197" i="2"/>
  <c r="A2197" i="2"/>
  <c r="I2196" i="2"/>
  <c r="H2196" i="2"/>
  <c r="A2196" i="2"/>
  <c r="I2195" i="2"/>
  <c r="H2195" i="2"/>
  <c r="A2195" i="2"/>
  <c r="I2194" i="2"/>
  <c r="H2194" i="2"/>
  <c r="A2194" i="2"/>
  <c r="I2193" i="2"/>
  <c r="H2193" i="2"/>
  <c r="A2193" i="2"/>
  <c r="I2192" i="2"/>
  <c r="H2192" i="2"/>
  <c r="A2192" i="2"/>
  <c r="I2191" i="2"/>
  <c r="H2191" i="2"/>
  <c r="A2191" i="2"/>
  <c r="I2190" i="2"/>
  <c r="H2190" i="2"/>
  <c r="A2190" i="2"/>
  <c r="I2189" i="2"/>
  <c r="H2189" i="2"/>
  <c r="A2189" i="2"/>
  <c r="I2188" i="2"/>
  <c r="H2188" i="2"/>
  <c r="A2188" i="2"/>
  <c r="I2187" i="2"/>
  <c r="H2187" i="2"/>
  <c r="A2187" i="2"/>
  <c r="I2186" i="2"/>
  <c r="H2186" i="2"/>
  <c r="A2186" i="2"/>
  <c r="I2185" i="2"/>
  <c r="H2185" i="2"/>
  <c r="A2185" i="2"/>
  <c r="I2184" i="2"/>
  <c r="H2184" i="2"/>
  <c r="A2184" i="2"/>
  <c r="I2183" i="2"/>
  <c r="H2183" i="2"/>
  <c r="A2183" i="2"/>
  <c r="I2182" i="2"/>
  <c r="H2182" i="2"/>
  <c r="A2182" i="2"/>
  <c r="I2181" i="2"/>
  <c r="H2181" i="2"/>
  <c r="A2181" i="2"/>
  <c r="I2180" i="2"/>
  <c r="H2180" i="2"/>
  <c r="A2180" i="2"/>
  <c r="I2179" i="2"/>
  <c r="H2179" i="2"/>
  <c r="A2179" i="2"/>
  <c r="I2178" i="2"/>
  <c r="H2178" i="2"/>
  <c r="A2178" i="2"/>
  <c r="I2177" i="2"/>
  <c r="H2177" i="2"/>
  <c r="A2177" i="2"/>
  <c r="I2176" i="2"/>
  <c r="H2176" i="2"/>
  <c r="A2176" i="2"/>
  <c r="I2175" i="2"/>
  <c r="H2175" i="2"/>
  <c r="A2175" i="2"/>
  <c r="I2174" i="2"/>
  <c r="H2174" i="2"/>
  <c r="A2174" i="2"/>
  <c r="I2173" i="2"/>
  <c r="H2173" i="2"/>
  <c r="A2173" i="2"/>
  <c r="I2172" i="2"/>
  <c r="H2172" i="2"/>
  <c r="A2172" i="2"/>
  <c r="I2171" i="2"/>
  <c r="H2171" i="2"/>
  <c r="A2171" i="2"/>
  <c r="I2170" i="2"/>
  <c r="H2170" i="2"/>
  <c r="A2170" i="2"/>
  <c r="I2169" i="2"/>
  <c r="H2169" i="2"/>
  <c r="A2169" i="2"/>
  <c r="I2168" i="2"/>
  <c r="H2168" i="2"/>
  <c r="A2168" i="2"/>
  <c r="I2167" i="2"/>
  <c r="H2167" i="2"/>
  <c r="A2167" i="2"/>
  <c r="I2166" i="2"/>
  <c r="H2166" i="2"/>
  <c r="A2166" i="2"/>
  <c r="I2165" i="2"/>
  <c r="H2165" i="2"/>
  <c r="A2165" i="2"/>
  <c r="I2164" i="2"/>
  <c r="H2164" i="2"/>
  <c r="A2164" i="2"/>
  <c r="I2163" i="2"/>
  <c r="H2163" i="2"/>
  <c r="A2163" i="2"/>
  <c r="I2162" i="2"/>
  <c r="H2162" i="2"/>
  <c r="A2162" i="2"/>
  <c r="I2161" i="2"/>
  <c r="H2161" i="2"/>
  <c r="A2161" i="2"/>
  <c r="I2160" i="2"/>
  <c r="H2160" i="2"/>
  <c r="A2160" i="2"/>
  <c r="I2159" i="2"/>
  <c r="H2159" i="2"/>
  <c r="A2159" i="2"/>
  <c r="I2158" i="2"/>
  <c r="H2158" i="2"/>
  <c r="A2158" i="2"/>
  <c r="I2157" i="2"/>
  <c r="H2157" i="2"/>
  <c r="A2157" i="2"/>
  <c r="I2156" i="2"/>
  <c r="H2156" i="2"/>
  <c r="A2156" i="2"/>
  <c r="I2155" i="2"/>
  <c r="H2155" i="2"/>
  <c r="A2155" i="2"/>
  <c r="I2154" i="2"/>
  <c r="H2154" i="2"/>
  <c r="A2154" i="2"/>
  <c r="I2153" i="2"/>
  <c r="H2153" i="2"/>
  <c r="A2153" i="2"/>
  <c r="I2152" i="2"/>
  <c r="H2152" i="2"/>
  <c r="A2152" i="2"/>
  <c r="I2151" i="2"/>
  <c r="H2151" i="2"/>
  <c r="A2151" i="2"/>
  <c r="I2150" i="2"/>
  <c r="H2150" i="2"/>
  <c r="A2150" i="2"/>
  <c r="I2149" i="2"/>
  <c r="H2149" i="2"/>
  <c r="A2149" i="2"/>
  <c r="I2148" i="2"/>
  <c r="H2148" i="2"/>
  <c r="A2148" i="2"/>
  <c r="I2147" i="2"/>
  <c r="H2147" i="2"/>
  <c r="A2147" i="2"/>
  <c r="I2146" i="2"/>
  <c r="H2146" i="2"/>
  <c r="A2146" i="2"/>
  <c r="I2145" i="2"/>
  <c r="H2145" i="2"/>
  <c r="A2145" i="2"/>
  <c r="I2144" i="2"/>
  <c r="H2144" i="2"/>
  <c r="A2144" i="2"/>
  <c r="I2143" i="2"/>
  <c r="H2143" i="2"/>
  <c r="A2143" i="2"/>
  <c r="I2142" i="2"/>
  <c r="H2142" i="2"/>
  <c r="A2142" i="2"/>
  <c r="I2141" i="2"/>
  <c r="H2141" i="2"/>
  <c r="A2141" i="2"/>
  <c r="I2140" i="2"/>
  <c r="H2140" i="2"/>
  <c r="A2140" i="2"/>
  <c r="I2139" i="2"/>
  <c r="H2139" i="2"/>
  <c r="A2139" i="2"/>
  <c r="I2138" i="2"/>
  <c r="H2138" i="2"/>
  <c r="A2138" i="2"/>
  <c r="I2137" i="2"/>
  <c r="H2137" i="2"/>
  <c r="A2137" i="2"/>
  <c r="I2136" i="2"/>
  <c r="H2136" i="2"/>
  <c r="A2136" i="2"/>
  <c r="I2135" i="2"/>
  <c r="H2135" i="2"/>
  <c r="A2135" i="2"/>
  <c r="I2134" i="2"/>
  <c r="H2134" i="2"/>
  <c r="A2134" i="2"/>
  <c r="I2133" i="2"/>
  <c r="H2133" i="2"/>
  <c r="A2133" i="2"/>
  <c r="I2132" i="2"/>
  <c r="H2132" i="2"/>
  <c r="A2132" i="2"/>
  <c r="I2131" i="2"/>
  <c r="H2131" i="2"/>
  <c r="A2131" i="2"/>
  <c r="I2130" i="2"/>
  <c r="H2130" i="2"/>
  <c r="A2130" i="2"/>
  <c r="I2129" i="2"/>
  <c r="H2129" i="2"/>
  <c r="A2129" i="2"/>
  <c r="I2128" i="2"/>
  <c r="H2128" i="2"/>
  <c r="A2128" i="2"/>
  <c r="I2127" i="2"/>
  <c r="H2127" i="2"/>
  <c r="A2127" i="2"/>
  <c r="I2126" i="2"/>
  <c r="H2126" i="2"/>
  <c r="A2126" i="2"/>
  <c r="I2125" i="2"/>
  <c r="H2125" i="2"/>
  <c r="A2125" i="2"/>
  <c r="I2124" i="2"/>
  <c r="H2124" i="2"/>
  <c r="A2124" i="2"/>
  <c r="I2123" i="2"/>
  <c r="H2123" i="2"/>
  <c r="A2123" i="2"/>
  <c r="I2122" i="2"/>
  <c r="H2122" i="2"/>
  <c r="A2122" i="2"/>
  <c r="I2121" i="2"/>
  <c r="H2121" i="2"/>
  <c r="A2121" i="2"/>
  <c r="I2120" i="2"/>
  <c r="H2120" i="2"/>
  <c r="A2120" i="2"/>
  <c r="I2119" i="2"/>
  <c r="H2119" i="2"/>
  <c r="A2119" i="2"/>
  <c r="I2118" i="2"/>
  <c r="H2118" i="2"/>
  <c r="A2118" i="2"/>
  <c r="I2117" i="2"/>
  <c r="H2117" i="2"/>
  <c r="A2117" i="2"/>
  <c r="I2116" i="2"/>
  <c r="H2116" i="2"/>
  <c r="A2116" i="2"/>
  <c r="I2115" i="2"/>
  <c r="H2115" i="2"/>
  <c r="A2115" i="2"/>
  <c r="I2114" i="2"/>
  <c r="H2114" i="2"/>
  <c r="A2114" i="2"/>
  <c r="I2113" i="2"/>
  <c r="H2113" i="2"/>
  <c r="A2113" i="2"/>
  <c r="I2112" i="2"/>
  <c r="H2112" i="2"/>
  <c r="A2112" i="2"/>
  <c r="I2111" i="2"/>
  <c r="H2111" i="2"/>
  <c r="A2111" i="2"/>
  <c r="I2110" i="2"/>
  <c r="H2110" i="2"/>
  <c r="A2110" i="2"/>
  <c r="I2109" i="2"/>
  <c r="H2109" i="2"/>
  <c r="A2109" i="2"/>
  <c r="I2108" i="2"/>
  <c r="H2108" i="2"/>
  <c r="A2108" i="2"/>
  <c r="I2107" i="2"/>
  <c r="H2107" i="2"/>
  <c r="A2107" i="2"/>
  <c r="I2106" i="2"/>
  <c r="H2106" i="2"/>
  <c r="A2106" i="2"/>
  <c r="I2105" i="2"/>
  <c r="H2105" i="2"/>
  <c r="A2105" i="2"/>
  <c r="I2104" i="2"/>
  <c r="H2104" i="2"/>
  <c r="A2104" i="2"/>
  <c r="I2103" i="2"/>
  <c r="H2103" i="2"/>
  <c r="A2103" i="2"/>
  <c r="I2102" i="2"/>
  <c r="H2102" i="2"/>
  <c r="A2102" i="2"/>
  <c r="I2101" i="2"/>
  <c r="H2101" i="2"/>
  <c r="A2101" i="2"/>
  <c r="I2100" i="2"/>
  <c r="H2100" i="2"/>
  <c r="A2100" i="2"/>
  <c r="I2099" i="2"/>
  <c r="H2099" i="2"/>
  <c r="A2099" i="2"/>
  <c r="I2098" i="2"/>
  <c r="H2098" i="2"/>
  <c r="A2098" i="2"/>
  <c r="I2097" i="2"/>
  <c r="H2097" i="2"/>
  <c r="A2097" i="2"/>
  <c r="I2096" i="2"/>
  <c r="H2096" i="2"/>
  <c r="A2096" i="2"/>
  <c r="I2095" i="2"/>
  <c r="H2095" i="2"/>
  <c r="A2095" i="2"/>
  <c r="I2094" i="2"/>
  <c r="H2094" i="2"/>
  <c r="A2094" i="2"/>
  <c r="I2093" i="2"/>
  <c r="H2093" i="2"/>
  <c r="A2093" i="2"/>
  <c r="I2092" i="2"/>
  <c r="H2092" i="2"/>
  <c r="A2092" i="2"/>
  <c r="I2091" i="2"/>
  <c r="H2091" i="2"/>
  <c r="A2091" i="2"/>
  <c r="I2090" i="2"/>
  <c r="H2090" i="2"/>
  <c r="A2090" i="2"/>
  <c r="I2089" i="2"/>
  <c r="H2089" i="2"/>
  <c r="A2089" i="2"/>
  <c r="I2088" i="2"/>
  <c r="H2088" i="2"/>
  <c r="A2088" i="2"/>
  <c r="I2087" i="2"/>
  <c r="H2087" i="2"/>
  <c r="A2087" i="2"/>
  <c r="I2086" i="2"/>
  <c r="H2086" i="2"/>
  <c r="A2086" i="2"/>
  <c r="I2085" i="2"/>
  <c r="H2085" i="2"/>
  <c r="A2085" i="2"/>
  <c r="I2084" i="2"/>
  <c r="H2084" i="2"/>
  <c r="A2084" i="2"/>
  <c r="I2083" i="2"/>
  <c r="H2083" i="2"/>
  <c r="A2083" i="2"/>
  <c r="I2082" i="2"/>
  <c r="H2082" i="2"/>
  <c r="A2082" i="2"/>
  <c r="I2081" i="2"/>
  <c r="H2081" i="2"/>
  <c r="A2081" i="2"/>
  <c r="I2080" i="2"/>
  <c r="H2080" i="2"/>
  <c r="A2080" i="2"/>
  <c r="I2079" i="2"/>
  <c r="H2079" i="2"/>
  <c r="A2079" i="2"/>
  <c r="I2078" i="2"/>
  <c r="H2078" i="2"/>
  <c r="A2078" i="2"/>
  <c r="I2077" i="2"/>
  <c r="H2077" i="2"/>
  <c r="A2077" i="2"/>
  <c r="I2076" i="2"/>
  <c r="H2076" i="2"/>
  <c r="A2076" i="2"/>
  <c r="I2075" i="2"/>
  <c r="H2075" i="2"/>
  <c r="A2075" i="2"/>
  <c r="I2074" i="2"/>
  <c r="H2074" i="2"/>
  <c r="A2074" i="2"/>
  <c r="I2073" i="2"/>
  <c r="H2073" i="2"/>
  <c r="A2073" i="2"/>
  <c r="I2072" i="2"/>
  <c r="H2072" i="2"/>
  <c r="A2072" i="2"/>
  <c r="I2071" i="2"/>
  <c r="H2071" i="2"/>
  <c r="A2071" i="2"/>
  <c r="I2070" i="2"/>
  <c r="H2070" i="2"/>
  <c r="A2070" i="2"/>
  <c r="I2069" i="2"/>
  <c r="H2069" i="2"/>
  <c r="A2069" i="2"/>
  <c r="I2068" i="2"/>
  <c r="H2068" i="2"/>
  <c r="A2068" i="2"/>
  <c r="I2067" i="2"/>
  <c r="H2067" i="2"/>
  <c r="A2067" i="2"/>
  <c r="I2066" i="2"/>
  <c r="H2066" i="2"/>
  <c r="A2066" i="2"/>
  <c r="I2065" i="2"/>
  <c r="H2065" i="2"/>
  <c r="A2065" i="2"/>
  <c r="I2064" i="2"/>
  <c r="H2064" i="2"/>
  <c r="A2064" i="2"/>
  <c r="I2063" i="2"/>
  <c r="H2063" i="2"/>
  <c r="A2063" i="2"/>
  <c r="I2062" i="2"/>
  <c r="H2062" i="2"/>
  <c r="A2062" i="2"/>
  <c r="I2061" i="2"/>
  <c r="H2061" i="2"/>
  <c r="A2061" i="2"/>
  <c r="I2060" i="2"/>
  <c r="H2060" i="2"/>
  <c r="A2060" i="2"/>
  <c r="I2059" i="2"/>
  <c r="H2059" i="2"/>
  <c r="A2059" i="2"/>
  <c r="I2058" i="2"/>
  <c r="H2058" i="2"/>
  <c r="A2058" i="2"/>
  <c r="I2057" i="2"/>
  <c r="H2057" i="2"/>
  <c r="A2057" i="2"/>
  <c r="I2056" i="2"/>
  <c r="H2056" i="2"/>
  <c r="A2056" i="2"/>
  <c r="I2055" i="2"/>
  <c r="A2055" i="2"/>
  <c r="I2054" i="2"/>
  <c r="H2054" i="2"/>
  <c r="A2054" i="2"/>
  <c r="I2053" i="2"/>
  <c r="H2053" i="2"/>
  <c r="A2053" i="2"/>
  <c r="I2052" i="2"/>
  <c r="H2052" i="2"/>
  <c r="A2052" i="2"/>
  <c r="I2051" i="2"/>
  <c r="H2051" i="2"/>
  <c r="A2051" i="2"/>
  <c r="I2050" i="2"/>
  <c r="H2050" i="2"/>
  <c r="A2050" i="2"/>
  <c r="I2049" i="2"/>
  <c r="H2049" i="2"/>
  <c r="A2049" i="2"/>
  <c r="I2048" i="2"/>
  <c r="H2048" i="2"/>
  <c r="A2048" i="2"/>
  <c r="I2047" i="2"/>
  <c r="H2047" i="2"/>
  <c r="A2047" i="2"/>
  <c r="I2046" i="2"/>
  <c r="H2046" i="2"/>
  <c r="A2046" i="2"/>
  <c r="I2045" i="2"/>
  <c r="H2045" i="2"/>
  <c r="A2045" i="2"/>
  <c r="I2044" i="2"/>
  <c r="H2044" i="2"/>
  <c r="A2044" i="2"/>
  <c r="I2043" i="2"/>
  <c r="H2043" i="2"/>
  <c r="A2043" i="2"/>
  <c r="I2042" i="2"/>
  <c r="H2042" i="2"/>
  <c r="A2042" i="2"/>
  <c r="I2041" i="2"/>
  <c r="H2041" i="2"/>
  <c r="A2041" i="2"/>
  <c r="I2040" i="2"/>
  <c r="H2040" i="2"/>
  <c r="A2040" i="2"/>
  <c r="I2039" i="2"/>
  <c r="H2039" i="2"/>
  <c r="A2039" i="2"/>
  <c r="I2038" i="2"/>
  <c r="H2038" i="2"/>
  <c r="A2038" i="2"/>
  <c r="I2037" i="2"/>
  <c r="H2037" i="2"/>
  <c r="A2037" i="2"/>
  <c r="I2036" i="2"/>
  <c r="H2036" i="2"/>
  <c r="A2036" i="2"/>
  <c r="I2035" i="2"/>
  <c r="H2035" i="2"/>
  <c r="A2035" i="2"/>
  <c r="I2034" i="2"/>
  <c r="H2034" i="2"/>
  <c r="A2034" i="2"/>
  <c r="I2033" i="2"/>
  <c r="H2033" i="2"/>
  <c r="A2033" i="2"/>
  <c r="I2032" i="2"/>
  <c r="H2032" i="2"/>
  <c r="A2032" i="2"/>
  <c r="I2031" i="2"/>
  <c r="H2031" i="2"/>
  <c r="A2031" i="2"/>
  <c r="I2030" i="2"/>
  <c r="H2030" i="2"/>
  <c r="A2030" i="2"/>
  <c r="I2029" i="2"/>
  <c r="H2029" i="2"/>
  <c r="A2029" i="2"/>
  <c r="I2028" i="2"/>
  <c r="H2028" i="2"/>
  <c r="A2028" i="2"/>
  <c r="I2027" i="2"/>
  <c r="H2027" i="2"/>
  <c r="A2027" i="2"/>
  <c r="I2026" i="2"/>
  <c r="H2026" i="2"/>
  <c r="A2026" i="2"/>
  <c r="I2025" i="2"/>
  <c r="H2025" i="2"/>
  <c r="A2025" i="2"/>
  <c r="I2024" i="2"/>
  <c r="H2024" i="2"/>
  <c r="A2024" i="2"/>
  <c r="I2023" i="2"/>
  <c r="H2023" i="2"/>
  <c r="A2023" i="2"/>
  <c r="I2022" i="2"/>
  <c r="H2022" i="2"/>
  <c r="A2022" i="2"/>
  <c r="I2021" i="2"/>
  <c r="H2021" i="2"/>
  <c r="A2021" i="2"/>
  <c r="I2020" i="2"/>
  <c r="H2020" i="2"/>
  <c r="A2020" i="2"/>
  <c r="I2019" i="2"/>
  <c r="H2019" i="2"/>
  <c r="A2019" i="2"/>
  <c r="I2018" i="2"/>
  <c r="H2018" i="2"/>
  <c r="A2018" i="2"/>
  <c r="I2017" i="2"/>
  <c r="H2017" i="2"/>
  <c r="A2017" i="2"/>
  <c r="I2016" i="2"/>
  <c r="H2016" i="2"/>
  <c r="A2016" i="2"/>
  <c r="I2015" i="2"/>
  <c r="H2015" i="2"/>
  <c r="A2015" i="2"/>
  <c r="I2014" i="2"/>
  <c r="H2014" i="2"/>
  <c r="A2014" i="2"/>
  <c r="I2013" i="2"/>
  <c r="H2013" i="2"/>
  <c r="A2013" i="2"/>
  <c r="I2012" i="2"/>
  <c r="H2012" i="2"/>
  <c r="A2012" i="2"/>
  <c r="I2011" i="2"/>
  <c r="H2011" i="2"/>
  <c r="A2011" i="2"/>
  <c r="I2010" i="2"/>
  <c r="H2010" i="2"/>
  <c r="A2010" i="2"/>
  <c r="I2009" i="2"/>
  <c r="H2009" i="2"/>
  <c r="A2009" i="2"/>
  <c r="I2008" i="2"/>
  <c r="H2008" i="2"/>
  <c r="A2008" i="2"/>
  <c r="I2007" i="2"/>
  <c r="H2007" i="2"/>
  <c r="A2007" i="2"/>
  <c r="I2006" i="2"/>
  <c r="H2006" i="2"/>
  <c r="A2006" i="2"/>
  <c r="I2005" i="2"/>
  <c r="H2005" i="2"/>
  <c r="A2005" i="2"/>
  <c r="I2004" i="2"/>
  <c r="H2004" i="2"/>
  <c r="A2004" i="2"/>
  <c r="I2003" i="2"/>
  <c r="H2003" i="2"/>
  <c r="A2003" i="2"/>
  <c r="I2002" i="2"/>
  <c r="H2002" i="2"/>
  <c r="A2002" i="2"/>
  <c r="I2001" i="2"/>
  <c r="H2001" i="2"/>
  <c r="A2001" i="2"/>
  <c r="I2000" i="2"/>
  <c r="H2000" i="2"/>
  <c r="A2000" i="2"/>
  <c r="I1999" i="2"/>
  <c r="H1999" i="2"/>
  <c r="A1999" i="2"/>
  <c r="I1998" i="2"/>
  <c r="H1998" i="2"/>
  <c r="A1998" i="2"/>
  <c r="I1997" i="2"/>
  <c r="H1997" i="2"/>
  <c r="A1997" i="2"/>
  <c r="I1996" i="2"/>
  <c r="H1996" i="2"/>
  <c r="A1996" i="2"/>
  <c r="I1995" i="2"/>
  <c r="H1995" i="2"/>
  <c r="A1995" i="2"/>
  <c r="I1994" i="2"/>
  <c r="H1994" i="2"/>
  <c r="A1994" i="2"/>
  <c r="I1993" i="2"/>
  <c r="H1993" i="2"/>
  <c r="A1993" i="2"/>
  <c r="I1992" i="2"/>
  <c r="H1992" i="2"/>
  <c r="A1992" i="2"/>
  <c r="I1991" i="2"/>
  <c r="H1991" i="2"/>
  <c r="A1991" i="2"/>
  <c r="I1990" i="2"/>
  <c r="H1990" i="2"/>
  <c r="A1990" i="2"/>
  <c r="I1989" i="2"/>
  <c r="H1989" i="2"/>
  <c r="A1989" i="2"/>
  <c r="I1988" i="2"/>
  <c r="H1988" i="2"/>
  <c r="A1988" i="2"/>
  <c r="I1987" i="2"/>
  <c r="H1987" i="2"/>
  <c r="A1987" i="2"/>
  <c r="I1986" i="2"/>
  <c r="H1986" i="2"/>
  <c r="A1986" i="2"/>
  <c r="I1985" i="2"/>
  <c r="H1985" i="2"/>
  <c r="A1985" i="2"/>
  <c r="I1984" i="2"/>
  <c r="H1984" i="2"/>
  <c r="A1984" i="2"/>
  <c r="I1983" i="2"/>
  <c r="H1983" i="2"/>
  <c r="A1983" i="2"/>
  <c r="I1982" i="2"/>
  <c r="H1982" i="2"/>
  <c r="A1982" i="2"/>
  <c r="I1981" i="2"/>
  <c r="H1981" i="2"/>
  <c r="A1981" i="2"/>
  <c r="I1980" i="2"/>
  <c r="H1980" i="2"/>
  <c r="A1980" i="2"/>
  <c r="I1979" i="2"/>
  <c r="H1979" i="2"/>
  <c r="A1979" i="2"/>
  <c r="I1978" i="2"/>
  <c r="H1978" i="2"/>
  <c r="A1978" i="2"/>
  <c r="I1977" i="2"/>
  <c r="H1977" i="2"/>
  <c r="A1977" i="2"/>
  <c r="I1976" i="2"/>
  <c r="H1976" i="2"/>
  <c r="A1976" i="2"/>
  <c r="I1975" i="2"/>
  <c r="H1975" i="2"/>
  <c r="A1975" i="2"/>
  <c r="I1974" i="2"/>
  <c r="H1974" i="2"/>
  <c r="A1974" i="2"/>
  <c r="I1973" i="2"/>
  <c r="H1973" i="2"/>
  <c r="A1973" i="2"/>
  <c r="I1972" i="2"/>
  <c r="H1972" i="2"/>
  <c r="A1972" i="2"/>
  <c r="I1971" i="2"/>
  <c r="H1971" i="2"/>
  <c r="A1971" i="2"/>
  <c r="I1970" i="2"/>
  <c r="H1970" i="2"/>
  <c r="A1970" i="2"/>
  <c r="I1969" i="2"/>
  <c r="H1969" i="2"/>
  <c r="A1969" i="2"/>
  <c r="I1968" i="2"/>
  <c r="H1968" i="2"/>
  <c r="A1968" i="2"/>
  <c r="I1967" i="2"/>
  <c r="H1967" i="2"/>
  <c r="A1967" i="2"/>
  <c r="I1966" i="2"/>
  <c r="H1966" i="2"/>
  <c r="A1966" i="2"/>
  <c r="I1965" i="2"/>
  <c r="H1965" i="2"/>
  <c r="A1965" i="2"/>
  <c r="I1964" i="2"/>
  <c r="H1964" i="2"/>
  <c r="A1964" i="2"/>
  <c r="I1963" i="2"/>
  <c r="H1963" i="2"/>
  <c r="A1963" i="2"/>
  <c r="I1962" i="2"/>
  <c r="H1962" i="2"/>
  <c r="A1962" i="2"/>
  <c r="I1961" i="2"/>
  <c r="H1961" i="2"/>
  <c r="A1961" i="2"/>
  <c r="I1960" i="2"/>
  <c r="H1960" i="2"/>
  <c r="A1960" i="2"/>
  <c r="I1959" i="2"/>
  <c r="H1959" i="2"/>
  <c r="A1959" i="2"/>
  <c r="I1958" i="2"/>
  <c r="H1958" i="2"/>
  <c r="A1958" i="2"/>
  <c r="I1957" i="2"/>
  <c r="H1957" i="2"/>
  <c r="A1957" i="2"/>
  <c r="I1956" i="2"/>
  <c r="H1956" i="2"/>
  <c r="A1956" i="2"/>
  <c r="I1955" i="2"/>
  <c r="H1955" i="2"/>
  <c r="A1955" i="2"/>
  <c r="I1954" i="2"/>
  <c r="H1954" i="2"/>
  <c r="A1954" i="2"/>
  <c r="I1953" i="2"/>
  <c r="H1953" i="2"/>
  <c r="A1953" i="2"/>
  <c r="I1952" i="2"/>
  <c r="H1952" i="2"/>
  <c r="A1952" i="2"/>
  <c r="I1951" i="2"/>
  <c r="H1951" i="2"/>
  <c r="A1951" i="2"/>
  <c r="I1950" i="2"/>
  <c r="H1950" i="2"/>
  <c r="A1950" i="2"/>
  <c r="I1949" i="2"/>
  <c r="H1949" i="2"/>
  <c r="A1949" i="2"/>
  <c r="I1948" i="2"/>
  <c r="H1948" i="2"/>
  <c r="A1948" i="2"/>
  <c r="I1947" i="2"/>
  <c r="H1947" i="2"/>
  <c r="A1947" i="2"/>
  <c r="I1946" i="2"/>
  <c r="H1946" i="2"/>
  <c r="A1946" i="2"/>
  <c r="I1945" i="2"/>
  <c r="H1945" i="2"/>
  <c r="A1945" i="2"/>
  <c r="I1944" i="2"/>
  <c r="H1944" i="2"/>
  <c r="A1944" i="2"/>
  <c r="I1943" i="2"/>
  <c r="H1943" i="2"/>
  <c r="A1943" i="2"/>
  <c r="I1942" i="2"/>
  <c r="H1942" i="2"/>
  <c r="A1942" i="2"/>
  <c r="I1941" i="2"/>
  <c r="H1941" i="2"/>
  <c r="A1941" i="2"/>
  <c r="I1940" i="2"/>
  <c r="H1940" i="2"/>
  <c r="A1940" i="2"/>
  <c r="I1939" i="2"/>
  <c r="H1939" i="2"/>
  <c r="A1939" i="2"/>
  <c r="I1938" i="2"/>
  <c r="H1938" i="2"/>
  <c r="A1938" i="2"/>
  <c r="I1937" i="2"/>
  <c r="H1937" i="2"/>
  <c r="A1937" i="2"/>
  <c r="I1936" i="2"/>
  <c r="H1936" i="2"/>
  <c r="A1936" i="2"/>
  <c r="I1935" i="2"/>
  <c r="H1935" i="2"/>
  <c r="A1935" i="2"/>
  <c r="I1934" i="2"/>
  <c r="H1934" i="2"/>
  <c r="A1934" i="2"/>
  <c r="I1933" i="2"/>
  <c r="H1933" i="2"/>
  <c r="A1933" i="2"/>
  <c r="I1932" i="2"/>
  <c r="H1932" i="2"/>
  <c r="A1932" i="2"/>
  <c r="I1931" i="2"/>
  <c r="H1931" i="2"/>
  <c r="A1931" i="2"/>
  <c r="I1930" i="2"/>
  <c r="H1930" i="2"/>
  <c r="A1930" i="2"/>
  <c r="I1929" i="2"/>
  <c r="H1929" i="2"/>
  <c r="A1929" i="2"/>
  <c r="I1928" i="2"/>
  <c r="H1928" i="2"/>
  <c r="A1928" i="2"/>
  <c r="I1927" i="2"/>
  <c r="H1927" i="2"/>
  <c r="A1927" i="2"/>
  <c r="I1926" i="2"/>
  <c r="H1926" i="2"/>
  <c r="A1926" i="2"/>
  <c r="I1925" i="2"/>
  <c r="H1925" i="2"/>
  <c r="A1925" i="2"/>
  <c r="I1924" i="2"/>
  <c r="H1924" i="2"/>
  <c r="A1924" i="2"/>
  <c r="I1923" i="2"/>
  <c r="H1923" i="2"/>
  <c r="A1923" i="2"/>
  <c r="I1922" i="2"/>
  <c r="H1922" i="2"/>
  <c r="A1922" i="2"/>
  <c r="I1921" i="2"/>
  <c r="H1921" i="2"/>
  <c r="A1921" i="2"/>
  <c r="I1920" i="2"/>
  <c r="H1920" i="2"/>
  <c r="A1920" i="2"/>
  <c r="I1919" i="2"/>
  <c r="H1919" i="2"/>
  <c r="A1919" i="2"/>
  <c r="I1918" i="2"/>
  <c r="H1918" i="2"/>
  <c r="A1918" i="2"/>
  <c r="I1917" i="2"/>
  <c r="H1917" i="2"/>
  <c r="A1917" i="2"/>
  <c r="I1916" i="2"/>
  <c r="H1916" i="2"/>
  <c r="A1916" i="2"/>
  <c r="I1915" i="2"/>
  <c r="H1915" i="2"/>
  <c r="A1915" i="2"/>
  <c r="I1914" i="2"/>
  <c r="H1914" i="2"/>
  <c r="A1914" i="2"/>
  <c r="I1913" i="2"/>
  <c r="H1913" i="2"/>
  <c r="A1913" i="2"/>
  <c r="I1912" i="2"/>
  <c r="H1912" i="2"/>
  <c r="A1912" i="2"/>
  <c r="I1911" i="2"/>
  <c r="H1911" i="2"/>
  <c r="A1911" i="2"/>
  <c r="I1910" i="2"/>
  <c r="H1910" i="2"/>
  <c r="A1910" i="2"/>
  <c r="I1909" i="2"/>
  <c r="H1909" i="2"/>
  <c r="A1909" i="2"/>
  <c r="I1908" i="2"/>
  <c r="H1908" i="2"/>
  <c r="A1908" i="2"/>
  <c r="I1907" i="2"/>
  <c r="H1907" i="2"/>
  <c r="A1907" i="2"/>
  <c r="I1906" i="2"/>
  <c r="H1906" i="2"/>
  <c r="A1906" i="2"/>
  <c r="I1905" i="2"/>
  <c r="H1905" i="2"/>
  <c r="A1905" i="2"/>
  <c r="I1904" i="2"/>
  <c r="H1904" i="2"/>
  <c r="A1904" i="2"/>
  <c r="I1903" i="2"/>
  <c r="H1903" i="2"/>
  <c r="A1903" i="2"/>
  <c r="I1902" i="2"/>
  <c r="H1902" i="2"/>
  <c r="A1902" i="2"/>
  <c r="I1901" i="2"/>
  <c r="H1901" i="2"/>
  <c r="A1901" i="2"/>
  <c r="I1900" i="2"/>
  <c r="H1900" i="2"/>
  <c r="A1900" i="2"/>
  <c r="I1899" i="2"/>
  <c r="H1899" i="2"/>
  <c r="A1899" i="2"/>
  <c r="I1898" i="2"/>
  <c r="H1898" i="2"/>
  <c r="A1898" i="2"/>
  <c r="I1897" i="2"/>
  <c r="H1897" i="2"/>
  <c r="A1897" i="2"/>
  <c r="I1896" i="2"/>
  <c r="H1896" i="2"/>
  <c r="A1896" i="2"/>
  <c r="I1895" i="2"/>
  <c r="H1895" i="2"/>
  <c r="A1895" i="2"/>
  <c r="I1894" i="2"/>
  <c r="H1894" i="2"/>
  <c r="A1894" i="2"/>
  <c r="I1893" i="2"/>
  <c r="H1893" i="2"/>
  <c r="A1893" i="2"/>
  <c r="I1892" i="2"/>
  <c r="H1892" i="2"/>
  <c r="A1892" i="2"/>
  <c r="I1891" i="2"/>
  <c r="H1891" i="2"/>
  <c r="A1891" i="2"/>
  <c r="I1890" i="2"/>
  <c r="H1890" i="2"/>
  <c r="A1890" i="2"/>
  <c r="I1889" i="2"/>
  <c r="H1889" i="2"/>
  <c r="A1889" i="2"/>
  <c r="I1888" i="2"/>
  <c r="H1888" i="2"/>
  <c r="A1888" i="2"/>
  <c r="I1887" i="2"/>
  <c r="H1887" i="2"/>
  <c r="A1887" i="2"/>
  <c r="I1886" i="2"/>
  <c r="H1886" i="2"/>
  <c r="A1886" i="2"/>
  <c r="I1885" i="2"/>
  <c r="H1885" i="2"/>
  <c r="A1885" i="2"/>
  <c r="I1884" i="2"/>
  <c r="H1884" i="2"/>
  <c r="A1884" i="2"/>
  <c r="I1883" i="2"/>
  <c r="H1883" i="2"/>
  <c r="A1883" i="2"/>
  <c r="I1882" i="2"/>
  <c r="H1882" i="2"/>
  <c r="A1882" i="2"/>
  <c r="I1881" i="2"/>
  <c r="H1881" i="2"/>
  <c r="A1881" i="2"/>
  <c r="I1880" i="2"/>
  <c r="H1880" i="2"/>
  <c r="A1880" i="2"/>
  <c r="I1879" i="2"/>
  <c r="H1879" i="2"/>
  <c r="A1879" i="2"/>
  <c r="I1878" i="2"/>
  <c r="H1878" i="2"/>
  <c r="A1878" i="2"/>
  <c r="I1877" i="2"/>
  <c r="H1877" i="2"/>
  <c r="A1877" i="2"/>
  <c r="I1876" i="2"/>
  <c r="H1876" i="2"/>
  <c r="A1876" i="2"/>
  <c r="I1875" i="2"/>
  <c r="H1875" i="2"/>
  <c r="A1875" i="2"/>
  <c r="I1874" i="2"/>
  <c r="H1874" i="2"/>
  <c r="A1874" i="2"/>
  <c r="I1873" i="2"/>
  <c r="H1873" i="2"/>
  <c r="A1873" i="2"/>
  <c r="I1872" i="2"/>
  <c r="H1872" i="2"/>
  <c r="A1872" i="2"/>
  <c r="I1871" i="2"/>
  <c r="H1871" i="2"/>
  <c r="A1871" i="2"/>
  <c r="I1870" i="2"/>
  <c r="H1870" i="2"/>
  <c r="A1870" i="2"/>
  <c r="I1869" i="2"/>
  <c r="H1869" i="2"/>
  <c r="A1869" i="2"/>
  <c r="I1868" i="2"/>
  <c r="H1868" i="2"/>
  <c r="A1868" i="2"/>
  <c r="I1867" i="2"/>
  <c r="H1867" i="2"/>
  <c r="A1867" i="2"/>
  <c r="I1866" i="2"/>
  <c r="H1866" i="2"/>
  <c r="A1866" i="2"/>
  <c r="I1865" i="2"/>
  <c r="H1865" i="2"/>
  <c r="A1865" i="2"/>
  <c r="I1864" i="2"/>
  <c r="H1864" i="2"/>
  <c r="A1864" i="2"/>
  <c r="I1863" i="2"/>
  <c r="H1863" i="2"/>
  <c r="A1863" i="2"/>
  <c r="I1862" i="2"/>
  <c r="H1862" i="2"/>
  <c r="A1862" i="2"/>
  <c r="I1861" i="2"/>
  <c r="H1861" i="2"/>
  <c r="A1861" i="2"/>
  <c r="I1860" i="2"/>
  <c r="H1860" i="2"/>
  <c r="A1860" i="2"/>
  <c r="I1859" i="2"/>
  <c r="H1859" i="2"/>
  <c r="A1859" i="2"/>
  <c r="I1858" i="2"/>
  <c r="H1858" i="2"/>
  <c r="A1858" i="2"/>
  <c r="I1857" i="2"/>
  <c r="H1857" i="2"/>
  <c r="A1857" i="2"/>
  <c r="I1856" i="2"/>
  <c r="H1856" i="2"/>
  <c r="A1856" i="2"/>
  <c r="I1855" i="2"/>
  <c r="H1855" i="2"/>
  <c r="A1855" i="2"/>
  <c r="I1854" i="2"/>
  <c r="H1854" i="2"/>
  <c r="A1854" i="2"/>
  <c r="I1853" i="2"/>
  <c r="H1853" i="2"/>
  <c r="A1853" i="2"/>
  <c r="I1852" i="2"/>
  <c r="H1852" i="2"/>
  <c r="A1852" i="2"/>
  <c r="I1851" i="2"/>
  <c r="H1851" i="2"/>
  <c r="A1851" i="2"/>
  <c r="I1850" i="2"/>
  <c r="H1850" i="2"/>
  <c r="A1850" i="2"/>
  <c r="I1849" i="2"/>
  <c r="H1849" i="2"/>
  <c r="A1849" i="2"/>
  <c r="I1848" i="2"/>
  <c r="H1848" i="2"/>
  <c r="A1848" i="2"/>
  <c r="I1847" i="2"/>
  <c r="H1847" i="2"/>
  <c r="A1847" i="2"/>
  <c r="I1846" i="2"/>
  <c r="H1846" i="2"/>
  <c r="A1846" i="2"/>
  <c r="I1845" i="2"/>
  <c r="H1845" i="2"/>
  <c r="A1845" i="2"/>
  <c r="I1844" i="2"/>
  <c r="H1844" i="2"/>
  <c r="A1844" i="2"/>
  <c r="I1843" i="2"/>
  <c r="H1843" i="2"/>
  <c r="A1843" i="2"/>
  <c r="I1842" i="2"/>
  <c r="H1842" i="2"/>
  <c r="A1842" i="2"/>
  <c r="I1841" i="2"/>
  <c r="H1841" i="2"/>
  <c r="A1841" i="2"/>
  <c r="I1840" i="2"/>
  <c r="H1840" i="2"/>
  <c r="A1840" i="2"/>
  <c r="I1839" i="2"/>
  <c r="H1839" i="2"/>
  <c r="A1839" i="2"/>
  <c r="I1838" i="2"/>
  <c r="H1838" i="2"/>
  <c r="A1838" i="2"/>
  <c r="I1837" i="2"/>
  <c r="H1837" i="2"/>
  <c r="A1837" i="2"/>
  <c r="I1836" i="2"/>
  <c r="H1836" i="2"/>
  <c r="A1836" i="2"/>
  <c r="I1835" i="2"/>
  <c r="H1835" i="2"/>
  <c r="A1835" i="2"/>
  <c r="I1834" i="2"/>
  <c r="H1834" i="2"/>
  <c r="A1834" i="2"/>
  <c r="I1833" i="2"/>
  <c r="H1833" i="2"/>
  <c r="A1833" i="2"/>
  <c r="I1832" i="2"/>
  <c r="H1832" i="2"/>
  <c r="A1832" i="2"/>
  <c r="I1831" i="2"/>
  <c r="H1831" i="2"/>
  <c r="A1831" i="2"/>
  <c r="I1830" i="2"/>
  <c r="H1830" i="2"/>
  <c r="A1830" i="2"/>
  <c r="I1829" i="2"/>
  <c r="H1829" i="2"/>
  <c r="A1829" i="2"/>
  <c r="I1828" i="2"/>
  <c r="H1828" i="2"/>
  <c r="A1828" i="2"/>
  <c r="I1827" i="2"/>
  <c r="H1827" i="2"/>
  <c r="A1827" i="2"/>
  <c r="I1826" i="2"/>
  <c r="H1826" i="2"/>
  <c r="A1826" i="2"/>
  <c r="I1825" i="2"/>
  <c r="H1825" i="2"/>
  <c r="A1825" i="2"/>
  <c r="I1824" i="2"/>
  <c r="H1824" i="2"/>
  <c r="A1824" i="2"/>
  <c r="I1823" i="2"/>
  <c r="H1823" i="2"/>
  <c r="A1823" i="2"/>
  <c r="I1822" i="2"/>
  <c r="H1822" i="2"/>
  <c r="A1822" i="2"/>
  <c r="I1821" i="2"/>
  <c r="H1821" i="2"/>
  <c r="A1821" i="2"/>
  <c r="I1820" i="2"/>
  <c r="H1820" i="2"/>
  <c r="A1820" i="2"/>
  <c r="I1819" i="2"/>
  <c r="H1819" i="2"/>
  <c r="A1819" i="2"/>
  <c r="I1818" i="2"/>
  <c r="H1818" i="2"/>
  <c r="A1818" i="2"/>
  <c r="I1817" i="2"/>
  <c r="H1817" i="2"/>
  <c r="A1817" i="2"/>
  <c r="I1816" i="2"/>
  <c r="H1816" i="2"/>
  <c r="A1816" i="2"/>
  <c r="I1815" i="2"/>
  <c r="H1815" i="2"/>
  <c r="A1815" i="2"/>
  <c r="I1814" i="2"/>
  <c r="H1814" i="2"/>
  <c r="A1814" i="2"/>
  <c r="I1813" i="2"/>
  <c r="H1813" i="2"/>
  <c r="A1813" i="2"/>
  <c r="I1812" i="2"/>
  <c r="H1812" i="2"/>
  <c r="A1812" i="2"/>
  <c r="I1811" i="2"/>
  <c r="H1811" i="2"/>
  <c r="A1811" i="2"/>
  <c r="I1810" i="2"/>
  <c r="H1810" i="2"/>
  <c r="A1810" i="2"/>
  <c r="I1809" i="2"/>
  <c r="H1809" i="2"/>
  <c r="A1809" i="2"/>
  <c r="I1808" i="2"/>
  <c r="H1808" i="2"/>
  <c r="A1808" i="2"/>
  <c r="I1807" i="2"/>
  <c r="H1807" i="2"/>
  <c r="A1807" i="2"/>
  <c r="I1806" i="2"/>
  <c r="H1806" i="2"/>
  <c r="A1806" i="2"/>
  <c r="I1805" i="2"/>
  <c r="H1805" i="2"/>
  <c r="A1805" i="2"/>
  <c r="I1804" i="2"/>
  <c r="H1804" i="2"/>
  <c r="A1804" i="2"/>
  <c r="I1803" i="2"/>
  <c r="H1803" i="2"/>
  <c r="A1803" i="2"/>
  <c r="I1802" i="2"/>
  <c r="H1802" i="2"/>
  <c r="A1802" i="2"/>
  <c r="I1801" i="2"/>
  <c r="H1801" i="2"/>
  <c r="A1801" i="2"/>
  <c r="I1800" i="2"/>
  <c r="H1800" i="2"/>
  <c r="A1800" i="2"/>
  <c r="I1799" i="2"/>
  <c r="H1799" i="2"/>
  <c r="A1799" i="2"/>
  <c r="I1798" i="2"/>
  <c r="H1798" i="2"/>
  <c r="A1798" i="2"/>
  <c r="I1797" i="2"/>
  <c r="H1797" i="2"/>
  <c r="A1797" i="2"/>
  <c r="I1796" i="2"/>
  <c r="H1796" i="2"/>
  <c r="A1796" i="2"/>
  <c r="I1795" i="2"/>
  <c r="H1795" i="2"/>
  <c r="A1795" i="2"/>
  <c r="I1794" i="2"/>
  <c r="H1794" i="2"/>
  <c r="A1794" i="2"/>
  <c r="I1793" i="2"/>
  <c r="H1793" i="2"/>
  <c r="A1793" i="2"/>
  <c r="I1792" i="2"/>
  <c r="H1792" i="2"/>
  <c r="A1792" i="2"/>
  <c r="I1791" i="2"/>
  <c r="H1791" i="2"/>
  <c r="A1791" i="2"/>
  <c r="I1790" i="2"/>
  <c r="H1790" i="2"/>
  <c r="A1790" i="2"/>
  <c r="I1789" i="2"/>
  <c r="H1789" i="2"/>
  <c r="A1789" i="2"/>
  <c r="I1788" i="2"/>
  <c r="H1788" i="2"/>
  <c r="A1788" i="2"/>
  <c r="I1787" i="2"/>
  <c r="H1787" i="2"/>
  <c r="A1787" i="2"/>
  <c r="I1786" i="2"/>
  <c r="H1786" i="2"/>
  <c r="A1786" i="2"/>
  <c r="I1785" i="2"/>
  <c r="H1785" i="2"/>
  <c r="A1785" i="2"/>
  <c r="I1784" i="2"/>
  <c r="H1784" i="2"/>
  <c r="A1784" i="2"/>
  <c r="I1783" i="2"/>
  <c r="H1783" i="2"/>
  <c r="A1783" i="2"/>
  <c r="I1782" i="2"/>
  <c r="H1782" i="2"/>
  <c r="A1782" i="2"/>
  <c r="I1781" i="2"/>
  <c r="H1781" i="2"/>
  <c r="A1781" i="2"/>
  <c r="I1780" i="2"/>
  <c r="H1780" i="2"/>
  <c r="A1780" i="2"/>
  <c r="I1779" i="2"/>
  <c r="H1779" i="2"/>
  <c r="A1779" i="2"/>
  <c r="I1778" i="2"/>
  <c r="H1778" i="2"/>
  <c r="A1778" i="2"/>
  <c r="I1777" i="2"/>
  <c r="H1777" i="2"/>
  <c r="A1777" i="2"/>
  <c r="I1776" i="2"/>
  <c r="H1776" i="2"/>
  <c r="A1776" i="2"/>
  <c r="I1775" i="2"/>
  <c r="H1775" i="2"/>
  <c r="A1775" i="2"/>
  <c r="I1774" i="2"/>
  <c r="H1774" i="2"/>
  <c r="A1774" i="2"/>
  <c r="I1773" i="2"/>
  <c r="H1773" i="2"/>
  <c r="A1773" i="2"/>
  <c r="I1772" i="2"/>
  <c r="H1772" i="2"/>
  <c r="A1772" i="2"/>
  <c r="I1771" i="2"/>
  <c r="H1771" i="2"/>
  <c r="A1771" i="2"/>
  <c r="I1770" i="2"/>
  <c r="H1770" i="2"/>
  <c r="A1770" i="2"/>
  <c r="I1769" i="2"/>
  <c r="H1769" i="2"/>
  <c r="A1769" i="2"/>
  <c r="I1768" i="2"/>
  <c r="H1768" i="2"/>
  <c r="A1768" i="2"/>
  <c r="I1767" i="2"/>
  <c r="H1767" i="2"/>
  <c r="A1767" i="2"/>
  <c r="I1766" i="2"/>
  <c r="H1766" i="2"/>
  <c r="A1766" i="2"/>
  <c r="I1765" i="2"/>
  <c r="H1765" i="2"/>
  <c r="A1765" i="2"/>
  <c r="I1764" i="2"/>
  <c r="H1764" i="2"/>
  <c r="A1764" i="2"/>
  <c r="I1763" i="2"/>
  <c r="H1763" i="2"/>
  <c r="A1763" i="2"/>
  <c r="I1762" i="2"/>
  <c r="H1762" i="2"/>
  <c r="A1762" i="2"/>
  <c r="I1761" i="2"/>
  <c r="H1761" i="2"/>
  <c r="A1761" i="2"/>
  <c r="I1760" i="2"/>
  <c r="H1760" i="2"/>
  <c r="A1760" i="2"/>
  <c r="I1759" i="2"/>
  <c r="H1759" i="2"/>
  <c r="A1759" i="2"/>
  <c r="I1758" i="2"/>
  <c r="H1758" i="2"/>
  <c r="A1758" i="2"/>
  <c r="I1757" i="2"/>
  <c r="H1757" i="2"/>
  <c r="A1757" i="2"/>
  <c r="I1756" i="2"/>
  <c r="H1756" i="2"/>
  <c r="A1756" i="2"/>
  <c r="I1755" i="2"/>
  <c r="H1755" i="2"/>
  <c r="A1755" i="2"/>
  <c r="I1754" i="2"/>
  <c r="H1754" i="2"/>
  <c r="A1754" i="2"/>
  <c r="I1753" i="2"/>
  <c r="H1753" i="2"/>
  <c r="A1753" i="2"/>
  <c r="I1752" i="2"/>
  <c r="H1752" i="2"/>
  <c r="A1752" i="2"/>
  <c r="I1751" i="2"/>
  <c r="H1751" i="2"/>
  <c r="A1751" i="2"/>
  <c r="I1750" i="2"/>
  <c r="H1750" i="2"/>
  <c r="A1750" i="2"/>
  <c r="I1749" i="2"/>
  <c r="H1749" i="2"/>
  <c r="A1749" i="2"/>
  <c r="I1748" i="2"/>
  <c r="H1748" i="2"/>
  <c r="A1748" i="2"/>
  <c r="I1747" i="2"/>
  <c r="H1747" i="2"/>
  <c r="A1747" i="2"/>
  <c r="I1746" i="2"/>
  <c r="H1746" i="2"/>
  <c r="A1746" i="2"/>
  <c r="I1745" i="2"/>
  <c r="H1745" i="2"/>
  <c r="A1745" i="2"/>
  <c r="I1744" i="2"/>
  <c r="H1744" i="2"/>
  <c r="A1744" i="2"/>
  <c r="I1743" i="2"/>
  <c r="H1743" i="2"/>
  <c r="A1743" i="2"/>
  <c r="I1742" i="2"/>
  <c r="H1742" i="2"/>
  <c r="A1742" i="2"/>
  <c r="I1741" i="2"/>
  <c r="H1741" i="2"/>
  <c r="A1741" i="2"/>
  <c r="I1740" i="2"/>
  <c r="H1740" i="2"/>
  <c r="A1740" i="2"/>
  <c r="I1739" i="2"/>
  <c r="H1739" i="2"/>
  <c r="A1739" i="2"/>
  <c r="I1738" i="2"/>
  <c r="H1738" i="2"/>
  <c r="A1738" i="2"/>
  <c r="I1737" i="2"/>
  <c r="H1737" i="2"/>
  <c r="A1737" i="2"/>
  <c r="I1736" i="2"/>
  <c r="H1736" i="2"/>
  <c r="A1736" i="2"/>
  <c r="I1735" i="2"/>
  <c r="H1735" i="2"/>
  <c r="A1735" i="2"/>
  <c r="I1734" i="2"/>
  <c r="H1734" i="2"/>
  <c r="A1734" i="2"/>
  <c r="I1733" i="2"/>
  <c r="H1733" i="2"/>
  <c r="A1733" i="2"/>
  <c r="I1732" i="2"/>
  <c r="H1732" i="2"/>
  <c r="A1732" i="2"/>
  <c r="I1731" i="2"/>
  <c r="H1731" i="2"/>
  <c r="A1731" i="2"/>
  <c r="I1730" i="2"/>
  <c r="H1730" i="2"/>
  <c r="A1730" i="2"/>
  <c r="I1729" i="2"/>
  <c r="H1729" i="2"/>
  <c r="A1729" i="2"/>
  <c r="I1728" i="2"/>
  <c r="H1728" i="2"/>
  <c r="A1728" i="2"/>
  <c r="I1727" i="2"/>
  <c r="H1727" i="2"/>
  <c r="A1727" i="2"/>
  <c r="I1726" i="2"/>
  <c r="H1726" i="2"/>
  <c r="A1726" i="2"/>
  <c r="I1725" i="2"/>
  <c r="H1725" i="2"/>
  <c r="A1725" i="2"/>
  <c r="I1724" i="2"/>
  <c r="H1724" i="2"/>
  <c r="A1724" i="2"/>
  <c r="I1723" i="2"/>
  <c r="H1723" i="2"/>
  <c r="A1723" i="2"/>
  <c r="I1722" i="2"/>
  <c r="H1722" i="2"/>
  <c r="A1722" i="2"/>
  <c r="I1721" i="2"/>
  <c r="H1721" i="2"/>
  <c r="A1721" i="2"/>
  <c r="I1720" i="2"/>
  <c r="H1720" i="2"/>
  <c r="A1720" i="2"/>
  <c r="I1719" i="2"/>
  <c r="H1719" i="2"/>
  <c r="A1719" i="2"/>
  <c r="I1718" i="2"/>
  <c r="H1718" i="2"/>
  <c r="A1718" i="2"/>
  <c r="I1717" i="2"/>
  <c r="H1717" i="2"/>
  <c r="A1717" i="2"/>
  <c r="I1716" i="2"/>
  <c r="H1716" i="2"/>
  <c r="A1716" i="2"/>
  <c r="I1715" i="2"/>
  <c r="H1715" i="2"/>
  <c r="A1715" i="2"/>
  <c r="I1714" i="2"/>
  <c r="H1714" i="2"/>
  <c r="A1714" i="2"/>
  <c r="I1713" i="2"/>
  <c r="H1713" i="2"/>
  <c r="A1713" i="2"/>
  <c r="I1712" i="2"/>
  <c r="H1712" i="2"/>
  <c r="A1712" i="2"/>
  <c r="I1711" i="2"/>
  <c r="H1711" i="2"/>
  <c r="A1711" i="2"/>
  <c r="I1710" i="2"/>
  <c r="H1710" i="2"/>
  <c r="A1710" i="2"/>
  <c r="I1709" i="2"/>
  <c r="H1709" i="2"/>
  <c r="A1709" i="2"/>
  <c r="I1708" i="2"/>
  <c r="H1708" i="2"/>
  <c r="A1708" i="2"/>
  <c r="I1707" i="2"/>
  <c r="H1707" i="2"/>
  <c r="A1707" i="2"/>
  <c r="I1706" i="2"/>
  <c r="H1706" i="2"/>
  <c r="A1706" i="2"/>
  <c r="I1705" i="2"/>
  <c r="H1705" i="2"/>
  <c r="A1705" i="2"/>
  <c r="I1704" i="2"/>
  <c r="H1704" i="2"/>
  <c r="A1704" i="2"/>
  <c r="I1703" i="2"/>
  <c r="H1703" i="2"/>
  <c r="A1703" i="2"/>
  <c r="I1702" i="2"/>
  <c r="H1702" i="2"/>
  <c r="A1702" i="2"/>
  <c r="I1701" i="2"/>
  <c r="H1701" i="2"/>
  <c r="A1701" i="2"/>
  <c r="I1700" i="2"/>
  <c r="H1700" i="2"/>
  <c r="A1700" i="2"/>
  <c r="I1699" i="2"/>
  <c r="H1699" i="2"/>
  <c r="A1699" i="2"/>
  <c r="I1698" i="2"/>
  <c r="H1698" i="2"/>
  <c r="A1698" i="2"/>
  <c r="I1697" i="2"/>
  <c r="H1697" i="2"/>
  <c r="A1697" i="2"/>
  <c r="I1696" i="2"/>
  <c r="H1696" i="2"/>
  <c r="A1696" i="2"/>
  <c r="I1695" i="2"/>
  <c r="H1695" i="2"/>
  <c r="A1695" i="2"/>
  <c r="I1694" i="2"/>
  <c r="H1694" i="2"/>
  <c r="A1694" i="2"/>
  <c r="I1693" i="2"/>
  <c r="H1693" i="2"/>
  <c r="A1693" i="2"/>
  <c r="I1692" i="2"/>
  <c r="H1692" i="2"/>
  <c r="A1692" i="2"/>
  <c r="I1691" i="2"/>
  <c r="H1691" i="2"/>
  <c r="A1691" i="2"/>
  <c r="I1690" i="2"/>
  <c r="H1690" i="2"/>
  <c r="A1690" i="2"/>
  <c r="I1689" i="2"/>
  <c r="H1689" i="2"/>
  <c r="A1689" i="2"/>
  <c r="I1688" i="2"/>
  <c r="H1688" i="2"/>
  <c r="A1688" i="2"/>
  <c r="I1687" i="2"/>
  <c r="H1687" i="2"/>
  <c r="A1687" i="2"/>
  <c r="I1686" i="2"/>
  <c r="H1686" i="2"/>
  <c r="A1686" i="2"/>
  <c r="I1685" i="2"/>
  <c r="H1685" i="2"/>
  <c r="A1685" i="2"/>
  <c r="I1684" i="2"/>
  <c r="H1684" i="2"/>
  <c r="A1684" i="2"/>
  <c r="I1683" i="2"/>
  <c r="H1683" i="2"/>
  <c r="A1683" i="2"/>
  <c r="I1682" i="2"/>
  <c r="H1682" i="2"/>
  <c r="A1682" i="2"/>
  <c r="I1681" i="2"/>
  <c r="H1681" i="2"/>
  <c r="A1681" i="2"/>
  <c r="I1680" i="2"/>
  <c r="H1680" i="2"/>
  <c r="A1680" i="2"/>
  <c r="I1679" i="2"/>
  <c r="H1679" i="2"/>
  <c r="A1679" i="2"/>
  <c r="I1678" i="2"/>
  <c r="H1678" i="2"/>
  <c r="A1678" i="2"/>
  <c r="I1677" i="2"/>
  <c r="H1677" i="2"/>
  <c r="A1677" i="2"/>
  <c r="I1676" i="2"/>
  <c r="H1676" i="2"/>
  <c r="A1676" i="2"/>
  <c r="I1675" i="2"/>
  <c r="H1675" i="2"/>
  <c r="A1675" i="2"/>
  <c r="I1674" i="2"/>
  <c r="H1674" i="2"/>
  <c r="A1674" i="2"/>
  <c r="I1673" i="2"/>
  <c r="H1673" i="2"/>
  <c r="A1673" i="2"/>
  <c r="I1672" i="2"/>
  <c r="H1672" i="2"/>
  <c r="A1672" i="2"/>
  <c r="I1671" i="2"/>
  <c r="H1671" i="2"/>
  <c r="A1671" i="2"/>
  <c r="I1670" i="2"/>
  <c r="H1670" i="2"/>
  <c r="A1670" i="2"/>
  <c r="I1669" i="2"/>
  <c r="H1669" i="2"/>
  <c r="A1669" i="2"/>
  <c r="I1668" i="2"/>
  <c r="H1668" i="2"/>
  <c r="A1668" i="2"/>
  <c r="I1667" i="2"/>
  <c r="H1667" i="2"/>
  <c r="A1667" i="2"/>
  <c r="I1666" i="2"/>
  <c r="H1666" i="2"/>
  <c r="A1666" i="2"/>
  <c r="I1665" i="2"/>
  <c r="H1665" i="2"/>
  <c r="A1665" i="2"/>
  <c r="I1664" i="2"/>
  <c r="H1664" i="2"/>
  <c r="A1664" i="2"/>
  <c r="I1663" i="2"/>
  <c r="H1663" i="2"/>
  <c r="A1663" i="2"/>
  <c r="I1662" i="2"/>
  <c r="H1662" i="2"/>
  <c r="A1662" i="2"/>
  <c r="I1661" i="2"/>
  <c r="H1661" i="2"/>
  <c r="A1661" i="2"/>
  <c r="I1660" i="2"/>
  <c r="H1660" i="2"/>
  <c r="A1660" i="2"/>
  <c r="I1659" i="2"/>
  <c r="H1659" i="2"/>
  <c r="A1659" i="2"/>
  <c r="I1658" i="2"/>
  <c r="H1658" i="2"/>
  <c r="A1658" i="2"/>
  <c r="I1657" i="2"/>
  <c r="H1657" i="2"/>
  <c r="A1657" i="2"/>
  <c r="I1656" i="2"/>
  <c r="H1656" i="2"/>
  <c r="A1656" i="2"/>
  <c r="I1655" i="2"/>
  <c r="H1655" i="2"/>
  <c r="A1655" i="2"/>
  <c r="I1654" i="2"/>
  <c r="H1654" i="2"/>
  <c r="A1654" i="2"/>
  <c r="I1653" i="2"/>
  <c r="H1653" i="2"/>
  <c r="A1653" i="2"/>
  <c r="I1652" i="2"/>
  <c r="H1652" i="2"/>
  <c r="A1652" i="2"/>
  <c r="I1651" i="2"/>
  <c r="H1651" i="2"/>
  <c r="A1651" i="2"/>
  <c r="I1650" i="2"/>
  <c r="H1650" i="2"/>
  <c r="A1650" i="2"/>
  <c r="I1649" i="2"/>
  <c r="H1649" i="2"/>
  <c r="A1649" i="2"/>
  <c r="I1648" i="2"/>
  <c r="H1648" i="2"/>
  <c r="A1648" i="2"/>
  <c r="I1647" i="2"/>
  <c r="H1647" i="2"/>
  <c r="A1647" i="2"/>
  <c r="I1646" i="2"/>
  <c r="H1646" i="2"/>
  <c r="A1646" i="2"/>
  <c r="I1645" i="2"/>
  <c r="H1645" i="2"/>
  <c r="A1645" i="2"/>
  <c r="I1644" i="2"/>
  <c r="H1644" i="2"/>
  <c r="A1644" i="2"/>
  <c r="I1643" i="2"/>
  <c r="H1643" i="2"/>
  <c r="A1643" i="2"/>
  <c r="I1642" i="2"/>
  <c r="H1642" i="2"/>
  <c r="A1642" i="2"/>
  <c r="I1641" i="2"/>
  <c r="H1641" i="2"/>
  <c r="A1641" i="2"/>
  <c r="I1640" i="2"/>
  <c r="H1640" i="2"/>
  <c r="A1640" i="2"/>
  <c r="I1639" i="2"/>
  <c r="H1639" i="2"/>
  <c r="A1639" i="2"/>
  <c r="I1638" i="2"/>
  <c r="H1638" i="2"/>
  <c r="A1638" i="2"/>
  <c r="I1637" i="2"/>
  <c r="H1637" i="2"/>
  <c r="A1637" i="2"/>
  <c r="I1636" i="2"/>
  <c r="H1636" i="2"/>
  <c r="A1636" i="2"/>
  <c r="I1635" i="2"/>
  <c r="H1635" i="2"/>
  <c r="A1635" i="2"/>
  <c r="I1634" i="2"/>
  <c r="H1634" i="2"/>
  <c r="A1634" i="2"/>
  <c r="I1633" i="2"/>
  <c r="H1633" i="2"/>
  <c r="A1633" i="2"/>
  <c r="I1632" i="2"/>
  <c r="H1632" i="2"/>
  <c r="A1632" i="2"/>
  <c r="I1631" i="2"/>
  <c r="H1631" i="2"/>
  <c r="A1631" i="2"/>
  <c r="I1630" i="2"/>
  <c r="H1630" i="2"/>
  <c r="A1630" i="2"/>
  <c r="I1629" i="2"/>
  <c r="H1629" i="2"/>
  <c r="A1629" i="2"/>
  <c r="I1628" i="2"/>
  <c r="H1628" i="2"/>
  <c r="A1628" i="2"/>
  <c r="I1627" i="2"/>
  <c r="H1627" i="2"/>
  <c r="A1627" i="2"/>
  <c r="I1626" i="2"/>
  <c r="H1626" i="2"/>
  <c r="A1626" i="2"/>
  <c r="I1625" i="2"/>
  <c r="H1625" i="2"/>
  <c r="A1625" i="2"/>
  <c r="I1624" i="2"/>
  <c r="H1624" i="2"/>
  <c r="A1624" i="2"/>
  <c r="I1623" i="2"/>
  <c r="H1623" i="2"/>
  <c r="A1623" i="2"/>
  <c r="I1622" i="2"/>
  <c r="H1622" i="2"/>
  <c r="A1622" i="2"/>
  <c r="I1621" i="2"/>
  <c r="H1621" i="2"/>
  <c r="A1621" i="2"/>
  <c r="I1620" i="2"/>
  <c r="H1620" i="2"/>
  <c r="A1620" i="2"/>
  <c r="I1619" i="2"/>
  <c r="H1619" i="2"/>
  <c r="A1619" i="2"/>
  <c r="I1618" i="2"/>
  <c r="H1618" i="2"/>
  <c r="A1618" i="2"/>
  <c r="I1617" i="2"/>
  <c r="H1617" i="2"/>
  <c r="A1617" i="2"/>
  <c r="I1616" i="2"/>
  <c r="H1616" i="2"/>
  <c r="A1616" i="2"/>
  <c r="I1615" i="2"/>
  <c r="H1615" i="2"/>
  <c r="A1615" i="2"/>
  <c r="I1614" i="2"/>
  <c r="H1614" i="2"/>
  <c r="A1614" i="2"/>
  <c r="I1613" i="2"/>
  <c r="H1613" i="2"/>
  <c r="A1613" i="2"/>
  <c r="I1612" i="2"/>
  <c r="H1612" i="2"/>
  <c r="A1612" i="2"/>
  <c r="I1611" i="2"/>
  <c r="H1611" i="2"/>
  <c r="A1611" i="2"/>
  <c r="I1610" i="2"/>
  <c r="H1610" i="2"/>
  <c r="A1610" i="2"/>
  <c r="I1609" i="2"/>
  <c r="H1609" i="2"/>
  <c r="A1609" i="2"/>
  <c r="I1608" i="2"/>
  <c r="H1608" i="2"/>
  <c r="A1608" i="2"/>
  <c r="I1607" i="2"/>
  <c r="H1607" i="2"/>
  <c r="A1607" i="2"/>
  <c r="I1606" i="2"/>
  <c r="H1606" i="2"/>
  <c r="A1606" i="2"/>
  <c r="I1605" i="2"/>
  <c r="H1605" i="2"/>
  <c r="A1605" i="2"/>
  <c r="I1604" i="2"/>
  <c r="H1604" i="2"/>
  <c r="A1604" i="2"/>
  <c r="I1603" i="2"/>
  <c r="H1603" i="2"/>
  <c r="A1603" i="2"/>
  <c r="I1602" i="2"/>
  <c r="H1602" i="2"/>
  <c r="A1602" i="2"/>
  <c r="I1601" i="2"/>
  <c r="H1601" i="2"/>
  <c r="A1601" i="2"/>
  <c r="I1600" i="2"/>
  <c r="H1600" i="2"/>
  <c r="A1600" i="2"/>
  <c r="I1599" i="2"/>
  <c r="H1599" i="2"/>
  <c r="A1599" i="2"/>
  <c r="I1598" i="2"/>
  <c r="H1598" i="2"/>
  <c r="A1598" i="2"/>
  <c r="I1597" i="2"/>
  <c r="H1597" i="2"/>
  <c r="A1597" i="2"/>
  <c r="I1596" i="2"/>
  <c r="H1596" i="2"/>
  <c r="A1596" i="2"/>
  <c r="I1595" i="2"/>
  <c r="H1595" i="2"/>
  <c r="A1595" i="2"/>
  <c r="I1594" i="2"/>
  <c r="H1594" i="2"/>
  <c r="A1594" i="2"/>
  <c r="I1593" i="2"/>
  <c r="H1593" i="2"/>
  <c r="A1593" i="2"/>
  <c r="I1592" i="2"/>
  <c r="H1592" i="2"/>
  <c r="A1592" i="2"/>
  <c r="I1591" i="2"/>
  <c r="H1591" i="2"/>
  <c r="A1591" i="2"/>
  <c r="I1590" i="2"/>
  <c r="H1590" i="2"/>
  <c r="A1590" i="2"/>
  <c r="I1589" i="2"/>
  <c r="H1589" i="2"/>
  <c r="A1589" i="2"/>
  <c r="I1588" i="2"/>
  <c r="H1588" i="2"/>
  <c r="A1588" i="2"/>
  <c r="I1587" i="2"/>
  <c r="H1587" i="2"/>
  <c r="A1587" i="2"/>
  <c r="I1586" i="2"/>
  <c r="H1586" i="2"/>
  <c r="A1586" i="2"/>
  <c r="I1585" i="2"/>
  <c r="H1585" i="2"/>
  <c r="A1585" i="2"/>
  <c r="I1584" i="2"/>
  <c r="H1584" i="2"/>
  <c r="A1584" i="2"/>
  <c r="I1583" i="2"/>
  <c r="H1583" i="2"/>
  <c r="A1583" i="2"/>
  <c r="I1582" i="2"/>
  <c r="H1582" i="2"/>
  <c r="A1582" i="2"/>
  <c r="I1581" i="2"/>
  <c r="H1581" i="2"/>
  <c r="A1581" i="2"/>
  <c r="I1580" i="2"/>
  <c r="H1580" i="2"/>
  <c r="A1580" i="2"/>
  <c r="I1579" i="2"/>
  <c r="H1579" i="2"/>
  <c r="A1579" i="2"/>
  <c r="I1578" i="2"/>
  <c r="H1578" i="2"/>
  <c r="A1578" i="2"/>
  <c r="I1577" i="2"/>
  <c r="H1577" i="2"/>
  <c r="A1577" i="2"/>
  <c r="I1576" i="2"/>
  <c r="H1576" i="2"/>
  <c r="A1576" i="2"/>
  <c r="I1575" i="2"/>
  <c r="H1575" i="2"/>
  <c r="A1575" i="2"/>
  <c r="I1574" i="2"/>
  <c r="H1574" i="2"/>
  <c r="A1574" i="2"/>
  <c r="I1573" i="2"/>
  <c r="H1573" i="2"/>
  <c r="A1573" i="2"/>
  <c r="I1572" i="2"/>
  <c r="H1572" i="2"/>
  <c r="A1572" i="2"/>
  <c r="I1571" i="2"/>
  <c r="H1571" i="2"/>
  <c r="A1571" i="2"/>
  <c r="I1570" i="2"/>
  <c r="H1570" i="2"/>
  <c r="A1570" i="2"/>
  <c r="I1569" i="2"/>
  <c r="H1569" i="2"/>
  <c r="A1569" i="2"/>
  <c r="I1568" i="2"/>
  <c r="H1568" i="2"/>
  <c r="A1568" i="2"/>
  <c r="I1567" i="2"/>
  <c r="H1567" i="2"/>
  <c r="A1567" i="2"/>
  <c r="I1566" i="2"/>
  <c r="H1566" i="2"/>
  <c r="A1566" i="2"/>
  <c r="I1565" i="2"/>
  <c r="H1565" i="2"/>
  <c r="A1565" i="2"/>
  <c r="I1564" i="2"/>
  <c r="H1564" i="2"/>
  <c r="A1564" i="2"/>
  <c r="I1563" i="2"/>
  <c r="H1563" i="2"/>
  <c r="A1563" i="2"/>
  <c r="I1562" i="2"/>
  <c r="H1562" i="2"/>
  <c r="A1562" i="2"/>
  <c r="I1561" i="2"/>
  <c r="H1561" i="2"/>
  <c r="A1561" i="2"/>
  <c r="I1560" i="2"/>
  <c r="H1560" i="2"/>
  <c r="A1560" i="2"/>
  <c r="I1559" i="2"/>
  <c r="H1559" i="2"/>
  <c r="A1559" i="2"/>
  <c r="I1558" i="2"/>
  <c r="H1558" i="2"/>
  <c r="A1558" i="2"/>
  <c r="I1557" i="2"/>
  <c r="H1557" i="2"/>
  <c r="A1557" i="2"/>
  <c r="I1556" i="2"/>
  <c r="H1556" i="2"/>
  <c r="A1556" i="2"/>
  <c r="I1555" i="2"/>
  <c r="H1555" i="2"/>
  <c r="A1555" i="2"/>
  <c r="I1554" i="2"/>
  <c r="H1554" i="2"/>
  <c r="A1554" i="2"/>
  <c r="I1553" i="2"/>
  <c r="H1553" i="2"/>
  <c r="A1553" i="2"/>
  <c r="I1552" i="2"/>
  <c r="H1552" i="2"/>
  <c r="A1552" i="2"/>
  <c r="I1551" i="2"/>
  <c r="H1551" i="2"/>
  <c r="A1551" i="2"/>
  <c r="I1550" i="2"/>
  <c r="H1550" i="2"/>
  <c r="A1550" i="2"/>
  <c r="I1549" i="2"/>
  <c r="H1549" i="2"/>
  <c r="A1549" i="2"/>
  <c r="I1548" i="2"/>
  <c r="H1548" i="2"/>
  <c r="A1548" i="2"/>
  <c r="I1547" i="2"/>
  <c r="H1547" i="2"/>
  <c r="A1547" i="2"/>
  <c r="I1546" i="2"/>
  <c r="H1546" i="2"/>
  <c r="A1546" i="2"/>
  <c r="I1545" i="2"/>
  <c r="H1545" i="2"/>
  <c r="A1545" i="2"/>
  <c r="I1544" i="2"/>
  <c r="H1544" i="2"/>
  <c r="A1544" i="2"/>
  <c r="I1543" i="2"/>
  <c r="H1543" i="2"/>
  <c r="A1543" i="2"/>
  <c r="I1542" i="2"/>
  <c r="H1542" i="2"/>
  <c r="A1542" i="2"/>
  <c r="I1541" i="2"/>
  <c r="H1541" i="2"/>
  <c r="A1541" i="2"/>
  <c r="I1540" i="2"/>
  <c r="H1540" i="2"/>
  <c r="A1540" i="2"/>
  <c r="I1539" i="2"/>
  <c r="H1539" i="2"/>
  <c r="A1539" i="2"/>
  <c r="I1538" i="2"/>
  <c r="H1538" i="2"/>
  <c r="A1538" i="2"/>
  <c r="I1537" i="2"/>
  <c r="H1537" i="2"/>
  <c r="A1537" i="2"/>
  <c r="I1536" i="2"/>
  <c r="H1536" i="2"/>
  <c r="A1536" i="2"/>
  <c r="I1535" i="2"/>
  <c r="H1535" i="2"/>
  <c r="A1535" i="2"/>
  <c r="I1534" i="2"/>
  <c r="H1534" i="2"/>
  <c r="A1534" i="2"/>
  <c r="I1533" i="2"/>
  <c r="H1533" i="2"/>
  <c r="A1533" i="2"/>
  <c r="I1532" i="2"/>
  <c r="H1532" i="2"/>
  <c r="A1532" i="2"/>
  <c r="I1531" i="2"/>
  <c r="H1531" i="2"/>
  <c r="A1531" i="2"/>
  <c r="I1530" i="2"/>
  <c r="H1530" i="2"/>
  <c r="A1530" i="2"/>
  <c r="I1529" i="2"/>
  <c r="H1529" i="2"/>
  <c r="A1529" i="2"/>
  <c r="I1528" i="2"/>
  <c r="H1528" i="2"/>
  <c r="A1528" i="2"/>
  <c r="I1527" i="2"/>
  <c r="H1527" i="2"/>
  <c r="A1527" i="2"/>
  <c r="I1526" i="2"/>
  <c r="H1526" i="2"/>
  <c r="A1526" i="2"/>
  <c r="I1525" i="2"/>
  <c r="H1525" i="2"/>
  <c r="A1525" i="2"/>
  <c r="I1524" i="2"/>
  <c r="H1524" i="2"/>
  <c r="A1524" i="2"/>
  <c r="I1523" i="2"/>
  <c r="H1523" i="2"/>
  <c r="A1523" i="2"/>
  <c r="I1522" i="2"/>
  <c r="H1522" i="2"/>
  <c r="A1522" i="2"/>
  <c r="I1521" i="2"/>
  <c r="H1521" i="2"/>
  <c r="A1521" i="2"/>
  <c r="I1520" i="2"/>
  <c r="H1520" i="2"/>
  <c r="A1520" i="2"/>
  <c r="I1519" i="2"/>
  <c r="H1519" i="2"/>
  <c r="A1519" i="2"/>
  <c r="I1518" i="2"/>
  <c r="H1518" i="2"/>
  <c r="A1518" i="2"/>
  <c r="I1517" i="2"/>
  <c r="H1517" i="2"/>
  <c r="A1517" i="2"/>
  <c r="I1516" i="2"/>
  <c r="H1516" i="2"/>
  <c r="A1516" i="2"/>
  <c r="I1515" i="2"/>
  <c r="H1515" i="2"/>
  <c r="A1515" i="2"/>
  <c r="I1514" i="2"/>
  <c r="H1514" i="2"/>
  <c r="A1514" i="2"/>
  <c r="I1513" i="2"/>
  <c r="H1513" i="2"/>
  <c r="A1513" i="2"/>
  <c r="I1512" i="2"/>
  <c r="H1512" i="2"/>
  <c r="A1512" i="2"/>
  <c r="I1511" i="2"/>
  <c r="H1511" i="2"/>
  <c r="A1511" i="2"/>
  <c r="I1510" i="2"/>
  <c r="H1510" i="2"/>
  <c r="A1510" i="2"/>
  <c r="I1509" i="2"/>
  <c r="H1509" i="2"/>
  <c r="A1509" i="2"/>
  <c r="I1508" i="2"/>
  <c r="H1508" i="2"/>
  <c r="A1508" i="2"/>
  <c r="I1507" i="2"/>
  <c r="H1507" i="2"/>
  <c r="A1507" i="2"/>
  <c r="I1506" i="2"/>
  <c r="H1506" i="2"/>
  <c r="A1506" i="2"/>
  <c r="I1505" i="2"/>
  <c r="H1505" i="2"/>
  <c r="A1505" i="2"/>
  <c r="I1504" i="2"/>
  <c r="H1504" i="2"/>
  <c r="A1504" i="2"/>
  <c r="I1503" i="2"/>
  <c r="H1503" i="2"/>
  <c r="A1503" i="2"/>
  <c r="I1502" i="2"/>
  <c r="H1502" i="2"/>
  <c r="A1502" i="2"/>
  <c r="I1501" i="2"/>
  <c r="H1501" i="2"/>
  <c r="A1501" i="2"/>
  <c r="I1500" i="2"/>
  <c r="H1500" i="2"/>
  <c r="A1500" i="2"/>
  <c r="I1499" i="2"/>
  <c r="H1499" i="2"/>
  <c r="A1499" i="2"/>
  <c r="I1498" i="2"/>
  <c r="H1498" i="2"/>
  <c r="A1498" i="2"/>
  <c r="I1497" i="2"/>
  <c r="H1497" i="2"/>
  <c r="A1497" i="2"/>
  <c r="I1496" i="2"/>
  <c r="H1496" i="2"/>
  <c r="A1496" i="2"/>
  <c r="I1495" i="2"/>
  <c r="H1495" i="2"/>
  <c r="A1495" i="2"/>
  <c r="I1494" i="2"/>
  <c r="H1494" i="2"/>
  <c r="A1494" i="2"/>
  <c r="I1493" i="2"/>
  <c r="H1493" i="2"/>
  <c r="A1493" i="2"/>
  <c r="I1492" i="2"/>
  <c r="H1492" i="2"/>
  <c r="A1492" i="2"/>
  <c r="I1491" i="2"/>
  <c r="H1491" i="2"/>
  <c r="A1491" i="2"/>
  <c r="I1490" i="2"/>
  <c r="H1490" i="2"/>
  <c r="A1490" i="2"/>
  <c r="I1489" i="2"/>
  <c r="H1489" i="2"/>
  <c r="A1489" i="2"/>
  <c r="I1488" i="2"/>
  <c r="H1488" i="2"/>
  <c r="A1488" i="2"/>
  <c r="I1487" i="2"/>
  <c r="H1487" i="2"/>
  <c r="A1487" i="2"/>
  <c r="I1486" i="2"/>
  <c r="H1486" i="2"/>
  <c r="A1486" i="2"/>
  <c r="I1485" i="2"/>
  <c r="H1485" i="2"/>
  <c r="A1485" i="2"/>
  <c r="I1484" i="2"/>
  <c r="H1484" i="2"/>
  <c r="A1484" i="2"/>
  <c r="I1483" i="2"/>
  <c r="H1483" i="2"/>
  <c r="A1483" i="2"/>
  <c r="I1482" i="2"/>
  <c r="H1482" i="2"/>
  <c r="A1482" i="2"/>
  <c r="I1481" i="2"/>
  <c r="H1481" i="2"/>
  <c r="A1481" i="2"/>
  <c r="I1480" i="2"/>
  <c r="H1480" i="2"/>
  <c r="A1480" i="2"/>
  <c r="I1479" i="2"/>
  <c r="H1479" i="2"/>
  <c r="A1479" i="2"/>
  <c r="I1478" i="2"/>
  <c r="H1478" i="2"/>
  <c r="A1478" i="2"/>
  <c r="I1477" i="2"/>
  <c r="H1477" i="2"/>
  <c r="A1477" i="2"/>
  <c r="I1476" i="2"/>
  <c r="H1476" i="2"/>
  <c r="A1476" i="2"/>
  <c r="I1475" i="2"/>
  <c r="H1475" i="2"/>
  <c r="A1475" i="2"/>
  <c r="I1474" i="2"/>
  <c r="H1474" i="2"/>
  <c r="A1474" i="2"/>
  <c r="I1473" i="2"/>
  <c r="H1473" i="2"/>
  <c r="A1473" i="2"/>
  <c r="I1472" i="2"/>
  <c r="H1472" i="2"/>
  <c r="A1472" i="2"/>
  <c r="I1471" i="2"/>
  <c r="H1471" i="2"/>
  <c r="A1471" i="2"/>
  <c r="I1470" i="2"/>
  <c r="H1470" i="2"/>
  <c r="A1470" i="2"/>
  <c r="I1469" i="2"/>
  <c r="H1469" i="2"/>
  <c r="A1469" i="2"/>
  <c r="I1468" i="2"/>
  <c r="H1468" i="2"/>
  <c r="A1468" i="2"/>
  <c r="I1467" i="2"/>
  <c r="H1467" i="2"/>
  <c r="A1467" i="2"/>
  <c r="I1466" i="2"/>
  <c r="H1466" i="2"/>
  <c r="A1466" i="2"/>
  <c r="I1465" i="2"/>
  <c r="H1465" i="2"/>
  <c r="A1465" i="2"/>
  <c r="I1464" i="2"/>
  <c r="H1464" i="2"/>
  <c r="A1464" i="2"/>
  <c r="I1463" i="2"/>
  <c r="H1463" i="2"/>
  <c r="A1463" i="2"/>
  <c r="I1462" i="2"/>
  <c r="H1462" i="2"/>
  <c r="A1462" i="2"/>
  <c r="I1461" i="2"/>
  <c r="H1461" i="2"/>
  <c r="A1461" i="2"/>
  <c r="I1460" i="2"/>
  <c r="H1460" i="2"/>
  <c r="A1460" i="2"/>
  <c r="I1459" i="2"/>
  <c r="H1459" i="2"/>
  <c r="A1459" i="2"/>
  <c r="I1458" i="2"/>
  <c r="H1458" i="2"/>
  <c r="A1458" i="2"/>
  <c r="I1457" i="2"/>
  <c r="H1457" i="2"/>
  <c r="A1457" i="2"/>
  <c r="I1456" i="2"/>
  <c r="H1456" i="2"/>
  <c r="A1456" i="2"/>
  <c r="I1455" i="2"/>
  <c r="H1455" i="2"/>
  <c r="A1455" i="2"/>
  <c r="I1454" i="2"/>
  <c r="H1454" i="2"/>
  <c r="A1454" i="2"/>
  <c r="I1453" i="2"/>
  <c r="H1453" i="2"/>
  <c r="A1453" i="2"/>
  <c r="I1452" i="2"/>
  <c r="H1452" i="2"/>
  <c r="A1452" i="2"/>
  <c r="I1451" i="2"/>
  <c r="H1451" i="2"/>
  <c r="A1451" i="2"/>
  <c r="I1450" i="2"/>
  <c r="H1450" i="2"/>
  <c r="A1450" i="2"/>
  <c r="I1449" i="2"/>
  <c r="H1449" i="2"/>
  <c r="A1449" i="2"/>
  <c r="I1448" i="2"/>
  <c r="H1448" i="2"/>
  <c r="A1448" i="2"/>
  <c r="I1447" i="2"/>
  <c r="H1447" i="2"/>
  <c r="A1447" i="2"/>
  <c r="I1446" i="2"/>
  <c r="H1446" i="2"/>
  <c r="A1446" i="2"/>
  <c r="I1445" i="2"/>
  <c r="H1445" i="2"/>
  <c r="A1445" i="2"/>
  <c r="I1444" i="2"/>
  <c r="H1444" i="2"/>
  <c r="A1444" i="2"/>
  <c r="I1443" i="2"/>
  <c r="H1443" i="2"/>
  <c r="A1443" i="2"/>
  <c r="I1442" i="2"/>
  <c r="H1442" i="2"/>
  <c r="A1442" i="2"/>
  <c r="I1441" i="2"/>
  <c r="H1441" i="2"/>
  <c r="A1441" i="2"/>
  <c r="I1440" i="2"/>
  <c r="H1440" i="2"/>
  <c r="A1440" i="2"/>
  <c r="I1439" i="2"/>
  <c r="H1439" i="2"/>
  <c r="A1439" i="2"/>
  <c r="I1438" i="2"/>
  <c r="H1438" i="2"/>
  <c r="A1438" i="2"/>
  <c r="I1437" i="2"/>
  <c r="H1437" i="2"/>
  <c r="A1437" i="2"/>
  <c r="I1436" i="2"/>
  <c r="H1436" i="2"/>
  <c r="A1436" i="2"/>
  <c r="I1435" i="2"/>
  <c r="H1435" i="2"/>
  <c r="A1435" i="2"/>
  <c r="I1434" i="2"/>
  <c r="H1434" i="2"/>
  <c r="A1434" i="2"/>
  <c r="I1433" i="2"/>
  <c r="H1433" i="2"/>
  <c r="A1433" i="2"/>
  <c r="I1432" i="2"/>
  <c r="H1432" i="2"/>
  <c r="A1432" i="2"/>
  <c r="I1431" i="2"/>
  <c r="H1431" i="2"/>
  <c r="A1431" i="2"/>
  <c r="I1430" i="2"/>
  <c r="H1430" i="2"/>
  <c r="A1430" i="2"/>
  <c r="I1429" i="2"/>
  <c r="H1429" i="2"/>
  <c r="A1429" i="2"/>
  <c r="I1428" i="2"/>
  <c r="H1428" i="2"/>
  <c r="A1428" i="2"/>
  <c r="I1427" i="2"/>
  <c r="H1427" i="2"/>
  <c r="A1427" i="2"/>
  <c r="I1426" i="2"/>
  <c r="H1426" i="2"/>
  <c r="A1426" i="2"/>
  <c r="I1425" i="2"/>
  <c r="H1425" i="2"/>
  <c r="A1425" i="2"/>
  <c r="I1424" i="2"/>
  <c r="H1424" i="2"/>
  <c r="A1424" i="2"/>
  <c r="I1423" i="2"/>
  <c r="H1423" i="2"/>
  <c r="A1423" i="2"/>
  <c r="I1422" i="2"/>
  <c r="H1422" i="2"/>
  <c r="A1422" i="2"/>
  <c r="I1421" i="2"/>
  <c r="H1421" i="2"/>
  <c r="A1421" i="2"/>
  <c r="I1420" i="2"/>
  <c r="H1420" i="2"/>
  <c r="A1420" i="2"/>
  <c r="I1419" i="2"/>
  <c r="H1419" i="2"/>
  <c r="A1419" i="2"/>
  <c r="I1418" i="2"/>
  <c r="H1418" i="2"/>
  <c r="A1418" i="2"/>
  <c r="I1417" i="2"/>
  <c r="H1417" i="2"/>
  <c r="A1417" i="2"/>
  <c r="I1416" i="2"/>
  <c r="H1416" i="2"/>
  <c r="A1416" i="2"/>
  <c r="I1415" i="2"/>
  <c r="H1415" i="2"/>
  <c r="A1415" i="2"/>
  <c r="I1414" i="2"/>
  <c r="H1414" i="2"/>
  <c r="A1414" i="2"/>
  <c r="I1413" i="2"/>
  <c r="H1413" i="2"/>
  <c r="A1413" i="2"/>
  <c r="I1412" i="2"/>
  <c r="H1412" i="2"/>
  <c r="A1412" i="2"/>
  <c r="I1411" i="2"/>
  <c r="H1411" i="2"/>
  <c r="A1411" i="2"/>
  <c r="I1410" i="2"/>
  <c r="H1410" i="2"/>
  <c r="A1410" i="2"/>
  <c r="I1409" i="2"/>
  <c r="H1409" i="2"/>
  <c r="A1409" i="2"/>
  <c r="I1408" i="2"/>
  <c r="H1408" i="2"/>
  <c r="A1408" i="2"/>
  <c r="I1407" i="2"/>
  <c r="H1407" i="2"/>
  <c r="A1407" i="2"/>
  <c r="I1406" i="2"/>
  <c r="H1406" i="2"/>
  <c r="A1406" i="2"/>
  <c r="I1405" i="2"/>
  <c r="H1405" i="2"/>
  <c r="A1405" i="2"/>
  <c r="I1404" i="2"/>
  <c r="H1404" i="2"/>
  <c r="A1404" i="2"/>
  <c r="I1403" i="2"/>
  <c r="H1403" i="2"/>
  <c r="A1403" i="2"/>
  <c r="I1402" i="2"/>
  <c r="H1402" i="2"/>
  <c r="A1402" i="2"/>
  <c r="I1401" i="2"/>
  <c r="H1401" i="2"/>
  <c r="A1401" i="2"/>
  <c r="I1400" i="2"/>
  <c r="H1400" i="2"/>
  <c r="A1400" i="2"/>
  <c r="I1399" i="2"/>
  <c r="H1399" i="2"/>
  <c r="A1399" i="2"/>
  <c r="I1398" i="2"/>
  <c r="H1398" i="2"/>
  <c r="A1398" i="2"/>
  <c r="I1397" i="2"/>
  <c r="H1397" i="2"/>
  <c r="A1397" i="2"/>
  <c r="I1396" i="2"/>
  <c r="H1396" i="2"/>
  <c r="A1396" i="2"/>
  <c r="I1395" i="2"/>
  <c r="H1395" i="2"/>
  <c r="A1395" i="2"/>
  <c r="I1394" i="2"/>
  <c r="H1394" i="2"/>
  <c r="A1394" i="2"/>
  <c r="I1393" i="2"/>
  <c r="H1393" i="2"/>
  <c r="A1393" i="2"/>
  <c r="I1392" i="2"/>
  <c r="H1392" i="2"/>
  <c r="A1392" i="2"/>
  <c r="I1391" i="2"/>
  <c r="H1391" i="2"/>
  <c r="A1391" i="2"/>
  <c r="I1390" i="2"/>
  <c r="H1390" i="2"/>
  <c r="A1390" i="2"/>
  <c r="I1389" i="2"/>
  <c r="H1389" i="2"/>
  <c r="A1389" i="2"/>
  <c r="I1388" i="2"/>
  <c r="H1388" i="2"/>
  <c r="A1388" i="2"/>
  <c r="I1387" i="2"/>
  <c r="H1387" i="2"/>
  <c r="A1387" i="2"/>
  <c r="I1386" i="2"/>
  <c r="H1386" i="2"/>
  <c r="A1386" i="2"/>
  <c r="I1385" i="2"/>
  <c r="H1385" i="2"/>
  <c r="A1385" i="2"/>
  <c r="I1384" i="2"/>
  <c r="H1384" i="2"/>
  <c r="A1384" i="2"/>
  <c r="I1383" i="2"/>
  <c r="H1383" i="2"/>
  <c r="A1383" i="2"/>
  <c r="I1382" i="2"/>
  <c r="H1382" i="2"/>
  <c r="A1382" i="2"/>
  <c r="I1381" i="2"/>
  <c r="H1381" i="2"/>
  <c r="A1381" i="2"/>
  <c r="I1380" i="2"/>
  <c r="H1380" i="2"/>
  <c r="A1380" i="2"/>
  <c r="I1379" i="2"/>
  <c r="H1379" i="2"/>
  <c r="A1379" i="2"/>
  <c r="I1378" i="2"/>
  <c r="H1378" i="2"/>
  <c r="A1378" i="2"/>
  <c r="I1377" i="2"/>
  <c r="H1377" i="2"/>
  <c r="A1377" i="2"/>
  <c r="I1376" i="2"/>
  <c r="H1376" i="2"/>
  <c r="A1376" i="2"/>
  <c r="I1375" i="2"/>
  <c r="H1375" i="2"/>
  <c r="A1375" i="2"/>
  <c r="I1374" i="2"/>
  <c r="H1374" i="2"/>
  <c r="A1374" i="2"/>
  <c r="I1373" i="2"/>
  <c r="H1373" i="2"/>
  <c r="A1373" i="2"/>
  <c r="I1372" i="2"/>
  <c r="H1372" i="2"/>
  <c r="A1372" i="2"/>
  <c r="I1371" i="2"/>
  <c r="H1371" i="2"/>
  <c r="A1371" i="2"/>
  <c r="I1370" i="2"/>
  <c r="H1370" i="2"/>
  <c r="A1370" i="2"/>
  <c r="I1369" i="2"/>
  <c r="H1369" i="2"/>
  <c r="A1369" i="2"/>
  <c r="I1368" i="2"/>
  <c r="H1368" i="2"/>
  <c r="A1368" i="2"/>
  <c r="I1367" i="2"/>
  <c r="H1367" i="2"/>
  <c r="A1367" i="2"/>
  <c r="I1366" i="2"/>
  <c r="H1366" i="2"/>
  <c r="A1366" i="2"/>
  <c r="I1365" i="2"/>
  <c r="H1365" i="2"/>
  <c r="A1365" i="2"/>
  <c r="I1364" i="2"/>
  <c r="H1364" i="2"/>
  <c r="A1364" i="2"/>
  <c r="I1363" i="2"/>
  <c r="H1363" i="2"/>
  <c r="A1363" i="2"/>
  <c r="I1362" i="2"/>
  <c r="H1362" i="2"/>
  <c r="A1362" i="2"/>
  <c r="I1361" i="2"/>
  <c r="H1361" i="2"/>
  <c r="A1361" i="2"/>
  <c r="I1360" i="2"/>
  <c r="H1360" i="2"/>
  <c r="A1360" i="2"/>
  <c r="I1359" i="2"/>
  <c r="H1359" i="2"/>
  <c r="A1359" i="2"/>
  <c r="I1358" i="2"/>
  <c r="H1358" i="2"/>
  <c r="A1358" i="2"/>
  <c r="I1357" i="2"/>
  <c r="H1357" i="2"/>
  <c r="A1357" i="2"/>
  <c r="I1356" i="2"/>
  <c r="H1356" i="2"/>
  <c r="A1356" i="2"/>
  <c r="I1355" i="2"/>
  <c r="H1355" i="2"/>
  <c r="A1355" i="2"/>
  <c r="I1354" i="2"/>
  <c r="H1354" i="2"/>
  <c r="A1354" i="2"/>
  <c r="I1353" i="2"/>
  <c r="H1353" i="2"/>
  <c r="A1353" i="2"/>
  <c r="I1352" i="2"/>
  <c r="H1352" i="2"/>
  <c r="A1352" i="2"/>
  <c r="I1351" i="2"/>
  <c r="H1351" i="2"/>
  <c r="A1351" i="2"/>
  <c r="I1350" i="2"/>
  <c r="H1350" i="2"/>
  <c r="A1350" i="2"/>
  <c r="I1349" i="2"/>
  <c r="H1349" i="2"/>
  <c r="A1349" i="2"/>
  <c r="I1348" i="2"/>
  <c r="H1348" i="2"/>
  <c r="A1348" i="2"/>
  <c r="I1347" i="2"/>
  <c r="H1347" i="2"/>
  <c r="A1347" i="2"/>
  <c r="I1346" i="2"/>
  <c r="H1346" i="2"/>
  <c r="A1346" i="2"/>
  <c r="I1345" i="2"/>
  <c r="H1345" i="2"/>
  <c r="A1345" i="2"/>
  <c r="I1344" i="2"/>
  <c r="H1344" i="2"/>
  <c r="A1344" i="2"/>
  <c r="I1343" i="2"/>
  <c r="H1343" i="2"/>
  <c r="A1343" i="2"/>
  <c r="I1342" i="2"/>
  <c r="H1342" i="2"/>
  <c r="A1342" i="2"/>
  <c r="I1341" i="2"/>
  <c r="H1341" i="2"/>
  <c r="A1341" i="2"/>
  <c r="I1340" i="2"/>
  <c r="H1340" i="2"/>
  <c r="A1340" i="2"/>
  <c r="I1339" i="2"/>
  <c r="H1339" i="2"/>
  <c r="A1339" i="2"/>
  <c r="I1338" i="2"/>
  <c r="H1338" i="2"/>
  <c r="A1338" i="2"/>
  <c r="I1337" i="2"/>
  <c r="H1337" i="2"/>
  <c r="A1337" i="2"/>
  <c r="I1336" i="2"/>
  <c r="H1336" i="2"/>
  <c r="A1336" i="2"/>
  <c r="I1335" i="2"/>
  <c r="H1335" i="2"/>
  <c r="A1335" i="2"/>
  <c r="I1334" i="2"/>
  <c r="H1334" i="2"/>
  <c r="A1334" i="2"/>
  <c r="I1333" i="2"/>
  <c r="H1333" i="2"/>
  <c r="A1333" i="2"/>
  <c r="I1332" i="2"/>
  <c r="H1332" i="2"/>
  <c r="A1332" i="2"/>
  <c r="I1331" i="2"/>
  <c r="H1331" i="2"/>
  <c r="A1331" i="2"/>
  <c r="I1330" i="2"/>
  <c r="H1330" i="2"/>
  <c r="A1330" i="2"/>
  <c r="I1329" i="2"/>
  <c r="H1329" i="2"/>
  <c r="A1329" i="2"/>
  <c r="I1328" i="2"/>
  <c r="H1328" i="2"/>
  <c r="A1328" i="2"/>
  <c r="I1327" i="2"/>
  <c r="H1327" i="2"/>
  <c r="A1327" i="2"/>
  <c r="I1326" i="2"/>
  <c r="H1326" i="2"/>
  <c r="A1326" i="2"/>
  <c r="I1325" i="2"/>
  <c r="H1325" i="2"/>
  <c r="A1325" i="2"/>
  <c r="I1324" i="2"/>
  <c r="H1324" i="2"/>
  <c r="A1324" i="2"/>
  <c r="I1323" i="2"/>
  <c r="H1323" i="2"/>
  <c r="A1323" i="2"/>
  <c r="I1322" i="2"/>
  <c r="H1322" i="2"/>
  <c r="A1322" i="2"/>
  <c r="I1321" i="2"/>
  <c r="H1321" i="2"/>
  <c r="A1321" i="2"/>
  <c r="I1320" i="2"/>
  <c r="H1320" i="2"/>
  <c r="A1320" i="2"/>
  <c r="I1319" i="2"/>
  <c r="H1319" i="2"/>
  <c r="A1319" i="2"/>
  <c r="I1318" i="2"/>
  <c r="H1318" i="2"/>
  <c r="A1318" i="2"/>
  <c r="I1317" i="2"/>
  <c r="H1317" i="2"/>
  <c r="A1317" i="2"/>
  <c r="I1316" i="2"/>
  <c r="H1316" i="2"/>
  <c r="A1316" i="2"/>
  <c r="I1315" i="2"/>
  <c r="H1315" i="2"/>
  <c r="A1315" i="2"/>
  <c r="I1314" i="2"/>
  <c r="H1314" i="2"/>
  <c r="A1314" i="2"/>
  <c r="I1313" i="2"/>
  <c r="H1313" i="2"/>
  <c r="A1313" i="2"/>
  <c r="I1312" i="2"/>
  <c r="H1312" i="2"/>
  <c r="A1312" i="2"/>
  <c r="I1311" i="2"/>
  <c r="H1311" i="2"/>
  <c r="A1311" i="2"/>
  <c r="I1310" i="2"/>
  <c r="H1310" i="2"/>
  <c r="A1310" i="2"/>
  <c r="I1309" i="2"/>
  <c r="H1309" i="2"/>
  <c r="A1309" i="2"/>
  <c r="I1308" i="2"/>
  <c r="H1308" i="2"/>
  <c r="A1308" i="2"/>
  <c r="I1307" i="2"/>
  <c r="H1307" i="2"/>
  <c r="A1307" i="2"/>
  <c r="I1306" i="2"/>
  <c r="H1306" i="2"/>
  <c r="A1306" i="2"/>
  <c r="I1305" i="2"/>
  <c r="H1305" i="2"/>
  <c r="A1305" i="2"/>
  <c r="I1304" i="2"/>
  <c r="H1304" i="2"/>
  <c r="A1304" i="2"/>
  <c r="I1303" i="2"/>
  <c r="H1303" i="2"/>
  <c r="A1303" i="2"/>
  <c r="I1302" i="2"/>
  <c r="H1302" i="2"/>
  <c r="A1302" i="2"/>
  <c r="I1301" i="2"/>
  <c r="H1301" i="2"/>
  <c r="A1301" i="2"/>
  <c r="I1300" i="2"/>
  <c r="H1300" i="2"/>
  <c r="A1300" i="2"/>
  <c r="I1299" i="2"/>
  <c r="H1299" i="2"/>
  <c r="A1299" i="2"/>
  <c r="I1298" i="2"/>
  <c r="H1298" i="2"/>
  <c r="A1298" i="2"/>
  <c r="I1297" i="2"/>
  <c r="H1297" i="2"/>
  <c r="A1297" i="2"/>
  <c r="I1296" i="2"/>
  <c r="H1296" i="2"/>
  <c r="A1296" i="2"/>
  <c r="I1295" i="2"/>
  <c r="H1295" i="2"/>
  <c r="A1295" i="2"/>
  <c r="I1294" i="2"/>
  <c r="H1294" i="2"/>
  <c r="A1294" i="2"/>
  <c r="I1293" i="2"/>
  <c r="H1293" i="2"/>
  <c r="A1293" i="2"/>
  <c r="I1292" i="2"/>
  <c r="H1292" i="2"/>
  <c r="A1292" i="2"/>
  <c r="I1291" i="2"/>
  <c r="H1291" i="2"/>
  <c r="A1291" i="2"/>
  <c r="I1290" i="2"/>
  <c r="H1290" i="2"/>
  <c r="A1290" i="2"/>
  <c r="I1289" i="2"/>
  <c r="H1289" i="2"/>
  <c r="A1289" i="2"/>
  <c r="I1288" i="2"/>
  <c r="H1288" i="2"/>
  <c r="A1288" i="2"/>
  <c r="I1287" i="2"/>
  <c r="H1287" i="2"/>
  <c r="A1287" i="2"/>
  <c r="I1286" i="2"/>
  <c r="H1286" i="2"/>
  <c r="A1286" i="2"/>
  <c r="I1285" i="2"/>
  <c r="H1285" i="2"/>
  <c r="A1285" i="2"/>
  <c r="I1284" i="2"/>
  <c r="H1284" i="2"/>
  <c r="A1284" i="2"/>
  <c r="I1283" i="2"/>
  <c r="H1283" i="2"/>
  <c r="A1283" i="2"/>
  <c r="I1282" i="2"/>
  <c r="H1282" i="2"/>
  <c r="A1282" i="2"/>
  <c r="I1281" i="2"/>
  <c r="H1281" i="2"/>
  <c r="A1281" i="2"/>
  <c r="I1280" i="2"/>
  <c r="H1280" i="2"/>
  <c r="A1280" i="2"/>
  <c r="I1279" i="2"/>
  <c r="H1279" i="2"/>
  <c r="A1279" i="2"/>
  <c r="I1278" i="2"/>
  <c r="H1278" i="2"/>
  <c r="A1278" i="2"/>
  <c r="I1277" i="2"/>
  <c r="H1277" i="2"/>
  <c r="A1277" i="2"/>
  <c r="I1276" i="2"/>
  <c r="H1276" i="2"/>
  <c r="A1276" i="2"/>
  <c r="I1275" i="2"/>
  <c r="H1275" i="2"/>
  <c r="A1275" i="2"/>
  <c r="I1274" i="2"/>
  <c r="H1274" i="2"/>
  <c r="A1274" i="2"/>
  <c r="I1273" i="2"/>
  <c r="H1273" i="2"/>
  <c r="A1273" i="2"/>
  <c r="I1272" i="2"/>
  <c r="H1272" i="2"/>
  <c r="A1272" i="2"/>
  <c r="I1271" i="2"/>
  <c r="H1271" i="2"/>
  <c r="A1271" i="2"/>
  <c r="I1270" i="2"/>
  <c r="H1270" i="2"/>
  <c r="A1270" i="2"/>
  <c r="I1269" i="2"/>
  <c r="H1269" i="2"/>
  <c r="A1269" i="2"/>
  <c r="I1268" i="2"/>
  <c r="H1268" i="2"/>
  <c r="A1268" i="2"/>
  <c r="I1267" i="2"/>
  <c r="H1267" i="2"/>
  <c r="A1267" i="2"/>
  <c r="I1266" i="2"/>
  <c r="H1266" i="2"/>
  <c r="A1266" i="2"/>
  <c r="I1265" i="2"/>
  <c r="H1265" i="2"/>
  <c r="A1265" i="2"/>
  <c r="I1264" i="2"/>
  <c r="H1264" i="2"/>
  <c r="A1264" i="2"/>
  <c r="I1263" i="2"/>
  <c r="H1263" i="2"/>
  <c r="A1263" i="2"/>
  <c r="I1262" i="2"/>
  <c r="H1262" i="2"/>
  <c r="A1262" i="2"/>
  <c r="I1261" i="2"/>
  <c r="H1261" i="2"/>
  <c r="A1261" i="2"/>
  <c r="I1260" i="2"/>
  <c r="H1260" i="2"/>
  <c r="A1260" i="2"/>
  <c r="I1259" i="2"/>
  <c r="H1259" i="2"/>
  <c r="A1259" i="2"/>
  <c r="I1258" i="2"/>
  <c r="H1258" i="2"/>
  <c r="A1258" i="2"/>
  <c r="I1257" i="2"/>
  <c r="H1257" i="2"/>
  <c r="A1257" i="2"/>
  <c r="I1256" i="2"/>
  <c r="H1256" i="2"/>
  <c r="A1256" i="2"/>
  <c r="I1255" i="2"/>
  <c r="H1255" i="2"/>
  <c r="A1255" i="2"/>
  <c r="I1254" i="2"/>
  <c r="H1254" i="2"/>
  <c r="A1254" i="2"/>
  <c r="I1253" i="2"/>
  <c r="H1253" i="2"/>
  <c r="A1253" i="2"/>
  <c r="I1252" i="2"/>
  <c r="H1252" i="2"/>
  <c r="A1252" i="2"/>
  <c r="I1251" i="2"/>
  <c r="H1251" i="2"/>
  <c r="A1251" i="2"/>
  <c r="I1250" i="2"/>
  <c r="H1250" i="2"/>
  <c r="A1250" i="2"/>
  <c r="I1249" i="2"/>
  <c r="H1249" i="2"/>
  <c r="A1249" i="2"/>
  <c r="I1248" i="2"/>
  <c r="H1248" i="2"/>
  <c r="A1248" i="2"/>
  <c r="I1247" i="2"/>
  <c r="H1247" i="2"/>
  <c r="A1247" i="2"/>
  <c r="I1246" i="2"/>
  <c r="H1246" i="2"/>
  <c r="A1246" i="2"/>
  <c r="I1245" i="2"/>
  <c r="H1245" i="2"/>
  <c r="A1245" i="2"/>
  <c r="I1244" i="2"/>
  <c r="H1244" i="2"/>
  <c r="A1244" i="2"/>
  <c r="I1243" i="2"/>
  <c r="H1243" i="2"/>
  <c r="A1243" i="2"/>
  <c r="I1242" i="2"/>
  <c r="H1242" i="2"/>
  <c r="A1242" i="2"/>
  <c r="I1241" i="2"/>
  <c r="H1241" i="2"/>
  <c r="A1241" i="2"/>
  <c r="I1240" i="2"/>
  <c r="H1240" i="2"/>
  <c r="A1240" i="2"/>
  <c r="I1239" i="2"/>
  <c r="H1239" i="2"/>
  <c r="A1239" i="2"/>
  <c r="I1238" i="2"/>
  <c r="H1238" i="2"/>
  <c r="A1238" i="2"/>
  <c r="I1237" i="2"/>
  <c r="H1237" i="2"/>
  <c r="A1237" i="2"/>
  <c r="I1236" i="2"/>
  <c r="H1236" i="2"/>
  <c r="A1236" i="2"/>
  <c r="I1235" i="2"/>
  <c r="H1235" i="2"/>
  <c r="A1235" i="2"/>
  <c r="I1234" i="2"/>
  <c r="H1234" i="2"/>
  <c r="A1234" i="2"/>
  <c r="I1233" i="2"/>
  <c r="H1233" i="2"/>
  <c r="A1233" i="2"/>
  <c r="I1232" i="2"/>
  <c r="H1232" i="2"/>
  <c r="A1232" i="2"/>
  <c r="I1231" i="2"/>
  <c r="H1231" i="2"/>
  <c r="A1231" i="2"/>
  <c r="I1230" i="2"/>
  <c r="H1230" i="2"/>
  <c r="A1230" i="2"/>
  <c r="I1229" i="2"/>
  <c r="H1229" i="2"/>
  <c r="A1229" i="2"/>
  <c r="I1228" i="2"/>
  <c r="H1228" i="2"/>
  <c r="A1228" i="2"/>
  <c r="I1227" i="2"/>
  <c r="H1227" i="2"/>
  <c r="A1227" i="2"/>
  <c r="I1226" i="2"/>
  <c r="H1226" i="2"/>
  <c r="A1226" i="2"/>
  <c r="I1225" i="2"/>
  <c r="H1225" i="2"/>
  <c r="A1225" i="2"/>
  <c r="I1224" i="2"/>
  <c r="H1224" i="2"/>
  <c r="A1224" i="2"/>
  <c r="I1223" i="2"/>
  <c r="H1223" i="2"/>
  <c r="A1223" i="2"/>
  <c r="I1222" i="2"/>
  <c r="H1222" i="2"/>
  <c r="A1222" i="2"/>
  <c r="I1221" i="2"/>
  <c r="H1221" i="2"/>
  <c r="A1221" i="2"/>
  <c r="I1220" i="2"/>
  <c r="H1220" i="2"/>
  <c r="A1220" i="2"/>
  <c r="I1219" i="2"/>
  <c r="H1219" i="2"/>
  <c r="A1219" i="2"/>
  <c r="I1218" i="2"/>
  <c r="H1218" i="2"/>
  <c r="A1218" i="2"/>
  <c r="I1217" i="2"/>
  <c r="H1217" i="2"/>
  <c r="A1217" i="2"/>
  <c r="I1216" i="2"/>
  <c r="H1216" i="2"/>
  <c r="A1216" i="2"/>
  <c r="I1215" i="2"/>
  <c r="H1215" i="2"/>
  <c r="A1215" i="2"/>
  <c r="I1214" i="2"/>
  <c r="H1214" i="2"/>
  <c r="A1214" i="2"/>
  <c r="I1213" i="2"/>
  <c r="H1213" i="2"/>
  <c r="A1213" i="2"/>
  <c r="I1212" i="2"/>
  <c r="H1212" i="2"/>
  <c r="A1212" i="2"/>
  <c r="I1211" i="2"/>
  <c r="H1211" i="2"/>
  <c r="A1211" i="2"/>
  <c r="I1210" i="2"/>
  <c r="H1210" i="2"/>
  <c r="A1210" i="2"/>
  <c r="I1209" i="2"/>
  <c r="H1209" i="2"/>
  <c r="A1209" i="2"/>
  <c r="I1208" i="2"/>
  <c r="H1208" i="2"/>
  <c r="A1208" i="2"/>
  <c r="I1207" i="2"/>
  <c r="H1207" i="2"/>
  <c r="A1207" i="2"/>
  <c r="I1206" i="2"/>
  <c r="H1206" i="2"/>
  <c r="A1206" i="2"/>
  <c r="I1205" i="2"/>
  <c r="H1205" i="2"/>
  <c r="A1205" i="2"/>
  <c r="I1204" i="2"/>
  <c r="H1204" i="2"/>
  <c r="A1204" i="2"/>
  <c r="I1203" i="2"/>
  <c r="H1203" i="2"/>
  <c r="A1203" i="2"/>
  <c r="I1202" i="2"/>
  <c r="H1202" i="2"/>
  <c r="A1202" i="2"/>
  <c r="I1201" i="2"/>
  <c r="H1201" i="2"/>
  <c r="A1201" i="2"/>
  <c r="I1200" i="2"/>
  <c r="H1200" i="2"/>
  <c r="A1200" i="2"/>
  <c r="I1199" i="2"/>
  <c r="H1199" i="2"/>
  <c r="A1199" i="2"/>
  <c r="I1198" i="2"/>
  <c r="H1198" i="2"/>
  <c r="A1198" i="2"/>
  <c r="I1197" i="2"/>
  <c r="H1197" i="2"/>
  <c r="A1197" i="2"/>
  <c r="I1196" i="2"/>
  <c r="H1196" i="2"/>
  <c r="A1196" i="2"/>
  <c r="I1195" i="2"/>
  <c r="H1195" i="2"/>
  <c r="A1195" i="2"/>
  <c r="I1194" i="2"/>
  <c r="H1194" i="2"/>
  <c r="A1194" i="2"/>
  <c r="I1193" i="2"/>
  <c r="H1193" i="2"/>
  <c r="A1193" i="2"/>
  <c r="I1192" i="2"/>
  <c r="H1192" i="2"/>
  <c r="A1192" i="2"/>
  <c r="I1191" i="2"/>
  <c r="H1191" i="2"/>
  <c r="A1191" i="2"/>
  <c r="I1190" i="2"/>
  <c r="H1190" i="2"/>
  <c r="A1190" i="2"/>
  <c r="I1189" i="2"/>
  <c r="H1189" i="2"/>
  <c r="A1189" i="2"/>
  <c r="I1188" i="2"/>
  <c r="H1188" i="2"/>
  <c r="A1188" i="2"/>
  <c r="I1187" i="2"/>
  <c r="H1187" i="2"/>
  <c r="A1187" i="2"/>
  <c r="I1186" i="2"/>
  <c r="H1186" i="2"/>
  <c r="A1186" i="2"/>
  <c r="I1185" i="2"/>
  <c r="H1185" i="2"/>
  <c r="A1185" i="2"/>
  <c r="I1184" i="2"/>
  <c r="H1184" i="2"/>
  <c r="A1184" i="2"/>
  <c r="I1183" i="2"/>
  <c r="H1183" i="2"/>
  <c r="A1183" i="2"/>
  <c r="I1182" i="2"/>
  <c r="H1182" i="2"/>
  <c r="A1182" i="2"/>
  <c r="I1181" i="2"/>
  <c r="H1181" i="2"/>
  <c r="A1181" i="2"/>
  <c r="I1180" i="2"/>
  <c r="H1180" i="2"/>
  <c r="A1180" i="2"/>
  <c r="I1179" i="2"/>
  <c r="H1179" i="2"/>
  <c r="A1179" i="2"/>
  <c r="I1178" i="2"/>
  <c r="H1178" i="2"/>
  <c r="A1178" i="2"/>
  <c r="I1177" i="2"/>
  <c r="H1177" i="2"/>
  <c r="A1177" i="2"/>
  <c r="I1176" i="2"/>
  <c r="H1176" i="2"/>
  <c r="A1176" i="2"/>
  <c r="I1175" i="2"/>
  <c r="H1175" i="2"/>
  <c r="A1175" i="2"/>
  <c r="I1174" i="2"/>
  <c r="H1174" i="2"/>
  <c r="A1174" i="2"/>
  <c r="I1173" i="2"/>
  <c r="H1173" i="2"/>
  <c r="A1173" i="2"/>
  <c r="I1172" i="2"/>
  <c r="H1172" i="2"/>
  <c r="A1172" i="2"/>
  <c r="I1171" i="2"/>
  <c r="H1171" i="2"/>
  <c r="A1171" i="2"/>
  <c r="I1170" i="2"/>
  <c r="H1170" i="2"/>
  <c r="A1170" i="2"/>
  <c r="I1169" i="2"/>
  <c r="H1169" i="2"/>
  <c r="A1169" i="2"/>
  <c r="I1168" i="2"/>
  <c r="H1168" i="2"/>
  <c r="A1168" i="2"/>
  <c r="I1167" i="2"/>
  <c r="H1167" i="2"/>
  <c r="A1167" i="2"/>
  <c r="I1166" i="2"/>
  <c r="H1166" i="2"/>
  <c r="A1166" i="2"/>
  <c r="I1165" i="2"/>
  <c r="H1165" i="2"/>
  <c r="A1165" i="2"/>
  <c r="I1164" i="2"/>
  <c r="H1164" i="2"/>
  <c r="A1164" i="2"/>
  <c r="I1163" i="2"/>
  <c r="H1163" i="2"/>
  <c r="A1163" i="2"/>
  <c r="I1162" i="2"/>
  <c r="H1162" i="2"/>
  <c r="A1162" i="2"/>
  <c r="I1161" i="2"/>
  <c r="H1161" i="2"/>
  <c r="A1161" i="2"/>
  <c r="I1160" i="2"/>
  <c r="H1160" i="2"/>
  <c r="A1160" i="2"/>
  <c r="I1159" i="2"/>
  <c r="H1159" i="2"/>
  <c r="A1159" i="2"/>
  <c r="I1158" i="2"/>
  <c r="H1158" i="2"/>
  <c r="A1158" i="2"/>
  <c r="I1157" i="2"/>
  <c r="H1157" i="2"/>
  <c r="A1157" i="2"/>
  <c r="I1156" i="2"/>
  <c r="H1156" i="2"/>
  <c r="A1156" i="2"/>
  <c r="I1155" i="2"/>
  <c r="H1155" i="2"/>
  <c r="A1155" i="2"/>
  <c r="I1154" i="2"/>
  <c r="H1154" i="2"/>
  <c r="A1154" i="2"/>
  <c r="I1153" i="2"/>
  <c r="H1153" i="2"/>
  <c r="A1153" i="2"/>
  <c r="I1152" i="2"/>
  <c r="H1152" i="2"/>
  <c r="A1152" i="2"/>
  <c r="I1151" i="2"/>
  <c r="H1151" i="2"/>
  <c r="A1151" i="2"/>
  <c r="I1150" i="2"/>
  <c r="H1150" i="2"/>
  <c r="A1150" i="2"/>
  <c r="I1149" i="2"/>
  <c r="H1149" i="2"/>
  <c r="A1149" i="2"/>
  <c r="I1148" i="2"/>
  <c r="H1148" i="2"/>
  <c r="A1148" i="2"/>
  <c r="I1147" i="2"/>
  <c r="H1147" i="2"/>
  <c r="A1147" i="2"/>
  <c r="I1146" i="2"/>
  <c r="H1146" i="2"/>
  <c r="A1146" i="2"/>
  <c r="I1145" i="2"/>
  <c r="H1145" i="2"/>
  <c r="A1145" i="2"/>
  <c r="I1144" i="2"/>
  <c r="H1144" i="2"/>
  <c r="A1144" i="2"/>
  <c r="I1143" i="2"/>
  <c r="H1143" i="2"/>
  <c r="A1143" i="2"/>
  <c r="I1142" i="2"/>
  <c r="H1142" i="2"/>
  <c r="A1142" i="2"/>
  <c r="I1141" i="2"/>
  <c r="H1141" i="2"/>
  <c r="A1141" i="2"/>
  <c r="I1140" i="2"/>
  <c r="H1140" i="2"/>
  <c r="A1140" i="2"/>
  <c r="I1139" i="2"/>
  <c r="H1139" i="2"/>
  <c r="A1139" i="2"/>
  <c r="I1138" i="2"/>
  <c r="H1138" i="2"/>
  <c r="A1138" i="2"/>
  <c r="I1137" i="2"/>
  <c r="H1137" i="2"/>
  <c r="A1137" i="2"/>
  <c r="I1136" i="2"/>
  <c r="H1136" i="2"/>
  <c r="A1136" i="2"/>
  <c r="I1135" i="2"/>
  <c r="H1135" i="2"/>
  <c r="A1135" i="2"/>
  <c r="I1134" i="2"/>
  <c r="H1134" i="2"/>
  <c r="A1134" i="2"/>
  <c r="I1133" i="2"/>
  <c r="H1133" i="2"/>
  <c r="A1133" i="2"/>
  <c r="I1132" i="2"/>
  <c r="H1132" i="2"/>
  <c r="A1132" i="2"/>
  <c r="I1131" i="2"/>
  <c r="H1131" i="2"/>
  <c r="A1131" i="2"/>
  <c r="I1130" i="2"/>
  <c r="H1130" i="2"/>
  <c r="A1130" i="2"/>
  <c r="I1129" i="2"/>
  <c r="H1129" i="2"/>
  <c r="A1129" i="2"/>
  <c r="I1128" i="2"/>
  <c r="H1128" i="2"/>
  <c r="A1128" i="2"/>
  <c r="I1127" i="2"/>
  <c r="H1127" i="2"/>
  <c r="A1127" i="2"/>
  <c r="I1126" i="2"/>
  <c r="H1126" i="2"/>
  <c r="A1126" i="2"/>
  <c r="I1125" i="2"/>
  <c r="H1125" i="2"/>
  <c r="A1125" i="2"/>
  <c r="I1124" i="2"/>
  <c r="H1124" i="2"/>
  <c r="A1124" i="2"/>
  <c r="I1123" i="2"/>
  <c r="H1123" i="2"/>
  <c r="A1123" i="2"/>
  <c r="I1122" i="2"/>
  <c r="H1122" i="2"/>
  <c r="A1122" i="2"/>
  <c r="I1121" i="2"/>
  <c r="H1121" i="2"/>
  <c r="A1121" i="2"/>
  <c r="I1120" i="2"/>
  <c r="H1120" i="2"/>
  <c r="A1120" i="2"/>
  <c r="I1119" i="2"/>
  <c r="H1119" i="2"/>
  <c r="A1119" i="2"/>
  <c r="I1118" i="2"/>
  <c r="H1118" i="2"/>
  <c r="A1118" i="2"/>
  <c r="I1117" i="2"/>
  <c r="H1117" i="2"/>
  <c r="A1117" i="2"/>
  <c r="I1116" i="2"/>
  <c r="H1116" i="2"/>
  <c r="A1116" i="2"/>
  <c r="I1115" i="2"/>
  <c r="H1115" i="2"/>
  <c r="A1115" i="2"/>
  <c r="I1114" i="2"/>
  <c r="H1114" i="2"/>
  <c r="A1114" i="2"/>
  <c r="I1113" i="2"/>
  <c r="H1113" i="2"/>
  <c r="A1113" i="2"/>
  <c r="I1112" i="2"/>
  <c r="H1112" i="2"/>
  <c r="A1112" i="2"/>
  <c r="I1111" i="2"/>
  <c r="H1111" i="2"/>
  <c r="A1111" i="2"/>
  <c r="I1110" i="2"/>
  <c r="H1110" i="2"/>
  <c r="A1110" i="2"/>
  <c r="I1109" i="2"/>
  <c r="H1109" i="2"/>
  <c r="A1109" i="2"/>
  <c r="I1108" i="2"/>
  <c r="H1108" i="2"/>
  <c r="A1108" i="2"/>
  <c r="I1107" i="2"/>
  <c r="H1107" i="2"/>
  <c r="A1107" i="2"/>
  <c r="I1106" i="2"/>
  <c r="H1106" i="2"/>
  <c r="A1106" i="2"/>
  <c r="I1105" i="2"/>
  <c r="H1105" i="2"/>
  <c r="A1105" i="2"/>
  <c r="I1104" i="2"/>
  <c r="H1104" i="2"/>
  <c r="A1104" i="2"/>
  <c r="I1103" i="2"/>
  <c r="H1103" i="2"/>
  <c r="A1103" i="2"/>
  <c r="I1102" i="2"/>
  <c r="H1102" i="2"/>
  <c r="A1102" i="2"/>
  <c r="I1101" i="2"/>
  <c r="H1101" i="2"/>
  <c r="A1101" i="2"/>
  <c r="I1100" i="2"/>
  <c r="H1100" i="2"/>
  <c r="A1100" i="2"/>
  <c r="I1099" i="2"/>
  <c r="H1099" i="2"/>
  <c r="A1099" i="2"/>
  <c r="I1098" i="2"/>
  <c r="H1098" i="2"/>
  <c r="A1098" i="2"/>
  <c r="I1097" i="2"/>
  <c r="H1097" i="2"/>
  <c r="A1097" i="2"/>
  <c r="I1096" i="2"/>
  <c r="H1096" i="2"/>
  <c r="A1096" i="2"/>
  <c r="I1095" i="2"/>
  <c r="H1095" i="2"/>
  <c r="A1095" i="2"/>
  <c r="I1094" i="2"/>
  <c r="H1094" i="2"/>
  <c r="A1094" i="2"/>
  <c r="I1093" i="2"/>
  <c r="H1093" i="2"/>
  <c r="A1093" i="2"/>
  <c r="I1092" i="2"/>
  <c r="H1092" i="2"/>
  <c r="A1092" i="2"/>
  <c r="I1091" i="2"/>
  <c r="H1091" i="2"/>
  <c r="A1091" i="2"/>
  <c r="I1090" i="2"/>
  <c r="H1090" i="2"/>
  <c r="A1090" i="2"/>
  <c r="I1089" i="2"/>
  <c r="H1089" i="2"/>
  <c r="A1089" i="2"/>
  <c r="I1088" i="2"/>
  <c r="H1088" i="2"/>
  <c r="A1088" i="2"/>
  <c r="I1087" i="2"/>
  <c r="H1087" i="2"/>
  <c r="A1087" i="2"/>
  <c r="I1086" i="2"/>
  <c r="H1086" i="2"/>
  <c r="A1086" i="2"/>
  <c r="I1085" i="2"/>
  <c r="H1085" i="2"/>
  <c r="A1085" i="2"/>
  <c r="I1084" i="2"/>
  <c r="H1084" i="2"/>
  <c r="A1084" i="2"/>
  <c r="I1083" i="2"/>
  <c r="H1083" i="2"/>
  <c r="A1083" i="2"/>
  <c r="I1082" i="2"/>
  <c r="H1082" i="2"/>
  <c r="A1082" i="2"/>
  <c r="I1081" i="2"/>
  <c r="H1081" i="2"/>
  <c r="A1081" i="2"/>
  <c r="I1080" i="2"/>
  <c r="H1080" i="2"/>
  <c r="A1080" i="2"/>
  <c r="I1079" i="2"/>
  <c r="H1079" i="2"/>
  <c r="A1079" i="2"/>
  <c r="I1078" i="2"/>
  <c r="H1078" i="2"/>
  <c r="A1078" i="2"/>
  <c r="I1077" i="2"/>
  <c r="H1077" i="2"/>
  <c r="A1077" i="2"/>
  <c r="I1076" i="2"/>
  <c r="H1076" i="2"/>
  <c r="A1076" i="2"/>
  <c r="I1075" i="2"/>
  <c r="H1075" i="2"/>
  <c r="A1075" i="2"/>
  <c r="I1074" i="2"/>
  <c r="H1074" i="2"/>
  <c r="A1074" i="2"/>
  <c r="I1073" i="2"/>
  <c r="H1073" i="2"/>
  <c r="A1073" i="2"/>
  <c r="I1072" i="2"/>
  <c r="H1072" i="2"/>
  <c r="A1072" i="2"/>
  <c r="I1071" i="2"/>
  <c r="H1071" i="2"/>
  <c r="A1071" i="2"/>
  <c r="I1070" i="2"/>
  <c r="H1070" i="2"/>
  <c r="A1070" i="2"/>
  <c r="I1069" i="2"/>
  <c r="H1069" i="2"/>
  <c r="A1069" i="2"/>
  <c r="I1068" i="2"/>
  <c r="H1068" i="2"/>
  <c r="A1068" i="2"/>
  <c r="I1067" i="2"/>
  <c r="H1067" i="2"/>
  <c r="A1067" i="2"/>
  <c r="I1066" i="2"/>
  <c r="H1066" i="2"/>
  <c r="A1066" i="2"/>
  <c r="I1065" i="2"/>
  <c r="H1065" i="2"/>
  <c r="A1065" i="2"/>
  <c r="I1064" i="2"/>
  <c r="H1064" i="2"/>
  <c r="A1064" i="2"/>
  <c r="I1063" i="2"/>
  <c r="H1063" i="2"/>
  <c r="A1063" i="2"/>
  <c r="I1062" i="2"/>
  <c r="H1062" i="2"/>
  <c r="A1062" i="2"/>
  <c r="I1061" i="2"/>
  <c r="H1061" i="2"/>
  <c r="A1061" i="2"/>
  <c r="I1060" i="2"/>
  <c r="H1060" i="2"/>
  <c r="A1060" i="2"/>
  <c r="I1059" i="2"/>
  <c r="H1059" i="2"/>
  <c r="A1059" i="2"/>
  <c r="I1058" i="2"/>
  <c r="H1058" i="2"/>
  <c r="A1058" i="2"/>
  <c r="I1057" i="2"/>
  <c r="H1057" i="2"/>
  <c r="A1057" i="2"/>
  <c r="I1056" i="2"/>
  <c r="H1056" i="2"/>
  <c r="A1056" i="2"/>
  <c r="I1055" i="2"/>
  <c r="H1055" i="2"/>
  <c r="A1055" i="2"/>
  <c r="I1054" i="2"/>
  <c r="H1054" i="2"/>
  <c r="A1054" i="2"/>
  <c r="I1053" i="2"/>
  <c r="H1053" i="2"/>
  <c r="A1053" i="2"/>
  <c r="I1052" i="2"/>
  <c r="H1052" i="2"/>
  <c r="A1052" i="2"/>
  <c r="I1051" i="2"/>
  <c r="H1051" i="2"/>
  <c r="A1051" i="2"/>
  <c r="I1050" i="2"/>
  <c r="H1050" i="2"/>
  <c r="A1050" i="2"/>
  <c r="I1049" i="2"/>
  <c r="H1049" i="2"/>
  <c r="A1049" i="2"/>
  <c r="I1048" i="2"/>
  <c r="H1048" i="2"/>
  <c r="A1048" i="2"/>
  <c r="I1047" i="2"/>
  <c r="H1047" i="2"/>
  <c r="A1047" i="2"/>
  <c r="I1046" i="2"/>
  <c r="H1046" i="2"/>
  <c r="A1046" i="2"/>
  <c r="I1045" i="2"/>
  <c r="H1045" i="2"/>
  <c r="A1045" i="2"/>
  <c r="I1044" i="2"/>
  <c r="H1044" i="2"/>
  <c r="A1044" i="2"/>
  <c r="I1043" i="2"/>
  <c r="H1043" i="2"/>
  <c r="A1043" i="2"/>
  <c r="I1042" i="2"/>
  <c r="H1042" i="2"/>
  <c r="A1042" i="2"/>
  <c r="I1041" i="2"/>
  <c r="H1041" i="2"/>
  <c r="A1041" i="2"/>
  <c r="I1040" i="2"/>
  <c r="H1040" i="2"/>
  <c r="A1040" i="2"/>
  <c r="I1039" i="2"/>
  <c r="H1039" i="2"/>
  <c r="A1039" i="2"/>
  <c r="I1038" i="2"/>
  <c r="H1038" i="2"/>
  <c r="A1038" i="2"/>
  <c r="I1037" i="2"/>
  <c r="H1037" i="2"/>
  <c r="A1037" i="2"/>
  <c r="I1036" i="2"/>
  <c r="H1036" i="2"/>
  <c r="A1036" i="2"/>
  <c r="I1035" i="2"/>
  <c r="H1035" i="2"/>
  <c r="A1035" i="2"/>
  <c r="I1034" i="2"/>
  <c r="H1034" i="2"/>
  <c r="A1034" i="2"/>
  <c r="I1033" i="2"/>
  <c r="H1033" i="2"/>
  <c r="A1033" i="2"/>
  <c r="I1032" i="2"/>
  <c r="H1032" i="2"/>
  <c r="A1032" i="2"/>
  <c r="I1031" i="2"/>
  <c r="H1031" i="2"/>
  <c r="A1031" i="2"/>
  <c r="I1030" i="2"/>
  <c r="H1030" i="2"/>
  <c r="A1030" i="2"/>
  <c r="I1029" i="2"/>
  <c r="H1029" i="2"/>
  <c r="A1029" i="2"/>
  <c r="I1028" i="2"/>
  <c r="H1028" i="2"/>
  <c r="A1028" i="2"/>
  <c r="I1027" i="2"/>
  <c r="H1027" i="2"/>
  <c r="A1027" i="2"/>
  <c r="I1026" i="2"/>
  <c r="H1026" i="2"/>
  <c r="A1026" i="2"/>
  <c r="I1025" i="2"/>
  <c r="H1025" i="2"/>
  <c r="A1025" i="2"/>
  <c r="I1024" i="2"/>
  <c r="H1024" i="2"/>
  <c r="A1024" i="2"/>
  <c r="I1023" i="2"/>
  <c r="H1023" i="2"/>
  <c r="A1023" i="2"/>
  <c r="I1022" i="2"/>
  <c r="H1022" i="2"/>
  <c r="A1022" i="2"/>
  <c r="I1021" i="2"/>
  <c r="H1021" i="2"/>
  <c r="A1021" i="2"/>
  <c r="I1020" i="2"/>
  <c r="H1020" i="2"/>
  <c r="A1020" i="2"/>
  <c r="I1019" i="2"/>
  <c r="H1019" i="2"/>
  <c r="A1019" i="2"/>
  <c r="I1018" i="2"/>
  <c r="H1018" i="2"/>
  <c r="A1018" i="2"/>
  <c r="I1017" i="2"/>
  <c r="H1017" i="2"/>
  <c r="A1017" i="2"/>
  <c r="I1016" i="2"/>
  <c r="H1016" i="2"/>
  <c r="A1016" i="2"/>
  <c r="I1015" i="2"/>
  <c r="H1015" i="2"/>
  <c r="A1015" i="2"/>
  <c r="I1014" i="2"/>
  <c r="H1014" i="2"/>
  <c r="A1014" i="2"/>
  <c r="I1013" i="2"/>
  <c r="H1013" i="2"/>
  <c r="A1013" i="2"/>
  <c r="I1012" i="2"/>
  <c r="H1012" i="2"/>
  <c r="A1012" i="2"/>
  <c r="I1011" i="2"/>
  <c r="H1011" i="2"/>
  <c r="A1011" i="2"/>
  <c r="I1010" i="2"/>
  <c r="H1010" i="2"/>
  <c r="A1010" i="2"/>
  <c r="I1009" i="2"/>
  <c r="H1009" i="2"/>
  <c r="A1009" i="2"/>
  <c r="I1008" i="2"/>
  <c r="H1008" i="2"/>
  <c r="A1008" i="2"/>
  <c r="I1007" i="2"/>
  <c r="H1007" i="2"/>
  <c r="A1007" i="2"/>
  <c r="I1006" i="2"/>
  <c r="H1006" i="2"/>
  <c r="A1006" i="2"/>
  <c r="I1005" i="2"/>
  <c r="H1005" i="2"/>
  <c r="A1005" i="2"/>
  <c r="I1004" i="2"/>
  <c r="H1004" i="2"/>
  <c r="A1004" i="2"/>
  <c r="I1003" i="2"/>
  <c r="H1003" i="2"/>
  <c r="A1003" i="2"/>
  <c r="I1002" i="2"/>
  <c r="H1002" i="2"/>
  <c r="A1002" i="2"/>
  <c r="I1001" i="2"/>
  <c r="H1001" i="2"/>
  <c r="A1001" i="2"/>
  <c r="I1000" i="2"/>
  <c r="H1000" i="2"/>
  <c r="A1000" i="2"/>
  <c r="I999" i="2"/>
  <c r="H999" i="2"/>
  <c r="A999" i="2"/>
  <c r="I998" i="2"/>
  <c r="H998" i="2"/>
  <c r="A998" i="2"/>
  <c r="I997" i="2"/>
  <c r="H997" i="2"/>
  <c r="A997" i="2"/>
  <c r="I996" i="2"/>
  <c r="H996" i="2"/>
  <c r="A996" i="2"/>
  <c r="I995" i="2"/>
  <c r="H995" i="2"/>
  <c r="A995" i="2"/>
  <c r="I994" i="2"/>
  <c r="H994" i="2"/>
  <c r="A994" i="2"/>
  <c r="I993" i="2"/>
  <c r="H993" i="2"/>
  <c r="A993" i="2"/>
  <c r="I992" i="2"/>
  <c r="H992" i="2"/>
  <c r="A992" i="2"/>
  <c r="I991" i="2"/>
  <c r="H991" i="2"/>
  <c r="A991" i="2"/>
  <c r="I990" i="2"/>
  <c r="H990" i="2"/>
  <c r="A990" i="2"/>
  <c r="I989" i="2"/>
  <c r="H989" i="2"/>
  <c r="A989" i="2"/>
  <c r="I988" i="2"/>
  <c r="H988" i="2"/>
  <c r="A988" i="2"/>
  <c r="I987" i="2"/>
  <c r="H987" i="2"/>
  <c r="A987" i="2"/>
  <c r="I986" i="2"/>
  <c r="H986" i="2"/>
  <c r="A986" i="2"/>
  <c r="I985" i="2"/>
  <c r="H985" i="2"/>
  <c r="A985" i="2"/>
  <c r="I984" i="2"/>
  <c r="H984" i="2"/>
  <c r="A984" i="2"/>
  <c r="I983" i="2"/>
  <c r="H983" i="2"/>
  <c r="A983" i="2"/>
  <c r="I982" i="2"/>
  <c r="H982" i="2"/>
  <c r="A982" i="2"/>
  <c r="I981" i="2"/>
  <c r="H981" i="2"/>
  <c r="A981" i="2"/>
  <c r="I980" i="2"/>
  <c r="H980" i="2"/>
  <c r="A980" i="2"/>
  <c r="I979" i="2"/>
  <c r="H979" i="2"/>
  <c r="A979" i="2"/>
  <c r="I978" i="2"/>
  <c r="H978" i="2"/>
  <c r="A978" i="2"/>
  <c r="I977" i="2"/>
  <c r="H977" i="2"/>
  <c r="A977" i="2"/>
  <c r="I976" i="2"/>
  <c r="H976" i="2"/>
  <c r="A976" i="2"/>
  <c r="I975" i="2"/>
  <c r="H975" i="2"/>
  <c r="A975" i="2"/>
  <c r="I974" i="2"/>
  <c r="H974" i="2"/>
  <c r="A974" i="2"/>
  <c r="I973" i="2"/>
  <c r="H973" i="2"/>
  <c r="A973" i="2"/>
  <c r="I972" i="2"/>
  <c r="H972" i="2"/>
  <c r="A972" i="2"/>
  <c r="I971" i="2"/>
  <c r="H971" i="2"/>
  <c r="A971" i="2"/>
  <c r="I970" i="2"/>
  <c r="H970" i="2"/>
  <c r="A970" i="2"/>
  <c r="I969" i="2"/>
  <c r="H969" i="2"/>
  <c r="A969" i="2"/>
  <c r="I968" i="2"/>
  <c r="H968" i="2"/>
  <c r="A968" i="2"/>
  <c r="I967" i="2"/>
  <c r="H967" i="2"/>
  <c r="A967" i="2"/>
  <c r="I966" i="2"/>
  <c r="H966" i="2"/>
  <c r="A966" i="2"/>
  <c r="I965" i="2"/>
  <c r="H965" i="2"/>
  <c r="A965" i="2"/>
  <c r="I964" i="2"/>
  <c r="H964" i="2"/>
  <c r="A964" i="2"/>
  <c r="I963" i="2"/>
  <c r="H963" i="2"/>
  <c r="A963" i="2"/>
  <c r="I962" i="2"/>
  <c r="H962" i="2"/>
  <c r="A962" i="2"/>
  <c r="I961" i="2"/>
  <c r="H961" i="2"/>
  <c r="A961" i="2"/>
  <c r="I960" i="2"/>
  <c r="H960" i="2"/>
  <c r="A960" i="2"/>
  <c r="I959" i="2"/>
  <c r="H959" i="2"/>
  <c r="A959" i="2"/>
  <c r="I958" i="2"/>
  <c r="H958" i="2"/>
  <c r="A958" i="2"/>
  <c r="I957" i="2"/>
  <c r="H957" i="2"/>
  <c r="A957" i="2"/>
  <c r="I956" i="2"/>
  <c r="H956" i="2"/>
  <c r="A956" i="2"/>
  <c r="I955" i="2"/>
  <c r="H955" i="2"/>
  <c r="A955" i="2"/>
  <c r="I954" i="2"/>
  <c r="H954" i="2"/>
  <c r="A954" i="2"/>
  <c r="I953" i="2"/>
  <c r="H953" i="2"/>
  <c r="A953" i="2"/>
  <c r="I952" i="2"/>
  <c r="H952" i="2"/>
  <c r="A952" i="2"/>
  <c r="I951" i="2"/>
  <c r="H951" i="2"/>
  <c r="A951" i="2"/>
  <c r="I950" i="2"/>
  <c r="H950" i="2"/>
  <c r="A950" i="2"/>
  <c r="I949" i="2"/>
  <c r="H949" i="2"/>
  <c r="A949" i="2"/>
  <c r="I948" i="2"/>
  <c r="H948" i="2"/>
  <c r="A948" i="2"/>
  <c r="I947" i="2"/>
  <c r="H947" i="2"/>
  <c r="A947" i="2"/>
  <c r="I946" i="2"/>
  <c r="H946" i="2"/>
  <c r="A946" i="2"/>
  <c r="I945" i="2"/>
  <c r="H945" i="2"/>
  <c r="A945" i="2"/>
  <c r="I944" i="2"/>
  <c r="H944" i="2"/>
  <c r="A944" i="2"/>
  <c r="I943" i="2"/>
  <c r="H943" i="2"/>
  <c r="A943" i="2"/>
  <c r="I942" i="2"/>
  <c r="H942" i="2"/>
  <c r="A942" i="2"/>
  <c r="I941" i="2"/>
  <c r="H941" i="2"/>
  <c r="A941" i="2"/>
  <c r="I940" i="2"/>
  <c r="H940" i="2"/>
  <c r="A940" i="2"/>
  <c r="I939" i="2"/>
  <c r="H939" i="2"/>
  <c r="A939" i="2"/>
  <c r="I938" i="2"/>
  <c r="H938" i="2"/>
  <c r="A938" i="2"/>
  <c r="I937" i="2"/>
  <c r="H937" i="2"/>
  <c r="A937" i="2"/>
  <c r="I936" i="2"/>
  <c r="H936" i="2"/>
  <c r="A936" i="2"/>
  <c r="I935" i="2"/>
  <c r="H935" i="2"/>
  <c r="A935" i="2"/>
  <c r="I934" i="2"/>
  <c r="H934" i="2"/>
  <c r="A934" i="2"/>
  <c r="I933" i="2"/>
  <c r="H933" i="2"/>
  <c r="A933" i="2"/>
  <c r="I932" i="2"/>
  <c r="H932" i="2"/>
  <c r="A932" i="2"/>
  <c r="I931" i="2"/>
  <c r="H931" i="2"/>
  <c r="A931" i="2"/>
  <c r="I930" i="2"/>
  <c r="H930" i="2"/>
  <c r="A930" i="2"/>
  <c r="I929" i="2"/>
  <c r="H929" i="2"/>
  <c r="A929" i="2"/>
  <c r="I928" i="2"/>
  <c r="H928" i="2"/>
  <c r="A928" i="2"/>
  <c r="I927" i="2"/>
  <c r="H927" i="2"/>
  <c r="A927" i="2"/>
  <c r="I926" i="2"/>
  <c r="H926" i="2"/>
  <c r="A926" i="2"/>
  <c r="I925" i="2"/>
  <c r="H925" i="2"/>
  <c r="A925" i="2"/>
  <c r="I924" i="2"/>
  <c r="H924" i="2"/>
  <c r="A924" i="2"/>
  <c r="I923" i="2"/>
  <c r="H923" i="2"/>
  <c r="A923" i="2"/>
  <c r="I922" i="2"/>
  <c r="H922" i="2"/>
  <c r="A922" i="2"/>
  <c r="I921" i="2"/>
  <c r="H921" i="2"/>
  <c r="A921" i="2"/>
  <c r="I920" i="2"/>
  <c r="H920" i="2"/>
  <c r="A920" i="2"/>
  <c r="I919" i="2"/>
  <c r="H919" i="2"/>
  <c r="A919" i="2"/>
  <c r="I918" i="2"/>
  <c r="H918" i="2"/>
  <c r="A918" i="2"/>
  <c r="I917" i="2"/>
  <c r="H917" i="2"/>
  <c r="A917" i="2"/>
  <c r="I916" i="2"/>
  <c r="H916" i="2"/>
  <c r="A916" i="2"/>
  <c r="I915" i="2"/>
  <c r="H915" i="2"/>
  <c r="A915" i="2"/>
  <c r="I914" i="2"/>
  <c r="H914" i="2"/>
  <c r="A914" i="2"/>
  <c r="I913" i="2"/>
  <c r="H913" i="2"/>
  <c r="A913" i="2"/>
  <c r="I912" i="2"/>
  <c r="H912" i="2"/>
  <c r="A912" i="2"/>
  <c r="I911" i="2"/>
  <c r="H911" i="2"/>
  <c r="A911" i="2"/>
  <c r="I910" i="2"/>
  <c r="H910" i="2"/>
  <c r="A910" i="2"/>
  <c r="I909" i="2"/>
  <c r="H909" i="2"/>
  <c r="A909" i="2"/>
  <c r="I908" i="2"/>
  <c r="H908" i="2"/>
  <c r="A908" i="2"/>
  <c r="I907" i="2"/>
  <c r="H907" i="2"/>
  <c r="A907" i="2"/>
  <c r="I906" i="2"/>
  <c r="H906" i="2"/>
  <c r="A906" i="2"/>
  <c r="I905" i="2"/>
  <c r="H905" i="2"/>
  <c r="A905" i="2"/>
  <c r="I904" i="2"/>
  <c r="H904" i="2"/>
  <c r="A904" i="2"/>
  <c r="I903" i="2"/>
  <c r="H903" i="2"/>
  <c r="A903" i="2"/>
  <c r="I902" i="2"/>
  <c r="H902" i="2"/>
  <c r="A902" i="2"/>
  <c r="I901" i="2"/>
  <c r="H901" i="2"/>
  <c r="A901" i="2"/>
  <c r="I900" i="2"/>
  <c r="H900" i="2"/>
  <c r="A900" i="2"/>
  <c r="I899" i="2"/>
  <c r="H899" i="2"/>
  <c r="A899" i="2"/>
  <c r="I898" i="2"/>
  <c r="H898" i="2"/>
  <c r="A898" i="2"/>
  <c r="I897" i="2"/>
  <c r="H897" i="2"/>
  <c r="A897" i="2"/>
  <c r="I896" i="2"/>
  <c r="H896" i="2"/>
  <c r="A896" i="2"/>
  <c r="I895" i="2"/>
  <c r="H895" i="2"/>
  <c r="A895" i="2"/>
  <c r="I894" i="2"/>
  <c r="H894" i="2"/>
  <c r="A894" i="2"/>
  <c r="I893" i="2"/>
  <c r="H893" i="2"/>
  <c r="A893" i="2"/>
  <c r="I892" i="2"/>
  <c r="H892" i="2"/>
  <c r="A892" i="2"/>
  <c r="I891" i="2"/>
  <c r="H891" i="2"/>
  <c r="A891" i="2"/>
  <c r="I890" i="2"/>
  <c r="H890" i="2"/>
  <c r="A890" i="2"/>
  <c r="I889" i="2"/>
  <c r="H889" i="2"/>
  <c r="A889" i="2"/>
  <c r="I888" i="2"/>
  <c r="H888" i="2"/>
  <c r="A888" i="2"/>
  <c r="I887" i="2"/>
  <c r="H887" i="2"/>
  <c r="A887" i="2"/>
  <c r="I886" i="2"/>
  <c r="H886" i="2"/>
  <c r="A886" i="2"/>
  <c r="I885" i="2"/>
  <c r="H885" i="2"/>
  <c r="A885" i="2"/>
  <c r="I884" i="2"/>
  <c r="H884" i="2"/>
  <c r="A884" i="2"/>
  <c r="I883" i="2"/>
  <c r="H883" i="2"/>
  <c r="A883" i="2"/>
  <c r="I882" i="2"/>
  <c r="H882" i="2"/>
  <c r="A882" i="2"/>
  <c r="I881" i="2"/>
  <c r="H881" i="2"/>
  <c r="A881" i="2"/>
  <c r="I880" i="2"/>
  <c r="H880" i="2"/>
  <c r="A880" i="2"/>
  <c r="I879" i="2"/>
  <c r="H879" i="2"/>
  <c r="A879" i="2"/>
  <c r="I878" i="2"/>
  <c r="H878" i="2"/>
  <c r="A878" i="2"/>
  <c r="I877" i="2"/>
  <c r="H877" i="2"/>
  <c r="A877" i="2"/>
  <c r="I876" i="2"/>
  <c r="H876" i="2"/>
  <c r="A876" i="2"/>
  <c r="I875" i="2"/>
  <c r="H875" i="2"/>
  <c r="A875" i="2"/>
  <c r="I874" i="2"/>
  <c r="H874" i="2"/>
  <c r="A874" i="2"/>
  <c r="I873" i="2"/>
  <c r="H873" i="2"/>
  <c r="A873" i="2"/>
  <c r="I872" i="2"/>
  <c r="H872" i="2"/>
  <c r="A872" i="2"/>
  <c r="I871" i="2"/>
  <c r="H871" i="2"/>
  <c r="A871" i="2"/>
  <c r="I870" i="2"/>
  <c r="H870" i="2"/>
  <c r="A870" i="2"/>
  <c r="I869" i="2"/>
  <c r="H869" i="2"/>
  <c r="A869" i="2"/>
  <c r="I868" i="2"/>
  <c r="H868" i="2"/>
  <c r="A868" i="2"/>
  <c r="I867" i="2"/>
  <c r="H867" i="2"/>
  <c r="A867" i="2"/>
  <c r="I866" i="2"/>
  <c r="H866" i="2"/>
  <c r="A866" i="2"/>
  <c r="I865" i="2"/>
  <c r="H865" i="2"/>
  <c r="A865" i="2"/>
  <c r="I864" i="2"/>
  <c r="H864" i="2"/>
  <c r="A864" i="2"/>
  <c r="I863" i="2"/>
  <c r="H863" i="2"/>
  <c r="A863" i="2"/>
  <c r="I862" i="2"/>
  <c r="H862" i="2"/>
  <c r="A862" i="2"/>
  <c r="I861" i="2"/>
  <c r="H861" i="2"/>
  <c r="A861" i="2"/>
  <c r="I860" i="2"/>
  <c r="H860" i="2"/>
  <c r="A860" i="2"/>
  <c r="I859" i="2"/>
  <c r="H859" i="2"/>
  <c r="A859" i="2"/>
  <c r="I858" i="2"/>
  <c r="H858" i="2"/>
  <c r="A858" i="2"/>
  <c r="I857" i="2"/>
  <c r="H857" i="2"/>
  <c r="A857" i="2"/>
  <c r="I856" i="2"/>
  <c r="H856" i="2"/>
  <c r="A856" i="2"/>
  <c r="I855" i="2"/>
  <c r="H855" i="2"/>
  <c r="A855" i="2"/>
  <c r="I854" i="2"/>
  <c r="H854" i="2"/>
  <c r="A854" i="2"/>
  <c r="I853" i="2"/>
  <c r="H853" i="2"/>
  <c r="A853" i="2"/>
  <c r="I852" i="2"/>
  <c r="H852" i="2"/>
  <c r="A852" i="2"/>
  <c r="I851" i="2"/>
  <c r="H851" i="2"/>
  <c r="A851" i="2"/>
  <c r="I850" i="2"/>
  <c r="H850" i="2"/>
  <c r="A850" i="2"/>
  <c r="I849" i="2"/>
  <c r="H849" i="2"/>
  <c r="A849" i="2"/>
  <c r="I848" i="2"/>
  <c r="H848" i="2"/>
  <c r="A848" i="2"/>
  <c r="I847" i="2"/>
  <c r="H847" i="2"/>
  <c r="A847" i="2"/>
  <c r="I846" i="2"/>
  <c r="H846" i="2"/>
  <c r="A846" i="2"/>
  <c r="I845" i="2"/>
  <c r="H845" i="2"/>
  <c r="A845" i="2"/>
  <c r="I844" i="2"/>
  <c r="H844" i="2"/>
  <c r="A844" i="2"/>
  <c r="I843" i="2"/>
  <c r="H843" i="2"/>
  <c r="A843" i="2"/>
  <c r="I842" i="2"/>
  <c r="H842" i="2"/>
  <c r="A842" i="2"/>
  <c r="I841" i="2"/>
  <c r="H841" i="2"/>
  <c r="A841" i="2"/>
  <c r="I840" i="2"/>
  <c r="H840" i="2"/>
  <c r="A840" i="2"/>
  <c r="I839" i="2"/>
  <c r="H839" i="2"/>
  <c r="A839" i="2"/>
  <c r="I838" i="2"/>
  <c r="H838" i="2"/>
  <c r="A838" i="2"/>
  <c r="I837" i="2"/>
  <c r="H837" i="2"/>
  <c r="A837" i="2"/>
  <c r="I836" i="2"/>
  <c r="H836" i="2"/>
  <c r="A836" i="2"/>
  <c r="I835" i="2"/>
  <c r="H835" i="2"/>
  <c r="A835" i="2"/>
  <c r="I834" i="2"/>
  <c r="H834" i="2"/>
  <c r="A834" i="2"/>
  <c r="I833" i="2"/>
  <c r="H833" i="2"/>
  <c r="A833" i="2"/>
  <c r="I832" i="2"/>
  <c r="H832" i="2"/>
  <c r="A832" i="2"/>
  <c r="I831" i="2"/>
  <c r="H831" i="2"/>
  <c r="A831" i="2"/>
  <c r="I830" i="2"/>
  <c r="H830" i="2"/>
  <c r="A830" i="2"/>
  <c r="I829" i="2"/>
  <c r="H829" i="2"/>
  <c r="A829" i="2"/>
  <c r="I828" i="2"/>
  <c r="H828" i="2"/>
  <c r="A828" i="2"/>
  <c r="I827" i="2"/>
  <c r="H827" i="2"/>
  <c r="A827" i="2"/>
  <c r="I826" i="2"/>
  <c r="H826" i="2"/>
  <c r="A826" i="2"/>
  <c r="I825" i="2"/>
  <c r="H825" i="2"/>
  <c r="A825" i="2"/>
  <c r="I824" i="2"/>
  <c r="H824" i="2"/>
  <c r="A824" i="2"/>
  <c r="I823" i="2"/>
  <c r="H823" i="2"/>
  <c r="A823" i="2"/>
  <c r="I822" i="2"/>
  <c r="H822" i="2"/>
  <c r="A822" i="2"/>
  <c r="I821" i="2"/>
  <c r="H821" i="2"/>
  <c r="A821" i="2"/>
  <c r="I820" i="2"/>
  <c r="H820" i="2"/>
  <c r="A820" i="2"/>
  <c r="I819" i="2"/>
  <c r="H819" i="2"/>
  <c r="A819" i="2"/>
  <c r="I818" i="2"/>
  <c r="H818" i="2"/>
  <c r="A818" i="2"/>
  <c r="I817" i="2"/>
  <c r="H817" i="2"/>
  <c r="A817" i="2"/>
  <c r="I816" i="2"/>
  <c r="H816" i="2"/>
  <c r="A816" i="2"/>
  <c r="I815" i="2"/>
  <c r="H815" i="2"/>
  <c r="A815" i="2"/>
  <c r="I814" i="2"/>
  <c r="H814" i="2"/>
  <c r="A814" i="2"/>
  <c r="I813" i="2"/>
  <c r="H813" i="2"/>
  <c r="A813" i="2"/>
  <c r="I812" i="2"/>
  <c r="H812" i="2"/>
  <c r="A812" i="2"/>
  <c r="I811" i="2"/>
  <c r="H811" i="2"/>
  <c r="A811" i="2"/>
  <c r="I810" i="2"/>
  <c r="H810" i="2"/>
  <c r="A810" i="2"/>
  <c r="I809" i="2"/>
  <c r="H809" i="2"/>
  <c r="A809" i="2"/>
  <c r="I808" i="2"/>
  <c r="H808" i="2"/>
  <c r="A808" i="2"/>
  <c r="I807" i="2"/>
  <c r="H807" i="2"/>
  <c r="A807" i="2"/>
  <c r="I806" i="2"/>
  <c r="H806" i="2"/>
  <c r="A806" i="2"/>
  <c r="I805" i="2"/>
  <c r="H805" i="2"/>
  <c r="A805" i="2"/>
  <c r="I804" i="2"/>
  <c r="H804" i="2"/>
  <c r="A804" i="2"/>
  <c r="I803" i="2"/>
  <c r="H803" i="2"/>
  <c r="A803" i="2"/>
  <c r="I802" i="2"/>
  <c r="H802" i="2"/>
  <c r="A802" i="2"/>
  <c r="I801" i="2"/>
  <c r="H801" i="2"/>
  <c r="A801" i="2"/>
  <c r="I800" i="2"/>
  <c r="H800" i="2"/>
  <c r="A800" i="2"/>
  <c r="I799" i="2"/>
  <c r="H799" i="2"/>
  <c r="A799" i="2"/>
  <c r="I798" i="2"/>
  <c r="H798" i="2"/>
  <c r="A798" i="2"/>
  <c r="I797" i="2"/>
  <c r="H797" i="2"/>
  <c r="A797" i="2"/>
  <c r="I796" i="2"/>
  <c r="H796" i="2"/>
  <c r="A796" i="2"/>
  <c r="I795" i="2"/>
  <c r="H795" i="2"/>
  <c r="A795" i="2"/>
  <c r="I794" i="2"/>
  <c r="H794" i="2"/>
  <c r="A794" i="2"/>
  <c r="I793" i="2"/>
  <c r="H793" i="2"/>
  <c r="A793" i="2"/>
  <c r="I792" i="2"/>
  <c r="H792" i="2"/>
  <c r="A792" i="2"/>
  <c r="I791" i="2"/>
  <c r="H791" i="2"/>
  <c r="A791" i="2"/>
  <c r="I790" i="2"/>
  <c r="H790" i="2"/>
  <c r="A790" i="2"/>
  <c r="I789" i="2"/>
  <c r="H789" i="2"/>
  <c r="A789" i="2"/>
  <c r="I788" i="2"/>
  <c r="H788" i="2"/>
  <c r="A788" i="2"/>
  <c r="I787" i="2"/>
  <c r="H787" i="2"/>
  <c r="A787" i="2"/>
  <c r="I786" i="2"/>
  <c r="H786" i="2"/>
  <c r="A786" i="2"/>
  <c r="I785" i="2"/>
  <c r="H785" i="2"/>
  <c r="A785" i="2"/>
  <c r="I784" i="2"/>
  <c r="H784" i="2"/>
  <c r="A784" i="2"/>
  <c r="I783" i="2"/>
  <c r="H783" i="2"/>
  <c r="A783" i="2"/>
  <c r="I782" i="2"/>
  <c r="H782" i="2"/>
  <c r="A782" i="2"/>
  <c r="I781" i="2"/>
  <c r="H781" i="2"/>
  <c r="A781" i="2"/>
  <c r="I780" i="2"/>
  <c r="H780" i="2"/>
  <c r="A780" i="2"/>
  <c r="I779" i="2"/>
  <c r="H779" i="2"/>
  <c r="A779" i="2"/>
  <c r="I778" i="2"/>
  <c r="H778" i="2"/>
  <c r="A778" i="2"/>
  <c r="I777" i="2"/>
  <c r="H777" i="2"/>
  <c r="A777" i="2"/>
  <c r="I776" i="2"/>
  <c r="H776" i="2"/>
  <c r="A776" i="2"/>
  <c r="I775" i="2"/>
  <c r="H775" i="2"/>
  <c r="A775" i="2"/>
  <c r="I774" i="2"/>
  <c r="H774" i="2"/>
  <c r="A774" i="2"/>
  <c r="I773" i="2"/>
  <c r="H773" i="2"/>
  <c r="A773" i="2"/>
  <c r="I772" i="2"/>
  <c r="H772" i="2"/>
  <c r="A772" i="2"/>
  <c r="I771" i="2"/>
  <c r="H771" i="2"/>
  <c r="A771" i="2"/>
  <c r="I770" i="2"/>
  <c r="H770" i="2"/>
  <c r="A770" i="2"/>
  <c r="I769" i="2"/>
  <c r="H769" i="2"/>
  <c r="A769" i="2"/>
  <c r="I768" i="2"/>
  <c r="H768" i="2"/>
  <c r="A768" i="2"/>
  <c r="I767" i="2"/>
  <c r="H767" i="2"/>
  <c r="A767" i="2"/>
  <c r="I766" i="2"/>
  <c r="H766" i="2"/>
  <c r="A766" i="2"/>
  <c r="I765" i="2"/>
  <c r="H765" i="2"/>
  <c r="A765" i="2"/>
  <c r="I764" i="2"/>
  <c r="H764" i="2"/>
  <c r="A764" i="2"/>
  <c r="I763" i="2"/>
  <c r="H763" i="2"/>
  <c r="A763" i="2"/>
  <c r="I762" i="2"/>
  <c r="H762" i="2"/>
  <c r="A762" i="2"/>
  <c r="I761" i="2"/>
  <c r="H761" i="2"/>
  <c r="A761" i="2"/>
  <c r="I760" i="2"/>
  <c r="H760" i="2"/>
  <c r="A760" i="2"/>
  <c r="I759" i="2"/>
  <c r="H759" i="2"/>
  <c r="A759" i="2"/>
  <c r="I758" i="2"/>
  <c r="H758" i="2"/>
  <c r="A758" i="2"/>
  <c r="I757" i="2"/>
  <c r="H757" i="2"/>
  <c r="A757" i="2"/>
  <c r="I756" i="2"/>
  <c r="H756" i="2"/>
  <c r="A756" i="2"/>
  <c r="I755" i="2"/>
  <c r="H755" i="2"/>
  <c r="A755" i="2"/>
  <c r="I754" i="2"/>
  <c r="H754" i="2"/>
  <c r="A754" i="2"/>
  <c r="I753" i="2"/>
  <c r="H753" i="2"/>
  <c r="A753" i="2"/>
  <c r="I752" i="2"/>
  <c r="H752" i="2"/>
  <c r="A752" i="2"/>
  <c r="I751" i="2"/>
  <c r="H751" i="2"/>
  <c r="A751" i="2"/>
  <c r="I750" i="2"/>
  <c r="H750" i="2"/>
  <c r="A750" i="2"/>
  <c r="I749" i="2"/>
  <c r="H749" i="2"/>
  <c r="A749" i="2"/>
  <c r="I748" i="2"/>
  <c r="H748" i="2"/>
  <c r="A748" i="2"/>
  <c r="I747" i="2"/>
  <c r="H747" i="2"/>
  <c r="A747" i="2"/>
  <c r="I746" i="2"/>
  <c r="H746" i="2"/>
  <c r="A746" i="2"/>
  <c r="I745" i="2"/>
  <c r="H745" i="2"/>
  <c r="A745" i="2"/>
  <c r="I744" i="2"/>
  <c r="H744" i="2"/>
  <c r="A744" i="2"/>
  <c r="I743" i="2"/>
  <c r="H743" i="2"/>
  <c r="A743" i="2"/>
  <c r="I742" i="2"/>
  <c r="H742" i="2"/>
  <c r="A742" i="2"/>
  <c r="I741" i="2"/>
  <c r="H741" i="2"/>
  <c r="A741" i="2"/>
  <c r="I740" i="2"/>
  <c r="H740" i="2"/>
  <c r="A740" i="2"/>
  <c r="I739" i="2"/>
  <c r="H739" i="2"/>
  <c r="A739" i="2"/>
  <c r="I738" i="2"/>
  <c r="H738" i="2"/>
  <c r="A738" i="2"/>
  <c r="I737" i="2"/>
  <c r="H737" i="2"/>
  <c r="A737" i="2"/>
  <c r="I736" i="2"/>
  <c r="H736" i="2"/>
  <c r="A736" i="2"/>
  <c r="I735" i="2"/>
  <c r="H735" i="2"/>
  <c r="A735" i="2"/>
  <c r="I734" i="2"/>
  <c r="H734" i="2"/>
  <c r="A734" i="2"/>
  <c r="I733" i="2"/>
  <c r="H733" i="2"/>
  <c r="A733" i="2"/>
  <c r="I732" i="2"/>
  <c r="H732" i="2"/>
  <c r="A732" i="2"/>
  <c r="I731" i="2"/>
  <c r="H731" i="2"/>
  <c r="A731" i="2"/>
  <c r="I730" i="2"/>
  <c r="H730" i="2"/>
  <c r="A730" i="2"/>
  <c r="I729" i="2"/>
  <c r="H729" i="2"/>
  <c r="A729" i="2"/>
  <c r="I728" i="2"/>
  <c r="H728" i="2"/>
  <c r="A728" i="2"/>
  <c r="I727" i="2"/>
  <c r="H727" i="2"/>
  <c r="A727" i="2"/>
  <c r="I726" i="2"/>
  <c r="H726" i="2"/>
  <c r="A726" i="2"/>
  <c r="I725" i="2"/>
  <c r="H725" i="2"/>
  <c r="A725" i="2"/>
  <c r="I724" i="2"/>
  <c r="H724" i="2"/>
  <c r="A724" i="2"/>
  <c r="I723" i="2"/>
  <c r="H723" i="2"/>
  <c r="A723" i="2"/>
  <c r="I722" i="2"/>
  <c r="H722" i="2"/>
  <c r="A722" i="2"/>
  <c r="I721" i="2"/>
  <c r="H721" i="2"/>
  <c r="A721" i="2"/>
  <c r="I720" i="2"/>
  <c r="H720" i="2"/>
  <c r="A720" i="2"/>
  <c r="I719" i="2"/>
  <c r="H719" i="2"/>
  <c r="A719" i="2"/>
  <c r="I718" i="2"/>
  <c r="H718" i="2"/>
  <c r="A718" i="2"/>
  <c r="I717" i="2"/>
  <c r="H717" i="2"/>
  <c r="A717" i="2"/>
  <c r="I716" i="2"/>
  <c r="H716" i="2"/>
  <c r="A716" i="2"/>
  <c r="I715" i="2"/>
  <c r="H715" i="2"/>
  <c r="A715" i="2"/>
  <c r="I714" i="2"/>
  <c r="H714" i="2"/>
  <c r="A714" i="2"/>
  <c r="I713" i="2"/>
  <c r="H713" i="2"/>
  <c r="A713" i="2"/>
  <c r="I712" i="2"/>
  <c r="H712" i="2"/>
  <c r="A712" i="2"/>
  <c r="I711" i="2"/>
  <c r="H711" i="2"/>
  <c r="A711" i="2"/>
  <c r="I710" i="2"/>
  <c r="H710" i="2"/>
  <c r="A710" i="2"/>
  <c r="I709" i="2"/>
  <c r="H709" i="2"/>
  <c r="A709" i="2"/>
  <c r="I708" i="2"/>
  <c r="H708" i="2"/>
  <c r="A708" i="2"/>
  <c r="I707" i="2"/>
  <c r="H707" i="2"/>
  <c r="A707" i="2"/>
  <c r="I706" i="2"/>
  <c r="H706" i="2"/>
  <c r="A706" i="2"/>
  <c r="I705" i="2"/>
  <c r="H705" i="2"/>
  <c r="A705" i="2"/>
  <c r="I704" i="2"/>
  <c r="H704" i="2"/>
  <c r="A704" i="2"/>
  <c r="I703" i="2"/>
  <c r="H703" i="2"/>
  <c r="A703" i="2"/>
  <c r="I702" i="2"/>
  <c r="H702" i="2"/>
  <c r="A702" i="2"/>
  <c r="I701" i="2"/>
  <c r="H701" i="2"/>
  <c r="A701" i="2"/>
  <c r="I700" i="2"/>
  <c r="H700" i="2"/>
  <c r="A700" i="2"/>
  <c r="I699" i="2"/>
  <c r="H699" i="2"/>
  <c r="A699" i="2"/>
  <c r="I698" i="2"/>
  <c r="H698" i="2"/>
  <c r="A698" i="2"/>
  <c r="I697" i="2"/>
  <c r="H697" i="2"/>
  <c r="A697" i="2"/>
  <c r="I696" i="2"/>
  <c r="H696" i="2"/>
  <c r="A696" i="2"/>
  <c r="I695" i="2"/>
  <c r="H695" i="2"/>
  <c r="A695" i="2"/>
  <c r="I694" i="2"/>
  <c r="H694" i="2"/>
  <c r="A694" i="2"/>
  <c r="I693" i="2"/>
  <c r="H693" i="2"/>
  <c r="A693" i="2"/>
  <c r="I692" i="2"/>
  <c r="H692" i="2"/>
  <c r="A692" i="2"/>
  <c r="I691" i="2"/>
  <c r="H691" i="2"/>
  <c r="A691" i="2"/>
  <c r="I690" i="2"/>
  <c r="H690" i="2"/>
  <c r="A690" i="2"/>
  <c r="I689" i="2"/>
  <c r="H689" i="2"/>
  <c r="A689" i="2"/>
  <c r="I688" i="2"/>
  <c r="H688" i="2"/>
  <c r="A688" i="2"/>
  <c r="I687" i="2"/>
  <c r="H687" i="2"/>
  <c r="A687" i="2"/>
  <c r="I686" i="2"/>
  <c r="H686" i="2"/>
  <c r="A686" i="2"/>
  <c r="I685" i="2"/>
  <c r="H685" i="2"/>
  <c r="A685" i="2"/>
  <c r="I684" i="2"/>
  <c r="H684" i="2"/>
  <c r="A684" i="2"/>
  <c r="I683" i="2"/>
  <c r="H683" i="2"/>
  <c r="A683" i="2"/>
  <c r="I682" i="2"/>
  <c r="H682" i="2"/>
  <c r="A682" i="2"/>
  <c r="I681" i="2"/>
  <c r="H681" i="2"/>
  <c r="A681" i="2"/>
  <c r="I680" i="2"/>
  <c r="H680" i="2"/>
  <c r="A680" i="2"/>
  <c r="I679" i="2"/>
  <c r="H679" i="2"/>
  <c r="A679" i="2"/>
  <c r="I678" i="2"/>
  <c r="H678" i="2"/>
  <c r="A678" i="2"/>
  <c r="I677" i="2"/>
  <c r="H677" i="2"/>
  <c r="A677" i="2"/>
  <c r="I676" i="2"/>
  <c r="H676" i="2"/>
  <c r="A676" i="2"/>
  <c r="I675" i="2"/>
  <c r="H675" i="2"/>
  <c r="A675" i="2"/>
  <c r="I674" i="2"/>
  <c r="H674" i="2"/>
  <c r="A674" i="2"/>
  <c r="I673" i="2"/>
  <c r="H673" i="2"/>
  <c r="A673" i="2"/>
  <c r="I672" i="2"/>
  <c r="H672" i="2"/>
  <c r="A672" i="2"/>
  <c r="I671" i="2"/>
  <c r="H671" i="2"/>
  <c r="A671" i="2"/>
  <c r="I670" i="2"/>
  <c r="H670" i="2"/>
  <c r="A670" i="2"/>
  <c r="I669" i="2"/>
  <c r="H669" i="2"/>
  <c r="A669" i="2"/>
  <c r="I668" i="2"/>
  <c r="H668" i="2"/>
  <c r="A668" i="2"/>
  <c r="I667" i="2"/>
  <c r="H667" i="2"/>
  <c r="A667" i="2"/>
  <c r="I666" i="2"/>
  <c r="H666" i="2"/>
  <c r="A666" i="2"/>
  <c r="I665" i="2"/>
  <c r="H665" i="2"/>
  <c r="A665" i="2"/>
  <c r="I664" i="2"/>
  <c r="H664" i="2"/>
  <c r="A664" i="2"/>
  <c r="I663" i="2"/>
  <c r="H663" i="2"/>
  <c r="A663" i="2"/>
  <c r="I662" i="2"/>
  <c r="H662" i="2"/>
  <c r="A662" i="2"/>
  <c r="I661" i="2"/>
  <c r="H661" i="2"/>
  <c r="A661" i="2"/>
  <c r="I660" i="2"/>
  <c r="H660" i="2"/>
  <c r="A660" i="2"/>
  <c r="I659" i="2"/>
  <c r="H659" i="2"/>
  <c r="A659" i="2"/>
  <c r="I658" i="2"/>
  <c r="H658" i="2"/>
  <c r="A658" i="2"/>
  <c r="I657" i="2"/>
  <c r="H657" i="2"/>
  <c r="A657" i="2"/>
  <c r="I656" i="2"/>
  <c r="H656" i="2"/>
  <c r="A656" i="2"/>
  <c r="I655" i="2"/>
  <c r="H655" i="2"/>
  <c r="A655" i="2"/>
  <c r="I654" i="2"/>
  <c r="H654" i="2"/>
  <c r="A654" i="2"/>
  <c r="I653" i="2"/>
  <c r="H653" i="2"/>
  <c r="A653" i="2"/>
  <c r="I652" i="2"/>
  <c r="H652" i="2"/>
  <c r="A652" i="2"/>
  <c r="I651" i="2"/>
  <c r="H651" i="2"/>
  <c r="A651" i="2"/>
  <c r="I650" i="2"/>
  <c r="H650" i="2"/>
  <c r="A650" i="2"/>
  <c r="I649" i="2"/>
  <c r="H649" i="2"/>
  <c r="A649" i="2"/>
  <c r="I648" i="2"/>
  <c r="H648" i="2"/>
  <c r="A648" i="2"/>
  <c r="I647" i="2"/>
  <c r="H647" i="2"/>
  <c r="A647" i="2"/>
  <c r="I646" i="2"/>
  <c r="H646" i="2"/>
  <c r="A646" i="2"/>
  <c r="I645" i="2"/>
  <c r="H645" i="2"/>
  <c r="A645" i="2"/>
  <c r="I644" i="2"/>
  <c r="H644" i="2"/>
  <c r="A644" i="2"/>
  <c r="I643" i="2"/>
  <c r="H643" i="2"/>
  <c r="A643" i="2"/>
  <c r="I642" i="2"/>
  <c r="H642" i="2"/>
  <c r="A642" i="2"/>
  <c r="I641" i="2"/>
  <c r="H641" i="2"/>
  <c r="A641" i="2"/>
  <c r="I640" i="2"/>
  <c r="H640" i="2"/>
  <c r="A640" i="2"/>
  <c r="I639" i="2"/>
  <c r="H639" i="2"/>
  <c r="A639" i="2"/>
  <c r="I638" i="2"/>
  <c r="H638" i="2"/>
  <c r="A638" i="2"/>
  <c r="I637" i="2"/>
  <c r="H637" i="2"/>
  <c r="A637" i="2"/>
  <c r="I636" i="2"/>
  <c r="H636" i="2"/>
  <c r="A636" i="2"/>
  <c r="I635" i="2"/>
  <c r="H635" i="2"/>
  <c r="A635" i="2"/>
  <c r="I634" i="2"/>
  <c r="H634" i="2"/>
  <c r="A634" i="2"/>
  <c r="I633" i="2"/>
  <c r="H633" i="2"/>
  <c r="A633" i="2"/>
  <c r="I632" i="2"/>
  <c r="H632" i="2"/>
  <c r="A632" i="2"/>
  <c r="I631" i="2"/>
  <c r="H631" i="2"/>
  <c r="A631" i="2"/>
  <c r="I630" i="2"/>
  <c r="H630" i="2"/>
  <c r="A630" i="2"/>
  <c r="I629" i="2"/>
  <c r="H629" i="2"/>
  <c r="A629" i="2"/>
  <c r="I628" i="2"/>
  <c r="H628" i="2"/>
  <c r="A628" i="2"/>
  <c r="I627" i="2"/>
  <c r="H627" i="2"/>
  <c r="A627" i="2"/>
  <c r="I626" i="2"/>
  <c r="H626" i="2"/>
  <c r="A626" i="2"/>
  <c r="I625" i="2"/>
  <c r="H625" i="2"/>
  <c r="A625" i="2"/>
  <c r="I624" i="2"/>
  <c r="H624" i="2"/>
  <c r="A624" i="2"/>
  <c r="I623" i="2"/>
  <c r="H623" i="2"/>
  <c r="A623" i="2"/>
  <c r="I622" i="2"/>
  <c r="H622" i="2"/>
  <c r="A622" i="2"/>
  <c r="I621" i="2"/>
  <c r="H621" i="2"/>
  <c r="A621" i="2"/>
  <c r="I620" i="2"/>
  <c r="H620" i="2"/>
  <c r="A620" i="2"/>
  <c r="I619" i="2"/>
  <c r="H619" i="2"/>
  <c r="A619" i="2"/>
  <c r="I618" i="2"/>
  <c r="H618" i="2"/>
  <c r="A618" i="2"/>
  <c r="I617" i="2"/>
  <c r="H617" i="2"/>
  <c r="A617" i="2"/>
  <c r="I616" i="2"/>
  <c r="H616" i="2"/>
  <c r="A616" i="2"/>
  <c r="I615" i="2"/>
  <c r="H615" i="2"/>
  <c r="A615" i="2"/>
  <c r="I614" i="2"/>
  <c r="H614" i="2"/>
  <c r="A614" i="2"/>
  <c r="I613" i="2"/>
  <c r="H613" i="2"/>
  <c r="A613" i="2"/>
  <c r="I612" i="2"/>
  <c r="H612" i="2"/>
  <c r="A612" i="2"/>
  <c r="I611" i="2"/>
  <c r="H611" i="2"/>
  <c r="A611" i="2"/>
  <c r="I610" i="2"/>
  <c r="H610" i="2"/>
  <c r="A610" i="2"/>
  <c r="I609" i="2"/>
  <c r="H609" i="2"/>
  <c r="A609" i="2"/>
  <c r="I608" i="2"/>
  <c r="H608" i="2"/>
  <c r="A608" i="2"/>
  <c r="I607" i="2"/>
  <c r="H607" i="2"/>
  <c r="A607" i="2"/>
  <c r="I606" i="2"/>
  <c r="H606" i="2"/>
  <c r="A606" i="2"/>
  <c r="I605" i="2"/>
  <c r="H605" i="2"/>
  <c r="A605" i="2"/>
  <c r="I604" i="2"/>
  <c r="H604" i="2"/>
  <c r="A604" i="2"/>
  <c r="I603" i="2"/>
  <c r="H603" i="2"/>
  <c r="A603" i="2"/>
  <c r="I602" i="2"/>
  <c r="H602" i="2"/>
  <c r="A602" i="2"/>
  <c r="I601" i="2"/>
  <c r="H601" i="2"/>
  <c r="A601" i="2"/>
  <c r="I600" i="2"/>
  <c r="H600" i="2"/>
  <c r="A600" i="2"/>
  <c r="I599" i="2"/>
  <c r="H599" i="2"/>
  <c r="A599" i="2"/>
  <c r="I598" i="2"/>
  <c r="H598" i="2"/>
  <c r="A598" i="2"/>
  <c r="I597" i="2"/>
  <c r="H597" i="2"/>
  <c r="A597" i="2"/>
  <c r="I596" i="2"/>
  <c r="H596" i="2"/>
  <c r="A596" i="2"/>
  <c r="I595" i="2"/>
  <c r="H595" i="2"/>
  <c r="A595" i="2"/>
  <c r="I594" i="2"/>
  <c r="H594" i="2"/>
  <c r="A594" i="2"/>
  <c r="I593" i="2"/>
  <c r="H593" i="2"/>
  <c r="A593" i="2"/>
  <c r="I592" i="2"/>
  <c r="H592" i="2"/>
  <c r="A592" i="2"/>
  <c r="I591" i="2"/>
  <c r="H591" i="2"/>
  <c r="A591" i="2"/>
  <c r="I590" i="2"/>
  <c r="H590" i="2"/>
  <c r="A590" i="2"/>
  <c r="I589" i="2"/>
  <c r="H589" i="2"/>
  <c r="A589" i="2"/>
  <c r="I588" i="2"/>
  <c r="H588" i="2"/>
  <c r="A588" i="2"/>
  <c r="I587" i="2"/>
  <c r="H587" i="2"/>
  <c r="A587" i="2"/>
  <c r="I586" i="2"/>
  <c r="H586" i="2"/>
  <c r="A586" i="2"/>
  <c r="I585" i="2"/>
  <c r="H585" i="2"/>
  <c r="A585" i="2"/>
  <c r="I584" i="2"/>
  <c r="H584" i="2"/>
  <c r="A584" i="2"/>
  <c r="I583" i="2"/>
  <c r="H583" i="2"/>
  <c r="A583" i="2"/>
  <c r="I582" i="2"/>
  <c r="H582" i="2"/>
  <c r="A582" i="2"/>
  <c r="I581" i="2"/>
  <c r="H581" i="2"/>
  <c r="A581" i="2"/>
  <c r="I580" i="2"/>
  <c r="H580" i="2"/>
  <c r="A580" i="2"/>
  <c r="I579" i="2"/>
  <c r="H579" i="2"/>
  <c r="A579" i="2"/>
  <c r="I578" i="2"/>
  <c r="H578" i="2"/>
  <c r="A578" i="2"/>
  <c r="I577" i="2"/>
  <c r="H577" i="2"/>
  <c r="A577" i="2"/>
  <c r="I576" i="2"/>
  <c r="H576" i="2"/>
  <c r="A576" i="2"/>
  <c r="I575" i="2"/>
  <c r="H575" i="2"/>
  <c r="A575" i="2"/>
  <c r="I574" i="2"/>
  <c r="H574" i="2"/>
  <c r="A574" i="2"/>
  <c r="I573" i="2"/>
  <c r="H573" i="2"/>
  <c r="A573" i="2"/>
  <c r="I572" i="2"/>
  <c r="H572" i="2"/>
  <c r="A572" i="2"/>
  <c r="I571" i="2"/>
  <c r="H571" i="2"/>
  <c r="A571" i="2"/>
  <c r="I570" i="2"/>
  <c r="H570" i="2"/>
  <c r="A570" i="2"/>
  <c r="I569" i="2"/>
  <c r="H569" i="2"/>
  <c r="A569" i="2"/>
  <c r="I568" i="2"/>
  <c r="H568" i="2"/>
  <c r="A568" i="2"/>
  <c r="I567" i="2"/>
  <c r="H567" i="2"/>
  <c r="A567" i="2"/>
  <c r="I566" i="2"/>
  <c r="H566" i="2"/>
  <c r="A566" i="2"/>
  <c r="I565" i="2"/>
  <c r="H565" i="2"/>
  <c r="A565" i="2"/>
  <c r="I564" i="2"/>
  <c r="H564" i="2"/>
  <c r="A564" i="2"/>
  <c r="I563" i="2"/>
  <c r="H563" i="2"/>
  <c r="A563" i="2"/>
  <c r="I562" i="2"/>
  <c r="H562" i="2"/>
  <c r="A562" i="2"/>
  <c r="I561" i="2"/>
  <c r="H561" i="2"/>
  <c r="A561" i="2"/>
  <c r="I560" i="2"/>
  <c r="H560" i="2"/>
  <c r="A560" i="2"/>
  <c r="I559" i="2"/>
  <c r="H559" i="2"/>
  <c r="A559" i="2"/>
  <c r="I558" i="2"/>
  <c r="H558" i="2"/>
  <c r="A558" i="2"/>
  <c r="I557" i="2"/>
  <c r="H557" i="2"/>
  <c r="A557" i="2"/>
  <c r="I556" i="2"/>
  <c r="H556" i="2"/>
  <c r="A556" i="2"/>
  <c r="I555" i="2"/>
  <c r="H555" i="2"/>
  <c r="A555" i="2"/>
  <c r="I554" i="2"/>
  <c r="H554" i="2"/>
  <c r="A554" i="2"/>
  <c r="I553" i="2"/>
  <c r="H553" i="2"/>
  <c r="A553" i="2"/>
  <c r="I552" i="2"/>
  <c r="H552" i="2"/>
  <c r="A552" i="2"/>
  <c r="I551" i="2"/>
  <c r="H551" i="2"/>
  <c r="A551" i="2"/>
  <c r="I550" i="2"/>
  <c r="H550" i="2"/>
  <c r="A550" i="2"/>
  <c r="I549" i="2"/>
  <c r="H549" i="2"/>
  <c r="A549" i="2"/>
  <c r="I548" i="2"/>
  <c r="H548" i="2"/>
  <c r="A548" i="2"/>
  <c r="I547" i="2"/>
  <c r="H547" i="2"/>
  <c r="A547" i="2"/>
  <c r="I546" i="2"/>
  <c r="H546" i="2"/>
  <c r="A546" i="2"/>
  <c r="I545" i="2"/>
  <c r="H545" i="2"/>
  <c r="A545" i="2"/>
  <c r="I544" i="2"/>
  <c r="H544" i="2"/>
  <c r="A544" i="2"/>
  <c r="I543" i="2"/>
  <c r="H543" i="2"/>
  <c r="A543" i="2"/>
  <c r="I542" i="2"/>
  <c r="H542" i="2"/>
  <c r="A542" i="2"/>
  <c r="I541" i="2"/>
  <c r="H541" i="2"/>
  <c r="A541" i="2"/>
  <c r="I540" i="2"/>
  <c r="H540" i="2"/>
  <c r="A540" i="2"/>
  <c r="I539" i="2"/>
  <c r="H539" i="2"/>
  <c r="A539" i="2"/>
  <c r="I538" i="2"/>
  <c r="H538" i="2"/>
  <c r="A538" i="2"/>
  <c r="I537" i="2"/>
  <c r="H537" i="2"/>
  <c r="A537" i="2"/>
  <c r="I536" i="2"/>
  <c r="H536" i="2"/>
  <c r="A536" i="2"/>
  <c r="I535" i="2"/>
  <c r="H535" i="2"/>
  <c r="A535" i="2"/>
  <c r="I534" i="2"/>
  <c r="H534" i="2"/>
  <c r="A534" i="2"/>
  <c r="I533" i="2"/>
  <c r="H533" i="2"/>
  <c r="A533" i="2"/>
  <c r="I532" i="2"/>
  <c r="H532" i="2"/>
  <c r="A532" i="2"/>
  <c r="I531" i="2"/>
  <c r="H531" i="2"/>
  <c r="A531" i="2"/>
  <c r="I530" i="2"/>
  <c r="H530" i="2"/>
  <c r="A530" i="2"/>
  <c r="I529" i="2"/>
  <c r="H529" i="2"/>
  <c r="A529" i="2"/>
  <c r="I528" i="2"/>
  <c r="H528" i="2"/>
  <c r="A528" i="2"/>
  <c r="I527" i="2"/>
  <c r="H527" i="2"/>
  <c r="A527" i="2"/>
  <c r="I526" i="2"/>
  <c r="H526" i="2"/>
  <c r="A526" i="2"/>
  <c r="I525" i="2"/>
  <c r="H525" i="2"/>
  <c r="A525" i="2"/>
  <c r="I524" i="2"/>
  <c r="H524" i="2"/>
  <c r="A524" i="2"/>
  <c r="I523" i="2"/>
  <c r="H523" i="2"/>
  <c r="A523" i="2"/>
  <c r="I522" i="2"/>
  <c r="H522" i="2"/>
  <c r="A522" i="2"/>
  <c r="I521" i="2"/>
  <c r="H521" i="2"/>
  <c r="A521" i="2"/>
  <c r="I520" i="2"/>
  <c r="H520" i="2"/>
  <c r="A520" i="2"/>
  <c r="I519" i="2"/>
  <c r="H519" i="2"/>
  <c r="A519" i="2"/>
  <c r="I518" i="2"/>
  <c r="H518" i="2"/>
  <c r="A518" i="2"/>
  <c r="I517" i="2"/>
  <c r="H517" i="2"/>
  <c r="A517" i="2"/>
  <c r="I516" i="2"/>
  <c r="H516" i="2"/>
  <c r="A516" i="2"/>
  <c r="I515" i="2"/>
  <c r="H515" i="2"/>
  <c r="A515" i="2"/>
  <c r="I514" i="2"/>
  <c r="H514" i="2"/>
  <c r="A514" i="2"/>
  <c r="I513" i="2"/>
  <c r="H513" i="2"/>
  <c r="A513" i="2"/>
  <c r="I512" i="2"/>
  <c r="H512" i="2"/>
  <c r="A512" i="2"/>
  <c r="I511" i="2"/>
  <c r="H511" i="2"/>
  <c r="A511" i="2"/>
  <c r="I510" i="2"/>
  <c r="H510" i="2"/>
  <c r="A510" i="2"/>
  <c r="I509" i="2"/>
  <c r="H509" i="2"/>
  <c r="A509" i="2"/>
  <c r="I508" i="2"/>
  <c r="H508" i="2"/>
  <c r="A508" i="2"/>
  <c r="I507" i="2"/>
  <c r="H507" i="2"/>
  <c r="A507" i="2"/>
  <c r="I506" i="2"/>
  <c r="H506" i="2"/>
  <c r="A506" i="2"/>
  <c r="I505" i="2"/>
  <c r="H505" i="2"/>
  <c r="A505" i="2"/>
  <c r="I504" i="2"/>
  <c r="H504" i="2"/>
  <c r="A504" i="2"/>
  <c r="I503" i="2"/>
  <c r="H503" i="2"/>
  <c r="A503" i="2"/>
  <c r="I502" i="2"/>
  <c r="H502" i="2"/>
  <c r="A502" i="2"/>
  <c r="I501" i="2"/>
  <c r="H501" i="2"/>
  <c r="A501" i="2"/>
  <c r="I500" i="2"/>
  <c r="H500" i="2"/>
  <c r="A500" i="2"/>
  <c r="I499" i="2"/>
  <c r="H499" i="2"/>
  <c r="A499" i="2"/>
  <c r="I498" i="2"/>
  <c r="H498" i="2"/>
  <c r="A498" i="2"/>
  <c r="I497" i="2"/>
  <c r="H497" i="2"/>
  <c r="A497" i="2"/>
  <c r="I496" i="2"/>
  <c r="H496" i="2"/>
  <c r="A496" i="2"/>
  <c r="I495" i="2"/>
  <c r="H495" i="2"/>
  <c r="A495" i="2"/>
  <c r="I494" i="2"/>
  <c r="H494" i="2"/>
  <c r="A494" i="2"/>
  <c r="I493" i="2"/>
  <c r="H493" i="2"/>
  <c r="A493" i="2"/>
  <c r="I492" i="2"/>
  <c r="H492" i="2"/>
  <c r="A492" i="2"/>
  <c r="I491" i="2"/>
  <c r="H491" i="2"/>
  <c r="A491" i="2"/>
  <c r="I490" i="2"/>
  <c r="H490" i="2"/>
  <c r="A490" i="2"/>
  <c r="I489" i="2"/>
  <c r="H489" i="2"/>
  <c r="A489" i="2"/>
  <c r="I488" i="2"/>
  <c r="H488" i="2"/>
  <c r="A488" i="2"/>
  <c r="I487" i="2"/>
  <c r="H487" i="2"/>
  <c r="A487" i="2"/>
  <c r="I486" i="2"/>
  <c r="H486" i="2"/>
  <c r="A486" i="2"/>
  <c r="I485" i="2"/>
  <c r="H485" i="2"/>
  <c r="A485" i="2"/>
  <c r="I484" i="2"/>
  <c r="H484" i="2"/>
  <c r="A484" i="2"/>
  <c r="I483" i="2"/>
  <c r="H483" i="2"/>
  <c r="A483" i="2"/>
  <c r="I482" i="2"/>
  <c r="H482" i="2"/>
  <c r="A482" i="2"/>
  <c r="I481" i="2"/>
  <c r="H481" i="2"/>
  <c r="A481" i="2"/>
  <c r="I480" i="2"/>
  <c r="H480" i="2"/>
  <c r="A480" i="2"/>
  <c r="I479" i="2"/>
  <c r="H479" i="2"/>
  <c r="A479" i="2"/>
  <c r="I478" i="2"/>
  <c r="H478" i="2"/>
  <c r="A478" i="2"/>
  <c r="I477" i="2"/>
  <c r="H477" i="2"/>
  <c r="A477" i="2"/>
  <c r="I476" i="2"/>
  <c r="H476" i="2"/>
  <c r="A476" i="2"/>
  <c r="I475" i="2"/>
  <c r="H475" i="2"/>
  <c r="A475" i="2"/>
  <c r="I474" i="2"/>
  <c r="H474" i="2"/>
  <c r="A474" i="2"/>
  <c r="I473" i="2"/>
  <c r="H473" i="2"/>
  <c r="A473" i="2"/>
  <c r="I472" i="2"/>
  <c r="H472" i="2"/>
  <c r="A472" i="2"/>
  <c r="I471" i="2"/>
  <c r="H471" i="2"/>
  <c r="A471" i="2"/>
  <c r="I470" i="2"/>
  <c r="H470" i="2"/>
  <c r="A470" i="2"/>
  <c r="I469" i="2"/>
  <c r="H469" i="2"/>
  <c r="A469" i="2"/>
  <c r="I468" i="2"/>
  <c r="H468" i="2"/>
  <c r="A468" i="2"/>
  <c r="I467" i="2"/>
  <c r="H467" i="2"/>
  <c r="A467" i="2"/>
  <c r="I466" i="2"/>
  <c r="H466" i="2"/>
  <c r="A466" i="2"/>
  <c r="I465" i="2"/>
  <c r="H465" i="2"/>
  <c r="A465" i="2"/>
  <c r="I464" i="2"/>
  <c r="H464" i="2"/>
  <c r="A464" i="2"/>
  <c r="I463" i="2"/>
  <c r="H463" i="2"/>
  <c r="A463" i="2"/>
  <c r="I462" i="2"/>
  <c r="H462" i="2"/>
  <c r="A462" i="2"/>
  <c r="I461" i="2"/>
  <c r="H461" i="2"/>
  <c r="A461" i="2"/>
  <c r="I460" i="2"/>
  <c r="H460" i="2"/>
  <c r="A460" i="2"/>
  <c r="I459" i="2"/>
  <c r="H459" i="2"/>
  <c r="A459" i="2"/>
  <c r="I458" i="2"/>
  <c r="H458" i="2"/>
  <c r="A458" i="2"/>
  <c r="I457" i="2"/>
  <c r="H457" i="2"/>
  <c r="A457" i="2"/>
  <c r="I456" i="2"/>
  <c r="H456" i="2"/>
  <c r="A456" i="2"/>
  <c r="I455" i="2"/>
  <c r="H455" i="2"/>
  <c r="A455" i="2"/>
  <c r="I454" i="2"/>
  <c r="H454" i="2"/>
  <c r="A454" i="2"/>
  <c r="I453" i="2"/>
  <c r="H453" i="2"/>
  <c r="A453" i="2"/>
  <c r="I452" i="2"/>
  <c r="H452" i="2"/>
  <c r="A452" i="2"/>
  <c r="I451" i="2"/>
  <c r="H451" i="2"/>
  <c r="A451" i="2"/>
  <c r="I450" i="2"/>
  <c r="H450" i="2"/>
  <c r="A450" i="2"/>
  <c r="I449" i="2"/>
  <c r="H449" i="2"/>
  <c r="A449" i="2"/>
  <c r="I448" i="2"/>
  <c r="H448" i="2"/>
  <c r="A448" i="2"/>
  <c r="I447" i="2"/>
  <c r="H447" i="2"/>
  <c r="A447" i="2"/>
  <c r="I446" i="2"/>
  <c r="H446" i="2"/>
  <c r="A446" i="2"/>
  <c r="I445" i="2"/>
  <c r="H445" i="2"/>
  <c r="A445" i="2"/>
  <c r="I444" i="2"/>
  <c r="H444" i="2"/>
  <c r="A444" i="2"/>
  <c r="I443" i="2"/>
  <c r="H443" i="2"/>
  <c r="A443" i="2"/>
  <c r="I442" i="2"/>
  <c r="H442" i="2"/>
  <c r="A442" i="2"/>
  <c r="I441" i="2"/>
  <c r="H441" i="2"/>
  <c r="A441" i="2"/>
  <c r="I440" i="2"/>
  <c r="H440" i="2"/>
  <c r="A440" i="2"/>
  <c r="I439" i="2"/>
  <c r="H439" i="2"/>
  <c r="A439" i="2"/>
  <c r="I438" i="2"/>
  <c r="H438" i="2"/>
  <c r="A438" i="2"/>
  <c r="I437" i="2"/>
  <c r="H437" i="2"/>
  <c r="A437" i="2"/>
  <c r="I436" i="2"/>
  <c r="H436" i="2"/>
  <c r="A436" i="2"/>
  <c r="I435" i="2"/>
  <c r="H435" i="2"/>
  <c r="A435" i="2"/>
  <c r="I434" i="2"/>
  <c r="H434" i="2"/>
  <c r="A434" i="2"/>
  <c r="I433" i="2"/>
  <c r="H433" i="2"/>
  <c r="A433" i="2"/>
  <c r="I432" i="2"/>
  <c r="H432" i="2"/>
  <c r="A432" i="2"/>
  <c r="I431" i="2"/>
  <c r="H431" i="2"/>
  <c r="A431" i="2"/>
  <c r="I430" i="2"/>
  <c r="H430" i="2"/>
  <c r="A430" i="2"/>
  <c r="I429" i="2"/>
  <c r="H429" i="2"/>
  <c r="A429" i="2"/>
  <c r="I428" i="2"/>
  <c r="H428" i="2"/>
  <c r="A428" i="2"/>
  <c r="I427" i="2"/>
  <c r="H427" i="2"/>
  <c r="A427" i="2"/>
  <c r="I426" i="2"/>
  <c r="H426" i="2"/>
  <c r="A426" i="2"/>
  <c r="I425" i="2"/>
  <c r="H425" i="2"/>
  <c r="A425" i="2"/>
  <c r="I424" i="2"/>
  <c r="H424" i="2"/>
  <c r="A424" i="2"/>
  <c r="I423" i="2"/>
  <c r="H423" i="2"/>
  <c r="A423" i="2"/>
  <c r="I422" i="2"/>
  <c r="H422" i="2"/>
  <c r="A422" i="2"/>
  <c r="I421" i="2"/>
  <c r="H421" i="2"/>
  <c r="A421" i="2"/>
  <c r="I420" i="2"/>
  <c r="H420" i="2"/>
  <c r="A420" i="2"/>
  <c r="I419" i="2"/>
  <c r="H419" i="2"/>
  <c r="A419" i="2"/>
  <c r="I418" i="2"/>
  <c r="H418" i="2"/>
  <c r="A418" i="2"/>
  <c r="I417" i="2"/>
  <c r="H417" i="2"/>
  <c r="A417" i="2"/>
  <c r="I416" i="2"/>
  <c r="H416" i="2"/>
  <c r="A416" i="2"/>
  <c r="I415" i="2"/>
  <c r="H415" i="2"/>
  <c r="A415" i="2"/>
  <c r="I414" i="2"/>
  <c r="H414" i="2"/>
  <c r="A414" i="2"/>
  <c r="I413" i="2"/>
  <c r="H413" i="2"/>
  <c r="A413" i="2"/>
  <c r="I412" i="2"/>
  <c r="H412" i="2"/>
  <c r="A412" i="2"/>
  <c r="I411" i="2"/>
  <c r="H411" i="2"/>
  <c r="A411" i="2"/>
  <c r="I410" i="2"/>
  <c r="H410" i="2"/>
  <c r="A410" i="2"/>
  <c r="I409" i="2"/>
  <c r="H409" i="2"/>
  <c r="A409" i="2"/>
  <c r="I408" i="2"/>
  <c r="H408" i="2"/>
  <c r="A408" i="2"/>
  <c r="I407" i="2"/>
  <c r="H407" i="2"/>
  <c r="A407" i="2"/>
  <c r="I406" i="2"/>
  <c r="H406" i="2"/>
  <c r="A406" i="2"/>
  <c r="I405" i="2"/>
  <c r="H405" i="2"/>
  <c r="A405" i="2"/>
  <c r="I404" i="2"/>
  <c r="H404" i="2"/>
  <c r="A404" i="2"/>
  <c r="I403" i="2"/>
  <c r="H403" i="2"/>
  <c r="A403" i="2"/>
  <c r="I402" i="2"/>
  <c r="H402" i="2"/>
  <c r="A402" i="2"/>
  <c r="I401" i="2"/>
  <c r="H401" i="2"/>
  <c r="A401" i="2"/>
  <c r="I400" i="2"/>
  <c r="H400" i="2"/>
  <c r="A400" i="2"/>
  <c r="I399" i="2"/>
  <c r="H399" i="2"/>
  <c r="A399" i="2"/>
  <c r="I398" i="2"/>
  <c r="H398" i="2"/>
  <c r="A398" i="2"/>
  <c r="I397" i="2"/>
  <c r="H397" i="2"/>
  <c r="A397" i="2"/>
  <c r="I396" i="2"/>
  <c r="H396" i="2"/>
  <c r="A396" i="2"/>
  <c r="I395" i="2"/>
  <c r="H395" i="2"/>
  <c r="A395" i="2"/>
  <c r="I394" i="2"/>
  <c r="H394" i="2"/>
  <c r="A394" i="2"/>
  <c r="I393" i="2"/>
  <c r="H393" i="2"/>
  <c r="A393" i="2"/>
  <c r="I392" i="2"/>
  <c r="H392" i="2"/>
  <c r="A392" i="2"/>
  <c r="I391" i="2"/>
  <c r="H391" i="2"/>
  <c r="A391" i="2"/>
  <c r="I390" i="2"/>
  <c r="H390" i="2"/>
  <c r="A390" i="2"/>
  <c r="I389" i="2"/>
  <c r="H389" i="2"/>
  <c r="A389" i="2"/>
  <c r="I388" i="2"/>
  <c r="H388" i="2"/>
  <c r="A388" i="2"/>
  <c r="I387" i="2"/>
  <c r="H387" i="2"/>
  <c r="A387" i="2"/>
  <c r="I386" i="2"/>
  <c r="H386" i="2"/>
  <c r="A386" i="2"/>
  <c r="I385" i="2"/>
  <c r="H385" i="2"/>
  <c r="A385" i="2"/>
  <c r="I384" i="2"/>
  <c r="H384" i="2"/>
  <c r="A384" i="2"/>
  <c r="I383" i="2"/>
  <c r="H383" i="2"/>
  <c r="A383" i="2"/>
  <c r="I382" i="2"/>
  <c r="H382" i="2"/>
  <c r="A382" i="2"/>
  <c r="I381" i="2"/>
  <c r="H381" i="2"/>
  <c r="A381" i="2"/>
  <c r="I380" i="2"/>
  <c r="H380" i="2"/>
  <c r="A380" i="2"/>
  <c r="I379" i="2"/>
  <c r="H379" i="2"/>
  <c r="A379" i="2"/>
  <c r="I378" i="2"/>
  <c r="H378" i="2"/>
  <c r="A378" i="2"/>
  <c r="I377" i="2"/>
  <c r="H377" i="2"/>
  <c r="A377" i="2"/>
  <c r="I376" i="2"/>
  <c r="H376" i="2"/>
  <c r="A376" i="2"/>
  <c r="I375" i="2"/>
  <c r="H375" i="2"/>
  <c r="A375" i="2"/>
  <c r="I374" i="2"/>
  <c r="H374" i="2"/>
  <c r="A374" i="2"/>
  <c r="I373" i="2"/>
  <c r="H373" i="2"/>
  <c r="A373" i="2"/>
  <c r="I372" i="2"/>
  <c r="H372" i="2"/>
  <c r="A372" i="2"/>
  <c r="I371" i="2"/>
  <c r="H371" i="2"/>
  <c r="A371" i="2"/>
  <c r="I370" i="2"/>
  <c r="H370" i="2"/>
  <c r="A370" i="2"/>
  <c r="I369" i="2"/>
  <c r="H369" i="2"/>
  <c r="A369" i="2"/>
  <c r="I368" i="2"/>
  <c r="H368" i="2"/>
  <c r="A368" i="2"/>
  <c r="I367" i="2"/>
  <c r="H367" i="2"/>
  <c r="A367" i="2"/>
  <c r="I366" i="2"/>
  <c r="H366" i="2"/>
  <c r="A366" i="2"/>
  <c r="I365" i="2"/>
  <c r="H365" i="2"/>
  <c r="A365" i="2"/>
  <c r="I364" i="2"/>
  <c r="H364" i="2"/>
  <c r="A364" i="2"/>
  <c r="I363" i="2"/>
  <c r="H363" i="2"/>
  <c r="A363" i="2"/>
  <c r="I362" i="2"/>
  <c r="H362" i="2"/>
  <c r="A362" i="2"/>
  <c r="I361" i="2"/>
  <c r="H361" i="2"/>
  <c r="A361" i="2"/>
  <c r="I360" i="2"/>
  <c r="H360" i="2"/>
  <c r="A360" i="2"/>
  <c r="I359" i="2"/>
  <c r="H359" i="2"/>
  <c r="A359" i="2"/>
  <c r="I358" i="2"/>
  <c r="H358" i="2"/>
  <c r="A358" i="2"/>
  <c r="I357" i="2"/>
  <c r="H357" i="2"/>
  <c r="A357" i="2"/>
  <c r="I356" i="2"/>
  <c r="H356" i="2"/>
  <c r="A356" i="2"/>
  <c r="I355" i="2"/>
  <c r="H355" i="2"/>
  <c r="A355" i="2"/>
  <c r="I354" i="2"/>
  <c r="H354" i="2"/>
  <c r="A354" i="2"/>
  <c r="I353" i="2"/>
  <c r="H353" i="2"/>
  <c r="A353" i="2"/>
  <c r="I352" i="2"/>
  <c r="H352" i="2"/>
  <c r="A352" i="2"/>
  <c r="I351" i="2"/>
  <c r="H351" i="2"/>
  <c r="A351" i="2"/>
  <c r="I350" i="2"/>
  <c r="H350" i="2"/>
  <c r="A350" i="2"/>
  <c r="I349" i="2"/>
  <c r="H349" i="2"/>
  <c r="A349" i="2"/>
  <c r="I348" i="2"/>
  <c r="H348" i="2"/>
  <c r="A348" i="2"/>
  <c r="I347" i="2"/>
  <c r="H347" i="2"/>
  <c r="A347" i="2"/>
  <c r="I346" i="2"/>
  <c r="H346" i="2"/>
  <c r="A346" i="2"/>
  <c r="I345" i="2"/>
  <c r="H345" i="2"/>
  <c r="A345" i="2"/>
  <c r="I344" i="2"/>
  <c r="H344" i="2"/>
  <c r="A344" i="2"/>
  <c r="I343" i="2"/>
  <c r="H343" i="2"/>
  <c r="A343" i="2"/>
  <c r="I342" i="2"/>
  <c r="H342" i="2"/>
  <c r="A342" i="2"/>
  <c r="I341" i="2"/>
  <c r="H341" i="2"/>
  <c r="A341" i="2"/>
  <c r="I340" i="2"/>
  <c r="H340" i="2"/>
  <c r="A340" i="2"/>
  <c r="I339" i="2"/>
  <c r="H339" i="2"/>
  <c r="A339" i="2"/>
  <c r="I338" i="2"/>
  <c r="H338" i="2"/>
  <c r="A338" i="2"/>
  <c r="I337" i="2"/>
  <c r="H337" i="2"/>
  <c r="A337" i="2"/>
  <c r="I336" i="2"/>
  <c r="H336" i="2"/>
  <c r="A336" i="2"/>
  <c r="I335" i="2"/>
  <c r="H335" i="2"/>
  <c r="A335" i="2"/>
  <c r="I334" i="2"/>
  <c r="H334" i="2"/>
  <c r="A334" i="2"/>
  <c r="I333" i="2"/>
  <c r="H333" i="2"/>
  <c r="A333" i="2"/>
  <c r="I332" i="2"/>
  <c r="H332" i="2"/>
  <c r="A332" i="2"/>
  <c r="I331" i="2"/>
  <c r="H331" i="2"/>
  <c r="A331" i="2"/>
  <c r="I330" i="2"/>
  <c r="H330" i="2"/>
  <c r="A330" i="2"/>
  <c r="I329" i="2"/>
  <c r="H329" i="2"/>
  <c r="A329" i="2"/>
  <c r="I328" i="2"/>
  <c r="H328" i="2"/>
  <c r="A328" i="2"/>
  <c r="I327" i="2"/>
  <c r="H327" i="2"/>
  <c r="A327" i="2"/>
  <c r="I326" i="2"/>
  <c r="H326" i="2"/>
  <c r="A326" i="2"/>
  <c r="I325" i="2"/>
  <c r="H325" i="2"/>
  <c r="A325" i="2"/>
  <c r="I324" i="2"/>
  <c r="H324" i="2"/>
  <c r="A324" i="2"/>
  <c r="I323" i="2"/>
  <c r="H323" i="2"/>
  <c r="A323" i="2"/>
  <c r="I322" i="2"/>
  <c r="H322" i="2"/>
  <c r="A322" i="2"/>
  <c r="I321" i="2"/>
  <c r="H321" i="2"/>
  <c r="A321" i="2"/>
  <c r="I320" i="2"/>
  <c r="H320" i="2"/>
  <c r="A320" i="2"/>
  <c r="I319" i="2"/>
  <c r="H319" i="2"/>
  <c r="A319" i="2"/>
  <c r="I318" i="2"/>
  <c r="H318" i="2"/>
  <c r="A318" i="2"/>
  <c r="I317" i="2"/>
  <c r="H317" i="2"/>
  <c r="A317" i="2"/>
  <c r="I316" i="2"/>
  <c r="H316" i="2"/>
  <c r="A316" i="2"/>
  <c r="I315" i="2"/>
  <c r="H315" i="2"/>
  <c r="A315" i="2"/>
  <c r="I314" i="2"/>
  <c r="H314" i="2"/>
  <c r="A314" i="2"/>
  <c r="I313" i="2"/>
  <c r="H313" i="2"/>
  <c r="A313" i="2"/>
  <c r="I312" i="2"/>
  <c r="H312" i="2"/>
  <c r="A312" i="2"/>
  <c r="I311" i="2"/>
  <c r="H311" i="2"/>
  <c r="A311" i="2"/>
  <c r="I310" i="2"/>
  <c r="H310" i="2"/>
  <c r="A310" i="2"/>
  <c r="I309" i="2"/>
  <c r="H309" i="2"/>
  <c r="A309" i="2"/>
  <c r="I308" i="2"/>
  <c r="H308" i="2"/>
  <c r="A308" i="2"/>
  <c r="I307" i="2"/>
  <c r="H307" i="2"/>
  <c r="A307" i="2"/>
  <c r="I306" i="2"/>
  <c r="H306" i="2"/>
  <c r="A306" i="2"/>
  <c r="I305" i="2"/>
  <c r="H305" i="2"/>
  <c r="A305" i="2"/>
  <c r="I304" i="2"/>
  <c r="H304" i="2"/>
  <c r="A304" i="2"/>
  <c r="I303" i="2"/>
  <c r="H303" i="2"/>
  <c r="A303" i="2"/>
  <c r="I302" i="2"/>
  <c r="H302" i="2"/>
  <c r="A302" i="2"/>
  <c r="I301" i="2"/>
  <c r="H301" i="2"/>
  <c r="A301" i="2"/>
  <c r="I300" i="2"/>
  <c r="H300" i="2"/>
  <c r="A300" i="2"/>
  <c r="I299" i="2"/>
  <c r="H299" i="2"/>
  <c r="A299" i="2"/>
  <c r="I298" i="2"/>
  <c r="H298" i="2"/>
  <c r="A298" i="2"/>
  <c r="I297" i="2"/>
  <c r="H297" i="2"/>
  <c r="A297" i="2"/>
  <c r="I296" i="2"/>
  <c r="H296" i="2"/>
  <c r="A296" i="2"/>
  <c r="I295" i="2"/>
  <c r="H295" i="2"/>
  <c r="A295" i="2"/>
  <c r="I294" i="2"/>
  <c r="H294" i="2"/>
  <c r="A294" i="2"/>
  <c r="I293" i="2"/>
  <c r="H293" i="2"/>
  <c r="A293" i="2"/>
  <c r="I292" i="2"/>
  <c r="H292" i="2"/>
  <c r="A292" i="2"/>
  <c r="I291" i="2"/>
  <c r="H291" i="2"/>
  <c r="A291" i="2"/>
  <c r="I290" i="2"/>
  <c r="H290" i="2"/>
  <c r="A290" i="2"/>
  <c r="I289" i="2"/>
  <c r="H289" i="2"/>
  <c r="A289" i="2"/>
  <c r="I288" i="2"/>
  <c r="H288" i="2"/>
  <c r="A288" i="2"/>
  <c r="I287" i="2"/>
  <c r="H287" i="2"/>
  <c r="A287" i="2"/>
  <c r="I286" i="2"/>
  <c r="H286" i="2"/>
  <c r="A286" i="2"/>
  <c r="I285" i="2"/>
  <c r="H285" i="2"/>
  <c r="A285" i="2"/>
  <c r="I284" i="2"/>
  <c r="H284" i="2"/>
  <c r="A284" i="2"/>
  <c r="I283" i="2"/>
  <c r="H283" i="2"/>
  <c r="A283" i="2"/>
  <c r="I282" i="2"/>
  <c r="H282" i="2"/>
  <c r="A282" i="2"/>
  <c r="I281" i="2"/>
  <c r="H281" i="2"/>
  <c r="A281" i="2"/>
  <c r="I280" i="2"/>
  <c r="H280" i="2"/>
  <c r="A280" i="2"/>
  <c r="I279" i="2"/>
  <c r="H279" i="2"/>
  <c r="A279" i="2"/>
  <c r="I278" i="2"/>
  <c r="H278" i="2"/>
  <c r="A278" i="2"/>
  <c r="I277" i="2"/>
  <c r="H277" i="2"/>
  <c r="A277" i="2"/>
  <c r="I276" i="2"/>
  <c r="H276" i="2"/>
  <c r="A276" i="2"/>
  <c r="I275" i="2"/>
  <c r="H275" i="2"/>
  <c r="A275" i="2"/>
  <c r="I274" i="2"/>
  <c r="H274" i="2"/>
  <c r="A274" i="2"/>
  <c r="I273" i="2"/>
  <c r="H273" i="2"/>
  <c r="A273" i="2"/>
  <c r="I272" i="2"/>
  <c r="H272" i="2"/>
  <c r="A272" i="2"/>
  <c r="I271" i="2"/>
  <c r="H271" i="2"/>
  <c r="A271" i="2"/>
  <c r="I270" i="2"/>
  <c r="H270" i="2"/>
  <c r="A270" i="2"/>
  <c r="I269" i="2"/>
  <c r="H269" i="2"/>
  <c r="A269" i="2"/>
  <c r="I268" i="2"/>
  <c r="H268" i="2"/>
  <c r="A268" i="2"/>
  <c r="I267" i="2"/>
  <c r="H267" i="2"/>
  <c r="A267" i="2"/>
  <c r="I266" i="2"/>
  <c r="H266" i="2"/>
  <c r="A266" i="2"/>
  <c r="I265" i="2"/>
  <c r="H265" i="2"/>
  <c r="A265" i="2"/>
  <c r="I264" i="2"/>
  <c r="H264" i="2"/>
  <c r="A264" i="2"/>
  <c r="I263" i="2"/>
  <c r="H263" i="2"/>
  <c r="A263" i="2"/>
  <c r="I262" i="2"/>
  <c r="H262" i="2"/>
  <c r="A262" i="2"/>
  <c r="I261" i="2"/>
  <c r="H261" i="2"/>
  <c r="A261" i="2"/>
  <c r="I260" i="2"/>
  <c r="H260" i="2"/>
  <c r="A260" i="2"/>
  <c r="I259" i="2"/>
  <c r="H259" i="2"/>
  <c r="A259" i="2"/>
  <c r="I258" i="2"/>
  <c r="H258" i="2"/>
  <c r="A258" i="2"/>
  <c r="I257" i="2"/>
  <c r="H257" i="2"/>
  <c r="A257" i="2"/>
  <c r="I256" i="2"/>
  <c r="H256" i="2"/>
  <c r="A256" i="2"/>
  <c r="I255" i="2"/>
  <c r="H255" i="2"/>
  <c r="A255" i="2"/>
  <c r="I254" i="2"/>
  <c r="H254" i="2"/>
  <c r="A254" i="2"/>
  <c r="I253" i="2"/>
  <c r="H253" i="2"/>
  <c r="A253" i="2"/>
  <c r="I252" i="2"/>
  <c r="H252" i="2"/>
  <c r="A252" i="2"/>
  <c r="I251" i="2"/>
  <c r="H251" i="2"/>
  <c r="A251" i="2"/>
  <c r="I250" i="2"/>
  <c r="H250" i="2"/>
  <c r="A250" i="2"/>
  <c r="I249" i="2"/>
  <c r="H249" i="2"/>
  <c r="A249" i="2"/>
  <c r="I248" i="2"/>
  <c r="H248" i="2"/>
  <c r="A248" i="2"/>
  <c r="I247" i="2"/>
  <c r="H247" i="2"/>
  <c r="A247" i="2"/>
  <c r="I246" i="2"/>
  <c r="H246" i="2"/>
  <c r="A246" i="2"/>
  <c r="I245" i="2"/>
  <c r="H245" i="2"/>
  <c r="A245" i="2"/>
  <c r="I244" i="2"/>
  <c r="H244" i="2"/>
  <c r="A244" i="2"/>
  <c r="I243" i="2"/>
  <c r="H243" i="2"/>
  <c r="A243" i="2"/>
  <c r="I242" i="2"/>
  <c r="H242" i="2"/>
  <c r="A242" i="2"/>
  <c r="I241" i="2"/>
  <c r="H241" i="2"/>
  <c r="A241" i="2"/>
  <c r="I240" i="2"/>
  <c r="H240" i="2"/>
  <c r="A240" i="2"/>
  <c r="I239" i="2"/>
  <c r="H239" i="2"/>
  <c r="A239" i="2"/>
  <c r="I238" i="2"/>
  <c r="H238" i="2"/>
  <c r="A238" i="2"/>
  <c r="I237" i="2"/>
  <c r="H237" i="2"/>
  <c r="A237" i="2"/>
  <c r="I236" i="2"/>
  <c r="H236" i="2"/>
  <c r="A236" i="2"/>
  <c r="I235" i="2"/>
  <c r="H235" i="2"/>
  <c r="A235" i="2"/>
  <c r="I234" i="2"/>
  <c r="H234" i="2"/>
  <c r="A234" i="2"/>
  <c r="I233" i="2"/>
  <c r="H233" i="2"/>
  <c r="A233" i="2"/>
  <c r="I232" i="2"/>
  <c r="H232" i="2"/>
  <c r="A232" i="2"/>
  <c r="I231" i="2"/>
  <c r="H231" i="2"/>
  <c r="A231" i="2"/>
  <c r="I230" i="2"/>
  <c r="H230" i="2"/>
  <c r="A230" i="2"/>
  <c r="I229" i="2"/>
  <c r="H229" i="2"/>
  <c r="A229" i="2"/>
  <c r="I228" i="2"/>
  <c r="H228" i="2"/>
  <c r="A228" i="2"/>
  <c r="I227" i="2"/>
  <c r="H227" i="2"/>
  <c r="A227" i="2"/>
  <c r="I226" i="2"/>
  <c r="H226" i="2"/>
  <c r="A226" i="2"/>
  <c r="I225" i="2"/>
  <c r="H225" i="2"/>
  <c r="A225" i="2"/>
  <c r="I224" i="2"/>
  <c r="H224" i="2"/>
  <c r="A224" i="2"/>
  <c r="I223" i="2"/>
  <c r="H223" i="2"/>
  <c r="A223" i="2"/>
  <c r="I222" i="2"/>
  <c r="H222" i="2"/>
  <c r="A222" i="2"/>
  <c r="I221" i="2"/>
  <c r="H221" i="2"/>
  <c r="A221" i="2"/>
  <c r="I220" i="2"/>
  <c r="H220" i="2"/>
  <c r="A220" i="2"/>
  <c r="I219" i="2"/>
  <c r="H219" i="2"/>
  <c r="A219" i="2"/>
  <c r="I218" i="2"/>
  <c r="H218" i="2"/>
  <c r="A218" i="2"/>
  <c r="I217" i="2"/>
  <c r="H217" i="2"/>
  <c r="A217" i="2"/>
  <c r="I216" i="2"/>
  <c r="H216" i="2"/>
  <c r="A216" i="2"/>
  <c r="I215" i="2"/>
  <c r="H215" i="2"/>
  <c r="A215" i="2"/>
  <c r="I214" i="2"/>
  <c r="H214" i="2"/>
  <c r="A214" i="2"/>
  <c r="I213" i="2"/>
  <c r="H213" i="2"/>
  <c r="A213" i="2"/>
  <c r="I212" i="2"/>
  <c r="H212" i="2"/>
  <c r="A212" i="2"/>
  <c r="I211" i="2"/>
  <c r="H211" i="2"/>
  <c r="A211" i="2"/>
  <c r="I210" i="2"/>
  <c r="H210" i="2"/>
  <c r="A210" i="2"/>
  <c r="I209" i="2"/>
  <c r="H209" i="2"/>
  <c r="A209" i="2"/>
  <c r="I208" i="2"/>
  <c r="H208" i="2"/>
  <c r="A208" i="2"/>
  <c r="I207" i="2"/>
  <c r="H207" i="2"/>
  <c r="A207" i="2"/>
  <c r="I206" i="2"/>
  <c r="H206" i="2"/>
  <c r="A206" i="2"/>
  <c r="I205" i="2"/>
  <c r="H205" i="2"/>
  <c r="A205" i="2"/>
  <c r="I204" i="2"/>
  <c r="H204" i="2"/>
  <c r="A204" i="2"/>
  <c r="I203" i="2"/>
  <c r="H203" i="2"/>
  <c r="A203" i="2"/>
  <c r="I202" i="2"/>
  <c r="H202" i="2"/>
  <c r="A202" i="2"/>
  <c r="I201" i="2"/>
  <c r="H201" i="2"/>
  <c r="A201" i="2"/>
  <c r="I200" i="2"/>
  <c r="H200" i="2"/>
  <c r="A200" i="2"/>
  <c r="I199" i="2"/>
  <c r="H199" i="2"/>
  <c r="A199" i="2"/>
  <c r="I198" i="2"/>
  <c r="H198" i="2"/>
  <c r="A198" i="2"/>
  <c r="I197" i="2"/>
  <c r="H197" i="2"/>
  <c r="A197" i="2"/>
  <c r="I196" i="2"/>
  <c r="H196" i="2"/>
  <c r="A196" i="2"/>
  <c r="I195" i="2"/>
  <c r="H195" i="2"/>
  <c r="A195" i="2"/>
  <c r="I194" i="2"/>
  <c r="H194" i="2"/>
  <c r="A194" i="2"/>
  <c r="I193" i="2"/>
  <c r="H193" i="2"/>
  <c r="A193" i="2"/>
  <c r="I192" i="2"/>
  <c r="H192" i="2"/>
  <c r="A192" i="2"/>
  <c r="I191" i="2"/>
  <c r="H191" i="2"/>
  <c r="A191" i="2"/>
  <c r="I190" i="2"/>
  <c r="H190" i="2"/>
  <c r="A190" i="2"/>
  <c r="I189" i="2"/>
  <c r="H189" i="2"/>
  <c r="A189" i="2"/>
  <c r="I188" i="2"/>
  <c r="H188" i="2"/>
  <c r="A188" i="2"/>
  <c r="I187" i="2"/>
  <c r="H187" i="2"/>
  <c r="A187" i="2"/>
  <c r="I186" i="2"/>
  <c r="H186" i="2"/>
  <c r="A186" i="2"/>
  <c r="I185" i="2"/>
  <c r="H185" i="2"/>
  <c r="A185" i="2"/>
  <c r="I184" i="2"/>
  <c r="H184" i="2"/>
  <c r="A184" i="2"/>
  <c r="I183" i="2"/>
  <c r="H183" i="2"/>
  <c r="A183" i="2"/>
  <c r="I182" i="2"/>
  <c r="H182" i="2"/>
  <c r="A182" i="2"/>
  <c r="I181" i="2"/>
  <c r="H181" i="2"/>
  <c r="A181" i="2"/>
  <c r="I180" i="2"/>
  <c r="H180" i="2"/>
  <c r="A180" i="2"/>
  <c r="I179" i="2"/>
  <c r="H179" i="2"/>
  <c r="A179" i="2"/>
  <c r="I178" i="2"/>
  <c r="H178" i="2"/>
  <c r="A178" i="2"/>
  <c r="I177" i="2"/>
  <c r="H177" i="2"/>
  <c r="A177" i="2"/>
  <c r="I176" i="2"/>
  <c r="H176" i="2"/>
  <c r="A176" i="2"/>
  <c r="I175" i="2"/>
  <c r="H175" i="2"/>
  <c r="A175" i="2"/>
  <c r="I174" i="2"/>
  <c r="H174" i="2"/>
  <c r="A174" i="2"/>
  <c r="I173" i="2"/>
  <c r="H173" i="2"/>
  <c r="A173" i="2"/>
  <c r="I172" i="2"/>
  <c r="H172" i="2"/>
  <c r="A172" i="2"/>
  <c r="I171" i="2"/>
  <c r="H171" i="2"/>
  <c r="A171" i="2"/>
  <c r="I170" i="2"/>
  <c r="H170" i="2"/>
  <c r="A170" i="2"/>
  <c r="I169" i="2"/>
  <c r="H169" i="2"/>
  <c r="A169" i="2"/>
  <c r="I168" i="2"/>
  <c r="H168" i="2"/>
  <c r="A168" i="2"/>
  <c r="I167" i="2"/>
  <c r="H167" i="2"/>
  <c r="A167" i="2"/>
  <c r="I166" i="2"/>
  <c r="H166" i="2"/>
  <c r="A166" i="2"/>
  <c r="I165" i="2"/>
  <c r="H165" i="2"/>
  <c r="A165" i="2"/>
  <c r="I164" i="2"/>
  <c r="H164" i="2"/>
  <c r="A164" i="2"/>
  <c r="I163" i="2"/>
  <c r="H163" i="2"/>
  <c r="A163" i="2"/>
  <c r="I162" i="2"/>
  <c r="H162" i="2"/>
  <c r="A162" i="2"/>
  <c r="I161" i="2"/>
  <c r="H161" i="2"/>
  <c r="A161" i="2"/>
  <c r="I160" i="2"/>
  <c r="H160" i="2"/>
  <c r="A160" i="2"/>
  <c r="I159" i="2"/>
  <c r="H159" i="2"/>
  <c r="A159" i="2"/>
  <c r="I158" i="2"/>
  <c r="H158" i="2"/>
  <c r="A158" i="2"/>
  <c r="I157" i="2"/>
  <c r="H157" i="2"/>
  <c r="A157" i="2"/>
  <c r="I156" i="2"/>
  <c r="H156" i="2"/>
  <c r="A156" i="2"/>
  <c r="I155" i="2"/>
  <c r="H155" i="2"/>
  <c r="A155" i="2"/>
  <c r="I154" i="2"/>
  <c r="H154" i="2"/>
  <c r="A154" i="2"/>
  <c r="I153" i="2"/>
  <c r="H153" i="2"/>
  <c r="A153" i="2"/>
  <c r="I152" i="2"/>
  <c r="H152" i="2"/>
  <c r="A152" i="2"/>
  <c r="I151" i="2"/>
  <c r="H151" i="2"/>
  <c r="A151" i="2"/>
  <c r="I150" i="2"/>
  <c r="H150" i="2"/>
  <c r="A150" i="2"/>
  <c r="I149" i="2"/>
  <c r="H149" i="2"/>
  <c r="A149" i="2"/>
  <c r="I148" i="2"/>
  <c r="H148" i="2"/>
  <c r="A148" i="2"/>
  <c r="I147" i="2"/>
  <c r="H147" i="2"/>
  <c r="A147" i="2"/>
  <c r="I146" i="2"/>
  <c r="H146" i="2"/>
  <c r="A146" i="2"/>
  <c r="I145" i="2"/>
  <c r="H145" i="2"/>
  <c r="A145" i="2"/>
  <c r="I144" i="2"/>
  <c r="H144" i="2"/>
  <c r="A144" i="2"/>
  <c r="I143" i="2"/>
  <c r="H143" i="2"/>
  <c r="A143" i="2"/>
  <c r="I142" i="2"/>
  <c r="H142" i="2"/>
  <c r="A142" i="2"/>
  <c r="I141" i="2"/>
  <c r="H141" i="2"/>
  <c r="A141" i="2"/>
  <c r="I140" i="2"/>
  <c r="H140" i="2"/>
  <c r="A140" i="2"/>
  <c r="I139" i="2"/>
  <c r="H139" i="2"/>
  <c r="A139" i="2"/>
  <c r="I138" i="2"/>
  <c r="H138" i="2"/>
  <c r="A138" i="2"/>
  <c r="I137" i="2"/>
  <c r="H137" i="2"/>
  <c r="A137" i="2"/>
  <c r="I136" i="2"/>
  <c r="H136" i="2"/>
  <c r="A136" i="2"/>
  <c r="I135" i="2"/>
  <c r="H135" i="2"/>
  <c r="A135" i="2"/>
  <c r="I134" i="2"/>
  <c r="H134" i="2"/>
  <c r="A134" i="2"/>
  <c r="I133" i="2"/>
  <c r="H133" i="2"/>
  <c r="A133" i="2"/>
  <c r="I132" i="2"/>
  <c r="H132" i="2"/>
  <c r="A132" i="2"/>
  <c r="I131" i="2"/>
  <c r="H131" i="2"/>
  <c r="A131" i="2"/>
  <c r="I130" i="2"/>
  <c r="H130" i="2"/>
  <c r="A130" i="2"/>
  <c r="I129" i="2"/>
  <c r="H129" i="2"/>
  <c r="A129" i="2"/>
  <c r="I128" i="2"/>
  <c r="H128" i="2"/>
  <c r="A128" i="2"/>
  <c r="I127" i="2"/>
  <c r="H127" i="2"/>
  <c r="A127" i="2"/>
  <c r="I126" i="2"/>
  <c r="H126" i="2"/>
  <c r="A126" i="2"/>
  <c r="I125" i="2"/>
  <c r="H125" i="2"/>
  <c r="A125" i="2"/>
  <c r="I124" i="2"/>
  <c r="H124" i="2"/>
  <c r="A124" i="2"/>
  <c r="I123" i="2"/>
  <c r="H123" i="2"/>
  <c r="A123" i="2"/>
  <c r="I122" i="2"/>
  <c r="H122" i="2"/>
  <c r="A122" i="2"/>
  <c r="I121" i="2"/>
  <c r="H121" i="2"/>
  <c r="A121" i="2"/>
  <c r="I120" i="2"/>
  <c r="H120" i="2"/>
  <c r="A120" i="2"/>
  <c r="I119" i="2"/>
  <c r="H119" i="2"/>
  <c r="A119" i="2"/>
  <c r="I118" i="2"/>
  <c r="H118" i="2"/>
  <c r="A118" i="2"/>
  <c r="I117" i="2"/>
  <c r="H117" i="2"/>
  <c r="A117" i="2"/>
  <c r="I116" i="2"/>
  <c r="H116" i="2"/>
  <c r="A116" i="2"/>
  <c r="I115" i="2"/>
  <c r="H115" i="2"/>
  <c r="A115" i="2"/>
  <c r="I114" i="2"/>
  <c r="H114" i="2"/>
  <c r="A114" i="2"/>
  <c r="I113" i="2"/>
  <c r="H113" i="2"/>
  <c r="A113" i="2"/>
  <c r="I112" i="2"/>
  <c r="H112" i="2"/>
  <c r="A112" i="2"/>
  <c r="I111" i="2"/>
  <c r="H111" i="2"/>
  <c r="A111" i="2"/>
  <c r="I110" i="2"/>
  <c r="H110" i="2"/>
  <c r="A110" i="2"/>
  <c r="I109" i="2"/>
  <c r="H109" i="2"/>
  <c r="A109" i="2"/>
  <c r="I108" i="2"/>
  <c r="H108" i="2"/>
  <c r="A108" i="2"/>
  <c r="I107" i="2"/>
  <c r="H107" i="2"/>
  <c r="A107" i="2"/>
  <c r="I106" i="2"/>
  <c r="H106" i="2"/>
  <c r="A106" i="2"/>
  <c r="I105" i="2"/>
  <c r="H105" i="2"/>
  <c r="A105" i="2"/>
  <c r="I104" i="2"/>
  <c r="H104" i="2"/>
  <c r="A104" i="2"/>
  <c r="I103" i="2"/>
  <c r="H103" i="2"/>
  <c r="A103" i="2"/>
  <c r="I102" i="2"/>
  <c r="H102" i="2"/>
  <c r="A102" i="2"/>
  <c r="I101" i="2"/>
  <c r="H101" i="2"/>
  <c r="A101" i="2"/>
  <c r="I100" i="2"/>
  <c r="H100" i="2"/>
  <c r="A100" i="2"/>
  <c r="I99" i="2"/>
  <c r="H99" i="2"/>
  <c r="A99" i="2"/>
  <c r="I98" i="2"/>
  <c r="H98" i="2"/>
  <c r="A98" i="2"/>
  <c r="I97" i="2"/>
  <c r="H97" i="2"/>
  <c r="A97" i="2"/>
  <c r="I96" i="2"/>
  <c r="H96" i="2"/>
  <c r="A96" i="2"/>
  <c r="I95" i="2"/>
  <c r="H95" i="2"/>
  <c r="A95" i="2"/>
  <c r="I94" i="2"/>
  <c r="H94" i="2"/>
  <c r="A94" i="2"/>
  <c r="I93" i="2"/>
  <c r="H93" i="2"/>
  <c r="A93" i="2"/>
  <c r="I92" i="2"/>
  <c r="H92" i="2"/>
  <c r="A92" i="2"/>
  <c r="I91" i="2"/>
  <c r="H91" i="2"/>
  <c r="A91" i="2"/>
  <c r="I90" i="2"/>
  <c r="H90" i="2"/>
  <c r="A90" i="2"/>
  <c r="I89" i="2"/>
  <c r="H89" i="2"/>
  <c r="A89" i="2"/>
  <c r="I88" i="2"/>
  <c r="H88" i="2"/>
  <c r="A88" i="2"/>
  <c r="I87" i="2"/>
  <c r="H87" i="2"/>
  <c r="A87" i="2"/>
  <c r="I86" i="2"/>
  <c r="H86" i="2"/>
  <c r="A86" i="2"/>
  <c r="I85" i="2"/>
  <c r="H85" i="2"/>
  <c r="A85" i="2"/>
  <c r="I84" i="2"/>
  <c r="H84" i="2"/>
  <c r="A84" i="2"/>
  <c r="I83" i="2"/>
  <c r="H83" i="2"/>
  <c r="A83" i="2"/>
  <c r="I82" i="2"/>
  <c r="H82" i="2"/>
  <c r="A82" i="2"/>
  <c r="I81" i="2"/>
  <c r="H81" i="2"/>
  <c r="A81" i="2"/>
  <c r="I80" i="2"/>
  <c r="H80" i="2"/>
  <c r="A80" i="2"/>
  <c r="I79" i="2"/>
  <c r="H79" i="2"/>
  <c r="A79" i="2"/>
  <c r="I78" i="2"/>
  <c r="H78" i="2"/>
  <c r="A78" i="2"/>
  <c r="I77" i="2"/>
  <c r="H77" i="2"/>
  <c r="A77" i="2"/>
  <c r="I76" i="2"/>
  <c r="H76" i="2"/>
  <c r="A76" i="2"/>
  <c r="I75" i="2"/>
  <c r="H75" i="2"/>
  <c r="A75" i="2"/>
  <c r="I74" i="2"/>
  <c r="H74" i="2"/>
  <c r="A74" i="2"/>
  <c r="I73" i="2"/>
  <c r="H73" i="2"/>
  <c r="A73" i="2"/>
  <c r="I72" i="2"/>
  <c r="H72" i="2"/>
  <c r="A72" i="2"/>
  <c r="I71" i="2"/>
  <c r="H71" i="2"/>
  <c r="A71" i="2"/>
  <c r="I70" i="2"/>
  <c r="H70" i="2"/>
  <c r="A70" i="2"/>
  <c r="I69" i="2"/>
  <c r="H69" i="2"/>
  <c r="A69" i="2"/>
  <c r="I68" i="2"/>
  <c r="H68" i="2"/>
  <c r="A68" i="2"/>
  <c r="I67" i="2"/>
  <c r="H67" i="2"/>
  <c r="A67" i="2"/>
  <c r="I66" i="2"/>
  <c r="H66" i="2"/>
  <c r="A66" i="2"/>
  <c r="I65" i="2"/>
  <c r="H65" i="2"/>
  <c r="A65" i="2"/>
  <c r="I64" i="2"/>
  <c r="H64" i="2"/>
  <c r="A64" i="2"/>
  <c r="I63" i="2"/>
  <c r="H63" i="2"/>
  <c r="A63" i="2"/>
  <c r="I62" i="2"/>
  <c r="H62" i="2"/>
  <c r="A62" i="2"/>
  <c r="I61" i="2"/>
  <c r="H61" i="2"/>
  <c r="A61" i="2"/>
  <c r="I60" i="2"/>
  <c r="H60" i="2"/>
  <c r="A60" i="2"/>
  <c r="I59" i="2"/>
  <c r="H59" i="2"/>
  <c r="A59" i="2"/>
  <c r="I58" i="2"/>
  <c r="H58" i="2"/>
  <c r="A58" i="2"/>
  <c r="I57" i="2"/>
  <c r="H57" i="2"/>
  <c r="A57" i="2"/>
  <c r="I56" i="2"/>
  <c r="H56" i="2"/>
  <c r="A56" i="2"/>
  <c r="I55" i="2"/>
  <c r="H55" i="2"/>
  <c r="A55" i="2"/>
  <c r="I54" i="2"/>
  <c r="H54" i="2"/>
  <c r="A54" i="2"/>
  <c r="I53" i="2"/>
  <c r="H53" i="2"/>
  <c r="A53" i="2"/>
  <c r="I52" i="2"/>
  <c r="H52" i="2"/>
  <c r="A52" i="2"/>
  <c r="I51" i="2"/>
  <c r="H51" i="2"/>
  <c r="A51" i="2"/>
  <c r="I50" i="2"/>
  <c r="H50" i="2"/>
  <c r="A50" i="2"/>
  <c r="I49" i="2"/>
  <c r="H49" i="2"/>
  <c r="A49" i="2"/>
  <c r="I48" i="2"/>
  <c r="H48" i="2"/>
  <c r="A48" i="2"/>
  <c r="I47" i="2"/>
  <c r="H47" i="2"/>
  <c r="A47" i="2"/>
  <c r="I46" i="2"/>
  <c r="H46" i="2"/>
  <c r="A46" i="2"/>
  <c r="I45" i="2"/>
  <c r="H45" i="2"/>
  <c r="A45" i="2"/>
  <c r="I44" i="2"/>
  <c r="H44" i="2"/>
  <c r="A44" i="2"/>
  <c r="I43" i="2"/>
  <c r="H43" i="2"/>
  <c r="A43" i="2"/>
  <c r="I42" i="2"/>
  <c r="H42" i="2"/>
  <c r="A42" i="2"/>
  <c r="I41" i="2"/>
  <c r="H41" i="2"/>
  <c r="A41" i="2"/>
  <c r="I40" i="2"/>
  <c r="H40" i="2"/>
  <c r="A40" i="2"/>
  <c r="I39" i="2"/>
  <c r="H39" i="2"/>
  <c r="A39" i="2"/>
  <c r="I38" i="2"/>
  <c r="H38" i="2"/>
  <c r="A38" i="2"/>
  <c r="I37" i="2"/>
  <c r="H37" i="2"/>
  <c r="A37" i="2"/>
  <c r="I36" i="2"/>
  <c r="H36" i="2"/>
  <c r="A36" i="2"/>
  <c r="I35" i="2"/>
  <c r="H35" i="2"/>
  <c r="A35" i="2"/>
  <c r="I34" i="2"/>
  <c r="H34" i="2"/>
  <c r="A34" i="2"/>
  <c r="I33" i="2"/>
  <c r="H33" i="2"/>
  <c r="A33" i="2"/>
  <c r="I32" i="2"/>
  <c r="H32" i="2"/>
  <c r="A32" i="2"/>
  <c r="I31" i="2"/>
  <c r="H31" i="2"/>
  <c r="A31" i="2"/>
  <c r="I30" i="2"/>
  <c r="H30" i="2"/>
  <c r="A30" i="2"/>
  <c r="I29" i="2"/>
  <c r="H29" i="2"/>
  <c r="A29" i="2"/>
  <c r="I28" i="2"/>
  <c r="H28" i="2"/>
  <c r="A28" i="2"/>
  <c r="I27" i="2"/>
  <c r="H27" i="2"/>
  <c r="A27" i="2"/>
  <c r="I26" i="2"/>
  <c r="H26" i="2"/>
  <c r="A26" i="2"/>
  <c r="I25" i="2"/>
  <c r="H25" i="2"/>
  <c r="A25" i="2"/>
  <c r="I24" i="2"/>
  <c r="H24" i="2"/>
  <c r="A24" i="2"/>
  <c r="I23" i="2"/>
  <c r="H23" i="2"/>
  <c r="A23" i="2"/>
  <c r="I22" i="2"/>
  <c r="H22" i="2"/>
  <c r="A22" i="2"/>
  <c r="I21" i="2"/>
  <c r="H21" i="2"/>
  <c r="A21" i="2"/>
  <c r="I20" i="2"/>
  <c r="H20" i="2"/>
  <c r="A20" i="2"/>
  <c r="I19" i="2"/>
  <c r="H19" i="2"/>
  <c r="A19" i="2"/>
  <c r="I18" i="2"/>
  <c r="H18" i="2"/>
  <c r="A18" i="2"/>
  <c r="I17" i="2"/>
  <c r="H17" i="2"/>
  <c r="A17" i="2"/>
  <c r="I16" i="2"/>
  <c r="H16" i="2"/>
  <c r="A16" i="2"/>
  <c r="I15" i="2"/>
  <c r="H15" i="2"/>
  <c r="A15" i="2"/>
  <c r="I14" i="2"/>
  <c r="H14" i="2"/>
  <c r="A14" i="2"/>
  <c r="I13" i="2"/>
  <c r="H13" i="2"/>
  <c r="A13" i="2"/>
  <c r="I12" i="2"/>
  <c r="H12" i="2"/>
  <c r="A12" i="2"/>
  <c r="I11" i="2"/>
  <c r="H11" i="2"/>
  <c r="A11" i="2"/>
  <c r="I10" i="2"/>
  <c r="H10" i="2"/>
  <c r="A10" i="2"/>
  <c r="I9" i="2"/>
  <c r="A9" i="2"/>
  <c r="I8" i="2"/>
  <c r="H8" i="2"/>
  <c r="A8" i="2"/>
  <c r="I7" i="2"/>
  <c r="H7" i="2"/>
  <c r="A7" i="2"/>
  <c r="I6" i="2"/>
  <c r="H6" i="2"/>
  <c r="A6" i="2"/>
  <c r="I5" i="2"/>
  <c r="H5" i="2"/>
  <c r="A5" i="2"/>
  <c r="I4" i="2"/>
  <c r="H4" i="2"/>
  <c r="A4" i="2"/>
  <c r="I3" i="2"/>
  <c r="H3" i="2"/>
  <c r="A3" i="2"/>
  <c r="I2" i="2"/>
  <c r="H2" i="2"/>
  <c r="I1" i="2"/>
  <c r="F1" i="2"/>
  <c r="E1" i="2"/>
  <c r="D1" i="2"/>
  <c r="C1" i="2"/>
  <c r="B1" i="2"/>
  <c r="A1" i="2"/>
  <c r="I6200" i="1" l="1"/>
  <c r="H6200" i="1"/>
  <c r="A6200" i="1"/>
  <c r="I6199" i="1"/>
  <c r="H6199" i="1"/>
  <c r="A6199" i="1"/>
  <c r="I6198" i="1"/>
  <c r="H6198" i="1"/>
  <c r="A6198" i="1"/>
  <c r="I6197" i="1"/>
  <c r="H6197" i="1"/>
  <c r="A6197" i="1"/>
  <c r="I6196" i="1"/>
  <c r="H6196" i="1"/>
  <c r="A6196" i="1"/>
  <c r="I6195" i="1"/>
  <c r="H6195" i="1"/>
  <c r="A6195" i="1"/>
  <c r="I6194" i="1"/>
  <c r="H6194" i="1"/>
  <c r="A6194" i="1"/>
  <c r="I6193" i="1"/>
  <c r="H6193" i="1"/>
  <c r="A6193" i="1"/>
  <c r="I6192" i="1"/>
  <c r="H6192" i="1"/>
  <c r="A6192" i="1"/>
  <c r="I6191" i="1"/>
  <c r="H6191" i="1"/>
  <c r="A6191" i="1"/>
  <c r="I6190" i="1"/>
  <c r="H6190" i="1"/>
  <c r="A6190" i="1"/>
  <c r="I6189" i="1"/>
  <c r="H6189" i="1"/>
  <c r="A6189" i="1"/>
  <c r="I6188" i="1"/>
  <c r="H6188" i="1"/>
  <c r="A6188" i="1"/>
  <c r="I6187" i="1"/>
  <c r="H6187" i="1"/>
  <c r="A6187" i="1"/>
  <c r="I6186" i="1"/>
  <c r="H6186" i="1"/>
  <c r="A6186" i="1"/>
  <c r="I6185" i="1"/>
  <c r="H6185" i="1"/>
  <c r="A6185" i="1"/>
  <c r="I6184" i="1"/>
  <c r="H6184" i="1"/>
  <c r="A6184" i="1"/>
  <c r="I6183" i="1"/>
  <c r="H6183" i="1"/>
  <c r="A6183" i="1"/>
  <c r="I6182" i="1"/>
  <c r="H6182" i="1"/>
  <c r="A6182" i="1"/>
  <c r="I6181" i="1"/>
  <c r="H6181" i="1"/>
  <c r="A6181" i="1"/>
  <c r="I6180" i="1"/>
  <c r="H6180" i="1"/>
  <c r="A6180" i="1"/>
  <c r="I6179" i="1"/>
  <c r="H6179" i="1"/>
  <c r="A6179" i="1"/>
  <c r="I6178" i="1"/>
  <c r="H6178" i="1"/>
  <c r="A6178" i="1"/>
  <c r="I6177" i="1"/>
  <c r="H6177" i="1"/>
  <c r="A6177" i="1"/>
  <c r="I6176" i="1"/>
  <c r="H6176" i="1"/>
  <c r="A6176" i="1"/>
  <c r="I6175" i="1"/>
  <c r="H6175" i="1"/>
  <c r="A6175" i="1"/>
  <c r="I6174" i="1"/>
  <c r="H6174" i="1"/>
  <c r="A6174" i="1"/>
  <c r="I6173" i="1"/>
  <c r="H6173" i="1"/>
  <c r="A6173" i="1"/>
  <c r="I6172" i="1"/>
  <c r="H6172" i="1"/>
  <c r="A6172" i="1"/>
  <c r="I6171" i="1"/>
  <c r="H6171" i="1"/>
  <c r="A6171" i="1"/>
  <c r="I6170" i="1"/>
  <c r="H6170" i="1"/>
  <c r="A6170" i="1"/>
  <c r="I6169" i="1"/>
  <c r="H6169" i="1"/>
  <c r="A6169" i="1"/>
  <c r="I6168" i="1"/>
  <c r="H6168" i="1"/>
  <c r="A6168" i="1"/>
  <c r="I6167" i="1"/>
  <c r="H6167" i="1"/>
  <c r="A6167" i="1"/>
  <c r="I6166" i="1"/>
  <c r="H6166" i="1"/>
  <c r="A6166" i="1"/>
  <c r="I6165" i="1"/>
  <c r="H6165" i="1"/>
  <c r="A6165" i="1"/>
  <c r="I6164" i="1"/>
  <c r="H6164" i="1"/>
  <c r="A6164" i="1"/>
  <c r="I6163" i="1"/>
  <c r="H6163" i="1"/>
  <c r="A6163" i="1"/>
  <c r="I6162" i="1"/>
  <c r="H6162" i="1"/>
  <c r="A6162" i="1"/>
  <c r="I6161" i="1"/>
  <c r="H6161" i="1"/>
  <c r="A6161" i="1"/>
  <c r="I6160" i="1"/>
  <c r="H6160" i="1"/>
  <c r="A6160" i="1"/>
  <c r="I6159" i="1"/>
  <c r="H6159" i="1"/>
  <c r="A6159" i="1"/>
  <c r="I6158" i="1"/>
  <c r="H6158" i="1"/>
  <c r="A6158" i="1"/>
  <c r="I6157" i="1"/>
  <c r="H6157" i="1"/>
  <c r="A6157" i="1"/>
  <c r="I6156" i="1"/>
  <c r="H6156" i="1"/>
  <c r="A6156" i="1"/>
  <c r="I6155" i="1"/>
  <c r="H6155" i="1"/>
  <c r="A6155" i="1"/>
  <c r="I6154" i="1"/>
  <c r="H6154" i="1"/>
  <c r="A6154" i="1"/>
  <c r="I6153" i="1"/>
  <c r="H6153" i="1"/>
  <c r="A6153" i="1"/>
  <c r="I6152" i="1"/>
  <c r="H6152" i="1"/>
  <c r="A6152" i="1"/>
  <c r="I6151" i="1"/>
  <c r="H6151" i="1"/>
  <c r="A6151" i="1"/>
  <c r="I6150" i="1"/>
  <c r="H6150" i="1"/>
  <c r="A6150" i="1"/>
  <c r="I6149" i="1"/>
  <c r="H6149" i="1"/>
  <c r="A6149" i="1"/>
  <c r="I6148" i="1"/>
  <c r="H6148" i="1"/>
  <c r="A6148" i="1"/>
  <c r="I6147" i="1"/>
  <c r="H6147" i="1"/>
  <c r="A6147" i="1"/>
  <c r="I6146" i="1"/>
  <c r="H6146" i="1"/>
  <c r="A6146" i="1"/>
  <c r="I6145" i="1"/>
  <c r="H6145" i="1"/>
  <c r="A6145" i="1"/>
  <c r="I6144" i="1"/>
  <c r="H6144" i="1"/>
  <c r="A6144" i="1"/>
  <c r="I6143" i="1"/>
  <c r="H6143" i="1"/>
  <c r="A6143" i="1"/>
  <c r="I6142" i="1"/>
  <c r="H6142" i="1"/>
  <c r="A6142" i="1"/>
  <c r="I6141" i="1"/>
  <c r="H6141" i="1"/>
  <c r="A6141" i="1"/>
  <c r="I6140" i="1"/>
  <c r="H6140" i="1"/>
  <c r="A6140" i="1"/>
  <c r="I6139" i="1"/>
  <c r="H6139" i="1"/>
  <c r="A6139" i="1"/>
  <c r="I6138" i="1"/>
  <c r="H6138" i="1"/>
  <c r="A6138" i="1"/>
  <c r="I6137" i="1"/>
  <c r="H6137" i="1"/>
  <c r="A6137" i="1"/>
  <c r="I6136" i="1"/>
  <c r="H6136" i="1"/>
  <c r="A6136" i="1"/>
  <c r="I6135" i="1"/>
  <c r="H6135" i="1"/>
  <c r="A6135" i="1"/>
  <c r="I6134" i="1"/>
  <c r="H6134" i="1"/>
  <c r="A6134" i="1"/>
  <c r="I6133" i="1"/>
  <c r="H6133" i="1"/>
  <c r="A6133" i="1"/>
  <c r="I6132" i="1"/>
  <c r="H6132" i="1"/>
  <c r="A6132" i="1"/>
  <c r="I6131" i="1"/>
  <c r="H6131" i="1"/>
  <c r="A6131" i="1"/>
  <c r="I6130" i="1"/>
  <c r="H6130" i="1"/>
  <c r="A6130" i="1"/>
  <c r="I6129" i="1"/>
  <c r="H6129" i="1"/>
  <c r="A6129" i="1"/>
  <c r="I6128" i="1"/>
  <c r="H6128" i="1"/>
  <c r="A6128" i="1"/>
  <c r="I6127" i="1"/>
  <c r="H6127" i="1"/>
  <c r="A6127" i="1"/>
  <c r="I6126" i="1"/>
  <c r="H6126" i="1"/>
  <c r="A6126" i="1"/>
  <c r="I6125" i="1"/>
  <c r="H6125" i="1"/>
  <c r="A6125" i="1"/>
  <c r="I6124" i="1"/>
  <c r="H6124" i="1"/>
  <c r="A6124" i="1"/>
  <c r="I6123" i="1"/>
  <c r="H6123" i="1"/>
  <c r="A6123" i="1"/>
  <c r="I6122" i="1"/>
  <c r="H6122" i="1"/>
  <c r="A6122" i="1"/>
  <c r="I6121" i="1"/>
  <c r="H6121" i="1"/>
  <c r="A6121" i="1"/>
  <c r="I6120" i="1"/>
  <c r="H6120" i="1"/>
  <c r="A6120" i="1"/>
  <c r="I6119" i="1"/>
  <c r="H6119" i="1"/>
  <c r="A6119" i="1"/>
  <c r="I6118" i="1"/>
  <c r="H6118" i="1"/>
  <c r="A6118" i="1"/>
  <c r="I6117" i="1"/>
  <c r="H6117" i="1"/>
  <c r="A6117" i="1"/>
  <c r="I6116" i="1"/>
  <c r="H6116" i="1"/>
  <c r="A6116" i="1"/>
  <c r="I6115" i="1"/>
  <c r="H6115" i="1"/>
  <c r="A6115" i="1"/>
  <c r="I6114" i="1"/>
  <c r="H6114" i="1"/>
  <c r="A6114" i="1"/>
  <c r="I6113" i="1"/>
  <c r="H6113" i="1"/>
  <c r="A6113" i="1"/>
  <c r="I6112" i="1"/>
  <c r="H6112" i="1"/>
  <c r="A6112" i="1"/>
  <c r="I6111" i="1"/>
  <c r="H6111" i="1"/>
  <c r="A6111" i="1"/>
  <c r="I6110" i="1"/>
  <c r="H6110" i="1"/>
  <c r="A6110" i="1"/>
  <c r="I6109" i="1"/>
  <c r="H6109" i="1"/>
  <c r="A6109" i="1"/>
  <c r="I6108" i="1"/>
  <c r="H6108" i="1"/>
  <c r="A6108" i="1"/>
  <c r="I6107" i="1"/>
  <c r="H6107" i="1"/>
  <c r="A6107" i="1"/>
  <c r="I6106" i="1"/>
  <c r="H6106" i="1"/>
  <c r="A6106" i="1"/>
  <c r="I6105" i="1"/>
  <c r="H6105" i="1"/>
  <c r="A6105" i="1"/>
  <c r="I6104" i="1"/>
  <c r="H6104" i="1"/>
  <c r="A6104" i="1"/>
  <c r="I6103" i="1"/>
  <c r="H6103" i="1"/>
  <c r="A6103" i="1"/>
  <c r="I6102" i="1"/>
  <c r="H6102" i="1"/>
  <c r="A6102" i="1"/>
  <c r="I6101" i="1"/>
  <c r="H6101" i="1"/>
  <c r="A6101" i="1"/>
  <c r="I6100" i="1"/>
  <c r="H6100" i="1"/>
  <c r="A6100" i="1"/>
  <c r="I6099" i="1"/>
  <c r="H6099" i="1"/>
  <c r="A6099" i="1"/>
  <c r="I6098" i="1"/>
  <c r="H6098" i="1"/>
  <c r="A6098" i="1"/>
  <c r="I6097" i="1"/>
  <c r="H6097" i="1"/>
  <c r="A6097" i="1"/>
  <c r="I6096" i="1"/>
  <c r="H6096" i="1"/>
  <c r="A6096" i="1"/>
  <c r="I6095" i="1"/>
  <c r="H6095" i="1"/>
  <c r="A6095" i="1"/>
  <c r="I6094" i="1"/>
  <c r="H6094" i="1"/>
  <c r="A6094" i="1"/>
  <c r="I6093" i="1"/>
  <c r="H6093" i="1"/>
  <c r="A6093" i="1"/>
  <c r="I6092" i="1"/>
  <c r="H6092" i="1"/>
  <c r="A6092" i="1"/>
  <c r="I6091" i="1"/>
  <c r="H6091" i="1"/>
  <c r="A6091" i="1"/>
  <c r="I6090" i="1"/>
  <c r="H6090" i="1"/>
  <c r="A6090" i="1"/>
  <c r="I6089" i="1"/>
  <c r="H6089" i="1"/>
  <c r="A6089" i="1"/>
  <c r="I6088" i="1"/>
  <c r="H6088" i="1"/>
  <c r="A6088" i="1"/>
  <c r="I6087" i="1"/>
  <c r="H6087" i="1"/>
  <c r="A6087" i="1"/>
  <c r="I6086" i="1"/>
  <c r="H6086" i="1"/>
  <c r="A6086" i="1"/>
  <c r="I6085" i="1"/>
  <c r="H6085" i="1"/>
  <c r="A6085" i="1"/>
  <c r="I6084" i="1"/>
  <c r="H6084" i="1"/>
  <c r="A6084" i="1"/>
  <c r="I6083" i="1"/>
  <c r="H6083" i="1"/>
  <c r="A6083" i="1"/>
  <c r="I6082" i="1"/>
  <c r="H6082" i="1"/>
  <c r="A6082" i="1"/>
  <c r="I6081" i="1"/>
  <c r="H6081" i="1"/>
  <c r="A6081" i="1"/>
  <c r="I6080" i="1"/>
  <c r="H6080" i="1"/>
  <c r="A6080" i="1"/>
  <c r="I6079" i="1"/>
  <c r="H6079" i="1"/>
  <c r="A6079" i="1"/>
  <c r="I6078" i="1"/>
  <c r="H6078" i="1"/>
  <c r="A6078" i="1"/>
  <c r="I6077" i="1"/>
  <c r="H6077" i="1"/>
  <c r="A6077" i="1"/>
  <c r="I6076" i="1"/>
  <c r="H6076" i="1"/>
  <c r="A6076" i="1"/>
  <c r="I6075" i="1"/>
  <c r="H6075" i="1"/>
  <c r="A6075" i="1"/>
  <c r="I6074" i="1"/>
  <c r="H6074" i="1"/>
  <c r="A6074" i="1"/>
  <c r="I6073" i="1"/>
  <c r="H6073" i="1"/>
  <c r="A6073" i="1"/>
  <c r="I6072" i="1"/>
  <c r="H6072" i="1"/>
  <c r="A6072" i="1"/>
  <c r="I6071" i="1"/>
  <c r="H6071" i="1"/>
  <c r="A6071" i="1"/>
  <c r="I6070" i="1"/>
  <c r="H6070" i="1"/>
  <c r="A6070" i="1"/>
  <c r="I6069" i="1"/>
  <c r="H6069" i="1"/>
  <c r="A6069" i="1"/>
  <c r="I6068" i="1"/>
  <c r="H6068" i="1"/>
  <c r="A6068" i="1"/>
  <c r="I6067" i="1"/>
  <c r="H6067" i="1"/>
  <c r="A6067" i="1"/>
  <c r="I6066" i="1"/>
  <c r="H6066" i="1"/>
  <c r="A6066" i="1"/>
  <c r="I6065" i="1"/>
  <c r="H6065" i="1"/>
  <c r="A6065" i="1"/>
  <c r="I6064" i="1"/>
  <c r="H6064" i="1"/>
  <c r="A6064" i="1"/>
  <c r="I6063" i="1"/>
  <c r="H6063" i="1"/>
  <c r="A6063" i="1"/>
  <c r="I6062" i="1"/>
  <c r="H6062" i="1"/>
  <c r="A6062" i="1"/>
  <c r="I6061" i="1"/>
  <c r="H6061" i="1"/>
  <c r="A6061" i="1"/>
  <c r="I6060" i="1"/>
  <c r="H6060" i="1"/>
  <c r="A6060" i="1"/>
  <c r="I6059" i="1"/>
  <c r="H6059" i="1"/>
  <c r="A6059" i="1"/>
  <c r="I6058" i="1"/>
  <c r="H6058" i="1"/>
  <c r="A6058" i="1"/>
  <c r="I6057" i="1"/>
  <c r="H6057" i="1"/>
  <c r="A6057" i="1"/>
  <c r="I6056" i="1"/>
  <c r="H6056" i="1"/>
  <c r="A6056" i="1"/>
  <c r="I6055" i="1"/>
  <c r="H6055" i="1"/>
  <c r="A6055" i="1"/>
  <c r="I6054" i="1"/>
  <c r="H6054" i="1"/>
  <c r="A6054" i="1"/>
  <c r="I6053" i="1"/>
  <c r="H6053" i="1"/>
  <c r="A6053" i="1"/>
  <c r="I6052" i="1"/>
  <c r="H6052" i="1"/>
  <c r="A6052" i="1"/>
  <c r="I6051" i="1"/>
  <c r="H6051" i="1"/>
  <c r="A6051" i="1"/>
  <c r="I6050" i="1"/>
  <c r="H6050" i="1"/>
  <c r="A6050" i="1"/>
  <c r="I6049" i="1"/>
  <c r="H6049" i="1"/>
  <c r="A6049" i="1"/>
  <c r="I6048" i="1"/>
  <c r="H6048" i="1"/>
  <c r="A6048" i="1"/>
  <c r="I6047" i="1"/>
  <c r="H6047" i="1"/>
  <c r="A6047" i="1"/>
  <c r="I6046" i="1"/>
  <c r="H6046" i="1"/>
  <c r="A6046" i="1"/>
  <c r="I6045" i="1"/>
  <c r="H6045" i="1"/>
  <c r="A6045" i="1"/>
  <c r="I6044" i="1"/>
  <c r="H6044" i="1"/>
  <c r="A6044" i="1"/>
  <c r="I6043" i="1"/>
  <c r="H6043" i="1"/>
  <c r="A6043" i="1"/>
  <c r="I6042" i="1"/>
  <c r="H6042" i="1"/>
  <c r="A6042" i="1"/>
  <c r="I6041" i="1"/>
  <c r="H6041" i="1"/>
  <c r="A6041" i="1"/>
  <c r="I6040" i="1"/>
  <c r="H6040" i="1"/>
  <c r="A6040" i="1"/>
  <c r="I6039" i="1"/>
  <c r="H6039" i="1"/>
  <c r="A6039" i="1"/>
  <c r="I6038" i="1"/>
  <c r="H6038" i="1"/>
  <c r="A6038" i="1"/>
  <c r="I6037" i="1"/>
  <c r="H6037" i="1"/>
  <c r="A6037" i="1"/>
  <c r="I6036" i="1"/>
  <c r="H6036" i="1"/>
  <c r="A6036" i="1"/>
  <c r="I6035" i="1"/>
  <c r="H6035" i="1"/>
  <c r="A6035" i="1"/>
  <c r="I6034" i="1"/>
  <c r="H6034" i="1"/>
  <c r="A6034" i="1"/>
  <c r="I6033" i="1"/>
  <c r="H6033" i="1"/>
  <c r="A6033" i="1"/>
  <c r="I6032" i="1"/>
  <c r="H6032" i="1"/>
  <c r="A6032" i="1"/>
  <c r="I6031" i="1"/>
  <c r="H6031" i="1"/>
  <c r="A6031" i="1"/>
  <c r="I6030" i="1"/>
  <c r="H6030" i="1"/>
  <c r="A6030" i="1"/>
  <c r="I6029" i="1"/>
  <c r="H6029" i="1"/>
  <c r="A6029" i="1"/>
  <c r="I6028" i="1"/>
  <c r="H6028" i="1"/>
  <c r="A6028" i="1"/>
  <c r="I6027" i="1"/>
  <c r="H6027" i="1"/>
  <c r="A6027" i="1"/>
  <c r="I6026" i="1"/>
  <c r="H6026" i="1"/>
  <c r="A6026" i="1"/>
  <c r="I6025" i="1"/>
  <c r="H6025" i="1"/>
  <c r="A6025" i="1"/>
  <c r="I6024" i="1"/>
  <c r="H6024" i="1"/>
  <c r="A6024" i="1"/>
  <c r="I6023" i="1"/>
  <c r="H6023" i="1"/>
  <c r="A6023" i="1"/>
  <c r="I6022" i="1"/>
  <c r="H6022" i="1"/>
  <c r="A6022" i="1"/>
  <c r="I6021" i="1"/>
  <c r="H6021" i="1"/>
  <c r="A6021" i="1"/>
  <c r="I6020" i="1"/>
  <c r="H6020" i="1"/>
  <c r="A6020" i="1"/>
  <c r="I6019" i="1"/>
  <c r="H6019" i="1"/>
  <c r="A6019" i="1"/>
  <c r="I6018" i="1"/>
  <c r="H6018" i="1"/>
  <c r="A6018" i="1"/>
  <c r="I6017" i="1"/>
  <c r="H6017" i="1"/>
  <c r="A6017" i="1"/>
  <c r="I6016" i="1"/>
  <c r="H6016" i="1"/>
  <c r="A6016" i="1"/>
  <c r="I6015" i="1"/>
  <c r="H6015" i="1"/>
  <c r="A6015" i="1"/>
  <c r="I6014" i="1"/>
  <c r="H6014" i="1"/>
  <c r="A6014" i="1"/>
  <c r="I6013" i="1"/>
  <c r="H6013" i="1"/>
  <c r="A6013" i="1"/>
  <c r="I6012" i="1"/>
  <c r="H6012" i="1"/>
  <c r="A6012" i="1"/>
  <c r="I6011" i="1"/>
  <c r="H6011" i="1"/>
  <c r="A6011" i="1"/>
  <c r="I6010" i="1"/>
  <c r="H6010" i="1"/>
  <c r="A6010" i="1"/>
  <c r="I6009" i="1"/>
  <c r="H6009" i="1"/>
  <c r="A6009" i="1"/>
  <c r="I6008" i="1"/>
  <c r="H6008" i="1"/>
  <c r="A6008" i="1"/>
  <c r="I6007" i="1"/>
  <c r="H6007" i="1"/>
  <c r="A6007" i="1"/>
  <c r="I6006" i="1"/>
  <c r="H6006" i="1"/>
  <c r="A6006" i="1"/>
  <c r="I6005" i="1"/>
  <c r="H6005" i="1"/>
  <c r="A6005" i="1"/>
  <c r="I6004" i="1"/>
  <c r="H6004" i="1"/>
  <c r="A6004" i="1"/>
  <c r="I6003" i="1"/>
  <c r="H6003" i="1"/>
  <c r="A6003" i="1"/>
  <c r="I6002" i="1"/>
  <c r="H6002" i="1"/>
  <c r="A6002" i="1"/>
  <c r="I6001" i="1"/>
  <c r="H6001" i="1"/>
  <c r="A6001" i="1"/>
  <c r="I6000" i="1"/>
  <c r="H6000" i="1"/>
  <c r="A6000" i="1"/>
  <c r="I5999" i="1"/>
  <c r="H5999" i="1"/>
  <c r="A5999" i="1"/>
  <c r="I5998" i="1"/>
  <c r="H5998" i="1"/>
  <c r="A5998" i="1"/>
  <c r="I5997" i="1"/>
  <c r="H5997" i="1"/>
  <c r="A5997" i="1"/>
  <c r="I5996" i="1"/>
  <c r="H5996" i="1"/>
  <c r="A5996" i="1"/>
  <c r="I5995" i="1"/>
  <c r="H5995" i="1"/>
  <c r="A5995" i="1"/>
  <c r="I5994" i="1"/>
  <c r="H5994" i="1"/>
  <c r="A5994" i="1"/>
  <c r="I5993" i="1"/>
  <c r="H5993" i="1"/>
  <c r="A5993" i="1"/>
  <c r="I5992" i="1"/>
  <c r="H5992" i="1"/>
  <c r="A5992" i="1"/>
  <c r="I5991" i="1"/>
  <c r="H5991" i="1"/>
  <c r="A5991" i="1"/>
  <c r="I5990" i="1"/>
  <c r="H5990" i="1"/>
  <c r="A5990" i="1"/>
  <c r="I5989" i="1"/>
  <c r="H5989" i="1"/>
  <c r="A5989" i="1"/>
  <c r="I5988" i="1"/>
  <c r="H5988" i="1"/>
  <c r="A5988" i="1"/>
  <c r="I5987" i="1"/>
  <c r="H5987" i="1"/>
  <c r="A5987" i="1"/>
  <c r="I5986" i="1"/>
  <c r="H5986" i="1"/>
  <c r="A5986" i="1"/>
  <c r="I5985" i="1"/>
  <c r="H5985" i="1"/>
  <c r="A5985" i="1"/>
  <c r="I5984" i="1"/>
  <c r="H5984" i="1"/>
  <c r="A5984" i="1"/>
  <c r="I5983" i="1"/>
  <c r="H5983" i="1"/>
  <c r="A5983" i="1"/>
  <c r="I5982" i="1"/>
  <c r="H5982" i="1"/>
  <c r="A5982" i="1"/>
  <c r="I5981" i="1"/>
  <c r="H5981" i="1"/>
  <c r="A5981" i="1"/>
  <c r="I5980" i="1"/>
  <c r="H5980" i="1"/>
  <c r="A5980" i="1"/>
  <c r="I5979" i="1"/>
  <c r="H5979" i="1"/>
  <c r="A5979" i="1"/>
  <c r="I5978" i="1"/>
  <c r="H5978" i="1"/>
  <c r="A5978" i="1"/>
  <c r="I5977" i="1"/>
  <c r="H5977" i="1"/>
  <c r="A5977" i="1"/>
  <c r="I5976" i="1"/>
  <c r="H5976" i="1"/>
  <c r="A5976" i="1"/>
  <c r="I5975" i="1"/>
  <c r="H5975" i="1"/>
  <c r="A5975" i="1"/>
  <c r="I5974" i="1"/>
  <c r="H5974" i="1"/>
  <c r="A5974" i="1"/>
  <c r="I5973" i="1"/>
  <c r="H5973" i="1"/>
  <c r="A5973" i="1"/>
  <c r="I5972" i="1"/>
  <c r="H5972" i="1"/>
  <c r="A5972" i="1"/>
  <c r="I5971" i="1"/>
  <c r="H5971" i="1"/>
  <c r="A5971" i="1"/>
  <c r="I5970" i="1"/>
  <c r="H5970" i="1"/>
  <c r="A5970" i="1"/>
  <c r="I5969" i="1"/>
  <c r="H5969" i="1"/>
  <c r="A5969" i="1"/>
  <c r="I5968" i="1"/>
  <c r="H5968" i="1"/>
  <c r="A5968" i="1"/>
  <c r="I5967" i="1"/>
  <c r="H5967" i="1"/>
  <c r="A5967" i="1"/>
  <c r="I5966" i="1"/>
  <c r="H5966" i="1"/>
  <c r="A5966" i="1"/>
  <c r="I5965" i="1"/>
  <c r="H5965" i="1"/>
  <c r="A5965" i="1"/>
  <c r="I5964" i="1"/>
  <c r="H5964" i="1"/>
  <c r="A5964" i="1"/>
  <c r="I5963" i="1"/>
  <c r="H5963" i="1"/>
  <c r="A5963" i="1"/>
  <c r="I5962" i="1"/>
  <c r="H5962" i="1"/>
  <c r="A5962" i="1"/>
  <c r="I5961" i="1"/>
  <c r="H5961" i="1"/>
  <c r="A5961" i="1"/>
  <c r="I5960" i="1"/>
  <c r="H5960" i="1"/>
  <c r="A5960" i="1"/>
  <c r="I5959" i="1"/>
  <c r="H5959" i="1"/>
  <c r="A5959" i="1"/>
  <c r="I5958" i="1"/>
  <c r="H5958" i="1"/>
  <c r="A5958" i="1"/>
  <c r="I5957" i="1"/>
  <c r="H5957" i="1"/>
  <c r="A5957" i="1"/>
  <c r="I5956" i="1"/>
  <c r="H5956" i="1"/>
  <c r="A5956" i="1"/>
  <c r="I5955" i="1"/>
  <c r="H5955" i="1"/>
  <c r="A5955" i="1"/>
  <c r="I5954" i="1"/>
  <c r="H5954" i="1"/>
  <c r="A5954" i="1"/>
  <c r="I5953" i="1"/>
  <c r="H5953" i="1"/>
  <c r="A5953" i="1"/>
  <c r="I5952" i="1"/>
  <c r="H5952" i="1"/>
  <c r="A5952" i="1"/>
  <c r="I5951" i="1"/>
  <c r="H5951" i="1"/>
  <c r="A5951" i="1"/>
  <c r="I5950" i="1"/>
  <c r="H5950" i="1"/>
  <c r="A5950" i="1"/>
  <c r="I5949" i="1"/>
  <c r="H5949" i="1"/>
  <c r="A5949" i="1"/>
  <c r="I5948" i="1"/>
  <c r="H5948" i="1"/>
  <c r="A5948" i="1"/>
  <c r="I5947" i="1"/>
  <c r="H5947" i="1"/>
  <c r="A5947" i="1"/>
  <c r="I5946" i="1"/>
  <c r="H5946" i="1"/>
  <c r="A5946" i="1"/>
  <c r="I5945" i="1"/>
  <c r="H5945" i="1"/>
  <c r="A5945" i="1"/>
  <c r="I5944" i="1"/>
  <c r="H5944" i="1"/>
  <c r="A5944" i="1"/>
  <c r="I5943" i="1"/>
  <c r="H5943" i="1"/>
  <c r="A5943" i="1"/>
  <c r="I5942" i="1"/>
  <c r="H5942" i="1"/>
  <c r="A5942" i="1"/>
  <c r="I5941" i="1"/>
  <c r="H5941" i="1"/>
  <c r="A5941" i="1"/>
  <c r="I5940" i="1"/>
  <c r="H5940" i="1"/>
  <c r="A5940" i="1"/>
  <c r="I5939" i="1"/>
  <c r="H5939" i="1"/>
  <c r="A5939" i="1"/>
  <c r="I5938" i="1"/>
  <c r="H5938" i="1"/>
  <c r="A5938" i="1"/>
  <c r="I5937" i="1"/>
  <c r="H5937" i="1"/>
  <c r="A5937" i="1"/>
  <c r="I5936" i="1"/>
  <c r="H5936" i="1"/>
  <c r="A5936" i="1"/>
  <c r="I5935" i="1"/>
  <c r="H5935" i="1"/>
  <c r="A5935" i="1"/>
  <c r="I5934" i="1"/>
  <c r="H5934" i="1"/>
  <c r="A5934" i="1"/>
  <c r="I5933" i="1"/>
  <c r="H5933" i="1"/>
  <c r="A5933" i="1"/>
  <c r="I5932" i="1"/>
  <c r="H5932" i="1"/>
  <c r="A5932" i="1"/>
  <c r="I5931" i="1"/>
  <c r="H5931" i="1"/>
  <c r="A5931" i="1"/>
  <c r="I5930" i="1"/>
  <c r="H5930" i="1"/>
  <c r="A5930" i="1"/>
  <c r="I5929" i="1"/>
  <c r="H5929" i="1"/>
  <c r="A5929" i="1"/>
  <c r="I5928" i="1"/>
  <c r="H5928" i="1"/>
  <c r="A5928" i="1"/>
  <c r="I5927" i="1"/>
  <c r="H5927" i="1"/>
  <c r="A5927" i="1"/>
  <c r="I5926" i="1"/>
  <c r="H5926" i="1"/>
  <c r="A5926" i="1"/>
  <c r="I5925" i="1"/>
  <c r="H5925" i="1"/>
  <c r="A5925" i="1"/>
  <c r="I5924" i="1"/>
  <c r="H5924" i="1"/>
  <c r="A5924" i="1"/>
  <c r="I5923" i="1"/>
  <c r="H5923" i="1"/>
  <c r="A5923" i="1"/>
  <c r="I5922" i="1"/>
  <c r="H5922" i="1"/>
  <c r="A5922" i="1"/>
  <c r="I5921" i="1"/>
  <c r="H5921" i="1"/>
  <c r="A5921" i="1"/>
  <c r="I5920" i="1"/>
  <c r="H5920" i="1"/>
  <c r="A5920" i="1"/>
  <c r="I5919" i="1"/>
  <c r="H5919" i="1"/>
  <c r="A5919" i="1"/>
  <c r="I5918" i="1"/>
  <c r="H5918" i="1"/>
  <c r="A5918" i="1"/>
  <c r="I5917" i="1"/>
  <c r="H5917" i="1"/>
  <c r="A5917" i="1"/>
  <c r="I5916" i="1"/>
  <c r="H5916" i="1"/>
  <c r="A5916" i="1"/>
  <c r="I5915" i="1"/>
  <c r="H5915" i="1"/>
  <c r="A5915" i="1"/>
  <c r="I5914" i="1"/>
  <c r="H5914" i="1"/>
  <c r="A5914" i="1"/>
  <c r="I5913" i="1"/>
  <c r="H5913" i="1"/>
  <c r="A5913" i="1"/>
  <c r="I5912" i="1"/>
  <c r="H5912" i="1"/>
  <c r="A5912" i="1"/>
  <c r="I5911" i="1"/>
  <c r="H5911" i="1"/>
  <c r="A5911" i="1"/>
  <c r="I5910" i="1"/>
  <c r="H5910" i="1"/>
  <c r="A5910" i="1"/>
  <c r="I5909" i="1"/>
  <c r="H5909" i="1"/>
  <c r="A5909" i="1"/>
  <c r="I5908" i="1"/>
  <c r="H5908" i="1"/>
  <c r="A5908" i="1"/>
  <c r="I5907" i="1"/>
  <c r="H5907" i="1"/>
  <c r="A5907" i="1"/>
  <c r="I5906" i="1"/>
  <c r="H5906" i="1"/>
  <c r="A5906" i="1"/>
  <c r="I5905" i="1"/>
  <c r="H5905" i="1"/>
  <c r="A5905" i="1"/>
  <c r="I5904" i="1"/>
  <c r="H5904" i="1"/>
  <c r="A5904" i="1"/>
  <c r="I5903" i="1"/>
  <c r="H5903" i="1"/>
  <c r="A5903" i="1"/>
  <c r="I5902" i="1"/>
  <c r="H5902" i="1"/>
  <c r="A5902" i="1"/>
  <c r="I5901" i="1"/>
  <c r="H5901" i="1"/>
  <c r="A5901" i="1"/>
  <c r="I5900" i="1"/>
  <c r="H5900" i="1"/>
  <c r="A5900" i="1"/>
  <c r="I5899" i="1"/>
  <c r="H5899" i="1"/>
  <c r="A5899" i="1"/>
  <c r="I5898" i="1"/>
  <c r="H5898" i="1"/>
  <c r="A5898" i="1"/>
  <c r="I5897" i="1"/>
  <c r="H5897" i="1"/>
  <c r="A5897" i="1"/>
  <c r="I5896" i="1"/>
  <c r="H5896" i="1"/>
  <c r="A5896" i="1"/>
  <c r="I5895" i="1"/>
  <c r="H5895" i="1"/>
  <c r="A5895" i="1"/>
  <c r="I5894" i="1"/>
  <c r="H5894" i="1"/>
  <c r="A5894" i="1"/>
  <c r="I5893" i="1"/>
  <c r="H5893" i="1"/>
  <c r="A5893" i="1"/>
  <c r="I5892" i="1"/>
  <c r="H5892" i="1"/>
  <c r="A5892" i="1"/>
  <c r="I5891" i="1"/>
  <c r="H5891" i="1"/>
  <c r="A5891" i="1"/>
  <c r="I5890" i="1"/>
  <c r="H5890" i="1"/>
  <c r="A5890" i="1"/>
  <c r="I5889" i="1"/>
  <c r="H5889" i="1"/>
  <c r="A5889" i="1"/>
  <c r="I5888" i="1"/>
  <c r="H5888" i="1"/>
  <c r="A5888" i="1"/>
  <c r="I5887" i="1"/>
  <c r="H5887" i="1"/>
  <c r="A5887" i="1"/>
  <c r="I5886" i="1"/>
  <c r="H5886" i="1"/>
  <c r="A5886" i="1"/>
  <c r="I5885" i="1"/>
  <c r="H5885" i="1"/>
  <c r="A5885" i="1"/>
  <c r="I5884" i="1"/>
  <c r="H5884" i="1"/>
  <c r="A5884" i="1"/>
  <c r="I5883" i="1"/>
  <c r="H5883" i="1"/>
  <c r="A5883" i="1"/>
  <c r="I5882" i="1"/>
  <c r="H5882" i="1"/>
  <c r="A5882" i="1"/>
  <c r="I5881" i="1"/>
  <c r="H5881" i="1"/>
  <c r="A5881" i="1"/>
  <c r="I5880" i="1"/>
  <c r="H5880" i="1"/>
  <c r="A5880" i="1"/>
  <c r="I5879" i="1"/>
  <c r="H5879" i="1"/>
  <c r="A5879" i="1"/>
  <c r="I5878" i="1"/>
  <c r="H5878" i="1"/>
  <c r="A5878" i="1"/>
  <c r="I5877" i="1"/>
  <c r="H5877" i="1"/>
  <c r="A5877" i="1"/>
  <c r="I5876" i="1"/>
  <c r="H5876" i="1"/>
  <c r="A5876" i="1"/>
  <c r="I5875" i="1"/>
  <c r="H5875" i="1"/>
  <c r="A5875" i="1"/>
  <c r="I5874" i="1"/>
  <c r="H5874" i="1"/>
  <c r="A5874" i="1"/>
  <c r="I5873" i="1"/>
  <c r="H5873" i="1"/>
  <c r="A5873" i="1"/>
  <c r="I5872" i="1"/>
  <c r="H5872" i="1"/>
  <c r="A5872" i="1"/>
  <c r="I5871" i="1"/>
  <c r="H5871" i="1"/>
  <c r="A5871" i="1"/>
  <c r="I5870" i="1"/>
  <c r="H5870" i="1"/>
  <c r="A5870" i="1"/>
  <c r="I5869" i="1"/>
  <c r="H5869" i="1"/>
  <c r="A5869" i="1"/>
  <c r="I5868" i="1"/>
  <c r="H5868" i="1"/>
  <c r="A5868" i="1"/>
  <c r="I5867" i="1"/>
  <c r="H5867" i="1"/>
  <c r="A5867" i="1"/>
  <c r="I5866" i="1"/>
  <c r="H5866" i="1"/>
  <c r="A5866" i="1"/>
  <c r="I5865" i="1"/>
  <c r="H5865" i="1"/>
  <c r="A5865" i="1"/>
  <c r="I5864" i="1"/>
  <c r="H5864" i="1"/>
  <c r="A5864" i="1"/>
  <c r="I5863" i="1"/>
  <c r="H5863" i="1"/>
  <c r="A5863" i="1"/>
  <c r="I5862" i="1"/>
  <c r="H5862" i="1"/>
  <c r="A5862" i="1"/>
  <c r="I5861" i="1"/>
  <c r="H5861" i="1"/>
  <c r="A5861" i="1"/>
  <c r="I5860" i="1"/>
  <c r="H5860" i="1"/>
  <c r="A5860" i="1"/>
  <c r="I5859" i="1"/>
  <c r="H5859" i="1"/>
  <c r="A5859" i="1"/>
  <c r="I5858" i="1"/>
  <c r="H5858" i="1"/>
  <c r="A5858" i="1"/>
  <c r="I5857" i="1"/>
  <c r="H5857" i="1"/>
  <c r="A5857" i="1"/>
  <c r="I5856" i="1"/>
  <c r="H5856" i="1"/>
  <c r="A5856" i="1"/>
  <c r="I5855" i="1"/>
  <c r="H5855" i="1"/>
  <c r="A5855" i="1"/>
  <c r="I5854" i="1"/>
  <c r="H5854" i="1"/>
  <c r="A5854" i="1"/>
  <c r="I5853" i="1"/>
  <c r="H5853" i="1"/>
  <c r="A5853" i="1"/>
  <c r="I5852" i="1"/>
  <c r="H5852" i="1"/>
  <c r="A5852" i="1"/>
  <c r="I5851" i="1"/>
  <c r="H5851" i="1"/>
  <c r="A5851" i="1"/>
  <c r="I5850" i="1"/>
  <c r="H5850" i="1"/>
  <c r="A5850" i="1"/>
  <c r="I5849" i="1"/>
  <c r="H5849" i="1"/>
  <c r="A5849" i="1"/>
  <c r="I5848" i="1"/>
  <c r="H5848" i="1"/>
  <c r="A5848" i="1"/>
  <c r="I5847" i="1"/>
  <c r="H5847" i="1"/>
  <c r="A5847" i="1"/>
  <c r="I5846" i="1"/>
  <c r="H5846" i="1"/>
  <c r="A5846" i="1"/>
  <c r="I5845" i="1"/>
  <c r="H5845" i="1"/>
  <c r="A5845" i="1"/>
  <c r="I5844" i="1"/>
  <c r="H5844" i="1"/>
  <c r="A5844" i="1"/>
  <c r="I5843" i="1"/>
  <c r="H5843" i="1"/>
  <c r="A5843" i="1"/>
  <c r="I5842" i="1"/>
  <c r="H5842" i="1"/>
  <c r="A5842" i="1"/>
  <c r="I5841" i="1"/>
  <c r="H5841" i="1"/>
  <c r="A5841" i="1"/>
  <c r="I5840" i="1"/>
  <c r="H5840" i="1"/>
  <c r="A5840" i="1"/>
  <c r="I5839" i="1"/>
  <c r="H5839" i="1"/>
  <c r="A5839" i="1"/>
  <c r="I5838" i="1"/>
  <c r="H5838" i="1"/>
  <c r="A5838" i="1"/>
  <c r="I5837" i="1"/>
  <c r="H5837" i="1"/>
  <c r="A5837" i="1"/>
  <c r="I5836" i="1"/>
  <c r="H5836" i="1"/>
  <c r="A5836" i="1"/>
  <c r="I5835" i="1"/>
  <c r="H5835" i="1"/>
  <c r="A5835" i="1"/>
  <c r="I5834" i="1"/>
  <c r="H5834" i="1"/>
  <c r="A5834" i="1"/>
  <c r="I5833" i="1"/>
  <c r="H5833" i="1"/>
  <c r="A5833" i="1"/>
  <c r="I5832" i="1"/>
  <c r="H5832" i="1"/>
  <c r="A5832" i="1"/>
  <c r="I5831" i="1"/>
  <c r="H5831" i="1"/>
  <c r="A5831" i="1"/>
  <c r="I5830" i="1"/>
  <c r="H5830" i="1"/>
  <c r="A5830" i="1"/>
  <c r="I5829" i="1"/>
  <c r="H5829" i="1"/>
  <c r="A5829" i="1"/>
  <c r="I5828" i="1"/>
  <c r="H5828" i="1"/>
  <c r="A5828" i="1"/>
  <c r="I5827" i="1"/>
  <c r="H5827" i="1"/>
  <c r="A5827" i="1"/>
  <c r="I5826" i="1"/>
  <c r="H5826" i="1"/>
  <c r="A5826" i="1"/>
  <c r="I5825" i="1"/>
  <c r="H5825" i="1"/>
  <c r="A5825" i="1"/>
  <c r="I5824" i="1"/>
  <c r="H5824" i="1"/>
  <c r="A5824" i="1"/>
  <c r="I5823" i="1"/>
  <c r="H5823" i="1"/>
  <c r="A5823" i="1"/>
  <c r="I5822" i="1"/>
  <c r="H5822" i="1"/>
  <c r="A5822" i="1"/>
  <c r="I5821" i="1"/>
  <c r="H5821" i="1"/>
  <c r="A5821" i="1"/>
  <c r="I5820" i="1"/>
  <c r="H5820" i="1"/>
  <c r="A5820" i="1"/>
  <c r="I5819" i="1"/>
  <c r="H5819" i="1"/>
  <c r="A5819" i="1"/>
  <c r="I5818" i="1"/>
  <c r="H5818" i="1"/>
  <c r="A5818" i="1"/>
  <c r="I5817" i="1"/>
  <c r="H5817" i="1"/>
  <c r="A5817" i="1"/>
  <c r="I5816" i="1"/>
  <c r="H5816" i="1"/>
  <c r="A5816" i="1"/>
  <c r="I5815" i="1"/>
  <c r="H5815" i="1"/>
  <c r="A5815" i="1"/>
  <c r="I5814" i="1"/>
  <c r="H5814" i="1"/>
  <c r="A5814" i="1"/>
  <c r="I5813" i="1"/>
  <c r="H5813" i="1"/>
  <c r="A5813" i="1"/>
  <c r="I5812" i="1"/>
  <c r="H5812" i="1"/>
  <c r="A5812" i="1"/>
  <c r="I5811" i="1"/>
  <c r="H5811" i="1"/>
  <c r="A5811" i="1"/>
  <c r="I5810" i="1"/>
  <c r="H5810" i="1"/>
  <c r="A5810" i="1"/>
  <c r="I5809" i="1"/>
  <c r="H5809" i="1"/>
  <c r="A5809" i="1"/>
  <c r="I5808" i="1"/>
  <c r="H5808" i="1"/>
  <c r="A5808" i="1"/>
  <c r="I5807" i="1"/>
  <c r="H5807" i="1"/>
  <c r="A5807" i="1"/>
  <c r="I5806" i="1"/>
  <c r="H5806" i="1"/>
  <c r="A5806" i="1"/>
  <c r="I5805" i="1"/>
  <c r="H5805" i="1"/>
  <c r="A5805" i="1"/>
  <c r="I5804" i="1"/>
  <c r="H5804" i="1"/>
  <c r="A5804" i="1"/>
  <c r="I5803" i="1"/>
  <c r="H5803" i="1"/>
  <c r="A5803" i="1"/>
  <c r="I5802" i="1"/>
  <c r="H5802" i="1"/>
  <c r="A5802" i="1"/>
  <c r="I5801" i="1"/>
  <c r="H5801" i="1"/>
  <c r="A5801" i="1"/>
  <c r="I5800" i="1"/>
  <c r="H5800" i="1"/>
  <c r="A5800" i="1"/>
  <c r="I5799" i="1"/>
  <c r="H5799" i="1"/>
  <c r="A5799" i="1"/>
  <c r="I5798" i="1"/>
  <c r="H5798" i="1"/>
  <c r="A5798" i="1"/>
  <c r="I5797" i="1"/>
  <c r="H5797" i="1"/>
  <c r="A5797" i="1"/>
  <c r="I5796" i="1"/>
  <c r="H5796" i="1"/>
  <c r="A5796" i="1"/>
  <c r="I5795" i="1"/>
  <c r="H5795" i="1"/>
  <c r="A5795" i="1"/>
  <c r="I5794" i="1"/>
  <c r="H5794" i="1"/>
  <c r="A5794" i="1"/>
  <c r="I5793" i="1"/>
  <c r="H5793" i="1"/>
  <c r="A5793" i="1"/>
  <c r="I5792" i="1"/>
  <c r="H5792" i="1"/>
  <c r="A5792" i="1"/>
  <c r="I5791" i="1"/>
  <c r="H5791" i="1"/>
  <c r="A5791" i="1"/>
  <c r="I5790" i="1"/>
  <c r="H5790" i="1"/>
  <c r="A5790" i="1"/>
  <c r="I5789" i="1"/>
  <c r="H5789" i="1"/>
  <c r="A5789" i="1"/>
  <c r="I5788" i="1"/>
  <c r="H5788" i="1"/>
  <c r="A5788" i="1"/>
  <c r="I5787" i="1"/>
  <c r="H5787" i="1"/>
  <c r="A5787" i="1"/>
  <c r="I5786" i="1"/>
  <c r="H5786" i="1"/>
  <c r="A5786" i="1"/>
  <c r="I5785" i="1"/>
  <c r="H5785" i="1"/>
  <c r="A5785" i="1"/>
  <c r="I5784" i="1"/>
  <c r="H5784" i="1"/>
  <c r="A5784" i="1"/>
  <c r="I5783" i="1"/>
  <c r="H5783" i="1"/>
  <c r="A5783" i="1"/>
  <c r="I5782" i="1"/>
  <c r="H5782" i="1"/>
  <c r="A5782" i="1"/>
  <c r="I5781" i="1"/>
  <c r="H5781" i="1"/>
  <c r="A5781" i="1"/>
  <c r="I5780" i="1"/>
  <c r="H5780" i="1"/>
  <c r="A5780" i="1"/>
  <c r="I5779" i="1"/>
  <c r="H5779" i="1"/>
  <c r="A5779" i="1"/>
  <c r="I5778" i="1"/>
  <c r="H5778" i="1"/>
  <c r="A5778" i="1"/>
  <c r="I5777" i="1"/>
  <c r="H5777" i="1"/>
  <c r="A5777" i="1"/>
  <c r="I5776" i="1"/>
  <c r="H5776" i="1"/>
  <c r="A5776" i="1"/>
  <c r="I5775" i="1"/>
  <c r="H5775" i="1"/>
  <c r="A5775" i="1"/>
  <c r="I5774" i="1"/>
  <c r="H5774" i="1"/>
  <c r="A5774" i="1"/>
  <c r="I5773" i="1"/>
  <c r="H5773" i="1"/>
  <c r="A5773" i="1"/>
  <c r="I5772" i="1"/>
  <c r="H5772" i="1"/>
  <c r="A5772" i="1"/>
  <c r="I5771" i="1"/>
  <c r="H5771" i="1"/>
  <c r="A5771" i="1"/>
  <c r="I5770" i="1"/>
  <c r="H5770" i="1"/>
  <c r="A5770" i="1"/>
  <c r="I5769" i="1"/>
  <c r="H5769" i="1"/>
  <c r="A5769" i="1"/>
  <c r="I5768" i="1"/>
  <c r="H5768" i="1"/>
  <c r="A5768" i="1"/>
  <c r="I5767" i="1"/>
  <c r="H5767" i="1"/>
  <c r="A5767" i="1"/>
  <c r="I5766" i="1"/>
  <c r="H5766" i="1"/>
  <c r="A5766" i="1"/>
  <c r="I5765" i="1"/>
  <c r="H5765" i="1"/>
  <c r="A5765" i="1"/>
  <c r="I5764" i="1"/>
  <c r="H5764" i="1"/>
  <c r="A5764" i="1"/>
  <c r="I5763" i="1"/>
  <c r="H5763" i="1"/>
  <c r="A5763" i="1"/>
  <c r="I5762" i="1"/>
  <c r="H5762" i="1"/>
  <c r="A5762" i="1"/>
  <c r="I5761" i="1"/>
  <c r="H5761" i="1"/>
  <c r="A5761" i="1"/>
  <c r="I5760" i="1"/>
  <c r="H5760" i="1"/>
  <c r="A5760" i="1"/>
  <c r="I5759" i="1"/>
  <c r="H5759" i="1"/>
  <c r="A5759" i="1"/>
  <c r="I5758" i="1"/>
  <c r="H5758" i="1"/>
  <c r="A5758" i="1"/>
  <c r="I5757" i="1"/>
  <c r="H5757" i="1"/>
  <c r="A5757" i="1"/>
  <c r="I5756" i="1"/>
  <c r="H5756" i="1"/>
  <c r="A5756" i="1"/>
  <c r="I5755" i="1"/>
  <c r="H5755" i="1"/>
  <c r="A5755" i="1"/>
  <c r="I5754" i="1"/>
  <c r="H5754" i="1"/>
  <c r="A5754" i="1"/>
  <c r="I5753" i="1"/>
  <c r="H5753" i="1"/>
  <c r="A5753" i="1"/>
  <c r="I5752" i="1"/>
  <c r="H5752" i="1"/>
  <c r="A5752" i="1"/>
  <c r="I5751" i="1"/>
  <c r="H5751" i="1"/>
  <c r="A5751" i="1"/>
  <c r="I5750" i="1"/>
  <c r="H5750" i="1"/>
  <c r="A5750" i="1"/>
  <c r="I5749" i="1"/>
  <c r="H5749" i="1"/>
  <c r="A5749" i="1"/>
  <c r="I5748" i="1"/>
  <c r="H5748" i="1"/>
  <c r="A5748" i="1"/>
  <c r="I5747" i="1"/>
  <c r="H5747" i="1"/>
  <c r="A5747" i="1"/>
  <c r="I5746" i="1"/>
  <c r="H5746" i="1"/>
  <c r="A5746" i="1"/>
  <c r="I5745" i="1"/>
  <c r="H5745" i="1"/>
  <c r="A5745" i="1"/>
  <c r="I5744" i="1"/>
  <c r="H5744" i="1"/>
  <c r="A5744" i="1"/>
  <c r="I5743" i="1"/>
  <c r="H5743" i="1"/>
  <c r="A5743" i="1"/>
  <c r="I5742" i="1"/>
  <c r="H5742" i="1"/>
  <c r="A5742" i="1"/>
  <c r="I5741" i="1"/>
  <c r="H5741" i="1"/>
  <c r="A5741" i="1"/>
  <c r="I5740" i="1"/>
  <c r="H5740" i="1"/>
  <c r="A5740" i="1"/>
  <c r="I5739" i="1"/>
  <c r="H5739" i="1"/>
  <c r="A5739" i="1"/>
  <c r="I5738" i="1"/>
  <c r="H5738" i="1"/>
  <c r="A5738" i="1"/>
  <c r="I5737" i="1"/>
  <c r="H5737" i="1"/>
  <c r="A5737" i="1"/>
  <c r="I5736" i="1"/>
  <c r="H5736" i="1"/>
  <c r="A5736" i="1"/>
  <c r="I5735" i="1"/>
  <c r="H5735" i="1"/>
  <c r="A5735" i="1"/>
  <c r="I5734" i="1"/>
  <c r="H5734" i="1"/>
  <c r="A5734" i="1"/>
  <c r="I5733" i="1"/>
  <c r="H5733" i="1"/>
  <c r="A5733" i="1"/>
  <c r="I5732" i="1"/>
  <c r="H5732" i="1"/>
  <c r="A5732" i="1"/>
  <c r="I5731" i="1"/>
  <c r="H5731" i="1"/>
  <c r="A5731" i="1"/>
  <c r="I5730" i="1"/>
  <c r="H5730" i="1"/>
  <c r="A5730" i="1"/>
  <c r="I5729" i="1"/>
  <c r="H5729" i="1"/>
  <c r="A5729" i="1"/>
  <c r="I5728" i="1"/>
  <c r="H5728" i="1"/>
  <c r="A5728" i="1"/>
  <c r="I5727" i="1"/>
  <c r="H5727" i="1"/>
  <c r="A5727" i="1"/>
  <c r="I5726" i="1"/>
  <c r="H5726" i="1"/>
  <c r="A5726" i="1"/>
  <c r="I5725" i="1"/>
  <c r="H5725" i="1"/>
  <c r="A5725" i="1"/>
  <c r="I5724" i="1"/>
  <c r="H5724" i="1"/>
  <c r="A5724" i="1"/>
  <c r="I5723" i="1"/>
  <c r="H5723" i="1"/>
  <c r="A5723" i="1"/>
  <c r="I5722" i="1"/>
  <c r="H5722" i="1"/>
  <c r="A5722" i="1"/>
  <c r="I5721" i="1"/>
  <c r="H5721" i="1"/>
  <c r="A5721" i="1"/>
  <c r="I5720" i="1"/>
  <c r="H5720" i="1"/>
  <c r="A5720" i="1"/>
  <c r="I5719" i="1"/>
  <c r="H5719" i="1"/>
  <c r="A5719" i="1"/>
  <c r="I5718" i="1"/>
  <c r="H5718" i="1"/>
  <c r="A5718" i="1"/>
  <c r="I5717" i="1"/>
  <c r="H5717" i="1"/>
  <c r="A5717" i="1"/>
  <c r="I5716" i="1"/>
  <c r="H5716" i="1"/>
  <c r="A5716" i="1"/>
  <c r="I5715" i="1"/>
  <c r="H5715" i="1"/>
  <c r="A5715" i="1"/>
  <c r="I5714" i="1"/>
  <c r="H5714" i="1"/>
  <c r="A5714" i="1"/>
  <c r="I5713" i="1"/>
  <c r="H5713" i="1"/>
  <c r="A5713" i="1"/>
  <c r="I5712" i="1"/>
  <c r="H5712" i="1"/>
  <c r="A5712" i="1"/>
  <c r="I5711" i="1"/>
  <c r="H5711" i="1"/>
  <c r="A5711" i="1"/>
  <c r="I5710" i="1"/>
  <c r="H5710" i="1"/>
  <c r="A5710" i="1"/>
  <c r="I5709" i="1"/>
  <c r="H5709" i="1"/>
  <c r="A5709" i="1"/>
  <c r="I5708" i="1"/>
  <c r="H5708" i="1"/>
  <c r="A5708" i="1"/>
  <c r="I5707" i="1"/>
  <c r="H5707" i="1"/>
  <c r="A5707" i="1"/>
  <c r="I5706" i="1"/>
  <c r="H5706" i="1"/>
  <c r="A5706" i="1"/>
  <c r="I5705" i="1"/>
  <c r="H5705" i="1"/>
  <c r="A5705" i="1"/>
  <c r="I5704" i="1"/>
  <c r="H5704" i="1"/>
  <c r="A5704" i="1"/>
  <c r="I5703" i="1"/>
  <c r="H5703" i="1"/>
  <c r="A5703" i="1"/>
  <c r="I5702" i="1"/>
  <c r="H5702" i="1"/>
  <c r="A5702" i="1"/>
  <c r="I5701" i="1"/>
  <c r="H5701" i="1"/>
  <c r="A5701" i="1"/>
  <c r="I5700" i="1"/>
  <c r="H5700" i="1"/>
  <c r="A5700" i="1"/>
  <c r="I5699" i="1"/>
  <c r="H5699" i="1"/>
  <c r="A5699" i="1"/>
  <c r="I5698" i="1"/>
  <c r="H5698" i="1"/>
  <c r="A5698" i="1"/>
  <c r="I5697" i="1"/>
  <c r="H5697" i="1"/>
  <c r="A5697" i="1"/>
  <c r="I5696" i="1"/>
  <c r="H5696" i="1"/>
  <c r="A5696" i="1"/>
  <c r="I5695" i="1"/>
  <c r="H5695" i="1"/>
  <c r="A5695" i="1"/>
  <c r="I5694" i="1"/>
  <c r="H5694" i="1"/>
  <c r="A5694" i="1"/>
  <c r="I5693" i="1"/>
  <c r="H5693" i="1"/>
  <c r="A5693" i="1"/>
  <c r="I5692" i="1"/>
  <c r="H5692" i="1"/>
  <c r="A5692" i="1"/>
  <c r="I5691" i="1"/>
  <c r="H5691" i="1"/>
  <c r="A5691" i="1"/>
  <c r="I5690" i="1"/>
  <c r="H5690" i="1"/>
  <c r="A5690" i="1"/>
  <c r="I5689" i="1"/>
  <c r="H5689" i="1"/>
  <c r="A5689" i="1"/>
  <c r="I5688" i="1"/>
  <c r="H5688" i="1"/>
  <c r="A5688" i="1"/>
  <c r="I5687" i="1"/>
  <c r="H5687" i="1"/>
  <c r="A5687" i="1"/>
  <c r="I5686" i="1"/>
  <c r="H5686" i="1"/>
  <c r="A5686" i="1"/>
  <c r="I5685" i="1"/>
  <c r="H5685" i="1"/>
  <c r="A5685" i="1"/>
  <c r="I5684" i="1"/>
  <c r="H5684" i="1"/>
  <c r="A5684" i="1"/>
  <c r="I5683" i="1"/>
  <c r="H5683" i="1"/>
  <c r="A5683" i="1"/>
  <c r="I5682" i="1"/>
  <c r="H5682" i="1"/>
  <c r="A5682" i="1"/>
  <c r="I5681" i="1"/>
  <c r="H5681" i="1"/>
  <c r="A5681" i="1"/>
  <c r="I5680" i="1"/>
  <c r="H5680" i="1"/>
  <c r="A5680" i="1"/>
  <c r="I5679" i="1"/>
  <c r="H5679" i="1"/>
  <c r="A5679" i="1"/>
  <c r="I5678" i="1"/>
  <c r="H5678" i="1"/>
  <c r="A5678" i="1"/>
  <c r="I5677" i="1"/>
  <c r="H5677" i="1"/>
  <c r="A5677" i="1"/>
  <c r="I5676" i="1"/>
  <c r="H5676" i="1"/>
  <c r="A5676" i="1"/>
  <c r="I5675" i="1"/>
  <c r="H5675" i="1"/>
  <c r="A5675" i="1"/>
  <c r="I5674" i="1"/>
  <c r="H5674" i="1"/>
  <c r="A5674" i="1"/>
  <c r="I5673" i="1"/>
  <c r="H5673" i="1"/>
  <c r="A5673" i="1"/>
  <c r="I5672" i="1"/>
  <c r="H5672" i="1"/>
  <c r="A5672" i="1"/>
  <c r="I5671" i="1"/>
  <c r="H5671" i="1"/>
  <c r="A5671" i="1"/>
  <c r="I5670" i="1"/>
  <c r="H5670" i="1"/>
  <c r="A5670" i="1"/>
  <c r="I5669" i="1"/>
  <c r="H5669" i="1"/>
  <c r="A5669" i="1"/>
  <c r="I5668" i="1"/>
  <c r="H5668" i="1"/>
  <c r="A5668" i="1"/>
  <c r="I5667" i="1"/>
  <c r="H5667" i="1"/>
  <c r="A5667" i="1"/>
  <c r="I5666" i="1"/>
  <c r="H5666" i="1"/>
  <c r="A5666" i="1"/>
  <c r="I5665" i="1"/>
  <c r="H5665" i="1"/>
  <c r="A5665" i="1"/>
  <c r="I5664" i="1"/>
  <c r="H5664" i="1"/>
  <c r="A5664" i="1"/>
  <c r="I5663" i="1"/>
  <c r="H5663" i="1"/>
  <c r="A5663" i="1"/>
  <c r="I5662" i="1"/>
  <c r="H5662" i="1"/>
  <c r="A5662" i="1"/>
  <c r="I5661" i="1"/>
  <c r="H5661" i="1"/>
  <c r="A5661" i="1"/>
  <c r="I5660" i="1"/>
  <c r="H5660" i="1"/>
  <c r="A5660" i="1"/>
  <c r="I5659" i="1"/>
  <c r="H5659" i="1"/>
  <c r="A5659" i="1"/>
  <c r="I5658" i="1"/>
  <c r="H5658" i="1"/>
  <c r="A5658" i="1"/>
  <c r="I5657" i="1"/>
  <c r="H5657" i="1"/>
  <c r="A5657" i="1"/>
  <c r="I5656" i="1"/>
  <c r="H5656" i="1"/>
  <c r="A5656" i="1"/>
  <c r="I5655" i="1"/>
  <c r="H5655" i="1"/>
  <c r="A5655" i="1"/>
  <c r="I5654" i="1"/>
  <c r="H5654" i="1"/>
  <c r="A5654" i="1"/>
  <c r="I5653" i="1"/>
  <c r="H5653" i="1"/>
  <c r="A5653" i="1"/>
  <c r="I5652" i="1"/>
  <c r="H5652" i="1"/>
  <c r="A5652" i="1"/>
  <c r="I5651" i="1"/>
  <c r="H5651" i="1"/>
  <c r="A5651" i="1"/>
  <c r="I5650" i="1"/>
  <c r="H5650" i="1"/>
  <c r="A5650" i="1"/>
  <c r="I5649" i="1"/>
  <c r="H5649" i="1"/>
  <c r="A5649" i="1"/>
  <c r="I5648" i="1"/>
  <c r="H5648" i="1"/>
  <c r="A5648" i="1"/>
  <c r="I5647" i="1"/>
  <c r="H5647" i="1"/>
  <c r="A5647" i="1"/>
  <c r="I5646" i="1"/>
  <c r="H5646" i="1"/>
  <c r="A5646" i="1"/>
  <c r="I5645" i="1"/>
  <c r="H5645" i="1"/>
  <c r="A5645" i="1"/>
  <c r="I5644" i="1"/>
  <c r="H5644" i="1"/>
  <c r="A5644" i="1"/>
  <c r="I5643" i="1"/>
  <c r="H5643" i="1"/>
  <c r="A5643" i="1"/>
  <c r="I5642" i="1"/>
  <c r="H5642" i="1"/>
  <c r="A5642" i="1"/>
  <c r="I5641" i="1"/>
  <c r="H5641" i="1"/>
  <c r="A5641" i="1"/>
  <c r="I5640" i="1"/>
  <c r="H5640" i="1"/>
  <c r="A5640" i="1"/>
  <c r="I5639" i="1"/>
  <c r="H5639" i="1"/>
  <c r="A5639" i="1"/>
  <c r="I5638" i="1"/>
  <c r="H5638" i="1"/>
  <c r="A5638" i="1"/>
  <c r="I5637" i="1"/>
  <c r="H5637" i="1"/>
  <c r="A5637" i="1"/>
  <c r="I5636" i="1"/>
  <c r="H5636" i="1"/>
  <c r="A5636" i="1"/>
  <c r="I5635" i="1"/>
  <c r="H5635" i="1"/>
  <c r="A5635" i="1"/>
  <c r="I5634" i="1"/>
  <c r="H5634" i="1"/>
  <c r="A5634" i="1"/>
  <c r="I5633" i="1"/>
  <c r="H5633" i="1"/>
  <c r="A5633" i="1"/>
  <c r="I5632" i="1"/>
  <c r="H5632" i="1"/>
  <c r="A5632" i="1"/>
  <c r="I5631" i="1"/>
  <c r="H5631" i="1"/>
  <c r="A5631" i="1"/>
  <c r="I5630" i="1"/>
  <c r="H5630" i="1"/>
  <c r="A5630" i="1"/>
  <c r="I5629" i="1"/>
  <c r="H5629" i="1"/>
  <c r="A5629" i="1"/>
  <c r="I5628" i="1"/>
  <c r="H5628" i="1"/>
  <c r="A5628" i="1"/>
  <c r="I5627" i="1"/>
  <c r="H5627" i="1"/>
  <c r="A5627" i="1"/>
  <c r="I5626" i="1"/>
  <c r="H5626" i="1"/>
  <c r="A5626" i="1"/>
  <c r="I5625" i="1"/>
  <c r="H5625" i="1"/>
  <c r="A5625" i="1"/>
  <c r="I5624" i="1"/>
  <c r="H5624" i="1"/>
  <c r="A5624" i="1"/>
  <c r="I5623" i="1"/>
  <c r="H5623" i="1"/>
  <c r="A5623" i="1"/>
  <c r="I5622" i="1"/>
  <c r="H5622" i="1"/>
  <c r="A5622" i="1"/>
  <c r="I5621" i="1"/>
  <c r="H5621" i="1"/>
  <c r="A5621" i="1"/>
  <c r="I5620" i="1"/>
  <c r="H5620" i="1"/>
  <c r="A5620" i="1"/>
  <c r="I5619" i="1"/>
  <c r="H5619" i="1"/>
  <c r="A5619" i="1"/>
  <c r="I5618" i="1"/>
  <c r="H5618" i="1"/>
  <c r="A5618" i="1"/>
  <c r="I5617" i="1"/>
  <c r="H5617" i="1"/>
  <c r="A5617" i="1"/>
  <c r="I5616" i="1"/>
  <c r="H5616" i="1"/>
  <c r="A5616" i="1"/>
  <c r="I5615" i="1"/>
  <c r="H5615" i="1"/>
  <c r="A5615" i="1"/>
  <c r="I5614" i="1"/>
  <c r="H5614" i="1"/>
  <c r="A5614" i="1"/>
  <c r="I5613" i="1"/>
  <c r="H5613" i="1"/>
  <c r="A5613" i="1"/>
  <c r="I5612" i="1"/>
  <c r="H5612" i="1"/>
  <c r="A5612" i="1"/>
  <c r="I5611" i="1"/>
  <c r="H5611" i="1"/>
  <c r="A5611" i="1"/>
  <c r="I5610" i="1"/>
  <c r="H5610" i="1"/>
  <c r="A5610" i="1"/>
  <c r="I5609" i="1"/>
  <c r="H5609" i="1"/>
  <c r="A5609" i="1"/>
  <c r="I5608" i="1"/>
  <c r="H5608" i="1"/>
  <c r="A5608" i="1"/>
  <c r="I5607" i="1"/>
  <c r="H5607" i="1"/>
  <c r="A5607" i="1"/>
  <c r="I5606" i="1"/>
  <c r="H5606" i="1"/>
  <c r="A5606" i="1"/>
  <c r="I5605" i="1"/>
  <c r="H5605" i="1"/>
  <c r="A5605" i="1"/>
  <c r="I5604" i="1"/>
  <c r="H5604" i="1"/>
  <c r="A5604" i="1"/>
  <c r="I5603" i="1"/>
  <c r="H5603" i="1"/>
  <c r="A5603" i="1"/>
  <c r="I5602" i="1"/>
  <c r="H5602" i="1"/>
  <c r="A5602" i="1"/>
  <c r="I5601" i="1"/>
  <c r="H5601" i="1"/>
  <c r="A5601" i="1"/>
  <c r="I5600" i="1"/>
  <c r="H5600" i="1"/>
  <c r="A5600" i="1"/>
  <c r="I5599" i="1"/>
  <c r="H5599" i="1"/>
  <c r="A5599" i="1"/>
  <c r="I5598" i="1"/>
  <c r="H5598" i="1"/>
  <c r="A5598" i="1"/>
  <c r="I5597" i="1"/>
  <c r="H5597" i="1"/>
  <c r="A5597" i="1"/>
  <c r="I5596" i="1"/>
  <c r="H5596" i="1"/>
  <c r="A5596" i="1"/>
  <c r="I5595" i="1"/>
  <c r="H5595" i="1"/>
  <c r="A5595" i="1"/>
  <c r="I5594" i="1"/>
  <c r="H5594" i="1"/>
  <c r="A5594" i="1"/>
  <c r="I5593" i="1"/>
  <c r="H5593" i="1"/>
  <c r="A5593" i="1"/>
  <c r="I5592" i="1"/>
  <c r="H5592" i="1"/>
  <c r="A5592" i="1"/>
  <c r="I5591" i="1"/>
  <c r="H5591" i="1"/>
  <c r="A5591" i="1"/>
  <c r="I5590" i="1"/>
  <c r="H5590" i="1"/>
  <c r="A5590" i="1"/>
  <c r="I5589" i="1"/>
  <c r="H5589" i="1"/>
  <c r="A5589" i="1"/>
  <c r="I5588" i="1"/>
  <c r="H5588" i="1"/>
  <c r="A5588" i="1"/>
  <c r="I5587" i="1"/>
  <c r="H5587" i="1"/>
  <c r="A5587" i="1"/>
  <c r="I5586" i="1"/>
  <c r="H5586" i="1"/>
  <c r="A5586" i="1"/>
  <c r="I5585" i="1"/>
  <c r="H5585" i="1"/>
  <c r="A5585" i="1"/>
  <c r="I5584" i="1"/>
  <c r="H5584" i="1"/>
  <c r="A5584" i="1"/>
  <c r="I5583" i="1"/>
  <c r="H5583" i="1"/>
  <c r="A5583" i="1"/>
  <c r="I5582" i="1"/>
  <c r="H5582" i="1"/>
  <c r="A5582" i="1"/>
  <c r="I5581" i="1"/>
  <c r="H5581" i="1"/>
  <c r="A5581" i="1"/>
  <c r="I5580" i="1"/>
  <c r="H5580" i="1"/>
  <c r="A5580" i="1"/>
  <c r="I5579" i="1"/>
  <c r="H5579" i="1"/>
  <c r="A5579" i="1"/>
  <c r="I5578" i="1"/>
  <c r="H5578" i="1"/>
  <c r="A5578" i="1"/>
  <c r="I5577" i="1"/>
  <c r="H5577" i="1"/>
  <c r="A5577" i="1"/>
  <c r="I5576" i="1"/>
  <c r="H5576" i="1"/>
  <c r="A5576" i="1"/>
  <c r="I5575" i="1"/>
  <c r="H5575" i="1"/>
  <c r="A5575" i="1"/>
  <c r="I5574" i="1"/>
  <c r="H5574" i="1"/>
  <c r="A5574" i="1"/>
  <c r="I5573" i="1"/>
  <c r="H5573" i="1"/>
  <c r="A5573" i="1"/>
  <c r="I5572" i="1"/>
  <c r="H5572" i="1"/>
  <c r="A5572" i="1"/>
  <c r="I5571" i="1"/>
  <c r="H5571" i="1"/>
  <c r="A5571" i="1"/>
  <c r="I5570" i="1"/>
  <c r="H5570" i="1"/>
  <c r="A5570" i="1"/>
  <c r="I5569" i="1"/>
  <c r="H5569" i="1"/>
  <c r="A5569" i="1"/>
  <c r="I5568" i="1"/>
  <c r="H5568" i="1"/>
  <c r="A5568" i="1"/>
  <c r="I5567" i="1"/>
  <c r="H5567" i="1"/>
  <c r="A5567" i="1"/>
  <c r="I5566" i="1"/>
  <c r="H5566" i="1"/>
  <c r="A5566" i="1"/>
  <c r="I5565" i="1"/>
  <c r="H5565" i="1"/>
  <c r="A5565" i="1"/>
  <c r="I5564" i="1"/>
  <c r="H5564" i="1"/>
  <c r="A5564" i="1"/>
  <c r="I5563" i="1"/>
  <c r="H5563" i="1"/>
  <c r="A5563" i="1"/>
  <c r="I5562" i="1"/>
  <c r="H5562" i="1"/>
  <c r="A5562" i="1"/>
  <c r="I5561" i="1"/>
  <c r="H5561" i="1"/>
  <c r="A5561" i="1"/>
  <c r="I5560" i="1"/>
  <c r="H5560" i="1"/>
  <c r="A5560" i="1"/>
  <c r="I5559" i="1"/>
  <c r="H5559" i="1"/>
  <c r="A5559" i="1"/>
  <c r="I5558" i="1"/>
  <c r="H5558" i="1"/>
  <c r="A5558" i="1"/>
  <c r="I5557" i="1"/>
  <c r="H5557" i="1"/>
  <c r="A5557" i="1"/>
  <c r="I5556" i="1"/>
  <c r="H5556" i="1"/>
  <c r="A5556" i="1"/>
  <c r="I5555" i="1"/>
  <c r="H5555" i="1"/>
  <c r="A5555" i="1"/>
  <c r="I5554" i="1"/>
  <c r="H5554" i="1"/>
  <c r="A5554" i="1"/>
  <c r="I5553" i="1"/>
  <c r="H5553" i="1"/>
  <c r="A5553" i="1"/>
  <c r="I5552" i="1"/>
  <c r="H5552" i="1"/>
  <c r="A5552" i="1"/>
  <c r="I5551" i="1"/>
  <c r="H5551" i="1"/>
  <c r="A5551" i="1"/>
  <c r="I5550" i="1"/>
  <c r="H5550" i="1"/>
  <c r="A5550" i="1"/>
  <c r="I5549" i="1"/>
  <c r="H5549" i="1"/>
  <c r="A5549" i="1"/>
  <c r="I5548" i="1"/>
  <c r="H5548" i="1"/>
  <c r="A5548" i="1"/>
  <c r="I5547" i="1"/>
  <c r="H5547" i="1"/>
  <c r="A5547" i="1"/>
  <c r="I5546" i="1"/>
  <c r="H5546" i="1"/>
  <c r="A5546" i="1"/>
  <c r="I5545" i="1"/>
  <c r="H5545" i="1"/>
  <c r="A5545" i="1"/>
  <c r="I5544" i="1"/>
  <c r="H5544" i="1"/>
  <c r="A5544" i="1"/>
  <c r="I5543" i="1"/>
  <c r="H5543" i="1"/>
  <c r="A5543" i="1"/>
  <c r="I5542" i="1"/>
  <c r="H5542" i="1"/>
  <c r="A5542" i="1"/>
  <c r="I5541" i="1"/>
  <c r="H5541" i="1"/>
  <c r="A5541" i="1"/>
  <c r="I5540" i="1"/>
  <c r="H5540" i="1"/>
  <c r="A5540" i="1"/>
  <c r="I5539" i="1"/>
  <c r="H5539" i="1"/>
  <c r="A5539" i="1"/>
  <c r="I5538" i="1"/>
  <c r="H5538" i="1"/>
  <c r="A5538" i="1"/>
  <c r="I5537" i="1"/>
  <c r="H5537" i="1"/>
  <c r="A5537" i="1"/>
  <c r="I5536" i="1"/>
  <c r="H5536" i="1"/>
  <c r="A5536" i="1"/>
  <c r="I5535" i="1"/>
  <c r="H5535" i="1"/>
  <c r="A5535" i="1"/>
  <c r="I5534" i="1"/>
  <c r="H5534" i="1"/>
  <c r="A5534" i="1"/>
  <c r="I5533" i="1"/>
  <c r="H5533" i="1"/>
  <c r="A5533" i="1"/>
  <c r="I5532" i="1"/>
  <c r="H5532" i="1"/>
  <c r="A5532" i="1"/>
  <c r="I5531" i="1"/>
  <c r="H5531" i="1"/>
  <c r="A5531" i="1"/>
  <c r="I5530" i="1"/>
  <c r="H5530" i="1"/>
  <c r="A5530" i="1"/>
  <c r="I5529" i="1"/>
  <c r="H5529" i="1"/>
  <c r="A5529" i="1"/>
  <c r="I5528" i="1"/>
  <c r="H5528" i="1"/>
  <c r="A5528" i="1"/>
  <c r="I5527" i="1"/>
  <c r="H5527" i="1"/>
  <c r="A5527" i="1"/>
  <c r="I5526" i="1"/>
  <c r="H5526" i="1"/>
  <c r="A5526" i="1"/>
  <c r="I5525" i="1"/>
  <c r="H5525" i="1"/>
  <c r="A5525" i="1"/>
  <c r="I5524" i="1"/>
  <c r="H5524" i="1"/>
  <c r="A5524" i="1"/>
  <c r="I5523" i="1"/>
  <c r="H5523" i="1"/>
  <c r="A5523" i="1"/>
  <c r="I5522" i="1"/>
  <c r="H5522" i="1"/>
  <c r="A5522" i="1"/>
  <c r="I5521" i="1"/>
  <c r="H5521" i="1"/>
  <c r="A5521" i="1"/>
  <c r="I5520" i="1"/>
  <c r="H5520" i="1"/>
  <c r="A5520" i="1"/>
  <c r="I5519" i="1"/>
  <c r="H5519" i="1"/>
  <c r="A5519" i="1"/>
  <c r="I5518" i="1"/>
  <c r="H5518" i="1"/>
  <c r="A5518" i="1"/>
  <c r="I5517" i="1"/>
  <c r="H5517" i="1"/>
  <c r="A5517" i="1"/>
  <c r="I5516" i="1"/>
  <c r="H5516" i="1"/>
  <c r="A5516" i="1"/>
  <c r="I5515" i="1"/>
  <c r="H5515" i="1"/>
  <c r="A5515" i="1"/>
  <c r="I5514" i="1"/>
  <c r="H5514" i="1"/>
  <c r="A5514" i="1"/>
  <c r="I5513" i="1"/>
  <c r="H5513" i="1"/>
  <c r="A5513" i="1"/>
  <c r="I5512" i="1"/>
  <c r="H5512" i="1"/>
  <c r="A5512" i="1"/>
  <c r="I5511" i="1"/>
  <c r="H5511" i="1"/>
  <c r="A5511" i="1"/>
  <c r="I5510" i="1"/>
  <c r="H5510" i="1"/>
  <c r="A5510" i="1"/>
  <c r="I5509" i="1"/>
  <c r="H5509" i="1"/>
  <c r="A5509" i="1"/>
  <c r="I5508" i="1"/>
  <c r="H5508" i="1"/>
  <c r="A5508" i="1"/>
  <c r="I5507" i="1"/>
  <c r="H5507" i="1"/>
  <c r="A5507" i="1"/>
  <c r="I5506" i="1"/>
  <c r="H5506" i="1"/>
  <c r="A5506" i="1"/>
  <c r="I5505" i="1"/>
  <c r="H5505" i="1"/>
  <c r="A5505" i="1"/>
  <c r="I5504" i="1"/>
  <c r="H5504" i="1"/>
  <c r="A5504" i="1"/>
  <c r="I5503" i="1"/>
  <c r="H5503" i="1"/>
  <c r="A5503" i="1"/>
  <c r="I5502" i="1"/>
  <c r="H5502" i="1"/>
  <c r="A5502" i="1"/>
  <c r="I5501" i="1"/>
  <c r="H5501" i="1"/>
  <c r="A5501" i="1"/>
  <c r="I5500" i="1"/>
  <c r="H5500" i="1"/>
  <c r="A5500" i="1"/>
  <c r="I5499" i="1"/>
  <c r="H5499" i="1"/>
  <c r="A5499" i="1"/>
  <c r="I5498" i="1"/>
  <c r="H5498" i="1"/>
  <c r="A5498" i="1"/>
  <c r="I5497" i="1"/>
  <c r="H5497" i="1"/>
  <c r="A5497" i="1"/>
  <c r="I5496" i="1"/>
  <c r="H5496" i="1"/>
  <c r="A5496" i="1"/>
  <c r="I5495" i="1"/>
  <c r="H5495" i="1"/>
  <c r="A5495" i="1"/>
  <c r="I5494" i="1"/>
  <c r="H5494" i="1"/>
  <c r="A5494" i="1"/>
  <c r="I5493" i="1"/>
  <c r="H5493" i="1"/>
  <c r="A5493" i="1"/>
  <c r="I5492" i="1"/>
  <c r="H5492" i="1"/>
  <c r="A5492" i="1"/>
  <c r="I5491" i="1"/>
  <c r="H5491" i="1"/>
  <c r="A5491" i="1"/>
  <c r="I5490" i="1"/>
  <c r="H5490" i="1"/>
  <c r="A5490" i="1"/>
  <c r="I5489" i="1"/>
  <c r="H5489" i="1"/>
  <c r="A5489" i="1"/>
  <c r="I5488" i="1"/>
  <c r="H5488" i="1"/>
  <c r="A5488" i="1"/>
  <c r="I5487" i="1"/>
  <c r="H5487" i="1"/>
  <c r="A5487" i="1"/>
  <c r="I5486" i="1"/>
  <c r="H5486" i="1"/>
  <c r="A5486" i="1"/>
  <c r="I5485" i="1"/>
  <c r="H5485" i="1"/>
  <c r="A5485" i="1"/>
  <c r="I5484" i="1"/>
  <c r="H5484" i="1"/>
  <c r="A5484" i="1"/>
  <c r="I5483" i="1"/>
  <c r="H5483" i="1"/>
  <c r="A5483" i="1"/>
  <c r="I5482" i="1"/>
  <c r="H5482" i="1"/>
  <c r="A5482" i="1"/>
  <c r="I5481" i="1"/>
  <c r="H5481" i="1"/>
  <c r="A5481" i="1"/>
  <c r="I5480" i="1"/>
  <c r="H5480" i="1"/>
  <c r="A5480" i="1"/>
  <c r="I5479" i="1"/>
  <c r="H5479" i="1"/>
  <c r="A5479" i="1"/>
  <c r="I5478" i="1"/>
  <c r="H5478" i="1"/>
  <c r="A5478" i="1"/>
  <c r="I5477" i="1"/>
  <c r="H5477" i="1"/>
  <c r="A5477" i="1"/>
  <c r="I5476" i="1"/>
  <c r="H5476" i="1"/>
  <c r="A5476" i="1"/>
  <c r="I5475" i="1"/>
  <c r="H5475" i="1"/>
  <c r="A5475" i="1"/>
  <c r="I5474" i="1"/>
  <c r="H5474" i="1"/>
  <c r="A5474" i="1"/>
  <c r="I5473" i="1"/>
  <c r="H5473" i="1"/>
  <c r="A5473" i="1"/>
  <c r="I5472" i="1"/>
  <c r="H5472" i="1"/>
  <c r="A5472" i="1"/>
  <c r="I5471" i="1"/>
  <c r="H5471" i="1"/>
  <c r="A5471" i="1"/>
  <c r="I5470" i="1"/>
  <c r="H5470" i="1"/>
  <c r="A5470" i="1"/>
  <c r="I5469" i="1"/>
  <c r="H5469" i="1"/>
  <c r="A5469" i="1"/>
  <c r="I5468" i="1"/>
  <c r="H5468" i="1"/>
  <c r="A5468" i="1"/>
  <c r="I5467" i="1"/>
  <c r="H5467" i="1"/>
  <c r="A5467" i="1"/>
  <c r="I5466" i="1"/>
  <c r="H5466" i="1"/>
  <c r="A5466" i="1"/>
  <c r="I5465" i="1"/>
  <c r="H5465" i="1"/>
  <c r="A5465" i="1"/>
  <c r="I5464" i="1"/>
  <c r="H5464" i="1"/>
  <c r="A5464" i="1"/>
  <c r="I5463" i="1"/>
  <c r="H5463" i="1"/>
  <c r="A5463" i="1"/>
  <c r="I5462" i="1"/>
  <c r="H5462" i="1"/>
  <c r="A5462" i="1"/>
  <c r="I5461" i="1"/>
  <c r="H5461" i="1"/>
  <c r="A5461" i="1"/>
  <c r="I5460" i="1"/>
  <c r="H5460" i="1"/>
  <c r="A5460" i="1"/>
  <c r="I5459" i="1"/>
  <c r="H5459" i="1"/>
  <c r="A5459" i="1"/>
  <c r="I5458" i="1"/>
  <c r="H5458" i="1"/>
  <c r="A5458" i="1"/>
  <c r="I5457" i="1"/>
  <c r="H5457" i="1"/>
  <c r="A5457" i="1"/>
  <c r="I5456" i="1"/>
  <c r="H5456" i="1"/>
  <c r="A5456" i="1"/>
  <c r="I5455" i="1"/>
  <c r="H5455" i="1"/>
  <c r="A5455" i="1"/>
  <c r="I5454" i="1"/>
  <c r="H5454" i="1"/>
  <c r="A5454" i="1"/>
  <c r="I5453" i="1"/>
  <c r="H5453" i="1"/>
  <c r="A5453" i="1"/>
  <c r="I5452" i="1"/>
  <c r="H5452" i="1"/>
  <c r="A5452" i="1"/>
  <c r="I5451" i="1"/>
  <c r="H5451" i="1"/>
  <c r="A5451" i="1"/>
  <c r="I5450" i="1"/>
  <c r="H5450" i="1"/>
  <c r="A5450" i="1"/>
  <c r="I5449" i="1"/>
  <c r="H5449" i="1"/>
  <c r="A5449" i="1"/>
  <c r="I5448" i="1"/>
  <c r="H5448" i="1"/>
  <c r="A5448" i="1"/>
  <c r="I5447" i="1"/>
  <c r="H5447" i="1"/>
  <c r="A5447" i="1"/>
  <c r="I5446" i="1"/>
  <c r="H5446" i="1"/>
  <c r="A5446" i="1"/>
  <c r="I5445" i="1"/>
  <c r="H5445" i="1"/>
  <c r="A5445" i="1"/>
  <c r="I5444" i="1"/>
  <c r="H5444" i="1"/>
  <c r="A5444" i="1"/>
  <c r="I5443" i="1"/>
  <c r="H5443" i="1"/>
  <c r="A5443" i="1"/>
  <c r="I5442" i="1"/>
  <c r="H5442" i="1"/>
  <c r="A5442" i="1"/>
  <c r="I5441" i="1"/>
  <c r="H5441" i="1"/>
  <c r="A5441" i="1"/>
  <c r="I5440" i="1"/>
  <c r="H5440" i="1"/>
  <c r="A5440" i="1"/>
  <c r="I5439" i="1"/>
  <c r="H5439" i="1"/>
  <c r="A5439" i="1"/>
  <c r="I5438" i="1"/>
  <c r="H5438" i="1"/>
  <c r="A5438" i="1"/>
  <c r="I5437" i="1"/>
  <c r="H5437" i="1"/>
  <c r="A5437" i="1"/>
  <c r="I5436" i="1"/>
  <c r="H5436" i="1"/>
  <c r="A5436" i="1"/>
  <c r="I5435" i="1"/>
  <c r="H5435" i="1"/>
  <c r="A5435" i="1"/>
  <c r="I5434" i="1"/>
  <c r="H5434" i="1"/>
  <c r="A5434" i="1"/>
  <c r="I5433" i="1"/>
  <c r="H5433" i="1"/>
  <c r="A5433" i="1"/>
  <c r="I5432" i="1"/>
  <c r="H5432" i="1"/>
  <c r="A5432" i="1"/>
  <c r="I5431" i="1"/>
  <c r="H5431" i="1"/>
  <c r="A5431" i="1"/>
  <c r="I5430" i="1"/>
  <c r="H5430" i="1"/>
  <c r="A5430" i="1"/>
  <c r="I5429" i="1"/>
  <c r="H5429" i="1"/>
  <c r="A5429" i="1"/>
  <c r="I5428" i="1"/>
  <c r="H5428" i="1"/>
  <c r="A5428" i="1"/>
  <c r="I5427" i="1"/>
  <c r="H5427" i="1"/>
  <c r="A5427" i="1"/>
  <c r="I5426" i="1"/>
  <c r="H5426" i="1"/>
  <c r="A5426" i="1"/>
  <c r="I5425" i="1"/>
  <c r="H5425" i="1"/>
  <c r="A5425" i="1"/>
  <c r="I5424" i="1"/>
  <c r="H5424" i="1"/>
  <c r="A5424" i="1"/>
  <c r="I5423" i="1"/>
  <c r="H5423" i="1"/>
  <c r="A5423" i="1"/>
  <c r="I5422" i="1"/>
  <c r="H5422" i="1"/>
  <c r="A5422" i="1"/>
  <c r="I5421" i="1"/>
  <c r="H5421" i="1"/>
  <c r="A5421" i="1"/>
  <c r="I5420" i="1"/>
  <c r="H5420" i="1"/>
  <c r="A5420" i="1"/>
  <c r="I5419" i="1"/>
  <c r="H5419" i="1"/>
  <c r="A5419" i="1"/>
  <c r="I5418" i="1"/>
  <c r="H5418" i="1"/>
  <c r="A5418" i="1"/>
  <c r="I5417" i="1"/>
  <c r="H5417" i="1"/>
  <c r="A5417" i="1"/>
  <c r="I5416" i="1"/>
  <c r="H5416" i="1"/>
  <c r="A5416" i="1"/>
  <c r="I5415" i="1"/>
  <c r="H5415" i="1"/>
  <c r="A5415" i="1"/>
  <c r="I5414" i="1"/>
  <c r="H5414" i="1"/>
  <c r="A5414" i="1"/>
  <c r="I5413" i="1"/>
  <c r="H5413" i="1"/>
  <c r="A5413" i="1"/>
  <c r="I5412" i="1"/>
  <c r="H5412" i="1"/>
  <c r="A5412" i="1"/>
  <c r="I5411" i="1"/>
  <c r="H5411" i="1"/>
  <c r="A5411" i="1"/>
  <c r="I5410" i="1"/>
  <c r="H5410" i="1"/>
  <c r="A5410" i="1"/>
  <c r="I5409" i="1"/>
  <c r="H5409" i="1"/>
  <c r="A5409" i="1"/>
  <c r="I5408" i="1"/>
  <c r="H5408" i="1"/>
  <c r="A5408" i="1"/>
  <c r="I5407" i="1"/>
  <c r="H5407" i="1"/>
  <c r="A5407" i="1"/>
  <c r="I5406" i="1"/>
  <c r="H5406" i="1"/>
  <c r="A5406" i="1"/>
  <c r="I5405" i="1"/>
  <c r="H5405" i="1"/>
  <c r="A5405" i="1"/>
  <c r="I5404" i="1"/>
  <c r="H5404" i="1"/>
  <c r="A5404" i="1"/>
  <c r="I5403" i="1"/>
  <c r="H5403" i="1"/>
  <c r="A5403" i="1"/>
  <c r="I5402" i="1"/>
  <c r="H5402" i="1"/>
  <c r="A5402" i="1"/>
  <c r="I5401" i="1"/>
  <c r="H5401" i="1"/>
  <c r="A5401" i="1"/>
  <c r="I5400" i="1"/>
  <c r="H5400" i="1"/>
  <c r="A5400" i="1"/>
  <c r="I5399" i="1"/>
  <c r="H5399" i="1"/>
  <c r="A5399" i="1"/>
  <c r="I5398" i="1"/>
  <c r="H5398" i="1"/>
  <c r="A5398" i="1"/>
  <c r="I5397" i="1"/>
  <c r="H5397" i="1"/>
  <c r="A5397" i="1"/>
  <c r="I5396" i="1"/>
  <c r="H5396" i="1"/>
  <c r="A5396" i="1"/>
  <c r="I5395" i="1"/>
  <c r="H5395" i="1"/>
  <c r="A5395" i="1"/>
  <c r="I5394" i="1"/>
  <c r="H5394" i="1"/>
  <c r="A5394" i="1"/>
  <c r="I5393" i="1"/>
  <c r="H5393" i="1"/>
  <c r="A5393" i="1"/>
  <c r="I5392" i="1"/>
  <c r="H5392" i="1"/>
  <c r="A5392" i="1"/>
  <c r="I5391" i="1"/>
  <c r="H5391" i="1"/>
  <c r="A5391" i="1"/>
  <c r="I5390" i="1"/>
  <c r="H5390" i="1"/>
  <c r="A5390" i="1"/>
  <c r="I5389" i="1"/>
  <c r="H5389" i="1"/>
  <c r="A5389" i="1"/>
  <c r="I5388" i="1"/>
  <c r="H5388" i="1"/>
  <c r="A5388" i="1"/>
  <c r="I5387" i="1"/>
  <c r="H5387" i="1"/>
  <c r="A5387" i="1"/>
  <c r="I5386" i="1"/>
  <c r="H5386" i="1"/>
  <c r="A5386" i="1"/>
  <c r="I5385" i="1"/>
  <c r="H5385" i="1"/>
  <c r="A5385" i="1"/>
  <c r="I5384" i="1"/>
  <c r="H5384" i="1"/>
  <c r="A5384" i="1"/>
  <c r="I5383" i="1"/>
  <c r="H5383" i="1"/>
  <c r="A5383" i="1"/>
  <c r="I5382" i="1"/>
  <c r="H5382" i="1"/>
  <c r="A5382" i="1"/>
  <c r="I5381" i="1"/>
  <c r="H5381" i="1"/>
  <c r="A5381" i="1"/>
  <c r="I5380" i="1"/>
  <c r="H5380" i="1"/>
  <c r="A5380" i="1"/>
  <c r="I5379" i="1"/>
  <c r="H5379" i="1"/>
  <c r="A5379" i="1"/>
  <c r="I5378" i="1"/>
  <c r="H5378" i="1"/>
  <c r="A5378" i="1"/>
  <c r="I5377" i="1"/>
  <c r="H5377" i="1"/>
  <c r="A5377" i="1"/>
  <c r="I5376" i="1"/>
  <c r="H5376" i="1"/>
  <c r="A5376" i="1"/>
  <c r="I5375" i="1"/>
  <c r="H5375" i="1"/>
  <c r="A5375" i="1"/>
  <c r="I5374" i="1"/>
  <c r="H5374" i="1"/>
  <c r="A5374" i="1"/>
  <c r="I5373" i="1"/>
  <c r="H5373" i="1"/>
  <c r="A5373" i="1"/>
  <c r="I5372" i="1"/>
  <c r="H5372" i="1"/>
  <c r="A5372" i="1"/>
  <c r="I5371" i="1"/>
  <c r="H5371" i="1"/>
  <c r="A5371" i="1"/>
  <c r="I5370" i="1"/>
  <c r="H5370" i="1"/>
  <c r="A5370" i="1"/>
  <c r="I5369" i="1"/>
  <c r="H5369" i="1"/>
  <c r="A5369" i="1"/>
  <c r="I5368" i="1"/>
  <c r="H5368" i="1"/>
  <c r="A5368" i="1"/>
  <c r="I5367" i="1"/>
  <c r="H5367" i="1"/>
  <c r="A5367" i="1"/>
  <c r="I5366" i="1"/>
  <c r="H5366" i="1"/>
  <c r="A5366" i="1"/>
  <c r="I5365" i="1"/>
  <c r="H5365" i="1"/>
  <c r="A5365" i="1"/>
  <c r="I5364" i="1"/>
  <c r="H5364" i="1"/>
  <c r="A5364" i="1"/>
  <c r="I5363" i="1"/>
  <c r="H5363" i="1"/>
  <c r="A5363" i="1"/>
  <c r="I5362" i="1"/>
  <c r="H5362" i="1"/>
  <c r="A5362" i="1"/>
  <c r="I5361" i="1"/>
  <c r="H5361" i="1"/>
  <c r="A5361" i="1"/>
  <c r="I5360" i="1"/>
  <c r="H5360" i="1"/>
  <c r="A5360" i="1"/>
  <c r="I5359" i="1"/>
  <c r="H5359" i="1"/>
  <c r="A5359" i="1"/>
  <c r="I5358" i="1"/>
  <c r="H5358" i="1"/>
  <c r="A5358" i="1"/>
  <c r="I5357" i="1"/>
  <c r="H5357" i="1"/>
  <c r="A5357" i="1"/>
  <c r="I5356" i="1"/>
  <c r="H5356" i="1"/>
  <c r="A5356" i="1"/>
  <c r="I5355" i="1"/>
  <c r="H5355" i="1"/>
  <c r="A5355" i="1"/>
  <c r="I5354" i="1"/>
  <c r="H5354" i="1"/>
  <c r="A5354" i="1"/>
  <c r="I5353" i="1"/>
  <c r="H5353" i="1"/>
  <c r="A5353" i="1"/>
  <c r="I5352" i="1"/>
  <c r="H5352" i="1"/>
  <c r="A5352" i="1"/>
  <c r="I5351" i="1"/>
  <c r="H5351" i="1"/>
  <c r="A5351" i="1"/>
  <c r="I5350" i="1"/>
  <c r="H5350" i="1"/>
  <c r="A5350" i="1"/>
  <c r="I5349" i="1"/>
  <c r="H5349" i="1"/>
  <c r="A5349" i="1"/>
  <c r="I5348" i="1"/>
  <c r="H5348" i="1"/>
  <c r="A5348" i="1"/>
  <c r="I5347" i="1"/>
  <c r="H5347" i="1"/>
  <c r="A5347" i="1"/>
  <c r="I5346" i="1"/>
  <c r="H5346" i="1"/>
  <c r="A5346" i="1"/>
  <c r="I5345" i="1"/>
  <c r="H5345" i="1"/>
  <c r="A5345" i="1"/>
  <c r="I5344" i="1"/>
  <c r="H5344" i="1"/>
  <c r="A5344" i="1"/>
  <c r="I5343" i="1"/>
  <c r="H5343" i="1"/>
  <c r="A5343" i="1"/>
  <c r="I5342" i="1"/>
  <c r="H5342" i="1"/>
  <c r="A5342" i="1"/>
  <c r="I5341" i="1"/>
  <c r="H5341" i="1"/>
  <c r="A5341" i="1"/>
  <c r="I5340" i="1"/>
  <c r="H5340" i="1"/>
  <c r="A5340" i="1"/>
  <c r="I5339" i="1"/>
  <c r="H5339" i="1"/>
  <c r="A5339" i="1"/>
  <c r="I5338" i="1"/>
  <c r="H5338" i="1"/>
  <c r="A5338" i="1"/>
  <c r="I5337" i="1"/>
  <c r="H5337" i="1"/>
  <c r="A5337" i="1"/>
  <c r="I5336" i="1"/>
  <c r="H5336" i="1"/>
  <c r="A5336" i="1"/>
  <c r="I5335" i="1"/>
  <c r="H5335" i="1"/>
  <c r="A5335" i="1"/>
  <c r="I5334" i="1"/>
  <c r="H5334" i="1"/>
  <c r="A5334" i="1"/>
  <c r="I5333" i="1"/>
  <c r="H5333" i="1"/>
  <c r="A5333" i="1"/>
  <c r="I5332" i="1"/>
  <c r="H5332" i="1"/>
  <c r="A5332" i="1"/>
  <c r="I5331" i="1"/>
  <c r="H5331" i="1"/>
  <c r="A5331" i="1"/>
  <c r="I5330" i="1"/>
  <c r="H5330" i="1"/>
  <c r="A5330" i="1"/>
  <c r="I5329" i="1"/>
  <c r="H5329" i="1"/>
  <c r="A5329" i="1"/>
  <c r="I5328" i="1"/>
  <c r="H5328" i="1"/>
  <c r="A5328" i="1"/>
  <c r="I5327" i="1"/>
  <c r="H5327" i="1"/>
  <c r="A5327" i="1"/>
  <c r="I5326" i="1"/>
  <c r="H5326" i="1"/>
  <c r="A5326" i="1"/>
  <c r="I5325" i="1"/>
  <c r="H5325" i="1"/>
  <c r="A5325" i="1"/>
  <c r="I5324" i="1"/>
  <c r="H5324" i="1"/>
  <c r="A5324" i="1"/>
  <c r="I5323" i="1"/>
  <c r="H5323" i="1"/>
  <c r="A5323" i="1"/>
  <c r="I5322" i="1"/>
  <c r="H5322" i="1"/>
  <c r="A5322" i="1"/>
  <c r="I5321" i="1"/>
  <c r="H5321" i="1"/>
  <c r="A5321" i="1"/>
  <c r="I5320" i="1"/>
  <c r="H5320" i="1"/>
  <c r="A5320" i="1"/>
  <c r="I5319" i="1"/>
  <c r="H5319" i="1"/>
  <c r="A5319" i="1"/>
  <c r="I5318" i="1"/>
  <c r="H5318" i="1"/>
  <c r="A5318" i="1"/>
  <c r="I5317" i="1"/>
  <c r="H5317" i="1"/>
  <c r="A5317" i="1"/>
  <c r="I5316" i="1"/>
  <c r="H5316" i="1"/>
  <c r="A5316" i="1"/>
  <c r="I5315" i="1"/>
  <c r="H5315" i="1"/>
  <c r="A5315" i="1"/>
  <c r="I5314" i="1"/>
  <c r="H5314" i="1"/>
  <c r="A5314" i="1"/>
  <c r="I5313" i="1"/>
  <c r="H5313" i="1"/>
  <c r="A5313" i="1"/>
  <c r="I5312" i="1"/>
  <c r="H5312" i="1"/>
  <c r="A5312" i="1"/>
  <c r="I5311" i="1"/>
  <c r="H5311" i="1"/>
  <c r="A5311" i="1"/>
  <c r="I5310" i="1"/>
  <c r="H5310" i="1"/>
  <c r="A5310" i="1"/>
  <c r="I5309" i="1"/>
  <c r="H5309" i="1"/>
  <c r="A5309" i="1"/>
  <c r="I5308" i="1"/>
  <c r="H5308" i="1"/>
  <c r="A5308" i="1"/>
  <c r="I5307" i="1"/>
  <c r="H5307" i="1"/>
  <c r="A5307" i="1"/>
  <c r="I5306" i="1"/>
  <c r="H5306" i="1"/>
  <c r="A5306" i="1"/>
  <c r="I5305" i="1"/>
  <c r="H5305" i="1"/>
  <c r="A5305" i="1"/>
  <c r="I5304" i="1"/>
  <c r="H5304" i="1"/>
  <c r="A5304" i="1"/>
  <c r="I5303" i="1"/>
  <c r="H5303" i="1"/>
  <c r="A5303" i="1"/>
  <c r="I5302" i="1"/>
  <c r="H5302" i="1"/>
  <c r="A5302" i="1"/>
  <c r="I5301" i="1"/>
  <c r="H5301" i="1"/>
  <c r="A5301" i="1"/>
  <c r="I5300" i="1"/>
  <c r="H5300" i="1"/>
  <c r="A5300" i="1"/>
  <c r="I5299" i="1"/>
  <c r="H5299" i="1"/>
  <c r="A5299" i="1"/>
  <c r="I5298" i="1"/>
  <c r="H5298" i="1"/>
  <c r="A5298" i="1"/>
  <c r="I5297" i="1"/>
  <c r="H5297" i="1"/>
  <c r="A5297" i="1"/>
  <c r="I5296" i="1"/>
  <c r="H5296" i="1"/>
  <c r="A5296" i="1"/>
  <c r="I5295" i="1"/>
  <c r="H5295" i="1"/>
  <c r="A5295" i="1"/>
  <c r="I5294" i="1"/>
  <c r="H5294" i="1"/>
  <c r="A5294" i="1"/>
  <c r="I5293" i="1"/>
  <c r="H5293" i="1"/>
  <c r="A5293" i="1"/>
  <c r="I5292" i="1"/>
  <c r="H5292" i="1"/>
  <c r="A5292" i="1"/>
  <c r="I5291" i="1"/>
  <c r="H5291" i="1"/>
  <c r="A5291" i="1"/>
  <c r="I5290" i="1"/>
  <c r="H5290" i="1"/>
  <c r="A5290" i="1"/>
  <c r="I5289" i="1"/>
  <c r="H5289" i="1"/>
  <c r="A5289" i="1"/>
  <c r="I5288" i="1"/>
  <c r="H5288" i="1"/>
  <c r="A5288" i="1"/>
  <c r="I5287" i="1"/>
  <c r="H5287" i="1"/>
  <c r="A5287" i="1"/>
  <c r="I5286" i="1"/>
  <c r="H5286" i="1"/>
  <c r="A5286" i="1"/>
  <c r="I5285" i="1"/>
  <c r="H5285" i="1"/>
  <c r="A5285" i="1"/>
  <c r="I5284" i="1"/>
  <c r="H5284" i="1"/>
  <c r="A5284" i="1"/>
  <c r="I5283" i="1"/>
  <c r="H5283" i="1"/>
  <c r="A5283" i="1"/>
  <c r="I5282" i="1"/>
  <c r="H5282" i="1"/>
  <c r="A5282" i="1"/>
  <c r="I5281" i="1"/>
  <c r="H5281" i="1"/>
  <c r="A5281" i="1"/>
  <c r="I5280" i="1"/>
  <c r="H5280" i="1"/>
  <c r="A5280" i="1"/>
  <c r="I5279" i="1"/>
  <c r="H5279" i="1"/>
  <c r="A5279" i="1"/>
  <c r="I5278" i="1"/>
  <c r="H5278" i="1"/>
  <c r="A5278" i="1"/>
  <c r="I5277" i="1"/>
  <c r="H5277" i="1"/>
  <c r="A5277" i="1"/>
  <c r="I5276" i="1"/>
  <c r="H5276" i="1"/>
  <c r="A5276" i="1"/>
  <c r="I5275" i="1"/>
  <c r="H5275" i="1"/>
  <c r="A5275" i="1"/>
  <c r="I5274" i="1"/>
  <c r="H5274" i="1"/>
  <c r="A5274" i="1"/>
  <c r="I5273" i="1"/>
  <c r="H5273" i="1"/>
  <c r="A5273" i="1"/>
  <c r="I5272" i="1"/>
  <c r="H5272" i="1"/>
  <c r="A5272" i="1"/>
  <c r="I5271" i="1"/>
  <c r="H5271" i="1"/>
  <c r="A5271" i="1"/>
  <c r="I5270" i="1"/>
  <c r="H5270" i="1"/>
  <c r="A5270" i="1"/>
  <c r="I5269" i="1"/>
  <c r="H5269" i="1"/>
  <c r="A5269" i="1"/>
  <c r="I5268" i="1"/>
  <c r="H5268" i="1"/>
  <c r="A5268" i="1"/>
  <c r="I5267" i="1"/>
  <c r="H5267" i="1"/>
  <c r="A5267" i="1"/>
  <c r="I5266" i="1"/>
  <c r="H5266" i="1"/>
  <c r="A5266" i="1"/>
  <c r="I5265" i="1"/>
  <c r="H5265" i="1"/>
  <c r="A5265" i="1"/>
  <c r="I5264" i="1"/>
  <c r="H5264" i="1"/>
  <c r="A5264" i="1"/>
  <c r="I5263" i="1"/>
  <c r="H5263" i="1"/>
  <c r="A5263" i="1"/>
  <c r="I5262" i="1"/>
  <c r="H5262" i="1"/>
  <c r="A5262" i="1"/>
  <c r="I5261" i="1"/>
  <c r="H5261" i="1"/>
  <c r="A5261" i="1"/>
  <c r="I5260" i="1"/>
  <c r="H5260" i="1"/>
  <c r="A5260" i="1"/>
  <c r="I5259" i="1"/>
  <c r="H5259" i="1"/>
  <c r="A5259" i="1"/>
  <c r="I5258" i="1"/>
  <c r="H5258" i="1"/>
  <c r="A5258" i="1"/>
  <c r="I5257" i="1"/>
  <c r="H5257" i="1"/>
  <c r="A5257" i="1"/>
  <c r="I5256" i="1"/>
  <c r="H5256" i="1"/>
  <c r="A5256" i="1"/>
  <c r="I5255" i="1"/>
  <c r="H5255" i="1"/>
  <c r="A5255" i="1"/>
  <c r="I5254" i="1"/>
  <c r="H5254" i="1"/>
  <c r="A5254" i="1"/>
  <c r="I5253" i="1"/>
  <c r="H5253" i="1"/>
  <c r="A5253" i="1"/>
  <c r="I5252" i="1"/>
  <c r="H5252" i="1"/>
  <c r="A5252" i="1"/>
  <c r="I5251" i="1"/>
  <c r="H5251" i="1"/>
  <c r="A5251" i="1"/>
  <c r="I5250" i="1"/>
  <c r="H5250" i="1"/>
  <c r="A5250" i="1"/>
  <c r="I5249" i="1"/>
  <c r="H5249" i="1"/>
  <c r="A5249" i="1"/>
  <c r="I5248" i="1"/>
  <c r="H5248" i="1"/>
  <c r="A5248" i="1"/>
  <c r="I5247" i="1"/>
  <c r="H5247" i="1"/>
  <c r="A5247" i="1"/>
  <c r="I5246" i="1"/>
  <c r="H5246" i="1"/>
  <c r="A5246" i="1"/>
  <c r="I5245" i="1"/>
  <c r="H5245" i="1"/>
  <c r="A5245" i="1"/>
  <c r="I5244" i="1"/>
  <c r="H5244" i="1"/>
  <c r="A5244" i="1"/>
  <c r="I5243" i="1"/>
  <c r="H5243" i="1"/>
  <c r="A5243" i="1"/>
  <c r="I5242" i="1"/>
  <c r="H5242" i="1"/>
  <c r="A5242" i="1"/>
  <c r="I5241" i="1"/>
  <c r="H5241" i="1"/>
  <c r="A5241" i="1"/>
  <c r="I5240" i="1"/>
  <c r="H5240" i="1"/>
  <c r="A5240" i="1"/>
  <c r="I5239" i="1"/>
  <c r="H5239" i="1"/>
  <c r="A5239" i="1"/>
  <c r="I5238" i="1"/>
  <c r="H5238" i="1"/>
  <c r="A5238" i="1"/>
  <c r="I5237" i="1"/>
  <c r="H5237" i="1"/>
  <c r="A5237" i="1"/>
  <c r="I5236" i="1"/>
  <c r="H5236" i="1"/>
  <c r="A5236" i="1"/>
  <c r="I5235" i="1"/>
  <c r="H5235" i="1"/>
  <c r="A5235" i="1"/>
  <c r="I5234" i="1"/>
  <c r="H5234" i="1"/>
  <c r="A5234" i="1"/>
  <c r="I5233" i="1"/>
  <c r="H5233" i="1"/>
  <c r="A5233" i="1"/>
  <c r="I5232" i="1"/>
  <c r="H5232" i="1"/>
  <c r="A5232" i="1"/>
  <c r="I5231" i="1"/>
  <c r="H5231" i="1"/>
  <c r="A5231" i="1"/>
  <c r="I5230" i="1"/>
  <c r="H5230" i="1"/>
  <c r="A5230" i="1"/>
  <c r="I5229" i="1"/>
  <c r="H5229" i="1"/>
  <c r="A5229" i="1"/>
  <c r="I5228" i="1"/>
  <c r="H5228" i="1"/>
  <c r="A5228" i="1"/>
  <c r="I5227" i="1"/>
  <c r="H5227" i="1"/>
  <c r="A5227" i="1"/>
  <c r="I5226" i="1"/>
  <c r="H5226" i="1"/>
  <c r="A5226" i="1"/>
  <c r="I5225" i="1"/>
  <c r="H5225" i="1"/>
  <c r="A5225" i="1"/>
  <c r="I5224" i="1"/>
  <c r="H5224" i="1"/>
  <c r="A5224" i="1"/>
  <c r="I5223" i="1"/>
  <c r="H5223" i="1"/>
  <c r="A5223" i="1"/>
  <c r="I5222" i="1"/>
  <c r="H5222" i="1"/>
  <c r="A5222" i="1"/>
  <c r="I5221" i="1"/>
  <c r="H5221" i="1"/>
  <c r="A5221" i="1"/>
  <c r="I5220" i="1"/>
  <c r="H5220" i="1"/>
  <c r="A5220" i="1"/>
  <c r="I5219" i="1"/>
  <c r="H5219" i="1"/>
  <c r="A5219" i="1"/>
  <c r="I5218" i="1"/>
  <c r="H5218" i="1"/>
  <c r="A5218" i="1"/>
  <c r="I5217" i="1"/>
  <c r="H5217" i="1"/>
  <c r="A5217" i="1"/>
  <c r="I5216" i="1"/>
  <c r="H5216" i="1"/>
  <c r="A5216" i="1"/>
  <c r="I5215" i="1"/>
  <c r="H5215" i="1"/>
  <c r="A5215" i="1"/>
  <c r="I5214" i="1"/>
  <c r="H5214" i="1"/>
  <c r="A5214" i="1"/>
  <c r="I5213" i="1"/>
  <c r="H5213" i="1"/>
  <c r="A5213" i="1"/>
  <c r="I5212" i="1"/>
  <c r="H5212" i="1"/>
  <c r="A5212" i="1"/>
  <c r="I5211" i="1"/>
  <c r="H5211" i="1"/>
  <c r="A5211" i="1"/>
  <c r="I5210" i="1"/>
  <c r="H5210" i="1"/>
  <c r="A5210" i="1"/>
  <c r="I5209" i="1"/>
  <c r="H5209" i="1"/>
  <c r="A5209" i="1"/>
  <c r="I5208" i="1"/>
  <c r="H5208" i="1"/>
  <c r="A5208" i="1"/>
  <c r="I5207" i="1"/>
  <c r="H5207" i="1"/>
  <c r="A5207" i="1"/>
  <c r="I5206" i="1"/>
  <c r="H5206" i="1"/>
  <c r="A5206" i="1"/>
  <c r="I5205" i="1"/>
  <c r="H5205" i="1"/>
  <c r="A5205" i="1"/>
  <c r="I5204" i="1"/>
  <c r="H5204" i="1"/>
  <c r="A5204" i="1"/>
  <c r="I5203" i="1"/>
  <c r="H5203" i="1"/>
  <c r="A5203" i="1"/>
  <c r="I5202" i="1"/>
  <c r="H5202" i="1"/>
  <c r="A5202" i="1"/>
  <c r="I5201" i="1"/>
  <c r="H5201" i="1"/>
  <c r="A5201" i="1"/>
  <c r="I5200" i="1"/>
  <c r="H5200" i="1"/>
  <c r="A5200" i="1"/>
  <c r="I5199" i="1"/>
  <c r="H5199" i="1"/>
  <c r="A5199" i="1"/>
  <c r="I5198" i="1"/>
  <c r="H5198" i="1"/>
  <c r="A5198" i="1"/>
  <c r="I5197" i="1"/>
  <c r="H5197" i="1"/>
  <c r="A5197" i="1"/>
  <c r="I5196" i="1"/>
  <c r="H5196" i="1"/>
  <c r="A5196" i="1"/>
  <c r="I5195" i="1"/>
  <c r="H5195" i="1"/>
  <c r="A5195" i="1"/>
  <c r="I5194" i="1"/>
  <c r="H5194" i="1"/>
  <c r="A5194" i="1"/>
  <c r="I5193" i="1"/>
  <c r="H5193" i="1"/>
  <c r="A5193" i="1"/>
  <c r="I5192" i="1"/>
  <c r="H5192" i="1"/>
  <c r="A5192" i="1"/>
  <c r="I5191" i="1"/>
  <c r="H5191" i="1"/>
  <c r="A5191" i="1"/>
  <c r="I5190" i="1"/>
  <c r="H5190" i="1"/>
  <c r="A5190" i="1"/>
  <c r="I5189" i="1"/>
  <c r="H5189" i="1"/>
  <c r="A5189" i="1"/>
  <c r="I5188" i="1"/>
  <c r="H5188" i="1"/>
  <c r="A5188" i="1"/>
  <c r="I5187" i="1"/>
  <c r="H5187" i="1"/>
  <c r="A5187" i="1"/>
  <c r="I5186" i="1"/>
  <c r="H5186" i="1"/>
  <c r="A5186" i="1"/>
  <c r="I5185" i="1"/>
  <c r="H5185" i="1"/>
  <c r="A5185" i="1"/>
  <c r="I5184" i="1"/>
  <c r="H5184" i="1"/>
  <c r="A5184" i="1"/>
  <c r="I5183" i="1"/>
  <c r="H5183" i="1"/>
  <c r="A5183" i="1"/>
  <c r="I5182" i="1"/>
  <c r="H5182" i="1"/>
  <c r="A5182" i="1"/>
  <c r="I5181" i="1"/>
  <c r="H5181" i="1"/>
  <c r="A5181" i="1"/>
  <c r="I5180" i="1"/>
  <c r="H5180" i="1"/>
  <c r="A5180" i="1"/>
  <c r="I5179" i="1"/>
  <c r="H5179" i="1"/>
  <c r="A5179" i="1"/>
  <c r="I5178" i="1"/>
  <c r="H5178" i="1"/>
  <c r="A5178" i="1"/>
  <c r="I5177" i="1"/>
  <c r="H5177" i="1"/>
  <c r="A5177" i="1"/>
  <c r="I5176" i="1"/>
  <c r="H5176" i="1"/>
  <c r="A5176" i="1"/>
  <c r="I5175" i="1"/>
  <c r="H5175" i="1"/>
  <c r="A5175" i="1"/>
  <c r="I5174" i="1"/>
  <c r="H5174" i="1"/>
  <c r="A5174" i="1"/>
  <c r="I5173" i="1"/>
  <c r="H5173" i="1"/>
  <c r="A5173" i="1"/>
  <c r="I5172" i="1"/>
  <c r="H5172" i="1"/>
  <c r="A5172" i="1"/>
  <c r="I5171" i="1"/>
  <c r="H5171" i="1"/>
  <c r="A5171" i="1"/>
  <c r="I5170" i="1"/>
  <c r="H5170" i="1"/>
  <c r="A5170" i="1"/>
  <c r="I5169" i="1"/>
  <c r="H5169" i="1"/>
  <c r="A5169" i="1"/>
  <c r="I5168" i="1"/>
  <c r="H5168" i="1"/>
  <c r="A5168" i="1"/>
  <c r="I5167" i="1"/>
  <c r="H5167" i="1"/>
  <c r="A5167" i="1"/>
  <c r="I5166" i="1"/>
  <c r="H5166" i="1"/>
  <c r="A5166" i="1"/>
  <c r="I5165" i="1"/>
  <c r="H5165" i="1"/>
  <c r="A5165" i="1"/>
  <c r="I5164" i="1"/>
  <c r="H5164" i="1"/>
  <c r="A5164" i="1"/>
  <c r="I5163" i="1"/>
  <c r="H5163" i="1"/>
  <c r="A5163" i="1"/>
  <c r="I5162" i="1"/>
  <c r="H5162" i="1"/>
  <c r="A5162" i="1"/>
  <c r="I5161" i="1"/>
  <c r="H5161" i="1"/>
  <c r="A5161" i="1"/>
  <c r="I5160" i="1"/>
  <c r="H5160" i="1"/>
  <c r="A5160" i="1"/>
  <c r="I5159" i="1"/>
  <c r="H5159" i="1"/>
  <c r="A5159" i="1"/>
  <c r="I5158" i="1"/>
  <c r="H5158" i="1"/>
  <c r="A5158" i="1"/>
  <c r="I5157" i="1"/>
  <c r="H5157" i="1"/>
  <c r="A5157" i="1"/>
  <c r="I5156" i="1"/>
  <c r="H5156" i="1"/>
  <c r="A5156" i="1"/>
  <c r="I5155" i="1"/>
  <c r="H5155" i="1"/>
  <c r="A5155" i="1"/>
  <c r="I5154" i="1"/>
  <c r="H5154" i="1"/>
  <c r="A5154" i="1"/>
  <c r="I5153" i="1"/>
  <c r="H5153" i="1"/>
  <c r="A5153" i="1"/>
  <c r="I5152" i="1"/>
  <c r="H5152" i="1"/>
  <c r="A5152" i="1"/>
  <c r="I5151" i="1"/>
  <c r="H5151" i="1"/>
  <c r="A5151" i="1"/>
  <c r="I5150" i="1"/>
  <c r="H5150" i="1"/>
  <c r="A5150" i="1"/>
  <c r="I5149" i="1"/>
  <c r="H5149" i="1"/>
  <c r="A5149" i="1"/>
  <c r="I5148" i="1"/>
  <c r="H5148" i="1"/>
  <c r="A5148" i="1"/>
  <c r="I5147" i="1"/>
  <c r="H5147" i="1"/>
  <c r="A5147" i="1"/>
  <c r="I5146" i="1"/>
  <c r="H5146" i="1"/>
  <c r="A5146" i="1"/>
  <c r="I5145" i="1"/>
  <c r="H5145" i="1"/>
  <c r="A5145" i="1"/>
  <c r="I5144" i="1"/>
  <c r="H5144" i="1"/>
  <c r="A5144" i="1"/>
  <c r="I5143" i="1"/>
  <c r="H5143" i="1"/>
  <c r="A5143" i="1"/>
  <c r="I5142" i="1"/>
  <c r="H5142" i="1"/>
  <c r="A5142" i="1"/>
  <c r="I5141" i="1"/>
  <c r="H5141" i="1"/>
  <c r="A5141" i="1"/>
  <c r="I5140" i="1"/>
  <c r="H5140" i="1"/>
  <c r="A5140" i="1"/>
  <c r="I5139" i="1"/>
  <c r="H5139" i="1"/>
  <c r="A5139" i="1"/>
  <c r="I5138" i="1"/>
  <c r="H5138" i="1"/>
  <c r="A5138" i="1"/>
  <c r="I5137" i="1"/>
  <c r="H5137" i="1"/>
  <c r="A5137" i="1"/>
  <c r="I5136" i="1"/>
  <c r="H5136" i="1"/>
  <c r="A5136" i="1"/>
  <c r="I5135" i="1"/>
  <c r="H5135" i="1"/>
  <c r="A5135" i="1"/>
  <c r="I5134" i="1"/>
  <c r="H5134" i="1"/>
  <c r="A5134" i="1"/>
  <c r="I5133" i="1"/>
  <c r="H5133" i="1"/>
  <c r="A5133" i="1"/>
  <c r="I5132" i="1"/>
  <c r="H5132" i="1"/>
  <c r="A5132" i="1"/>
  <c r="I5131" i="1"/>
  <c r="H5131" i="1"/>
  <c r="A5131" i="1"/>
  <c r="I5130" i="1"/>
  <c r="H5130" i="1"/>
  <c r="A5130" i="1"/>
  <c r="I5129" i="1"/>
  <c r="H5129" i="1"/>
  <c r="A5129" i="1"/>
  <c r="I5128" i="1"/>
  <c r="H5128" i="1"/>
  <c r="A5128" i="1"/>
  <c r="I5127" i="1"/>
  <c r="H5127" i="1"/>
  <c r="A5127" i="1"/>
  <c r="I5126" i="1"/>
  <c r="H5126" i="1"/>
  <c r="A5126" i="1"/>
  <c r="I5125" i="1"/>
  <c r="H5125" i="1"/>
  <c r="A5125" i="1"/>
  <c r="I5124" i="1"/>
  <c r="H5124" i="1"/>
  <c r="A5124" i="1"/>
  <c r="I5123" i="1"/>
  <c r="H5123" i="1"/>
  <c r="A5123" i="1"/>
  <c r="I5122" i="1"/>
  <c r="H5122" i="1"/>
  <c r="A5122" i="1"/>
  <c r="I5121" i="1"/>
  <c r="H5121" i="1"/>
  <c r="A5121" i="1"/>
  <c r="I5120" i="1"/>
  <c r="H5120" i="1"/>
  <c r="A5120" i="1"/>
  <c r="I5119" i="1"/>
  <c r="H5119" i="1"/>
  <c r="A5119" i="1"/>
  <c r="I5118" i="1"/>
  <c r="H5118" i="1"/>
  <c r="A5118" i="1"/>
  <c r="I5117" i="1"/>
  <c r="H5117" i="1"/>
  <c r="A5117" i="1"/>
  <c r="I5116" i="1"/>
  <c r="H5116" i="1"/>
  <c r="A5116" i="1"/>
  <c r="I5115" i="1"/>
  <c r="H5115" i="1"/>
  <c r="A5115" i="1"/>
  <c r="I5114" i="1"/>
  <c r="H5114" i="1"/>
  <c r="A5114" i="1"/>
  <c r="I5113" i="1"/>
  <c r="H5113" i="1"/>
  <c r="A5113" i="1"/>
  <c r="I5112" i="1"/>
  <c r="H5112" i="1"/>
  <c r="A5112" i="1"/>
  <c r="I5111" i="1"/>
  <c r="H5111" i="1"/>
  <c r="A5111" i="1"/>
  <c r="I5110" i="1"/>
  <c r="H5110" i="1"/>
  <c r="A5110" i="1"/>
  <c r="I5109" i="1"/>
  <c r="H5109" i="1"/>
  <c r="A5109" i="1"/>
  <c r="I5108" i="1"/>
  <c r="H5108" i="1"/>
  <c r="A5108" i="1"/>
  <c r="I5107" i="1"/>
  <c r="H5107" i="1"/>
  <c r="A5107" i="1"/>
  <c r="I5106" i="1"/>
  <c r="H5106" i="1"/>
  <c r="A5106" i="1"/>
  <c r="I5105" i="1"/>
  <c r="H5105" i="1"/>
  <c r="A5105" i="1"/>
  <c r="I5104" i="1"/>
  <c r="H5104" i="1"/>
  <c r="A5104" i="1"/>
  <c r="I5103" i="1"/>
  <c r="H5103" i="1"/>
  <c r="A5103" i="1"/>
  <c r="I5102" i="1"/>
  <c r="H5102" i="1"/>
  <c r="A5102" i="1"/>
  <c r="I5101" i="1"/>
  <c r="H5101" i="1"/>
  <c r="A5101" i="1"/>
  <c r="I5100" i="1"/>
  <c r="H5100" i="1"/>
  <c r="A5100" i="1"/>
  <c r="I5099" i="1"/>
  <c r="H5099" i="1"/>
  <c r="A5099" i="1"/>
  <c r="I5098" i="1"/>
  <c r="H5098" i="1"/>
  <c r="A5098" i="1"/>
  <c r="I5097" i="1"/>
  <c r="H5097" i="1"/>
  <c r="A5097" i="1"/>
  <c r="I5096" i="1"/>
  <c r="H5096" i="1"/>
  <c r="A5096" i="1"/>
  <c r="I5095" i="1"/>
  <c r="H5095" i="1"/>
  <c r="A5095" i="1"/>
  <c r="I5094" i="1"/>
  <c r="H5094" i="1"/>
  <c r="A5094" i="1"/>
  <c r="I5093" i="1"/>
  <c r="H5093" i="1"/>
  <c r="A5093" i="1"/>
  <c r="I5092" i="1"/>
  <c r="H5092" i="1"/>
  <c r="A5092" i="1"/>
  <c r="I5091" i="1"/>
  <c r="H5091" i="1"/>
  <c r="A5091" i="1"/>
  <c r="I5090" i="1"/>
  <c r="H5090" i="1"/>
  <c r="A5090" i="1"/>
  <c r="I5089" i="1"/>
  <c r="H5089" i="1"/>
  <c r="A5089" i="1"/>
  <c r="I5088" i="1"/>
  <c r="H5088" i="1"/>
  <c r="A5088" i="1"/>
  <c r="I5087" i="1"/>
  <c r="H5087" i="1"/>
  <c r="A5087" i="1"/>
  <c r="I5086" i="1"/>
  <c r="H5086" i="1"/>
  <c r="A5086" i="1"/>
  <c r="I5085" i="1"/>
  <c r="H5085" i="1"/>
  <c r="A5085" i="1"/>
  <c r="I5084" i="1"/>
  <c r="H5084" i="1"/>
  <c r="A5084" i="1"/>
  <c r="I5083" i="1"/>
  <c r="H5083" i="1"/>
  <c r="A5083" i="1"/>
  <c r="I5082" i="1"/>
  <c r="H5082" i="1"/>
  <c r="A5082" i="1"/>
  <c r="I5081" i="1"/>
  <c r="H5081" i="1"/>
  <c r="A5081" i="1"/>
  <c r="I5080" i="1"/>
  <c r="H5080" i="1"/>
  <c r="A5080" i="1"/>
  <c r="I5079" i="1"/>
  <c r="H5079" i="1"/>
  <c r="A5079" i="1"/>
  <c r="I5078" i="1"/>
  <c r="H5078" i="1"/>
  <c r="A5078" i="1"/>
  <c r="I5077" i="1"/>
  <c r="H5077" i="1"/>
  <c r="A5077" i="1"/>
  <c r="I5076" i="1"/>
  <c r="H5076" i="1"/>
  <c r="A5076" i="1"/>
  <c r="I5075" i="1"/>
  <c r="H5075" i="1"/>
  <c r="A5075" i="1"/>
  <c r="I5074" i="1"/>
  <c r="H5074" i="1"/>
  <c r="A5074" i="1"/>
  <c r="I5073" i="1"/>
  <c r="H5073" i="1"/>
  <c r="A5073" i="1"/>
  <c r="I5072" i="1"/>
  <c r="H5072" i="1"/>
  <c r="A5072" i="1"/>
  <c r="I5071" i="1"/>
  <c r="H5071" i="1"/>
  <c r="A5071" i="1"/>
  <c r="I5070" i="1"/>
  <c r="H5070" i="1"/>
  <c r="A5070" i="1"/>
  <c r="I5069" i="1"/>
  <c r="H5069" i="1"/>
  <c r="A5069" i="1"/>
  <c r="I5068" i="1"/>
  <c r="H5068" i="1"/>
  <c r="A5068" i="1"/>
  <c r="I5067" i="1"/>
  <c r="H5067" i="1"/>
  <c r="A5067" i="1"/>
  <c r="I5066" i="1"/>
  <c r="H5066" i="1"/>
  <c r="A5066" i="1"/>
  <c r="I5065" i="1"/>
  <c r="H5065" i="1"/>
  <c r="A5065" i="1"/>
  <c r="I5064" i="1"/>
  <c r="H5064" i="1"/>
  <c r="A5064" i="1"/>
  <c r="I5063" i="1"/>
  <c r="H5063" i="1"/>
  <c r="A5063" i="1"/>
  <c r="I5062" i="1"/>
  <c r="H5062" i="1"/>
  <c r="A5062" i="1"/>
  <c r="I5061" i="1"/>
  <c r="H5061" i="1"/>
  <c r="A5061" i="1"/>
  <c r="I5060" i="1"/>
  <c r="H5060" i="1"/>
  <c r="A5060" i="1"/>
  <c r="I5059" i="1"/>
  <c r="H5059" i="1"/>
  <c r="A5059" i="1"/>
  <c r="I5058" i="1"/>
  <c r="H5058" i="1"/>
  <c r="A5058" i="1"/>
  <c r="I5057" i="1"/>
  <c r="H5057" i="1"/>
  <c r="A5057" i="1"/>
  <c r="I5056" i="1"/>
  <c r="H5056" i="1"/>
  <c r="A5056" i="1"/>
  <c r="I5055" i="1"/>
  <c r="H5055" i="1"/>
  <c r="A5055" i="1"/>
  <c r="I5054" i="1"/>
  <c r="H5054" i="1"/>
  <c r="A5054" i="1"/>
  <c r="I5053" i="1"/>
  <c r="H5053" i="1"/>
  <c r="A5053" i="1"/>
  <c r="I5052" i="1"/>
  <c r="H5052" i="1"/>
  <c r="A5052" i="1"/>
  <c r="I5051" i="1"/>
  <c r="H5051" i="1"/>
  <c r="A5051" i="1"/>
  <c r="I5050" i="1"/>
  <c r="H5050" i="1"/>
  <c r="A5050" i="1"/>
  <c r="I5049" i="1"/>
  <c r="H5049" i="1"/>
  <c r="A5049" i="1"/>
  <c r="I5048" i="1"/>
  <c r="H5048" i="1"/>
  <c r="A5048" i="1"/>
  <c r="I5047" i="1"/>
  <c r="H5047" i="1"/>
  <c r="A5047" i="1"/>
  <c r="I5046" i="1"/>
  <c r="H5046" i="1"/>
  <c r="A5046" i="1"/>
  <c r="I5045" i="1"/>
  <c r="H5045" i="1"/>
  <c r="A5045" i="1"/>
  <c r="I5044" i="1"/>
  <c r="H5044" i="1"/>
  <c r="A5044" i="1"/>
  <c r="I5043" i="1"/>
  <c r="H5043" i="1"/>
  <c r="A5043" i="1"/>
  <c r="I5042" i="1"/>
  <c r="H5042" i="1"/>
  <c r="A5042" i="1"/>
  <c r="I5041" i="1"/>
  <c r="H5041" i="1"/>
  <c r="A5041" i="1"/>
  <c r="I5040" i="1"/>
  <c r="H5040" i="1"/>
  <c r="A5040" i="1"/>
  <c r="I5039" i="1"/>
  <c r="H5039" i="1"/>
  <c r="A5039" i="1"/>
  <c r="I5038" i="1"/>
  <c r="H5038" i="1"/>
  <c r="A5038" i="1"/>
  <c r="I5037" i="1"/>
  <c r="H5037" i="1"/>
  <c r="A5037" i="1"/>
  <c r="I5036" i="1"/>
  <c r="H5036" i="1"/>
  <c r="A5036" i="1"/>
  <c r="I5035" i="1"/>
  <c r="H5035" i="1"/>
  <c r="A5035" i="1"/>
  <c r="I5034" i="1"/>
  <c r="H5034" i="1"/>
  <c r="A5034" i="1"/>
  <c r="I5033" i="1"/>
  <c r="H5033" i="1"/>
  <c r="A5033" i="1"/>
  <c r="I5032" i="1"/>
  <c r="H5032" i="1"/>
  <c r="A5032" i="1"/>
  <c r="I5031" i="1"/>
  <c r="H5031" i="1"/>
  <c r="A5031" i="1"/>
  <c r="I5030" i="1"/>
  <c r="H5030" i="1"/>
  <c r="A5030" i="1"/>
  <c r="I5029" i="1"/>
  <c r="H5029" i="1"/>
  <c r="A5029" i="1"/>
  <c r="I5028" i="1"/>
  <c r="H5028" i="1"/>
  <c r="A5028" i="1"/>
  <c r="I5027" i="1"/>
  <c r="H5027" i="1"/>
  <c r="A5027" i="1"/>
  <c r="I5026" i="1"/>
  <c r="H5026" i="1"/>
  <c r="A5026" i="1"/>
  <c r="I5025" i="1"/>
  <c r="H5025" i="1"/>
  <c r="A5025" i="1"/>
  <c r="I5024" i="1"/>
  <c r="H5024" i="1"/>
  <c r="A5024" i="1"/>
  <c r="I5023" i="1"/>
  <c r="H5023" i="1"/>
  <c r="A5023" i="1"/>
  <c r="I5022" i="1"/>
  <c r="H5022" i="1"/>
  <c r="A5022" i="1"/>
  <c r="I5021" i="1"/>
  <c r="H5021" i="1"/>
  <c r="A5021" i="1"/>
  <c r="I5020" i="1"/>
  <c r="H5020" i="1"/>
  <c r="A5020" i="1"/>
  <c r="I5019" i="1"/>
  <c r="H5019" i="1"/>
  <c r="A5019" i="1"/>
  <c r="I5018" i="1"/>
  <c r="H5018" i="1"/>
  <c r="A5018" i="1"/>
  <c r="I5017" i="1"/>
  <c r="H5017" i="1"/>
  <c r="A5017" i="1"/>
  <c r="I5016" i="1"/>
  <c r="H5016" i="1"/>
  <c r="A5016" i="1"/>
  <c r="I5015" i="1"/>
  <c r="H5015" i="1"/>
  <c r="A5015" i="1"/>
  <c r="I5014" i="1"/>
  <c r="H5014" i="1"/>
  <c r="A5014" i="1"/>
  <c r="I5013" i="1"/>
  <c r="H5013" i="1"/>
  <c r="A5013" i="1"/>
  <c r="I5012" i="1"/>
  <c r="H5012" i="1"/>
  <c r="A5012" i="1"/>
  <c r="I5011" i="1"/>
  <c r="H5011" i="1"/>
  <c r="A5011" i="1"/>
  <c r="I5010" i="1"/>
  <c r="H5010" i="1"/>
  <c r="A5010" i="1"/>
  <c r="I5009" i="1"/>
  <c r="H5009" i="1"/>
  <c r="A5009" i="1"/>
  <c r="I5008" i="1"/>
  <c r="H5008" i="1"/>
  <c r="A5008" i="1"/>
  <c r="I5007" i="1"/>
  <c r="H5007" i="1"/>
  <c r="A5007" i="1"/>
  <c r="I5006" i="1"/>
  <c r="H5006" i="1"/>
  <c r="A5006" i="1"/>
  <c r="I5005" i="1"/>
  <c r="H5005" i="1"/>
  <c r="A5005" i="1"/>
  <c r="I5004" i="1"/>
  <c r="H5004" i="1"/>
  <c r="A5004" i="1"/>
  <c r="I5003" i="1"/>
  <c r="H5003" i="1"/>
  <c r="A5003" i="1"/>
  <c r="I5002" i="1"/>
  <c r="H5002" i="1"/>
  <c r="A5002" i="1"/>
  <c r="I5001" i="1"/>
  <c r="H5001" i="1"/>
  <c r="A5001" i="1"/>
  <c r="I5000" i="1"/>
  <c r="H5000" i="1"/>
  <c r="A5000" i="1"/>
  <c r="I4999" i="1"/>
  <c r="H4999" i="1"/>
  <c r="A4999" i="1"/>
  <c r="I4998" i="1"/>
  <c r="H4998" i="1"/>
  <c r="A4998" i="1"/>
  <c r="I4997" i="1"/>
  <c r="H4997" i="1"/>
  <c r="A4997" i="1"/>
  <c r="I4996" i="1"/>
  <c r="H4996" i="1"/>
  <c r="A4996" i="1"/>
  <c r="I4995" i="1"/>
  <c r="H4995" i="1"/>
  <c r="A4995" i="1"/>
  <c r="I4994" i="1"/>
  <c r="H4994" i="1"/>
  <c r="A4994" i="1"/>
  <c r="I4993" i="1"/>
  <c r="H4993" i="1"/>
  <c r="A4993" i="1"/>
  <c r="I4992" i="1"/>
  <c r="H4992" i="1"/>
  <c r="A4992" i="1"/>
  <c r="I4991" i="1"/>
  <c r="H4991" i="1"/>
  <c r="A4991" i="1"/>
  <c r="I4990" i="1"/>
  <c r="H4990" i="1"/>
  <c r="A4990" i="1"/>
  <c r="I4989" i="1"/>
  <c r="H4989" i="1"/>
  <c r="A4989" i="1"/>
  <c r="I4988" i="1"/>
  <c r="H4988" i="1"/>
  <c r="A4988" i="1"/>
  <c r="I4987" i="1"/>
  <c r="H4987" i="1"/>
  <c r="A4987" i="1"/>
  <c r="I4986" i="1"/>
  <c r="H4986" i="1"/>
  <c r="A4986" i="1"/>
  <c r="I4985" i="1"/>
  <c r="H4985" i="1"/>
  <c r="A4985" i="1"/>
  <c r="I4984" i="1"/>
  <c r="H4984" i="1"/>
  <c r="A4984" i="1"/>
  <c r="I4983" i="1"/>
  <c r="H4983" i="1"/>
  <c r="A4983" i="1"/>
  <c r="I4982" i="1"/>
  <c r="H4982" i="1"/>
  <c r="A4982" i="1"/>
  <c r="I4981" i="1"/>
  <c r="H4981" i="1"/>
  <c r="A4981" i="1"/>
  <c r="I4980" i="1"/>
  <c r="H4980" i="1"/>
  <c r="A4980" i="1"/>
  <c r="I4979" i="1"/>
  <c r="H4979" i="1"/>
  <c r="A4979" i="1"/>
  <c r="I4978" i="1"/>
  <c r="H4978" i="1"/>
  <c r="A4978" i="1"/>
  <c r="I4977" i="1"/>
  <c r="H4977" i="1"/>
  <c r="A4977" i="1"/>
  <c r="I4976" i="1"/>
  <c r="H4976" i="1"/>
  <c r="A4976" i="1"/>
  <c r="I4975" i="1"/>
  <c r="H4975" i="1"/>
  <c r="A4975" i="1"/>
  <c r="I4974" i="1"/>
  <c r="H4974" i="1"/>
  <c r="A4974" i="1"/>
  <c r="I4973" i="1"/>
  <c r="H4973" i="1"/>
  <c r="A4973" i="1"/>
  <c r="I4972" i="1"/>
  <c r="H4972" i="1"/>
  <c r="A4972" i="1"/>
  <c r="I4971" i="1"/>
  <c r="H4971" i="1"/>
  <c r="A4971" i="1"/>
  <c r="I4970" i="1"/>
  <c r="H4970" i="1"/>
  <c r="A4970" i="1"/>
  <c r="I4969" i="1"/>
  <c r="H4969" i="1"/>
  <c r="A4969" i="1"/>
  <c r="I4968" i="1"/>
  <c r="H4968" i="1"/>
  <c r="A4968" i="1"/>
  <c r="I4967" i="1"/>
  <c r="H4967" i="1"/>
  <c r="A4967" i="1"/>
  <c r="I4966" i="1"/>
  <c r="H4966" i="1"/>
  <c r="A4966" i="1"/>
  <c r="I4965" i="1"/>
  <c r="H4965" i="1"/>
  <c r="A4965" i="1"/>
  <c r="I4964" i="1"/>
  <c r="H4964" i="1"/>
  <c r="A4964" i="1"/>
  <c r="I4963" i="1"/>
  <c r="H4963" i="1"/>
  <c r="A4963" i="1"/>
  <c r="I4962" i="1"/>
  <c r="H4962" i="1"/>
  <c r="A4962" i="1"/>
  <c r="I4961" i="1"/>
  <c r="H4961" i="1"/>
  <c r="A4961" i="1"/>
  <c r="I4960" i="1"/>
  <c r="H4960" i="1"/>
  <c r="A4960" i="1"/>
  <c r="I4959" i="1"/>
  <c r="H4959" i="1"/>
  <c r="A4959" i="1"/>
  <c r="I4958" i="1"/>
  <c r="H4958" i="1"/>
  <c r="A4958" i="1"/>
  <c r="I4957" i="1"/>
  <c r="H4957" i="1"/>
  <c r="A4957" i="1"/>
  <c r="I4956" i="1"/>
  <c r="H4956" i="1"/>
  <c r="A4956" i="1"/>
  <c r="I4955" i="1"/>
  <c r="H4955" i="1"/>
  <c r="A4955" i="1"/>
  <c r="I4954" i="1"/>
  <c r="H4954" i="1"/>
  <c r="A4954" i="1"/>
  <c r="I4953" i="1"/>
  <c r="H4953" i="1"/>
  <c r="A4953" i="1"/>
  <c r="I4952" i="1"/>
  <c r="H4952" i="1"/>
  <c r="A4952" i="1"/>
  <c r="I4951" i="1"/>
  <c r="H4951" i="1"/>
  <c r="A4951" i="1"/>
  <c r="I4950" i="1"/>
  <c r="H4950" i="1"/>
  <c r="A4950" i="1"/>
  <c r="I4949" i="1"/>
  <c r="H4949" i="1"/>
  <c r="A4949" i="1"/>
  <c r="I4948" i="1"/>
  <c r="H4948" i="1"/>
  <c r="A4948" i="1"/>
  <c r="I4947" i="1"/>
  <c r="H4947" i="1"/>
  <c r="A4947" i="1"/>
  <c r="I4946" i="1"/>
  <c r="H4946" i="1"/>
  <c r="A4946" i="1"/>
  <c r="I4945" i="1"/>
  <c r="H4945" i="1"/>
  <c r="A4945" i="1"/>
  <c r="I4944" i="1"/>
  <c r="H4944" i="1"/>
  <c r="A4944" i="1"/>
  <c r="I4943" i="1"/>
  <c r="H4943" i="1"/>
  <c r="A4943" i="1"/>
  <c r="I4942" i="1"/>
  <c r="H4942" i="1"/>
  <c r="A4942" i="1"/>
  <c r="I4941" i="1"/>
  <c r="H4941" i="1"/>
  <c r="A4941" i="1"/>
  <c r="I4940" i="1"/>
  <c r="H4940" i="1"/>
  <c r="A4940" i="1"/>
  <c r="I4939" i="1"/>
  <c r="H4939" i="1"/>
  <c r="A4939" i="1"/>
  <c r="I4938" i="1"/>
  <c r="H4938" i="1"/>
  <c r="A4938" i="1"/>
  <c r="I4937" i="1"/>
  <c r="H4937" i="1"/>
  <c r="A4937" i="1"/>
  <c r="I4936" i="1"/>
  <c r="H4936" i="1"/>
  <c r="A4936" i="1"/>
  <c r="I4935" i="1"/>
  <c r="H4935" i="1"/>
  <c r="A4935" i="1"/>
  <c r="I4934" i="1"/>
  <c r="H4934" i="1"/>
  <c r="A4934" i="1"/>
  <c r="I4933" i="1"/>
  <c r="H4933" i="1"/>
  <c r="A4933" i="1"/>
  <c r="I4932" i="1"/>
  <c r="H4932" i="1"/>
  <c r="A4932" i="1"/>
  <c r="I4931" i="1"/>
  <c r="H4931" i="1"/>
  <c r="A4931" i="1"/>
  <c r="I4930" i="1"/>
  <c r="H4930" i="1"/>
  <c r="A4930" i="1"/>
  <c r="I4929" i="1"/>
  <c r="H4929" i="1"/>
  <c r="A4929" i="1"/>
  <c r="I4928" i="1"/>
  <c r="H4928" i="1"/>
  <c r="A4928" i="1"/>
  <c r="I4927" i="1"/>
  <c r="H4927" i="1"/>
  <c r="A4927" i="1"/>
  <c r="I4926" i="1"/>
  <c r="H4926" i="1"/>
  <c r="A4926" i="1"/>
  <c r="I4925" i="1"/>
  <c r="H4925" i="1"/>
  <c r="A4925" i="1"/>
  <c r="I4924" i="1"/>
  <c r="H4924" i="1"/>
  <c r="A4924" i="1"/>
  <c r="I4923" i="1"/>
  <c r="H4923" i="1"/>
  <c r="A4923" i="1"/>
  <c r="I4922" i="1"/>
  <c r="H4922" i="1"/>
  <c r="A4922" i="1"/>
  <c r="I4921" i="1"/>
  <c r="H4921" i="1"/>
  <c r="A4921" i="1"/>
  <c r="I4920" i="1"/>
  <c r="H4920" i="1"/>
  <c r="A4920" i="1"/>
  <c r="I4919" i="1"/>
  <c r="H4919" i="1"/>
  <c r="A4919" i="1"/>
  <c r="I4918" i="1"/>
  <c r="H4918" i="1"/>
  <c r="A4918" i="1"/>
  <c r="I4917" i="1"/>
  <c r="H4917" i="1"/>
  <c r="A4917" i="1"/>
  <c r="I4916" i="1"/>
  <c r="H4916" i="1"/>
  <c r="A4916" i="1"/>
  <c r="I4915" i="1"/>
  <c r="H4915" i="1"/>
  <c r="A4915" i="1"/>
  <c r="I4914" i="1"/>
  <c r="H4914" i="1"/>
  <c r="A4914" i="1"/>
  <c r="I4913" i="1"/>
  <c r="H4913" i="1"/>
  <c r="A4913" i="1"/>
  <c r="I4912" i="1"/>
  <c r="H4912" i="1"/>
  <c r="A4912" i="1"/>
  <c r="I4911" i="1"/>
  <c r="H4911" i="1"/>
  <c r="A4911" i="1"/>
  <c r="I4910" i="1"/>
  <c r="H4910" i="1"/>
  <c r="A4910" i="1"/>
  <c r="I4909" i="1"/>
  <c r="H4909" i="1"/>
  <c r="A4909" i="1"/>
  <c r="I4908" i="1"/>
  <c r="H4908" i="1"/>
  <c r="A4908" i="1"/>
  <c r="I4907" i="1"/>
  <c r="H4907" i="1"/>
  <c r="A4907" i="1"/>
  <c r="I4906" i="1"/>
  <c r="H4906" i="1"/>
  <c r="A4906" i="1"/>
  <c r="I4905" i="1"/>
  <c r="H4905" i="1"/>
  <c r="A4905" i="1"/>
  <c r="I4904" i="1"/>
  <c r="H4904" i="1"/>
  <c r="A4904" i="1"/>
  <c r="I4903" i="1"/>
  <c r="H4903" i="1"/>
  <c r="A4903" i="1"/>
  <c r="I4902" i="1"/>
  <c r="H4902" i="1"/>
  <c r="A4902" i="1"/>
  <c r="I4901" i="1"/>
  <c r="H4901" i="1"/>
  <c r="A4901" i="1"/>
  <c r="I4900" i="1"/>
  <c r="H4900" i="1"/>
  <c r="A4900" i="1"/>
  <c r="I4899" i="1"/>
  <c r="H4899" i="1"/>
  <c r="A4899" i="1"/>
  <c r="I4898" i="1"/>
  <c r="H4898" i="1"/>
  <c r="A4898" i="1"/>
  <c r="I4897" i="1"/>
  <c r="H4897" i="1"/>
  <c r="A4897" i="1"/>
  <c r="I4896" i="1"/>
  <c r="H4896" i="1"/>
  <c r="A4896" i="1"/>
  <c r="I4895" i="1"/>
  <c r="H4895" i="1"/>
  <c r="A4895" i="1"/>
  <c r="I4894" i="1"/>
  <c r="H4894" i="1"/>
  <c r="A4894" i="1"/>
  <c r="I4893" i="1"/>
  <c r="H4893" i="1"/>
  <c r="A4893" i="1"/>
  <c r="I4892" i="1"/>
  <c r="H4892" i="1"/>
  <c r="A4892" i="1"/>
  <c r="I4891" i="1"/>
  <c r="H4891" i="1"/>
  <c r="A4891" i="1"/>
  <c r="I4890" i="1"/>
  <c r="H4890" i="1"/>
  <c r="A4890" i="1"/>
  <c r="I4889" i="1"/>
  <c r="H4889" i="1"/>
  <c r="A4889" i="1"/>
  <c r="I4888" i="1"/>
  <c r="H4888" i="1"/>
  <c r="A4888" i="1"/>
  <c r="I4887" i="1"/>
  <c r="H4887" i="1"/>
  <c r="A4887" i="1"/>
  <c r="I4886" i="1"/>
  <c r="H4886" i="1"/>
  <c r="A4886" i="1"/>
  <c r="I4885" i="1"/>
  <c r="H4885" i="1"/>
  <c r="A4885" i="1"/>
  <c r="I4884" i="1"/>
  <c r="H4884" i="1"/>
  <c r="A4884" i="1"/>
  <c r="I4883" i="1"/>
  <c r="H4883" i="1"/>
  <c r="A4883" i="1"/>
  <c r="I4882" i="1"/>
  <c r="H4882" i="1"/>
  <c r="A4882" i="1"/>
  <c r="I4881" i="1"/>
  <c r="H4881" i="1"/>
  <c r="A4881" i="1"/>
  <c r="I4880" i="1"/>
  <c r="H4880" i="1"/>
  <c r="A4880" i="1"/>
  <c r="I4879" i="1"/>
  <c r="H4879" i="1"/>
  <c r="A4879" i="1"/>
  <c r="I4878" i="1"/>
  <c r="H4878" i="1"/>
  <c r="A4878" i="1"/>
  <c r="I4877" i="1"/>
  <c r="H4877" i="1"/>
  <c r="A4877" i="1"/>
  <c r="I4876" i="1"/>
  <c r="H4876" i="1"/>
  <c r="A4876" i="1"/>
  <c r="I4875" i="1"/>
  <c r="H4875" i="1"/>
  <c r="A4875" i="1"/>
  <c r="I4874" i="1"/>
  <c r="H4874" i="1"/>
  <c r="A4874" i="1"/>
  <c r="I4873" i="1"/>
  <c r="H4873" i="1"/>
  <c r="A4873" i="1"/>
  <c r="I4872" i="1"/>
  <c r="H4872" i="1"/>
  <c r="A4872" i="1"/>
  <c r="I4871" i="1"/>
  <c r="H4871" i="1"/>
  <c r="A4871" i="1"/>
  <c r="I4870" i="1"/>
  <c r="H4870" i="1"/>
  <c r="A4870" i="1"/>
  <c r="I4869" i="1"/>
  <c r="H4869" i="1"/>
  <c r="A4869" i="1"/>
  <c r="I4868" i="1"/>
  <c r="H4868" i="1"/>
  <c r="A4868" i="1"/>
  <c r="I4867" i="1"/>
  <c r="H4867" i="1"/>
  <c r="A4867" i="1"/>
  <c r="I4866" i="1"/>
  <c r="H4866" i="1"/>
  <c r="A4866" i="1"/>
  <c r="I4865" i="1"/>
  <c r="H4865" i="1"/>
  <c r="A4865" i="1"/>
  <c r="I4864" i="1"/>
  <c r="H4864" i="1"/>
  <c r="A4864" i="1"/>
  <c r="I4863" i="1"/>
  <c r="H4863" i="1"/>
  <c r="A4863" i="1"/>
  <c r="I4862" i="1"/>
  <c r="H4862" i="1"/>
  <c r="A4862" i="1"/>
  <c r="I4861" i="1"/>
  <c r="H4861" i="1"/>
  <c r="A4861" i="1"/>
  <c r="I4860" i="1"/>
  <c r="H4860" i="1"/>
  <c r="A4860" i="1"/>
  <c r="I4859" i="1"/>
  <c r="H4859" i="1"/>
  <c r="A4859" i="1"/>
  <c r="I4858" i="1"/>
  <c r="H4858" i="1"/>
  <c r="A4858" i="1"/>
  <c r="I4857" i="1"/>
  <c r="H4857" i="1"/>
  <c r="A4857" i="1"/>
  <c r="I4856" i="1"/>
  <c r="H4856" i="1"/>
  <c r="A4856" i="1"/>
  <c r="I4855" i="1"/>
  <c r="H4855" i="1"/>
  <c r="A4855" i="1"/>
  <c r="I4854" i="1"/>
  <c r="H4854" i="1"/>
  <c r="A4854" i="1"/>
  <c r="I4853" i="1"/>
  <c r="H4853" i="1"/>
  <c r="A4853" i="1"/>
  <c r="I4852" i="1"/>
  <c r="H4852" i="1"/>
  <c r="A4852" i="1"/>
  <c r="I4851" i="1"/>
  <c r="H4851" i="1"/>
  <c r="A4851" i="1"/>
  <c r="I4850" i="1"/>
  <c r="H4850" i="1"/>
  <c r="A4850" i="1"/>
  <c r="I4849" i="1"/>
  <c r="H4849" i="1"/>
  <c r="A4849" i="1"/>
  <c r="I4848" i="1"/>
  <c r="H4848" i="1"/>
  <c r="A4848" i="1"/>
  <c r="I4847" i="1"/>
  <c r="H4847" i="1"/>
  <c r="A4847" i="1"/>
  <c r="I4846" i="1"/>
  <c r="H4846" i="1"/>
  <c r="A4846" i="1"/>
  <c r="I4845" i="1"/>
  <c r="H4845" i="1"/>
  <c r="A4845" i="1"/>
  <c r="I4844" i="1"/>
  <c r="H4844" i="1"/>
  <c r="A4844" i="1"/>
  <c r="I4843" i="1"/>
  <c r="H4843" i="1"/>
  <c r="A4843" i="1"/>
  <c r="I4842" i="1"/>
  <c r="H4842" i="1"/>
  <c r="A4842" i="1"/>
  <c r="I4841" i="1"/>
  <c r="H4841" i="1"/>
  <c r="A4841" i="1"/>
  <c r="I4840" i="1"/>
  <c r="H4840" i="1"/>
  <c r="A4840" i="1"/>
  <c r="I4839" i="1"/>
  <c r="H4839" i="1"/>
  <c r="A4839" i="1"/>
  <c r="I4838" i="1"/>
  <c r="H4838" i="1"/>
  <c r="A4838" i="1"/>
  <c r="I4837" i="1"/>
  <c r="H4837" i="1"/>
  <c r="A4837" i="1"/>
  <c r="I4836" i="1"/>
  <c r="H4836" i="1"/>
  <c r="A4836" i="1"/>
  <c r="I4835" i="1"/>
  <c r="H4835" i="1"/>
  <c r="A4835" i="1"/>
  <c r="I4834" i="1"/>
  <c r="H4834" i="1"/>
  <c r="A4834" i="1"/>
  <c r="I4833" i="1"/>
  <c r="H4833" i="1"/>
  <c r="A4833" i="1"/>
  <c r="I4832" i="1"/>
  <c r="H4832" i="1"/>
  <c r="A4832" i="1"/>
  <c r="I4831" i="1"/>
  <c r="H4831" i="1"/>
  <c r="A4831" i="1"/>
  <c r="I4830" i="1"/>
  <c r="H4830" i="1"/>
  <c r="A4830" i="1"/>
  <c r="I4829" i="1"/>
  <c r="H4829" i="1"/>
  <c r="A4829" i="1"/>
  <c r="I4828" i="1"/>
  <c r="H4828" i="1"/>
  <c r="A4828" i="1"/>
  <c r="I4827" i="1"/>
  <c r="H4827" i="1"/>
  <c r="A4827" i="1"/>
  <c r="I4826" i="1"/>
  <c r="H4826" i="1"/>
  <c r="A4826" i="1"/>
  <c r="I4825" i="1"/>
  <c r="H4825" i="1"/>
  <c r="A4825" i="1"/>
  <c r="I4824" i="1"/>
  <c r="H4824" i="1"/>
  <c r="A4824" i="1"/>
  <c r="I4823" i="1"/>
  <c r="H4823" i="1"/>
  <c r="A4823" i="1"/>
  <c r="I4822" i="1"/>
  <c r="H4822" i="1"/>
  <c r="A4822" i="1"/>
  <c r="I4821" i="1"/>
  <c r="H4821" i="1"/>
  <c r="A4821" i="1"/>
  <c r="I4820" i="1"/>
  <c r="H4820" i="1"/>
  <c r="A4820" i="1"/>
  <c r="I4819" i="1"/>
  <c r="H4819" i="1"/>
  <c r="A4819" i="1"/>
  <c r="I4818" i="1"/>
  <c r="H4818" i="1"/>
  <c r="A4818" i="1"/>
  <c r="I4817" i="1"/>
  <c r="H4817" i="1"/>
  <c r="A4817" i="1"/>
  <c r="I4816" i="1"/>
  <c r="H4816" i="1"/>
  <c r="A4816" i="1"/>
  <c r="I4815" i="1"/>
  <c r="H4815" i="1"/>
  <c r="A4815" i="1"/>
  <c r="I4814" i="1"/>
  <c r="H4814" i="1"/>
  <c r="A4814" i="1"/>
  <c r="I4813" i="1"/>
  <c r="H4813" i="1"/>
  <c r="A4813" i="1"/>
  <c r="I4812" i="1"/>
  <c r="H4812" i="1"/>
  <c r="A4812" i="1"/>
  <c r="I4811" i="1"/>
  <c r="H4811" i="1"/>
  <c r="A4811" i="1"/>
  <c r="I4810" i="1"/>
  <c r="H4810" i="1"/>
  <c r="A4810" i="1"/>
  <c r="I4809" i="1"/>
  <c r="H4809" i="1"/>
  <c r="A4809" i="1"/>
  <c r="I4808" i="1"/>
  <c r="H4808" i="1"/>
  <c r="A4808" i="1"/>
  <c r="I4807" i="1"/>
  <c r="H4807" i="1"/>
  <c r="A4807" i="1"/>
  <c r="I4806" i="1"/>
  <c r="H4806" i="1"/>
  <c r="A4806" i="1"/>
  <c r="I4805" i="1"/>
  <c r="H4805" i="1"/>
  <c r="A4805" i="1"/>
  <c r="I4804" i="1"/>
  <c r="H4804" i="1"/>
  <c r="A4804" i="1"/>
  <c r="I4803" i="1"/>
  <c r="H4803" i="1"/>
  <c r="A4803" i="1"/>
  <c r="I4802" i="1"/>
  <c r="H4802" i="1"/>
  <c r="A4802" i="1"/>
  <c r="I4801" i="1"/>
  <c r="H4801" i="1"/>
  <c r="A4801" i="1"/>
  <c r="I4800" i="1"/>
  <c r="H4800" i="1"/>
  <c r="A4800" i="1"/>
  <c r="I4799" i="1"/>
  <c r="H4799" i="1"/>
  <c r="A4799" i="1"/>
  <c r="I4798" i="1"/>
  <c r="H4798" i="1"/>
  <c r="A4798" i="1"/>
  <c r="I4797" i="1"/>
  <c r="H4797" i="1"/>
  <c r="A4797" i="1"/>
  <c r="I4796" i="1"/>
  <c r="H4796" i="1"/>
  <c r="A4796" i="1"/>
  <c r="I4795" i="1"/>
  <c r="H4795" i="1"/>
  <c r="A4795" i="1"/>
  <c r="I4794" i="1"/>
  <c r="H4794" i="1"/>
  <c r="A4794" i="1"/>
  <c r="I4793" i="1"/>
  <c r="H4793" i="1"/>
  <c r="A4793" i="1"/>
  <c r="I4792" i="1"/>
  <c r="H4792" i="1"/>
  <c r="A4792" i="1"/>
  <c r="I4791" i="1"/>
  <c r="H4791" i="1"/>
  <c r="A4791" i="1"/>
  <c r="I4790" i="1"/>
  <c r="H4790" i="1"/>
  <c r="A4790" i="1"/>
  <c r="I4789" i="1"/>
  <c r="H4789" i="1"/>
  <c r="A4789" i="1"/>
  <c r="I4788" i="1"/>
  <c r="H4788" i="1"/>
  <c r="A4788" i="1"/>
  <c r="I4787" i="1"/>
  <c r="H4787" i="1"/>
  <c r="A4787" i="1"/>
  <c r="I4786" i="1"/>
  <c r="H4786" i="1"/>
  <c r="A4786" i="1"/>
  <c r="I4785" i="1"/>
  <c r="H4785" i="1"/>
  <c r="A4785" i="1"/>
  <c r="I4784" i="1"/>
  <c r="H4784" i="1"/>
  <c r="A4784" i="1"/>
  <c r="I4783" i="1"/>
  <c r="H4783" i="1"/>
  <c r="A4783" i="1"/>
  <c r="I4782" i="1"/>
  <c r="H4782" i="1"/>
  <c r="A4782" i="1"/>
  <c r="I4781" i="1"/>
  <c r="H4781" i="1"/>
  <c r="A4781" i="1"/>
  <c r="I4780" i="1"/>
  <c r="H4780" i="1"/>
  <c r="A4780" i="1"/>
  <c r="I4779" i="1"/>
  <c r="H4779" i="1"/>
  <c r="A4779" i="1"/>
  <c r="I4778" i="1"/>
  <c r="H4778" i="1"/>
  <c r="A4778" i="1"/>
  <c r="I4777" i="1"/>
  <c r="H4777" i="1"/>
  <c r="A4777" i="1"/>
  <c r="I4776" i="1"/>
  <c r="H4776" i="1"/>
  <c r="A4776" i="1"/>
  <c r="I4775" i="1"/>
  <c r="H4775" i="1"/>
  <c r="A4775" i="1"/>
  <c r="I4774" i="1"/>
  <c r="H4774" i="1"/>
  <c r="A4774" i="1"/>
  <c r="I4773" i="1"/>
  <c r="H4773" i="1"/>
  <c r="A4773" i="1"/>
  <c r="I4772" i="1"/>
  <c r="H4772" i="1"/>
  <c r="A4772" i="1"/>
  <c r="I4771" i="1"/>
  <c r="H4771" i="1"/>
  <c r="A4771" i="1"/>
  <c r="I4770" i="1"/>
  <c r="H4770" i="1"/>
  <c r="A4770" i="1"/>
  <c r="I4769" i="1"/>
  <c r="H4769" i="1"/>
  <c r="A4769" i="1"/>
  <c r="I4768" i="1"/>
  <c r="H4768" i="1"/>
  <c r="A4768" i="1"/>
  <c r="I4767" i="1"/>
  <c r="H4767" i="1"/>
  <c r="A4767" i="1"/>
  <c r="I4766" i="1"/>
  <c r="H4766" i="1"/>
  <c r="A4766" i="1"/>
  <c r="I4765" i="1"/>
  <c r="H4765" i="1"/>
  <c r="A4765" i="1"/>
  <c r="I4764" i="1"/>
  <c r="H4764" i="1"/>
  <c r="A4764" i="1"/>
  <c r="I4763" i="1"/>
  <c r="H4763" i="1"/>
  <c r="A4763" i="1"/>
  <c r="I4762" i="1"/>
  <c r="H4762" i="1"/>
  <c r="A4762" i="1"/>
  <c r="I4761" i="1"/>
  <c r="H4761" i="1"/>
  <c r="A4761" i="1"/>
  <c r="I4760" i="1"/>
  <c r="H4760" i="1"/>
  <c r="A4760" i="1"/>
  <c r="I4759" i="1"/>
  <c r="H4759" i="1"/>
  <c r="A4759" i="1"/>
  <c r="I4758" i="1"/>
  <c r="H4758" i="1"/>
  <c r="A4758" i="1"/>
  <c r="I4757" i="1"/>
  <c r="H4757" i="1"/>
  <c r="A4757" i="1"/>
  <c r="I4756" i="1"/>
  <c r="H4756" i="1"/>
  <c r="A4756" i="1"/>
  <c r="I4755" i="1"/>
  <c r="H4755" i="1"/>
  <c r="A4755" i="1"/>
  <c r="I4754" i="1"/>
  <c r="H4754" i="1"/>
  <c r="A4754" i="1"/>
  <c r="I4753" i="1"/>
  <c r="H4753" i="1"/>
  <c r="A4753" i="1"/>
  <c r="I4752" i="1"/>
  <c r="H4752" i="1"/>
  <c r="A4752" i="1"/>
  <c r="I4751" i="1"/>
  <c r="H4751" i="1"/>
  <c r="A4751" i="1"/>
  <c r="I4750" i="1"/>
  <c r="H4750" i="1"/>
  <c r="A4750" i="1"/>
  <c r="I4749" i="1"/>
  <c r="H4749" i="1"/>
  <c r="A4749" i="1"/>
  <c r="I4748" i="1"/>
  <c r="H4748" i="1"/>
  <c r="A4748" i="1"/>
  <c r="I4747" i="1"/>
  <c r="H4747" i="1"/>
  <c r="A4747" i="1"/>
  <c r="I4746" i="1"/>
  <c r="H4746" i="1"/>
  <c r="A4746" i="1"/>
  <c r="I4745" i="1"/>
  <c r="H4745" i="1"/>
  <c r="A4745" i="1"/>
  <c r="I4744" i="1"/>
  <c r="H4744" i="1"/>
  <c r="A4744" i="1"/>
  <c r="I4743" i="1"/>
  <c r="H4743" i="1"/>
  <c r="A4743" i="1"/>
  <c r="I4742" i="1"/>
  <c r="H4742" i="1"/>
  <c r="A4742" i="1"/>
  <c r="I4741" i="1"/>
  <c r="H4741" i="1"/>
  <c r="A4741" i="1"/>
  <c r="I4740" i="1"/>
  <c r="H4740" i="1"/>
  <c r="A4740" i="1"/>
  <c r="I4739" i="1"/>
  <c r="H4739" i="1"/>
  <c r="A4739" i="1"/>
  <c r="I4738" i="1"/>
  <c r="H4738" i="1"/>
  <c r="A4738" i="1"/>
  <c r="I4737" i="1"/>
  <c r="H4737" i="1"/>
  <c r="A4737" i="1"/>
  <c r="I4736" i="1"/>
  <c r="H4736" i="1"/>
  <c r="A4736" i="1"/>
  <c r="I4735" i="1"/>
  <c r="H4735" i="1"/>
  <c r="A4735" i="1"/>
  <c r="I4734" i="1"/>
  <c r="H4734" i="1"/>
  <c r="A4734" i="1"/>
  <c r="I4733" i="1"/>
  <c r="H4733" i="1"/>
  <c r="A4733" i="1"/>
  <c r="I4732" i="1"/>
  <c r="H4732" i="1"/>
  <c r="A4732" i="1"/>
  <c r="I4731" i="1"/>
  <c r="H4731" i="1"/>
  <c r="A4731" i="1"/>
  <c r="I4730" i="1"/>
  <c r="H4730" i="1"/>
  <c r="A4730" i="1"/>
  <c r="I4729" i="1"/>
  <c r="H4729" i="1"/>
  <c r="A4729" i="1"/>
  <c r="I4728" i="1"/>
  <c r="H4728" i="1"/>
  <c r="A4728" i="1"/>
  <c r="I4727" i="1"/>
  <c r="H4727" i="1"/>
  <c r="A4727" i="1"/>
  <c r="I4726" i="1"/>
  <c r="H4726" i="1"/>
  <c r="A4726" i="1"/>
  <c r="I4725" i="1"/>
  <c r="H4725" i="1"/>
  <c r="A4725" i="1"/>
  <c r="I4724" i="1"/>
  <c r="H4724" i="1"/>
  <c r="A4724" i="1"/>
  <c r="I4723" i="1"/>
  <c r="H4723" i="1"/>
  <c r="A4723" i="1"/>
  <c r="I4722" i="1"/>
  <c r="H4722" i="1"/>
  <c r="A4722" i="1"/>
  <c r="I4721" i="1"/>
  <c r="H4721" i="1"/>
  <c r="A4721" i="1"/>
  <c r="I4720" i="1"/>
  <c r="H4720" i="1"/>
  <c r="A4720" i="1"/>
  <c r="I4719" i="1"/>
  <c r="H4719" i="1"/>
  <c r="A4719" i="1"/>
  <c r="I4718" i="1"/>
  <c r="H4718" i="1"/>
  <c r="A4718" i="1"/>
  <c r="I4717" i="1"/>
  <c r="H4717" i="1"/>
  <c r="A4717" i="1"/>
  <c r="I4716" i="1"/>
  <c r="H4716" i="1"/>
  <c r="A4716" i="1"/>
  <c r="I4715" i="1"/>
  <c r="H4715" i="1"/>
  <c r="A4715" i="1"/>
  <c r="I4714" i="1"/>
  <c r="H4714" i="1"/>
  <c r="A4714" i="1"/>
  <c r="I4713" i="1"/>
  <c r="H4713" i="1"/>
  <c r="A4713" i="1"/>
  <c r="I4712" i="1"/>
  <c r="H4712" i="1"/>
  <c r="A4712" i="1"/>
  <c r="I4711" i="1"/>
  <c r="H4711" i="1"/>
  <c r="A4711" i="1"/>
  <c r="I4710" i="1"/>
  <c r="H4710" i="1"/>
  <c r="A4710" i="1"/>
  <c r="I4709" i="1"/>
  <c r="H4709" i="1"/>
  <c r="A4709" i="1"/>
  <c r="I4708" i="1"/>
  <c r="H4708" i="1"/>
  <c r="A4708" i="1"/>
  <c r="I4707" i="1"/>
  <c r="H4707" i="1"/>
  <c r="A4707" i="1"/>
  <c r="I4706" i="1"/>
  <c r="H4706" i="1"/>
  <c r="A4706" i="1"/>
  <c r="I4705" i="1"/>
  <c r="H4705" i="1"/>
  <c r="A4705" i="1"/>
  <c r="I4704" i="1"/>
  <c r="H4704" i="1"/>
  <c r="A4704" i="1"/>
  <c r="I4703" i="1"/>
  <c r="H4703" i="1"/>
  <c r="A4703" i="1"/>
  <c r="I4702" i="1"/>
  <c r="H4702" i="1"/>
  <c r="A4702" i="1"/>
  <c r="I4701" i="1"/>
  <c r="H4701" i="1"/>
  <c r="A4701" i="1"/>
  <c r="I4700" i="1"/>
  <c r="H4700" i="1"/>
  <c r="A4700" i="1"/>
  <c r="I4699" i="1"/>
  <c r="H4699" i="1"/>
  <c r="A4699" i="1"/>
  <c r="I4698" i="1"/>
  <c r="H4698" i="1"/>
  <c r="A4698" i="1"/>
  <c r="I4697" i="1"/>
  <c r="H4697" i="1"/>
  <c r="A4697" i="1"/>
  <c r="I4696" i="1"/>
  <c r="H4696" i="1"/>
  <c r="A4696" i="1"/>
  <c r="I4695" i="1"/>
  <c r="H4695" i="1"/>
  <c r="A4695" i="1"/>
  <c r="I4694" i="1"/>
  <c r="H4694" i="1"/>
  <c r="A4694" i="1"/>
  <c r="I4693" i="1"/>
  <c r="H4693" i="1"/>
  <c r="A4693" i="1"/>
  <c r="I4692" i="1"/>
  <c r="H4692" i="1"/>
  <c r="A4692" i="1"/>
  <c r="I4691" i="1"/>
  <c r="H4691" i="1"/>
  <c r="A4691" i="1"/>
  <c r="I4690" i="1"/>
  <c r="H4690" i="1"/>
  <c r="A4690" i="1"/>
  <c r="I4689" i="1"/>
  <c r="H4689" i="1"/>
  <c r="A4689" i="1"/>
  <c r="I4688" i="1"/>
  <c r="H4688" i="1"/>
  <c r="A4688" i="1"/>
  <c r="I4687" i="1"/>
  <c r="H4687" i="1"/>
  <c r="A4687" i="1"/>
  <c r="I4686" i="1"/>
  <c r="H4686" i="1"/>
  <c r="A4686" i="1"/>
  <c r="I4685" i="1"/>
  <c r="H4685" i="1"/>
  <c r="A4685" i="1"/>
  <c r="I4684" i="1"/>
  <c r="H4684" i="1"/>
  <c r="A4684" i="1"/>
  <c r="I4683" i="1"/>
  <c r="H4683" i="1"/>
  <c r="A4683" i="1"/>
  <c r="I4682" i="1"/>
  <c r="H4682" i="1"/>
  <c r="A4682" i="1"/>
  <c r="I4681" i="1"/>
  <c r="H4681" i="1"/>
  <c r="A4681" i="1"/>
  <c r="I4680" i="1"/>
  <c r="H4680" i="1"/>
  <c r="A4680" i="1"/>
  <c r="I4679" i="1"/>
  <c r="H4679" i="1"/>
  <c r="A4679" i="1"/>
  <c r="I4678" i="1"/>
  <c r="H4678" i="1"/>
  <c r="A4678" i="1"/>
  <c r="I4677" i="1"/>
  <c r="H4677" i="1"/>
  <c r="A4677" i="1"/>
  <c r="I4676" i="1"/>
  <c r="H4676" i="1"/>
  <c r="A4676" i="1"/>
  <c r="I4675" i="1"/>
  <c r="H4675" i="1"/>
  <c r="A4675" i="1"/>
  <c r="I4674" i="1"/>
  <c r="H4674" i="1"/>
  <c r="A4674" i="1"/>
  <c r="I4673" i="1"/>
  <c r="H4673" i="1"/>
  <c r="A4673" i="1"/>
  <c r="I4672" i="1"/>
  <c r="H4672" i="1"/>
  <c r="A4672" i="1"/>
  <c r="I4671" i="1"/>
  <c r="H4671" i="1"/>
  <c r="A4671" i="1"/>
  <c r="I4670" i="1"/>
  <c r="H4670" i="1"/>
  <c r="A4670" i="1"/>
  <c r="I4669" i="1"/>
  <c r="H4669" i="1"/>
  <c r="A4669" i="1"/>
  <c r="I4668" i="1"/>
  <c r="H4668" i="1"/>
  <c r="A4668" i="1"/>
  <c r="I4667" i="1"/>
  <c r="H4667" i="1"/>
  <c r="A4667" i="1"/>
  <c r="I4666" i="1"/>
  <c r="H4666" i="1"/>
  <c r="A4666" i="1"/>
  <c r="I4665" i="1"/>
  <c r="H4665" i="1"/>
  <c r="A4665" i="1"/>
  <c r="I4664" i="1"/>
  <c r="H4664" i="1"/>
  <c r="A4664" i="1"/>
  <c r="I4663" i="1"/>
  <c r="H4663" i="1"/>
  <c r="A4663" i="1"/>
  <c r="I4662" i="1"/>
  <c r="H4662" i="1"/>
  <c r="A4662" i="1"/>
  <c r="I4661" i="1"/>
  <c r="H4661" i="1"/>
  <c r="A4661" i="1"/>
  <c r="I4660" i="1"/>
  <c r="H4660" i="1"/>
  <c r="A4660" i="1"/>
  <c r="I4659" i="1"/>
  <c r="H4659" i="1"/>
  <c r="A4659" i="1"/>
  <c r="I4658" i="1"/>
  <c r="H4658" i="1"/>
  <c r="A4658" i="1"/>
  <c r="I4657" i="1"/>
  <c r="H4657" i="1"/>
  <c r="A4657" i="1"/>
  <c r="I4656" i="1"/>
  <c r="H4656" i="1"/>
  <c r="A4656" i="1"/>
  <c r="I4655" i="1"/>
  <c r="H4655" i="1"/>
  <c r="A4655" i="1"/>
  <c r="I4654" i="1"/>
  <c r="H4654" i="1"/>
  <c r="A4654" i="1"/>
  <c r="I4653" i="1"/>
  <c r="H4653" i="1"/>
  <c r="A4653" i="1"/>
  <c r="I4652" i="1"/>
  <c r="H4652" i="1"/>
  <c r="A4652" i="1"/>
  <c r="I4651" i="1"/>
  <c r="H4651" i="1"/>
  <c r="A4651" i="1"/>
  <c r="I4650" i="1"/>
  <c r="H4650" i="1"/>
  <c r="A4650" i="1"/>
  <c r="I4649" i="1"/>
  <c r="H4649" i="1"/>
  <c r="A4649" i="1"/>
  <c r="I4648" i="1"/>
  <c r="H4648" i="1"/>
  <c r="A4648" i="1"/>
  <c r="I4647" i="1"/>
  <c r="H4647" i="1"/>
  <c r="A4647" i="1"/>
  <c r="I4646" i="1"/>
  <c r="H4646" i="1"/>
  <c r="A4646" i="1"/>
  <c r="I4645" i="1"/>
  <c r="H4645" i="1"/>
  <c r="A4645" i="1"/>
  <c r="I4644" i="1"/>
  <c r="H4644" i="1"/>
  <c r="A4644" i="1"/>
  <c r="I4643" i="1"/>
  <c r="H4643" i="1"/>
  <c r="A4643" i="1"/>
  <c r="I4642" i="1"/>
  <c r="H4642" i="1"/>
  <c r="A4642" i="1"/>
  <c r="I4641" i="1"/>
  <c r="H4641" i="1"/>
  <c r="A4641" i="1"/>
  <c r="I4640" i="1"/>
  <c r="H4640" i="1"/>
  <c r="A4640" i="1"/>
  <c r="I4639" i="1"/>
  <c r="H4639" i="1"/>
  <c r="A4639" i="1"/>
  <c r="I4638" i="1"/>
  <c r="H4638" i="1"/>
  <c r="A4638" i="1"/>
  <c r="I4637" i="1"/>
  <c r="H4637" i="1"/>
  <c r="A4637" i="1"/>
  <c r="I4636" i="1"/>
  <c r="H4636" i="1"/>
  <c r="A4636" i="1"/>
  <c r="I4635" i="1"/>
  <c r="H4635" i="1"/>
  <c r="A4635" i="1"/>
  <c r="I4634" i="1"/>
  <c r="H4634" i="1"/>
  <c r="A4634" i="1"/>
  <c r="I4633" i="1"/>
  <c r="H4633" i="1"/>
  <c r="A4633" i="1"/>
  <c r="I4632" i="1"/>
  <c r="H4632" i="1"/>
  <c r="A4632" i="1"/>
  <c r="I4631" i="1"/>
  <c r="H4631" i="1"/>
  <c r="A4631" i="1"/>
  <c r="I4630" i="1"/>
  <c r="H4630" i="1"/>
  <c r="A4630" i="1"/>
  <c r="I4629" i="1"/>
  <c r="H4629" i="1"/>
  <c r="A4629" i="1"/>
  <c r="I4628" i="1"/>
  <c r="H4628" i="1"/>
  <c r="A4628" i="1"/>
  <c r="I4627" i="1"/>
  <c r="H4627" i="1"/>
  <c r="A4627" i="1"/>
  <c r="I4626" i="1"/>
  <c r="H4626" i="1"/>
  <c r="A4626" i="1"/>
  <c r="I4625" i="1"/>
  <c r="H4625" i="1"/>
  <c r="A4625" i="1"/>
  <c r="I4624" i="1"/>
  <c r="H4624" i="1"/>
  <c r="A4624" i="1"/>
  <c r="I4623" i="1"/>
  <c r="H4623" i="1"/>
  <c r="A4623" i="1"/>
  <c r="I4622" i="1"/>
  <c r="H4622" i="1"/>
  <c r="A4622" i="1"/>
  <c r="I4621" i="1"/>
  <c r="H4621" i="1"/>
  <c r="A4621" i="1"/>
  <c r="I4620" i="1"/>
  <c r="H4620" i="1"/>
  <c r="A4620" i="1"/>
  <c r="I4619" i="1"/>
  <c r="H4619" i="1"/>
  <c r="A4619" i="1"/>
  <c r="I4618" i="1"/>
  <c r="H4618" i="1"/>
  <c r="A4618" i="1"/>
  <c r="I4617" i="1"/>
  <c r="H4617" i="1"/>
  <c r="A4617" i="1"/>
  <c r="I4616" i="1"/>
  <c r="H4616" i="1"/>
  <c r="A4616" i="1"/>
  <c r="I4615" i="1"/>
  <c r="H4615" i="1"/>
  <c r="A4615" i="1"/>
  <c r="I4614" i="1"/>
  <c r="H4614" i="1"/>
  <c r="A4614" i="1"/>
  <c r="I4613" i="1"/>
  <c r="H4613" i="1"/>
  <c r="A4613" i="1"/>
  <c r="I4612" i="1"/>
  <c r="H4612" i="1"/>
  <c r="A4612" i="1"/>
  <c r="I4611" i="1"/>
  <c r="H4611" i="1"/>
  <c r="A4611" i="1"/>
  <c r="I4610" i="1"/>
  <c r="H4610" i="1"/>
  <c r="A4610" i="1"/>
  <c r="I4609" i="1"/>
  <c r="H4609" i="1"/>
  <c r="A4609" i="1"/>
  <c r="I4608" i="1"/>
  <c r="H4608" i="1"/>
  <c r="A4608" i="1"/>
  <c r="I4607" i="1"/>
  <c r="H4607" i="1"/>
  <c r="A4607" i="1"/>
  <c r="I4606" i="1"/>
  <c r="H4606" i="1"/>
  <c r="A4606" i="1"/>
  <c r="I4605" i="1"/>
  <c r="H4605" i="1"/>
  <c r="A4605" i="1"/>
  <c r="I4604" i="1"/>
  <c r="H4604" i="1"/>
  <c r="A4604" i="1"/>
  <c r="I4603" i="1"/>
  <c r="H4603" i="1"/>
  <c r="A4603" i="1"/>
  <c r="I4602" i="1"/>
  <c r="H4602" i="1"/>
  <c r="A4602" i="1"/>
  <c r="I4601" i="1"/>
  <c r="H4601" i="1"/>
  <c r="A4601" i="1"/>
  <c r="I4600" i="1"/>
  <c r="H4600" i="1"/>
  <c r="A4600" i="1"/>
  <c r="I4599" i="1"/>
  <c r="H4599" i="1"/>
  <c r="A4599" i="1"/>
  <c r="I4598" i="1"/>
  <c r="H4598" i="1"/>
  <c r="A4598" i="1"/>
  <c r="I4597" i="1"/>
  <c r="H4597" i="1"/>
  <c r="A4597" i="1"/>
  <c r="I4596" i="1"/>
  <c r="H4596" i="1"/>
  <c r="A4596" i="1"/>
  <c r="I4595" i="1"/>
  <c r="H4595" i="1"/>
  <c r="A4595" i="1"/>
  <c r="I4594" i="1"/>
  <c r="H4594" i="1"/>
  <c r="A4594" i="1"/>
  <c r="I4593" i="1"/>
  <c r="H4593" i="1"/>
  <c r="A4593" i="1"/>
  <c r="I4592" i="1"/>
  <c r="H4592" i="1"/>
  <c r="A4592" i="1"/>
  <c r="I4591" i="1"/>
  <c r="H4591" i="1"/>
  <c r="A4591" i="1"/>
  <c r="I4590" i="1"/>
  <c r="H4590" i="1"/>
  <c r="A4590" i="1"/>
  <c r="I4589" i="1"/>
  <c r="H4589" i="1"/>
  <c r="A4589" i="1"/>
  <c r="I4588" i="1"/>
  <c r="H4588" i="1"/>
  <c r="A4588" i="1"/>
  <c r="I4587" i="1"/>
  <c r="H4587" i="1"/>
  <c r="A4587" i="1"/>
  <c r="I4586" i="1"/>
  <c r="H4586" i="1"/>
  <c r="A4586" i="1"/>
  <c r="I4585" i="1"/>
  <c r="H4585" i="1"/>
  <c r="A4585" i="1"/>
  <c r="I4584" i="1"/>
  <c r="H4584" i="1"/>
  <c r="A4584" i="1"/>
  <c r="I4583" i="1"/>
  <c r="H4583" i="1"/>
  <c r="A4583" i="1"/>
  <c r="I4582" i="1"/>
  <c r="H4582" i="1"/>
  <c r="A4582" i="1"/>
  <c r="I4581" i="1"/>
  <c r="H4581" i="1"/>
  <c r="A4581" i="1"/>
  <c r="I4580" i="1"/>
  <c r="H4580" i="1"/>
  <c r="A4580" i="1"/>
  <c r="I4579" i="1"/>
  <c r="H4579" i="1"/>
  <c r="A4579" i="1"/>
  <c r="I4578" i="1"/>
  <c r="H4578" i="1"/>
  <c r="A4578" i="1"/>
  <c r="I4577" i="1"/>
  <c r="H4577" i="1"/>
  <c r="A4577" i="1"/>
  <c r="I4576" i="1"/>
  <c r="H4576" i="1"/>
  <c r="A4576" i="1"/>
  <c r="I4575" i="1"/>
  <c r="H4575" i="1"/>
  <c r="A4575" i="1"/>
  <c r="I4574" i="1"/>
  <c r="H4574" i="1"/>
  <c r="A4574" i="1"/>
  <c r="I4573" i="1"/>
  <c r="H4573" i="1"/>
  <c r="A4573" i="1"/>
  <c r="I4572" i="1"/>
  <c r="H4572" i="1"/>
  <c r="A4572" i="1"/>
  <c r="I4571" i="1"/>
  <c r="H4571" i="1"/>
  <c r="A4571" i="1"/>
  <c r="I4570" i="1"/>
  <c r="H4570" i="1"/>
  <c r="A4570" i="1"/>
  <c r="I4569" i="1"/>
  <c r="H4569" i="1"/>
  <c r="A4569" i="1"/>
  <c r="I4568" i="1"/>
  <c r="H4568" i="1"/>
  <c r="A4568" i="1"/>
  <c r="I4567" i="1"/>
  <c r="H4567" i="1"/>
  <c r="A4567" i="1"/>
  <c r="I4566" i="1"/>
  <c r="H4566" i="1"/>
  <c r="A4566" i="1"/>
  <c r="I4565" i="1"/>
  <c r="H4565" i="1"/>
  <c r="A4565" i="1"/>
  <c r="I4564" i="1"/>
  <c r="H4564" i="1"/>
  <c r="A4564" i="1"/>
  <c r="I4563" i="1"/>
  <c r="H4563" i="1"/>
  <c r="A4563" i="1"/>
  <c r="I4562" i="1"/>
  <c r="H4562" i="1"/>
  <c r="A4562" i="1"/>
  <c r="I4561" i="1"/>
  <c r="H4561" i="1"/>
  <c r="A4561" i="1"/>
  <c r="I4560" i="1"/>
  <c r="H4560" i="1"/>
  <c r="A4560" i="1"/>
  <c r="I4559" i="1"/>
  <c r="H4559" i="1"/>
  <c r="A4559" i="1"/>
  <c r="I4558" i="1"/>
  <c r="H4558" i="1"/>
  <c r="A4558" i="1"/>
  <c r="I4557" i="1"/>
  <c r="H4557" i="1"/>
  <c r="A4557" i="1"/>
  <c r="I4556" i="1"/>
  <c r="H4556" i="1"/>
  <c r="A4556" i="1"/>
  <c r="I4555" i="1"/>
  <c r="H4555" i="1"/>
  <c r="A4555" i="1"/>
  <c r="I4554" i="1"/>
  <c r="H4554" i="1"/>
  <c r="A4554" i="1"/>
  <c r="I4553" i="1"/>
  <c r="H4553" i="1"/>
  <c r="A4553" i="1"/>
  <c r="I4552" i="1"/>
  <c r="H4552" i="1"/>
  <c r="A4552" i="1"/>
  <c r="I4551" i="1"/>
  <c r="H4551" i="1"/>
  <c r="A4551" i="1"/>
  <c r="I4550" i="1"/>
  <c r="H4550" i="1"/>
  <c r="A4550" i="1"/>
  <c r="I4549" i="1"/>
  <c r="H4549" i="1"/>
  <c r="A4549" i="1"/>
  <c r="I4548" i="1"/>
  <c r="H4548" i="1"/>
  <c r="A4548" i="1"/>
  <c r="I4547" i="1"/>
  <c r="H4547" i="1"/>
  <c r="A4547" i="1"/>
  <c r="I4546" i="1"/>
  <c r="H4546" i="1"/>
  <c r="A4546" i="1"/>
  <c r="I4545" i="1"/>
  <c r="H4545" i="1"/>
  <c r="A4545" i="1"/>
  <c r="I4544" i="1"/>
  <c r="H4544" i="1"/>
  <c r="A4544" i="1"/>
  <c r="I4543" i="1"/>
  <c r="H4543" i="1"/>
  <c r="A4543" i="1"/>
  <c r="I4542" i="1"/>
  <c r="H4542" i="1"/>
  <c r="A4542" i="1"/>
  <c r="I4541" i="1"/>
  <c r="H4541" i="1"/>
  <c r="A4541" i="1"/>
  <c r="I4540" i="1"/>
  <c r="H4540" i="1"/>
  <c r="A4540" i="1"/>
  <c r="I4539" i="1"/>
  <c r="H4539" i="1"/>
  <c r="A4539" i="1"/>
  <c r="I4538" i="1"/>
  <c r="H4538" i="1"/>
  <c r="A4538" i="1"/>
  <c r="I4537" i="1"/>
  <c r="H4537" i="1"/>
  <c r="A4537" i="1"/>
  <c r="I4536" i="1"/>
  <c r="H4536" i="1"/>
  <c r="A4536" i="1"/>
  <c r="I4535" i="1"/>
  <c r="H4535" i="1"/>
  <c r="A4535" i="1"/>
  <c r="I4534" i="1"/>
  <c r="H4534" i="1"/>
  <c r="A4534" i="1"/>
  <c r="I4533" i="1"/>
  <c r="H4533" i="1"/>
  <c r="A4533" i="1"/>
  <c r="I4532" i="1"/>
  <c r="H4532" i="1"/>
  <c r="A4532" i="1"/>
  <c r="I4531" i="1"/>
  <c r="H4531" i="1"/>
  <c r="A4531" i="1"/>
  <c r="I4530" i="1"/>
  <c r="H4530" i="1"/>
  <c r="A4530" i="1"/>
  <c r="I4529" i="1"/>
  <c r="H4529" i="1"/>
  <c r="A4529" i="1"/>
  <c r="I4528" i="1"/>
  <c r="H4528" i="1"/>
  <c r="A4528" i="1"/>
  <c r="I4527" i="1"/>
  <c r="H4527" i="1"/>
  <c r="A4527" i="1"/>
  <c r="I4526" i="1"/>
  <c r="H4526" i="1"/>
  <c r="A4526" i="1"/>
  <c r="I4525" i="1"/>
  <c r="H4525" i="1"/>
  <c r="A4525" i="1"/>
  <c r="I4524" i="1"/>
  <c r="H4524" i="1"/>
  <c r="A4524" i="1"/>
  <c r="I4523" i="1"/>
  <c r="H4523" i="1"/>
  <c r="A4523" i="1"/>
  <c r="I4522" i="1"/>
  <c r="H4522" i="1"/>
  <c r="A4522" i="1"/>
  <c r="I4521" i="1"/>
  <c r="H4521" i="1"/>
  <c r="A4521" i="1"/>
  <c r="I4520" i="1"/>
  <c r="H4520" i="1"/>
  <c r="A4520" i="1"/>
  <c r="I4519" i="1"/>
  <c r="H4519" i="1"/>
  <c r="A4519" i="1"/>
  <c r="I4518" i="1"/>
  <c r="H4518" i="1"/>
  <c r="A4518" i="1"/>
  <c r="I4517" i="1"/>
  <c r="H4517" i="1"/>
  <c r="A4517" i="1"/>
  <c r="I4516" i="1"/>
  <c r="H4516" i="1"/>
  <c r="A4516" i="1"/>
  <c r="I4515" i="1"/>
  <c r="H4515" i="1"/>
  <c r="A4515" i="1"/>
  <c r="I4514" i="1"/>
  <c r="H4514" i="1"/>
  <c r="A4514" i="1"/>
  <c r="I4513" i="1"/>
  <c r="H4513" i="1"/>
  <c r="A4513" i="1"/>
  <c r="I4512" i="1"/>
  <c r="H4512" i="1"/>
  <c r="A4512" i="1"/>
  <c r="I4511" i="1"/>
  <c r="H4511" i="1"/>
  <c r="A4511" i="1"/>
  <c r="I4510" i="1"/>
  <c r="H4510" i="1"/>
  <c r="A4510" i="1"/>
  <c r="I4509" i="1"/>
  <c r="H4509" i="1"/>
  <c r="A4509" i="1"/>
  <c r="I4508" i="1"/>
  <c r="H4508" i="1"/>
  <c r="A4508" i="1"/>
  <c r="I4507" i="1"/>
  <c r="H4507" i="1"/>
  <c r="A4507" i="1"/>
  <c r="I4506" i="1"/>
  <c r="H4506" i="1"/>
  <c r="A4506" i="1"/>
  <c r="I4505" i="1"/>
  <c r="H4505" i="1"/>
  <c r="A4505" i="1"/>
  <c r="I4504" i="1"/>
  <c r="H4504" i="1"/>
  <c r="A4504" i="1"/>
  <c r="I4503" i="1"/>
  <c r="H4503" i="1"/>
  <c r="A4503" i="1"/>
  <c r="I4502" i="1"/>
  <c r="H4502" i="1"/>
  <c r="A4502" i="1"/>
  <c r="I4501" i="1"/>
  <c r="H4501" i="1"/>
  <c r="A4501" i="1"/>
  <c r="I4500" i="1"/>
  <c r="H4500" i="1"/>
  <c r="A4500" i="1"/>
  <c r="I4499" i="1"/>
  <c r="H4499" i="1"/>
  <c r="A4499" i="1"/>
  <c r="I4498" i="1"/>
  <c r="H4498" i="1"/>
  <c r="A4498" i="1"/>
  <c r="I4497" i="1"/>
  <c r="H4497" i="1"/>
  <c r="A4497" i="1"/>
  <c r="I4496" i="1"/>
  <c r="H4496" i="1"/>
  <c r="A4496" i="1"/>
  <c r="I4495" i="1"/>
  <c r="H4495" i="1"/>
  <c r="A4495" i="1"/>
  <c r="I4494" i="1"/>
  <c r="H4494" i="1"/>
  <c r="A4494" i="1"/>
  <c r="I4493" i="1"/>
  <c r="H4493" i="1"/>
  <c r="A4493" i="1"/>
  <c r="I4492" i="1"/>
  <c r="H4492" i="1"/>
  <c r="A4492" i="1"/>
  <c r="I4491" i="1"/>
  <c r="H4491" i="1"/>
  <c r="A4491" i="1"/>
  <c r="I4490" i="1"/>
  <c r="H4490" i="1"/>
  <c r="A4490" i="1"/>
  <c r="I4489" i="1"/>
  <c r="H4489" i="1"/>
  <c r="A4489" i="1"/>
  <c r="I4488" i="1"/>
  <c r="H4488" i="1"/>
  <c r="A4488" i="1"/>
  <c r="I4487" i="1"/>
  <c r="H4487" i="1"/>
  <c r="A4487" i="1"/>
  <c r="I4486" i="1"/>
  <c r="H4486" i="1"/>
  <c r="A4486" i="1"/>
  <c r="I4485" i="1"/>
  <c r="H4485" i="1"/>
  <c r="A4485" i="1"/>
  <c r="I4484" i="1"/>
  <c r="H4484" i="1"/>
  <c r="A4484" i="1"/>
  <c r="I4483" i="1"/>
  <c r="H4483" i="1"/>
  <c r="A4483" i="1"/>
  <c r="I4482" i="1"/>
  <c r="H4482" i="1"/>
  <c r="A4482" i="1"/>
  <c r="I4481" i="1"/>
  <c r="H4481" i="1"/>
  <c r="A4481" i="1"/>
  <c r="I4480" i="1"/>
  <c r="H4480" i="1"/>
  <c r="A4480" i="1"/>
  <c r="I4479" i="1"/>
  <c r="H4479" i="1"/>
  <c r="A4479" i="1"/>
  <c r="I4478" i="1"/>
  <c r="H4478" i="1"/>
  <c r="A4478" i="1"/>
  <c r="I4477" i="1"/>
  <c r="H4477" i="1"/>
  <c r="A4477" i="1"/>
  <c r="I4476" i="1"/>
  <c r="H4476" i="1"/>
  <c r="A4476" i="1"/>
  <c r="I4475" i="1"/>
  <c r="H4475" i="1"/>
  <c r="A4475" i="1"/>
  <c r="I4474" i="1"/>
  <c r="H4474" i="1"/>
  <c r="A4474" i="1"/>
  <c r="I4473" i="1"/>
  <c r="H4473" i="1"/>
  <c r="A4473" i="1"/>
  <c r="I4472" i="1"/>
  <c r="H4472" i="1"/>
  <c r="A4472" i="1"/>
  <c r="I4471" i="1"/>
  <c r="H4471" i="1"/>
  <c r="A4471" i="1"/>
  <c r="I4470" i="1"/>
  <c r="H4470" i="1"/>
  <c r="A4470" i="1"/>
  <c r="I4469" i="1"/>
  <c r="H4469" i="1"/>
  <c r="A4469" i="1"/>
  <c r="I4468" i="1"/>
  <c r="H4468" i="1"/>
  <c r="A4468" i="1"/>
  <c r="I4467" i="1"/>
  <c r="H4467" i="1"/>
  <c r="A4467" i="1"/>
  <c r="I4466" i="1"/>
  <c r="H4466" i="1"/>
  <c r="A4466" i="1"/>
  <c r="I4465" i="1"/>
  <c r="H4465" i="1"/>
  <c r="A4465" i="1"/>
  <c r="I4464" i="1"/>
  <c r="H4464" i="1"/>
  <c r="A4464" i="1"/>
  <c r="I4463" i="1"/>
  <c r="H4463" i="1"/>
  <c r="A4463" i="1"/>
  <c r="I4462" i="1"/>
  <c r="H4462" i="1"/>
  <c r="A4462" i="1"/>
  <c r="I4461" i="1"/>
  <c r="H4461" i="1"/>
  <c r="A4461" i="1"/>
  <c r="I4460" i="1"/>
  <c r="H4460" i="1"/>
  <c r="A4460" i="1"/>
  <c r="I4459" i="1"/>
  <c r="H4459" i="1"/>
  <c r="A4459" i="1"/>
  <c r="I4458" i="1"/>
  <c r="H4458" i="1"/>
  <c r="A4458" i="1"/>
  <c r="I4457" i="1"/>
  <c r="H4457" i="1"/>
  <c r="A4457" i="1"/>
  <c r="I4456" i="1"/>
  <c r="H4456" i="1"/>
  <c r="A4456" i="1"/>
  <c r="I4455" i="1"/>
  <c r="H4455" i="1"/>
  <c r="A4455" i="1"/>
  <c r="I4454" i="1"/>
  <c r="H4454" i="1"/>
  <c r="A4454" i="1"/>
  <c r="I4453" i="1"/>
  <c r="H4453" i="1"/>
  <c r="A4453" i="1"/>
  <c r="I4452" i="1"/>
  <c r="H4452" i="1"/>
  <c r="A4452" i="1"/>
  <c r="I4451" i="1"/>
  <c r="H4451" i="1"/>
  <c r="A4451" i="1"/>
  <c r="I4450" i="1"/>
  <c r="H4450" i="1"/>
  <c r="A4450" i="1"/>
  <c r="I4449" i="1"/>
  <c r="H4449" i="1"/>
  <c r="A4449" i="1"/>
  <c r="I4448" i="1"/>
  <c r="H4448" i="1"/>
  <c r="A4448" i="1"/>
  <c r="I4447" i="1"/>
  <c r="H4447" i="1"/>
  <c r="A4447" i="1"/>
  <c r="I4446" i="1"/>
  <c r="H4446" i="1"/>
  <c r="A4446" i="1"/>
  <c r="I4445" i="1"/>
  <c r="H4445" i="1"/>
  <c r="A4445" i="1"/>
  <c r="I4444" i="1"/>
  <c r="H4444" i="1"/>
  <c r="A4444" i="1"/>
  <c r="I4443" i="1"/>
  <c r="H4443" i="1"/>
  <c r="A4443" i="1"/>
  <c r="I4442" i="1"/>
  <c r="H4442" i="1"/>
  <c r="A4442" i="1"/>
  <c r="I4441" i="1"/>
  <c r="H4441" i="1"/>
  <c r="A4441" i="1"/>
  <c r="I4440" i="1"/>
  <c r="H4440" i="1"/>
  <c r="A4440" i="1"/>
  <c r="I4439" i="1"/>
  <c r="H4439" i="1"/>
  <c r="A4439" i="1"/>
  <c r="I4438" i="1"/>
  <c r="H4438" i="1"/>
  <c r="A4438" i="1"/>
  <c r="I4437" i="1"/>
  <c r="H4437" i="1"/>
  <c r="A4437" i="1"/>
  <c r="I4436" i="1"/>
  <c r="H4436" i="1"/>
  <c r="A4436" i="1"/>
  <c r="I4435" i="1"/>
  <c r="H4435" i="1"/>
  <c r="A4435" i="1"/>
  <c r="I4434" i="1"/>
  <c r="H4434" i="1"/>
  <c r="A4434" i="1"/>
  <c r="I4433" i="1"/>
  <c r="H4433" i="1"/>
  <c r="A4433" i="1"/>
  <c r="I4432" i="1"/>
  <c r="H4432" i="1"/>
  <c r="A4432" i="1"/>
  <c r="I4431" i="1"/>
  <c r="H4431" i="1"/>
  <c r="A4431" i="1"/>
  <c r="I4430" i="1"/>
  <c r="H4430" i="1"/>
  <c r="A4430" i="1"/>
  <c r="I4429" i="1"/>
  <c r="H4429" i="1"/>
  <c r="A4429" i="1"/>
  <c r="I4428" i="1"/>
  <c r="H4428" i="1"/>
  <c r="A4428" i="1"/>
  <c r="I4427" i="1"/>
  <c r="H4427" i="1"/>
  <c r="A4427" i="1"/>
  <c r="I4426" i="1"/>
  <c r="H4426" i="1"/>
  <c r="A4426" i="1"/>
  <c r="I4425" i="1"/>
  <c r="H4425" i="1"/>
  <c r="A4425" i="1"/>
  <c r="I4424" i="1"/>
  <c r="H4424" i="1"/>
  <c r="A4424" i="1"/>
  <c r="I4423" i="1"/>
  <c r="H4423" i="1"/>
  <c r="A4423" i="1"/>
  <c r="I4422" i="1"/>
  <c r="H4422" i="1"/>
  <c r="A4422" i="1"/>
  <c r="I4421" i="1"/>
  <c r="H4421" i="1"/>
  <c r="A4421" i="1"/>
  <c r="I4420" i="1"/>
  <c r="H4420" i="1"/>
  <c r="A4420" i="1"/>
  <c r="I4419" i="1"/>
  <c r="H4419" i="1"/>
  <c r="A4419" i="1"/>
  <c r="I4418" i="1"/>
  <c r="H4418" i="1"/>
  <c r="A4418" i="1"/>
  <c r="I4417" i="1"/>
  <c r="H4417" i="1"/>
  <c r="A4417" i="1"/>
  <c r="I4416" i="1"/>
  <c r="H4416" i="1"/>
  <c r="A4416" i="1"/>
  <c r="I4415" i="1"/>
  <c r="H4415" i="1"/>
  <c r="A4415" i="1"/>
  <c r="I4414" i="1"/>
  <c r="H4414" i="1"/>
  <c r="A4414" i="1"/>
  <c r="I4413" i="1"/>
  <c r="H4413" i="1"/>
  <c r="A4413" i="1"/>
  <c r="I4412" i="1"/>
  <c r="H4412" i="1"/>
  <c r="A4412" i="1"/>
  <c r="I4411" i="1"/>
  <c r="H4411" i="1"/>
  <c r="A4411" i="1"/>
  <c r="I4410" i="1"/>
  <c r="H4410" i="1"/>
  <c r="A4410" i="1"/>
  <c r="I4409" i="1"/>
  <c r="H4409" i="1"/>
  <c r="A4409" i="1"/>
  <c r="I4408" i="1"/>
  <c r="H4408" i="1"/>
  <c r="A4408" i="1"/>
  <c r="I4407" i="1"/>
  <c r="H4407" i="1"/>
  <c r="A4407" i="1"/>
  <c r="I4406" i="1"/>
  <c r="H4406" i="1"/>
  <c r="A4406" i="1"/>
  <c r="I4405" i="1"/>
  <c r="H4405" i="1"/>
  <c r="A4405" i="1"/>
  <c r="I4404" i="1"/>
  <c r="H4404" i="1"/>
  <c r="A4404" i="1"/>
  <c r="I4403" i="1"/>
  <c r="H4403" i="1"/>
  <c r="A4403" i="1"/>
  <c r="I4402" i="1"/>
  <c r="H4402" i="1"/>
  <c r="A4402" i="1"/>
  <c r="I4401" i="1"/>
  <c r="H4401" i="1"/>
  <c r="A4401" i="1"/>
  <c r="I4400" i="1"/>
  <c r="H4400" i="1"/>
  <c r="A4400" i="1"/>
  <c r="I4399" i="1"/>
  <c r="H4399" i="1"/>
  <c r="A4399" i="1"/>
  <c r="I4398" i="1"/>
  <c r="H4398" i="1"/>
  <c r="A4398" i="1"/>
  <c r="I4397" i="1"/>
  <c r="H4397" i="1"/>
  <c r="A4397" i="1"/>
  <c r="I4396" i="1"/>
  <c r="H4396" i="1"/>
  <c r="A4396" i="1"/>
  <c r="I4395" i="1"/>
  <c r="H4395" i="1"/>
  <c r="A4395" i="1"/>
  <c r="I4394" i="1"/>
  <c r="H4394" i="1"/>
  <c r="A4394" i="1"/>
  <c r="I4393" i="1"/>
  <c r="H4393" i="1"/>
  <c r="A4393" i="1"/>
  <c r="I4392" i="1"/>
  <c r="H4392" i="1"/>
  <c r="A4392" i="1"/>
  <c r="I4391" i="1"/>
  <c r="H4391" i="1"/>
  <c r="A4391" i="1"/>
  <c r="I4390" i="1"/>
  <c r="H4390" i="1"/>
  <c r="A4390" i="1"/>
  <c r="I4389" i="1"/>
  <c r="H4389" i="1"/>
  <c r="A4389" i="1"/>
  <c r="I4388" i="1"/>
  <c r="H4388" i="1"/>
  <c r="A4388" i="1"/>
  <c r="I4387" i="1"/>
  <c r="H4387" i="1"/>
  <c r="A4387" i="1"/>
  <c r="I4386" i="1"/>
  <c r="H4386" i="1"/>
  <c r="A4386" i="1"/>
  <c r="I4385" i="1"/>
  <c r="H4385" i="1"/>
  <c r="A4385" i="1"/>
  <c r="I4384" i="1"/>
  <c r="H4384" i="1"/>
  <c r="A4384" i="1"/>
  <c r="I4383" i="1"/>
  <c r="H4383" i="1"/>
  <c r="A4383" i="1"/>
  <c r="I4382" i="1"/>
  <c r="H4382" i="1"/>
  <c r="A4382" i="1"/>
  <c r="I4381" i="1"/>
  <c r="H4381" i="1"/>
  <c r="A4381" i="1"/>
  <c r="I4380" i="1"/>
  <c r="H4380" i="1"/>
  <c r="A4380" i="1"/>
  <c r="I4379" i="1"/>
  <c r="H4379" i="1"/>
  <c r="A4379" i="1"/>
  <c r="I4378" i="1"/>
  <c r="H4378" i="1"/>
  <c r="A4378" i="1"/>
  <c r="I4377" i="1"/>
  <c r="H4377" i="1"/>
  <c r="A4377" i="1"/>
  <c r="I4376" i="1"/>
  <c r="H4376" i="1"/>
  <c r="A4376" i="1"/>
  <c r="I4375" i="1"/>
  <c r="H4375" i="1"/>
  <c r="A4375" i="1"/>
  <c r="I4374" i="1"/>
  <c r="H4374" i="1"/>
  <c r="A4374" i="1"/>
  <c r="I4373" i="1"/>
  <c r="H4373" i="1"/>
  <c r="A4373" i="1"/>
  <c r="I4372" i="1"/>
  <c r="H4372" i="1"/>
  <c r="A4372" i="1"/>
  <c r="I4371" i="1"/>
  <c r="H4371" i="1"/>
  <c r="A4371" i="1"/>
  <c r="I4370" i="1"/>
  <c r="H4370" i="1"/>
  <c r="A4370" i="1"/>
  <c r="I4369" i="1"/>
  <c r="H4369" i="1"/>
  <c r="A4369" i="1"/>
  <c r="I4368" i="1"/>
  <c r="H4368" i="1"/>
  <c r="A4368" i="1"/>
  <c r="I4367" i="1"/>
  <c r="H4367" i="1"/>
  <c r="A4367" i="1"/>
  <c r="I4366" i="1"/>
  <c r="H4366" i="1"/>
  <c r="A4366" i="1"/>
  <c r="I4365" i="1"/>
  <c r="H4365" i="1"/>
  <c r="A4365" i="1"/>
  <c r="I4364" i="1"/>
  <c r="H4364" i="1"/>
  <c r="A4364" i="1"/>
  <c r="I4363" i="1"/>
  <c r="H4363" i="1"/>
  <c r="A4363" i="1"/>
  <c r="I4362" i="1"/>
  <c r="H4362" i="1"/>
  <c r="A4362" i="1"/>
  <c r="I4361" i="1"/>
  <c r="H4361" i="1"/>
  <c r="A4361" i="1"/>
  <c r="I4360" i="1"/>
  <c r="H4360" i="1"/>
  <c r="A4360" i="1"/>
  <c r="I4359" i="1"/>
  <c r="H4359" i="1"/>
  <c r="A4359" i="1"/>
  <c r="I4358" i="1"/>
  <c r="H4358" i="1"/>
  <c r="A4358" i="1"/>
  <c r="I4357" i="1"/>
  <c r="H4357" i="1"/>
  <c r="A4357" i="1"/>
  <c r="I4356" i="1"/>
  <c r="H4356" i="1"/>
  <c r="A4356" i="1"/>
  <c r="I4355" i="1"/>
  <c r="H4355" i="1"/>
  <c r="A4355" i="1"/>
  <c r="I4354" i="1"/>
  <c r="H4354" i="1"/>
  <c r="A4354" i="1"/>
  <c r="I4353" i="1"/>
  <c r="H4353" i="1"/>
  <c r="A4353" i="1"/>
  <c r="I4352" i="1"/>
  <c r="H4352" i="1"/>
  <c r="A4352" i="1"/>
  <c r="I4351" i="1"/>
  <c r="H4351" i="1"/>
  <c r="A4351" i="1"/>
  <c r="I4350" i="1"/>
  <c r="H4350" i="1"/>
  <c r="A4350" i="1"/>
  <c r="I4349" i="1"/>
  <c r="H4349" i="1"/>
  <c r="A4349" i="1"/>
  <c r="I4348" i="1"/>
  <c r="H4348" i="1"/>
  <c r="A4348" i="1"/>
  <c r="I4347" i="1"/>
  <c r="H4347" i="1"/>
  <c r="A4347" i="1"/>
  <c r="I4346" i="1"/>
  <c r="H4346" i="1"/>
  <c r="A4346" i="1"/>
  <c r="I4345" i="1"/>
  <c r="H4345" i="1"/>
  <c r="A4345" i="1"/>
  <c r="I4344" i="1"/>
  <c r="H4344" i="1"/>
  <c r="A4344" i="1"/>
  <c r="I4343" i="1"/>
  <c r="H4343" i="1"/>
  <c r="A4343" i="1"/>
  <c r="I4342" i="1"/>
  <c r="H4342" i="1"/>
  <c r="A4342" i="1"/>
  <c r="I4341" i="1"/>
  <c r="H4341" i="1"/>
  <c r="A4341" i="1"/>
  <c r="I4340" i="1"/>
  <c r="H4340" i="1"/>
  <c r="A4340" i="1"/>
  <c r="I4339" i="1"/>
  <c r="H4339" i="1"/>
  <c r="A4339" i="1"/>
  <c r="I4338" i="1"/>
  <c r="H4338" i="1"/>
  <c r="A4338" i="1"/>
  <c r="I4337" i="1"/>
  <c r="H4337" i="1"/>
  <c r="A4337" i="1"/>
  <c r="I4336" i="1"/>
  <c r="H4336" i="1"/>
  <c r="A4336" i="1"/>
  <c r="I4335" i="1"/>
  <c r="H4335" i="1"/>
  <c r="A4335" i="1"/>
  <c r="I4334" i="1"/>
  <c r="H4334" i="1"/>
  <c r="A4334" i="1"/>
  <c r="I4333" i="1"/>
  <c r="H4333" i="1"/>
  <c r="A4333" i="1"/>
  <c r="I4332" i="1"/>
  <c r="H4332" i="1"/>
  <c r="A4332" i="1"/>
  <c r="I4331" i="1"/>
  <c r="H4331" i="1"/>
  <c r="A4331" i="1"/>
  <c r="I4330" i="1"/>
  <c r="H4330" i="1"/>
  <c r="A4330" i="1"/>
  <c r="I4329" i="1"/>
  <c r="H4329" i="1"/>
  <c r="A4329" i="1"/>
  <c r="I4328" i="1"/>
  <c r="H4328" i="1"/>
  <c r="A4328" i="1"/>
  <c r="I4327" i="1"/>
  <c r="H4327" i="1"/>
  <c r="A4327" i="1"/>
  <c r="I4326" i="1"/>
  <c r="H4326" i="1"/>
  <c r="A4326" i="1"/>
  <c r="I4325" i="1"/>
  <c r="H4325" i="1"/>
  <c r="A4325" i="1"/>
  <c r="I4324" i="1"/>
  <c r="H4324" i="1"/>
  <c r="A4324" i="1"/>
  <c r="I4323" i="1"/>
  <c r="H4323" i="1"/>
  <c r="A4323" i="1"/>
  <c r="I4322" i="1"/>
  <c r="H4322" i="1"/>
  <c r="A4322" i="1"/>
  <c r="I4321" i="1"/>
  <c r="H4321" i="1"/>
  <c r="A4321" i="1"/>
  <c r="I4320" i="1"/>
  <c r="H4320" i="1"/>
  <c r="A4320" i="1"/>
  <c r="I4319" i="1"/>
  <c r="H4319" i="1"/>
  <c r="A4319" i="1"/>
  <c r="I4318" i="1"/>
  <c r="H4318" i="1"/>
  <c r="A4318" i="1"/>
  <c r="I4317" i="1"/>
  <c r="H4317" i="1"/>
  <c r="A4317" i="1"/>
  <c r="I4316" i="1"/>
  <c r="H4316" i="1"/>
  <c r="A4316" i="1"/>
  <c r="I4315" i="1"/>
  <c r="H4315" i="1"/>
  <c r="A4315" i="1"/>
  <c r="I4314" i="1"/>
  <c r="H4314" i="1"/>
  <c r="A4314" i="1"/>
  <c r="I4313" i="1"/>
  <c r="H4313" i="1"/>
  <c r="A4313" i="1"/>
  <c r="I4312" i="1"/>
  <c r="H4312" i="1"/>
  <c r="A4312" i="1"/>
  <c r="I4311" i="1"/>
  <c r="H4311" i="1"/>
  <c r="A4311" i="1"/>
  <c r="I4310" i="1"/>
  <c r="H4310" i="1"/>
  <c r="A4310" i="1"/>
  <c r="I4309" i="1"/>
  <c r="H4309" i="1"/>
  <c r="A4309" i="1"/>
  <c r="I4308" i="1"/>
  <c r="H4308" i="1"/>
  <c r="A4308" i="1"/>
  <c r="I4307" i="1"/>
  <c r="H4307" i="1"/>
  <c r="A4307" i="1"/>
  <c r="I4306" i="1"/>
  <c r="H4306" i="1"/>
  <c r="A4306" i="1"/>
  <c r="I4305" i="1"/>
  <c r="H4305" i="1"/>
  <c r="A4305" i="1"/>
  <c r="I4304" i="1"/>
  <c r="H4304" i="1"/>
  <c r="A4304" i="1"/>
  <c r="I4303" i="1"/>
  <c r="H4303" i="1"/>
  <c r="A4303" i="1"/>
  <c r="I4302" i="1"/>
  <c r="H4302" i="1"/>
  <c r="A4302" i="1"/>
  <c r="I4301" i="1"/>
  <c r="H4301" i="1"/>
  <c r="A4301" i="1"/>
  <c r="I4300" i="1"/>
  <c r="H4300" i="1"/>
  <c r="A4300" i="1"/>
  <c r="I4299" i="1"/>
  <c r="H4299" i="1"/>
  <c r="A4299" i="1"/>
  <c r="I4298" i="1"/>
  <c r="H4298" i="1"/>
  <c r="A4298" i="1"/>
  <c r="I4297" i="1"/>
  <c r="H4297" i="1"/>
  <c r="A4297" i="1"/>
  <c r="I4296" i="1"/>
  <c r="H4296" i="1"/>
  <c r="A4296" i="1"/>
  <c r="I4295" i="1"/>
  <c r="H4295" i="1"/>
  <c r="A4295" i="1"/>
  <c r="I4294" i="1"/>
  <c r="H4294" i="1"/>
  <c r="A4294" i="1"/>
  <c r="I4293" i="1"/>
  <c r="H4293" i="1"/>
  <c r="A4293" i="1"/>
  <c r="I4292" i="1"/>
  <c r="H4292" i="1"/>
  <c r="A4292" i="1"/>
  <c r="I4291" i="1"/>
  <c r="H4291" i="1"/>
  <c r="A4291" i="1"/>
  <c r="I4290" i="1"/>
  <c r="H4290" i="1"/>
  <c r="A4290" i="1"/>
  <c r="I4289" i="1"/>
  <c r="H4289" i="1"/>
  <c r="A4289" i="1"/>
  <c r="I4288" i="1"/>
  <c r="H4288" i="1"/>
  <c r="A4288" i="1"/>
  <c r="I4287" i="1"/>
  <c r="H4287" i="1"/>
  <c r="A4287" i="1"/>
  <c r="I4286" i="1"/>
  <c r="H4286" i="1"/>
  <c r="A4286" i="1"/>
  <c r="I4285" i="1"/>
  <c r="H4285" i="1"/>
  <c r="A4285" i="1"/>
  <c r="I4284" i="1"/>
  <c r="H4284" i="1"/>
  <c r="A4284" i="1"/>
  <c r="I4283" i="1"/>
  <c r="H4283" i="1"/>
  <c r="A4283" i="1"/>
  <c r="I4282" i="1"/>
  <c r="H4282" i="1"/>
  <c r="A4282" i="1"/>
  <c r="I4281" i="1"/>
  <c r="H4281" i="1"/>
  <c r="A4281" i="1"/>
  <c r="I4280" i="1"/>
  <c r="H4280" i="1"/>
  <c r="A4280" i="1"/>
  <c r="I4279" i="1"/>
  <c r="H4279" i="1"/>
  <c r="A4279" i="1"/>
  <c r="I4278" i="1"/>
  <c r="H4278" i="1"/>
  <c r="A4278" i="1"/>
  <c r="I4277" i="1"/>
  <c r="H4277" i="1"/>
  <c r="A4277" i="1"/>
  <c r="I4276" i="1"/>
  <c r="H4276" i="1"/>
  <c r="A4276" i="1"/>
  <c r="I4275" i="1"/>
  <c r="H4275" i="1"/>
  <c r="A4275" i="1"/>
  <c r="I4274" i="1"/>
  <c r="H4274" i="1"/>
  <c r="A4274" i="1"/>
  <c r="I4273" i="1"/>
  <c r="H4273" i="1"/>
  <c r="A4273" i="1"/>
  <c r="I4272" i="1"/>
  <c r="H4272" i="1"/>
  <c r="A4272" i="1"/>
  <c r="I4271" i="1"/>
  <c r="H4271" i="1"/>
  <c r="A4271" i="1"/>
  <c r="I4270" i="1"/>
  <c r="H4270" i="1"/>
  <c r="A4270" i="1"/>
  <c r="I4269" i="1"/>
  <c r="H4269" i="1"/>
  <c r="A4269" i="1"/>
  <c r="I4268" i="1"/>
  <c r="H4268" i="1"/>
  <c r="A4268" i="1"/>
  <c r="I4267" i="1"/>
  <c r="H4267" i="1"/>
  <c r="A4267" i="1"/>
  <c r="I4266" i="1"/>
  <c r="H4266" i="1"/>
  <c r="A4266" i="1"/>
  <c r="I4265" i="1"/>
  <c r="H4265" i="1"/>
  <c r="A4265" i="1"/>
  <c r="I4264" i="1"/>
  <c r="H4264" i="1"/>
  <c r="A4264" i="1"/>
  <c r="I4263" i="1"/>
  <c r="H4263" i="1"/>
  <c r="A4263" i="1"/>
  <c r="I4262" i="1"/>
  <c r="H4262" i="1"/>
  <c r="A4262" i="1"/>
  <c r="I4261" i="1"/>
  <c r="H4261" i="1"/>
  <c r="A4261" i="1"/>
  <c r="I4260" i="1"/>
  <c r="H4260" i="1"/>
  <c r="A4260" i="1"/>
  <c r="I4259" i="1"/>
  <c r="H4259" i="1"/>
  <c r="A4259" i="1"/>
  <c r="I4258" i="1"/>
  <c r="H4258" i="1"/>
  <c r="A4258" i="1"/>
  <c r="I4257" i="1"/>
  <c r="H4257" i="1"/>
  <c r="A4257" i="1"/>
  <c r="I4256" i="1"/>
  <c r="H4256" i="1"/>
  <c r="A4256" i="1"/>
  <c r="I4255" i="1"/>
  <c r="H4255" i="1"/>
  <c r="A4255" i="1"/>
  <c r="I4254" i="1"/>
  <c r="H4254" i="1"/>
  <c r="A4254" i="1"/>
  <c r="I4253" i="1"/>
  <c r="H4253" i="1"/>
  <c r="A4253" i="1"/>
  <c r="I4252" i="1"/>
  <c r="H4252" i="1"/>
  <c r="A4252" i="1"/>
  <c r="I4251" i="1"/>
  <c r="H4251" i="1"/>
  <c r="A4251" i="1"/>
  <c r="I4250" i="1"/>
  <c r="H4250" i="1"/>
  <c r="A4250" i="1"/>
  <c r="I4249" i="1"/>
  <c r="H4249" i="1"/>
  <c r="A4249" i="1"/>
  <c r="I4248" i="1"/>
  <c r="H4248" i="1"/>
  <c r="A4248" i="1"/>
  <c r="I4247" i="1"/>
  <c r="H4247" i="1"/>
  <c r="A4247" i="1"/>
  <c r="I4246" i="1"/>
  <c r="H4246" i="1"/>
  <c r="A4246" i="1"/>
  <c r="I4245" i="1"/>
  <c r="H4245" i="1"/>
  <c r="A4245" i="1"/>
  <c r="I4244" i="1"/>
  <c r="H4244" i="1"/>
  <c r="A4244" i="1"/>
  <c r="I4243" i="1"/>
  <c r="H4243" i="1"/>
  <c r="A4243" i="1"/>
  <c r="I4242" i="1"/>
  <c r="H4242" i="1"/>
  <c r="A4242" i="1"/>
  <c r="I4241" i="1"/>
  <c r="H4241" i="1"/>
  <c r="A4241" i="1"/>
  <c r="I4240" i="1"/>
  <c r="H4240" i="1"/>
  <c r="A4240" i="1"/>
  <c r="I4239" i="1"/>
  <c r="H4239" i="1"/>
  <c r="A4239" i="1"/>
  <c r="I4238" i="1"/>
  <c r="H4238" i="1"/>
  <c r="A4238" i="1"/>
  <c r="I4237" i="1"/>
  <c r="H4237" i="1"/>
  <c r="A4237" i="1"/>
  <c r="I4236" i="1"/>
  <c r="H4236" i="1"/>
  <c r="A4236" i="1"/>
  <c r="I4235" i="1"/>
  <c r="H4235" i="1"/>
  <c r="A4235" i="1"/>
  <c r="I4234" i="1"/>
  <c r="H4234" i="1"/>
  <c r="A4234" i="1"/>
  <c r="I4233" i="1"/>
  <c r="H4233" i="1"/>
  <c r="A4233" i="1"/>
  <c r="I4232" i="1"/>
  <c r="H4232" i="1"/>
  <c r="A4232" i="1"/>
  <c r="I4231" i="1"/>
  <c r="H4231" i="1"/>
  <c r="A4231" i="1"/>
  <c r="I4230" i="1"/>
  <c r="H4230" i="1"/>
  <c r="A4230" i="1"/>
  <c r="I4229" i="1"/>
  <c r="H4229" i="1"/>
  <c r="A4229" i="1"/>
  <c r="I4228" i="1"/>
  <c r="H4228" i="1"/>
  <c r="A4228" i="1"/>
  <c r="I4227" i="1"/>
  <c r="H4227" i="1"/>
  <c r="A4227" i="1"/>
  <c r="I4226" i="1"/>
  <c r="H4226" i="1"/>
  <c r="A4226" i="1"/>
  <c r="I4225" i="1"/>
  <c r="H4225" i="1"/>
  <c r="A4225" i="1"/>
  <c r="I4224" i="1"/>
  <c r="H4224" i="1"/>
  <c r="A4224" i="1"/>
  <c r="I4223" i="1"/>
  <c r="H4223" i="1"/>
  <c r="A4223" i="1"/>
  <c r="I4222" i="1"/>
  <c r="H4222" i="1"/>
  <c r="A4222" i="1"/>
  <c r="I4221" i="1"/>
  <c r="H4221" i="1"/>
  <c r="A4221" i="1"/>
  <c r="I4220" i="1"/>
  <c r="H4220" i="1"/>
  <c r="A4220" i="1"/>
  <c r="I4219" i="1"/>
  <c r="H4219" i="1"/>
  <c r="A4219" i="1"/>
  <c r="I4218" i="1"/>
  <c r="H4218" i="1"/>
  <c r="A4218" i="1"/>
  <c r="I4217" i="1"/>
  <c r="H4217" i="1"/>
  <c r="A4217" i="1"/>
  <c r="I4216" i="1"/>
  <c r="H4216" i="1"/>
  <c r="A4216" i="1"/>
  <c r="I4215" i="1"/>
  <c r="H4215" i="1"/>
  <c r="A4215" i="1"/>
  <c r="I4214" i="1"/>
  <c r="H4214" i="1"/>
  <c r="A4214" i="1"/>
  <c r="I4213" i="1"/>
  <c r="H4213" i="1"/>
  <c r="A4213" i="1"/>
  <c r="I4212" i="1"/>
  <c r="H4212" i="1"/>
  <c r="A4212" i="1"/>
  <c r="I4211" i="1"/>
  <c r="H4211" i="1"/>
  <c r="A4211" i="1"/>
  <c r="I4210" i="1"/>
  <c r="H4210" i="1"/>
  <c r="A4210" i="1"/>
  <c r="I4209" i="1"/>
  <c r="H4209" i="1"/>
  <c r="A4209" i="1"/>
  <c r="I4208" i="1"/>
  <c r="H4208" i="1"/>
  <c r="A4208" i="1"/>
  <c r="I4207" i="1"/>
  <c r="H4207" i="1"/>
  <c r="A4207" i="1"/>
  <c r="I4206" i="1"/>
  <c r="H4206" i="1"/>
  <c r="A4206" i="1"/>
  <c r="I4205" i="1"/>
  <c r="H4205" i="1"/>
  <c r="A4205" i="1"/>
  <c r="I4204" i="1"/>
  <c r="H4204" i="1"/>
  <c r="A4204" i="1"/>
  <c r="I4203" i="1"/>
  <c r="H4203" i="1"/>
  <c r="A4203" i="1"/>
  <c r="I4202" i="1"/>
  <c r="H4202" i="1"/>
  <c r="A4202" i="1"/>
  <c r="I4201" i="1"/>
  <c r="H4201" i="1"/>
  <c r="A4201" i="1"/>
  <c r="I4200" i="1"/>
  <c r="H4200" i="1"/>
  <c r="A4200" i="1"/>
  <c r="I4199" i="1"/>
  <c r="H4199" i="1"/>
  <c r="A4199" i="1"/>
  <c r="I4198" i="1"/>
  <c r="H4198" i="1"/>
  <c r="A4198" i="1"/>
  <c r="I4197" i="1"/>
  <c r="H4197" i="1"/>
  <c r="A4197" i="1"/>
  <c r="I4196" i="1"/>
  <c r="H4196" i="1"/>
  <c r="A4196" i="1"/>
  <c r="I4195" i="1"/>
  <c r="H4195" i="1"/>
  <c r="A4195" i="1"/>
  <c r="I4194" i="1"/>
  <c r="H4194" i="1"/>
  <c r="A4194" i="1"/>
  <c r="I4193" i="1"/>
  <c r="H4193" i="1"/>
  <c r="A4193" i="1"/>
  <c r="I4192" i="1"/>
  <c r="H4192" i="1"/>
  <c r="A4192" i="1"/>
  <c r="I4191" i="1"/>
  <c r="H4191" i="1"/>
  <c r="A4191" i="1"/>
  <c r="I4190" i="1"/>
  <c r="H4190" i="1"/>
  <c r="A4190" i="1"/>
  <c r="I4189" i="1"/>
  <c r="H4189" i="1"/>
  <c r="A4189" i="1"/>
  <c r="I4188" i="1"/>
  <c r="H4188" i="1"/>
  <c r="A4188" i="1"/>
  <c r="I4187" i="1"/>
  <c r="H4187" i="1"/>
  <c r="A4187" i="1"/>
  <c r="I4186" i="1"/>
  <c r="H4186" i="1"/>
  <c r="A4186" i="1"/>
  <c r="I4185" i="1"/>
  <c r="H4185" i="1"/>
  <c r="A4185" i="1"/>
  <c r="I4184" i="1"/>
  <c r="H4184" i="1"/>
  <c r="A4184" i="1"/>
  <c r="I4183" i="1"/>
  <c r="H4183" i="1"/>
  <c r="A4183" i="1"/>
  <c r="I4182" i="1"/>
  <c r="H4182" i="1"/>
  <c r="A4182" i="1"/>
  <c r="I4181" i="1"/>
  <c r="H4181" i="1"/>
  <c r="A4181" i="1"/>
  <c r="I4180" i="1"/>
  <c r="H4180" i="1"/>
  <c r="A4180" i="1"/>
  <c r="I4179" i="1"/>
  <c r="H4179" i="1"/>
  <c r="A4179" i="1"/>
  <c r="I4178" i="1"/>
  <c r="H4178" i="1"/>
  <c r="A4178" i="1"/>
  <c r="I4177" i="1"/>
  <c r="H4177" i="1"/>
  <c r="A4177" i="1"/>
  <c r="I4176" i="1"/>
  <c r="H4176" i="1"/>
  <c r="A4176" i="1"/>
  <c r="I4175" i="1"/>
  <c r="H4175" i="1"/>
  <c r="A4175" i="1"/>
  <c r="I4174" i="1"/>
  <c r="H4174" i="1"/>
  <c r="A4174" i="1"/>
  <c r="I4173" i="1"/>
  <c r="H4173" i="1"/>
  <c r="A4173" i="1"/>
  <c r="I4172" i="1"/>
  <c r="H4172" i="1"/>
  <c r="A4172" i="1"/>
  <c r="I4171" i="1"/>
  <c r="H4171" i="1"/>
  <c r="A4171" i="1"/>
  <c r="I4170" i="1"/>
  <c r="H4170" i="1"/>
  <c r="A4170" i="1"/>
  <c r="I4169" i="1"/>
  <c r="H4169" i="1"/>
  <c r="A4169" i="1"/>
  <c r="I4168" i="1"/>
  <c r="H4168" i="1"/>
  <c r="A4168" i="1"/>
  <c r="I4167" i="1"/>
  <c r="H4167" i="1"/>
  <c r="A4167" i="1"/>
  <c r="I4166" i="1"/>
  <c r="H4166" i="1"/>
  <c r="A4166" i="1"/>
  <c r="I4165" i="1"/>
  <c r="H4165" i="1"/>
  <c r="A4165" i="1"/>
  <c r="I4164" i="1"/>
  <c r="H4164" i="1"/>
  <c r="A4164" i="1"/>
  <c r="I4163" i="1"/>
  <c r="H4163" i="1"/>
  <c r="A4163" i="1"/>
  <c r="I4162" i="1"/>
  <c r="H4162" i="1"/>
  <c r="A4162" i="1"/>
  <c r="I4161" i="1"/>
  <c r="H4161" i="1"/>
  <c r="A4161" i="1"/>
  <c r="I4160" i="1"/>
  <c r="H4160" i="1"/>
  <c r="A4160" i="1"/>
  <c r="I4159" i="1"/>
  <c r="H4159" i="1"/>
  <c r="A4159" i="1"/>
  <c r="I4158" i="1"/>
  <c r="H4158" i="1"/>
  <c r="A4158" i="1"/>
  <c r="I4157" i="1"/>
  <c r="H4157" i="1"/>
  <c r="A4157" i="1"/>
  <c r="I4156" i="1"/>
  <c r="H4156" i="1"/>
  <c r="A4156" i="1"/>
  <c r="I4155" i="1"/>
  <c r="H4155" i="1"/>
  <c r="A4155" i="1"/>
  <c r="I4154" i="1"/>
  <c r="H4154" i="1"/>
  <c r="A4154" i="1"/>
  <c r="I4153" i="1"/>
  <c r="H4153" i="1"/>
  <c r="A4153" i="1"/>
  <c r="I4152" i="1"/>
  <c r="H4152" i="1"/>
  <c r="A4152" i="1"/>
  <c r="I4151" i="1"/>
  <c r="H4151" i="1"/>
  <c r="A4151" i="1"/>
  <c r="I4150" i="1"/>
  <c r="H4150" i="1"/>
  <c r="A4150" i="1"/>
  <c r="I4149" i="1"/>
  <c r="H4149" i="1"/>
  <c r="A4149" i="1"/>
  <c r="I4148" i="1"/>
  <c r="H4148" i="1"/>
  <c r="A4148" i="1"/>
  <c r="I4147" i="1"/>
  <c r="H4147" i="1"/>
  <c r="A4147" i="1"/>
  <c r="I4146" i="1"/>
  <c r="H4146" i="1"/>
  <c r="A4146" i="1"/>
  <c r="I4145" i="1"/>
  <c r="H4145" i="1"/>
  <c r="A4145" i="1"/>
  <c r="I4144" i="1"/>
  <c r="H4144" i="1"/>
  <c r="A4144" i="1"/>
  <c r="I4143" i="1"/>
  <c r="H4143" i="1"/>
  <c r="A4143" i="1"/>
  <c r="I4142" i="1"/>
  <c r="H4142" i="1"/>
  <c r="A4142" i="1"/>
  <c r="I4141" i="1"/>
  <c r="H4141" i="1"/>
  <c r="A4141" i="1"/>
  <c r="I4140" i="1"/>
  <c r="H4140" i="1"/>
  <c r="A4140" i="1"/>
  <c r="I4139" i="1"/>
  <c r="H4139" i="1"/>
  <c r="A4139" i="1"/>
  <c r="I4138" i="1"/>
  <c r="H4138" i="1"/>
  <c r="A4138" i="1"/>
  <c r="I4137" i="1"/>
  <c r="H4137" i="1"/>
  <c r="A4137" i="1"/>
  <c r="I4136" i="1"/>
  <c r="H4136" i="1"/>
  <c r="A4136" i="1"/>
  <c r="I4135" i="1"/>
  <c r="H4135" i="1"/>
  <c r="A4135" i="1"/>
  <c r="I4134" i="1"/>
  <c r="H4134" i="1"/>
  <c r="A4134" i="1"/>
  <c r="I4133" i="1"/>
  <c r="H4133" i="1"/>
  <c r="A4133" i="1"/>
  <c r="I4132" i="1"/>
  <c r="H4132" i="1"/>
  <c r="A4132" i="1"/>
  <c r="I4131" i="1"/>
  <c r="H4131" i="1"/>
  <c r="A4131" i="1"/>
  <c r="I4130" i="1"/>
  <c r="H4130" i="1"/>
  <c r="A4130" i="1"/>
  <c r="I4129" i="1"/>
  <c r="H4129" i="1"/>
  <c r="A4129" i="1"/>
  <c r="I4128" i="1"/>
  <c r="H4128" i="1"/>
  <c r="A4128" i="1"/>
  <c r="I4127" i="1"/>
  <c r="H4127" i="1"/>
  <c r="A4127" i="1"/>
  <c r="I4126" i="1"/>
  <c r="H4126" i="1"/>
  <c r="A4126" i="1"/>
  <c r="I4125" i="1"/>
  <c r="H4125" i="1"/>
  <c r="A4125" i="1"/>
  <c r="I4124" i="1"/>
  <c r="H4124" i="1"/>
  <c r="A4124" i="1"/>
  <c r="I4123" i="1"/>
  <c r="H4123" i="1"/>
  <c r="A4123" i="1"/>
  <c r="I4122" i="1"/>
  <c r="H4122" i="1"/>
  <c r="A4122" i="1"/>
  <c r="I4121" i="1"/>
  <c r="H4121" i="1"/>
  <c r="A4121" i="1"/>
  <c r="I4120" i="1"/>
  <c r="H4120" i="1"/>
  <c r="A4120" i="1"/>
  <c r="I4119" i="1"/>
  <c r="H4119" i="1"/>
  <c r="A4119" i="1"/>
  <c r="I4118" i="1"/>
  <c r="H4118" i="1"/>
  <c r="A4118" i="1"/>
  <c r="I4117" i="1"/>
  <c r="H4117" i="1"/>
  <c r="A4117" i="1"/>
  <c r="I4116" i="1"/>
  <c r="H4116" i="1"/>
  <c r="A4116" i="1"/>
  <c r="I4115" i="1"/>
  <c r="H4115" i="1"/>
  <c r="A4115" i="1"/>
  <c r="I4114" i="1"/>
  <c r="H4114" i="1"/>
  <c r="A4114" i="1"/>
  <c r="I4113" i="1"/>
  <c r="H4113" i="1"/>
  <c r="A4113" i="1"/>
  <c r="I4112" i="1"/>
  <c r="H4112" i="1"/>
  <c r="A4112" i="1"/>
  <c r="I4111" i="1"/>
  <c r="H4111" i="1"/>
  <c r="A4111" i="1"/>
  <c r="I4110" i="1"/>
  <c r="H4110" i="1"/>
  <c r="A4110" i="1"/>
  <c r="I4109" i="1"/>
  <c r="H4109" i="1"/>
  <c r="A4109" i="1"/>
  <c r="I4108" i="1"/>
  <c r="H4108" i="1"/>
  <c r="A4108" i="1"/>
  <c r="I4107" i="1"/>
  <c r="H4107" i="1"/>
  <c r="A4107" i="1"/>
  <c r="I4106" i="1"/>
  <c r="H4106" i="1"/>
  <c r="A4106" i="1"/>
  <c r="I4105" i="1"/>
  <c r="H4105" i="1"/>
  <c r="A4105" i="1"/>
  <c r="I4104" i="1"/>
  <c r="H4104" i="1"/>
  <c r="A4104" i="1"/>
  <c r="I4103" i="1"/>
  <c r="H4103" i="1"/>
  <c r="A4103" i="1"/>
  <c r="I4102" i="1"/>
  <c r="H4102" i="1"/>
  <c r="A4102" i="1"/>
  <c r="I4101" i="1"/>
  <c r="H4101" i="1"/>
  <c r="A4101" i="1"/>
  <c r="I4100" i="1"/>
  <c r="H4100" i="1"/>
  <c r="A4100" i="1"/>
  <c r="I4099" i="1"/>
  <c r="H4099" i="1"/>
  <c r="A4099" i="1"/>
  <c r="I4098" i="1"/>
  <c r="H4098" i="1"/>
  <c r="A4098" i="1"/>
  <c r="I4097" i="1"/>
  <c r="H4097" i="1"/>
  <c r="A4097" i="1"/>
  <c r="I4096" i="1"/>
  <c r="H4096" i="1"/>
  <c r="A4096" i="1"/>
  <c r="I4095" i="1"/>
  <c r="H4095" i="1"/>
  <c r="A4095" i="1"/>
  <c r="I4094" i="1"/>
  <c r="H4094" i="1"/>
  <c r="A4094" i="1"/>
  <c r="I4093" i="1"/>
  <c r="H4093" i="1"/>
  <c r="A4093" i="1"/>
  <c r="I4092" i="1"/>
  <c r="H4092" i="1"/>
  <c r="A4092" i="1"/>
  <c r="I4091" i="1"/>
  <c r="H4091" i="1"/>
  <c r="A4091" i="1"/>
  <c r="I4090" i="1"/>
  <c r="H4090" i="1"/>
  <c r="A4090" i="1"/>
  <c r="I4089" i="1"/>
  <c r="H4089" i="1"/>
  <c r="A4089" i="1"/>
  <c r="I4088" i="1"/>
  <c r="H4088" i="1"/>
  <c r="A4088" i="1"/>
  <c r="I4087" i="1"/>
  <c r="H4087" i="1"/>
  <c r="A4087" i="1"/>
  <c r="I4086" i="1"/>
  <c r="H4086" i="1"/>
  <c r="A4086" i="1"/>
  <c r="I4085" i="1"/>
  <c r="H4085" i="1"/>
  <c r="A4085" i="1"/>
  <c r="I4084" i="1"/>
  <c r="H4084" i="1"/>
  <c r="A4084" i="1"/>
  <c r="I4083" i="1"/>
  <c r="H4083" i="1"/>
  <c r="A4083" i="1"/>
  <c r="I4082" i="1"/>
  <c r="H4082" i="1"/>
  <c r="A4082" i="1"/>
  <c r="I4081" i="1"/>
  <c r="H4081" i="1"/>
  <c r="A4081" i="1"/>
  <c r="I4080" i="1"/>
  <c r="H4080" i="1"/>
  <c r="A4080" i="1"/>
  <c r="I4079" i="1"/>
  <c r="H4079" i="1"/>
  <c r="A4079" i="1"/>
  <c r="I4078" i="1"/>
  <c r="H4078" i="1"/>
  <c r="A4078" i="1"/>
  <c r="I4077" i="1"/>
  <c r="H4077" i="1"/>
  <c r="A4077" i="1"/>
  <c r="I4076" i="1"/>
  <c r="H4076" i="1"/>
  <c r="A4076" i="1"/>
  <c r="I4075" i="1"/>
  <c r="H4075" i="1"/>
  <c r="A4075" i="1"/>
  <c r="I4074" i="1"/>
  <c r="H4074" i="1"/>
  <c r="A4074" i="1"/>
  <c r="I4073" i="1"/>
  <c r="H4073" i="1"/>
  <c r="A4073" i="1"/>
  <c r="I4072" i="1"/>
  <c r="H4072" i="1"/>
  <c r="A4072" i="1"/>
  <c r="I4071" i="1"/>
  <c r="H4071" i="1"/>
  <c r="A4071" i="1"/>
  <c r="I4070" i="1"/>
  <c r="H4070" i="1"/>
  <c r="A4070" i="1"/>
  <c r="I4069" i="1"/>
  <c r="H4069" i="1"/>
  <c r="A4069" i="1"/>
  <c r="I4068" i="1"/>
  <c r="H4068" i="1"/>
  <c r="A4068" i="1"/>
  <c r="I4067" i="1"/>
  <c r="H4067" i="1"/>
  <c r="A4067" i="1"/>
  <c r="I4066" i="1"/>
  <c r="H4066" i="1"/>
  <c r="A4066" i="1"/>
  <c r="I4065" i="1"/>
  <c r="H4065" i="1"/>
  <c r="A4065" i="1"/>
  <c r="I4064" i="1"/>
  <c r="H4064" i="1"/>
  <c r="A4064" i="1"/>
  <c r="I4063" i="1"/>
  <c r="H4063" i="1"/>
  <c r="A4063" i="1"/>
  <c r="I4062" i="1"/>
  <c r="H4062" i="1"/>
  <c r="A4062" i="1"/>
  <c r="I4061" i="1"/>
  <c r="H4061" i="1"/>
  <c r="A4061" i="1"/>
  <c r="I4060" i="1"/>
  <c r="H4060" i="1"/>
  <c r="A4060" i="1"/>
  <c r="I4059" i="1"/>
  <c r="H4059" i="1"/>
  <c r="A4059" i="1"/>
  <c r="I4058" i="1"/>
  <c r="H4058" i="1"/>
  <c r="A4058" i="1"/>
  <c r="I4057" i="1"/>
  <c r="H4057" i="1"/>
  <c r="A4057" i="1"/>
  <c r="I4056" i="1"/>
  <c r="H4056" i="1"/>
  <c r="A4056" i="1"/>
  <c r="I4055" i="1"/>
  <c r="H4055" i="1"/>
  <c r="A4055" i="1"/>
  <c r="I4054" i="1"/>
  <c r="H4054" i="1"/>
  <c r="A4054" i="1"/>
  <c r="I4053" i="1"/>
  <c r="H4053" i="1"/>
  <c r="A4053" i="1"/>
  <c r="I4052" i="1"/>
  <c r="H4052" i="1"/>
  <c r="A4052" i="1"/>
  <c r="I4051" i="1"/>
  <c r="H4051" i="1"/>
  <c r="A4051" i="1"/>
  <c r="I4050" i="1"/>
  <c r="H4050" i="1"/>
  <c r="A4050" i="1"/>
  <c r="I4049" i="1"/>
  <c r="H4049" i="1"/>
  <c r="A4049" i="1"/>
  <c r="I4048" i="1"/>
  <c r="H4048" i="1"/>
  <c r="A4048" i="1"/>
  <c r="I4047" i="1"/>
  <c r="H4047" i="1"/>
  <c r="A4047" i="1"/>
  <c r="I4046" i="1"/>
  <c r="H4046" i="1"/>
  <c r="A4046" i="1"/>
  <c r="I4045" i="1"/>
  <c r="H4045" i="1"/>
  <c r="A4045" i="1"/>
  <c r="I4044" i="1"/>
  <c r="H4044" i="1"/>
  <c r="A4044" i="1"/>
  <c r="I4043" i="1"/>
  <c r="H4043" i="1"/>
  <c r="A4043" i="1"/>
  <c r="I4042" i="1"/>
  <c r="H4042" i="1"/>
  <c r="A4042" i="1"/>
  <c r="I4041" i="1"/>
  <c r="H4041" i="1"/>
  <c r="A4041" i="1"/>
  <c r="I4040" i="1"/>
  <c r="H4040" i="1"/>
  <c r="A4040" i="1"/>
  <c r="I4039" i="1"/>
  <c r="H4039" i="1"/>
  <c r="A4039" i="1"/>
  <c r="I4038" i="1"/>
  <c r="H4038" i="1"/>
  <c r="A4038" i="1"/>
  <c r="I4037" i="1"/>
  <c r="H4037" i="1"/>
  <c r="A4037" i="1"/>
  <c r="I4036" i="1"/>
  <c r="H4036" i="1"/>
  <c r="A4036" i="1"/>
  <c r="I4035" i="1"/>
  <c r="H4035" i="1"/>
  <c r="A4035" i="1"/>
  <c r="I4034" i="1"/>
  <c r="H4034" i="1"/>
  <c r="A4034" i="1"/>
  <c r="I4033" i="1"/>
  <c r="H4033" i="1"/>
  <c r="A4033" i="1"/>
  <c r="I4032" i="1"/>
  <c r="H4032" i="1"/>
  <c r="A4032" i="1"/>
  <c r="I4031" i="1"/>
  <c r="H4031" i="1"/>
  <c r="A4031" i="1"/>
  <c r="I4030" i="1"/>
  <c r="H4030" i="1"/>
  <c r="A4030" i="1"/>
  <c r="I4029" i="1"/>
  <c r="H4029" i="1"/>
  <c r="A4029" i="1"/>
  <c r="I4028" i="1"/>
  <c r="H4028" i="1"/>
  <c r="A4028" i="1"/>
  <c r="I4027" i="1"/>
  <c r="H4027" i="1"/>
  <c r="A4027" i="1"/>
  <c r="I4026" i="1"/>
  <c r="H4026" i="1"/>
  <c r="A4026" i="1"/>
  <c r="I4025" i="1"/>
  <c r="H4025" i="1"/>
  <c r="A4025" i="1"/>
  <c r="I4024" i="1"/>
  <c r="H4024" i="1"/>
  <c r="A4024" i="1"/>
  <c r="I4023" i="1"/>
  <c r="H4023" i="1"/>
  <c r="A4023" i="1"/>
  <c r="I4022" i="1"/>
  <c r="H4022" i="1"/>
  <c r="A4022" i="1"/>
  <c r="I4021" i="1"/>
  <c r="H4021" i="1"/>
  <c r="A4021" i="1"/>
  <c r="I4020" i="1"/>
  <c r="H4020" i="1"/>
  <c r="A4020" i="1"/>
  <c r="I4019" i="1"/>
  <c r="H4019" i="1"/>
  <c r="A4019" i="1"/>
  <c r="I4018" i="1"/>
  <c r="H4018" i="1"/>
  <c r="A4018" i="1"/>
  <c r="I4017" i="1"/>
  <c r="H4017" i="1"/>
  <c r="A4017" i="1"/>
  <c r="I4016" i="1"/>
  <c r="H4016" i="1"/>
  <c r="A4016" i="1"/>
  <c r="I4015" i="1"/>
  <c r="H4015" i="1"/>
  <c r="A4015" i="1"/>
  <c r="I4014" i="1"/>
  <c r="H4014" i="1"/>
  <c r="A4014" i="1"/>
  <c r="I4013" i="1"/>
  <c r="H4013" i="1"/>
  <c r="A4013" i="1"/>
  <c r="I4012" i="1"/>
  <c r="H4012" i="1"/>
  <c r="A4012" i="1"/>
  <c r="I4011" i="1"/>
  <c r="H4011" i="1"/>
  <c r="A4011" i="1"/>
  <c r="I4010" i="1"/>
  <c r="H4010" i="1"/>
  <c r="A4010" i="1"/>
  <c r="I4009" i="1"/>
  <c r="H4009" i="1"/>
  <c r="A4009" i="1"/>
  <c r="I4008" i="1"/>
  <c r="H4008" i="1"/>
  <c r="A4008" i="1"/>
  <c r="I4007" i="1"/>
  <c r="H4007" i="1"/>
  <c r="A4007" i="1"/>
  <c r="I4006" i="1"/>
  <c r="H4006" i="1"/>
  <c r="A4006" i="1"/>
  <c r="I4005" i="1"/>
  <c r="H4005" i="1"/>
  <c r="A4005" i="1"/>
  <c r="I4004" i="1"/>
  <c r="H4004" i="1"/>
  <c r="A4004" i="1"/>
  <c r="I4003" i="1"/>
  <c r="H4003" i="1"/>
  <c r="A4003" i="1"/>
  <c r="I4002" i="1"/>
  <c r="H4002" i="1"/>
  <c r="A4002" i="1"/>
  <c r="I4001" i="1"/>
  <c r="H4001" i="1"/>
  <c r="A4001" i="1"/>
  <c r="I4000" i="1"/>
  <c r="H4000" i="1"/>
  <c r="A4000" i="1"/>
  <c r="I3999" i="1"/>
  <c r="H3999" i="1"/>
  <c r="A3999" i="1"/>
  <c r="I3998" i="1"/>
  <c r="H3998" i="1"/>
  <c r="A3998" i="1"/>
  <c r="I3997" i="1"/>
  <c r="H3997" i="1"/>
  <c r="A3997" i="1"/>
  <c r="I3996" i="1"/>
  <c r="H3996" i="1"/>
  <c r="A3996" i="1"/>
  <c r="I3995" i="1"/>
  <c r="H3995" i="1"/>
  <c r="A3995" i="1"/>
  <c r="I3994" i="1"/>
  <c r="H3994" i="1"/>
  <c r="A3994" i="1"/>
  <c r="I3993" i="1"/>
  <c r="H3993" i="1"/>
  <c r="A3993" i="1"/>
  <c r="I3992" i="1"/>
  <c r="H3992" i="1"/>
  <c r="A3992" i="1"/>
  <c r="I3991" i="1"/>
  <c r="H3991" i="1"/>
  <c r="A3991" i="1"/>
  <c r="I3990" i="1"/>
  <c r="H3990" i="1"/>
  <c r="A3990" i="1"/>
  <c r="I3989" i="1"/>
  <c r="H3989" i="1"/>
  <c r="A3989" i="1"/>
  <c r="I3988" i="1"/>
  <c r="H3988" i="1"/>
  <c r="A3988" i="1"/>
  <c r="I3987" i="1"/>
  <c r="H3987" i="1"/>
  <c r="A3987" i="1"/>
  <c r="I3986" i="1"/>
  <c r="H3986" i="1"/>
  <c r="A3986" i="1"/>
  <c r="I3985" i="1"/>
  <c r="H3985" i="1"/>
  <c r="A3985" i="1"/>
  <c r="I3984" i="1"/>
  <c r="H3984" i="1"/>
  <c r="A3984" i="1"/>
  <c r="I3983" i="1"/>
  <c r="H3983" i="1"/>
  <c r="A3983" i="1"/>
  <c r="I3982" i="1"/>
  <c r="H3982" i="1"/>
  <c r="A3982" i="1"/>
  <c r="I3981" i="1"/>
  <c r="H3981" i="1"/>
  <c r="A3981" i="1"/>
  <c r="I3980" i="1"/>
  <c r="H3980" i="1"/>
  <c r="A3980" i="1"/>
  <c r="I3979" i="1"/>
  <c r="H3979" i="1"/>
  <c r="A3979" i="1"/>
  <c r="I3978" i="1"/>
  <c r="H3978" i="1"/>
  <c r="A3978" i="1"/>
  <c r="I3977" i="1"/>
  <c r="H3977" i="1"/>
  <c r="A3977" i="1"/>
  <c r="I3976" i="1"/>
  <c r="H3976" i="1"/>
  <c r="A3976" i="1"/>
  <c r="I3975" i="1"/>
  <c r="H3975" i="1"/>
  <c r="A3975" i="1"/>
  <c r="I3974" i="1"/>
  <c r="H3974" i="1"/>
  <c r="A3974" i="1"/>
  <c r="I3973" i="1"/>
  <c r="H3973" i="1"/>
  <c r="A3973" i="1"/>
  <c r="I3972" i="1"/>
  <c r="H3972" i="1"/>
  <c r="A3972" i="1"/>
  <c r="I3971" i="1"/>
  <c r="H3971" i="1"/>
  <c r="A3971" i="1"/>
  <c r="I3970" i="1"/>
  <c r="H3970" i="1"/>
  <c r="A3970" i="1"/>
  <c r="I3969" i="1"/>
  <c r="H3969" i="1"/>
  <c r="A3969" i="1"/>
  <c r="I3968" i="1"/>
  <c r="H3968" i="1"/>
  <c r="A3968" i="1"/>
  <c r="I3967" i="1"/>
  <c r="H3967" i="1"/>
  <c r="A3967" i="1"/>
  <c r="I3966" i="1"/>
  <c r="H3966" i="1"/>
  <c r="A3966" i="1"/>
  <c r="I3965" i="1"/>
  <c r="H3965" i="1"/>
  <c r="A3965" i="1"/>
  <c r="I3964" i="1"/>
  <c r="H3964" i="1"/>
  <c r="A3964" i="1"/>
  <c r="I3963" i="1"/>
  <c r="H3963" i="1"/>
  <c r="A3963" i="1"/>
  <c r="I3962" i="1"/>
  <c r="H3962" i="1"/>
  <c r="A3962" i="1"/>
  <c r="I3961" i="1"/>
  <c r="H3961" i="1"/>
  <c r="A3961" i="1"/>
  <c r="I3960" i="1"/>
  <c r="H3960" i="1"/>
  <c r="A3960" i="1"/>
  <c r="I3959" i="1"/>
  <c r="H3959" i="1"/>
  <c r="A3959" i="1"/>
  <c r="I3958" i="1"/>
  <c r="H3958" i="1"/>
  <c r="A3958" i="1"/>
  <c r="I3957" i="1"/>
  <c r="H3957" i="1"/>
  <c r="A3957" i="1"/>
  <c r="I3956" i="1"/>
  <c r="H3956" i="1"/>
  <c r="A3956" i="1"/>
  <c r="I3955" i="1"/>
  <c r="H3955" i="1"/>
  <c r="A3955" i="1"/>
  <c r="I3954" i="1"/>
  <c r="H3954" i="1"/>
  <c r="A3954" i="1"/>
  <c r="I3953" i="1"/>
  <c r="H3953" i="1"/>
  <c r="A3953" i="1"/>
  <c r="I3952" i="1"/>
  <c r="H3952" i="1"/>
  <c r="A3952" i="1"/>
  <c r="I3951" i="1"/>
  <c r="H3951" i="1"/>
  <c r="A3951" i="1"/>
  <c r="I3950" i="1"/>
  <c r="H3950" i="1"/>
  <c r="A3950" i="1"/>
  <c r="I3949" i="1"/>
  <c r="H3949" i="1"/>
  <c r="A3949" i="1"/>
  <c r="I3948" i="1"/>
  <c r="H3948" i="1"/>
  <c r="A3948" i="1"/>
  <c r="I3947" i="1"/>
  <c r="H3947" i="1"/>
  <c r="A3947" i="1"/>
  <c r="I3946" i="1"/>
  <c r="H3946" i="1"/>
  <c r="A3946" i="1"/>
  <c r="I3945" i="1"/>
  <c r="H3945" i="1"/>
  <c r="A3945" i="1"/>
  <c r="I3944" i="1"/>
  <c r="H3944" i="1"/>
  <c r="A3944" i="1"/>
  <c r="I3943" i="1"/>
  <c r="H3943" i="1"/>
  <c r="A3943" i="1"/>
  <c r="I3942" i="1"/>
  <c r="H3942" i="1"/>
  <c r="A3942" i="1"/>
  <c r="I3941" i="1"/>
  <c r="H3941" i="1"/>
  <c r="A3941" i="1"/>
  <c r="I3940" i="1"/>
  <c r="H3940" i="1"/>
  <c r="A3940" i="1"/>
  <c r="I3939" i="1"/>
  <c r="H3939" i="1"/>
  <c r="A3939" i="1"/>
  <c r="I3938" i="1"/>
  <c r="H3938" i="1"/>
  <c r="A3938" i="1"/>
  <c r="I3937" i="1"/>
  <c r="H3937" i="1"/>
  <c r="A3937" i="1"/>
  <c r="I3936" i="1"/>
  <c r="H3936" i="1"/>
  <c r="A3936" i="1"/>
  <c r="I3935" i="1"/>
  <c r="H3935" i="1"/>
  <c r="A3935" i="1"/>
  <c r="I3934" i="1"/>
  <c r="H3934" i="1"/>
  <c r="A3934" i="1"/>
  <c r="I3933" i="1"/>
  <c r="H3933" i="1"/>
  <c r="A3933" i="1"/>
  <c r="I3932" i="1"/>
  <c r="H3932" i="1"/>
  <c r="A3932" i="1"/>
  <c r="I3931" i="1"/>
  <c r="H3931" i="1"/>
  <c r="A3931" i="1"/>
  <c r="I3930" i="1"/>
  <c r="H3930" i="1"/>
  <c r="A3930" i="1"/>
  <c r="I3929" i="1"/>
  <c r="H3929" i="1"/>
  <c r="A3929" i="1"/>
  <c r="I3928" i="1"/>
  <c r="H3928" i="1"/>
  <c r="A3928" i="1"/>
  <c r="I3927" i="1"/>
  <c r="H3927" i="1"/>
  <c r="A3927" i="1"/>
  <c r="I3926" i="1"/>
  <c r="H3926" i="1"/>
  <c r="A3926" i="1"/>
  <c r="I3925" i="1"/>
  <c r="H3925" i="1"/>
  <c r="A3925" i="1"/>
  <c r="I3924" i="1"/>
  <c r="H3924" i="1"/>
  <c r="A3924" i="1"/>
  <c r="I3923" i="1"/>
  <c r="H3923" i="1"/>
  <c r="A3923" i="1"/>
  <c r="I3922" i="1"/>
  <c r="H3922" i="1"/>
  <c r="A3922" i="1"/>
  <c r="I3921" i="1"/>
  <c r="H3921" i="1"/>
  <c r="A3921" i="1"/>
  <c r="I3920" i="1"/>
  <c r="H3920" i="1"/>
  <c r="A3920" i="1"/>
  <c r="I3919" i="1"/>
  <c r="H3919" i="1"/>
  <c r="A3919" i="1"/>
  <c r="I3918" i="1"/>
  <c r="H3918" i="1"/>
  <c r="A3918" i="1"/>
  <c r="I3917" i="1"/>
  <c r="H3917" i="1"/>
  <c r="A3917" i="1"/>
  <c r="I3916" i="1"/>
  <c r="H3916" i="1"/>
  <c r="A3916" i="1"/>
  <c r="I3915" i="1"/>
  <c r="H3915" i="1"/>
  <c r="A3915" i="1"/>
  <c r="I3914" i="1"/>
  <c r="H3914" i="1"/>
  <c r="A3914" i="1"/>
  <c r="I3913" i="1"/>
  <c r="H3913" i="1"/>
  <c r="A3913" i="1"/>
  <c r="I3912" i="1"/>
  <c r="H3912" i="1"/>
  <c r="A3912" i="1"/>
  <c r="I3911" i="1"/>
  <c r="H3911" i="1"/>
  <c r="A3911" i="1"/>
  <c r="I3910" i="1"/>
  <c r="H3910" i="1"/>
  <c r="A3910" i="1"/>
  <c r="I3909" i="1"/>
  <c r="H3909" i="1"/>
  <c r="A3909" i="1"/>
  <c r="I3908" i="1"/>
  <c r="H3908" i="1"/>
  <c r="A3908" i="1"/>
  <c r="I3907" i="1"/>
  <c r="H3907" i="1"/>
  <c r="A3907" i="1"/>
  <c r="I3906" i="1"/>
  <c r="H3906" i="1"/>
  <c r="A3906" i="1"/>
  <c r="I3905" i="1"/>
  <c r="H3905" i="1"/>
  <c r="A3905" i="1"/>
  <c r="I3904" i="1"/>
  <c r="H3904" i="1"/>
  <c r="A3904" i="1"/>
  <c r="I3903" i="1"/>
  <c r="H3903" i="1"/>
  <c r="A3903" i="1"/>
  <c r="I3902" i="1"/>
  <c r="H3902" i="1"/>
  <c r="A3902" i="1"/>
  <c r="I3901" i="1"/>
  <c r="H3901" i="1"/>
  <c r="A3901" i="1"/>
  <c r="I3900" i="1"/>
  <c r="H3900" i="1"/>
  <c r="A3900" i="1"/>
  <c r="I3899" i="1"/>
  <c r="H3899" i="1"/>
  <c r="A3899" i="1"/>
  <c r="I3898" i="1"/>
  <c r="H3898" i="1"/>
  <c r="A3898" i="1"/>
  <c r="I3897" i="1"/>
  <c r="H3897" i="1"/>
  <c r="A3897" i="1"/>
  <c r="I3896" i="1"/>
  <c r="H3896" i="1"/>
  <c r="A3896" i="1"/>
  <c r="I3895" i="1"/>
  <c r="H3895" i="1"/>
  <c r="A3895" i="1"/>
  <c r="I3894" i="1"/>
  <c r="H3894" i="1"/>
  <c r="A3894" i="1"/>
  <c r="I3893" i="1"/>
  <c r="H3893" i="1"/>
  <c r="A3893" i="1"/>
  <c r="I3892" i="1"/>
  <c r="H3892" i="1"/>
  <c r="A3892" i="1"/>
  <c r="I3891" i="1"/>
  <c r="H3891" i="1"/>
  <c r="A3891" i="1"/>
  <c r="I3890" i="1"/>
  <c r="H3890" i="1"/>
  <c r="A3890" i="1"/>
  <c r="I3889" i="1"/>
  <c r="H3889" i="1"/>
  <c r="A3889" i="1"/>
  <c r="I3888" i="1"/>
  <c r="H3888" i="1"/>
  <c r="A3888" i="1"/>
  <c r="I3887" i="1"/>
  <c r="H3887" i="1"/>
  <c r="A3887" i="1"/>
  <c r="I3886" i="1"/>
  <c r="H3886" i="1"/>
  <c r="A3886" i="1"/>
  <c r="I3885" i="1"/>
  <c r="H3885" i="1"/>
  <c r="A3885" i="1"/>
  <c r="I3884" i="1"/>
  <c r="H3884" i="1"/>
  <c r="A3884" i="1"/>
  <c r="I3883" i="1"/>
  <c r="H3883" i="1"/>
  <c r="A3883" i="1"/>
  <c r="I3882" i="1"/>
  <c r="H3882" i="1"/>
  <c r="A3882" i="1"/>
  <c r="I3881" i="1"/>
  <c r="H3881" i="1"/>
  <c r="A3881" i="1"/>
  <c r="I3880" i="1"/>
  <c r="H3880" i="1"/>
  <c r="A3880" i="1"/>
  <c r="I3879" i="1"/>
  <c r="H3879" i="1"/>
  <c r="A3879" i="1"/>
  <c r="I3878" i="1"/>
  <c r="H3878" i="1"/>
  <c r="A3878" i="1"/>
  <c r="I3877" i="1"/>
  <c r="H3877" i="1"/>
  <c r="A3877" i="1"/>
  <c r="I3876" i="1"/>
  <c r="H3876" i="1"/>
  <c r="A3876" i="1"/>
  <c r="I3875" i="1"/>
  <c r="H3875" i="1"/>
  <c r="A3875" i="1"/>
  <c r="I3874" i="1"/>
  <c r="H3874" i="1"/>
  <c r="A3874" i="1"/>
  <c r="I3873" i="1"/>
  <c r="H3873" i="1"/>
  <c r="A3873" i="1"/>
  <c r="I3872" i="1"/>
  <c r="H3872" i="1"/>
  <c r="A3872" i="1"/>
  <c r="I3871" i="1"/>
  <c r="H3871" i="1"/>
  <c r="A3871" i="1"/>
  <c r="I3870" i="1"/>
  <c r="H3870" i="1"/>
  <c r="A3870" i="1"/>
  <c r="I3869" i="1"/>
  <c r="H3869" i="1"/>
  <c r="A3869" i="1"/>
  <c r="I3868" i="1"/>
  <c r="H3868" i="1"/>
  <c r="A3868" i="1"/>
  <c r="I3867" i="1"/>
  <c r="H3867" i="1"/>
  <c r="A3867" i="1"/>
  <c r="I3866" i="1"/>
  <c r="H3866" i="1"/>
  <c r="A3866" i="1"/>
  <c r="I3865" i="1"/>
  <c r="H3865" i="1"/>
  <c r="A3865" i="1"/>
  <c r="I3864" i="1"/>
  <c r="H3864" i="1"/>
  <c r="A3864" i="1"/>
  <c r="I3863" i="1"/>
  <c r="H3863" i="1"/>
  <c r="A3863" i="1"/>
  <c r="I3862" i="1"/>
  <c r="H3862" i="1"/>
  <c r="A3862" i="1"/>
  <c r="I3861" i="1"/>
  <c r="H3861" i="1"/>
  <c r="A3861" i="1"/>
  <c r="I3860" i="1"/>
  <c r="H3860" i="1"/>
  <c r="A3860" i="1"/>
  <c r="I3859" i="1"/>
  <c r="H3859" i="1"/>
  <c r="A3859" i="1"/>
  <c r="I3858" i="1"/>
  <c r="H3858" i="1"/>
  <c r="A3858" i="1"/>
  <c r="I3857" i="1"/>
  <c r="H3857" i="1"/>
  <c r="A3857" i="1"/>
  <c r="I3856" i="1"/>
  <c r="H3856" i="1"/>
  <c r="A3856" i="1"/>
  <c r="I3855" i="1"/>
  <c r="H3855" i="1"/>
  <c r="A3855" i="1"/>
  <c r="I3854" i="1"/>
  <c r="H3854" i="1"/>
  <c r="A3854" i="1"/>
  <c r="I3853" i="1"/>
  <c r="H3853" i="1"/>
  <c r="A3853" i="1"/>
  <c r="I3852" i="1"/>
  <c r="H3852" i="1"/>
  <c r="A3852" i="1"/>
  <c r="I3851" i="1"/>
  <c r="H3851" i="1"/>
  <c r="A3851" i="1"/>
  <c r="I3850" i="1"/>
  <c r="H3850" i="1"/>
  <c r="A3850" i="1"/>
  <c r="I3849" i="1"/>
  <c r="H3849" i="1"/>
  <c r="A3849" i="1"/>
  <c r="I3848" i="1"/>
  <c r="H3848" i="1"/>
  <c r="A3848" i="1"/>
  <c r="I3847" i="1"/>
  <c r="H3847" i="1"/>
  <c r="A3847" i="1"/>
  <c r="I3846" i="1"/>
  <c r="H3846" i="1"/>
  <c r="A3846" i="1"/>
  <c r="I3845" i="1"/>
  <c r="H3845" i="1"/>
  <c r="A3845" i="1"/>
  <c r="I3844" i="1"/>
  <c r="H3844" i="1"/>
  <c r="A3844" i="1"/>
  <c r="I3843" i="1"/>
  <c r="H3843" i="1"/>
  <c r="A3843" i="1"/>
  <c r="I3842" i="1"/>
  <c r="H3842" i="1"/>
  <c r="A3842" i="1"/>
  <c r="I3841" i="1"/>
  <c r="H3841" i="1"/>
  <c r="A3841" i="1"/>
  <c r="I3840" i="1"/>
  <c r="H3840" i="1"/>
  <c r="A3840" i="1"/>
  <c r="I3839" i="1"/>
  <c r="H3839" i="1"/>
  <c r="A3839" i="1"/>
  <c r="I3838" i="1"/>
  <c r="H3838" i="1"/>
  <c r="A3838" i="1"/>
  <c r="I3837" i="1"/>
  <c r="H3837" i="1"/>
  <c r="A3837" i="1"/>
  <c r="I3836" i="1"/>
  <c r="H3836" i="1"/>
  <c r="A3836" i="1"/>
  <c r="I3835" i="1"/>
  <c r="H3835" i="1"/>
  <c r="A3835" i="1"/>
  <c r="I3834" i="1"/>
  <c r="H3834" i="1"/>
  <c r="A3834" i="1"/>
  <c r="I3833" i="1"/>
  <c r="H3833" i="1"/>
  <c r="A3833" i="1"/>
  <c r="I3832" i="1"/>
  <c r="H3832" i="1"/>
  <c r="A3832" i="1"/>
  <c r="I3831" i="1"/>
  <c r="H3831" i="1"/>
  <c r="A3831" i="1"/>
  <c r="I3830" i="1"/>
  <c r="H3830" i="1"/>
  <c r="A3830" i="1"/>
  <c r="I3829" i="1"/>
  <c r="H3829" i="1"/>
  <c r="A3829" i="1"/>
  <c r="I3828" i="1"/>
  <c r="H3828" i="1"/>
  <c r="A3828" i="1"/>
  <c r="I3827" i="1"/>
  <c r="H3827" i="1"/>
  <c r="A3827" i="1"/>
  <c r="I3826" i="1"/>
  <c r="H3826" i="1"/>
  <c r="A3826" i="1"/>
  <c r="I3825" i="1"/>
  <c r="H3825" i="1"/>
  <c r="A3825" i="1"/>
  <c r="I3824" i="1"/>
  <c r="H3824" i="1"/>
  <c r="A3824" i="1"/>
  <c r="I3823" i="1"/>
  <c r="H3823" i="1"/>
  <c r="A3823" i="1"/>
  <c r="I3822" i="1"/>
  <c r="H3822" i="1"/>
  <c r="A3822" i="1"/>
  <c r="I3821" i="1"/>
  <c r="H3821" i="1"/>
  <c r="A3821" i="1"/>
  <c r="I3820" i="1"/>
  <c r="H3820" i="1"/>
  <c r="A3820" i="1"/>
  <c r="I3819" i="1"/>
  <c r="H3819" i="1"/>
  <c r="A3819" i="1"/>
  <c r="I3818" i="1"/>
  <c r="H3818" i="1"/>
  <c r="A3818" i="1"/>
  <c r="I3817" i="1"/>
  <c r="H3817" i="1"/>
  <c r="A3817" i="1"/>
  <c r="I3816" i="1"/>
  <c r="H3816" i="1"/>
  <c r="A3816" i="1"/>
  <c r="I3815" i="1"/>
  <c r="H3815" i="1"/>
  <c r="A3815" i="1"/>
  <c r="I3814" i="1"/>
  <c r="H3814" i="1"/>
  <c r="A3814" i="1"/>
  <c r="I3813" i="1"/>
  <c r="H3813" i="1"/>
  <c r="A3813" i="1"/>
  <c r="I3812" i="1"/>
  <c r="H3812" i="1"/>
  <c r="A3812" i="1"/>
  <c r="I3811" i="1"/>
  <c r="H3811" i="1"/>
  <c r="A3811" i="1"/>
  <c r="I3810" i="1"/>
  <c r="H3810" i="1"/>
  <c r="A3810" i="1"/>
  <c r="I3809" i="1"/>
  <c r="H3809" i="1"/>
  <c r="A3809" i="1"/>
  <c r="I3808" i="1"/>
  <c r="H3808" i="1"/>
  <c r="A3808" i="1"/>
  <c r="I3807" i="1"/>
  <c r="H3807" i="1"/>
  <c r="A3807" i="1"/>
  <c r="I3806" i="1"/>
  <c r="H3806" i="1"/>
  <c r="A3806" i="1"/>
  <c r="I3805" i="1"/>
  <c r="H3805" i="1"/>
  <c r="A3805" i="1"/>
  <c r="I3804" i="1"/>
  <c r="H3804" i="1"/>
  <c r="A3804" i="1"/>
  <c r="I3803" i="1"/>
  <c r="H3803" i="1"/>
  <c r="A3803" i="1"/>
  <c r="I3802" i="1"/>
  <c r="H3802" i="1"/>
  <c r="A3802" i="1"/>
  <c r="I3801" i="1"/>
  <c r="H3801" i="1"/>
  <c r="A3801" i="1"/>
  <c r="I3800" i="1"/>
  <c r="H3800" i="1"/>
  <c r="A3800" i="1"/>
  <c r="I3799" i="1"/>
  <c r="H3799" i="1"/>
  <c r="A3799" i="1"/>
  <c r="I3798" i="1"/>
  <c r="H3798" i="1"/>
  <c r="A3798" i="1"/>
  <c r="I3797" i="1"/>
  <c r="H3797" i="1"/>
  <c r="A3797" i="1"/>
  <c r="I3796" i="1"/>
  <c r="H3796" i="1"/>
  <c r="A3796" i="1"/>
  <c r="I3795" i="1"/>
  <c r="H3795" i="1"/>
  <c r="A3795" i="1"/>
  <c r="I3794" i="1"/>
  <c r="H3794" i="1"/>
  <c r="A3794" i="1"/>
  <c r="I3793" i="1"/>
  <c r="H3793" i="1"/>
  <c r="A3793" i="1"/>
  <c r="I3792" i="1"/>
  <c r="H3792" i="1"/>
  <c r="A3792" i="1"/>
  <c r="I3791" i="1"/>
  <c r="H3791" i="1"/>
  <c r="A3791" i="1"/>
  <c r="I3790" i="1"/>
  <c r="H3790" i="1"/>
  <c r="A3790" i="1"/>
  <c r="I3789" i="1"/>
  <c r="H3789" i="1"/>
  <c r="A3789" i="1"/>
  <c r="I3788" i="1"/>
  <c r="H3788" i="1"/>
  <c r="A3788" i="1"/>
  <c r="I3787" i="1"/>
  <c r="H3787" i="1"/>
  <c r="A3787" i="1"/>
  <c r="I3786" i="1"/>
  <c r="H3786" i="1"/>
  <c r="A3786" i="1"/>
  <c r="I3785" i="1"/>
  <c r="H3785" i="1"/>
  <c r="A3785" i="1"/>
  <c r="I3784" i="1"/>
  <c r="H3784" i="1"/>
  <c r="A3784" i="1"/>
  <c r="I3783" i="1"/>
  <c r="H3783" i="1"/>
  <c r="A3783" i="1"/>
  <c r="I3782" i="1"/>
  <c r="H3782" i="1"/>
  <c r="A3782" i="1"/>
  <c r="I3781" i="1"/>
  <c r="H3781" i="1"/>
  <c r="A3781" i="1"/>
  <c r="I3780" i="1"/>
  <c r="H3780" i="1"/>
  <c r="A3780" i="1"/>
  <c r="I3779" i="1"/>
  <c r="H3779" i="1"/>
  <c r="A3779" i="1"/>
  <c r="I3778" i="1"/>
  <c r="H3778" i="1"/>
  <c r="A3778" i="1"/>
  <c r="I3777" i="1"/>
  <c r="H3777" i="1"/>
  <c r="A3777" i="1"/>
  <c r="I3776" i="1"/>
  <c r="H3776" i="1"/>
  <c r="A3776" i="1"/>
  <c r="I3775" i="1"/>
  <c r="H3775" i="1"/>
  <c r="A3775" i="1"/>
  <c r="I3774" i="1"/>
  <c r="H3774" i="1"/>
  <c r="A3774" i="1"/>
  <c r="I3773" i="1"/>
  <c r="H3773" i="1"/>
  <c r="A3773" i="1"/>
  <c r="I3772" i="1"/>
  <c r="H3772" i="1"/>
  <c r="A3772" i="1"/>
  <c r="I3771" i="1"/>
  <c r="H3771" i="1"/>
  <c r="A3771" i="1"/>
  <c r="I3770" i="1"/>
  <c r="H3770" i="1"/>
  <c r="A3770" i="1"/>
  <c r="I3769" i="1"/>
  <c r="H3769" i="1"/>
  <c r="A3769" i="1"/>
  <c r="I3768" i="1"/>
  <c r="H3768" i="1"/>
  <c r="A3768" i="1"/>
  <c r="I3767" i="1"/>
  <c r="H3767" i="1"/>
  <c r="A3767" i="1"/>
  <c r="I3766" i="1"/>
  <c r="H3766" i="1"/>
  <c r="A3766" i="1"/>
  <c r="I3765" i="1"/>
  <c r="H3765" i="1"/>
  <c r="A3765" i="1"/>
  <c r="I3764" i="1"/>
  <c r="H3764" i="1"/>
  <c r="A3764" i="1"/>
  <c r="I3763" i="1"/>
  <c r="H3763" i="1"/>
  <c r="A3763" i="1"/>
  <c r="I3762" i="1"/>
  <c r="H3762" i="1"/>
  <c r="A3762" i="1"/>
  <c r="I3761" i="1"/>
  <c r="H3761" i="1"/>
  <c r="A3761" i="1"/>
  <c r="I3760" i="1"/>
  <c r="H3760" i="1"/>
  <c r="A3760" i="1"/>
  <c r="I3759" i="1"/>
  <c r="H3759" i="1"/>
  <c r="A3759" i="1"/>
  <c r="I3758" i="1"/>
  <c r="H3758" i="1"/>
  <c r="A3758" i="1"/>
  <c r="I3757" i="1"/>
  <c r="H3757" i="1"/>
  <c r="A3757" i="1"/>
  <c r="I3756" i="1"/>
  <c r="H3756" i="1"/>
  <c r="A3756" i="1"/>
  <c r="I3755" i="1"/>
  <c r="H3755" i="1"/>
  <c r="A3755" i="1"/>
  <c r="I3754" i="1"/>
  <c r="H3754" i="1"/>
  <c r="A3754" i="1"/>
  <c r="I3753" i="1"/>
  <c r="H3753" i="1"/>
  <c r="A3753" i="1"/>
  <c r="I3752" i="1"/>
  <c r="H3752" i="1"/>
  <c r="A3752" i="1"/>
  <c r="I3751" i="1"/>
  <c r="H3751" i="1"/>
  <c r="A3751" i="1"/>
  <c r="I3750" i="1"/>
  <c r="H3750" i="1"/>
  <c r="A3750" i="1"/>
  <c r="I3749" i="1"/>
  <c r="H3749" i="1"/>
  <c r="A3749" i="1"/>
  <c r="I3748" i="1"/>
  <c r="H3748" i="1"/>
  <c r="A3748" i="1"/>
  <c r="I3747" i="1"/>
  <c r="H3747" i="1"/>
  <c r="A3747" i="1"/>
  <c r="I3746" i="1"/>
  <c r="H3746" i="1"/>
  <c r="A3746" i="1"/>
  <c r="I3745" i="1"/>
  <c r="H3745" i="1"/>
  <c r="A3745" i="1"/>
  <c r="I3744" i="1"/>
  <c r="H3744" i="1"/>
  <c r="A3744" i="1"/>
  <c r="I3743" i="1"/>
  <c r="H3743" i="1"/>
  <c r="A3743" i="1"/>
  <c r="I3742" i="1"/>
  <c r="H3742" i="1"/>
  <c r="A3742" i="1"/>
  <c r="I3741" i="1"/>
  <c r="H3741" i="1"/>
  <c r="A3741" i="1"/>
  <c r="I3740" i="1"/>
  <c r="H3740" i="1"/>
  <c r="A3740" i="1"/>
  <c r="I3739" i="1"/>
  <c r="H3739" i="1"/>
  <c r="A3739" i="1"/>
  <c r="I3738" i="1"/>
  <c r="H3738" i="1"/>
  <c r="A3738" i="1"/>
  <c r="I3737" i="1"/>
  <c r="H3737" i="1"/>
  <c r="A3737" i="1"/>
  <c r="I3736" i="1"/>
  <c r="H3736" i="1"/>
  <c r="A3736" i="1"/>
  <c r="I3735" i="1"/>
  <c r="H3735" i="1"/>
  <c r="A3735" i="1"/>
  <c r="I3734" i="1"/>
  <c r="H3734" i="1"/>
  <c r="A3734" i="1"/>
  <c r="I3733" i="1"/>
  <c r="H3733" i="1"/>
  <c r="A3733" i="1"/>
  <c r="I3732" i="1"/>
  <c r="H3732" i="1"/>
  <c r="A3732" i="1"/>
  <c r="I3731" i="1"/>
  <c r="H3731" i="1"/>
  <c r="A3731" i="1"/>
  <c r="I3730" i="1"/>
  <c r="H3730" i="1"/>
  <c r="A3730" i="1"/>
  <c r="I3729" i="1"/>
  <c r="H3729" i="1"/>
  <c r="A3729" i="1"/>
  <c r="I3728" i="1"/>
  <c r="H3728" i="1"/>
  <c r="A3728" i="1"/>
  <c r="I3727" i="1"/>
  <c r="H3727" i="1"/>
  <c r="A3727" i="1"/>
  <c r="I3726" i="1"/>
  <c r="H3726" i="1"/>
  <c r="A3726" i="1"/>
  <c r="I3725" i="1"/>
  <c r="H3725" i="1"/>
  <c r="A3725" i="1"/>
  <c r="I3724" i="1"/>
  <c r="H3724" i="1"/>
  <c r="A3724" i="1"/>
  <c r="I3723" i="1"/>
  <c r="H3723" i="1"/>
  <c r="A3723" i="1"/>
  <c r="I3722" i="1"/>
  <c r="H3722" i="1"/>
  <c r="A3722" i="1"/>
  <c r="I3721" i="1"/>
  <c r="H3721" i="1"/>
  <c r="A3721" i="1"/>
  <c r="I3720" i="1"/>
  <c r="H3720" i="1"/>
  <c r="A3720" i="1"/>
  <c r="I3719" i="1"/>
  <c r="H3719" i="1"/>
  <c r="A3719" i="1"/>
  <c r="I3718" i="1"/>
  <c r="H3718" i="1"/>
  <c r="A3718" i="1"/>
  <c r="I3717" i="1"/>
  <c r="H3717" i="1"/>
  <c r="A3717" i="1"/>
  <c r="I3716" i="1"/>
  <c r="H3716" i="1"/>
  <c r="A3716" i="1"/>
  <c r="I3715" i="1"/>
  <c r="H3715" i="1"/>
  <c r="A3715" i="1"/>
  <c r="I3714" i="1"/>
  <c r="H3714" i="1"/>
  <c r="A3714" i="1"/>
  <c r="I3713" i="1"/>
  <c r="H3713" i="1"/>
  <c r="A3713" i="1"/>
  <c r="I3712" i="1"/>
  <c r="H3712" i="1"/>
  <c r="A3712" i="1"/>
  <c r="I3711" i="1"/>
  <c r="H3711" i="1"/>
  <c r="A3711" i="1"/>
  <c r="I3710" i="1"/>
  <c r="H3710" i="1"/>
  <c r="A3710" i="1"/>
  <c r="I3709" i="1"/>
  <c r="H3709" i="1"/>
  <c r="A3709" i="1"/>
  <c r="I3708" i="1"/>
  <c r="H3708" i="1"/>
  <c r="A3708" i="1"/>
  <c r="I3707" i="1"/>
  <c r="H3707" i="1"/>
  <c r="A3707" i="1"/>
  <c r="I3706" i="1"/>
  <c r="H3706" i="1"/>
  <c r="A3706" i="1"/>
  <c r="I3705" i="1"/>
  <c r="H3705" i="1"/>
  <c r="A3705" i="1"/>
  <c r="I3704" i="1"/>
  <c r="H3704" i="1"/>
  <c r="A3704" i="1"/>
  <c r="I3703" i="1"/>
  <c r="H3703" i="1"/>
  <c r="A3703" i="1"/>
  <c r="I3702" i="1"/>
  <c r="H3702" i="1"/>
  <c r="A3702" i="1"/>
  <c r="I3701" i="1"/>
  <c r="H3701" i="1"/>
  <c r="A3701" i="1"/>
  <c r="I3700" i="1"/>
  <c r="H3700" i="1"/>
  <c r="A3700" i="1"/>
  <c r="I3699" i="1"/>
  <c r="H3699" i="1"/>
  <c r="A3699" i="1"/>
  <c r="I3698" i="1"/>
  <c r="H3698" i="1"/>
  <c r="A3698" i="1"/>
  <c r="I3697" i="1"/>
  <c r="H3697" i="1"/>
  <c r="A3697" i="1"/>
  <c r="I3696" i="1"/>
  <c r="H3696" i="1"/>
  <c r="A3696" i="1"/>
  <c r="I3695" i="1"/>
  <c r="H3695" i="1"/>
  <c r="A3695" i="1"/>
  <c r="I3694" i="1"/>
  <c r="H3694" i="1"/>
  <c r="A3694" i="1"/>
  <c r="I3693" i="1"/>
  <c r="H3693" i="1"/>
  <c r="A3693" i="1"/>
  <c r="I3692" i="1"/>
  <c r="H3692" i="1"/>
  <c r="A3692" i="1"/>
  <c r="I3691" i="1"/>
  <c r="H3691" i="1"/>
  <c r="A3691" i="1"/>
  <c r="I3690" i="1"/>
  <c r="H3690" i="1"/>
  <c r="A3690" i="1"/>
  <c r="I3689" i="1"/>
  <c r="H3689" i="1"/>
  <c r="A3689" i="1"/>
  <c r="I3688" i="1"/>
  <c r="H3688" i="1"/>
  <c r="A3688" i="1"/>
  <c r="I3687" i="1"/>
  <c r="H3687" i="1"/>
  <c r="A3687" i="1"/>
  <c r="I3686" i="1"/>
  <c r="H3686" i="1"/>
  <c r="A3686" i="1"/>
  <c r="I3685" i="1"/>
  <c r="H3685" i="1"/>
  <c r="A3685" i="1"/>
  <c r="I3684" i="1"/>
  <c r="H3684" i="1"/>
  <c r="A3684" i="1"/>
  <c r="I3683" i="1"/>
  <c r="H3683" i="1"/>
  <c r="A3683" i="1"/>
  <c r="I3682" i="1"/>
  <c r="H3682" i="1"/>
  <c r="A3682" i="1"/>
  <c r="I3681" i="1"/>
  <c r="H3681" i="1"/>
  <c r="A3681" i="1"/>
  <c r="I3680" i="1"/>
  <c r="H3680" i="1"/>
  <c r="A3680" i="1"/>
  <c r="I3679" i="1"/>
  <c r="H3679" i="1"/>
  <c r="A3679" i="1"/>
  <c r="I3678" i="1"/>
  <c r="H3678" i="1"/>
  <c r="A3678" i="1"/>
  <c r="I3677" i="1"/>
  <c r="H3677" i="1"/>
  <c r="A3677" i="1"/>
  <c r="I3676" i="1"/>
  <c r="H3676" i="1"/>
  <c r="A3676" i="1"/>
  <c r="I3675" i="1"/>
  <c r="H3675" i="1"/>
  <c r="A3675" i="1"/>
  <c r="I3674" i="1"/>
  <c r="H3674" i="1"/>
  <c r="A3674" i="1"/>
  <c r="I3673" i="1"/>
  <c r="H3673" i="1"/>
  <c r="A3673" i="1"/>
  <c r="I3672" i="1"/>
  <c r="H3672" i="1"/>
  <c r="A3672" i="1"/>
  <c r="I3671" i="1"/>
  <c r="H3671" i="1"/>
  <c r="A3671" i="1"/>
  <c r="I3670" i="1"/>
  <c r="H3670" i="1"/>
  <c r="A3670" i="1"/>
  <c r="I3669" i="1"/>
  <c r="H3669" i="1"/>
  <c r="A3669" i="1"/>
  <c r="I3668" i="1"/>
  <c r="H3668" i="1"/>
  <c r="A3668" i="1"/>
  <c r="I3667" i="1"/>
  <c r="H3667" i="1"/>
  <c r="A3667" i="1"/>
  <c r="I3666" i="1"/>
  <c r="H3666" i="1"/>
  <c r="A3666" i="1"/>
  <c r="I3665" i="1"/>
  <c r="H3665" i="1"/>
  <c r="A3665" i="1"/>
  <c r="I3664" i="1"/>
  <c r="H3664" i="1"/>
  <c r="A3664" i="1"/>
  <c r="I3663" i="1"/>
  <c r="H3663" i="1"/>
  <c r="A3663" i="1"/>
  <c r="I3662" i="1"/>
  <c r="H3662" i="1"/>
  <c r="A3662" i="1"/>
  <c r="I3661" i="1"/>
  <c r="H3661" i="1"/>
  <c r="A3661" i="1"/>
  <c r="I3660" i="1"/>
  <c r="H3660" i="1"/>
  <c r="A3660" i="1"/>
  <c r="I3659" i="1"/>
  <c r="H3659" i="1"/>
  <c r="A3659" i="1"/>
  <c r="I3658" i="1"/>
  <c r="H3658" i="1"/>
  <c r="A3658" i="1"/>
  <c r="I3657" i="1"/>
  <c r="H3657" i="1"/>
  <c r="A3657" i="1"/>
  <c r="I3656" i="1"/>
  <c r="H3656" i="1"/>
  <c r="A3656" i="1"/>
  <c r="I3655" i="1"/>
  <c r="H3655" i="1"/>
  <c r="A3655" i="1"/>
  <c r="I3654" i="1"/>
  <c r="H3654" i="1"/>
  <c r="A3654" i="1"/>
  <c r="I3653" i="1"/>
  <c r="H3653" i="1"/>
  <c r="A3653" i="1"/>
  <c r="I3652" i="1"/>
  <c r="H3652" i="1"/>
  <c r="A3652" i="1"/>
  <c r="I3651" i="1"/>
  <c r="H3651" i="1"/>
  <c r="A3651" i="1"/>
  <c r="I3650" i="1"/>
  <c r="H3650" i="1"/>
  <c r="A3650" i="1"/>
  <c r="I3649" i="1"/>
  <c r="H3649" i="1"/>
  <c r="A3649" i="1"/>
  <c r="I3648" i="1"/>
  <c r="H3648" i="1"/>
  <c r="A3648" i="1"/>
  <c r="I3647" i="1"/>
  <c r="H3647" i="1"/>
  <c r="A3647" i="1"/>
  <c r="I3646" i="1"/>
  <c r="H3646" i="1"/>
  <c r="A3646" i="1"/>
  <c r="I3645" i="1"/>
  <c r="H3645" i="1"/>
  <c r="A3645" i="1"/>
  <c r="I3644" i="1"/>
  <c r="H3644" i="1"/>
  <c r="A3644" i="1"/>
  <c r="I3643" i="1"/>
  <c r="H3643" i="1"/>
  <c r="A3643" i="1"/>
  <c r="I3642" i="1"/>
  <c r="H3642" i="1"/>
  <c r="A3642" i="1"/>
  <c r="I3641" i="1"/>
  <c r="H3641" i="1"/>
  <c r="A3641" i="1"/>
  <c r="I3640" i="1"/>
  <c r="H3640" i="1"/>
  <c r="A3640" i="1"/>
  <c r="I3639" i="1"/>
  <c r="H3639" i="1"/>
  <c r="A3639" i="1"/>
  <c r="I3638" i="1"/>
  <c r="H3638" i="1"/>
  <c r="A3638" i="1"/>
  <c r="I3637" i="1"/>
  <c r="H3637" i="1"/>
  <c r="A3637" i="1"/>
  <c r="I3636" i="1"/>
  <c r="H3636" i="1"/>
  <c r="A3636" i="1"/>
  <c r="I3635" i="1"/>
  <c r="H3635" i="1"/>
  <c r="A3635" i="1"/>
  <c r="I3634" i="1"/>
  <c r="H3634" i="1"/>
  <c r="A3634" i="1"/>
  <c r="I3633" i="1"/>
  <c r="H3633" i="1"/>
  <c r="A3633" i="1"/>
  <c r="I3632" i="1"/>
  <c r="H3632" i="1"/>
  <c r="A3632" i="1"/>
  <c r="I3631" i="1"/>
  <c r="H3631" i="1"/>
  <c r="A3631" i="1"/>
  <c r="I3630" i="1"/>
  <c r="H3630" i="1"/>
  <c r="A3630" i="1"/>
  <c r="I3629" i="1"/>
  <c r="H3629" i="1"/>
  <c r="A3629" i="1"/>
  <c r="I3628" i="1"/>
  <c r="H3628" i="1"/>
  <c r="A3628" i="1"/>
  <c r="I3627" i="1"/>
  <c r="H3627" i="1"/>
  <c r="A3627" i="1"/>
  <c r="I3626" i="1"/>
  <c r="H3626" i="1"/>
  <c r="A3626" i="1"/>
  <c r="I3625" i="1"/>
  <c r="H3625" i="1"/>
  <c r="A3625" i="1"/>
  <c r="I3624" i="1"/>
  <c r="H3624" i="1"/>
  <c r="A3624" i="1"/>
  <c r="I3623" i="1"/>
  <c r="H3623" i="1"/>
  <c r="A3623" i="1"/>
  <c r="I3622" i="1"/>
  <c r="H3622" i="1"/>
  <c r="A3622" i="1"/>
  <c r="I3621" i="1"/>
  <c r="H3621" i="1"/>
  <c r="A3621" i="1"/>
  <c r="I3620" i="1"/>
  <c r="H3620" i="1"/>
  <c r="A3620" i="1"/>
  <c r="I3619" i="1"/>
  <c r="H3619" i="1"/>
  <c r="A3619" i="1"/>
  <c r="I3618" i="1"/>
  <c r="H3618" i="1"/>
  <c r="A3618" i="1"/>
  <c r="I3617" i="1"/>
  <c r="H3617" i="1"/>
  <c r="A3617" i="1"/>
  <c r="I3616" i="1"/>
  <c r="H3616" i="1"/>
  <c r="A3616" i="1"/>
  <c r="I3615" i="1"/>
  <c r="H3615" i="1"/>
  <c r="A3615" i="1"/>
  <c r="I3614" i="1"/>
  <c r="H3614" i="1"/>
  <c r="A3614" i="1"/>
  <c r="I3613" i="1"/>
  <c r="H3613" i="1"/>
  <c r="A3613" i="1"/>
  <c r="I3612" i="1"/>
  <c r="H3612" i="1"/>
  <c r="A3612" i="1"/>
  <c r="I3611" i="1"/>
  <c r="H3611" i="1"/>
  <c r="A3611" i="1"/>
  <c r="I3610" i="1"/>
  <c r="H3610" i="1"/>
  <c r="A3610" i="1"/>
  <c r="I3609" i="1"/>
  <c r="H3609" i="1"/>
  <c r="A3609" i="1"/>
  <c r="I3608" i="1"/>
  <c r="H3608" i="1"/>
  <c r="A3608" i="1"/>
  <c r="I3607" i="1"/>
  <c r="H3607" i="1"/>
  <c r="A3607" i="1"/>
  <c r="I3606" i="1"/>
  <c r="H3606" i="1"/>
  <c r="A3606" i="1"/>
  <c r="I3605" i="1"/>
  <c r="H3605" i="1"/>
  <c r="A3605" i="1"/>
  <c r="I3604" i="1"/>
  <c r="H3604" i="1"/>
  <c r="A3604" i="1"/>
  <c r="I3603" i="1"/>
  <c r="H3603" i="1"/>
  <c r="A3603" i="1"/>
  <c r="I3602" i="1"/>
  <c r="H3602" i="1"/>
  <c r="A3602" i="1"/>
  <c r="I3601" i="1"/>
  <c r="H3601" i="1"/>
  <c r="A3601" i="1"/>
  <c r="I3600" i="1"/>
  <c r="H3600" i="1"/>
  <c r="A3600" i="1"/>
  <c r="I3599" i="1"/>
  <c r="H3599" i="1"/>
  <c r="A3599" i="1"/>
  <c r="I3598" i="1"/>
  <c r="H3598" i="1"/>
  <c r="A3598" i="1"/>
  <c r="I3597" i="1"/>
  <c r="H3597" i="1"/>
  <c r="A3597" i="1"/>
  <c r="I3596" i="1"/>
  <c r="H3596" i="1"/>
  <c r="A3596" i="1"/>
  <c r="I3595" i="1"/>
  <c r="H3595" i="1"/>
  <c r="A3595" i="1"/>
  <c r="I3594" i="1"/>
  <c r="H3594" i="1"/>
  <c r="A3594" i="1"/>
  <c r="I3593" i="1"/>
  <c r="H3593" i="1"/>
  <c r="A3593" i="1"/>
  <c r="I3592" i="1"/>
  <c r="H3592" i="1"/>
  <c r="A3592" i="1"/>
  <c r="I3591" i="1"/>
  <c r="H3591" i="1"/>
  <c r="A3591" i="1"/>
  <c r="I3590" i="1"/>
  <c r="H3590" i="1"/>
  <c r="A3590" i="1"/>
  <c r="I3589" i="1"/>
  <c r="H3589" i="1"/>
  <c r="A3589" i="1"/>
  <c r="I3588" i="1"/>
  <c r="H3588" i="1"/>
  <c r="A3588" i="1"/>
  <c r="I3587" i="1"/>
  <c r="H3587" i="1"/>
  <c r="A3587" i="1"/>
  <c r="I3586" i="1"/>
  <c r="H3586" i="1"/>
  <c r="A3586" i="1"/>
  <c r="I3585" i="1"/>
  <c r="H3585" i="1"/>
  <c r="A3585" i="1"/>
  <c r="I3584" i="1"/>
  <c r="H3584" i="1"/>
  <c r="A3584" i="1"/>
  <c r="I3583" i="1"/>
  <c r="H3583" i="1"/>
  <c r="A3583" i="1"/>
  <c r="I3582" i="1"/>
  <c r="H3582" i="1"/>
  <c r="A3582" i="1"/>
  <c r="I3581" i="1"/>
  <c r="H3581" i="1"/>
  <c r="A3581" i="1"/>
  <c r="I3580" i="1"/>
  <c r="H3580" i="1"/>
  <c r="A3580" i="1"/>
  <c r="I3579" i="1"/>
  <c r="H3579" i="1"/>
  <c r="A3579" i="1"/>
  <c r="I3578" i="1"/>
  <c r="H3578" i="1"/>
  <c r="A3578" i="1"/>
  <c r="I3577" i="1"/>
  <c r="H3577" i="1"/>
  <c r="A3577" i="1"/>
  <c r="I3576" i="1"/>
  <c r="H3576" i="1"/>
  <c r="A3576" i="1"/>
  <c r="I3575" i="1"/>
  <c r="H3575" i="1"/>
  <c r="A3575" i="1"/>
  <c r="I3574" i="1"/>
  <c r="H3574" i="1"/>
  <c r="A3574" i="1"/>
  <c r="I3573" i="1"/>
  <c r="H3573" i="1"/>
  <c r="A3573" i="1"/>
  <c r="I3572" i="1"/>
  <c r="H3572" i="1"/>
  <c r="A3572" i="1"/>
  <c r="I3571" i="1"/>
  <c r="H3571" i="1"/>
  <c r="A3571" i="1"/>
  <c r="I3570" i="1"/>
  <c r="H3570" i="1"/>
  <c r="A3570" i="1"/>
  <c r="I3569" i="1"/>
  <c r="H3569" i="1"/>
  <c r="A3569" i="1"/>
  <c r="I3568" i="1"/>
  <c r="H3568" i="1"/>
  <c r="A3568" i="1"/>
  <c r="I3567" i="1"/>
  <c r="H3567" i="1"/>
  <c r="A3567" i="1"/>
  <c r="I3566" i="1"/>
  <c r="H3566" i="1"/>
  <c r="A3566" i="1"/>
  <c r="I3565" i="1"/>
  <c r="H3565" i="1"/>
  <c r="A3565" i="1"/>
  <c r="I3564" i="1"/>
  <c r="H3564" i="1"/>
  <c r="A3564" i="1"/>
  <c r="I3563" i="1"/>
  <c r="H3563" i="1"/>
  <c r="A3563" i="1"/>
  <c r="I3562" i="1"/>
  <c r="H3562" i="1"/>
  <c r="A3562" i="1"/>
  <c r="I3561" i="1"/>
  <c r="H3561" i="1"/>
  <c r="A3561" i="1"/>
  <c r="I3560" i="1"/>
  <c r="H3560" i="1"/>
  <c r="A3560" i="1"/>
  <c r="I3559" i="1"/>
  <c r="H3559" i="1"/>
  <c r="A3559" i="1"/>
  <c r="I3558" i="1"/>
  <c r="H3558" i="1"/>
  <c r="A3558" i="1"/>
  <c r="I3557" i="1"/>
  <c r="H3557" i="1"/>
  <c r="A3557" i="1"/>
  <c r="I3556" i="1"/>
  <c r="H3556" i="1"/>
  <c r="A3556" i="1"/>
  <c r="I3555" i="1"/>
  <c r="H3555" i="1"/>
  <c r="A3555" i="1"/>
  <c r="I3554" i="1"/>
  <c r="H3554" i="1"/>
  <c r="A3554" i="1"/>
  <c r="I3553" i="1"/>
  <c r="H3553" i="1"/>
  <c r="A3553" i="1"/>
  <c r="I3552" i="1"/>
  <c r="H3552" i="1"/>
  <c r="A3552" i="1"/>
  <c r="I3551" i="1"/>
  <c r="H3551" i="1"/>
  <c r="A3551" i="1"/>
  <c r="I3550" i="1"/>
  <c r="H3550" i="1"/>
  <c r="A3550" i="1"/>
  <c r="I3549" i="1"/>
  <c r="H3549" i="1"/>
  <c r="A3549" i="1"/>
  <c r="I3548" i="1"/>
  <c r="H3548" i="1"/>
  <c r="A3548" i="1"/>
  <c r="I3547" i="1"/>
  <c r="H3547" i="1"/>
  <c r="A3547" i="1"/>
  <c r="I3546" i="1"/>
  <c r="H3546" i="1"/>
  <c r="A3546" i="1"/>
  <c r="I3545" i="1"/>
  <c r="H3545" i="1"/>
  <c r="A3545" i="1"/>
  <c r="I3544" i="1"/>
  <c r="H3544" i="1"/>
  <c r="A3544" i="1"/>
  <c r="I3543" i="1"/>
  <c r="H3543" i="1"/>
  <c r="A3543" i="1"/>
  <c r="I3542" i="1"/>
  <c r="H3542" i="1"/>
  <c r="A3542" i="1"/>
  <c r="I3541" i="1"/>
  <c r="H3541" i="1"/>
  <c r="A3541" i="1"/>
  <c r="I3540" i="1"/>
  <c r="H3540" i="1"/>
  <c r="A3540" i="1"/>
  <c r="I3539" i="1"/>
  <c r="H3539" i="1"/>
  <c r="A3539" i="1"/>
  <c r="I3538" i="1"/>
  <c r="H3538" i="1"/>
  <c r="A3538" i="1"/>
  <c r="I3537" i="1"/>
  <c r="H3537" i="1"/>
  <c r="A3537" i="1"/>
  <c r="I3536" i="1"/>
  <c r="H3536" i="1"/>
  <c r="A3536" i="1"/>
  <c r="I3535" i="1"/>
  <c r="H3535" i="1"/>
  <c r="A3535" i="1"/>
  <c r="I3534" i="1"/>
  <c r="H3534" i="1"/>
  <c r="A3534" i="1"/>
  <c r="I3533" i="1"/>
  <c r="H3533" i="1"/>
  <c r="A3533" i="1"/>
  <c r="I3532" i="1"/>
  <c r="H3532" i="1"/>
  <c r="A3532" i="1"/>
  <c r="I3531" i="1"/>
  <c r="H3531" i="1"/>
  <c r="A3531" i="1"/>
  <c r="I3530" i="1"/>
  <c r="H3530" i="1"/>
  <c r="A3530" i="1"/>
  <c r="I3529" i="1"/>
  <c r="H3529" i="1"/>
  <c r="A3529" i="1"/>
  <c r="I3528" i="1"/>
  <c r="H3528" i="1"/>
  <c r="A3528" i="1"/>
  <c r="I3527" i="1"/>
  <c r="H3527" i="1"/>
  <c r="A3527" i="1"/>
  <c r="I3526" i="1"/>
  <c r="H3526" i="1"/>
  <c r="A3526" i="1"/>
  <c r="I3525" i="1"/>
  <c r="H3525" i="1"/>
  <c r="A3525" i="1"/>
  <c r="I3524" i="1"/>
  <c r="H3524" i="1"/>
  <c r="A3524" i="1"/>
  <c r="I3523" i="1"/>
  <c r="H3523" i="1"/>
  <c r="A3523" i="1"/>
  <c r="I3522" i="1"/>
  <c r="H3522" i="1"/>
  <c r="A3522" i="1"/>
  <c r="I3521" i="1"/>
  <c r="H3521" i="1"/>
  <c r="A3521" i="1"/>
  <c r="I3520" i="1"/>
  <c r="H3520" i="1"/>
  <c r="A3520" i="1"/>
  <c r="I3519" i="1"/>
  <c r="H3519" i="1"/>
  <c r="A3519" i="1"/>
  <c r="I3518" i="1"/>
  <c r="H3518" i="1"/>
  <c r="A3518" i="1"/>
  <c r="I3517" i="1"/>
  <c r="H3517" i="1"/>
  <c r="A3517" i="1"/>
  <c r="I3516" i="1"/>
  <c r="H3516" i="1"/>
  <c r="A3516" i="1"/>
  <c r="I3515" i="1"/>
  <c r="H3515" i="1"/>
  <c r="A3515" i="1"/>
  <c r="I3514" i="1"/>
  <c r="H3514" i="1"/>
  <c r="A3514" i="1"/>
  <c r="I3513" i="1"/>
  <c r="H3513" i="1"/>
  <c r="A3513" i="1"/>
  <c r="I3512" i="1"/>
  <c r="H3512" i="1"/>
  <c r="A3512" i="1"/>
  <c r="I3511" i="1"/>
  <c r="H3511" i="1"/>
  <c r="A3511" i="1"/>
  <c r="I3510" i="1"/>
  <c r="H3510" i="1"/>
  <c r="A3510" i="1"/>
  <c r="I3509" i="1"/>
  <c r="H3509" i="1"/>
  <c r="A3509" i="1"/>
  <c r="I3508" i="1"/>
  <c r="H3508" i="1"/>
  <c r="A3508" i="1"/>
  <c r="I3507" i="1"/>
  <c r="H3507" i="1"/>
  <c r="A3507" i="1"/>
  <c r="I3506" i="1"/>
  <c r="H3506" i="1"/>
  <c r="A3506" i="1"/>
  <c r="I3505" i="1"/>
  <c r="H3505" i="1"/>
  <c r="A3505" i="1"/>
  <c r="I3504" i="1"/>
  <c r="H3504" i="1"/>
  <c r="A3504" i="1"/>
  <c r="I3503" i="1"/>
  <c r="H3503" i="1"/>
  <c r="A3503" i="1"/>
  <c r="I3502" i="1"/>
  <c r="H3502" i="1"/>
  <c r="A3502" i="1"/>
  <c r="I3501" i="1"/>
  <c r="H3501" i="1"/>
  <c r="A3501" i="1"/>
  <c r="I3500" i="1"/>
  <c r="H3500" i="1"/>
  <c r="A3500" i="1"/>
  <c r="I3499" i="1"/>
  <c r="H3499" i="1"/>
  <c r="A3499" i="1"/>
  <c r="I3498" i="1"/>
  <c r="H3498" i="1"/>
  <c r="A3498" i="1"/>
  <c r="I3497" i="1"/>
  <c r="H3497" i="1"/>
  <c r="A3497" i="1"/>
  <c r="I3496" i="1"/>
  <c r="H3496" i="1"/>
  <c r="A3496" i="1"/>
  <c r="I3495" i="1"/>
  <c r="H3495" i="1"/>
  <c r="A3495" i="1"/>
  <c r="I3494" i="1"/>
  <c r="H3494" i="1"/>
  <c r="A3494" i="1"/>
  <c r="I3493" i="1"/>
  <c r="H3493" i="1"/>
  <c r="A3493" i="1"/>
  <c r="I3492" i="1"/>
  <c r="H3492" i="1"/>
  <c r="A3492" i="1"/>
  <c r="I3491" i="1"/>
  <c r="H3491" i="1"/>
  <c r="A3491" i="1"/>
  <c r="I3490" i="1"/>
  <c r="H3490" i="1"/>
  <c r="A3490" i="1"/>
  <c r="I3489" i="1"/>
  <c r="H3489" i="1"/>
  <c r="A3489" i="1"/>
  <c r="I3488" i="1"/>
  <c r="H3488" i="1"/>
  <c r="A3488" i="1"/>
  <c r="I3487" i="1"/>
  <c r="H3487" i="1"/>
  <c r="A3487" i="1"/>
  <c r="I3486" i="1"/>
  <c r="H3486" i="1"/>
  <c r="A3486" i="1"/>
  <c r="I3485" i="1"/>
  <c r="H3485" i="1"/>
  <c r="A3485" i="1"/>
  <c r="I3484" i="1"/>
  <c r="H3484" i="1"/>
  <c r="A3484" i="1"/>
  <c r="I3483" i="1"/>
  <c r="H3483" i="1"/>
  <c r="A3483" i="1"/>
  <c r="I3482" i="1"/>
  <c r="H3482" i="1"/>
  <c r="A3482" i="1"/>
  <c r="I3481" i="1"/>
  <c r="H3481" i="1"/>
  <c r="A3481" i="1"/>
  <c r="I3480" i="1"/>
  <c r="H3480" i="1"/>
  <c r="A3480" i="1"/>
  <c r="I3479" i="1"/>
  <c r="H3479" i="1"/>
  <c r="A3479" i="1"/>
  <c r="I3478" i="1"/>
  <c r="H3478" i="1"/>
  <c r="A3478" i="1"/>
  <c r="I3477" i="1"/>
  <c r="H3477" i="1"/>
  <c r="A3477" i="1"/>
  <c r="I3476" i="1"/>
  <c r="H3476" i="1"/>
  <c r="A3476" i="1"/>
  <c r="I3475" i="1"/>
  <c r="H3475" i="1"/>
  <c r="A3475" i="1"/>
  <c r="I3474" i="1"/>
  <c r="H3474" i="1"/>
  <c r="A3474" i="1"/>
  <c r="I3473" i="1"/>
  <c r="H3473" i="1"/>
  <c r="A3473" i="1"/>
  <c r="I3472" i="1"/>
  <c r="H3472" i="1"/>
  <c r="A3472" i="1"/>
  <c r="I3471" i="1"/>
  <c r="H3471" i="1"/>
  <c r="A3471" i="1"/>
  <c r="I3470" i="1"/>
  <c r="H3470" i="1"/>
  <c r="A3470" i="1"/>
  <c r="I3469" i="1"/>
  <c r="H3469" i="1"/>
  <c r="A3469" i="1"/>
  <c r="I3468" i="1"/>
  <c r="H3468" i="1"/>
  <c r="A3468" i="1"/>
  <c r="I3467" i="1"/>
  <c r="H3467" i="1"/>
  <c r="A3467" i="1"/>
  <c r="I3466" i="1"/>
  <c r="H3466" i="1"/>
  <c r="A3466" i="1"/>
  <c r="I3465" i="1"/>
  <c r="H3465" i="1"/>
  <c r="A3465" i="1"/>
  <c r="I3464" i="1"/>
  <c r="H3464" i="1"/>
  <c r="A3464" i="1"/>
  <c r="I3463" i="1"/>
  <c r="H3463" i="1"/>
  <c r="A3463" i="1"/>
  <c r="I3462" i="1"/>
  <c r="H3462" i="1"/>
  <c r="A3462" i="1"/>
  <c r="I3461" i="1"/>
  <c r="H3461" i="1"/>
  <c r="A3461" i="1"/>
  <c r="I3460" i="1"/>
  <c r="H3460" i="1"/>
  <c r="A3460" i="1"/>
  <c r="I3459" i="1"/>
  <c r="H3459" i="1"/>
  <c r="A3459" i="1"/>
  <c r="I3458" i="1"/>
  <c r="H3458" i="1"/>
  <c r="A3458" i="1"/>
  <c r="I3457" i="1"/>
  <c r="H3457" i="1"/>
  <c r="A3457" i="1"/>
  <c r="I3456" i="1"/>
  <c r="H3456" i="1"/>
  <c r="A3456" i="1"/>
  <c r="I3455" i="1"/>
  <c r="H3455" i="1"/>
  <c r="A3455" i="1"/>
  <c r="I3454" i="1"/>
  <c r="H3454" i="1"/>
  <c r="A3454" i="1"/>
  <c r="I3453" i="1"/>
  <c r="H3453" i="1"/>
  <c r="A3453" i="1"/>
  <c r="I3452" i="1"/>
  <c r="H3452" i="1"/>
  <c r="A3452" i="1"/>
  <c r="I3451" i="1"/>
  <c r="H3451" i="1"/>
  <c r="A3451" i="1"/>
  <c r="I3450" i="1"/>
  <c r="H3450" i="1"/>
  <c r="A3450" i="1"/>
  <c r="I3449" i="1"/>
  <c r="H3449" i="1"/>
  <c r="A3449" i="1"/>
  <c r="I3448" i="1"/>
  <c r="H3448" i="1"/>
  <c r="A3448" i="1"/>
  <c r="I3447" i="1"/>
  <c r="H3447" i="1"/>
  <c r="A3447" i="1"/>
  <c r="I3446" i="1"/>
  <c r="H3446" i="1"/>
  <c r="A3446" i="1"/>
  <c r="I3445" i="1"/>
  <c r="H3445" i="1"/>
  <c r="A3445" i="1"/>
  <c r="I3444" i="1"/>
  <c r="H3444" i="1"/>
  <c r="A3444" i="1"/>
  <c r="I3443" i="1"/>
  <c r="H3443" i="1"/>
  <c r="A3443" i="1"/>
  <c r="I3442" i="1"/>
  <c r="H3442" i="1"/>
  <c r="A3442" i="1"/>
  <c r="I3441" i="1"/>
  <c r="H3441" i="1"/>
  <c r="A3441" i="1"/>
  <c r="I3440" i="1"/>
  <c r="H3440" i="1"/>
  <c r="A3440" i="1"/>
  <c r="I3439" i="1"/>
  <c r="H3439" i="1"/>
  <c r="A3439" i="1"/>
  <c r="I3438" i="1"/>
  <c r="H3438" i="1"/>
  <c r="A3438" i="1"/>
  <c r="I3437" i="1"/>
  <c r="H3437" i="1"/>
  <c r="A3437" i="1"/>
  <c r="I3436" i="1"/>
  <c r="H3436" i="1"/>
  <c r="A3436" i="1"/>
  <c r="I3435" i="1"/>
  <c r="H3435" i="1"/>
  <c r="A3435" i="1"/>
  <c r="I3434" i="1"/>
  <c r="H3434" i="1"/>
  <c r="A3434" i="1"/>
  <c r="I3433" i="1"/>
  <c r="H3433" i="1"/>
  <c r="A3433" i="1"/>
  <c r="I3432" i="1"/>
  <c r="H3432" i="1"/>
  <c r="A3432" i="1"/>
  <c r="I3431" i="1"/>
  <c r="H3431" i="1"/>
  <c r="A3431" i="1"/>
  <c r="I3430" i="1"/>
  <c r="H3430" i="1"/>
  <c r="A3430" i="1"/>
  <c r="I3429" i="1"/>
  <c r="H3429" i="1"/>
  <c r="A3429" i="1"/>
  <c r="I3428" i="1"/>
  <c r="H3428" i="1"/>
  <c r="A3428" i="1"/>
  <c r="I3427" i="1"/>
  <c r="H3427" i="1"/>
  <c r="A3427" i="1"/>
  <c r="I3426" i="1"/>
  <c r="H3426" i="1"/>
  <c r="A3426" i="1"/>
  <c r="I3425" i="1"/>
  <c r="H3425" i="1"/>
  <c r="A3425" i="1"/>
  <c r="I3424" i="1"/>
  <c r="H3424" i="1"/>
  <c r="A3424" i="1"/>
  <c r="I3423" i="1"/>
  <c r="H3423" i="1"/>
  <c r="A3423" i="1"/>
  <c r="I3422" i="1"/>
  <c r="H3422" i="1"/>
  <c r="A3422" i="1"/>
  <c r="I3421" i="1"/>
  <c r="H3421" i="1"/>
  <c r="A3421" i="1"/>
  <c r="I3420" i="1"/>
  <c r="H3420" i="1"/>
  <c r="A3420" i="1"/>
  <c r="I3419" i="1"/>
  <c r="H3419" i="1"/>
  <c r="A3419" i="1"/>
  <c r="I3418" i="1"/>
  <c r="H3418" i="1"/>
  <c r="A3418" i="1"/>
  <c r="I3417" i="1"/>
  <c r="H3417" i="1"/>
  <c r="A3417" i="1"/>
  <c r="I3416" i="1"/>
  <c r="H3416" i="1"/>
  <c r="A3416" i="1"/>
  <c r="I3415" i="1"/>
  <c r="H3415" i="1"/>
  <c r="A3415" i="1"/>
  <c r="I3414" i="1"/>
  <c r="H3414" i="1"/>
  <c r="A3414" i="1"/>
  <c r="I3413" i="1"/>
  <c r="H3413" i="1"/>
  <c r="A3413" i="1"/>
  <c r="I3412" i="1"/>
  <c r="H3412" i="1"/>
  <c r="A3412" i="1"/>
  <c r="I3411" i="1"/>
  <c r="H3411" i="1"/>
  <c r="A3411" i="1"/>
  <c r="I3410" i="1"/>
  <c r="H3410" i="1"/>
  <c r="A3410" i="1"/>
  <c r="I3409" i="1"/>
  <c r="H3409" i="1"/>
  <c r="A3409" i="1"/>
  <c r="I3408" i="1"/>
  <c r="H3408" i="1"/>
  <c r="A3408" i="1"/>
  <c r="I3407" i="1"/>
  <c r="H3407" i="1"/>
  <c r="A3407" i="1"/>
  <c r="I3406" i="1"/>
  <c r="H3406" i="1"/>
  <c r="A3406" i="1"/>
  <c r="I3405" i="1"/>
  <c r="H3405" i="1"/>
  <c r="A3405" i="1"/>
  <c r="I3404" i="1"/>
  <c r="H3404" i="1"/>
  <c r="A3404" i="1"/>
  <c r="I3403" i="1"/>
  <c r="H3403" i="1"/>
  <c r="A3403" i="1"/>
  <c r="I3402" i="1"/>
  <c r="H3402" i="1"/>
  <c r="A3402" i="1"/>
  <c r="I3401" i="1"/>
  <c r="H3401" i="1"/>
  <c r="A3401" i="1"/>
  <c r="I3400" i="1"/>
  <c r="H3400" i="1"/>
  <c r="A3400" i="1"/>
  <c r="I3399" i="1"/>
  <c r="H3399" i="1"/>
  <c r="A3399" i="1"/>
  <c r="I3398" i="1"/>
  <c r="H3398" i="1"/>
  <c r="A3398" i="1"/>
  <c r="I3397" i="1"/>
  <c r="H3397" i="1"/>
  <c r="A3397" i="1"/>
  <c r="I3396" i="1"/>
  <c r="H3396" i="1"/>
  <c r="A3396" i="1"/>
  <c r="I3395" i="1"/>
  <c r="H3395" i="1"/>
  <c r="A3395" i="1"/>
  <c r="I3394" i="1"/>
  <c r="H3394" i="1"/>
  <c r="A3394" i="1"/>
  <c r="I3393" i="1"/>
  <c r="H3393" i="1"/>
  <c r="A3393" i="1"/>
  <c r="I3392" i="1"/>
  <c r="H3392" i="1"/>
  <c r="A3392" i="1"/>
  <c r="I3391" i="1"/>
  <c r="H3391" i="1"/>
  <c r="A3391" i="1"/>
  <c r="I3390" i="1"/>
  <c r="H3390" i="1"/>
  <c r="A3390" i="1"/>
  <c r="I3389" i="1"/>
  <c r="H3389" i="1"/>
  <c r="A3389" i="1"/>
  <c r="I3388" i="1"/>
  <c r="H3388" i="1"/>
  <c r="A3388" i="1"/>
  <c r="I3387" i="1"/>
  <c r="H3387" i="1"/>
  <c r="A3387" i="1"/>
  <c r="I3386" i="1"/>
  <c r="H3386" i="1"/>
  <c r="A3386" i="1"/>
  <c r="I3385" i="1"/>
  <c r="H3385" i="1"/>
  <c r="A3385" i="1"/>
  <c r="I3384" i="1"/>
  <c r="H3384" i="1"/>
  <c r="A3384" i="1"/>
  <c r="I3383" i="1"/>
  <c r="H3383" i="1"/>
  <c r="A3383" i="1"/>
  <c r="I3382" i="1"/>
  <c r="H3382" i="1"/>
  <c r="A3382" i="1"/>
  <c r="I3381" i="1"/>
  <c r="H3381" i="1"/>
  <c r="A3381" i="1"/>
  <c r="I3380" i="1"/>
  <c r="H3380" i="1"/>
  <c r="A3380" i="1"/>
  <c r="I3379" i="1"/>
  <c r="H3379" i="1"/>
  <c r="A3379" i="1"/>
  <c r="I3378" i="1"/>
  <c r="H3378" i="1"/>
  <c r="A3378" i="1"/>
  <c r="I3377" i="1"/>
  <c r="H3377" i="1"/>
  <c r="A3377" i="1"/>
  <c r="I3376" i="1"/>
  <c r="H3376" i="1"/>
  <c r="A3376" i="1"/>
  <c r="I3375" i="1"/>
  <c r="H3375" i="1"/>
  <c r="A3375" i="1"/>
  <c r="I3374" i="1"/>
  <c r="H3374" i="1"/>
  <c r="A3374" i="1"/>
  <c r="I3373" i="1"/>
  <c r="H3373" i="1"/>
  <c r="A3373" i="1"/>
  <c r="I3372" i="1"/>
  <c r="H3372" i="1"/>
  <c r="A3372" i="1"/>
  <c r="I3371" i="1"/>
  <c r="H3371" i="1"/>
  <c r="A3371" i="1"/>
  <c r="I3370" i="1"/>
  <c r="H3370" i="1"/>
  <c r="A3370" i="1"/>
  <c r="I3369" i="1"/>
  <c r="H3369" i="1"/>
  <c r="A3369" i="1"/>
  <c r="I3368" i="1"/>
  <c r="H3368" i="1"/>
  <c r="A3368" i="1"/>
  <c r="I3367" i="1"/>
  <c r="H3367" i="1"/>
  <c r="A3367" i="1"/>
  <c r="I3366" i="1"/>
  <c r="H3366" i="1"/>
  <c r="A3366" i="1"/>
  <c r="I3365" i="1"/>
  <c r="H3365" i="1"/>
  <c r="A3365" i="1"/>
  <c r="I3364" i="1"/>
  <c r="H3364" i="1"/>
  <c r="A3364" i="1"/>
  <c r="I3363" i="1"/>
  <c r="H3363" i="1"/>
  <c r="A3363" i="1"/>
  <c r="I3362" i="1"/>
  <c r="H3362" i="1"/>
  <c r="A3362" i="1"/>
  <c r="I3361" i="1"/>
  <c r="H3361" i="1"/>
  <c r="A3361" i="1"/>
  <c r="I3360" i="1"/>
  <c r="H3360" i="1"/>
  <c r="A3360" i="1"/>
  <c r="I3359" i="1"/>
  <c r="H3359" i="1"/>
  <c r="A3359" i="1"/>
  <c r="I3358" i="1"/>
  <c r="H3358" i="1"/>
  <c r="A3358" i="1"/>
  <c r="I3357" i="1"/>
  <c r="H3357" i="1"/>
  <c r="A3357" i="1"/>
  <c r="I3356" i="1"/>
  <c r="H3356" i="1"/>
  <c r="A3356" i="1"/>
  <c r="I3355" i="1"/>
  <c r="H3355" i="1"/>
  <c r="A3355" i="1"/>
  <c r="I3354" i="1"/>
  <c r="H3354" i="1"/>
  <c r="A3354" i="1"/>
  <c r="I3353" i="1"/>
  <c r="H3353" i="1"/>
  <c r="A3353" i="1"/>
  <c r="I3352" i="1"/>
  <c r="H3352" i="1"/>
  <c r="A3352" i="1"/>
  <c r="I3351" i="1"/>
  <c r="H3351" i="1"/>
  <c r="A3351" i="1"/>
  <c r="I3350" i="1"/>
  <c r="H3350" i="1"/>
  <c r="A3350" i="1"/>
  <c r="I3349" i="1"/>
  <c r="H3349" i="1"/>
  <c r="A3349" i="1"/>
  <c r="I3348" i="1"/>
  <c r="H3348" i="1"/>
  <c r="A3348" i="1"/>
  <c r="I3347" i="1"/>
  <c r="H3347" i="1"/>
  <c r="A3347" i="1"/>
  <c r="I3346" i="1"/>
  <c r="H3346" i="1"/>
  <c r="A3346" i="1"/>
  <c r="I3345" i="1"/>
  <c r="H3345" i="1"/>
  <c r="A3345" i="1"/>
  <c r="I3344" i="1"/>
  <c r="H3344" i="1"/>
  <c r="A3344" i="1"/>
  <c r="I3343" i="1"/>
  <c r="H3343" i="1"/>
  <c r="A3343" i="1"/>
  <c r="I3342" i="1"/>
  <c r="H3342" i="1"/>
  <c r="A3342" i="1"/>
  <c r="I3341" i="1"/>
  <c r="H3341" i="1"/>
  <c r="A3341" i="1"/>
  <c r="I3340" i="1"/>
  <c r="H3340" i="1"/>
  <c r="A3340" i="1"/>
  <c r="I3339" i="1"/>
  <c r="H3339" i="1"/>
  <c r="A3339" i="1"/>
  <c r="I3338" i="1"/>
  <c r="H3338" i="1"/>
  <c r="A3338" i="1"/>
  <c r="I3337" i="1"/>
  <c r="H3337" i="1"/>
  <c r="A3337" i="1"/>
  <c r="I3336" i="1"/>
  <c r="H3336" i="1"/>
  <c r="A3336" i="1"/>
  <c r="I3335" i="1"/>
  <c r="H3335" i="1"/>
  <c r="A3335" i="1"/>
  <c r="I3334" i="1"/>
  <c r="H3334" i="1"/>
  <c r="A3334" i="1"/>
  <c r="I3333" i="1"/>
  <c r="H3333" i="1"/>
  <c r="A3333" i="1"/>
  <c r="I3332" i="1"/>
  <c r="H3332" i="1"/>
  <c r="A3332" i="1"/>
  <c r="I3331" i="1"/>
  <c r="H3331" i="1"/>
  <c r="A3331" i="1"/>
  <c r="I3330" i="1"/>
  <c r="H3330" i="1"/>
  <c r="A3330" i="1"/>
  <c r="I3329" i="1"/>
  <c r="H3329" i="1"/>
  <c r="A3329" i="1"/>
  <c r="I3328" i="1"/>
  <c r="H3328" i="1"/>
  <c r="A3328" i="1"/>
  <c r="I3327" i="1"/>
  <c r="H3327" i="1"/>
  <c r="A3327" i="1"/>
  <c r="I3326" i="1"/>
  <c r="H3326" i="1"/>
  <c r="A3326" i="1"/>
  <c r="I3325" i="1"/>
  <c r="H3325" i="1"/>
  <c r="A3325" i="1"/>
  <c r="I3324" i="1"/>
  <c r="H3324" i="1"/>
  <c r="A3324" i="1"/>
  <c r="I3323" i="1"/>
  <c r="H3323" i="1"/>
  <c r="A3323" i="1"/>
  <c r="I3322" i="1"/>
  <c r="H3322" i="1"/>
  <c r="A3322" i="1"/>
  <c r="I3321" i="1"/>
  <c r="H3321" i="1"/>
  <c r="A3321" i="1"/>
  <c r="I3320" i="1"/>
  <c r="H3320" i="1"/>
  <c r="A3320" i="1"/>
  <c r="I3319" i="1"/>
  <c r="H3319" i="1"/>
  <c r="A3319" i="1"/>
  <c r="I3318" i="1"/>
  <c r="H3318" i="1"/>
  <c r="A3318" i="1"/>
  <c r="I3317" i="1"/>
  <c r="H3317" i="1"/>
  <c r="A3317" i="1"/>
  <c r="I3316" i="1"/>
  <c r="H3316" i="1"/>
  <c r="A3316" i="1"/>
  <c r="I3315" i="1"/>
  <c r="H3315" i="1"/>
  <c r="A3315" i="1"/>
  <c r="I3314" i="1"/>
  <c r="H3314" i="1"/>
  <c r="A3314" i="1"/>
  <c r="I3313" i="1"/>
  <c r="H3313" i="1"/>
  <c r="A3313" i="1"/>
  <c r="I3312" i="1"/>
  <c r="H3312" i="1"/>
  <c r="A3312" i="1"/>
  <c r="I3311" i="1"/>
  <c r="H3311" i="1"/>
  <c r="A3311" i="1"/>
  <c r="I3310" i="1"/>
  <c r="H3310" i="1"/>
  <c r="A3310" i="1"/>
  <c r="I3309" i="1"/>
  <c r="H3309" i="1"/>
  <c r="A3309" i="1"/>
  <c r="I3308" i="1"/>
  <c r="H3308" i="1"/>
  <c r="A3308" i="1"/>
  <c r="I3307" i="1"/>
  <c r="H3307" i="1"/>
  <c r="A3307" i="1"/>
  <c r="I3306" i="1"/>
  <c r="H3306" i="1"/>
  <c r="A3306" i="1"/>
  <c r="I3305" i="1"/>
  <c r="H3305" i="1"/>
  <c r="A3305" i="1"/>
  <c r="I3304" i="1"/>
  <c r="H3304" i="1"/>
  <c r="A3304" i="1"/>
  <c r="I3303" i="1"/>
  <c r="H3303" i="1"/>
  <c r="A3303" i="1"/>
  <c r="I3302" i="1"/>
  <c r="H3302" i="1"/>
  <c r="A3302" i="1"/>
  <c r="I3301" i="1"/>
  <c r="H3301" i="1"/>
  <c r="A3301" i="1"/>
  <c r="I3300" i="1"/>
  <c r="H3300" i="1"/>
  <c r="A3300" i="1"/>
  <c r="I3299" i="1"/>
  <c r="H3299" i="1"/>
  <c r="A3299" i="1"/>
  <c r="I3298" i="1"/>
  <c r="H3298" i="1"/>
  <c r="A3298" i="1"/>
  <c r="I3297" i="1"/>
  <c r="H3297" i="1"/>
  <c r="A3297" i="1"/>
  <c r="I3296" i="1"/>
  <c r="H3296" i="1"/>
  <c r="A3296" i="1"/>
  <c r="I3295" i="1"/>
  <c r="H3295" i="1"/>
  <c r="A3295" i="1"/>
  <c r="I3294" i="1"/>
  <c r="H3294" i="1"/>
  <c r="A3294" i="1"/>
  <c r="I3293" i="1"/>
  <c r="H3293" i="1"/>
  <c r="A3293" i="1"/>
  <c r="I3292" i="1"/>
  <c r="H3292" i="1"/>
  <c r="A3292" i="1"/>
  <c r="I3291" i="1"/>
  <c r="H3291" i="1"/>
  <c r="A3291" i="1"/>
  <c r="I3290" i="1"/>
  <c r="H3290" i="1"/>
  <c r="A3290" i="1"/>
  <c r="I3289" i="1"/>
  <c r="H3289" i="1"/>
  <c r="A3289" i="1"/>
  <c r="I3288" i="1"/>
  <c r="H3288" i="1"/>
  <c r="A3288" i="1"/>
  <c r="I3287" i="1"/>
  <c r="H3287" i="1"/>
  <c r="A3287" i="1"/>
  <c r="I3286" i="1"/>
  <c r="H3286" i="1"/>
  <c r="A3286" i="1"/>
  <c r="I3285" i="1"/>
  <c r="H3285" i="1"/>
  <c r="A3285" i="1"/>
  <c r="I3284" i="1"/>
  <c r="H3284" i="1"/>
  <c r="A3284" i="1"/>
  <c r="I3283" i="1"/>
  <c r="H3283" i="1"/>
  <c r="A3283" i="1"/>
  <c r="I3282" i="1"/>
  <c r="H3282" i="1"/>
  <c r="A3282" i="1"/>
  <c r="I3281" i="1"/>
  <c r="H3281" i="1"/>
  <c r="A3281" i="1"/>
  <c r="I3280" i="1"/>
  <c r="H3280" i="1"/>
  <c r="A3280" i="1"/>
  <c r="I3279" i="1"/>
  <c r="H3279" i="1"/>
  <c r="A3279" i="1"/>
  <c r="I3278" i="1"/>
  <c r="H3278" i="1"/>
  <c r="A3278" i="1"/>
  <c r="I3277" i="1"/>
  <c r="H3277" i="1"/>
  <c r="A3277" i="1"/>
  <c r="I3276" i="1"/>
  <c r="H3276" i="1"/>
  <c r="A3276" i="1"/>
  <c r="I3275" i="1"/>
  <c r="H3275" i="1"/>
  <c r="A3275" i="1"/>
  <c r="I3274" i="1"/>
  <c r="H3274" i="1"/>
  <c r="A3274" i="1"/>
  <c r="I3273" i="1"/>
  <c r="H3273" i="1"/>
  <c r="A3273" i="1"/>
  <c r="I3272" i="1"/>
  <c r="H3272" i="1"/>
  <c r="A3272" i="1"/>
  <c r="I3271" i="1"/>
  <c r="H3271" i="1"/>
  <c r="A3271" i="1"/>
  <c r="I3270" i="1"/>
  <c r="H3270" i="1"/>
  <c r="A3270" i="1"/>
  <c r="I3269" i="1"/>
  <c r="H3269" i="1"/>
  <c r="A3269" i="1"/>
  <c r="I3268" i="1"/>
  <c r="H3268" i="1"/>
  <c r="A3268" i="1"/>
  <c r="I3267" i="1"/>
  <c r="H3267" i="1"/>
  <c r="A3267" i="1"/>
  <c r="I3266" i="1"/>
  <c r="H3266" i="1"/>
  <c r="A3266" i="1"/>
  <c r="I3265" i="1"/>
  <c r="H3265" i="1"/>
  <c r="A3265" i="1"/>
  <c r="I3264" i="1"/>
  <c r="H3264" i="1"/>
  <c r="A3264" i="1"/>
  <c r="I3263" i="1"/>
  <c r="H3263" i="1"/>
  <c r="A3263" i="1"/>
  <c r="I3262" i="1"/>
  <c r="H3262" i="1"/>
  <c r="A3262" i="1"/>
  <c r="I3261" i="1"/>
  <c r="H3261" i="1"/>
  <c r="A3261" i="1"/>
  <c r="I3260" i="1"/>
  <c r="H3260" i="1"/>
  <c r="A3260" i="1"/>
  <c r="I3259" i="1"/>
  <c r="H3259" i="1"/>
  <c r="A3259" i="1"/>
  <c r="I3258" i="1"/>
  <c r="H3258" i="1"/>
  <c r="A3258" i="1"/>
  <c r="I3257" i="1"/>
  <c r="H3257" i="1"/>
  <c r="A3257" i="1"/>
  <c r="I3256" i="1"/>
  <c r="H3256" i="1"/>
  <c r="A3256" i="1"/>
  <c r="I3255" i="1"/>
  <c r="H3255" i="1"/>
  <c r="A3255" i="1"/>
  <c r="I3254" i="1"/>
  <c r="H3254" i="1"/>
  <c r="A3254" i="1"/>
  <c r="I3253" i="1"/>
  <c r="H3253" i="1"/>
  <c r="A3253" i="1"/>
  <c r="I3252" i="1"/>
  <c r="H3252" i="1"/>
  <c r="A3252" i="1"/>
  <c r="I3251" i="1"/>
  <c r="H3251" i="1"/>
  <c r="A3251" i="1"/>
  <c r="I3250" i="1"/>
  <c r="H3250" i="1"/>
  <c r="A3250" i="1"/>
  <c r="I3249" i="1"/>
  <c r="H3249" i="1"/>
  <c r="A3249" i="1"/>
  <c r="I3248" i="1"/>
  <c r="H3248" i="1"/>
  <c r="A3248" i="1"/>
  <c r="I3247" i="1"/>
  <c r="H3247" i="1"/>
  <c r="A3247" i="1"/>
  <c r="I3246" i="1"/>
  <c r="H3246" i="1"/>
  <c r="A3246" i="1"/>
  <c r="I3245" i="1"/>
  <c r="H3245" i="1"/>
  <c r="A3245" i="1"/>
  <c r="I3244" i="1"/>
  <c r="H3244" i="1"/>
  <c r="A3244" i="1"/>
  <c r="I3243" i="1"/>
  <c r="H3243" i="1"/>
  <c r="A3243" i="1"/>
  <c r="I3242" i="1"/>
  <c r="H3242" i="1"/>
  <c r="A3242" i="1"/>
  <c r="I3241" i="1"/>
  <c r="H3241" i="1"/>
  <c r="A3241" i="1"/>
  <c r="I3240" i="1"/>
  <c r="H3240" i="1"/>
  <c r="A3240" i="1"/>
  <c r="I3239" i="1"/>
  <c r="H3239" i="1"/>
  <c r="A3239" i="1"/>
  <c r="I3238" i="1"/>
  <c r="H3238" i="1"/>
  <c r="A3238" i="1"/>
  <c r="I3237" i="1"/>
  <c r="H3237" i="1"/>
  <c r="A3237" i="1"/>
  <c r="I3236" i="1"/>
  <c r="H3236" i="1"/>
  <c r="A3236" i="1"/>
  <c r="I3235" i="1"/>
  <c r="H3235" i="1"/>
  <c r="A3235" i="1"/>
  <c r="I3234" i="1"/>
  <c r="H3234" i="1"/>
  <c r="A3234" i="1"/>
  <c r="I3233" i="1"/>
  <c r="H3233" i="1"/>
  <c r="A3233" i="1"/>
  <c r="I3232" i="1"/>
  <c r="H3232" i="1"/>
  <c r="A3232" i="1"/>
  <c r="I3231" i="1"/>
  <c r="H3231" i="1"/>
  <c r="A3231" i="1"/>
  <c r="I3230" i="1"/>
  <c r="H3230" i="1"/>
  <c r="A3230" i="1"/>
  <c r="I3229" i="1"/>
  <c r="H3229" i="1"/>
  <c r="A3229" i="1"/>
  <c r="I3228" i="1"/>
  <c r="H3228" i="1"/>
  <c r="A3228" i="1"/>
  <c r="I3227" i="1"/>
  <c r="H3227" i="1"/>
  <c r="A3227" i="1"/>
  <c r="I3226" i="1"/>
  <c r="H3226" i="1"/>
  <c r="A3226" i="1"/>
  <c r="I3225" i="1"/>
  <c r="H3225" i="1"/>
  <c r="A3225" i="1"/>
  <c r="I3224" i="1"/>
  <c r="H3224" i="1"/>
  <c r="A3224" i="1"/>
  <c r="I3223" i="1"/>
  <c r="H3223" i="1"/>
  <c r="A3223" i="1"/>
  <c r="I3222" i="1"/>
  <c r="H3222" i="1"/>
  <c r="A3222" i="1"/>
  <c r="I3221" i="1"/>
  <c r="H3221" i="1"/>
  <c r="A3221" i="1"/>
  <c r="I3220" i="1"/>
  <c r="H3220" i="1"/>
  <c r="A3220" i="1"/>
  <c r="I3219" i="1"/>
  <c r="H3219" i="1"/>
  <c r="A3219" i="1"/>
  <c r="I3218" i="1"/>
  <c r="H3218" i="1"/>
  <c r="A3218" i="1"/>
  <c r="I3217" i="1"/>
  <c r="H3217" i="1"/>
  <c r="A3217" i="1"/>
  <c r="I3216" i="1"/>
  <c r="H3216" i="1"/>
  <c r="A3216" i="1"/>
  <c r="I3215" i="1"/>
  <c r="H3215" i="1"/>
  <c r="A3215" i="1"/>
  <c r="I3214" i="1"/>
  <c r="H3214" i="1"/>
  <c r="A3214" i="1"/>
  <c r="I3213" i="1"/>
  <c r="H3213" i="1"/>
  <c r="A3213" i="1"/>
  <c r="I3212" i="1"/>
  <c r="H3212" i="1"/>
  <c r="A3212" i="1"/>
  <c r="I3211" i="1"/>
  <c r="H3211" i="1"/>
  <c r="A3211" i="1"/>
  <c r="I3210" i="1"/>
  <c r="H3210" i="1"/>
  <c r="A3210" i="1"/>
  <c r="I3209" i="1"/>
  <c r="H3209" i="1"/>
  <c r="A3209" i="1"/>
  <c r="I3208" i="1"/>
  <c r="H3208" i="1"/>
  <c r="A3208" i="1"/>
  <c r="I3207" i="1"/>
  <c r="H3207" i="1"/>
  <c r="A3207" i="1"/>
  <c r="I3206" i="1"/>
  <c r="H3206" i="1"/>
  <c r="A3206" i="1"/>
  <c r="I3205" i="1"/>
  <c r="H3205" i="1"/>
  <c r="A3205" i="1"/>
  <c r="I3204" i="1"/>
  <c r="H3204" i="1"/>
  <c r="A3204" i="1"/>
  <c r="I3203" i="1"/>
  <c r="H3203" i="1"/>
  <c r="A3203" i="1"/>
  <c r="I3202" i="1"/>
  <c r="H3202" i="1"/>
  <c r="A3202" i="1"/>
  <c r="I3201" i="1"/>
  <c r="H3201" i="1"/>
  <c r="A3201" i="1"/>
  <c r="I3200" i="1"/>
  <c r="H3200" i="1"/>
  <c r="A3200" i="1"/>
  <c r="I3199" i="1"/>
  <c r="H3199" i="1"/>
  <c r="A3199" i="1"/>
  <c r="I3198" i="1"/>
  <c r="H3198" i="1"/>
  <c r="A3198" i="1"/>
  <c r="I3197" i="1"/>
  <c r="H3197" i="1"/>
  <c r="A3197" i="1"/>
  <c r="I3196" i="1"/>
  <c r="H3196" i="1"/>
  <c r="A3196" i="1"/>
  <c r="I3195" i="1"/>
  <c r="H3195" i="1"/>
  <c r="A3195" i="1"/>
  <c r="I3194" i="1"/>
  <c r="H3194" i="1"/>
  <c r="A3194" i="1"/>
  <c r="I3193" i="1"/>
  <c r="H3193" i="1"/>
  <c r="A3193" i="1"/>
  <c r="I3192" i="1"/>
  <c r="H3192" i="1"/>
  <c r="A3192" i="1"/>
  <c r="I3191" i="1"/>
  <c r="H3191" i="1"/>
  <c r="A3191" i="1"/>
  <c r="I3190" i="1"/>
  <c r="H3190" i="1"/>
  <c r="A3190" i="1"/>
  <c r="I3189" i="1"/>
  <c r="H3189" i="1"/>
  <c r="A3189" i="1"/>
  <c r="I3188" i="1"/>
  <c r="H3188" i="1"/>
  <c r="A3188" i="1"/>
  <c r="I3187" i="1"/>
  <c r="H3187" i="1"/>
  <c r="A3187" i="1"/>
  <c r="I3186" i="1"/>
  <c r="H3186" i="1"/>
  <c r="A3186" i="1"/>
  <c r="I3185" i="1"/>
  <c r="H3185" i="1"/>
  <c r="A3185" i="1"/>
  <c r="I3184" i="1"/>
  <c r="H3184" i="1"/>
  <c r="A3184" i="1"/>
  <c r="I3183" i="1"/>
  <c r="H3183" i="1"/>
  <c r="A3183" i="1"/>
  <c r="I3182" i="1"/>
  <c r="H3182" i="1"/>
  <c r="A3182" i="1"/>
  <c r="I3181" i="1"/>
  <c r="H3181" i="1"/>
  <c r="A3181" i="1"/>
  <c r="I3180" i="1"/>
  <c r="H3180" i="1"/>
  <c r="A3180" i="1"/>
  <c r="I3179" i="1"/>
  <c r="H3179" i="1"/>
  <c r="A3179" i="1"/>
  <c r="I3178" i="1"/>
  <c r="H3178" i="1"/>
  <c r="A3178" i="1"/>
  <c r="I3177" i="1"/>
  <c r="H3177" i="1"/>
  <c r="A3177" i="1"/>
  <c r="I3176" i="1"/>
  <c r="H3176" i="1"/>
  <c r="A3176" i="1"/>
  <c r="I3175" i="1"/>
  <c r="H3175" i="1"/>
  <c r="A3175" i="1"/>
  <c r="I3174" i="1"/>
  <c r="H3174" i="1"/>
  <c r="A3174" i="1"/>
  <c r="I3173" i="1"/>
  <c r="H3173" i="1"/>
  <c r="A3173" i="1"/>
  <c r="I3172" i="1"/>
  <c r="H3172" i="1"/>
  <c r="A3172" i="1"/>
  <c r="I3171" i="1"/>
  <c r="H3171" i="1"/>
  <c r="A3171" i="1"/>
  <c r="I3170" i="1"/>
  <c r="H3170" i="1"/>
  <c r="A3170" i="1"/>
  <c r="I3169" i="1"/>
  <c r="H3169" i="1"/>
  <c r="A3169" i="1"/>
  <c r="I3168" i="1"/>
  <c r="H3168" i="1"/>
  <c r="A3168" i="1"/>
  <c r="I3167" i="1"/>
  <c r="H3167" i="1"/>
  <c r="A3167" i="1"/>
  <c r="I3166" i="1"/>
  <c r="H3166" i="1"/>
  <c r="A3166" i="1"/>
  <c r="I3165" i="1"/>
  <c r="H3165" i="1"/>
  <c r="A3165" i="1"/>
  <c r="I3164" i="1"/>
  <c r="H3164" i="1"/>
  <c r="A3164" i="1"/>
  <c r="I3163" i="1"/>
  <c r="H3163" i="1"/>
  <c r="A3163" i="1"/>
  <c r="I3162" i="1"/>
  <c r="H3162" i="1"/>
  <c r="A3162" i="1"/>
  <c r="I3161" i="1"/>
  <c r="H3161" i="1"/>
  <c r="A3161" i="1"/>
  <c r="I3160" i="1"/>
  <c r="H3160" i="1"/>
  <c r="A3160" i="1"/>
  <c r="I3159" i="1"/>
  <c r="H3159" i="1"/>
  <c r="A3159" i="1"/>
  <c r="I3158" i="1"/>
  <c r="H3158" i="1"/>
  <c r="A3158" i="1"/>
  <c r="I3157" i="1"/>
  <c r="H3157" i="1"/>
  <c r="A3157" i="1"/>
  <c r="I3156" i="1"/>
  <c r="H3156" i="1"/>
  <c r="A3156" i="1"/>
  <c r="I3155" i="1"/>
  <c r="H3155" i="1"/>
  <c r="A3155" i="1"/>
  <c r="I3154" i="1"/>
  <c r="H3154" i="1"/>
  <c r="A3154" i="1"/>
  <c r="I3153" i="1"/>
  <c r="H3153" i="1"/>
  <c r="A3153" i="1"/>
  <c r="I3152" i="1"/>
  <c r="H3152" i="1"/>
  <c r="A3152" i="1"/>
  <c r="I3151" i="1"/>
  <c r="H3151" i="1"/>
  <c r="A3151" i="1"/>
  <c r="I3150" i="1"/>
  <c r="H3150" i="1"/>
  <c r="A3150" i="1"/>
  <c r="I3149" i="1"/>
  <c r="H3149" i="1"/>
  <c r="A3149" i="1"/>
  <c r="I3148" i="1"/>
  <c r="H3148" i="1"/>
  <c r="A3148" i="1"/>
  <c r="I3147" i="1"/>
  <c r="H3147" i="1"/>
  <c r="A3147" i="1"/>
  <c r="I3146" i="1"/>
  <c r="H3146" i="1"/>
  <c r="A3146" i="1"/>
  <c r="I3145" i="1"/>
  <c r="H3145" i="1"/>
  <c r="A3145" i="1"/>
  <c r="I3144" i="1"/>
  <c r="H3144" i="1"/>
  <c r="A3144" i="1"/>
  <c r="I3143" i="1"/>
  <c r="H3143" i="1"/>
  <c r="A3143" i="1"/>
  <c r="I3142" i="1"/>
  <c r="H3142" i="1"/>
  <c r="A3142" i="1"/>
  <c r="I3141" i="1"/>
  <c r="H3141" i="1"/>
  <c r="A3141" i="1"/>
  <c r="I3140" i="1"/>
  <c r="H3140" i="1"/>
  <c r="A3140" i="1"/>
  <c r="I3139" i="1"/>
  <c r="H3139" i="1"/>
  <c r="A3139" i="1"/>
  <c r="I3138" i="1"/>
  <c r="H3138" i="1"/>
  <c r="A3138" i="1"/>
  <c r="I3137" i="1"/>
  <c r="H3137" i="1"/>
  <c r="A3137" i="1"/>
  <c r="I3136" i="1"/>
  <c r="H3136" i="1"/>
  <c r="A3136" i="1"/>
  <c r="I3135" i="1"/>
  <c r="H3135" i="1"/>
  <c r="A3135" i="1"/>
  <c r="I3134" i="1"/>
  <c r="H3134" i="1"/>
  <c r="A3134" i="1"/>
  <c r="I3133" i="1"/>
  <c r="H3133" i="1"/>
  <c r="A3133" i="1"/>
  <c r="I3132" i="1"/>
  <c r="H3132" i="1"/>
  <c r="A3132" i="1"/>
  <c r="I3131" i="1"/>
  <c r="H3131" i="1"/>
  <c r="A3131" i="1"/>
  <c r="I3130" i="1"/>
  <c r="H3130" i="1"/>
  <c r="A3130" i="1"/>
  <c r="I3129" i="1"/>
  <c r="H3129" i="1"/>
  <c r="A3129" i="1"/>
  <c r="I3128" i="1"/>
  <c r="H3128" i="1"/>
  <c r="A3128" i="1"/>
  <c r="I3127" i="1"/>
  <c r="H3127" i="1"/>
  <c r="A3127" i="1"/>
  <c r="I3126" i="1"/>
  <c r="H3126" i="1"/>
  <c r="A3126" i="1"/>
  <c r="I3125" i="1"/>
  <c r="H3125" i="1"/>
  <c r="A3125" i="1"/>
  <c r="I3124" i="1"/>
  <c r="H3124" i="1"/>
  <c r="A3124" i="1"/>
  <c r="I3123" i="1"/>
  <c r="H3123" i="1"/>
  <c r="A3123" i="1"/>
  <c r="I3122" i="1"/>
  <c r="H3122" i="1"/>
  <c r="A3122" i="1"/>
  <c r="I3121" i="1"/>
  <c r="H3121" i="1"/>
  <c r="A3121" i="1"/>
  <c r="I3120" i="1"/>
  <c r="H3120" i="1"/>
  <c r="A3120" i="1"/>
  <c r="I3119" i="1"/>
  <c r="H3119" i="1"/>
  <c r="A3119" i="1"/>
  <c r="I3118" i="1"/>
  <c r="H3118" i="1"/>
  <c r="A3118" i="1"/>
  <c r="I3117" i="1"/>
  <c r="H3117" i="1"/>
  <c r="A3117" i="1"/>
  <c r="I3116" i="1"/>
  <c r="H3116" i="1"/>
  <c r="A3116" i="1"/>
  <c r="I3115" i="1"/>
  <c r="H3115" i="1"/>
  <c r="A3115" i="1"/>
  <c r="I3114" i="1"/>
  <c r="H3114" i="1"/>
  <c r="A3114" i="1"/>
  <c r="I3113" i="1"/>
  <c r="H3113" i="1"/>
  <c r="A3113" i="1"/>
  <c r="I3112" i="1"/>
  <c r="H3112" i="1"/>
  <c r="A3112" i="1"/>
  <c r="I3111" i="1"/>
  <c r="H3111" i="1"/>
  <c r="A3111" i="1"/>
  <c r="I3110" i="1"/>
  <c r="H3110" i="1"/>
  <c r="A3110" i="1"/>
  <c r="I3109" i="1"/>
  <c r="H3109" i="1"/>
  <c r="A3109" i="1"/>
  <c r="I3108" i="1"/>
  <c r="H3108" i="1"/>
  <c r="A3108" i="1"/>
  <c r="I3107" i="1"/>
  <c r="H3107" i="1"/>
  <c r="A3107" i="1"/>
  <c r="I3106" i="1"/>
  <c r="H3106" i="1"/>
  <c r="A3106" i="1"/>
  <c r="I3105" i="1"/>
  <c r="H3105" i="1"/>
  <c r="A3105" i="1"/>
  <c r="I3104" i="1"/>
  <c r="H3104" i="1"/>
  <c r="A3104" i="1"/>
  <c r="I3103" i="1"/>
  <c r="H3103" i="1"/>
  <c r="A3103" i="1"/>
  <c r="I3102" i="1"/>
  <c r="H3102" i="1"/>
  <c r="A3102" i="1"/>
  <c r="I3101" i="1"/>
  <c r="H3101" i="1"/>
  <c r="A3101" i="1"/>
  <c r="I3100" i="1"/>
  <c r="H3100" i="1"/>
  <c r="A3100" i="1"/>
  <c r="I3099" i="1"/>
  <c r="H3099" i="1"/>
  <c r="A3099" i="1"/>
  <c r="I3098" i="1"/>
  <c r="H3098" i="1"/>
  <c r="A3098" i="1"/>
  <c r="I3097" i="1"/>
  <c r="H3097" i="1"/>
  <c r="A3097" i="1"/>
  <c r="I3096" i="1"/>
  <c r="H3096" i="1"/>
  <c r="A3096" i="1"/>
  <c r="I3095" i="1"/>
  <c r="H3095" i="1"/>
  <c r="A3095" i="1"/>
  <c r="I3094" i="1"/>
  <c r="H3094" i="1"/>
  <c r="A3094" i="1"/>
  <c r="I3093" i="1"/>
  <c r="H3093" i="1"/>
  <c r="A3093" i="1"/>
  <c r="I3092" i="1"/>
  <c r="H3092" i="1"/>
  <c r="A3092" i="1"/>
  <c r="I3091" i="1"/>
  <c r="H3091" i="1"/>
  <c r="A3091" i="1"/>
  <c r="I3090" i="1"/>
  <c r="H3090" i="1"/>
  <c r="A3090" i="1"/>
  <c r="I3089" i="1"/>
  <c r="H3089" i="1"/>
  <c r="A3089" i="1"/>
  <c r="I3088" i="1"/>
  <c r="H3088" i="1"/>
  <c r="A3088" i="1"/>
  <c r="I3087" i="1"/>
  <c r="H3087" i="1"/>
  <c r="A3087" i="1"/>
  <c r="I3086" i="1"/>
  <c r="H3086" i="1"/>
  <c r="A3086" i="1"/>
  <c r="I3085" i="1"/>
  <c r="H3085" i="1"/>
  <c r="A3085" i="1"/>
  <c r="I3084" i="1"/>
  <c r="H3084" i="1"/>
  <c r="A3084" i="1"/>
  <c r="I3083" i="1"/>
  <c r="H3083" i="1"/>
  <c r="A3083" i="1"/>
  <c r="I3082" i="1"/>
  <c r="H3082" i="1"/>
  <c r="A3082" i="1"/>
  <c r="I3081" i="1"/>
  <c r="H3081" i="1"/>
  <c r="A3081" i="1"/>
  <c r="I3080" i="1"/>
  <c r="H3080" i="1"/>
  <c r="A3080" i="1"/>
  <c r="I3079" i="1"/>
  <c r="H3079" i="1"/>
  <c r="A3079" i="1"/>
  <c r="I3078" i="1"/>
  <c r="H3078" i="1"/>
  <c r="A3078" i="1"/>
  <c r="I3077" i="1"/>
  <c r="H3077" i="1"/>
  <c r="A3077" i="1"/>
  <c r="I3076" i="1"/>
  <c r="H3076" i="1"/>
  <c r="A3076" i="1"/>
  <c r="I3075" i="1"/>
  <c r="H3075" i="1"/>
  <c r="A3075" i="1"/>
  <c r="I3074" i="1"/>
  <c r="H3074" i="1"/>
  <c r="A3074" i="1"/>
  <c r="I3073" i="1"/>
  <c r="H3073" i="1"/>
  <c r="A3073" i="1"/>
  <c r="I3072" i="1"/>
  <c r="H3072" i="1"/>
  <c r="A3072" i="1"/>
  <c r="I3071" i="1"/>
  <c r="H3071" i="1"/>
  <c r="A3071" i="1"/>
  <c r="I3070" i="1"/>
  <c r="H3070" i="1"/>
  <c r="A3070" i="1"/>
  <c r="I3069" i="1"/>
  <c r="H3069" i="1"/>
  <c r="A3069" i="1"/>
  <c r="I3068" i="1"/>
  <c r="H3068" i="1"/>
  <c r="A3068" i="1"/>
  <c r="I3067" i="1"/>
  <c r="H3067" i="1"/>
  <c r="A3067" i="1"/>
  <c r="I3066" i="1"/>
  <c r="H3066" i="1"/>
  <c r="A3066" i="1"/>
  <c r="I3065" i="1"/>
  <c r="H3065" i="1"/>
  <c r="A3065" i="1"/>
  <c r="I3064" i="1"/>
  <c r="H3064" i="1"/>
  <c r="A3064" i="1"/>
  <c r="I3063" i="1"/>
  <c r="H3063" i="1"/>
  <c r="A3063" i="1"/>
  <c r="I3062" i="1"/>
  <c r="H3062" i="1"/>
  <c r="A3062" i="1"/>
  <c r="I3061" i="1"/>
  <c r="H3061" i="1"/>
  <c r="A3061" i="1"/>
  <c r="I3060" i="1"/>
  <c r="H3060" i="1"/>
  <c r="A3060" i="1"/>
  <c r="I3059" i="1"/>
  <c r="H3059" i="1"/>
  <c r="A3059" i="1"/>
  <c r="I3058" i="1"/>
  <c r="H3058" i="1"/>
  <c r="A3058" i="1"/>
  <c r="I3057" i="1"/>
  <c r="H3057" i="1"/>
  <c r="A3057" i="1"/>
  <c r="I3056" i="1"/>
  <c r="H3056" i="1"/>
  <c r="A3056" i="1"/>
  <c r="I3055" i="1"/>
  <c r="H3055" i="1"/>
  <c r="A3055" i="1"/>
  <c r="I3054" i="1"/>
  <c r="H3054" i="1"/>
  <c r="A3054" i="1"/>
  <c r="I3053" i="1"/>
  <c r="H3053" i="1"/>
  <c r="A3053" i="1"/>
  <c r="I3052" i="1"/>
  <c r="H3052" i="1"/>
  <c r="A3052" i="1"/>
  <c r="I3051" i="1"/>
  <c r="H3051" i="1"/>
  <c r="A3051" i="1"/>
  <c r="I3050" i="1"/>
  <c r="H3050" i="1"/>
  <c r="A3050" i="1"/>
  <c r="I3049" i="1"/>
  <c r="H3049" i="1"/>
  <c r="A3049" i="1"/>
  <c r="I3048" i="1"/>
  <c r="H3048" i="1"/>
  <c r="A3048" i="1"/>
  <c r="I3047" i="1"/>
  <c r="H3047" i="1"/>
  <c r="A3047" i="1"/>
  <c r="I3046" i="1"/>
  <c r="H3046" i="1"/>
  <c r="A3046" i="1"/>
  <c r="I3045" i="1"/>
  <c r="H3045" i="1"/>
  <c r="A3045" i="1"/>
  <c r="I3044" i="1"/>
  <c r="H3044" i="1"/>
  <c r="A3044" i="1"/>
  <c r="I3043" i="1"/>
  <c r="H3043" i="1"/>
  <c r="A3043" i="1"/>
  <c r="I3042" i="1"/>
  <c r="H3042" i="1"/>
  <c r="A3042" i="1"/>
  <c r="I3041" i="1"/>
  <c r="H3041" i="1"/>
  <c r="A3041" i="1"/>
  <c r="I3040" i="1"/>
  <c r="H3040" i="1"/>
  <c r="A3040" i="1"/>
  <c r="I3039" i="1"/>
  <c r="H3039" i="1"/>
  <c r="A3039" i="1"/>
  <c r="I3038" i="1"/>
  <c r="H3038" i="1"/>
  <c r="A3038" i="1"/>
  <c r="I3037" i="1"/>
  <c r="H3037" i="1"/>
  <c r="A3037" i="1"/>
  <c r="I3036" i="1"/>
  <c r="H3036" i="1"/>
  <c r="A3036" i="1"/>
  <c r="I3035" i="1"/>
  <c r="H3035" i="1"/>
  <c r="A3035" i="1"/>
  <c r="I3034" i="1"/>
  <c r="H3034" i="1"/>
  <c r="A3034" i="1"/>
  <c r="I3033" i="1"/>
  <c r="H3033" i="1"/>
  <c r="A3033" i="1"/>
  <c r="I3032" i="1"/>
  <c r="H3032" i="1"/>
  <c r="A3032" i="1"/>
  <c r="I3031" i="1"/>
  <c r="H3031" i="1"/>
  <c r="A3031" i="1"/>
  <c r="I3030" i="1"/>
  <c r="H3030" i="1"/>
  <c r="A3030" i="1"/>
  <c r="I3029" i="1"/>
  <c r="H3029" i="1"/>
  <c r="A3029" i="1"/>
  <c r="I3028" i="1"/>
  <c r="H3028" i="1"/>
  <c r="A3028" i="1"/>
  <c r="I3027" i="1"/>
  <c r="H3027" i="1"/>
  <c r="A3027" i="1"/>
  <c r="I3026" i="1"/>
  <c r="H3026" i="1"/>
  <c r="A3026" i="1"/>
  <c r="I3025" i="1"/>
  <c r="H3025" i="1"/>
  <c r="A3025" i="1"/>
  <c r="I3024" i="1"/>
  <c r="H3024" i="1"/>
  <c r="A3024" i="1"/>
  <c r="I3023" i="1"/>
  <c r="H3023" i="1"/>
  <c r="A3023" i="1"/>
  <c r="I3022" i="1"/>
  <c r="H3022" i="1"/>
  <c r="A3022" i="1"/>
  <c r="I3021" i="1"/>
  <c r="H3021" i="1"/>
  <c r="A3021" i="1"/>
  <c r="I3020" i="1"/>
  <c r="H3020" i="1"/>
  <c r="A3020" i="1"/>
  <c r="I3019" i="1"/>
  <c r="H3019" i="1"/>
  <c r="A3019" i="1"/>
  <c r="I3018" i="1"/>
  <c r="H3018" i="1"/>
  <c r="A3018" i="1"/>
  <c r="I3017" i="1"/>
  <c r="H3017" i="1"/>
  <c r="A3017" i="1"/>
  <c r="I3016" i="1"/>
  <c r="H3016" i="1"/>
  <c r="A3016" i="1"/>
  <c r="I3015" i="1"/>
  <c r="H3015" i="1"/>
  <c r="A3015" i="1"/>
  <c r="I3014" i="1"/>
  <c r="H3014" i="1"/>
  <c r="A3014" i="1"/>
  <c r="I3013" i="1"/>
  <c r="H3013" i="1"/>
  <c r="A3013" i="1"/>
  <c r="I3012" i="1"/>
  <c r="H3012" i="1"/>
  <c r="A3012" i="1"/>
  <c r="I3011" i="1"/>
  <c r="H3011" i="1"/>
  <c r="A3011" i="1"/>
  <c r="I3010" i="1"/>
  <c r="H3010" i="1"/>
  <c r="A3010" i="1"/>
  <c r="I3009" i="1"/>
  <c r="H3009" i="1"/>
  <c r="A3009" i="1"/>
  <c r="I3008" i="1"/>
  <c r="H3008" i="1"/>
  <c r="A3008" i="1"/>
  <c r="I3007" i="1"/>
  <c r="H3007" i="1"/>
  <c r="A3007" i="1"/>
  <c r="I3006" i="1"/>
  <c r="H3006" i="1"/>
  <c r="A3006" i="1"/>
  <c r="I3005" i="1"/>
  <c r="H3005" i="1"/>
  <c r="A3005" i="1"/>
  <c r="I3004" i="1"/>
  <c r="H3004" i="1"/>
  <c r="A3004" i="1"/>
  <c r="I3003" i="1"/>
  <c r="H3003" i="1"/>
  <c r="A3003" i="1"/>
  <c r="I3002" i="1"/>
  <c r="H3002" i="1"/>
  <c r="A3002" i="1"/>
  <c r="I3001" i="1"/>
  <c r="H3001" i="1"/>
  <c r="A3001" i="1"/>
  <c r="I3000" i="1"/>
  <c r="H3000" i="1"/>
  <c r="A3000" i="1"/>
  <c r="I2999" i="1"/>
  <c r="H2999" i="1"/>
  <c r="A2999" i="1"/>
  <c r="I2998" i="1"/>
  <c r="H2998" i="1"/>
  <c r="A2998" i="1"/>
  <c r="I2997" i="1"/>
  <c r="H2997" i="1"/>
  <c r="A2997" i="1"/>
  <c r="I2996" i="1"/>
  <c r="H2996" i="1"/>
  <c r="A2996" i="1"/>
  <c r="I2995" i="1"/>
  <c r="H2995" i="1"/>
  <c r="A2995" i="1"/>
  <c r="I2994" i="1"/>
  <c r="H2994" i="1"/>
  <c r="A2994" i="1"/>
  <c r="I2993" i="1"/>
  <c r="H2993" i="1"/>
  <c r="A2993" i="1"/>
  <c r="I2992" i="1"/>
  <c r="H2992" i="1"/>
  <c r="A2992" i="1"/>
  <c r="I2991" i="1"/>
  <c r="H2991" i="1"/>
  <c r="A2991" i="1"/>
  <c r="I2990" i="1"/>
  <c r="H2990" i="1"/>
  <c r="A2990" i="1"/>
  <c r="I2989" i="1"/>
  <c r="H2989" i="1"/>
  <c r="A2989" i="1"/>
  <c r="I2988" i="1"/>
  <c r="H2988" i="1"/>
  <c r="A2988" i="1"/>
  <c r="I2987" i="1"/>
  <c r="H2987" i="1"/>
  <c r="A2987" i="1"/>
  <c r="I2986" i="1"/>
  <c r="H2986" i="1"/>
  <c r="A2986" i="1"/>
  <c r="I2985" i="1"/>
  <c r="H2985" i="1"/>
  <c r="A2985" i="1"/>
  <c r="I2984" i="1"/>
  <c r="H2984" i="1"/>
  <c r="A2984" i="1"/>
  <c r="I2983" i="1"/>
  <c r="H2983" i="1"/>
  <c r="A2983" i="1"/>
  <c r="I2982" i="1"/>
  <c r="H2982" i="1"/>
  <c r="A2982" i="1"/>
  <c r="I2981" i="1"/>
  <c r="H2981" i="1"/>
  <c r="A2981" i="1"/>
  <c r="I2980" i="1"/>
  <c r="H2980" i="1"/>
  <c r="A2980" i="1"/>
  <c r="I2979" i="1"/>
  <c r="H2979" i="1"/>
  <c r="A2979" i="1"/>
  <c r="I2978" i="1"/>
  <c r="H2978" i="1"/>
  <c r="A2978" i="1"/>
  <c r="I2977" i="1"/>
  <c r="H2977" i="1"/>
  <c r="A2977" i="1"/>
  <c r="I2976" i="1"/>
  <c r="H2976" i="1"/>
  <c r="A2976" i="1"/>
  <c r="I2975" i="1"/>
  <c r="H2975" i="1"/>
  <c r="A2975" i="1"/>
  <c r="I2974" i="1"/>
  <c r="H2974" i="1"/>
  <c r="A2974" i="1"/>
  <c r="I2973" i="1"/>
  <c r="H2973" i="1"/>
  <c r="A2973" i="1"/>
  <c r="I2972" i="1"/>
  <c r="H2972" i="1"/>
  <c r="A2972" i="1"/>
  <c r="I2971" i="1"/>
  <c r="H2971" i="1"/>
  <c r="A2971" i="1"/>
  <c r="I2970" i="1"/>
  <c r="H2970" i="1"/>
  <c r="A2970" i="1"/>
  <c r="I2969" i="1"/>
  <c r="H2969" i="1"/>
  <c r="A2969" i="1"/>
  <c r="I2968" i="1"/>
  <c r="H2968" i="1"/>
  <c r="A2968" i="1"/>
  <c r="I2967" i="1"/>
  <c r="H2967" i="1"/>
  <c r="A2967" i="1"/>
  <c r="I2966" i="1"/>
  <c r="H2966" i="1"/>
  <c r="A2966" i="1"/>
  <c r="I2965" i="1"/>
  <c r="H2965" i="1"/>
  <c r="A2965" i="1"/>
  <c r="I2964" i="1"/>
  <c r="H2964" i="1"/>
  <c r="A2964" i="1"/>
  <c r="I2963" i="1"/>
  <c r="H2963" i="1"/>
  <c r="A2963" i="1"/>
  <c r="I2962" i="1"/>
  <c r="H2962" i="1"/>
  <c r="A2962" i="1"/>
  <c r="I2961" i="1"/>
  <c r="H2961" i="1"/>
  <c r="A2961" i="1"/>
  <c r="I2960" i="1"/>
  <c r="H2960" i="1"/>
  <c r="A2960" i="1"/>
  <c r="I2959" i="1"/>
  <c r="H2959" i="1"/>
  <c r="A2959" i="1"/>
  <c r="I2958" i="1"/>
  <c r="H2958" i="1"/>
  <c r="A2958" i="1"/>
  <c r="I2957" i="1"/>
  <c r="H2957" i="1"/>
  <c r="A2957" i="1"/>
  <c r="I2956" i="1"/>
  <c r="H2956" i="1"/>
  <c r="A2956" i="1"/>
  <c r="I2955" i="1"/>
  <c r="H2955" i="1"/>
  <c r="A2955" i="1"/>
  <c r="I2954" i="1"/>
  <c r="H2954" i="1"/>
  <c r="A2954" i="1"/>
  <c r="I2953" i="1"/>
  <c r="H2953" i="1"/>
  <c r="A2953" i="1"/>
  <c r="I2952" i="1"/>
  <c r="H2952" i="1"/>
  <c r="A2952" i="1"/>
  <c r="I2951" i="1"/>
  <c r="H2951" i="1"/>
  <c r="A2951" i="1"/>
  <c r="I2950" i="1"/>
  <c r="H2950" i="1"/>
  <c r="A2950" i="1"/>
  <c r="I2949" i="1"/>
  <c r="H2949" i="1"/>
  <c r="A2949" i="1"/>
  <c r="I2948" i="1"/>
  <c r="H2948" i="1"/>
  <c r="A2948" i="1"/>
  <c r="I2947" i="1"/>
  <c r="H2947" i="1"/>
  <c r="A2947" i="1"/>
  <c r="I2946" i="1"/>
  <c r="H2946" i="1"/>
  <c r="A2946" i="1"/>
  <c r="I2945" i="1"/>
  <c r="H2945" i="1"/>
  <c r="A2945" i="1"/>
  <c r="I2944" i="1"/>
  <c r="H2944" i="1"/>
  <c r="A2944" i="1"/>
  <c r="I2943" i="1"/>
  <c r="H2943" i="1"/>
  <c r="A2943" i="1"/>
  <c r="I2942" i="1"/>
  <c r="H2942" i="1"/>
  <c r="A2942" i="1"/>
  <c r="I2941" i="1"/>
  <c r="H2941" i="1"/>
  <c r="A2941" i="1"/>
  <c r="I2940" i="1"/>
  <c r="H2940" i="1"/>
  <c r="A2940" i="1"/>
  <c r="I2939" i="1"/>
  <c r="H2939" i="1"/>
  <c r="A2939" i="1"/>
  <c r="I2938" i="1"/>
  <c r="H2938" i="1"/>
  <c r="A2938" i="1"/>
  <c r="I2937" i="1"/>
  <c r="H2937" i="1"/>
  <c r="A2937" i="1"/>
  <c r="I2936" i="1"/>
  <c r="H2936" i="1"/>
  <c r="A2936" i="1"/>
  <c r="I2935" i="1"/>
  <c r="H2935" i="1"/>
  <c r="A2935" i="1"/>
  <c r="I2934" i="1"/>
  <c r="H2934" i="1"/>
  <c r="A2934" i="1"/>
  <c r="I2933" i="1"/>
  <c r="H2933" i="1"/>
  <c r="A2933" i="1"/>
  <c r="I2932" i="1"/>
  <c r="H2932" i="1"/>
  <c r="A2932" i="1"/>
  <c r="I2931" i="1"/>
  <c r="H2931" i="1"/>
  <c r="A2931" i="1"/>
  <c r="I2930" i="1"/>
  <c r="H2930" i="1"/>
  <c r="A2930" i="1"/>
  <c r="I2929" i="1"/>
  <c r="H2929" i="1"/>
  <c r="A2929" i="1"/>
  <c r="I2928" i="1"/>
  <c r="H2928" i="1"/>
  <c r="A2928" i="1"/>
  <c r="I2927" i="1"/>
  <c r="H2927" i="1"/>
  <c r="A2927" i="1"/>
  <c r="I2926" i="1"/>
  <c r="H2926" i="1"/>
  <c r="A2926" i="1"/>
  <c r="I2925" i="1"/>
  <c r="H2925" i="1"/>
  <c r="A2925" i="1"/>
  <c r="I2924" i="1"/>
  <c r="H2924" i="1"/>
  <c r="A2924" i="1"/>
  <c r="I2923" i="1"/>
  <c r="H2923" i="1"/>
  <c r="A2923" i="1"/>
  <c r="I2922" i="1"/>
  <c r="H2922" i="1"/>
  <c r="A2922" i="1"/>
  <c r="I2921" i="1"/>
  <c r="H2921" i="1"/>
  <c r="A2921" i="1"/>
  <c r="I2920" i="1"/>
  <c r="H2920" i="1"/>
  <c r="A2920" i="1"/>
  <c r="I2919" i="1"/>
  <c r="H2919" i="1"/>
  <c r="A2919" i="1"/>
  <c r="I2918" i="1"/>
  <c r="H2918" i="1"/>
  <c r="A2918" i="1"/>
  <c r="I2917" i="1"/>
  <c r="H2917" i="1"/>
  <c r="A2917" i="1"/>
  <c r="I2916" i="1"/>
  <c r="H2916" i="1"/>
  <c r="A2916" i="1"/>
  <c r="I2915" i="1"/>
  <c r="H2915" i="1"/>
  <c r="A2915" i="1"/>
  <c r="I2914" i="1"/>
  <c r="H2914" i="1"/>
  <c r="A2914" i="1"/>
  <c r="I2913" i="1"/>
  <c r="H2913" i="1"/>
  <c r="A2913" i="1"/>
  <c r="I2912" i="1"/>
  <c r="H2912" i="1"/>
  <c r="A2912" i="1"/>
  <c r="I2911" i="1"/>
  <c r="H2911" i="1"/>
  <c r="A2911" i="1"/>
  <c r="I2910" i="1"/>
  <c r="H2910" i="1"/>
  <c r="A2910" i="1"/>
  <c r="I2909" i="1"/>
  <c r="H2909" i="1"/>
  <c r="A2909" i="1"/>
  <c r="I2908" i="1"/>
  <c r="H2908" i="1"/>
  <c r="A2908" i="1"/>
  <c r="I2907" i="1"/>
  <c r="H2907" i="1"/>
  <c r="A2907" i="1"/>
  <c r="I2906" i="1"/>
  <c r="H2906" i="1"/>
  <c r="A2906" i="1"/>
  <c r="I2905" i="1"/>
  <c r="H2905" i="1"/>
  <c r="A2905" i="1"/>
  <c r="I2904" i="1"/>
  <c r="H2904" i="1"/>
  <c r="A2904" i="1"/>
  <c r="I2903" i="1"/>
  <c r="H2903" i="1"/>
  <c r="A2903" i="1"/>
  <c r="I2902" i="1"/>
  <c r="H2902" i="1"/>
  <c r="A2902" i="1"/>
  <c r="I2901" i="1"/>
  <c r="H2901" i="1"/>
  <c r="A2901" i="1"/>
  <c r="I2900" i="1"/>
  <c r="H2900" i="1"/>
  <c r="A2900" i="1"/>
  <c r="I2899" i="1"/>
  <c r="H2899" i="1"/>
  <c r="A2899" i="1"/>
  <c r="I2898" i="1"/>
  <c r="H2898" i="1"/>
  <c r="A2898" i="1"/>
  <c r="I2897" i="1"/>
  <c r="H2897" i="1"/>
  <c r="A2897" i="1"/>
  <c r="I2896" i="1"/>
  <c r="H2896" i="1"/>
  <c r="A2896" i="1"/>
  <c r="I2895" i="1"/>
  <c r="H2895" i="1"/>
  <c r="A2895" i="1"/>
  <c r="I2894" i="1"/>
  <c r="H2894" i="1"/>
  <c r="A2894" i="1"/>
  <c r="I2893" i="1"/>
  <c r="H2893" i="1"/>
  <c r="A2893" i="1"/>
  <c r="I2892" i="1"/>
  <c r="H2892" i="1"/>
  <c r="A2892" i="1"/>
  <c r="I2891" i="1"/>
  <c r="H2891" i="1"/>
  <c r="A2891" i="1"/>
  <c r="I2890" i="1"/>
  <c r="H2890" i="1"/>
  <c r="A2890" i="1"/>
  <c r="I2889" i="1"/>
  <c r="H2889" i="1"/>
  <c r="A2889" i="1"/>
  <c r="I2888" i="1"/>
  <c r="H2888" i="1"/>
  <c r="A2888" i="1"/>
  <c r="I2887" i="1"/>
  <c r="H2887" i="1"/>
  <c r="A2887" i="1"/>
  <c r="I2886" i="1"/>
  <c r="H2886" i="1"/>
  <c r="A2886" i="1"/>
  <c r="I2885" i="1"/>
  <c r="H2885" i="1"/>
  <c r="A2885" i="1"/>
  <c r="I2884" i="1"/>
  <c r="H2884" i="1"/>
  <c r="A2884" i="1"/>
  <c r="I2883" i="1"/>
  <c r="H2883" i="1"/>
  <c r="A2883" i="1"/>
  <c r="I2882" i="1"/>
  <c r="H2882" i="1"/>
  <c r="A2882" i="1"/>
  <c r="I2881" i="1"/>
  <c r="H2881" i="1"/>
  <c r="A2881" i="1"/>
  <c r="I2880" i="1"/>
  <c r="H2880" i="1"/>
  <c r="A2880" i="1"/>
  <c r="I2879" i="1"/>
  <c r="H2879" i="1"/>
  <c r="A2879" i="1"/>
  <c r="I2878" i="1"/>
  <c r="H2878" i="1"/>
  <c r="A2878" i="1"/>
  <c r="I2877" i="1"/>
  <c r="H2877" i="1"/>
  <c r="A2877" i="1"/>
  <c r="I2876" i="1"/>
  <c r="H2876" i="1"/>
  <c r="A2876" i="1"/>
  <c r="I2875" i="1"/>
  <c r="H2875" i="1"/>
  <c r="A2875" i="1"/>
  <c r="I2874" i="1"/>
  <c r="H2874" i="1"/>
  <c r="A2874" i="1"/>
  <c r="I2873" i="1"/>
  <c r="H2873" i="1"/>
  <c r="A2873" i="1"/>
  <c r="I2872" i="1"/>
  <c r="H2872" i="1"/>
  <c r="A2872" i="1"/>
  <c r="I2871" i="1"/>
  <c r="H2871" i="1"/>
  <c r="A2871" i="1"/>
  <c r="I2870" i="1"/>
  <c r="H2870" i="1"/>
  <c r="A2870" i="1"/>
  <c r="I2869" i="1"/>
  <c r="H2869" i="1"/>
  <c r="A2869" i="1"/>
  <c r="I2868" i="1"/>
  <c r="H2868" i="1"/>
  <c r="A2868" i="1"/>
  <c r="I2867" i="1"/>
  <c r="H2867" i="1"/>
  <c r="A2867" i="1"/>
  <c r="I2866" i="1"/>
  <c r="H2866" i="1"/>
  <c r="A2866" i="1"/>
  <c r="I2865" i="1"/>
  <c r="H2865" i="1"/>
  <c r="A2865" i="1"/>
  <c r="I2864" i="1"/>
  <c r="H2864" i="1"/>
  <c r="A2864" i="1"/>
  <c r="I2863" i="1"/>
  <c r="H2863" i="1"/>
  <c r="A2863" i="1"/>
  <c r="I2862" i="1"/>
  <c r="H2862" i="1"/>
  <c r="A2862" i="1"/>
  <c r="I2861" i="1"/>
  <c r="H2861" i="1"/>
  <c r="A2861" i="1"/>
  <c r="I2860" i="1"/>
  <c r="H2860" i="1"/>
  <c r="A2860" i="1"/>
  <c r="I2859" i="1"/>
  <c r="H2859" i="1"/>
  <c r="A2859" i="1"/>
  <c r="I2858" i="1"/>
  <c r="H2858" i="1"/>
  <c r="A2858" i="1"/>
  <c r="I2857" i="1"/>
  <c r="H2857" i="1"/>
  <c r="A2857" i="1"/>
  <c r="I2856" i="1"/>
  <c r="H2856" i="1"/>
  <c r="A2856" i="1"/>
  <c r="I2855" i="1"/>
  <c r="H2855" i="1"/>
  <c r="A2855" i="1"/>
  <c r="I2854" i="1"/>
  <c r="H2854" i="1"/>
  <c r="A2854" i="1"/>
  <c r="I2853" i="1"/>
  <c r="H2853" i="1"/>
  <c r="A2853" i="1"/>
  <c r="I2852" i="1"/>
  <c r="H2852" i="1"/>
  <c r="A2852" i="1"/>
  <c r="I2851" i="1"/>
  <c r="H2851" i="1"/>
  <c r="A2851" i="1"/>
  <c r="I2850" i="1"/>
  <c r="H2850" i="1"/>
  <c r="A2850" i="1"/>
  <c r="I2849" i="1"/>
  <c r="H2849" i="1"/>
  <c r="A2849" i="1"/>
  <c r="I2848" i="1"/>
  <c r="H2848" i="1"/>
  <c r="A2848" i="1"/>
  <c r="I2847" i="1"/>
  <c r="H2847" i="1"/>
  <c r="A2847" i="1"/>
  <c r="I2846" i="1"/>
  <c r="A2846" i="1"/>
  <c r="I2845" i="1"/>
  <c r="H2845" i="1"/>
  <c r="A2845" i="1"/>
  <c r="I2844" i="1"/>
  <c r="H2844" i="1"/>
  <c r="A2844" i="1"/>
  <c r="I2843" i="1"/>
  <c r="H2843" i="1"/>
  <c r="A2843" i="1"/>
  <c r="I2842" i="1"/>
  <c r="H2842" i="1"/>
  <c r="A2842" i="1"/>
  <c r="I2841" i="1"/>
  <c r="H2841" i="1"/>
  <c r="A2841" i="1"/>
  <c r="I2840" i="1"/>
  <c r="H2840" i="1"/>
  <c r="A2840" i="1"/>
  <c r="I2839" i="1"/>
  <c r="H2839" i="1"/>
  <c r="A2839" i="1"/>
  <c r="I2838" i="1"/>
  <c r="H2838" i="1"/>
  <c r="A2838" i="1"/>
  <c r="I2837" i="1"/>
  <c r="H2837" i="1"/>
  <c r="A2837" i="1"/>
  <c r="I2836" i="1"/>
  <c r="H2836" i="1"/>
  <c r="A2836" i="1"/>
  <c r="I2835" i="1"/>
  <c r="H2835" i="1"/>
  <c r="A2835" i="1"/>
  <c r="I2834" i="1"/>
  <c r="H2834" i="1"/>
  <c r="A2834" i="1"/>
  <c r="I2833" i="1"/>
  <c r="H2833" i="1"/>
  <c r="A2833" i="1"/>
  <c r="I2832" i="1"/>
  <c r="H2832" i="1"/>
  <c r="A2832" i="1"/>
  <c r="I2831" i="1"/>
  <c r="H2831" i="1"/>
  <c r="A2831" i="1"/>
  <c r="I2830" i="1"/>
  <c r="H2830" i="1"/>
  <c r="A2830" i="1"/>
  <c r="I2829" i="1"/>
  <c r="H2829" i="1"/>
  <c r="A2829" i="1"/>
  <c r="I2828" i="1"/>
  <c r="H2828" i="1"/>
  <c r="A2828" i="1"/>
  <c r="I2827" i="1"/>
  <c r="H2827" i="1"/>
  <c r="A2827" i="1"/>
  <c r="I2826" i="1"/>
  <c r="H2826" i="1"/>
  <c r="A2826" i="1"/>
  <c r="I2825" i="1"/>
  <c r="H2825" i="1"/>
  <c r="A2825" i="1"/>
  <c r="I2824" i="1"/>
  <c r="H2824" i="1"/>
  <c r="A2824" i="1"/>
  <c r="I2823" i="1"/>
  <c r="H2823" i="1"/>
  <c r="A2823" i="1"/>
  <c r="I2822" i="1"/>
  <c r="H2822" i="1"/>
  <c r="A2822" i="1"/>
  <c r="I2821" i="1"/>
  <c r="H2821" i="1"/>
  <c r="A2821" i="1"/>
  <c r="I2820" i="1"/>
  <c r="H2820" i="1"/>
  <c r="A2820" i="1"/>
  <c r="I2819" i="1"/>
  <c r="H2819" i="1"/>
  <c r="A2819" i="1"/>
  <c r="I2818" i="1"/>
  <c r="H2818" i="1"/>
  <c r="A2818" i="1"/>
  <c r="I2817" i="1"/>
  <c r="H2817" i="1"/>
  <c r="A2817" i="1"/>
  <c r="I2816" i="1"/>
  <c r="H2816" i="1"/>
  <c r="A2816" i="1"/>
  <c r="I2815" i="1"/>
  <c r="H2815" i="1"/>
  <c r="A2815" i="1"/>
  <c r="I2814" i="1"/>
  <c r="H2814" i="1"/>
  <c r="A2814" i="1"/>
  <c r="I2813" i="1"/>
  <c r="H2813" i="1"/>
  <c r="A2813" i="1"/>
  <c r="I2812" i="1"/>
  <c r="H2812" i="1"/>
  <c r="A2812" i="1"/>
  <c r="I2811" i="1"/>
  <c r="H2811" i="1"/>
  <c r="A2811" i="1"/>
  <c r="I2810" i="1"/>
  <c r="H2810" i="1"/>
  <c r="A2810" i="1"/>
  <c r="I2809" i="1"/>
  <c r="H2809" i="1"/>
  <c r="A2809" i="1"/>
  <c r="I2808" i="1"/>
  <c r="H2808" i="1"/>
  <c r="A2808" i="1"/>
  <c r="I2807" i="1"/>
  <c r="H2807" i="1"/>
  <c r="A2807" i="1"/>
  <c r="I2806" i="1"/>
  <c r="H2806" i="1"/>
  <c r="A2806" i="1"/>
  <c r="I2805" i="1"/>
  <c r="H2805" i="1"/>
  <c r="A2805" i="1"/>
  <c r="I2804" i="1"/>
  <c r="H2804" i="1"/>
  <c r="A2804" i="1"/>
  <c r="I2803" i="1"/>
  <c r="H2803" i="1"/>
  <c r="A2803" i="1"/>
  <c r="I2802" i="1"/>
  <c r="H2802" i="1"/>
  <c r="A2802" i="1"/>
  <c r="I2801" i="1"/>
  <c r="H2801" i="1"/>
  <c r="A2801" i="1"/>
  <c r="I2800" i="1"/>
  <c r="H2800" i="1"/>
  <c r="A2800" i="1"/>
  <c r="I2799" i="1"/>
  <c r="H2799" i="1"/>
  <c r="A2799" i="1"/>
  <c r="I2798" i="1"/>
  <c r="H2798" i="1"/>
  <c r="A2798" i="1"/>
  <c r="I2797" i="1"/>
  <c r="H2797" i="1"/>
  <c r="A2797" i="1"/>
  <c r="I2796" i="1"/>
  <c r="H2796" i="1"/>
  <c r="A2796" i="1"/>
  <c r="I2795" i="1"/>
  <c r="H2795" i="1"/>
  <c r="A2795" i="1"/>
  <c r="I2794" i="1"/>
  <c r="H2794" i="1"/>
  <c r="A2794" i="1"/>
  <c r="I2793" i="1"/>
  <c r="H2793" i="1"/>
  <c r="A2793" i="1"/>
  <c r="I2792" i="1"/>
  <c r="H2792" i="1"/>
  <c r="A2792" i="1"/>
  <c r="I2791" i="1"/>
  <c r="H2791" i="1"/>
  <c r="A2791" i="1"/>
  <c r="I2790" i="1"/>
  <c r="H2790" i="1"/>
  <c r="A2790" i="1"/>
  <c r="I2789" i="1"/>
  <c r="H2789" i="1"/>
  <c r="A2789" i="1"/>
  <c r="I2788" i="1"/>
  <c r="H2788" i="1"/>
  <c r="A2788" i="1"/>
  <c r="I2787" i="1"/>
  <c r="H2787" i="1"/>
  <c r="A2787" i="1"/>
  <c r="I2786" i="1"/>
  <c r="H2786" i="1"/>
  <c r="A2786" i="1"/>
  <c r="I2785" i="1"/>
  <c r="H2785" i="1"/>
  <c r="A2785" i="1"/>
  <c r="I2784" i="1"/>
  <c r="H2784" i="1"/>
  <c r="A2784" i="1"/>
  <c r="I2783" i="1"/>
  <c r="H2783" i="1"/>
  <c r="A2783" i="1"/>
  <c r="I2782" i="1"/>
  <c r="H2782" i="1"/>
  <c r="A2782" i="1"/>
  <c r="I2781" i="1"/>
  <c r="H2781" i="1"/>
  <c r="A2781" i="1"/>
  <c r="I2780" i="1"/>
  <c r="H2780" i="1"/>
  <c r="A2780" i="1"/>
  <c r="I2779" i="1"/>
  <c r="H2779" i="1"/>
  <c r="A2779" i="1"/>
  <c r="I2778" i="1"/>
  <c r="H2778" i="1"/>
  <c r="A2778" i="1"/>
  <c r="I2777" i="1"/>
  <c r="H2777" i="1"/>
  <c r="A2777" i="1"/>
  <c r="I2776" i="1"/>
  <c r="H2776" i="1"/>
  <c r="A2776" i="1"/>
  <c r="I2775" i="1"/>
  <c r="H2775" i="1"/>
  <c r="A2775" i="1"/>
  <c r="I2774" i="1"/>
  <c r="H2774" i="1"/>
  <c r="A2774" i="1"/>
  <c r="I2773" i="1"/>
  <c r="H2773" i="1"/>
  <c r="A2773" i="1"/>
  <c r="I2772" i="1"/>
  <c r="H2772" i="1"/>
  <c r="A2772" i="1"/>
  <c r="I2771" i="1"/>
  <c r="H2771" i="1"/>
  <c r="A2771" i="1"/>
  <c r="I2770" i="1"/>
  <c r="H2770" i="1"/>
  <c r="A2770" i="1"/>
  <c r="I2769" i="1"/>
  <c r="H2769" i="1"/>
  <c r="A2769" i="1"/>
  <c r="I2768" i="1"/>
  <c r="H2768" i="1"/>
  <c r="A2768" i="1"/>
  <c r="I2767" i="1"/>
  <c r="H2767" i="1"/>
  <c r="A2767" i="1"/>
  <c r="I2766" i="1"/>
  <c r="H2766" i="1"/>
  <c r="A2766" i="1"/>
  <c r="I2765" i="1"/>
  <c r="H2765" i="1"/>
  <c r="A2765" i="1"/>
  <c r="I2764" i="1"/>
  <c r="H2764" i="1"/>
  <c r="A2764" i="1"/>
  <c r="I2763" i="1"/>
  <c r="H2763" i="1"/>
  <c r="A2763" i="1"/>
  <c r="I2762" i="1"/>
  <c r="H2762" i="1"/>
  <c r="A2762" i="1"/>
  <c r="I2761" i="1"/>
  <c r="H2761" i="1"/>
  <c r="A2761" i="1"/>
  <c r="I2760" i="1"/>
  <c r="H2760" i="1"/>
  <c r="A2760" i="1"/>
  <c r="I2759" i="1"/>
  <c r="H2759" i="1"/>
  <c r="A2759" i="1"/>
  <c r="I2758" i="1"/>
  <c r="H2758" i="1"/>
  <c r="A2758" i="1"/>
  <c r="I2757" i="1"/>
  <c r="H2757" i="1"/>
  <c r="A2757" i="1"/>
  <c r="I2756" i="1"/>
  <c r="H2756" i="1"/>
  <c r="A2756" i="1"/>
  <c r="I2755" i="1"/>
  <c r="H2755" i="1"/>
  <c r="A2755" i="1"/>
  <c r="I2754" i="1"/>
  <c r="H2754" i="1"/>
  <c r="A2754" i="1"/>
  <c r="I2753" i="1"/>
  <c r="H2753" i="1"/>
  <c r="A2753" i="1"/>
  <c r="I2752" i="1"/>
  <c r="H2752" i="1"/>
  <c r="A2752" i="1"/>
  <c r="I2751" i="1"/>
  <c r="H2751" i="1"/>
  <c r="A2751" i="1"/>
  <c r="I2750" i="1"/>
  <c r="H2750" i="1"/>
  <c r="A2750" i="1"/>
  <c r="I2749" i="1"/>
  <c r="H2749" i="1"/>
  <c r="A2749" i="1"/>
  <c r="I2748" i="1"/>
  <c r="H2748" i="1"/>
  <c r="A2748" i="1"/>
  <c r="I2747" i="1"/>
  <c r="H2747" i="1"/>
  <c r="A2747" i="1"/>
  <c r="I2746" i="1"/>
  <c r="H2746" i="1"/>
  <c r="A2746" i="1"/>
  <c r="I2745" i="1"/>
  <c r="H2745" i="1"/>
  <c r="A2745" i="1"/>
  <c r="I2744" i="1"/>
  <c r="H2744" i="1"/>
  <c r="A2744" i="1"/>
  <c r="I2743" i="1"/>
  <c r="H2743" i="1"/>
  <c r="A2743" i="1"/>
  <c r="I2742" i="1"/>
  <c r="H2742" i="1"/>
  <c r="A2742" i="1"/>
  <c r="I2741" i="1"/>
  <c r="H2741" i="1"/>
  <c r="A2741" i="1"/>
  <c r="I2740" i="1"/>
  <c r="H2740" i="1"/>
  <c r="A2740" i="1"/>
  <c r="I2739" i="1"/>
  <c r="H2739" i="1"/>
  <c r="A2739" i="1"/>
  <c r="I2738" i="1"/>
  <c r="H2738" i="1"/>
  <c r="A2738" i="1"/>
  <c r="I2737" i="1"/>
  <c r="H2737" i="1"/>
  <c r="A2737" i="1"/>
  <c r="I2736" i="1"/>
  <c r="H2736" i="1"/>
  <c r="A2736" i="1"/>
  <c r="I2735" i="1"/>
  <c r="H2735" i="1"/>
  <c r="A2735" i="1"/>
  <c r="I2734" i="1"/>
  <c r="H2734" i="1"/>
  <c r="A2734" i="1"/>
  <c r="I2733" i="1"/>
  <c r="H2733" i="1"/>
  <c r="A2733" i="1"/>
  <c r="I2732" i="1"/>
  <c r="H2732" i="1"/>
  <c r="A2732" i="1"/>
  <c r="I2731" i="1"/>
  <c r="H2731" i="1"/>
  <c r="A2731" i="1"/>
  <c r="I2730" i="1"/>
  <c r="H2730" i="1"/>
  <c r="A2730" i="1"/>
  <c r="I2729" i="1"/>
  <c r="H2729" i="1"/>
  <c r="A2729" i="1"/>
  <c r="I2728" i="1"/>
  <c r="H2728" i="1"/>
  <c r="A2728" i="1"/>
  <c r="I2727" i="1"/>
  <c r="H2727" i="1"/>
  <c r="A2727" i="1"/>
  <c r="I2726" i="1"/>
  <c r="H2726" i="1"/>
  <c r="A2726" i="1"/>
  <c r="I2725" i="1"/>
  <c r="H2725" i="1"/>
  <c r="A2725" i="1"/>
  <c r="I2724" i="1"/>
  <c r="H2724" i="1"/>
  <c r="A2724" i="1"/>
  <c r="I2723" i="1"/>
  <c r="H2723" i="1"/>
  <c r="A2723" i="1"/>
  <c r="I2722" i="1"/>
  <c r="H2722" i="1"/>
  <c r="A2722" i="1"/>
  <c r="I2721" i="1"/>
  <c r="H2721" i="1"/>
  <c r="A2721" i="1"/>
  <c r="I2720" i="1"/>
  <c r="H2720" i="1"/>
  <c r="A2720" i="1"/>
  <c r="I2719" i="1"/>
  <c r="H2719" i="1"/>
  <c r="A2719" i="1"/>
  <c r="I2718" i="1"/>
  <c r="H2718" i="1"/>
  <c r="A2718" i="1"/>
  <c r="I2717" i="1"/>
  <c r="H2717" i="1"/>
  <c r="A2717" i="1"/>
  <c r="I2716" i="1"/>
  <c r="H2716" i="1"/>
  <c r="A2716" i="1"/>
  <c r="I2715" i="1"/>
  <c r="H2715" i="1"/>
  <c r="A2715" i="1"/>
  <c r="I2714" i="1"/>
  <c r="H2714" i="1"/>
  <c r="A2714" i="1"/>
  <c r="I2713" i="1"/>
  <c r="H2713" i="1"/>
  <c r="A2713" i="1"/>
  <c r="I2712" i="1"/>
  <c r="H2712" i="1"/>
  <c r="A2712" i="1"/>
  <c r="I2711" i="1"/>
  <c r="H2711" i="1"/>
  <c r="A2711" i="1"/>
  <c r="I2710" i="1"/>
  <c r="H2710" i="1"/>
  <c r="A2710" i="1"/>
  <c r="I2709" i="1"/>
  <c r="H2709" i="1"/>
  <c r="A2709" i="1"/>
  <c r="I2708" i="1"/>
  <c r="H2708" i="1"/>
  <c r="A2708" i="1"/>
  <c r="I2707" i="1"/>
  <c r="H2707" i="1"/>
  <c r="A2707" i="1"/>
  <c r="I2706" i="1"/>
  <c r="H2706" i="1"/>
  <c r="A2706" i="1"/>
  <c r="I2705" i="1"/>
  <c r="H2705" i="1"/>
  <c r="A2705" i="1"/>
  <c r="I2704" i="1"/>
  <c r="H2704" i="1"/>
  <c r="A2704" i="1"/>
  <c r="I2703" i="1"/>
  <c r="H2703" i="1"/>
  <c r="A2703" i="1"/>
  <c r="I2702" i="1"/>
  <c r="H2702" i="1"/>
  <c r="A2702" i="1"/>
  <c r="I2701" i="1"/>
  <c r="H2701" i="1"/>
  <c r="A2701" i="1"/>
  <c r="I2700" i="1"/>
  <c r="H2700" i="1"/>
  <c r="A2700" i="1"/>
  <c r="I2699" i="1"/>
  <c r="H2699" i="1"/>
  <c r="A2699" i="1"/>
  <c r="I2698" i="1"/>
  <c r="H2698" i="1"/>
  <c r="A2698" i="1"/>
  <c r="I2697" i="1"/>
  <c r="H2697" i="1"/>
  <c r="A2697" i="1"/>
  <c r="I2696" i="1"/>
  <c r="H2696" i="1"/>
  <c r="A2696" i="1"/>
  <c r="I2695" i="1"/>
  <c r="H2695" i="1"/>
  <c r="A2695" i="1"/>
  <c r="I2694" i="1"/>
  <c r="H2694" i="1"/>
  <c r="A2694" i="1"/>
  <c r="I2693" i="1"/>
  <c r="H2693" i="1"/>
  <c r="A2693" i="1"/>
  <c r="I2692" i="1"/>
  <c r="H2692" i="1"/>
  <c r="A2692" i="1"/>
  <c r="I2691" i="1"/>
  <c r="H2691" i="1"/>
  <c r="A2691" i="1"/>
  <c r="I2690" i="1"/>
  <c r="H2690" i="1"/>
  <c r="A2690" i="1"/>
  <c r="I2689" i="1"/>
  <c r="H2689" i="1"/>
  <c r="A2689" i="1"/>
  <c r="I2688" i="1"/>
  <c r="H2688" i="1"/>
  <c r="A2688" i="1"/>
  <c r="I2687" i="1"/>
  <c r="H2687" i="1"/>
  <c r="A2687" i="1"/>
  <c r="I2686" i="1"/>
  <c r="H2686" i="1"/>
  <c r="A2686" i="1"/>
  <c r="I2685" i="1"/>
  <c r="H2685" i="1"/>
  <c r="A2685" i="1"/>
  <c r="I2684" i="1"/>
  <c r="H2684" i="1"/>
  <c r="A2684" i="1"/>
  <c r="I2683" i="1"/>
  <c r="H2683" i="1"/>
  <c r="A2683" i="1"/>
  <c r="I2682" i="1"/>
  <c r="H2682" i="1"/>
  <c r="A2682" i="1"/>
  <c r="I2681" i="1"/>
  <c r="H2681" i="1"/>
  <c r="A2681" i="1"/>
  <c r="I2680" i="1"/>
  <c r="H2680" i="1"/>
  <c r="A2680" i="1"/>
  <c r="I2679" i="1"/>
  <c r="H2679" i="1"/>
  <c r="A2679" i="1"/>
  <c r="I2678" i="1"/>
  <c r="H2678" i="1"/>
  <c r="A2678" i="1"/>
  <c r="I2677" i="1"/>
  <c r="H2677" i="1"/>
  <c r="A2677" i="1"/>
  <c r="I2676" i="1"/>
  <c r="H2676" i="1"/>
  <c r="A2676" i="1"/>
  <c r="I2675" i="1"/>
  <c r="H2675" i="1"/>
  <c r="A2675" i="1"/>
  <c r="I2674" i="1"/>
  <c r="H2674" i="1"/>
  <c r="A2674" i="1"/>
  <c r="I2673" i="1"/>
  <c r="H2673" i="1"/>
  <c r="A2673" i="1"/>
  <c r="I2672" i="1"/>
  <c r="H2672" i="1"/>
  <c r="A2672" i="1"/>
  <c r="I2671" i="1"/>
  <c r="H2671" i="1"/>
  <c r="A2671" i="1"/>
  <c r="I2670" i="1"/>
  <c r="H2670" i="1"/>
  <c r="A2670" i="1"/>
  <c r="I2669" i="1"/>
  <c r="H2669" i="1"/>
  <c r="A2669" i="1"/>
  <c r="I2668" i="1"/>
  <c r="H2668" i="1"/>
  <c r="A2668" i="1"/>
  <c r="I2667" i="1"/>
  <c r="H2667" i="1"/>
  <c r="A2667" i="1"/>
  <c r="I2666" i="1"/>
  <c r="H2666" i="1"/>
  <c r="A2666" i="1"/>
  <c r="I2665" i="1"/>
  <c r="H2665" i="1"/>
  <c r="A2665" i="1"/>
  <c r="I2664" i="1"/>
  <c r="H2664" i="1"/>
  <c r="A2664" i="1"/>
  <c r="I2663" i="1"/>
  <c r="H2663" i="1"/>
  <c r="A2663" i="1"/>
  <c r="I2662" i="1"/>
  <c r="H2662" i="1"/>
  <c r="A2662" i="1"/>
  <c r="I2661" i="1"/>
  <c r="H2661" i="1"/>
  <c r="A2661" i="1"/>
  <c r="I2660" i="1"/>
  <c r="H2660" i="1"/>
  <c r="A2660" i="1"/>
  <c r="I2659" i="1"/>
  <c r="H2659" i="1"/>
  <c r="A2659" i="1"/>
  <c r="I2658" i="1"/>
  <c r="H2658" i="1"/>
  <c r="A2658" i="1"/>
  <c r="I2657" i="1"/>
  <c r="H2657" i="1"/>
  <c r="A2657" i="1"/>
  <c r="I2656" i="1"/>
  <c r="H2656" i="1"/>
  <c r="A2656" i="1"/>
  <c r="I2655" i="1"/>
  <c r="H2655" i="1"/>
  <c r="A2655" i="1"/>
  <c r="I2654" i="1"/>
  <c r="H2654" i="1"/>
  <c r="A2654" i="1"/>
  <c r="I2653" i="1"/>
  <c r="H2653" i="1"/>
  <c r="A2653" i="1"/>
  <c r="I2652" i="1"/>
  <c r="H2652" i="1"/>
  <c r="A2652" i="1"/>
  <c r="I2651" i="1"/>
  <c r="H2651" i="1"/>
  <c r="A2651" i="1"/>
  <c r="I2650" i="1"/>
  <c r="H2650" i="1"/>
  <c r="A2650" i="1"/>
  <c r="I2649" i="1"/>
  <c r="H2649" i="1"/>
  <c r="A2649" i="1"/>
  <c r="I2648" i="1"/>
  <c r="H2648" i="1"/>
  <c r="A2648" i="1"/>
  <c r="I2647" i="1"/>
  <c r="H2647" i="1"/>
  <c r="A2647" i="1"/>
  <c r="I2646" i="1"/>
  <c r="H2646" i="1"/>
  <c r="A2646" i="1"/>
  <c r="I2645" i="1"/>
  <c r="H2645" i="1"/>
  <c r="A2645" i="1"/>
  <c r="I2644" i="1"/>
  <c r="H2644" i="1"/>
  <c r="A2644" i="1"/>
  <c r="I2643" i="1"/>
  <c r="H2643" i="1"/>
  <c r="A2643" i="1"/>
  <c r="I2642" i="1"/>
  <c r="H2642" i="1"/>
  <c r="A2642" i="1"/>
  <c r="I2641" i="1"/>
  <c r="H2641" i="1"/>
  <c r="A2641" i="1"/>
  <c r="I2640" i="1"/>
  <c r="H2640" i="1"/>
  <c r="A2640" i="1"/>
  <c r="I2639" i="1"/>
  <c r="H2639" i="1"/>
  <c r="A2639" i="1"/>
  <c r="I2638" i="1"/>
  <c r="H2638" i="1"/>
  <c r="A2638" i="1"/>
  <c r="I2637" i="1"/>
  <c r="H2637" i="1"/>
  <c r="A2637" i="1"/>
  <c r="I2636" i="1"/>
  <c r="H2636" i="1"/>
  <c r="A2636" i="1"/>
  <c r="I2635" i="1"/>
  <c r="H2635" i="1"/>
  <c r="A2635" i="1"/>
  <c r="I2634" i="1"/>
  <c r="H2634" i="1"/>
  <c r="A2634" i="1"/>
  <c r="I2633" i="1"/>
  <c r="H2633" i="1"/>
  <c r="A2633" i="1"/>
  <c r="I2632" i="1"/>
  <c r="H2632" i="1"/>
  <c r="A2632" i="1"/>
  <c r="I2631" i="1"/>
  <c r="H2631" i="1"/>
  <c r="A2631" i="1"/>
  <c r="I2630" i="1"/>
  <c r="H2630" i="1"/>
  <c r="A2630" i="1"/>
  <c r="I2629" i="1"/>
  <c r="H2629" i="1"/>
  <c r="A2629" i="1"/>
  <c r="I2628" i="1"/>
  <c r="H2628" i="1"/>
  <c r="A2628" i="1"/>
  <c r="I2627" i="1"/>
  <c r="H2627" i="1"/>
  <c r="A2627" i="1"/>
  <c r="I2626" i="1"/>
  <c r="H2626" i="1"/>
  <c r="A2626" i="1"/>
  <c r="I2625" i="1"/>
  <c r="H2625" i="1"/>
  <c r="A2625" i="1"/>
  <c r="I2624" i="1"/>
  <c r="H2624" i="1"/>
  <c r="A2624" i="1"/>
  <c r="I2623" i="1"/>
  <c r="H2623" i="1"/>
  <c r="A2623" i="1"/>
  <c r="I2622" i="1"/>
  <c r="H2622" i="1"/>
  <c r="A2622" i="1"/>
  <c r="I2621" i="1"/>
  <c r="H2621" i="1"/>
  <c r="A2621" i="1"/>
  <c r="I2620" i="1"/>
  <c r="H2620" i="1"/>
  <c r="A2620" i="1"/>
  <c r="I2619" i="1"/>
  <c r="H2619" i="1"/>
  <c r="A2619" i="1"/>
  <c r="I2618" i="1"/>
  <c r="H2618" i="1"/>
  <c r="A2618" i="1"/>
  <c r="I2617" i="1"/>
  <c r="H2617" i="1"/>
  <c r="A2617" i="1"/>
  <c r="I2616" i="1"/>
  <c r="H2616" i="1"/>
  <c r="A2616" i="1"/>
  <c r="I2615" i="1"/>
  <c r="H2615" i="1"/>
  <c r="A2615" i="1"/>
  <c r="I2614" i="1"/>
  <c r="H2614" i="1"/>
  <c r="A2614" i="1"/>
  <c r="I2613" i="1"/>
  <c r="H2613" i="1"/>
  <c r="A2613" i="1"/>
  <c r="I2612" i="1"/>
  <c r="H2612" i="1"/>
  <c r="A2612" i="1"/>
  <c r="I2611" i="1"/>
  <c r="H2611" i="1"/>
  <c r="A2611" i="1"/>
  <c r="I2610" i="1"/>
  <c r="H2610" i="1"/>
  <c r="A2610" i="1"/>
  <c r="I2609" i="1"/>
  <c r="H2609" i="1"/>
  <c r="A2609" i="1"/>
  <c r="I2608" i="1"/>
  <c r="H2608" i="1"/>
  <c r="A2608" i="1"/>
  <c r="I2607" i="1"/>
  <c r="H2607" i="1"/>
  <c r="A2607" i="1"/>
  <c r="I2606" i="1"/>
  <c r="H2606" i="1"/>
  <c r="A2606" i="1"/>
  <c r="I2605" i="1"/>
  <c r="H2605" i="1"/>
  <c r="A2605" i="1"/>
  <c r="I2604" i="1"/>
  <c r="H2604" i="1"/>
  <c r="A2604" i="1"/>
  <c r="I2603" i="1"/>
  <c r="H2603" i="1"/>
  <c r="A2603" i="1"/>
  <c r="I2602" i="1"/>
  <c r="H2602" i="1"/>
  <c r="A2602" i="1"/>
  <c r="I2601" i="1"/>
  <c r="H2601" i="1"/>
  <c r="A2601" i="1"/>
  <c r="I2600" i="1"/>
  <c r="H2600" i="1"/>
  <c r="A2600" i="1"/>
  <c r="I2599" i="1"/>
  <c r="H2599" i="1"/>
  <c r="A2599" i="1"/>
  <c r="I2598" i="1"/>
  <c r="H2598" i="1"/>
  <c r="A2598" i="1"/>
  <c r="I2597" i="1"/>
  <c r="H2597" i="1"/>
  <c r="A2597" i="1"/>
  <c r="I2596" i="1"/>
  <c r="H2596" i="1"/>
  <c r="A2596" i="1"/>
  <c r="I2595" i="1"/>
  <c r="H2595" i="1"/>
  <c r="A2595" i="1"/>
  <c r="I2594" i="1"/>
  <c r="H2594" i="1"/>
  <c r="A2594" i="1"/>
  <c r="I2593" i="1"/>
  <c r="H2593" i="1"/>
  <c r="A2593" i="1"/>
  <c r="I2592" i="1"/>
  <c r="H2592" i="1"/>
  <c r="A2592" i="1"/>
  <c r="I2591" i="1"/>
  <c r="H2591" i="1"/>
  <c r="A2591" i="1"/>
  <c r="I2590" i="1"/>
  <c r="H2590" i="1"/>
  <c r="A2590" i="1"/>
  <c r="I2589" i="1"/>
  <c r="H2589" i="1"/>
  <c r="A2589" i="1"/>
  <c r="I2588" i="1"/>
  <c r="H2588" i="1"/>
  <c r="A2588" i="1"/>
  <c r="I2587" i="1"/>
  <c r="H2587" i="1"/>
  <c r="A2587" i="1"/>
  <c r="I2586" i="1"/>
  <c r="H2586" i="1"/>
  <c r="A2586" i="1"/>
  <c r="I2585" i="1"/>
  <c r="H2585" i="1"/>
  <c r="A2585" i="1"/>
  <c r="I2584" i="1"/>
  <c r="H2584" i="1"/>
  <c r="A2584" i="1"/>
  <c r="I2583" i="1"/>
  <c r="H2583" i="1"/>
  <c r="A2583" i="1"/>
  <c r="I2582" i="1"/>
  <c r="H2582" i="1"/>
  <c r="A2582" i="1"/>
  <c r="I2581" i="1"/>
  <c r="H2581" i="1"/>
  <c r="A2581" i="1"/>
  <c r="I2580" i="1"/>
  <c r="H2580" i="1"/>
  <c r="A2580" i="1"/>
  <c r="I2579" i="1"/>
  <c r="H2579" i="1"/>
  <c r="A2579" i="1"/>
  <c r="I2578" i="1"/>
  <c r="H2578" i="1"/>
  <c r="A2578" i="1"/>
  <c r="I2577" i="1"/>
  <c r="H2577" i="1"/>
  <c r="A2577" i="1"/>
  <c r="I2576" i="1"/>
  <c r="H2576" i="1"/>
  <c r="A2576" i="1"/>
  <c r="I2575" i="1"/>
  <c r="H2575" i="1"/>
  <c r="A2575" i="1"/>
  <c r="I2574" i="1"/>
  <c r="H2574" i="1"/>
  <c r="A2574" i="1"/>
  <c r="I2573" i="1"/>
  <c r="H2573" i="1"/>
  <c r="A2573" i="1"/>
  <c r="I2572" i="1"/>
  <c r="H2572" i="1"/>
  <c r="A2572" i="1"/>
  <c r="I2571" i="1"/>
  <c r="H2571" i="1"/>
  <c r="A2571" i="1"/>
  <c r="I2570" i="1"/>
  <c r="H2570" i="1"/>
  <c r="A2570" i="1"/>
  <c r="I2569" i="1"/>
  <c r="H2569" i="1"/>
  <c r="A2569" i="1"/>
  <c r="I2568" i="1"/>
  <c r="H2568" i="1"/>
  <c r="A2568" i="1"/>
  <c r="I2567" i="1"/>
  <c r="H2567" i="1"/>
  <c r="A2567" i="1"/>
  <c r="I2566" i="1"/>
  <c r="H2566" i="1"/>
  <c r="A2566" i="1"/>
  <c r="I2565" i="1"/>
  <c r="H2565" i="1"/>
  <c r="A2565" i="1"/>
  <c r="I2564" i="1"/>
  <c r="H2564" i="1"/>
  <c r="A2564" i="1"/>
  <c r="I2563" i="1"/>
  <c r="H2563" i="1"/>
  <c r="A2563" i="1"/>
  <c r="I2562" i="1"/>
  <c r="H2562" i="1"/>
  <c r="A2562" i="1"/>
  <c r="I2561" i="1"/>
  <c r="H2561" i="1"/>
  <c r="A2561" i="1"/>
  <c r="I2560" i="1"/>
  <c r="H2560" i="1"/>
  <c r="A2560" i="1"/>
  <c r="I2559" i="1"/>
  <c r="H2559" i="1"/>
  <c r="A2559" i="1"/>
  <c r="I2558" i="1"/>
  <c r="H2558" i="1"/>
  <c r="A2558" i="1"/>
  <c r="I2557" i="1"/>
  <c r="H2557" i="1"/>
  <c r="A2557" i="1"/>
  <c r="I2556" i="1"/>
  <c r="H2556" i="1"/>
  <c r="A2556" i="1"/>
  <c r="I2555" i="1"/>
  <c r="H2555" i="1"/>
  <c r="A2555" i="1"/>
  <c r="I2554" i="1"/>
  <c r="H2554" i="1"/>
  <c r="A2554" i="1"/>
  <c r="I2553" i="1"/>
  <c r="H2553" i="1"/>
  <c r="A2553" i="1"/>
  <c r="I2552" i="1"/>
  <c r="H2552" i="1"/>
  <c r="A2552" i="1"/>
  <c r="I2551" i="1"/>
  <c r="H2551" i="1"/>
  <c r="A2551" i="1"/>
  <c r="I2550" i="1"/>
  <c r="H2550" i="1"/>
  <c r="A2550" i="1"/>
  <c r="I2549" i="1"/>
  <c r="H2549" i="1"/>
  <c r="A2549" i="1"/>
  <c r="I2548" i="1"/>
  <c r="H2548" i="1"/>
  <c r="A2548" i="1"/>
  <c r="I2547" i="1"/>
  <c r="H2547" i="1"/>
  <c r="A2547" i="1"/>
  <c r="I2546" i="1"/>
  <c r="H2546" i="1"/>
  <c r="A2546" i="1"/>
  <c r="I2545" i="1"/>
  <c r="H2545" i="1"/>
  <c r="A2545" i="1"/>
  <c r="I2544" i="1"/>
  <c r="H2544" i="1"/>
  <c r="A2544" i="1"/>
  <c r="I2543" i="1"/>
  <c r="H2543" i="1"/>
  <c r="A2543" i="1"/>
  <c r="I2542" i="1"/>
  <c r="H2542" i="1"/>
  <c r="A2542" i="1"/>
  <c r="I2541" i="1"/>
  <c r="H2541" i="1"/>
  <c r="A2541" i="1"/>
  <c r="I2540" i="1"/>
  <c r="H2540" i="1"/>
  <c r="A2540" i="1"/>
  <c r="I2539" i="1"/>
  <c r="H2539" i="1"/>
  <c r="A2539" i="1"/>
  <c r="I2538" i="1"/>
  <c r="H2538" i="1"/>
  <c r="A2538" i="1"/>
  <c r="I2537" i="1"/>
  <c r="H2537" i="1"/>
  <c r="A2537" i="1"/>
  <c r="I2536" i="1"/>
  <c r="H2536" i="1"/>
  <c r="A2536" i="1"/>
  <c r="I2535" i="1"/>
  <c r="H2535" i="1"/>
  <c r="A2535" i="1"/>
  <c r="I2534" i="1"/>
  <c r="H2534" i="1"/>
  <c r="A2534" i="1"/>
  <c r="I2533" i="1"/>
  <c r="H2533" i="1"/>
  <c r="A2533" i="1"/>
  <c r="I2532" i="1"/>
  <c r="H2532" i="1"/>
  <c r="A2532" i="1"/>
  <c r="I2531" i="1"/>
  <c r="H2531" i="1"/>
  <c r="A2531" i="1"/>
  <c r="I2530" i="1"/>
  <c r="H2530" i="1"/>
  <c r="A2530" i="1"/>
  <c r="I2529" i="1"/>
  <c r="H2529" i="1"/>
  <c r="A2529" i="1"/>
  <c r="I2528" i="1"/>
  <c r="H2528" i="1"/>
  <c r="A2528" i="1"/>
  <c r="I2527" i="1"/>
  <c r="H2527" i="1"/>
  <c r="A2527" i="1"/>
  <c r="I2526" i="1"/>
  <c r="H2526" i="1"/>
  <c r="A2526" i="1"/>
  <c r="I2525" i="1"/>
  <c r="H2525" i="1"/>
  <c r="A2525" i="1"/>
  <c r="I2524" i="1"/>
  <c r="H2524" i="1"/>
  <c r="A2524" i="1"/>
  <c r="I2523" i="1"/>
  <c r="H2523" i="1"/>
  <c r="A2523" i="1"/>
  <c r="I2522" i="1"/>
  <c r="H2522" i="1"/>
  <c r="A2522" i="1"/>
  <c r="I2521" i="1"/>
  <c r="H2521" i="1"/>
  <c r="A2521" i="1"/>
  <c r="I2520" i="1"/>
  <c r="H2520" i="1"/>
  <c r="A2520" i="1"/>
  <c r="I2519" i="1"/>
  <c r="H2519" i="1"/>
  <c r="A2519" i="1"/>
  <c r="I2518" i="1"/>
  <c r="H2518" i="1"/>
  <c r="A2518" i="1"/>
  <c r="I2517" i="1"/>
  <c r="H2517" i="1"/>
  <c r="A2517" i="1"/>
  <c r="I2516" i="1"/>
  <c r="H2516" i="1"/>
  <c r="A2516" i="1"/>
  <c r="I2515" i="1"/>
  <c r="H2515" i="1"/>
  <c r="A2515" i="1"/>
  <c r="I2514" i="1"/>
  <c r="H2514" i="1"/>
  <c r="A2514" i="1"/>
  <c r="I2513" i="1"/>
  <c r="H2513" i="1"/>
  <c r="A2513" i="1"/>
  <c r="I2512" i="1"/>
  <c r="H2512" i="1"/>
  <c r="A2512" i="1"/>
  <c r="I2511" i="1"/>
  <c r="H2511" i="1"/>
  <c r="A2511" i="1"/>
  <c r="I2510" i="1"/>
  <c r="H2510" i="1"/>
  <c r="A2510" i="1"/>
  <c r="I2509" i="1"/>
  <c r="H2509" i="1"/>
  <c r="A2509" i="1"/>
  <c r="I2508" i="1"/>
  <c r="H2508" i="1"/>
  <c r="A2508" i="1"/>
  <c r="I2507" i="1"/>
  <c r="H2507" i="1"/>
  <c r="A2507" i="1"/>
  <c r="I2506" i="1"/>
  <c r="H2506" i="1"/>
  <c r="A2506" i="1"/>
  <c r="I2505" i="1"/>
  <c r="H2505" i="1"/>
  <c r="A2505" i="1"/>
  <c r="I2504" i="1"/>
  <c r="H2504" i="1"/>
  <c r="A2504" i="1"/>
  <c r="I2503" i="1"/>
  <c r="H2503" i="1"/>
  <c r="A2503" i="1"/>
  <c r="I2502" i="1"/>
  <c r="H2502" i="1"/>
  <c r="A2502" i="1"/>
  <c r="I2501" i="1"/>
  <c r="H2501" i="1"/>
  <c r="A2501" i="1"/>
  <c r="I2500" i="1"/>
  <c r="H2500" i="1"/>
  <c r="A2500" i="1"/>
  <c r="I2499" i="1"/>
  <c r="H2499" i="1"/>
  <c r="A2499" i="1"/>
  <c r="I2498" i="1"/>
  <c r="H2498" i="1"/>
  <c r="A2498" i="1"/>
  <c r="I2497" i="1"/>
  <c r="H2497" i="1"/>
  <c r="A2497" i="1"/>
  <c r="I2496" i="1"/>
  <c r="H2496" i="1"/>
  <c r="A2496" i="1"/>
  <c r="I2495" i="1"/>
  <c r="H2495" i="1"/>
  <c r="A2495" i="1"/>
  <c r="I2494" i="1"/>
  <c r="H2494" i="1"/>
  <c r="A2494" i="1"/>
  <c r="I2493" i="1"/>
  <c r="H2493" i="1"/>
  <c r="A2493" i="1"/>
  <c r="I2492" i="1"/>
  <c r="H2492" i="1"/>
  <c r="A2492" i="1"/>
  <c r="I2491" i="1"/>
  <c r="H2491" i="1"/>
  <c r="A2491" i="1"/>
  <c r="I2490" i="1"/>
  <c r="H2490" i="1"/>
  <c r="A2490" i="1"/>
  <c r="I2489" i="1"/>
  <c r="H2489" i="1"/>
  <c r="A2489" i="1"/>
  <c r="I2488" i="1"/>
  <c r="H2488" i="1"/>
  <c r="A2488" i="1"/>
  <c r="I2487" i="1"/>
  <c r="H2487" i="1"/>
  <c r="A2487" i="1"/>
  <c r="I2486" i="1"/>
  <c r="H2486" i="1"/>
  <c r="A2486" i="1"/>
  <c r="I2485" i="1"/>
  <c r="H2485" i="1"/>
  <c r="A2485" i="1"/>
  <c r="I2484" i="1"/>
  <c r="H2484" i="1"/>
  <c r="A2484" i="1"/>
  <c r="I2483" i="1"/>
  <c r="H2483" i="1"/>
  <c r="A2483" i="1"/>
  <c r="I2482" i="1"/>
  <c r="H2482" i="1"/>
  <c r="A2482" i="1"/>
  <c r="I2481" i="1"/>
  <c r="H2481" i="1"/>
  <c r="A2481" i="1"/>
  <c r="I2480" i="1"/>
  <c r="H2480" i="1"/>
  <c r="A2480" i="1"/>
  <c r="I2479" i="1"/>
  <c r="H2479" i="1"/>
  <c r="A2479" i="1"/>
  <c r="I2478" i="1"/>
  <c r="H2478" i="1"/>
  <c r="A2478" i="1"/>
  <c r="I2477" i="1"/>
  <c r="H2477" i="1"/>
  <c r="A2477" i="1"/>
  <c r="I2476" i="1"/>
  <c r="H2476" i="1"/>
  <c r="A2476" i="1"/>
  <c r="I2475" i="1"/>
  <c r="H2475" i="1"/>
  <c r="A2475" i="1"/>
  <c r="I2474" i="1"/>
  <c r="H2474" i="1"/>
  <c r="A2474" i="1"/>
  <c r="I2473" i="1"/>
  <c r="H2473" i="1"/>
  <c r="A2473" i="1"/>
  <c r="I2472" i="1"/>
  <c r="H2472" i="1"/>
  <c r="A2472" i="1"/>
  <c r="I2471" i="1"/>
  <c r="H2471" i="1"/>
  <c r="A2471" i="1"/>
  <c r="I2470" i="1"/>
  <c r="H2470" i="1"/>
  <c r="A2470" i="1"/>
  <c r="I2469" i="1"/>
  <c r="H2469" i="1"/>
  <c r="A2469" i="1"/>
  <c r="I2468" i="1"/>
  <c r="H2468" i="1"/>
  <c r="A2468" i="1"/>
  <c r="I2467" i="1"/>
  <c r="H2467" i="1"/>
  <c r="A2467" i="1"/>
  <c r="I2466" i="1"/>
  <c r="H2466" i="1"/>
  <c r="A2466" i="1"/>
  <c r="I2465" i="1"/>
  <c r="H2465" i="1"/>
  <c r="A2465" i="1"/>
  <c r="I2464" i="1"/>
  <c r="H2464" i="1"/>
  <c r="A2464" i="1"/>
  <c r="I2463" i="1"/>
  <c r="H2463" i="1"/>
  <c r="A2463" i="1"/>
  <c r="I2462" i="1"/>
  <c r="H2462" i="1"/>
  <c r="A2462" i="1"/>
  <c r="I2461" i="1"/>
  <c r="H2461" i="1"/>
  <c r="A2461" i="1"/>
  <c r="I2460" i="1"/>
  <c r="H2460" i="1"/>
  <c r="A2460" i="1"/>
  <c r="I2459" i="1"/>
  <c r="H2459" i="1"/>
  <c r="A2459" i="1"/>
  <c r="I2458" i="1"/>
  <c r="H2458" i="1"/>
  <c r="A2458" i="1"/>
  <c r="I2457" i="1"/>
  <c r="H2457" i="1"/>
  <c r="A2457" i="1"/>
  <c r="I2456" i="1"/>
  <c r="H2456" i="1"/>
  <c r="A2456" i="1"/>
  <c r="I2455" i="1"/>
  <c r="H2455" i="1"/>
  <c r="A2455" i="1"/>
  <c r="I2454" i="1"/>
  <c r="H2454" i="1"/>
  <c r="A2454" i="1"/>
  <c r="I2453" i="1"/>
  <c r="H2453" i="1"/>
  <c r="A2453" i="1"/>
  <c r="I2452" i="1"/>
  <c r="H2452" i="1"/>
  <c r="A2452" i="1"/>
  <c r="I2451" i="1"/>
  <c r="H2451" i="1"/>
  <c r="A2451" i="1"/>
  <c r="I2450" i="1"/>
  <c r="H2450" i="1"/>
  <c r="A2450" i="1"/>
  <c r="I2449" i="1"/>
  <c r="H2449" i="1"/>
  <c r="A2449" i="1"/>
  <c r="I2448" i="1"/>
  <c r="H2448" i="1"/>
  <c r="A2448" i="1"/>
  <c r="I2447" i="1"/>
  <c r="H2447" i="1"/>
  <c r="A2447" i="1"/>
  <c r="I2446" i="1"/>
  <c r="H2446" i="1"/>
  <c r="A2446" i="1"/>
  <c r="I2445" i="1"/>
  <c r="H2445" i="1"/>
  <c r="A2445" i="1"/>
  <c r="I2444" i="1"/>
  <c r="H2444" i="1"/>
  <c r="A2444" i="1"/>
  <c r="I2443" i="1"/>
  <c r="H2443" i="1"/>
  <c r="A2443" i="1"/>
  <c r="I2442" i="1"/>
  <c r="H2442" i="1"/>
  <c r="A2442" i="1"/>
  <c r="I2441" i="1"/>
  <c r="H2441" i="1"/>
  <c r="A2441" i="1"/>
  <c r="I2440" i="1"/>
  <c r="H2440" i="1"/>
  <c r="A2440" i="1"/>
  <c r="I2439" i="1"/>
  <c r="H2439" i="1"/>
  <c r="A2439" i="1"/>
  <c r="I2438" i="1"/>
  <c r="H2438" i="1"/>
  <c r="A2438" i="1"/>
  <c r="I2437" i="1"/>
  <c r="H2437" i="1"/>
  <c r="A2437" i="1"/>
  <c r="I2436" i="1"/>
  <c r="H2436" i="1"/>
  <c r="A2436" i="1"/>
  <c r="I2435" i="1"/>
  <c r="H2435" i="1"/>
  <c r="A2435" i="1"/>
  <c r="I2434" i="1"/>
  <c r="H2434" i="1"/>
  <c r="A2434" i="1"/>
  <c r="I2433" i="1"/>
  <c r="H2433" i="1"/>
  <c r="A2433" i="1"/>
  <c r="I2432" i="1"/>
  <c r="H2432" i="1"/>
  <c r="A2432" i="1"/>
  <c r="I2431" i="1"/>
  <c r="H2431" i="1"/>
  <c r="A2431" i="1"/>
  <c r="I2430" i="1"/>
  <c r="H2430" i="1"/>
  <c r="A2430" i="1"/>
  <c r="I2429" i="1"/>
  <c r="H2429" i="1"/>
  <c r="A2429" i="1"/>
  <c r="I2428" i="1"/>
  <c r="H2428" i="1"/>
  <c r="A2428" i="1"/>
  <c r="I2427" i="1"/>
  <c r="H2427" i="1"/>
  <c r="A2427" i="1"/>
  <c r="I2426" i="1"/>
  <c r="H2426" i="1"/>
  <c r="A2426" i="1"/>
  <c r="I2425" i="1"/>
  <c r="H2425" i="1"/>
  <c r="A2425" i="1"/>
  <c r="I2424" i="1"/>
  <c r="H2424" i="1"/>
  <c r="A2424" i="1"/>
  <c r="I2423" i="1"/>
  <c r="H2423" i="1"/>
  <c r="A2423" i="1"/>
  <c r="I2422" i="1"/>
  <c r="H2422" i="1"/>
  <c r="A2422" i="1"/>
  <c r="I2421" i="1"/>
  <c r="H2421" i="1"/>
  <c r="A2421" i="1"/>
  <c r="I2420" i="1"/>
  <c r="H2420" i="1"/>
  <c r="A2420" i="1"/>
  <c r="I2419" i="1"/>
  <c r="H2419" i="1"/>
  <c r="A2419" i="1"/>
  <c r="I2418" i="1"/>
  <c r="H2418" i="1"/>
  <c r="A2418" i="1"/>
  <c r="I2417" i="1"/>
  <c r="H2417" i="1"/>
  <c r="A2417" i="1"/>
  <c r="I2416" i="1"/>
  <c r="H2416" i="1"/>
  <c r="A2416" i="1"/>
  <c r="I2415" i="1"/>
  <c r="H2415" i="1"/>
  <c r="A2415" i="1"/>
  <c r="I2414" i="1"/>
  <c r="H2414" i="1"/>
  <c r="A2414" i="1"/>
  <c r="I2413" i="1"/>
  <c r="H2413" i="1"/>
  <c r="A2413" i="1"/>
  <c r="I2412" i="1"/>
  <c r="H2412" i="1"/>
  <c r="A2412" i="1"/>
  <c r="I2411" i="1"/>
  <c r="H2411" i="1"/>
  <c r="A2411" i="1"/>
  <c r="I2410" i="1"/>
  <c r="H2410" i="1"/>
  <c r="A2410" i="1"/>
  <c r="I2409" i="1"/>
  <c r="H2409" i="1"/>
  <c r="A2409" i="1"/>
  <c r="I2408" i="1"/>
  <c r="H2408" i="1"/>
  <c r="A2408" i="1"/>
  <c r="I2407" i="1"/>
  <c r="H2407" i="1"/>
  <c r="A2407" i="1"/>
  <c r="I2406" i="1"/>
  <c r="H2406" i="1"/>
  <c r="A2406" i="1"/>
  <c r="I2405" i="1"/>
  <c r="H2405" i="1"/>
  <c r="A2405" i="1"/>
  <c r="I2404" i="1"/>
  <c r="H2404" i="1"/>
  <c r="A2404" i="1"/>
  <c r="I2403" i="1"/>
  <c r="H2403" i="1"/>
  <c r="A2403" i="1"/>
  <c r="I2402" i="1"/>
  <c r="H2402" i="1"/>
  <c r="A2402" i="1"/>
  <c r="I2401" i="1"/>
  <c r="H2401" i="1"/>
  <c r="A2401" i="1"/>
  <c r="I2400" i="1"/>
  <c r="H2400" i="1"/>
  <c r="A2400" i="1"/>
  <c r="I2399" i="1"/>
  <c r="H2399" i="1"/>
  <c r="A2399" i="1"/>
  <c r="I2398" i="1"/>
  <c r="H2398" i="1"/>
  <c r="A2398" i="1"/>
  <c r="I2397" i="1"/>
  <c r="H2397" i="1"/>
  <c r="A2397" i="1"/>
  <c r="I2396" i="1"/>
  <c r="H2396" i="1"/>
  <c r="A2396" i="1"/>
  <c r="I2395" i="1"/>
  <c r="H2395" i="1"/>
  <c r="A2395" i="1"/>
  <c r="I2394" i="1"/>
  <c r="H2394" i="1"/>
  <c r="A2394" i="1"/>
  <c r="I2393" i="1"/>
  <c r="H2393" i="1"/>
  <c r="A2393" i="1"/>
  <c r="I2392" i="1"/>
  <c r="H2392" i="1"/>
  <c r="A2392" i="1"/>
  <c r="I2391" i="1"/>
  <c r="H2391" i="1"/>
  <c r="A2391" i="1"/>
  <c r="I2390" i="1"/>
  <c r="H2390" i="1"/>
  <c r="A2390" i="1"/>
  <c r="I2389" i="1"/>
  <c r="H2389" i="1"/>
  <c r="A2389" i="1"/>
  <c r="I2388" i="1"/>
  <c r="H2388" i="1"/>
  <c r="A2388" i="1"/>
  <c r="I2387" i="1"/>
  <c r="H2387" i="1"/>
  <c r="A2387" i="1"/>
  <c r="I2386" i="1"/>
  <c r="H2386" i="1"/>
  <c r="A2386" i="1"/>
  <c r="I2385" i="1"/>
  <c r="H2385" i="1"/>
  <c r="A2385" i="1"/>
  <c r="I2384" i="1"/>
  <c r="H2384" i="1"/>
  <c r="A2384" i="1"/>
  <c r="I2383" i="1"/>
  <c r="H2383" i="1"/>
  <c r="A2383" i="1"/>
  <c r="I2382" i="1"/>
  <c r="H2382" i="1"/>
  <c r="A2382" i="1"/>
  <c r="I2381" i="1"/>
  <c r="H2381" i="1"/>
  <c r="A2381" i="1"/>
  <c r="I2380" i="1"/>
  <c r="H2380" i="1"/>
  <c r="A2380" i="1"/>
  <c r="I2379" i="1"/>
  <c r="H2379" i="1"/>
  <c r="A2379" i="1"/>
  <c r="I2378" i="1"/>
  <c r="H2378" i="1"/>
  <c r="A2378" i="1"/>
  <c r="I2377" i="1"/>
  <c r="H2377" i="1"/>
  <c r="A2377" i="1"/>
  <c r="I2376" i="1"/>
  <c r="H2376" i="1"/>
  <c r="A2376" i="1"/>
  <c r="I2375" i="1"/>
  <c r="H2375" i="1"/>
  <c r="A2375" i="1"/>
  <c r="I2374" i="1"/>
  <c r="H2374" i="1"/>
  <c r="A2374" i="1"/>
  <c r="I2373" i="1"/>
  <c r="H2373" i="1"/>
  <c r="A2373" i="1"/>
  <c r="I2372" i="1"/>
  <c r="H2372" i="1"/>
  <c r="A2372" i="1"/>
  <c r="I2371" i="1"/>
  <c r="H2371" i="1"/>
  <c r="A2371" i="1"/>
  <c r="I2370" i="1"/>
  <c r="H2370" i="1"/>
  <c r="A2370" i="1"/>
  <c r="I2369" i="1"/>
  <c r="H2369" i="1"/>
  <c r="A2369" i="1"/>
  <c r="I2368" i="1"/>
  <c r="H2368" i="1"/>
  <c r="A2368" i="1"/>
  <c r="I2367" i="1"/>
  <c r="H2367" i="1"/>
  <c r="A2367" i="1"/>
  <c r="I2366" i="1"/>
  <c r="H2366" i="1"/>
  <c r="A2366" i="1"/>
  <c r="I2365" i="1"/>
  <c r="H2365" i="1"/>
  <c r="A2365" i="1"/>
  <c r="I2364" i="1"/>
  <c r="H2364" i="1"/>
  <c r="A2364" i="1"/>
  <c r="I2363" i="1"/>
  <c r="H2363" i="1"/>
  <c r="A2363" i="1"/>
  <c r="I2362" i="1"/>
  <c r="H2362" i="1"/>
  <c r="A2362" i="1"/>
  <c r="I2361" i="1"/>
  <c r="H2361" i="1"/>
  <c r="A2361" i="1"/>
  <c r="I2360" i="1"/>
  <c r="H2360" i="1"/>
  <c r="A2360" i="1"/>
  <c r="I2359" i="1"/>
  <c r="H2359" i="1"/>
  <c r="A2359" i="1"/>
  <c r="I2358" i="1"/>
  <c r="H2358" i="1"/>
  <c r="A2358" i="1"/>
  <c r="I2357" i="1"/>
  <c r="H2357" i="1"/>
  <c r="A2357" i="1"/>
  <c r="I2356" i="1"/>
  <c r="H2356" i="1"/>
  <c r="A2356" i="1"/>
  <c r="I2355" i="1"/>
  <c r="H2355" i="1"/>
  <c r="A2355" i="1"/>
  <c r="I2354" i="1"/>
  <c r="H2354" i="1"/>
  <c r="A2354" i="1"/>
  <c r="I2353" i="1"/>
  <c r="H2353" i="1"/>
  <c r="A2353" i="1"/>
  <c r="I2352" i="1"/>
  <c r="H2352" i="1"/>
  <c r="A2352" i="1"/>
  <c r="I2351" i="1"/>
  <c r="H2351" i="1"/>
  <c r="A2351" i="1"/>
  <c r="I2350" i="1"/>
  <c r="H2350" i="1"/>
  <c r="A2350" i="1"/>
  <c r="I2349" i="1"/>
  <c r="H2349" i="1"/>
  <c r="A2349" i="1"/>
  <c r="I2348" i="1"/>
  <c r="H2348" i="1"/>
  <c r="A2348" i="1"/>
  <c r="I2347" i="1"/>
  <c r="H2347" i="1"/>
  <c r="A2347" i="1"/>
  <c r="I2346" i="1"/>
  <c r="H2346" i="1"/>
  <c r="A2346" i="1"/>
  <c r="I2345" i="1"/>
  <c r="H2345" i="1"/>
  <c r="A2345" i="1"/>
  <c r="I2344" i="1"/>
  <c r="H2344" i="1"/>
  <c r="A2344" i="1"/>
  <c r="I2343" i="1"/>
  <c r="H2343" i="1"/>
  <c r="A2343" i="1"/>
  <c r="I2342" i="1"/>
  <c r="H2342" i="1"/>
  <c r="A2342" i="1"/>
  <c r="I2341" i="1"/>
  <c r="H2341" i="1"/>
  <c r="A2341" i="1"/>
  <c r="I2340" i="1"/>
  <c r="H2340" i="1"/>
  <c r="A2340" i="1"/>
  <c r="I2339" i="1"/>
  <c r="H2339" i="1"/>
  <c r="A2339" i="1"/>
  <c r="I2338" i="1"/>
  <c r="H2338" i="1"/>
  <c r="A2338" i="1"/>
  <c r="I2337" i="1"/>
  <c r="H2337" i="1"/>
  <c r="A2337" i="1"/>
  <c r="I2336" i="1"/>
  <c r="H2336" i="1"/>
  <c r="A2336" i="1"/>
  <c r="I2335" i="1"/>
  <c r="H2335" i="1"/>
  <c r="A2335" i="1"/>
  <c r="I2334" i="1"/>
  <c r="H2334" i="1"/>
  <c r="A2334" i="1"/>
  <c r="I2333" i="1"/>
  <c r="H2333" i="1"/>
  <c r="A2333" i="1"/>
  <c r="I2332" i="1"/>
  <c r="H2332" i="1"/>
  <c r="A2332" i="1"/>
  <c r="I2331" i="1"/>
  <c r="H2331" i="1"/>
  <c r="A2331" i="1"/>
  <c r="I2330" i="1"/>
  <c r="H2330" i="1"/>
  <c r="A2330" i="1"/>
  <c r="I2329" i="1"/>
  <c r="H2329" i="1"/>
  <c r="A2329" i="1"/>
  <c r="I2328" i="1"/>
  <c r="H2328" i="1"/>
  <c r="A2328" i="1"/>
  <c r="I2327" i="1"/>
  <c r="H2327" i="1"/>
  <c r="A2327" i="1"/>
  <c r="I2326" i="1"/>
  <c r="H2326" i="1"/>
  <c r="A2326" i="1"/>
  <c r="I2325" i="1"/>
  <c r="H2325" i="1"/>
  <c r="A2325" i="1"/>
  <c r="I2324" i="1"/>
  <c r="H2324" i="1"/>
  <c r="A2324" i="1"/>
  <c r="I2323" i="1"/>
  <c r="H2323" i="1"/>
  <c r="A2323" i="1"/>
  <c r="I2322" i="1"/>
  <c r="H2322" i="1"/>
  <c r="A2322" i="1"/>
  <c r="I2321" i="1"/>
  <c r="H2321" i="1"/>
  <c r="A2321" i="1"/>
  <c r="I2320" i="1"/>
  <c r="H2320" i="1"/>
  <c r="A2320" i="1"/>
  <c r="I2319" i="1"/>
  <c r="H2319" i="1"/>
  <c r="A2319" i="1"/>
  <c r="I2318" i="1"/>
  <c r="H2318" i="1"/>
  <c r="A2318" i="1"/>
  <c r="I2317" i="1"/>
  <c r="H2317" i="1"/>
  <c r="A2317" i="1"/>
  <c r="I2316" i="1"/>
  <c r="H2316" i="1"/>
  <c r="A2316" i="1"/>
  <c r="I2315" i="1"/>
  <c r="H2315" i="1"/>
  <c r="A2315" i="1"/>
  <c r="I2314" i="1"/>
  <c r="H2314" i="1"/>
  <c r="A2314" i="1"/>
  <c r="I2313" i="1"/>
  <c r="H2313" i="1"/>
  <c r="A2313" i="1"/>
  <c r="I2312" i="1"/>
  <c r="H2312" i="1"/>
  <c r="A2312" i="1"/>
  <c r="I2311" i="1"/>
  <c r="H2311" i="1"/>
  <c r="A2311" i="1"/>
  <c r="I2310" i="1"/>
  <c r="H2310" i="1"/>
  <c r="A2310" i="1"/>
  <c r="I2309" i="1"/>
  <c r="H2309" i="1"/>
  <c r="A2309" i="1"/>
  <c r="I2308" i="1"/>
  <c r="H2308" i="1"/>
  <c r="A2308" i="1"/>
  <c r="I2307" i="1"/>
  <c r="H2307" i="1"/>
  <c r="A2307" i="1"/>
  <c r="I2306" i="1"/>
  <c r="H2306" i="1"/>
  <c r="A2306" i="1"/>
  <c r="I2305" i="1"/>
  <c r="H2305" i="1"/>
  <c r="A2305" i="1"/>
  <c r="I2304" i="1"/>
  <c r="H2304" i="1"/>
  <c r="A2304" i="1"/>
  <c r="I2303" i="1"/>
  <c r="H2303" i="1"/>
  <c r="A2303" i="1"/>
  <c r="I2302" i="1"/>
  <c r="H2302" i="1"/>
  <c r="A2302" i="1"/>
  <c r="I2301" i="1"/>
  <c r="H2301" i="1"/>
  <c r="A2301" i="1"/>
  <c r="I2300" i="1"/>
  <c r="H2300" i="1"/>
  <c r="A2300" i="1"/>
  <c r="I2299" i="1"/>
  <c r="H2299" i="1"/>
  <c r="A2299" i="1"/>
  <c r="I2298" i="1"/>
  <c r="H2298" i="1"/>
  <c r="A2298" i="1"/>
  <c r="I2297" i="1"/>
  <c r="H2297" i="1"/>
  <c r="A2297" i="1"/>
  <c r="I2296" i="1"/>
  <c r="H2296" i="1"/>
  <c r="A2296" i="1"/>
  <c r="I2295" i="1"/>
  <c r="H2295" i="1"/>
  <c r="A2295" i="1"/>
  <c r="I2294" i="1"/>
  <c r="H2294" i="1"/>
  <c r="A2294" i="1"/>
  <c r="I2293" i="1"/>
  <c r="H2293" i="1"/>
  <c r="A2293" i="1"/>
  <c r="I2292" i="1"/>
  <c r="H2292" i="1"/>
  <c r="A2292" i="1"/>
  <c r="I2291" i="1"/>
  <c r="H2291" i="1"/>
  <c r="A2291" i="1"/>
  <c r="I2290" i="1"/>
  <c r="H2290" i="1"/>
  <c r="A2290" i="1"/>
  <c r="I2289" i="1"/>
  <c r="H2289" i="1"/>
  <c r="A2289" i="1"/>
  <c r="I2288" i="1"/>
  <c r="H2288" i="1"/>
  <c r="A2288" i="1"/>
  <c r="I2287" i="1"/>
  <c r="H2287" i="1"/>
  <c r="A2287" i="1"/>
  <c r="I2286" i="1"/>
  <c r="H2286" i="1"/>
  <c r="A2286" i="1"/>
  <c r="I2285" i="1"/>
  <c r="H2285" i="1"/>
  <c r="A2285" i="1"/>
  <c r="I2284" i="1"/>
  <c r="H2284" i="1"/>
  <c r="A2284" i="1"/>
  <c r="I2283" i="1"/>
  <c r="H2283" i="1"/>
  <c r="A2283" i="1"/>
  <c r="I2282" i="1"/>
  <c r="H2282" i="1"/>
  <c r="A2282" i="1"/>
  <c r="I2281" i="1"/>
  <c r="H2281" i="1"/>
  <c r="A2281" i="1"/>
  <c r="I2280" i="1"/>
  <c r="H2280" i="1"/>
  <c r="A2280" i="1"/>
  <c r="I2279" i="1"/>
  <c r="H2279" i="1"/>
  <c r="A2279" i="1"/>
  <c r="I2278" i="1"/>
  <c r="H2278" i="1"/>
  <c r="A2278" i="1"/>
  <c r="I2277" i="1"/>
  <c r="H2277" i="1"/>
  <c r="A2277" i="1"/>
  <c r="I2276" i="1"/>
  <c r="H2276" i="1"/>
  <c r="A2276" i="1"/>
  <c r="I2275" i="1"/>
  <c r="H2275" i="1"/>
  <c r="A2275" i="1"/>
  <c r="I2274" i="1"/>
  <c r="H2274" i="1"/>
  <c r="A2274" i="1"/>
  <c r="I2273" i="1"/>
  <c r="H2273" i="1"/>
  <c r="A2273" i="1"/>
  <c r="I2272" i="1"/>
  <c r="H2272" i="1"/>
  <c r="A2272" i="1"/>
  <c r="I2271" i="1"/>
  <c r="H2271" i="1"/>
  <c r="A2271" i="1"/>
  <c r="I2270" i="1"/>
  <c r="H2270" i="1"/>
  <c r="A2270" i="1"/>
  <c r="I2269" i="1"/>
  <c r="H2269" i="1"/>
  <c r="A2269" i="1"/>
  <c r="I2268" i="1"/>
  <c r="H2268" i="1"/>
  <c r="A2268" i="1"/>
  <c r="I2267" i="1"/>
  <c r="H2267" i="1"/>
  <c r="A2267" i="1"/>
  <c r="I2266" i="1"/>
  <c r="H2266" i="1"/>
  <c r="A2266" i="1"/>
  <c r="I2265" i="1"/>
  <c r="H2265" i="1"/>
  <c r="A2265" i="1"/>
  <c r="I2264" i="1"/>
  <c r="H2264" i="1"/>
  <c r="A2264" i="1"/>
  <c r="I2263" i="1"/>
  <c r="H2263" i="1"/>
  <c r="A2263" i="1"/>
  <c r="I2262" i="1"/>
  <c r="H2262" i="1"/>
  <c r="A2262" i="1"/>
  <c r="I2261" i="1"/>
  <c r="H2261" i="1"/>
  <c r="A2261" i="1"/>
  <c r="I2260" i="1"/>
  <c r="H2260" i="1"/>
  <c r="A2260" i="1"/>
  <c r="I2259" i="1"/>
  <c r="H2259" i="1"/>
  <c r="A2259" i="1"/>
  <c r="I2258" i="1"/>
  <c r="H2258" i="1"/>
  <c r="A2258" i="1"/>
  <c r="I2257" i="1"/>
  <c r="H2257" i="1"/>
  <c r="A2257" i="1"/>
  <c r="I2256" i="1"/>
  <c r="H2256" i="1"/>
  <c r="A2256" i="1"/>
  <c r="I2255" i="1"/>
  <c r="H2255" i="1"/>
  <c r="A2255" i="1"/>
  <c r="I2254" i="1"/>
  <c r="H2254" i="1"/>
  <c r="A2254" i="1"/>
  <c r="I2253" i="1"/>
  <c r="H2253" i="1"/>
  <c r="A2253" i="1"/>
  <c r="I2252" i="1"/>
  <c r="H2252" i="1"/>
  <c r="A2252" i="1"/>
  <c r="I2251" i="1"/>
  <c r="H2251" i="1"/>
  <c r="A2251" i="1"/>
  <c r="I2250" i="1"/>
  <c r="H2250" i="1"/>
  <c r="A2250" i="1"/>
  <c r="I2249" i="1"/>
  <c r="H2249" i="1"/>
  <c r="A2249" i="1"/>
  <c r="I2248" i="1"/>
  <c r="H2248" i="1"/>
  <c r="A2248" i="1"/>
  <c r="I2247" i="1"/>
  <c r="H2247" i="1"/>
  <c r="A2247" i="1"/>
  <c r="I2246" i="1"/>
  <c r="H2246" i="1"/>
  <c r="A2246" i="1"/>
  <c r="I2245" i="1"/>
  <c r="H2245" i="1"/>
  <c r="A2245" i="1"/>
  <c r="I2244" i="1"/>
  <c r="H2244" i="1"/>
  <c r="A2244" i="1"/>
  <c r="I2243" i="1"/>
  <c r="H2243" i="1"/>
  <c r="A2243" i="1"/>
  <c r="I2242" i="1"/>
  <c r="H2242" i="1"/>
  <c r="A2242" i="1"/>
  <c r="I2241" i="1"/>
  <c r="H2241" i="1"/>
  <c r="A2241" i="1"/>
  <c r="I2240" i="1"/>
  <c r="H2240" i="1"/>
  <c r="A2240" i="1"/>
  <c r="I2239" i="1"/>
  <c r="H2239" i="1"/>
  <c r="A2239" i="1"/>
  <c r="I2238" i="1"/>
  <c r="H2238" i="1"/>
  <c r="A2238" i="1"/>
  <c r="I2237" i="1"/>
  <c r="H2237" i="1"/>
  <c r="A2237" i="1"/>
  <c r="I2236" i="1"/>
  <c r="H2236" i="1"/>
  <c r="A2236" i="1"/>
  <c r="I2235" i="1"/>
  <c r="H2235" i="1"/>
  <c r="A2235" i="1"/>
  <c r="I2234" i="1"/>
  <c r="H2234" i="1"/>
  <c r="A2234" i="1"/>
  <c r="I2233" i="1"/>
  <c r="H2233" i="1"/>
  <c r="A2233" i="1"/>
  <c r="I2232" i="1"/>
  <c r="H2232" i="1"/>
  <c r="A2232" i="1"/>
  <c r="I2231" i="1"/>
  <c r="H2231" i="1"/>
  <c r="A2231" i="1"/>
  <c r="I2230" i="1"/>
  <c r="H2230" i="1"/>
  <c r="A2230" i="1"/>
  <c r="I2229" i="1"/>
  <c r="H2229" i="1"/>
  <c r="A2229" i="1"/>
  <c r="I2228" i="1"/>
  <c r="H2228" i="1"/>
  <c r="A2228" i="1"/>
  <c r="I2227" i="1"/>
  <c r="H2227" i="1"/>
  <c r="A2227" i="1"/>
  <c r="I2226" i="1"/>
  <c r="H2226" i="1"/>
  <c r="A2226" i="1"/>
  <c r="I2225" i="1"/>
  <c r="H2225" i="1"/>
  <c r="A2225" i="1"/>
  <c r="I2224" i="1"/>
  <c r="H2224" i="1"/>
  <c r="A2224" i="1"/>
  <c r="I2223" i="1"/>
  <c r="H2223" i="1"/>
  <c r="A2223" i="1"/>
  <c r="I2222" i="1"/>
  <c r="H2222" i="1"/>
  <c r="A2222" i="1"/>
  <c r="I2221" i="1"/>
  <c r="H2221" i="1"/>
  <c r="A2221" i="1"/>
  <c r="I2220" i="1"/>
  <c r="H2220" i="1"/>
  <c r="A2220" i="1"/>
  <c r="I2219" i="1"/>
  <c r="H2219" i="1"/>
  <c r="A2219" i="1"/>
  <c r="I2218" i="1"/>
  <c r="H2218" i="1"/>
  <c r="A2218" i="1"/>
  <c r="I2217" i="1"/>
  <c r="H2217" i="1"/>
  <c r="A2217" i="1"/>
  <c r="I2216" i="1"/>
  <c r="H2216" i="1"/>
  <c r="A2216" i="1"/>
  <c r="I2215" i="1"/>
  <c r="H2215" i="1"/>
  <c r="A2215" i="1"/>
  <c r="I2214" i="1"/>
  <c r="H2214" i="1"/>
  <c r="A2214" i="1"/>
  <c r="I2213" i="1"/>
  <c r="H2213" i="1"/>
  <c r="A2213" i="1"/>
  <c r="I2212" i="1"/>
  <c r="H2212" i="1"/>
  <c r="A2212" i="1"/>
  <c r="I2211" i="1"/>
  <c r="H2211" i="1"/>
  <c r="A2211" i="1"/>
  <c r="I2210" i="1"/>
  <c r="H2210" i="1"/>
  <c r="A2210" i="1"/>
  <c r="I2209" i="1"/>
  <c r="H2209" i="1"/>
  <c r="A2209" i="1"/>
  <c r="I2208" i="1"/>
  <c r="H2208" i="1"/>
  <c r="A2208" i="1"/>
  <c r="I2207" i="1"/>
  <c r="H2207" i="1"/>
  <c r="A2207" i="1"/>
  <c r="I2206" i="1"/>
  <c r="H2206" i="1"/>
  <c r="A2206" i="1"/>
  <c r="I2205" i="1"/>
  <c r="H2205" i="1"/>
  <c r="A2205" i="1"/>
  <c r="I2204" i="1"/>
  <c r="H2204" i="1"/>
  <c r="A2204" i="1"/>
  <c r="I2203" i="1"/>
  <c r="H2203" i="1"/>
  <c r="A2203" i="1"/>
  <c r="I2202" i="1"/>
  <c r="H2202" i="1"/>
  <c r="A2202" i="1"/>
  <c r="I2201" i="1"/>
  <c r="H2201" i="1"/>
  <c r="A2201" i="1"/>
  <c r="I2200" i="1"/>
  <c r="H2200" i="1"/>
  <c r="A2200" i="1"/>
  <c r="I2199" i="1"/>
  <c r="H2199" i="1"/>
  <c r="A2199" i="1"/>
  <c r="I2198" i="1"/>
  <c r="H2198" i="1"/>
  <c r="A2198" i="1"/>
  <c r="I2197" i="1"/>
  <c r="H2197" i="1"/>
  <c r="A2197" i="1"/>
  <c r="I2196" i="1"/>
  <c r="H2196" i="1"/>
  <c r="A2196" i="1"/>
  <c r="I2195" i="1"/>
  <c r="H2195" i="1"/>
  <c r="A2195" i="1"/>
  <c r="I2194" i="1"/>
  <c r="H2194" i="1"/>
  <c r="A2194" i="1"/>
  <c r="I2193" i="1"/>
  <c r="H2193" i="1"/>
  <c r="A2193" i="1"/>
  <c r="I2192" i="1"/>
  <c r="H2192" i="1"/>
  <c r="A2192" i="1"/>
  <c r="I2191" i="1"/>
  <c r="H2191" i="1"/>
  <c r="A2191" i="1"/>
  <c r="I2190" i="1"/>
  <c r="H2190" i="1"/>
  <c r="A2190" i="1"/>
  <c r="I2189" i="1"/>
  <c r="H2189" i="1"/>
  <c r="A2189" i="1"/>
  <c r="I2188" i="1"/>
  <c r="H2188" i="1"/>
  <c r="A2188" i="1"/>
  <c r="I2187" i="1"/>
  <c r="H2187" i="1"/>
  <c r="A2187" i="1"/>
  <c r="I2186" i="1"/>
  <c r="H2186" i="1"/>
  <c r="A2186" i="1"/>
  <c r="I2185" i="1"/>
  <c r="H2185" i="1"/>
  <c r="A2185" i="1"/>
  <c r="I2184" i="1"/>
  <c r="H2184" i="1"/>
  <c r="A2184" i="1"/>
  <c r="I2183" i="1"/>
  <c r="H2183" i="1"/>
  <c r="A2183" i="1"/>
  <c r="I2182" i="1"/>
  <c r="H2182" i="1"/>
  <c r="A2182" i="1"/>
  <c r="I2181" i="1"/>
  <c r="H2181" i="1"/>
  <c r="A2181" i="1"/>
  <c r="I2180" i="1"/>
  <c r="H2180" i="1"/>
  <c r="A2180" i="1"/>
  <c r="I2179" i="1"/>
  <c r="H2179" i="1"/>
  <c r="A2179" i="1"/>
  <c r="I2178" i="1"/>
  <c r="H2178" i="1"/>
  <c r="A2178" i="1"/>
  <c r="I2177" i="1"/>
  <c r="H2177" i="1"/>
  <c r="A2177" i="1"/>
  <c r="I2176" i="1"/>
  <c r="H2176" i="1"/>
  <c r="A2176" i="1"/>
  <c r="I2175" i="1"/>
  <c r="H2175" i="1"/>
  <c r="A2175" i="1"/>
  <c r="I2174" i="1"/>
  <c r="H2174" i="1"/>
  <c r="A2174" i="1"/>
  <c r="I2173" i="1"/>
  <c r="H2173" i="1"/>
  <c r="A2173" i="1"/>
  <c r="I2172" i="1"/>
  <c r="H2172" i="1"/>
  <c r="A2172" i="1"/>
  <c r="I2171" i="1"/>
  <c r="H2171" i="1"/>
  <c r="A2171" i="1"/>
  <c r="I2170" i="1"/>
  <c r="H2170" i="1"/>
  <c r="A2170" i="1"/>
  <c r="I2169" i="1"/>
  <c r="H2169" i="1"/>
  <c r="A2169" i="1"/>
  <c r="I2168" i="1"/>
  <c r="H2168" i="1"/>
  <c r="A2168" i="1"/>
  <c r="I2167" i="1"/>
  <c r="H2167" i="1"/>
  <c r="A2167" i="1"/>
  <c r="I2166" i="1"/>
  <c r="H2166" i="1"/>
  <c r="A2166" i="1"/>
  <c r="I2165" i="1"/>
  <c r="H2165" i="1"/>
  <c r="A2165" i="1"/>
  <c r="I2164" i="1"/>
  <c r="H2164" i="1"/>
  <c r="A2164" i="1"/>
  <c r="I2163" i="1"/>
  <c r="H2163" i="1"/>
  <c r="A2163" i="1"/>
  <c r="I2162" i="1"/>
  <c r="H2162" i="1"/>
  <c r="A2162" i="1"/>
  <c r="I2161" i="1"/>
  <c r="H2161" i="1"/>
  <c r="A2161" i="1"/>
  <c r="I2160" i="1"/>
  <c r="H2160" i="1"/>
  <c r="A2160" i="1"/>
  <c r="I2159" i="1"/>
  <c r="H2159" i="1"/>
  <c r="A2159" i="1"/>
  <c r="I2158" i="1"/>
  <c r="H2158" i="1"/>
  <c r="A2158" i="1"/>
  <c r="I2157" i="1"/>
  <c r="H2157" i="1"/>
  <c r="A2157" i="1"/>
  <c r="I2156" i="1"/>
  <c r="H2156" i="1"/>
  <c r="A2156" i="1"/>
  <c r="I2155" i="1"/>
  <c r="H2155" i="1"/>
  <c r="A2155" i="1"/>
  <c r="I2154" i="1"/>
  <c r="H2154" i="1"/>
  <c r="A2154" i="1"/>
  <c r="I2153" i="1"/>
  <c r="H2153" i="1"/>
  <c r="A2153" i="1"/>
  <c r="I2152" i="1"/>
  <c r="H2152" i="1"/>
  <c r="A2152" i="1"/>
  <c r="I2151" i="1"/>
  <c r="H2151" i="1"/>
  <c r="A2151" i="1"/>
  <c r="I2150" i="1"/>
  <c r="H2150" i="1"/>
  <c r="A2150" i="1"/>
  <c r="I2149" i="1"/>
  <c r="H2149" i="1"/>
  <c r="A2149" i="1"/>
  <c r="I2148" i="1"/>
  <c r="H2148" i="1"/>
  <c r="A2148" i="1"/>
  <c r="I2147" i="1"/>
  <c r="H2147" i="1"/>
  <c r="A2147" i="1"/>
  <c r="I2146" i="1"/>
  <c r="H2146" i="1"/>
  <c r="A2146" i="1"/>
  <c r="I2145" i="1"/>
  <c r="H2145" i="1"/>
  <c r="A2145" i="1"/>
  <c r="I2144" i="1"/>
  <c r="H2144" i="1"/>
  <c r="A2144" i="1"/>
  <c r="I2143" i="1"/>
  <c r="H2143" i="1"/>
  <c r="A2143" i="1"/>
  <c r="I2142" i="1"/>
  <c r="H2142" i="1"/>
  <c r="A2142" i="1"/>
  <c r="I2141" i="1"/>
  <c r="H2141" i="1"/>
  <c r="A2141" i="1"/>
  <c r="I2140" i="1"/>
  <c r="H2140" i="1"/>
  <c r="A2140" i="1"/>
  <c r="I2139" i="1"/>
  <c r="H2139" i="1"/>
  <c r="A2139" i="1"/>
  <c r="I2138" i="1"/>
  <c r="H2138" i="1"/>
  <c r="A2138" i="1"/>
  <c r="I2137" i="1"/>
  <c r="H2137" i="1"/>
  <c r="A2137" i="1"/>
  <c r="I2136" i="1"/>
  <c r="H2136" i="1"/>
  <c r="A2136" i="1"/>
  <c r="I2135" i="1"/>
  <c r="H2135" i="1"/>
  <c r="A2135" i="1"/>
  <c r="I2134" i="1"/>
  <c r="H2134" i="1"/>
  <c r="A2134" i="1"/>
  <c r="I2133" i="1"/>
  <c r="H2133" i="1"/>
  <c r="A2133" i="1"/>
  <c r="I2132" i="1"/>
  <c r="H2132" i="1"/>
  <c r="A2132" i="1"/>
  <c r="I2131" i="1"/>
  <c r="H2131" i="1"/>
  <c r="A2131" i="1"/>
  <c r="I2130" i="1"/>
  <c r="H2130" i="1"/>
  <c r="A2130" i="1"/>
  <c r="I2129" i="1"/>
  <c r="H2129" i="1"/>
  <c r="A2129" i="1"/>
  <c r="I2128" i="1"/>
  <c r="H2128" i="1"/>
  <c r="A2128" i="1"/>
  <c r="I2127" i="1"/>
  <c r="H2127" i="1"/>
  <c r="A2127" i="1"/>
  <c r="I2126" i="1"/>
  <c r="H2126" i="1"/>
  <c r="A2126" i="1"/>
  <c r="I2125" i="1"/>
  <c r="H2125" i="1"/>
  <c r="A2125" i="1"/>
  <c r="I2124" i="1"/>
  <c r="H2124" i="1"/>
  <c r="A2124" i="1"/>
  <c r="I2123" i="1"/>
  <c r="H2123" i="1"/>
  <c r="A2123" i="1"/>
  <c r="I2122" i="1"/>
  <c r="H2122" i="1"/>
  <c r="A2122" i="1"/>
  <c r="I2121" i="1"/>
  <c r="H2121" i="1"/>
  <c r="A2121" i="1"/>
  <c r="I2120" i="1"/>
  <c r="H2120" i="1"/>
  <c r="A2120" i="1"/>
  <c r="I2119" i="1"/>
  <c r="H2119" i="1"/>
  <c r="A2119" i="1"/>
  <c r="I2118" i="1"/>
  <c r="H2118" i="1"/>
  <c r="A2118" i="1"/>
  <c r="I2117" i="1"/>
  <c r="H2117" i="1"/>
  <c r="A2117" i="1"/>
  <c r="I2116" i="1"/>
  <c r="H2116" i="1"/>
  <c r="A2116" i="1"/>
  <c r="I2115" i="1"/>
  <c r="H2115" i="1"/>
  <c r="A2115" i="1"/>
  <c r="I2114" i="1"/>
  <c r="H2114" i="1"/>
  <c r="A2114" i="1"/>
  <c r="I2113" i="1"/>
  <c r="H2113" i="1"/>
  <c r="A2113" i="1"/>
  <c r="I2112" i="1"/>
  <c r="H2112" i="1"/>
  <c r="A2112" i="1"/>
  <c r="I2111" i="1"/>
  <c r="H2111" i="1"/>
  <c r="A2111" i="1"/>
  <c r="I2110" i="1"/>
  <c r="H2110" i="1"/>
  <c r="A2110" i="1"/>
  <c r="I2109" i="1"/>
  <c r="H2109" i="1"/>
  <c r="A2109" i="1"/>
  <c r="I2108" i="1"/>
  <c r="H2108" i="1"/>
  <c r="A2108" i="1"/>
  <c r="I2107" i="1"/>
  <c r="H2107" i="1"/>
  <c r="A2107" i="1"/>
  <c r="I2106" i="1"/>
  <c r="H2106" i="1"/>
  <c r="A2106" i="1"/>
  <c r="I2105" i="1"/>
  <c r="H2105" i="1"/>
  <c r="A2105" i="1"/>
  <c r="I2104" i="1"/>
  <c r="H2104" i="1"/>
  <c r="A2104" i="1"/>
  <c r="I2103" i="1"/>
  <c r="H2103" i="1"/>
  <c r="A2103" i="1"/>
  <c r="I2102" i="1"/>
  <c r="H2102" i="1"/>
  <c r="A2102" i="1"/>
  <c r="I2101" i="1"/>
  <c r="H2101" i="1"/>
  <c r="A2101" i="1"/>
  <c r="I2100" i="1"/>
  <c r="H2100" i="1"/>
  <c r="A2100" i="1"/>
  <c r="I2099" i="1"/>
  <c r="H2099" i="1"/>
  <c r="A2099" i="1"/>
  <c r="I2098" i="1"/>
  <c r="H2098" i="1"/>
  <c r="A2098" i="1"/>
  <c r="I2097" i="1"/>
  <c r="H2097" i="1"/>
  <c r="A2097" i="1"/>
  <c r="I2096" i="1"/>
  <c r="H2096" i="1"/>
  <c r="A2096" i="1"/>
  <c r="I2095" i="1"/>
  <c r="H2095" i="1"/>
  <c r="A2095" i="1"/>
  <c r="I2094" i="1"/>
  <c r="H2094" i="1"/>
  <c r="A2094" i="1"/>
  <c r="I2093" i="1"/>
  <c r="H2093" i="1"/>
  <c r="A2093" i="1"/>
  <c r="I2092" i="1"/>
  <c r="H2092" i="1"/>
  <c r="A2092" i="1"/>
  <c r="I2091" i="1"/>
  <c r="H2091" i="1"/>
  <c r="A2091" i="1"/>
  <c r="I2090" i="1"/>
  <c r="H2090" i="1"/>
  <c r="A2090" i="1"/>
  <c r="I2089" i="1"/>
  <c r="H2089" i="1"/>
  <c r="A2089" i="1"/>
  <c r="I2088" i="1"/>
  <c r="H2088" i="1"/>
  <c r="A2088" i="1"/>
  <c r="I2087" i="1"/>
  <c r="H2087" i="1"/>
  <c r="A2087" i="1"/>
  <c r="I2086" i="1"/>
  <c r="H2086" i="1"/>
  <c r="A2086" i="1"/>
  <c r="I2085" i="1"/>
  <c r="H2085" i="1"/>
  <c r="A2085" i="1"/>
  <c r="I2084" i="1"/>
  <c r="H2084" i="1"/>
  <c r="A2084" i="1"/>
  <c r="I2083" i="1"/>
  <c r="H2083" i="1"/>
  <c r="A2083" i="1"/>
  <c r="I2082" i="1"/>
  <c r="H2082" i="1"/>
  <c r="A2082" i="1"/>
  <c r="I2081" i="1"/>
  <c r="H2081" i="1"/>
  <c r="A2081" i="1"/>
  <c r="I2080" i="1"/>
  <c r="H2080" i="1"/>
  <c r="A2080" i="1"/>
  <c r="I2079" i="1"/>
  <c r="H2079" i="1"/>
  <c r="A2079" i="1"/>
  <c r="I2078" i="1"/>
  <c r="H2078" i="1"/>
  <c r="A2078" i="1"/>
  <c r="I2077" i="1"/>
  <c r="H2077" i="1"/>
  <c r="A2077" i="1"/>
  <c r="I2076" i="1"/>
  <c r="H2076" i="1"/>
  <c r="A2076" i="1"/>
  <c r="I2075" i="1"/>
  <c r="H2075" i="1"/>
  <c r="A2075" i="1"/>
  <c r="I2074" i="1"/>
  <c r="H2074" i="1"/>
  <c r="A2074" i="1"/>
  <c r="I2073" i="1"/>
  <c r="H2073" i="1"/>
  <c r="A2073" i="1"/>
  <c r="I2072" i="1"/>
  <c r="H2072" i="1"/>
  <c r="A2072" i="1"/>
  <c r="I2071" i="1"/>
  <c r="H2071" i="1"/>
  <c r="A2071" i="1"/>
  <c r="I2070" i="1"/>
  <c r="H2070" i="1"/>
  <c r="A2070" i="1"/>
  <c r="I2069" i="1"/>
  <c r="H2069" i="1"/>
  <c r="A2069" i="1"/>
  <c r="I2068" i="1"/>
  <c r="H2068" i="1"/>
  <c r="A2068" i="1"/>
  <c r="I2067" i="1"/>
  <c r="H2067" i="1"/>
  <c r="A2067" i="1"/>
  <c r="I2066" i="1"/>
  <c r="H2066" i="1"/>
  <c r="A2066" i="1"/>
  <c r="I2065" i="1"/>
  <c r="H2065" i="1"/>
  <c r="A2065" i="1"/>
  <c r="I2064" i="1"/>
  <c r="H2064" i="1"/>
  <c r="A2064" i="1"/>
  <c r="I2063" i="1"/>
  <c r="H2063" i="1"/>
  <c r="A2063" i="1"/>
  <c r="I2062" i="1"/>
  <c r="H2062" i="1"/>
  <c r="A2062" i="1"/>
  <c r="I2061" i="1"/>
  <c r="H2061" i="1"/>
  <c r="A2061" i="1"/>
  <c r="I2060" i="1"/>
  <c r="H2060" i="1"/>
  <c r="A2060" i="1"/>
  <c r="I2059" i="1"/>
  <c r="H2059" i="1"/>
  <c r="A2059" i="1"/>
  <c r="I2058" i="1"/>
  <c r="H2058" i="1"/>
  <c r="A2058" i="1"/>
  <c r="I2057" i="1"/>
  <c r="H2057" i="1"/>
  <c r="A2057" i="1"/>
  <c r="I2056" i="1"/>
  <c r="H2056" i="1"/>
  <c r="A2056" i="1"/>
  <c r="I2055" i="1"/>
  <c r="H2055" i="1"/>
  <c r="A2055" i="1"/>
  <c r="I2054" i="1"/>
  <c r="H2054" i="1"/>
  <c r="A2054" i="1"/>
  <c r="I2053" i="1"/>
  <c r="H2053" i="1"/>
  <c r="A2053" i="1"/>
  <c r="I2052" i="1"/>
  <c r="H2052" i="1"/>
  <c r="A2052" i="1"/>
  <c r="I2051" i="1"/>
  <c r="H2051" i="1"/>
  <c r="A2051" i="1"/>
  <c r="I2050" i="1"/>
  <c r="H2050" i="1"/>
  <c r="A2050" i="1"/>
  <c r="I2049" i="1"/>
  <c r="H2049" i="1"/>
  <c r="A2049" i="1"/>
  <c r="I2048" i="1"/>
  <c r="H2048" i="1"/>
  <c r="A2048" i="1"/>
  <c r="I2047" i="1"/>
  <c r="H2047" i="1"/>
  <c r="A2047" i="1"/>
  <c r="I2046" i="1"/>
  <c r="H2046" i="1"/>
  <c r="A2046" i="1"/>
  <c r="I2045" i="1"/>
  <c r="H2045" i="1"/>
  <c r="A2045" i="1"/>
  <c r="I2044" i="1"/>
  <c r="H2044" i="1"/>
  <c r="A2044" i="1"/>
  <c r="I2043" i="1"/>
  <c r="H2043" i="1"/>
  <c r="A2043" i="1"/>
  <c r="I2042" i="1"/>
  <c r="H2042" i="1"/>
  <c r="A2042" i="1"/>
  <c r="I2041" i="1"/>
  <c r="H2041" i="1"/>
  <c r="A2041" i="1"/>
  <c r="I2040" i="1"/>
  <c r="H2040" i="1"/>
  <c r="A2040" i="1"/>
  <c r="I2039" i="1"/>
  <c r="H2039" i="1"/>
  <c r="A2039" i="1"/>
  <c r="I2038" i="1"/>
  <c r="H2038" i="1"/>
  <c r="A2038" i="1"/>
  <c r="I2037" i="1"/>
  <c r="H2037" i="1"/>
  <c r="A2037" i="1"/>
  <c r="I2036" i="1"/>
  <c r="H2036" i="1"/>
  <c r="A2036" i="1"/>
  <c r="I2035" i="1"/>
  <c r="H2035" i="1"/>
  <c r="A2035" i="1"/>
  <c r="I2034" i="1"/>
  <c r="H2034" i="1"/>
  <c r="A2034" i="1"/>
  <c r="I2033" i="1"/>
  <c r="H2033" i="1"/>
  <c r="A2033" i="1"/>
  <c r="I2032" i="1"/>
  <c r="H2032" i="1"/>
  <c r="A2032" i="1"/>
  <c r="I2031" i="1"/>
  <c r="H2031" i="1"/>
  <c r="A2031" i="1"/>
  <c r="I2030" i="1"/>
  <c r="H2030" i="1"/>
  <c r="A2030" i="1"/>
  <c r="I2029" i="1"/>
  <c r="H2029" i="1"/>
  <c r="A2029" i="1"/>
  <c r="I2028" i="1"/>
  <c r="H2028" i="1"/>
  <c r="A2028" i="1"/>
  <c r="I2027" i="1"/>
  <c r="H2027" i="1"/>
  <c r="A2027" i="1"/>
  <c r="I2026" i="1"/>
  <c r="H2026" i="1"/>
  <c r="A2026" i="1"/>
  <c r="I2025" i="1"/>
  <c r="H2025" i="1"/>
  <c r="A2025" i="1"/>
  <c r="I2024" i="1"/>
  <c r="H2024" i="1"/>
  <c r="A2024" i="1"/>
  <c r="I2023" i="1"/>
  <c r="H2023" i="1"/>
  <c r="A2023" i="1"/>
  <c r="I2022" i="1"/>
  <c r="H2022" i="1"/>
  <c r="A2022" i="1"/>
  <c r="I2021" i="1"/>
  <c r="H2021" i="1"/>
  <c r="A2021" i="1"/>
  <c r="I2020" i="1"/>
  <c r="H2020" i="1"/>
  <c r="A2020" i="1"/>
  <c r="I2019" i="1"/>
  <c r="H2019" i="1"/>
  <c r="A2019" i="1"/>
  <c r="I2018" i="1"/>
  <c r="H2018" i="1"/>
  <c r="A2018" i="1"/>
  <c r="I2017" i="1"/>
  <c r="H2017" i="1"/>
  <c r="A2017" i="1"/>
  <c r="I2016" i="1"/>
  <c r="H2016" i="1"/>
  <c r="A2016" i="1"/>
  <c r="I2015" i="1"/>
  <c r="H2015" i="1"/>
  <c r="A2015" i="1"/>
  <c r="I2014" i="1"/>
  <c r="H2014" i="1"/>
  <c r="A2014" i="1"/>
  <c r="I2013" i="1"/>
  <c r="H2013" i="1"/>
  <c r="A2013" i="1"/>
  <c r="I2012" i="1"/>
  <c r="H2012" i="1"/>
  <c r="A2012" i="1"/>
  <c r="I2011" i="1"/>
  <c r="H2011" i="1"/>
  <c r="A2011" i="1"/>
  <c r="I2010" i="1"/>
  <c r="H2010" i="1"/>
  <c r="A2010" i="1"/>
  <c r="I2009" i="1"/>
  <c r="H2009" i="1"/>
  <c r="A2009" i="1"/>
  <c r="I2008" i="1"/>
  <c r="H2008" i="1"/>
  <c r="A2008" i="1"/>
  <c r="I2007" i="1"/>
  <c r="H2007" i="1"/>
  <c r="A2007" i="1"/>
  <c r="I2006" i="1"/>
  <c r="H2006" i="1"/>
  <c r="A2006" i="1"/>
  <c r="I2005" i="1"/>
  <c r="H2005" i="1"/>
  <c r="A2005" i="1"/>
  <c r="I2004" i="1"/>
  <c r="H2004" i="1"/>
  <c r="A2004" i="1"/>
  <c r="I2003" i="1"/>
  <c r="H2003" i="1"/>
  <c r="A2003" i="1"/>
  <c r="I2002" i="1"/>
  <c r="H2002" i="1"/>
  <c r="A2002" i="1"/>
  <c r="I2001" i="1"/>
  <c r="H2001" i="1"/>
  <c r="A2001" i="1"/>
  <c r="I2000" i="1"/>
  <c r="H2000" i="1"/>
  <c r="A2000" i="1"/>
  <c r="I1999" i="1"/>
  <c r="H1999" i="1"/>
  <c r="A1999" i="1"/>
  <c r="I1998" i="1"/>
  <c r="H1998" i="1"/>
  <c r="A1998" i="1"/>
  <c r="I1997" i="1"/>
  <c r="H1997" i="1"/>
  <c r="A1997" i="1"/>
  <c r="I1996" i="1"/>
  <c r="H1996" i="1"/>
  <c r="A1996" i="1"/>
  <c r="I1995" i="1"/>
  <c r="H1995" i="1"/>
  <c r="A1995" i="1"/>
  <c r="I1994" i="1"/>
  <c r="H1994" i="1"/>
  <c r="A1994" i="1"/>
  <c r="I1993" i="1"/>
  <c r="H1993" i="1"/>
  <c r="A1993" i="1"/>
  <c r="I1992" i="1"/>
  <c r="H1992" i="1"/>
  <c r="A1992" i="1"/>
  <c r="I1991" i="1"/>
  <c r="H1991" i="1"/>
  <c r="A1991" i="1"/>
  <c r="I1990" i="1"/>
  <c r="H1990" i="1"/>
  <c r="A1990" i="1"/>
  <c r="I1989" i="1"/>
  <c r="H1989" i="1"/>
  <c r="A1989" i="1"/>
  <c r="I1988" i="1"/>
  <c r="H1988" i="1"/>
  <c r="A1988" i="1"/>
  <c r="I1987" i="1"/>
  <c r="H1987" i="1"/>
  <c r="A1987" i="1"/>
  <c r="I1986" i="1"/>
  <c r="H1986" i="1"/>
  <c r="A1986" i="1"/>
  <c r="I1985" i="1"/>
  <c r="H1985" i="1"/>
  <c r="A1985" i="1"/>
  <c r="I1984" i="1"/>
  <c r="H1984" i="1"/>
  <c r="A1984" i="1"/>
  <c r="I1983" i="1"/>
  <c r="H1983" i="1"/>
  <c r="A1983" i="1"/>
  <c r="I1982" i="1"/>
  <c r="H1982" i="1"/>
  <c r="A1982" i="1"/>
  <c r="I1981" i="1"/>
  <c r="H1981" i="1"/>
  <c r="A1981" i="1"/>
  <c r="I1980" i="1"/>
  <c r="H1980" i="1"/>
  <c r="A1980" i="1"/>
  <c r="I1979" i="1"/>
  <c r="H1979" i="1"/>
  <c r="A1979" i="1"/>
  <c r="I1978" i="1"/>
  <c r="H1978" i="1"/>
  <c r="A1978" i="1"/>
  <c r="I1977" i="1"/>
  <c r="H1977" i="1"/>
  <c r="A1977" i="1"/>
  <c r="I1976" i="1"/>
  <c r="H1976" i="1"/>
  <c r="A1976" i="1"/>
  <c r="I1975" i="1"/>
  <c r="H1975" i="1"/>
  <c r="A1975" i="1"/>
  <c r="I1974" i="1"/>
  <c r="H1974" i="1"/>
  <c r="A1974" i="1"/>
  <c r="I1973" i="1"/>
  <c r="H1973" i="1"/>
  <c r="A1973" i="1"/>
  <c r="I1972" i="1"/>
  <c r="H1972" i="1"/>
  <c r="A1972" i="1"/>
  <c r="I1971" i="1"/>
  <c r="H1971" i="1"/>
  <c r="A1971" i="1"/>
  <c r="I1970" i="1"/>
  <c r="H1970" i="1"/>
  <c r="A1970" i="1"/>
  <c r="I1969" i="1"/>
  <c r="H1969" i="1"/>
  <c r="A1969" i="1"/>
  <c r="I1968" i="1"/>
  <c r="H1968" i="1"/>
  <c r="A1968" i="1"/>
  <c r="I1967" i="1"/>
  <c r="H1967" i="1"/>
  <c r="A1967" i="1"/>
  <c r="I1966" i="1"/>
  <c r="H1966" i="1"/>
  <c r="A1966" i="1"/>
  <c r="I1965" i="1"/>
  <c r="H1965" i="1"/>
  <c r="A1965" i="1"/>
  <c r="I1964" i="1"/>
  <c r="H1964" i="1"/>
  <c r="A1964" i="1"/>
  <c r="I1963" i="1"/>
  <c r="H1963" i="1"/>
  <c r="A1963" i="1"/>
  <c r="I1962" i="1"/>
  <c r="H1962" i="1"/>
  <c r="A1962" i="1"/>
  <c r="I1961" i="1"/>
  <c r="H1961" i="1"/>
  <c r="A1961" i="1"/>
  <c r="I1960" i="1"/>
  <c r="H1960" i="1"/>
  <c r="A1960" i="1"/>
  <c r="I1959" i="1"/>
  <c r="H1959" i="1"/>
  <c r="A1959" i="1"/>
  <c r="I1958" i="1"/>
  <c r="H1958" i="1"/>
  <c r="A1958" i="1"/>
  <c r="I1957" i="1"/>
  <c r="H1957" i="1"/>
  <c r="A1957" i="1"/>
  <c r="I1956" i="1"/>
  <c r="H1956" i="1"/>
  <c r="A1956" i="1"/>
  <c r="I1955" i="1"/>
  <c r="H1955" i="1"/>
  <c r="A1955" i="1"/>
  <c r="I1954" i="1"/>
  <c r="H1954" i="1"/>
  <c r="A1954" i="1"/>
  <c r="I1953" i="1"/>
  <c r="H1953" i="1"/>
  <c r="A1953" i="1"/>
  <c r="I1952" i="1"/>
  <c r="H1952" i="1"/>
  <c r="A1952" i="1"/>
  <c r="I1951" i="1"/>
  <c r="H1951" i="1"/>
  <c r="A1951" i="1"/>
  <c r="I1950" i="1"/>
  <c r="H1950" i="1"/>
  <c r="A1950" i="1"/>
  <c r="I1949" i="1"/>
  <c r="H1949" i="1"/>
  <c r="A1949" i="1"/>
  <c r="I1948" i="1"/>
  <c r="H1948" i="1"/>
  <c r="A1948" i="1"/>
  <c r="I1947" i="1"/>
  <c r="H1947" i="1"/>
  <c r="A1947" i="1"/>
  <c r="I1946" i="1"/>
  <c r="H1946" i="1"/>
  <c r="A1946" i="1"/>
  <c r="I1945" i="1"/>
  <c r="H1945" i="1"/>
  <c r="A1945" i="1"/>
  <c r="I1944" i="1"/>
  <c r="H1944" i="1"/>
  <c r="A1944" i="1"/>
  <c r="I1943" i="1"/>
  <c r="H1943" i="1"/>
  <c r="A1943" i="1"/>
  <c r="I1942" i="1"/>
  <c r="H1942" i="1"/>
  <c r="A1942" i="1"/>
  <c r="I1941" i="1"/>
  <c r="H1941" i="1"/>
  <c r="A1941" i="1"/>
  <c r="I1940" i="1"/>
  <c r="H1940" i="1"/>
  <c r="A1940" i="1"/>
  <c r="I1939" i="1"/>
  <c r="H1939" i="1"/>
  <c r="A1939" i="1"/>
  <c r="I1938" i="1"/>
  <c r="H1938" i="1"/>
  <c r="A1938" i="1"/>
  <c r="I1937" i="1"/>
  <c r="H1937" i="1"/>
  <c r="A1937" i="1"/>
  <c r="I1936" i="1"/>
  <c r="H1936" i="1"/>
  <c r="A1936" i="1"/>
  <c r="I1935" i="1"/>
  <c r="H1935" i="1"/>
  <c r="A1935" i="1"/>
  <c r="I1934" i="1"/>
  <c r="H1934" i="1"/>
  <c r="A1934" i="1"/>
  <c r="I1933" i="1"/>
  <c r="H1933" i="1"/>
  <c r="A1933" i="1"/>
  <c r="I1932" i="1"/>
  <c r="H1932" i="1"/>
  <c r="A1932" i="1"/>
  <c r="I1931" i="1"/>
  <c r="H1931" i="1"/>
  <c r="A1931" i="1"/>
  <c r="I1930" i="1"/>
  <c r="H1930" i="1"/>
  <c r="A1930" i="1"/>
  <c r="I1929" i="1"/>
  <c r="H1929" i="1"/>
  <c r="A1929" i="1"/>
  <c r="I1928" i="1"/>
  <c r="H1928" i="1"/>
  <c r="A1928" i="1"/>
  <c r="I1927" i="1"/>
  <c r="H1927" i="1"/>
  <c r="A1927" i="1"/>
  <c r="I1926" i="1"/>
  <c r="H1926" i="1"/>
  <c r="A1926" i="1"/>
  <c r="I1925" i="1"/>
  <c r="H1925" i="1"/>
  <c r="A1925" i="1"/>
  <c r="I1924" i="1"/>
  <c r="H1924" i="1"/>
  <c r="A1924" i="1"/>
  <c r="I1923" i="1"/>
  <c r="H1923" i="1"/>
  <c r="A1923" i="1"/>
  <c r="I1922" i="1"/>
  <c r="H1922" i="1"/>
  <c r="A1922" i="1"/>
  <c r="I1921" i="1"/>
  <c r="H1921" i="1"/>
  <c r="A1921" i="1"/>
  <c r="I1920" i="1"/>
  <c r="H1920" i="1"/>
  <c r="A1920" i="1"/>
  <c r="I1919" i="1"/>
  <c r="H1919" i="1"/>
  <c r="A1919" i="1"/>
  <c r="I1918" i="1"/>
  <c r="H1918" i="1"/>
  <c r="A1918" i="1"/>
  <c r="I1917" i="1"/>
  <c r="H1917" i="1"/>
  <c r="A1917" i="1"/>
  <c r="I1916" i="1"/>
  <c r="H1916" i="1"/>
  <c r="A1916" i="1"/>
  <c r="I1915" i="1"/>
  <c r="H1915" i="1"/>
  <c r="A1915" i="1"/>
  <c r="I1914" i="1"/>
  <c r="H1914" i="1"/>
  <c r="A1914" i="1"/>
  <c r="I1913" i="1"/>
  <c r="H1913" i="1"/>
  <c r="A1913" i="1"/>
  <c r="I1912" i="1"/>
  <c r="H1912" i="1"/>
  <c r="A1912" i="1"/>
  <c r="I1911" i="1"/>
  <c r="H1911" i="1"/>
  <c r="A1911" i="1"/>
  <c r="I1910" i="1"/>
  <c r="H1910" i="1"/>
  <c r="A1910" i="1"/>
  <c r="I1909" i="1"/>
  <c r="H1909" i="1"/>
  <c r="A1909" i="1"/>
  <c r="I1908" i="1"/>
  <c r="H1908" i="1"/>
  <c r="A1908" i="1"/>
  <c r="I1907" i="1"/>
  <c r="H1907" i="1"/>
  <c r="A1907" i="1"/>
  <c r="I1906" i="1"/>
  <c r="H1906" i="1"/>
  <c r="A1906" i="1"/>
  <c r="I1905" i="1"/>
  <c r="H1905" i="1"/>
  <c r="A1905" i="1"/>
  <c r="I1904" i="1"/>
  <c r="H1904" i="1"/>
  <c r="A1904" i="1"/>
  <c r="I1903" i="1"/>
  <c r="H1903" i="1"/>
  <c r="A1903" i="1"/>
  <c r="I1902" i="1"/>
  <c r="H1902" i="1"/>
  <c r="A1902" i="1"/>
  <c r="I1901" i="1"/>
  <c r="H1901" i="1"/>
  <c r="A1901" i="1"/>
  <c r="I1900" i="1"/>
  <c r="H1900" i="1"/>
  <c r="A1900" i="1"/>
  <c r="I1899" i="1"/>
  <c r="H1899" i="1"/>
  <c r="A1899" i="1"/>
  <c r="I1898" i="1"/>
  <c r="H1898" i="1"/>
  <c r="A1898" i="1"/>
  <c r="I1897" i="1"/>
  <c r="H1897" i="1"/>
  <c r="A1897" i="1"/>
  <c r="I1896" i="1"/>
  <c r="H1896" i="1"/>
  <c r="A1896" i="1"/>
  <c r="I1895" i="1"/>
  <c r="H1895" i="1"/>
  <c r="A1895" i="1"/>
  <c r="I1894" i="1"/>
  <c r="H1894" i="1"/>
  <c r="A1894" i="1"/>
  <c r="I1893" i="1"/>
  <c r="H1893" i="1"/>
  <c r="A1893" i="1"/>
  <c r="I1892" i="1"/>
  <c r="H1892" i="1"/>
  <c r="A1892" i="1"/>
  <c r="I1891" i="1"/>
  <c r="H1891" i="1"/>
  <c r="A1891" i="1"/>
  <c r="I1890" i="1"/>
  <c r="H1890" i="1"/>
  <c r="A1890" i="1"/>
  <c r="I1889" i="1"/>
  <c r="H1889" i="1"/>
  <c r="A1889" i="1"/>
  <c r="I1888" i="1"/>
  <c r="H1888" i="1"/>
  <c r="A1888" i="1"/>
  <c r="I1887" i="1"/>
  <c r="H1887" i="1"/>
  <c r="A1887" i="1"/>
  <c r="I1886" i="1"/>
  <c r="H1886" i="1"/>
  <c r="A1886" i="1"/>
  <c r="I1885" i="1"/>
  <c r="H1885" i="1"/>
  <c r="A1885" i="1"/>
  <c r="I1884" i="1"/>
  <c r="H1884" i="1"/>
  <c r="A1884" i="1"/>
  <c r="I1883" i="1"/>
  <c r="H1883" i="1"/>
  <c r="A1883" i="1"/>
  <c r="I1882" i="1"/>
  <c r="H1882" i="1"/>
  <c r="A1882" i="1"/>
  <c r="I1881" i="1"/>
  <c r="H1881" i="1"/>
  <c r="A1881" i="1"/>
  <c r="I1880" i="1"/>
  <c r="H1880" i="1"/>
  <c r="A1880" i="1"/>
  <c r="I1879" i="1"/>
  <c r="H1879" i="1"/>
  <c r="A1879" i="1"/>
  <c r="I1878" i="1"/>
  <c r="H1878" i="1"/>
  <c r="A1878" i="1"/>
  <c r="I1877" i="1"/>
  <c r="H1877" i="1"/>
  <c r="A1877" i="1"/>
  <c r="I1876" i="1"/>
  <c r="H1876" i="1"/>
  <c r="A1876" i="1"/>
  <c r="I1875" i="1"/>
  <c r="H1875" i="1"/>
  <c r="A1875" i="1"/>
  <c r="I1874" i="1"/>
  <c r="H1874" i="1"/>
  <c r="A1874" i="1"/>
  <c r="I1873" i="1"/>
  <c r="H1873" i="1"/>
  <c r="A1873" i="1"/>
  <c r="I1872" i="1"/>
  <c r="H1872" i="1"/>
  <c r="A1872" i="1"/>
  <c r="I1871" i="1"/>
  <c r="H1871" i="1"/>
  <c r="A1871" i="1"/>
  <c r="I1870" i="1"/>
  <c r="H1870" i="1"/>
  <c r="A1870" i="1"/>
  <c r="I1869" i="1"/>
  <c r="H1869" i="1"/>
  <c r="A1869" i="1"/>
  <c r="I1868" i="1"/>
  <c r="H1868" i="1"/>
  <c r="A1868" i="1"/>
  <c r="I1867" i="1"/>
  <c r="H1867" i="1"/>
  <c r="A1867" i="1"/>
  <c r="I1866" i="1"/>
  <c r="H1866" i="1"/>
  <c r="A1866" i="1"/>
  <c r="I1865" i="1"/>
  <c r="H1865" i="1"/>
  <c r="A1865" i="1"/>
  <c r="I1864" i="1"/>
  <c r="H1864" i="1"/>
  <c r="A1864" i="1"/>
  <c r="I1863" i="1"/>
  <c r="H1863" i="1"/>
  <c r="A1863" i="1"/>
  <c r="I1862" i="1"/>
  <c r="H1862" i="1"/>
  <c r="A1862" i="1"/>
  <c r="I1861" i="1"/>
  <c r="H1861" i="1"/>
  <c r="A1861" i="1"/>
  <c r="I1860" i="1"/>
  <c r="H1860" i="1"/>
  <c r="A1860" i="1"/>
  <c r="I1859" i="1"/>
  <c r="H1859" i="1"/>
  <c r="A1859" i="1"/>
  <c r="I1858" i="1"/>
  <c r="H1858" i="1"/>
  <c r="A1858" i="1"/>
  <c r="I1857" i="1"/>
  <c r="H1857" i="1"/>
  <c r="A1857" i="1"/>
  <c r="I1856" i="1"/>
  <c r="H1856" i="1"/>
  <c r="A1856" i="1"/>
  <c r="I1855" i="1"/>
  <c r="H1855" i="1"/>
  <c r="A1855" i="1"/>
  <c r="I1854" i="1"/>
  <c r="H1854" i="1"/>
  <c r="A1854" i="1"/>
  <c r="I1853" i="1"/>
  <c r="H1853" i="1"/>
  <c r="A1853" i="1"/>
  <c r="I1852" i="1"/>
  <c r="H1852" i="1"/>
  <c r="A1852" i="1"/>
  <c r="I1851" i="1"/>
  <c r="H1851" i="1"/>
  <c r="A1851" i="1"/>
  <c r="I1850" i="1"/>
  <c r="H1850" i="1"/>
  <c r="A1850" i="1"/>
  <c r="I1849" i="1"/>
  <c r="H1849" i="1"/>
  <c r="A1849" i="1"/>
  <c r="I1848" i="1"/>
  <c r="H1848" i="1"/>
  <c r="A1848" i="1"/>
  <c r="I1847" i="1"/>
  <c r="H1847" i="1"/>
  <c r="A1847" i="1"/>
  <c r="I1846" i="1"/>
  <c r="H1846" i="1"/>
  <c r="A1846" i="1"/>
  <c r="I1845" i="1"/>
  <c r="H1845" i="1"/>
  <c r="A1845" i="1"/>
  <c r="I1844" i="1"/>
  <c r="H1844" i="1"/>
  <c r="A1844" i="1"/>
  <c r="I1843" i="1"/>
  <c r="H1843" i="1"/>
  <c r="A1843" i="1"/>
  <c r="I1842" i="1"/>
  <c r="H1842" i="1"/>
  <c r="A1842" i="1"/>
  <c r="I1841" i="1"/>
  <c r="H1841" i="1"/>
  <c r="A1841" i="1"/>
  <c r="I1840" i="1"/>
  <c r="H1840" i="1"/>
  <c r="A1840" i="1"/>
  <c r="I1839" i="1"/>
  <c r="H1839" i="1"/>
  <c r="A1839" i="1"/>
  <c r="I1838" i="1"/>
  <c r="H1838" i="1"/>
  <c r="A1838" i="1"/>
  <c r="I1837" i="1"/>
  <c r="H1837" i="1"/>
  <c r="A1837" i="1"/>
  <c r="I1836" i="1"/>
  <c r="H1836" i="1"/>
  <c r="A1836" i="1"/>
  <c r="I1835" i="1"/>
  <c r="H1835" i="1"/>
  <c r="A1835" i="1"/>
  <c r="I1834" i="1"/>
  <c r="H1834" i="1"/>
  <c r="A1834" i="1"/>
  <c r="I1833" i="1"/>
  <c r="H1833" i="1"/>
  <c r="A1833" i="1"/>
  <c r="I1832" i="1"/>
  <c r="H1832" i="1"/>
  <c r="A1832" i="1"/>
  <c r="I1831" i="1"/>
  <c r="H1831" i="1"/>
  <c r="A1831" i="1"/>
  <c r="I1830" i="1"/>
  <c r="H1830" i="1"/>
  <c r="A1830" i="1"/>
  <c r="I1829" i="1"/>
  <c r="H1829" i="1"/>
  <c r="A1829" i="1"/>
  <c r="I1828" i="1"/>
  <c r="H1828" i="1"/>
  <c r="A1828" i="1"/>
  <c r="I1827" i="1"/>
  <c r="H1827" i="1"/>
  <c r="A1827" i="1"/>
  <c r="I1826" i="1"/>
  <c r="H1826" i="1"/>
  <c r="A1826" i="1"/>
  <c r="I1825" i="1"/>
  <c r="H1825" i="1"/>
  <c r="A1825" i="1"/>
  <c r="I1824" i="1"/>
  <c r="H1824" i="1"/>
  <c r="A1824" i="1"/>
  <c r="I1823" i="1"/>
  <c r="H1823" i="1"/>
  <c r="A1823" i="1"/>
  <c r="I1822" i="1"/>
  <c r="H1822" i="1"/>
  <c r="A1822" i="1"/>
  <c r="I1821" i="1"/>
  <c r="H1821" i="1"/>
  <c r="A1821" i="1"/>
  <c r="I1820" i="1"/>
  <c r="H1820" i="1"/>
  <c r="A1820" i="1"/>
  <c r="I1819" i="1"/>
  <c r="H1819" i="1"/>
  <c r="A1819" i="1"/>
  <c r="I1818" i="1"/>
  <c r="H1818" i="1"/>
  <c r="A1818" i="1"/>
  <c r="I1817" i="1"/>
  <c r="H1817" i="1"/>
  <c r="A1817" i="1"/>
  <c r="I1816" i="1"/>
  <c r="H1816" i="1"/>
  <c r="A1816" i="1"/>
  <c r="I1815" i="1"/>
  <c r="H1815" i="1"/>
  <c r="A1815" i="1"/>
  <c r="I1814" i="1"/>
  <c r="H1814" i="1"/>
  <c r="A1814" i="1"/>
  <c r="I1813" i="1"/>
  <c r="H1813" i="1"/>
  <c r="A1813" i="1"/>
  <c r="I1812" i="1"/>
  <c r="H1812" i="1"/>
  <c r="A1812" i="1"/>
  <c r="I1811" i="1"/>
  <c r="H1811" i="1"/>
  <c r="A1811" i="1"/>
  <c r="I1810" i="1"/>
  <c r="H1810" i="1"/>
  <c r="A1810" i="1"/>
  <c r="I1809" i="1"/>
  <c r="H1809" i="1"/>
  <c r="A1809" i="1"/>
  <c r="I1808" i="1"/>
  <c r="H1808" i="1"/>
  <c r="A1808" i="1"/>
  <c r="I1807" i="1"/>
  <c r="H1807" i="1"/>
  <c r="A1807" i="1"/>
  <c r="I1806" i="1"/>
  <c r="H1806" i="1"/>
  <c r="A1806" i="1"/>
  <c r="I1805" i="1"/>
  <c r="H1805" i="1"/>
  <c r="A1805" i="1"/>
  <c r="I1804" i="1"/>
  <c r="H1804" i="1"/>
  <c r="A1804" i="1"/>
  <c r="I1803" i="1"/>
  <c r="H1803" i="1"/>
  <c r="A1803" i="1"/>
  <c r="I1802" i="1"/>
  <c r="H1802" i="1"/>
  <c r="A1802" i="1"/>
  <c r="I1801" i="1"/>
  <c r="H1801" i="1"/>
  <c r="A1801" i="1"/>
  <c r="I1800" i="1"/>
  <c r="H1800" i="1"/>
  <c r="A1800" i="1"/>
  <c r="I1799" i="1"/>
  <c r="H1799" i="1"/>
  <c r="A1799" i="1"/>
  <c r="I1798" i="1"/>
  <c r="H1798" i="1"/>
  <c r="A1798" i="1"/>
  <c r="I1797" i="1"/>
  <c r="H1797" i="1"/>
  <c r="A1797" i="1"/>
  <c r="I1796" i="1"/>
  <c r="H1796" i="1"/>
  <c r="A1796" i="1"/>
  <c r="I1795" i="1"/>
  <c r="H1795" i="1"/>
  <c r="A1795" i="1"/>
  <c r="I1794" i="1"/>
  <c r="H1794" i="1"/>
  <c r="A1794" i="1"/>
  <c r="I1793" i="1"/>
  <c r="H1793" i="1"/>
  <c r="A1793" i="1"/>
  <c r="I1792" i="1"/>
  <c r="H1792" i="1"/>
  <c r="A1792" i="1"/>
  <c r="I1791" i="1"/>
  <c r="H1791" i="1"/>
  <c r="A1791" i="1"/>
  <c r="I1790" i="1"/>
  <c r="H1790" i="1"/>
  <c r="A1790" i="1"/>
  <c r="I1789" i="1"/>
  <c r="H1789" i="1"/>
  <c r="A1789" i="1"/>
  <c r="I1788" i="1"/>
  <c r="H1788" i="1"/>
  <c r="A1788" i="1"/>
  <c r="I1787" i="1"/>
  <c r="H1787" i="1"/>
  <c r="A1787" i="1"/>
  <c r="I1786" i="1"/>
  <c r="H1786" i="1"/>
  <c r="A1786" i="1"/>
  <c r="I1785" i="1"/>
  <c r="H1785" i="1"/>
  <c r="A1785" i="1"/>
  <c r="I1784" i="1"/>
  <c r="H1784" i="1"/>
  <c r="A1784" i="1"/>
  <c r="I1783" i="1"/>
  <c r="H1783" i="1"/>
  <c r="A1783" i="1"/>
  <c r="I1782" i="1"/>
  <c r="H1782" i="1"/>
  <c r="A1782" i="1"/>
  <c r="I1781" i="1"/>
  <c r="H1781" i="1"/>
  <c r="A1781" i="1"/>
  <c r="I1780" i="1"/>
  <c r="H1780" i="1"/>
  <c r="A1780" i="1"/>
  <c r="I1779" i="1"/>
  <c r="H1779" i="1"/>
  <c r="A1779" i="1"/>
  <c r="I1778" i="1"/>
  <c r="H1778" i="1"/>
  <c r="A1778" i="1"/>
  <c r="I1777" i="1"/>
  <c r="H1777" i="1"/>
  <c r="A1777" i="1"/>
  <c r="I1776" i="1"/>
  <c r="H1776" i="1"/>
  <c r="A1776" i="1"/>
  <c r="I1775" i="1"/>
  <c r="H1775" i="1"/>
  <c r="A1775" i="1"/>
  <c r="I1774" i="1"/>
  <c r="H1774" i="1"/>
  <c r="A1774" i="1"/>
  <c r="I1773" i="1"/>
  <c r="H1773" i="1"/>
  <c r="A1773" i="1"/>
  <c r="I1772" i="1"/>
  <c r="H1772" i="1"/>
  <c r="A1772" i="1"/>
  <c r="I1771" i="1"/>
  <c r="H1771" i="1"/>
  <c r="A1771" i="1"/>
  <c r="I1770" i="1"/>
  <c r="H1770" i="1"/>
  <c r="A1770" i="1"/>
  <c r="I1769" i="1"/>
  <c r="H1769" i="1"/>
  <c r="A1769" i="1"/>
  <c r="I1768" i="1"/>
  <c r="H1768" i="1"/>
  <c r="A1768" i="1"/>
  <c r="I1767" i="1"/>
  <c r="H1767" i="1"/>
  <c r="A1767" i="1"/>
  <c r="I1766" i="1"/>
  <c r="H1766" i="1"/>
  <c r="A1766" i="1"/>
  <c r="I1765" i="1"/>
  <c r="H1765" i="1"/>
  <c r="A1765" i="1"/>
  <c r="I1764" i="1"/>
  <c r="H1764" i="1"/>
  <c r="A1764" i="1"/>
  <c r="I1763" i="1"/>
  <c r="H1763" i="1"/>
  <c r="A1763" i="1"/>
  <c r="I1762" i="1"/>
  <c r="H1762" i="1"/>
  <c r="A1762" i="1"/>
  <c r="I1761" i="1"/>
  <c r="H1761" i="1"/>
  <c r="A1761" i="1"/>
  <c r="I1760" i="1"/>
  <c r="H1760" i="1"/>
  <c r="A1760" i="1"/>
  <c r="I1759" i="1"/>
  <c r="H1759" i="1"/>
  <c r="A1759" i="1"/>
  <c r="I1758" i="1"/>
  <c r="H1758" i="1"/>
  <c r="A1758" i="1"/>
  <c r="I1757" i="1"/>
  <c r="H1757" i="1"/>
  <c r="A1757" i="1"/>
  <c r="I1756" i="1"/>
  <c r="H1756" i="1"/>
  <c r="A1756" i="1"/>
  <c r="I1755" i="1"/>
  <c r="H1755" i="1"/>
  <c r="A1755" i="1"/>
  <c r="I1754" i="1"/>
  <c r="H1754" i="1"/>
  <c r="A1754" i="1"/>
  <c r="I1753" i="1"/>
  <c r="H1753" i="1"/>
  <c r="A1753" i="1"/>
  <c r="I1752" i="1"/>
  <c r="H1752" i="1"/>
  <c r="A1752" i="1"/>
  <c r="I1751" i="1"/>
  <c r="H1751" i="1"/>
  <c r="A1751" i="1"/>
  <c r="I1750" i="1"/>
  <c r="H1750" i="1"/>
  <c r="A1750" i="1"/>
  <c r="I1749" i="1"/>
  <c r="H1749" i="1"/>
  <c r="A1749" i="1"/>
  <c r="I1748" i="1"/>
  <c r="H1748" i="1"/>
  <c r="A1748" i="1"/>
  <c r="I1747" i="1"/>
  <c r="H1747" i="1"/>
  <c r="A1747" i="1"/>
  <c r="I1746" i="1"/>
  <c r="H1746" i="1"/>
  <c r="A1746" i="1"/>
  <c r="I1745" i="1"/>
  <c r="H1745" i="1"/>
  <c r="A1745" i="1"/>
  <c r="I1744" i="1"/>
  <c r="H1744" i="1"/>
  <c r="A1744" i="1"/>
  <c r="I1743" i="1"/>
  <c r="H1743" i="1"/>
  <c r="A1743" i="1"/>
  <c r="I1742" i="1"/>
  <c r="H1742" i="1"/>
  <c r="A1742" i="1"/>
  <c r="I1741" i="1"/>
  <c r="H1741" i="1"/>
  <c r="A1741" i="1"/>
  <c r="I1740" i="1"/>
  <c r="H1740" i="1"/>
  <c r="A1740" i="1"/>
  <c r="I1739" i="1"/>
  <c r="H1739" i="1"/>
  <c r="A1739" i="1"/>
  <c r="I1738" i="1"/>
  <c r="H1738" i="1"/>
  <c r="A1738" i="1"/>
  <c r="I1737" i="1"/>
  <c r="H1737" i="1"/>
  <c r="A1737" i="1"/>
  <c r="I1736" i="1"/>
  <c r="H1736" i="1"/>
  <c r="A1736" i="1"/>
  <c r="I1735" i="1"/>
  <c r="H1735" i="1"/>
  <c r="A1735" i="1"/>
  <c r="I1734" i="1"/>
  <c r="H1734" i="1"/>
  <c r="A1734" i="1"/>
  <c r="I1733" i="1"/>
  <c r="H1733" i="1"/>
  <c r="A1733" i="1"/>
  <c r="I1732" i="1"/>
  <c r="H1732" i="1"/>
  <c r="A1732" i="1"/>
  <c r="I1731" i="1"/>
  <c r="H1731" i="1"/>
  <c r="A1731" i="1"/>
  <c r="I1730" i="1"/>
  <c r="H1730" i="1"/>
  <c r="A1730" i="1"/>
  <c r="I1729" i="1"/>
  <c r="H1729" i="1"/>
  <c r="A1729" i="1"/>
  <c r="I1728" i="1"/>
  <c r="H1728" i="1"/>
  <c r="A1728" i="1"/>
  <c r="I1727" i="1"/>
  <c r="H1727" i="1"/>
  <c r="A1727" i="1"/>
  <c r="I1726" i="1"/>
  <c r="H1726" i="1"/>
  <c r="A1726" i="1"/>
  <c r="I1725" i="1"/>
  <c r="H1725" i="1"/>
  <c r="A1725" i="1"/>
  <c r="I1724" i="1"/>
  <c r="H1724" i="1"/>
  <c r="A1724" i="1"/>
  <c r="I1723" i="1"/>
  <c r="H1723" i="1"/>
  <c r="A1723" i="1"/>
  <c r="I1722" i="1"/>
  <c r="H1722" i="1"/>
  <c r="A1722" i="1"/>
  <c r="I1721" i="1"/>
  <c r="H1721" i="1"/>
  <c r="A1721" i="1"/>
  <c r="I1720" i="1"/>
  <c r="H1720" i="1"/>
  <c r="A1720" i="1"/>
  <c r="I1719" i="1"/>
  <c r="H1719" i="1"/>
  <c r="A1719" i="1"/>
  <c r="I1718" i="1"/>
  <c r="H1718" i="1"/>
  <c r="A1718" i="1"/>
  <c r="I1717" i="1"/>
  <c r="H1717" i="1"/>
  <c r="A1717" i="1"/>
  <c r="I1716" i="1"/>
  <c r="H1716" i="1"/>
  <c r="A1716" i="1"/>
  <c r="I1715" i="1"/>
  <c r="H1715" i="1"/>
  <c r="A1715" i="1"/>
  <c r="I1714" i="1"/>
  <c r="H1714" i="1"/>
  <c r="A1714" i="1"/>
  <c r="I1713" i="1"/>
  <c r="H1713" i="1"/>
  <c r="A1713" i="1"/>
  <c r="I1712" i="1"/>
  <c r="H1712" i="1"/>
  <c r="A1712" i="1"/>
  <c r="I1711" i="1"/>
  <c r="H1711" i="1"/>
  <c r="A1711" i="1"/>
  <c r="I1710" i="1"/>
  <c r="H1710" i="1"/>
  <c r="A1710" i="1"/>
  <c r="I1709" i="1"/>
  <c r="H1709" i="1"/>
  <c r="A1709" i="1"/>
  <c r="I1708" i="1"/>
  <c r="H1708" i="1"/>
  <c r="A1708" i="1"/>
  <c r="I1707" i="1"/>
  <c r="H1707" i="1"/>
  <c r="A1707" i="1"/>
  <c r="I1706" i="1"/>
  <c r="H1706" i="1"/>
  <c r="A1706" i="1"/>
  <c r="I1705" i="1"/>
  <c r="H1705" i="1"/>
  <c r="A1705" i="1"/>
  <c r="I1704" i="1"/>
  <c r="H1704" i="1"/>
  <c r="A1704" i="1"/>
  <c r="I1703" i="1"/>
  <c r="H1703" i="1"/>
  <c r="A1703" i="1"/>
  <c r="I1702" i="1"/>
  <c r="H1702" i="1"/>
  <c r="A1702" i="1"/>
  <c r="I1701" i="1"/>
  <c r="H1701" i="1"/>
  <c r="A1701" i="1"/>
  <c r="I1700" i="1"/>
  <c r="H1700" i="1"/>
  <c r="A1700" i="1"/>
  <c r="I1699" i="1"/>
  <c r="H1699" i="1"/>
  <c r="A1699" i="1"/>
  <c r="I1698" i="1"/>
  <c r="H1698" i="1"/>
  <c r="A1698" i="1"/>
  <c r="I1697" i="1"/>
  <c r="H1697" i="1"/>
  <c r="A1697" i="1"/>
  <c r="I1696" i="1"/>
  <c r="H1696" i="1"/>
  <c r="A1696" i="1"/>
  <c r="I1695" i="1"/>
  <c r="H1695" i="1"/>
  <c r="A1695" i="1"/>
  <c r="I1694" i="1"/>
  <c r="H1694" i="1"/>
  <c r="A1694" i="1"/>
  <c r="I1693" i="1"/>
  <c r="H1693" i="1"/>
  <c r="A1693" i="1"/>
  <c r="I1692" i="1"/>
  <c r="H1692" i="1"/>
  <c r="A1692" i="1"/>
  <c r="I1691" i="1"/>
  <c r="H1691" i="1"/>
  <c r="A1691" i="1"/>
  <c r="I1690" i="1"/>
  <c r="H1690" i="1"/>
  <c r="A1690" i="1"/>
  <c r="I1689" i="1"/>
  <c r="H1689" i="1"/>
  <c r="A1689" i="1"/>
  <c r="I1688" i="1"/>
  <c r="H1688" i="1"/>
  <c r="A1688" i="1"/>
  <c r="I1687" i="1"/>
  <c r="H1687" i="1"/>
  <c r="A1687" i="1"/>
  <c r="I1686" i="1"/>
  <c r="H1686" i="1"/>
  <c r="A1686" i="1"/>
  <c r="I1685" i="1"/>
  <c r="H1685" i="1"/>
  <c r="A1685" i="1"/>
  <c r="I1684" i="1"/>
  <c r="H1684" i="1"/>
  <c r="A1684" i="1"/>
  <c r="I1683" i="1"/>
  <c r="H1683" i="1"/>
  <c r="A1683" i="1"/>
  <c r="I1682" i="1"/>
  <c r="H1682" i="1"/>
  <c r="A1682" i="1"/>
  <c r="I1681" i="1"/>
  <c r="H1681" i="1"/>
  <c r="A1681" i="1"/>
  <c r="I1680" i="1"/>
  <c r="H1680" i="1"/>
  <c r="A1680" i="1"/>
  <c r="I1679" i="1"/>
  <c r="H1679" i="1"/>
  <c r="A1679" i="1"/>
  <c r="I1678" i="1"/>
  <c r="H1678" i="1"/>
  <c r="A1678" i="1"/>
  <c r="I1677" i="1"/>
  <c r="H1677" i="1"/>
  <c r="A1677" i="1"/>
  <c r="I1676" i="1"/>
  <c r="H1676" i="1"/>
  <c r="A1676" i="1"/>
  <c r="I1675" i="1"/>
  <c r="H1675" i="1"/>
  <c r="A1675" i="1"/>
  <c r="I1674" i="1"/>
  <c r="H1674" i="1"/>
  <c r="A1674" i="1"/>
  <c r="I1673" i="1"/>
  <c r="H1673" i="1"/>
  <c r="A1673" i="1"/>
  <c r="I1672" i="1"/>
  <c r="H1672" i="1"/>
  <c r="A1672" i="1"/>
  <c r="I1671" i="1"/>
  <c r="H1671" i="1"/>
  <c r="A1671" i="1"/>
  <c r="I1670" i="1"/>
  <c r="H1670" i="1"/>
  <c r="A1670" i="1"/>
  <c r="I1669" i="1"/>
  <c r="H1669" i="1"/>
  <c r="A1669" i="1"/>
  <c r="I1668" i="1"/>
  <c r="H1668" i="1"/>
  <c r="A1668" i="1"/>
  <c r="I1667" i="1"/>
  <c r="H1667" i="1"/>
  <c r="A1667" i="1"/>
  <c r="I1666" i="1"/>
  <c r="H1666" i="1"/>
  <c r="A1666" i="1"/>
  <c r="I1665" i="1"/>
  <c r="H1665" i="1"/>
  <c r="A1665" i="1"/>
  <c r="I1664" i="1"/>
  <c r="H1664" i="1"/>
  <c r="A1664" i="1"/>
  <c r="I1663" i="1"/>
  <c r="H1663" i="1"/>
  <c r="A1663" i="1"/>
  <c r="I1662" i="1"/>
  <c r="H1662" i="1"/>
  <c r="A1662" i="1"/>
  <c r="I1661" i="1"/>
  <c r="H1661" i="1"/>
  <c r="A1661" i="1"/>
  <c r="I1660" i="1"/>
  <c r="H1660" i="1"/>
  <c r="A1660" i="1"/>
  <c r="I1659" i="1"/>
  <c r="H1659" i="1"/>
  <c r="A1659" i="1"/>
  <c r="I1658" i="1"/>
  <c r="H1658" i="1"/>
  <c r="A1658" i="1"/>
  <c r="I1657" i="1"/>
  <c r="H1657" i="1"/>
  <c r="A1657" i="1"/>
  <c r="I1656" i="1"/>
  <c r="H1656" i="1"/>
  <c r="A1656" i="1"/>
  <c r="I1655" i="1"/>
  <c r="H1655" i="1"/>
  <c r="A1655" i="1"/>
  <c r="I1654" i="1"/>
  <c r="H1654" i="1"/>
  <c r="A1654" i="1"/>
  <c r="I1653" i="1"/>
  <c r="H1653" i="1"/>
  <c r="A1653" i="1"/>
  <c r="I1652" i="1"/>
  <c r="H1652" i="1"/>
  <c r="A1652" i="1"/>
  <c r="I1651" i="1"/>
  <c r="H1651" i="1"/>
  <c r="A1651" i="1"/>
  <c r="I1650" i="1"/>
  <c r="H1650" i="1"/>
  <c r="A1650" i="1"/>
  <c r="I1649" i="1"/>
  <c r="H1649" i="1"/>
  <c r="A1649" i="1"/>
  <c r="I1648" i="1"/>
  <c r="H1648" i="1"/>
  <c r="A1648" i="1"/>
  <c r="I1647" i="1"/>
  <c r="H1647" i="1"/>
  <c r="A1647" i="1"/>
  <c r="I1646" i="1"/>
  <c r="H1646" i="1"/>
  <c r="A1646" i="1"/>
  <c r="I1645" i="1"/>
  <c r="H1645" i="1"/>
  <c r="A1645" i="1"/>
  <c r="I1644" i="1"/>
  <c r="H1644" i="1"/>
  <c r="A1644" i="1"/>
  <c r="I1643" i="1"/>
  <c r="H1643" i="1"/>
  <c r="A1643" i="1"/>
  <c r="I1642" i="1"/>
  <c r="H1642" i="1"/>
  <c r="A1642" i="1"/>
  <c r="I1641" i="1"/>
  <c r="H1641" i="1"/>
  <c r="A1641" i="1"/>
  <c r="I1640" i="1"/>
  <c r="H1640" i="1"/>
  <c r="A1640" i="1"/>
  <c r="I1639" i="1"/>
  <c r="H1639" i="1"/>
  <c r="A1639" i="1"/>
  <c r="I1638" i="1"/>
  <c r="H1638" i="1"/>
  <c r="A1638" i="1"/>
  <c r="I1637" i="1"/>
  <c r="H1637" i="1"/>
  <c r="A1637" i="1"/>
  <c r="I1636" i="1"/>
  <c r="H1636" i="1"/>
  <c r="A1636" i="1"/>
  <c r="I1635" i="1"/>
  <c r="H1635" i="1"/>
  <c r="A1635" i="1"/>
  <c r="I1634" i="1"/>
  <c r="H1634" i="1"/>
  <c r="A1634" i="1"/>
  <c r="I1633" i="1"/>
  <c r="H1633" i="1"/>
  <c r="A1633" i="1"/>
  <c r="I1632" i="1"/>
  <c r="H1632" i="1"/>
  <c r="A1632" i="1"/>
  <c r="I1631" i="1"/>
  <c r="H1631" i="1"/>
  <c r="A1631" i="1"/>
  <c r="I1630" i="1"/>
  <c r="H1630" i="1"/>
  <c r="A1630" i="1"/>
  <c r="I1629" i="1"/>
  <c r="H1629" i="1"/>
  <c r="A1629" i="1"/>
  <c r="I1628" i="1"/>
  <c r="H1628" i="1"/>
  <c r="A1628" i="1"/>
  <c r="I1627" i="1"/>
  <c r="H1627" i="1"/>
  <c r="A1627" i="1"/>
  <c r="I1626" i="1"/>
  <c r="H1626" i="1"/>
  <c r="A1626" i="1"/>
  <c r="I1625" i="1"/>
  <c r="H1625" i="1"/>
  <c r="A1625" i="1"/>
  <c r="I1624" i="1"/>
  <c r="H1624" i="1"/>
  <c r="A1624" i="1"/>
  <c r="I1623" i="1"/>
  <c r="H1623" i="1"/>
  <c r="A1623" i="1"/>
  <c r="I1622" i="1"/>
  <c r="H1622" i="1"/>
  <c r="A1622" i="1"/>
  <c r="I1621" i="1"/>
  <c r="H1621" i="1"/>
  <c r="A1621" i="1"/>
  <c r="I1620" i="1"/>
  <c r="H1620" i="1"/>
  <c r="A1620" i="1"/>
  <c r="I1619" i="1"/>
  <c r="H1619" i="1"/>
  <c r="A1619" i="1"/>
  <c r="I1618" i="1"/>
  <c r="H1618" i="1"/>
  <c r="A1618" i="1"/>
  <c r="I1617" i="1"/>
  <c r="H1617" i="1"/>
  <c r="A1617" i="1"/>
  <c r="I1616" i="1"/>
  <c r="H1616" i="1"/>
  <c r="A1616" i="1"/>
  <c r="I1615" i="1"/>
  <c r="H1615" i="1"/>
  <c r="A1615" i="1"/>
  <c r="I1614" i="1"/>
  <c r="H1614" i="1"/>
  <c r="A1614" i="1"/>
  <c r="I1613" i="1"/>
  <c r="H1613" i="1"/>
  <c r="A1613" i="1"/>
  <c r="I1612" i="1"/>
  <c r="H1612" i="1"/>
  <c r="A1612" i="1"/>
  <c r="I1611" i="1"/>
  <c r="H1611" i="1"/>
  <c r="A1611" i="1"/>
  <c r="I1610" i="1"/>
  <c r="H1610" i="1"/>
  <c r="A1610" i="1"/>
  <c r="I1609" i="1"/>
  <c r="H1609" i="1"/>
  <c r="A1609" i="1"/>
  <c r="I1608" i="1"/>
  <c r="H1608" i="1"/>
  <c r="A1608" i="1"/>
  <c r="I1607" i="1"/>
  <c r="H1607" i="1"/>
  <c r="A1607" i="1"/>
  <c r="I1606" i="1"/>
  <c r="H1606" i="1"/>
  <c r="A1606" i="1"/>
  <c r="I1605" i="1"/>
  <c r="H1605" i="1"/>
  <c r="A1605" i="1"/>
  <c r="I1604" i="1"/>
  <c r="H1604" i="1"/>
  <c r="A1604" i="1"/>
  <c r="I1603" i="1"/>
  <c r="H1603" i="1"/>
  <c r="A1603" i="1"/>
  <c r="I1602" i="1"/>
  <c r="H1602" i="1"/>
  <c r="A1602" i="1"/>
  <c r="I1601" i="1"/>
  <c r="H1601" i="1"/>
  <c r="A1601" i="1"/>
  <c r="I1600" i="1"/>
  <c r="H1600" i="1"/>
  <c r="A1600" i="1"/>
  <c r="I1599" i="1"/>
  <c r="H1599" i="1"/>
  <c r="A1599" i="1"/>
  <c r="I1598" i="1"/>
  <c r="H1598" i="1"/>
  <c r="A1598" i="1"/>
  <c r="I1597" i="1"/>
  <c r="H1597" i="1"/>
  <c r="A1597" i="1"/>
  <c r="I1596" i="1"/>
  <c r="H1596" i="1"/>
  <c r="A1596" i="1"/>
  <c r="I1595" i="1"/>
  <c r="H1595" i="1"/>
  <c r="A1595" i="1"/>
  <c r="I1594" i="1"/>
  <c r="H1594" i="1"/>
  <c r="A1594" i="1"/>
  <c r="I1593" i="1"/>
  <c r="H1593" i="1"/>
  <c r="A1593" i="1"/>
  <c r="I1592" i="1"/>
  <c r="H1592" i="1"/>
  <c r="A1592" i="1"/>
  <c r="I1591" i="1"/>
  <c r="H1591" i="1"/>
  <c r="A1591" i="1"/>
  <c r="I1590" i="1"/>
  <c r="H1590" i="1"/>
  <c r="A1590" i="1"/>
  <c r="I1589" i="1"/>
  <c r="H1589" i="1"/>
  <c r="A1589" i="1"/>
  <c r="I1588" i="1"/>
  <c r="H1588" i="1"/>
  <c r="A1588" i="1"/>
  <c r="I1587" i="1"/>
  <c r="H1587" i="1"/>
  <c r="A1587" i="1"/>
  <c r="I1586" i="1"/>
  <c r="H1586" i="1"/>
  <c r="A1586" i="1"/>
  <c r="I1585" i="1"/>
  <c r="H1585" i="1"/>
  <c r="A1585" i="1"/>
  <c r="I1584" i="1"/>
  <c r="H1584" i="1"/>
  <c r="A1584" i="1"/>
  <c r="I1583" i="1"/>
  <c r="H1583" i="1"/>
  <c r="A1583" i="1"/>
  <c r="I1582" i="1"/>
  <c r="H1582" i="1"/>
  <c r="A1582" i="1"/>
  <c r="I1581" i="1"/>
  <c r="H1581" i="1"/>
  <c r="A1581" i="1"/>
  <c r="I1580" i="1"/>
  <c r="H1580" i="1"/>
  <c r="A1580" i="1"/>
  <c r="I1579" i="1"/>
  <c r="H1579" i="1"/>
  <c r="A1579" i="1"/>
  <c r="I1578" i="1"/>
  <c r="H1578" i="1"/>
  <c r="A1578" i="1"/>
  <c r="I1577" i="1"/>
  <c r="H1577" i="1"/>
  <c r="A1577" i="1"/>
  <c r="I1576" i="1"/>
  <c r="H1576" i="1"/>
  <c r="A1576" i="1"/>
  <c r="I1575" i="1"/>
  <c r="H1575" i="1"/>
  <c r="A1575" i="1"/>
  <c r="I1574" i="1"/>
  <c r="H1574" i="1"/>
  <c r="A1574" i="1"/>
  <c r="I1573" i="1"/>
  <c r="H1573" i="1"/>
  <c r="A1573" i="1"/>
  <c r="I1572" i="1"/>
  <c r="H1572" i="1"/>
  <c r="A1572" i="1"/>
  <c r="I1571" i="1"/>
  <c r="H1571" i="1"/>
  <c r="A1571" i="1"/>
  <c r="I1570" i="1"/>
  <c r="H1570" i="1"/>
  <c r="A1570" i="1"/>
  <c r="I1569" i="1"/>
  <c r="H1569" i="1"/>
  <c r="A1569" i="1"/>
  <c r="I1568" i="1"/>
  <c r="H1568" i="1"/>
  <c r="A1568" i="1"/>
  <c r="I1567" i="1"/>
  <c r="H1567" i="1"/>
  <c r="A1567" i="1"/>
  <c r="I1566" i="1"/>
  <c r="H1566" i="1"/>
  <c r="A1566" i="1"/>
  <c r="I1565" i="1"/>
  <c r="H1565" i="1"/>
  <c r="A1565" i="1"/>
  <c r="I1564" i="1"/>
  <c r="H1564" i="1"/>
  <c r="A1564" i="1"/>
  <c r="I1563" i="1"/>
  <c r="H1563" i="1"/>
  <c r="A1563" i="1"/>
  <c r="I1562" i="1"/>
  <c r="H1562" i="1"/>
  <c r="A1562" i="1"/>
  <c r="I1561" i="1"/>
  <c r="H1561" i="1"/>
  <c r="A1561" i="1"/>
  <c r="I1560" i="1"/>
  <c r="H1560" i="1"/>
  <c r="A1560" i="1"/>
  <c r="I1559" i="1"/>
  <c r="H1559" i="1"/>
  <c r="A1559" i="1"/>
  <c r="I1558" i="1"/>
  <c r="H1558" i="1"/>
  <c r="A1558" i="1"/>
  <c r="I1557" i="1"/>
  <c r="H1557" i="1"/>
  <c r="A1557" i="1"/>
  <c r="I1556" i="1"/>
  <c r="H1556" i="1"/>
  <c r="A1556" i="1"/>
  <c r="I1555" i="1"/>
  <c r="H1555" i="1"/>
  <c r="A1555" i="1"/>
  <c r="I1554" i="1"/>
  <c r="H1554" i="1"/>
  <c r="A1554" i="1"/>
  <c r="I1553" i="1"/>
  <c r="H1553" i="1"/>
  <c r="A1553" i="1"/>
  <c r="I1552" i="1"/>
  <c r="H1552" i="1"/>
  <c r="A1552" i="1"/>
  <c r="I1551" i="1"/>
  <c r="H1551" i="1"/>
  <c r="A1551" i="1"/>
  <c r="I1550" i="1"/>
  <c r="H1550" i="1"/>
  <c r="A1550" i="1"/>
  <c r="I1549" i="1"/>
  <c r="H1549" i="1"/>
  <c r="A1549" i="1"/>
  <c r="I1548" i="1"/>
  <c r="H1548" i="1"/>
  <c r="A1548" i="1"/>
  <c r="I1547" i="1"/>
  <c r="H1547" i="1"/>
  <c r="A1547" i="1"/>
  <c r="I1546" i="1"/>
  <c r="H1546" i="1"/>
  <c r="A1546" i="1"/>
  <c r="I1545" i="1"/>
  <c r="H1545" i="1"/>
  <c r="A1545" i="1"/>
  <c r="I1544" i="1"/>
  <c r="H1544" i="1"/>
  <c r="A1544" i="1"/>
  <c r="I1543" i="1"/>
  <c r="H1543" i="1"/>
  <c r="A1543" i="1"/>
  <c r="I1542" i="1"/>
  <c r="H1542" i="1"/>
  <c r="A1542" i="1"/>
  <c r="I1541" i="1"/>
  <c r="H1541" i="1"/>
  <c r="A1541" i="1"/>
  <c r="I1540" i="1"/>
  <c r="H1540" i="1"/>
  <c r="A1540" i="1"/>
  <c r="I1539" i="1"/>
  <c r="H1539" i="1"/>
  <c r="A1539" i="1"/>
  <c r="I1538" i="1"/>
  <c r="H1538" i="1"/>
  <c r="A1538" i="1"/>
  <c r="I1537" i="1"/>
  <c r="H1537" i="1"/>
  <c r="A1537" i="1"/>
  <c r="I1536" i="1"/>
  <c r="H1536" i="1"/>
  <c r="A1536" i="1"/>
  <c r="I1535" i="1"/>
  <c r="H1535" i="1"/>
  <c r="A1535" i="1"/>
  <c r="I1534" i="1"/>
  <c r="H1534" i="1"/>
  <c r="A1534" i="1"/>
  <c r="I1533" i="1"/>
  <c r="H1533" i="1"/>
  <c r="A1533" i="1"/>
  <c r="I1532" i="1"/>
  <c r="H1532" i="1"/>
  <c r="A1532" i="1"/>
  <c r="I1531" i="1"/>
  <c r="H1531" i="1"/>
  <c r="A1531" i="1"/>
  <c r="I1530" i="1"/>
  <c r="H1530" i="1"/>
  <c r="A1530" i="1"/>
  <c r="I1529" i="1"/>
  <c r="H1529" i="1"/>
  <c r="A1529" i="1"/>
  <c r="I1528" i="1"/>
  <c r="H1528" i="1"/>
  <c r="A1528" i="1"/>
  <c r="I1527" i="1"/>
  <c r="H1527" i="1"/>
  <c r="A1527" i="1"/>
  <c r="I1526" i="1"/>
  <c r="H1526" i="1"/>
  <c r="A1526" i="1"/>
  <c r="I1525" i="1"/>
  <c r="H1525" i="1"/>
  <c r="A1525" i="1"/>
  <c r="I1524" i="1"/>
  <c r="H1524" i="1"/>
  <c r="A1524" i="1"/>
  <c r="I1523" i="1"/>
  <c r="H1523" i="1"/>
  <c r="A1523" i="1"/>
  <c r="I1522" i="1"/>
  <c r="H1522" i="1"/>
  <c r="A1522" i="1"/>
  <c r="I1521" i="1"/>
  <c r="H1521" i="1"/>
  <c r="A1521" i="1"/>
  <c r="I1520" i="1"/>
  <c r="H1520" i="1"/>
  <c r="A1520" i="1"/>
  <c r="I1519" i="1"/>
  <c r="H1519" i="1"/>
  <c r="A1519" i="1"/>
  <c r="I1518" i="1"/>
  <c r="H1518" i="1"/>
  <c r="A1518" i="1"/>
  <c r="I1517" i="1"/>
  <c r="H1517" i="1"/>
  <c r="A1517" i="1"/>
  <c r="I1516" i="1"/>
  <c r="H1516" i="1"/>
  <c r="A1516" i="1"/>
  <c r="I1515" i="1"/>
  <c r="H1515" i="1"/>
  <c r="A1515" i="1"/>
  <c r="I1514" i="1"/>
  <c r="H1514" i="1"/>
  <c r="A1514" i="1"/>
  <c r="I1513" i="1"/>
  <c r="H1513" i="1"/>
  <c r="A1513" i="1"/>
  <c r="I1512" i="1"/>
  <c r="H1512" i="1"/>
  <c r="A1512" i="1"/>
  <c r="I1511" i="1"/>
  <c r="H1511" i="1"/>
  <c r="A1511" i="1"/>
  <c r="I1510" i="1"/>
  <c r="H1510" i="1"/>
  <c r="A1510" i="1"/>
  <c r="I1509" i="1"/>
  <c r="H1509" i="1"/>
  <c r="A1509" i="1"/>
  <c r="I1508" i="1"/>
  <c r="H1508" i="1"/>
  <c r="A1508" i="1"/>
  <c r="I1507" i="1"/>
  <c r="H1507" i="1"/>
  <c r="A1507" i="1"/>
  <c r="I1506" i="1"/>
  <c r="H1506" i="1"/>
  <c r="A1506" i="1"/>
  <c r="I1505" i="1"/>
  <c r="H1505" i="1"/>
  <c r="A1505" i="1"/>
  <c r="I1504" i="1"/>
  <c r="H1504" i="1"/>
  <c r="A1504" i="1"/>
  <c r="I1503" i="1"/>
  <c r="H1503" i="1"/>
  <c r="A1503" i="1"/>
  <c r="I1502" i="1"/>
  <c r="H1502" i="1"/>
  <c r="A1502" i="1"/>
  <c r="I1501" i="1"/>
  <c r="H1501" i="1"/>
  <c r="A1501" i="1"/>
  <c r="I1500" i="1"/>
  <c r="H1500" i="1"/>
  <c r="A1500" i="1"/>
  <c r="I1499" i="1"/>
  <c r="H1499" i="1"/>
  <c r="A1499" i="1"/>
  <c r="I1498" i="1"/>
  <c r="H1498" i="1"/>
  <c r="A1498" i="1"/>
  <c r="I1497" i="1"/>
  <c r="H1497" i="1"/>
  <c r="A1497" i="1"/>
  <c r="I1496" i="1"/>
  <c r="H1496" i="1"/>
  <c r="A1496" i="1"/>
  <c r="I1495" i="1"/>
  <c r="H1495" i="1"/>
  <c r="A1495" i="1"/>
  <c r="I1494" i="1"/>
  <c r="H1494" i="1"/>
  <c r="A1494" i="1"/>
  <c r="I1493" i="1"/>
  <c r="H1493" i="1"/>
  <c r="A1493" i="1"/>
  <c r="I1492" i="1"/>
  <c r="H1492" i="1"/>
  <c r="A1492" i="1"/>
  <c r="I1491" i="1"/>
  <c r="H1491" i="1"/>
  <c r="A1491" i="1"/>
  <c r="I1490" i="1"/>
  <c r="H1490" i="1"/>
  <c r="A1490" i="1"/>
  <c r="I1489" i="1"/>
  <c r="H1489" i="1"/>
  <c r="A1489" i="1"/>
  <c r="I1488" i="1"/>
  <c r="H1488" i="1"/>
  <c r="A1488" i="1"/>
  <c r="I1487" i="1"/>
  <c r="H1487" i="1"/>
  <c r="A1487" i="1"/>
  <c r="I1486" i="1"/>
  <c r="H1486" i="1"/>
  <c r="A1486" i="1"/>
  <c r="I1485" i="1"/>
  <c r="H1485" i="1"/>
  <c r="A1485" i="1"/>
  <c r="I1484" i="1"/>
  <c r="H1484" i="1"/>
  <c r="A1484" i="1"/>
  <c r="I1483" i="1"/>
  <c r="H1483" i="1"/>
  <c r="A1483" i="1"/>
  <c r="I1482" i="1"/>
  <c r="H1482" i="1"/>
  <c r="A1482" i="1"/>
  <c r="I1481" i="1"/>
  <c r="H1481" i="1"/>
  <c r="A1481" i="1"/>
  <c r="I1480" i="1"/>
  <c r="H1480" i="1"/>
  <c r="A1480" i="1"/>
  <c r="I1479" i="1"/>
  <c r="H1479" i="1"/>
  <c r="A1479" i="1"/>
  <c r="I1478" i="1"/>
  <c r="H1478" i="1"/>
  <c r="A1478" i="1"/>
  <c r="I1477" i="1"/>
  <c r="H1477" i="1"/>
  <c r="A1477" i="1"/>
  <c r="I1476" i="1"/>
  <c r="H1476" i="1"/>
  <c r="A1476" i="1"/>
  <c r="I1475" i="1"/>
  <c r="H1475" i="1"/>
  <c r="A1475" i="1"/>
  <c r="I1474" i="1"/>
  <c r="H1474" i="1"/>
  <c r="A1474" i="1"/>
  <c r="I1473" i="1"/>
  <c r="H1473" i="1"/>
  <c r="A1473" i="1"/>
  <c r="I1472" i="1"/>
  <c r="H1472" i="1"/>
  <c r="A1472" i="1"/>
  <c r="I1471" i="1"/>
  <c r="H1471" i="1"/>
  <c r="A1471" i="1"/>
  <c r="I1470" i="1"/>
  <c r="H1470" i="1"/>
  <c r="A1470" i="1"/>
  <c r="I1469" i="1"/>
  <c r="H1469" i="1"/>
  <c r="A1469" i="1"/>
  <c r="I1468" i="1"/>
  <c r="H1468" i="1"/>
  <c r="A1468" i="1"/>
  <c r="I1467" i="1"/>
  <c r="H1467" i="1"/>
  <c r="A1467" i="1"/>
  <c r="I1466" i="1"/>
  <c r="H1466" i="1"/>
  <c r="A1466" i="1"/>
  <c r="I1465" i="1"/>
  <c r="H1465" i="1"/>
  <c r="A1465" i="1"/>
  <c r="I1464" i="1"/>
  <c r="H1464" i="1"/>
  <c r="A1464" i="1"/>
  <c r="I1463" i="1"/>
  <c r="H1463" i="1"/>
  <c r="A1463" i="1"/>
  <c r="I1462" i="1"/>
  <c r="H1462" i="1"/>
  <c r="A1462" i="1"/>
  <c r="I1461" i="1"/>
  <c r="H1461" i="1"/>
  <c r="A1461" i="1"/>
  <c r="I1460" i="1"/>
  <c r="H1460" i="1"/>
  <c r="A1460" i="1"/>
  <c r="I1459" i="1"/>
  <c r="H1459" i="1"/>
  <c r="A1459" i="1"/>
  <c r="I1458" i="1"/>
  <c r="H1458" i="1"/>
  <c r="A1458" i="1"/>
  <c r="I1457" i="1"/>
  <c r="H1457" i="1"/>
  <c r="A1457" i="1"/>
  <c r="I1456" i="1"/>
  <c r="H1456" i="1"/>
  <c r="A1456" i="1"/>
  <c r="I1455" i="1"/>
  <c r="H1455" i="1"/>
  <c r="A1455" i="1"/>
  <c r="I1454" i="1"/>
  <c r="H1454" i="1"/>
  <c r="A1454" i="1"/>
  <c r="I1453" i="1"/>
  <c r="H1453" i="1"/>
  <c r="A1453" i="1"/>
  <c r="I1452" i="1"/>
  <c r="H1452" i="1"/>
  <c r="A1452" i="1"/>
  <c r="I1451" i="1"/>
  <c r="H1451" i="1"/>
  <c r="A1451" i="1"/>
  <c r="I1450" i="1"/>
  <c r="H1450" i="1"/>
  <c r="A1450" i="1"/>
  <c r="I1449" i="1"/>
  <c r="H1449" i="1"/>
  <c r="A1449" i="1"/>
  <c r="I1448" i="1"/>
  <c r="H1448" i="1"/>
  <c r="A1448" i="1"/>
  <c r="I1447" i="1"/>
  <c r="H1447" i="1"/>
  <c r="A1447" i="1"/>
  <c r="I1446" i="1"/>
  <c r="H1446" i="1"/>
  <c r="A1446" i="1"/>
  <c r="I1445" i="1"/>
  <c r="H1445" i="1"/>
  <c r="A1445" i="1"/>
  <c r="I1444" i="1"/>
  <c r="H1444" i="1"/>
  <c r="A1444" i="1"/>
  <c r="I1443" i="1"/>
  <c r="H1443" i="1"/>
  <c r="A1443" i="1"/>
  <c r="I1442" i="1"/>
  <c r="H1442" i="1"/>
  <c r="A1442" i="1"/>
  <c r="I1441" i="1"/>
  <c r="H1441" i="1"/>
  <c r="A1441" i="1"/>
  <c r="I1440" i="1"/>
  <c r="H1440" i="1"/>
  <c r="A1440" i="1"/>
  <c r="I1439" i="1"/>
  <c r="H1439" i="1"/>
  <c r="A1439" i="1"/>
  <c r="I1438" i="1"/>
  <c r="H1438" i="1"/>
  <c r="A1438" i="1"/>
  <c r="I1437" i="1"/>
  <c r="H1437" i="1"/>
  <c r="A1437" i="1"/>
  <c r="I1436" i="1"/>
  <c r="H1436" i="1"/>
  <c r="A1436" i="1"/>
  <c r="I1435" i="1"/>
  <c r="H1435" i="1"/>
  <c r="A1435" i="1"/>
  <c r="I1434" i="1"/>
  <c r="H1434" i="1"/>
  <c r="A1434" i="1"/>
  <c r="I1433" i="1"/>
  <c r="H1433" i="1"/>
  <c r="A1433" i="1"/>
  <c r="I1432" i="1"/>
  <c r="H1432" i="1"/>
  <c r="A1432" i="1"/>
  <c r="I1431" i="1"/>
  <c r="H1431" i="1"/>
  <c r="A1431" i="1"/>
  <c r="I1430" i="1"/>
  <c r="H1430" i="1"/>
  <c r="A1430" i="1"/>
  <c r="I1429" i="1"/>
  <c r="H1429" i="1"/>
  <c r="A1429" i="1"/>
  <c r="I1428" i="1"/>
  <c r="H1428" i="1"/>
  <c r="A1428" i="1"/>
  <c r="I1427" i="1"/>
  <c r="H1427" i="1"/>
  <c r="A1427" i="1"/>
  <c r="I1426" i="1"/>
  <c r="H1426" i="1"/>
  <c r="A1426" i="1"/>
  <c r="I1425" i="1"/>
  <c r="H1425" i="1"/>
  <c r="A1425" i="1"/>
  <c r="I1424" i="1"/>
  <c r="H1424" i="1"/>
  <c r="A1424" i="1"/>
  <c r="I1423" i="1"/>
  <c r="H1423" i="1"/>
  <c r="A1423" i="1"/>
  <c r="I1422" i="1"/>
  <c r="H1422" i="1"/>
  <c r="A1422" i="1"/>
  <c r="I1421" i="1"/>
  <c r="H1421" i="1"/>
  <c r="A1421" i="1"/>
  <c r="I1420" i="1"/>
  <c r="H1420" i="1"/>
  <c r="A1420" i="1"/>
  <c r="I1419" i="1"/>
  <c r="H1419" i="1"/>
  <c r="A1419" i="1"/>
  <c r="I1418" i="1"/>
  <c r="H1418" i="1"/>
  <c r="A1418" i="1"/>
  <c r="I1417" i="1"/>
  <c r="H1417" i="1"/>
  <c r="A1417" i="1"/>
  <c r="I1416" i="1"/>
  <c r="H1416" i="1"/>
  <c r="A1416" i="1"/>
  <c r="I1415" i="1"/>
  <c r="H1415" i="1"/>
  <c r="A1415" i="1"/>
  <c r="I1414" i="1"/>
  <c r="H1414" i="1"/>
  <c r="A1414" i="1"/>
  <c r="I1413" i="1"/>
  <c r="H1413" i="1"/>
  <c r="A1413" i="1"/>
  <c r="I1412" i="1"/>
  <c r="H1412" i="1"/>
  <c r="A1412" i="1"/>
  <c r="I1411" i="1"/>
  <c r="H1411" i="1"/>
  <c r="A1411" i="1"/>
  <c r="I1410" i="1"/>
  <c r="H1410" i="1"/>
  <c r="A1410" i="1"/>
  <c r="I1409" i="1"/>
  <c r="H1409" i="1"/>
  <c r="A1409" i="1"/>
  <c r="I1408" i="1"/>
  <c r="H1408" i="1"/>
  <c r="A1408" i="1"/>
  <c r="I1407" i="1"/>
  <c r="H1407" i="1"/>
  <c r="A1407" i="1"/>
  <c r="I1406" i="1"/>
  <c r="H1406" i="1"/>
  <c r="A1406" i="1"/>
  <c r="I1405" i="1"/>
  <c r="H1405" i="1"/>
  <c r="A1405" i="1"/>
  <c r="I1404" i="1"/>
  <c r="H1404" i="1"/>
  <c r="A1404" i="1"/>
  <c r="I1403" i="1"/>
  <c r="H1403" i="1"/>
  <c r="A1403" i="1"/>
  <c r="I1402" i="1"/>
  <c r="H1402" i="1"/>
  <c r="A1402" i="1"/>
  <c r="I1401" i="1"/>
  <c r="H1401" i="1"/>
  <c r="A1401" i="1"/>
  <c r="I1400" i="1"/>
  <c r="H1400" i="1"/>
  <c r="A1400" i="1"/>
  <c r="I1399" i="1"/>
  <c r="H1399" i="1"/>
  <c r="A1399" i="1"/>
  <c r="I1398" i="1"/>
  <c r="H1398" i="1"/>
  <c r="A1398" i="1"/>
  <c r="I1397" i="1"/>
  <c r="H1397" i="1"/>
  <c r="A1397" i="1"/>
  <c r="I1396" i="1"/>
  <c r="H1396" i="1"/>
  <c r="A1396" i="1"/>
  <c r="I1395" i="1"/>
  <c r="H1395" i="1"/>
  <c r="A1395" i="1"/>
  <c r="I1394" i="1"/>
  <c r="H1394" i="1"/>
  <c r="A1394" i="1"/>
  <c r="I1393" i="1"/>
  <c r="H1393" i="1"/>
  <c r="A1393" i="1"/>
  <c r="I1392" i="1"/>
  <c r="H1392" i="1"/>
  <c r="A1392" i="1"/>
  <c r="I1391" i="1"/>
  <c r="H1391" i="1"/>
  <c r="A1391" i="1"/>
  <c r="I1390" i="1"/>
  <c r="H1390" i="1"/>
  <c r="A1390" i="1"/>
  <c r="I1389" i="1"/>
  <c r="H1389" i="1"/>
  <c r="A1389" i="1"/>
  <c r="I1388" i="1"/>
  <c r="H1388" i="1"/>
  <c r="A1388" i="1"/>
  <c r="I1387" i="1"/>
  <c r="H1387" i="1"/>
  <c r="A1387" i="1"/>
  <c r="I1386" i="1"/>
  <c r="H1386" i="1"/>
  <c r="A1386" i="1"/>
  <c r="I1385" i="1"/>
  <c r="H1385" i="1"/>
  <c r="A1385" i="1"/>
  <c r="I1384" i="1"/>
  <c r="H1384" i="1"/>
  <c r="A1384" i="1"/>
  <c r="I1383" i="1"/>
  <c r="H1383" i="1"/>
  <c r="A1383" i="1"/>
  <c r="I1382" i="1"/>
  <c r="H1382" i="1"/>
  <c r="A1382" i="1"/>
  <c r="I1381" i="1"/>
  <c r="H1381" i="1"/>
  <c r="A1381" i="1"/>
  <c r="I1380" i="1"/>
  <c r="H1380" i="1"/>
  <c r="A1380" i="1"/>
  <c r="I1379" i="1"/>
  <c r="H1379" i="1"/>
  <c r="A1379" i="1"/>
  <c r="I1378" i="1"/>
  <c r="H1378" i="1"/>
  <c r="A1378" i="1"/>
  <c r="I1377" i="1"/>
  <c r="H1377" i="1"/>
  <c r="A1377" i="1"/>
  <c r="I1376" i="1"/>
  <c r="H1376" i="1"/>
  <c r="A1376" i="1"/>
  <c r="I1375" i="1"/>
  <c r="H1375" i="1"/>
  <c r="A1375" i="1"/>
  <c r="I1374" i="1"/>
  <c r="H1374" i="1"/>
  <c r="A1374" i="1"/>
  <c r="I1373" i="1"/>
  <c r="H1373" i="1"/>
  <c r="A1373" i="1"/>
  <c r="I1372" i="1"/>
  <c r="H1372" i="1"/>
  <c r="A1372" i="1"/>
  <c r="I1371" i="1"/>
  <c r="H1371" i="1"/>
  <c r="A1371" i="1"/>
  <c r="I1370" i="1"/>
  <c r="H1370" i="1"/>
  <c r="A1370" i="1"/>
  <c r="I1369" i="1"/>
  <c r="H1369" i="1"/>
  <c r="A1369" i="1"/>
  <c r="I1368" i="1"/>
  <c r="H1368" i="1"/>
  <c r="A1368" i="1"/>
  <c r="I1367" i="1"/>
  <c r="H1367" i="1"/>
  <c r="A1367" i="1"/>
  <c r="I1366" i="1"/>
  <c r="H1366" i="1"/>
  <c r="A1366" i="1"/>
  <c r="I1365" i="1"/>
  <c r="H1365" i="1"/>
  <c r="A1365" i="1"/>
  <c r="I1364" i="1"/>
  <c r="H1364" i="1"/>
  <c r="A1364" i="1"/>
  <c r="I1363" i="1"/>
  <c r="H1363" i="1"/>
  <c r="A1363" i="1"/>
  <c r="I1362" i="1"/>
  <c r="H1362" i="1"/>
  <c r="A1362" i="1"/>
  <c r="I1361" i="1"/>
  <c r="H1361" i="1"/>
  <c r="A1361" i="1"/>
  <c r="I1360" i="1"/>
  <c r="H1360" i="1"/>
  <c r="A1360" i="1"/>
  <c r="I1359" i="1"/>
  <c r="H1359" i="1"/>
  <c r="A1359" i="1"/>
  <c r="I1358" i="1"/>
  <c r="H1358" i="1"/>
  <c r="A1358" i="1"/>
  <c r="I1357" i="1"/>
  <c r="H1357" i="1"/>
  <c r="A1357" i="1"/>
  <c r="I1356" i="1"/>
  <c r="H1356" i="1"/>
  <c r="A1356" i="1"/>
  <c r="I1355" i="1"/>
  <c r="H1355" i="1"/>
  <c r="A1355" i="1"/>
  <c r="I1354" i="1"/>
  <c r="H1354" i="1"/>
  <c r="A1354" i="1"/>
  <c r="I1353" i="1"/>
  <c r="H1353" i="1"/>
  <c r="A1353" i="1"/>
  <c r="I1352" i="1"/>
  <c r="H1352" i="1"/>
  <c r="A1352" i="1"/>
  <c r="I1351" i="1"/>
  <c r="H1351" i="1"/>
  <c r="A1351" i="1"/>
  <c r="I1350" i="1"/>
  <c r="H1350" i="1"/>
  <c r="A1350" i="1"/>
  <c r="I1349" i="1"/>
  <c r="H1349" i="1"/>
  <c r="A1349" i="1"/>
  <c r="I1348" i="1"/>
  <c r="H1348" i="1"/>
  <c r="A1348" i="1"/>
  <c r="I1347" i="1"/>
  <c r="H1347" i="1"/>
  <c r="A1347" i="1"/>
  <c r="I1346" i="1"/>
  <c r="H1346" i="1"/>
  <c r="A1346" i="1"/>
  <c r="I1345" i="1"/>
  <c r="H1345" i="1"/>
  <c r="A1345" i="1"/>
  <c r="I1344" i="1"/>
  <c r="H1344" i="1"/>
  <c r="A1344" i="1"/>
  <c r="I1343" i="1"/>
  <c r="H1343" i="1"/>
  <c r="A1343" i="1"/>
  <c r="I1342" i="1"/>
  <c r="H1342" i="1"/>
  <c r="A1342" i="1"/>
  <c r="I1341" i="1"/>
  <c r="H1341" i="1"/>
  <c r="A1341" i="1"/>
  <c r="I1340" i="1"/>
  <c r="H1340" i="1"/>
  <c r="A1340" i="1"/>
  <c r="I1339" i="1"/>
  <c r="H1339" i="1"/>
  <c r="A1339" i="1"/>
  <c r="I1338" i="1"/>
  <c r="H1338" i="1"/>
  <c r="A1338" i="1"/>
  <c r="I1337" i="1"/>
  <c r="H1337" i="1"/>
  <c r="A1337" i="1"/>
  <c r="I1336" i="1"/>
  <c r="H1336" i="1"/>
  <c r="A1336" i="1"/>
  <c r="I1335" i="1"/>
  <c r="H1335" i="1"/>
  <c r="A1335" i="1"/>
  <c r="I1334" i="1"/>
  <c r="H1334" i="1"/>
  <c r="A1334" i="1"/>
  <c r="I1333" i="1"/>
  <c r="H1333" i="1"/>
  <c r="A1333" i="1"/>
  <c r="I1332" i="1"/>
  <c r="H1332" i="1"/>
  <c r="A1332" i="1"/>
  <c r="I1331" i="1"/>
  <c r="H1331" i="1"/>
  <c r="A1331" i="1"/>
  <c r="I1330" i="1"/>
  <c r="H1330" i="1"/>
  <c r="A1330" i="1"/>
  <c r="I1329" i="1"/>
  <c r="H1329" i="1"/>
  <c r="A1329" i="1"/>
  <c r="I1328" i="1"/>
  <c r="H1328" i="1"/>
  <c r="A1328" i="1"/>
  <c r="I1327" i="1"/>
  <c r="H1327" i="1"/>
  <c r="A1327" i="1"/>
  <c r="I1326" i="1"/>
  <c r="H1326" i="1"/>
  <c r="A1326" i="1"/>
  <c r="I1325" i="1"/>
  <c r="H1325" i="1"/>
  <c r="A1325" i="1"/>
  <c r="I1324" i="1"/>
  <c r="H1324" i="1"/>
  <c r="A1324" i="1"/>
  <c r="I1323" i="1"/>
  <c r="H1323" i="1"/>
  <c r="A1323" i="1"/>
  <c r="I1322" i="1"/>
  <c r="H1322" i="1"/>
  <c r="A1322" i="1"/>
  <c r="I1321" i="1"/>
  <c r="H1321" i="1"/>
  <c r="A1321" i="1"/>
  <c r="I1320" i="1"/>
  <c r="H1320" i="1"/>
  <c r="A1320" i="1"/>
  <c r="I1319" i="1"/>
  <c r="H1319" i="1"/>
  <c r="A1319" i="1"/>
  <c r="I1318" i="1"/>
  <c r="H1318" i="1"/>
  <c r="A1318" i="1"/>
  <c r="I1317" i="1"/>
  <c r="H1317" i="1"/>
  <c r="A1317" i="1"/>
  <c r="I1316" i="1"/>
  <c r="H1316" i="1"/>
  <c r="A1316" i="1"/>
  <c r="I1315" i="1"/>
  <c r="H1315" i="1"/>
  <c r="A1315" i="1"/>
  <c r="I1314" i="1"/>
  <c r="H1314" i="1"/>
  <c r="A1314" i="1"/>
  <c r="I1313" i="1"/>
  <c r="H1313" i="1"/>
  <c r="A1313" i="1"/>
  <c r="I1312" i="1"/>
  <c r="H1312" i="1"/>
  <c r="A1312" i="1"/>
  <c r="I1311" i="1"/>
  <c r="H1311" i="1"/>
  <c r="A1311" i="1"/>
  <c r="I1310" i="1"/>
  <c r="H1310" i="1"/>
  <c r="A1310" i="1"/>
  <c r="I1309" i="1"/>
  <c r="H1309" i="1"/>
  <c r="A1309" i="1"/>
  <c r="I1308" i="1"/>
  <c r="H1308" i="1"/>
  <c r="A1308" i="1"/>
  <c r="I1307" i="1"/>
  <c r="H1307" i="1"/>
  <c r="A1307" i="1"/>
  <c r="I1306" i="1"/>
  <c r="H1306" i="1"/>
  <c r="A1306" i="1"/>
  <c r="I1305" i="1"/>
  <c r="H1305" i="1"/>
  <c r="A1305" i="1"/>
  <c r="I1304" i="1"/>
  <c r="H1304" i="1"/>
  <c r="A1304" i="1"/>
  <c r="I1303" i="1"/>
  <c r="H1303" i="1"/>
  <c r="A1303" i="1"/>
  <c r="I1302" i="1"/>
  <c r="H1302" i="1"/>
  <c r="A1302" i="1"/>
  <c r="I1301" i="1"/>
  <c r="H1301" i="1"/>
  <c r="A1301" i="1"/>
  <c r="I1300" i="1"/>
  <c r="H1300" i="1"/>
  <c r="A1300" i="1"/>
  <c r="I1299" i="1"/>
  <c r="H1299" i="1"/>
  <c r="A1299" i="1"/>
  <c r="I1298" i="1"/>
  <c r="H1298" i="1"/>
  <c r="A1298" i="1"/>
  <c r="I1297" i="1"/>
  <c r="H1297" i="1"/>
  <c r="A1297" i="1"/>
  <c r="I1296" i="1"/>
  <c r="H1296" i="1"/>
  <c r="A1296" i="1"/>
  <c r="I1295" i="1"/>
  <c r="H1295" i="1"/>
  <c r="A1295" i="1"/>
  <c r="I1294" i="1"/>
  <c r="H1294" i="1"/>
  <c r="A1294" i="1"/>
  <c r="I1293" i="1"/>
  <c r="H1293" i="1"/>
  <c r="A1293" i="1"/>
  <c r="I1292" i="1"/>
  <c r="H1292" i="1"/>
  <c r="A1292" i="1"/>
  <c r="I1291" i="1"/>
  <c r="H1291" i="1"/>
  <c r="A1291" i="1"/>
  <c r="I1290" i="1"/>
  <c r="H1290" i="1"/>
  <c r="A1290" i="1"/>
  <c r="I1289" i="1"/>
  <c r="H1289" i="1"/>
  <c r="A1289" i="1"/>
  <c r="I1288" i="1"/>
  <c r="H1288" i="1"/>
  <c r="A1288" i="1"/>
  <c r="I1287" i="1"/>
  <c r="H1287" i="1"/>
  <c r="A1287" i="1"/>
  <c r="I1286" i="1"/>
  <c r="H1286" i="1"/>
  <c r="A1286" i="1"/>
  <c r="I1285" i="1"/>
  <c r="H1285" i="1"/>
  <c r="A1285" i="1"/>
  <c r="I1284" i="1"/>
  <c r="H1284" i="1"/>
  <c r="A1284" i="1"/>
  <c r="I1283" i="1"/>
  <c r="H1283" i="1"/>
  <c r="A1283" i="1"/>
  <c r="I1282" i="1"/>
  <c r="H1282" i="1"/>
  <c r="A1282" i="1"/>
  <c r="I1281" i="1"/>
  <c r="H1281" i="1"/>
  <c r="A1281" i="1"/>
  <c r="I1280" i="1"/>
  <c r="H1280" i="1"/>
  <c r="A1280" i="1"/>
  <c r="I1279" i="1"/>
  <c r="H1279" i="1"/>
  <c r="A1279" i="1"/>
  <c r="I1278" i="1"/>
  <c r="H1278" i="1"/>
  <c r="A1278" i="1"/>
  <c r="I1277" i="1"/>
  <c r="H1277" i="1"/>
  <c r="A1277" i="1"/>
  <c r="I1276" i="1"/>
  <c r="H1276" i="1"/>
  <c r="A1276" i="1"/>
  <c r="I1275" i="1"/>
  <c r="H1275" i="1"/>
  <c r="A1275" i="1"/>
  <c r="I1274" i="1"/>
  <c r="H1274" i="1"/>
  <c r="A1274" i="1"/>
  <c r="I1273" i="1"/>
  <c r="H1273" i="1"/>
  <c r="A1273" i="1"/>
  <c r="I1272" i="1"/>
  <c r="H1272" i="1"/>
  <c r="A1272" i="1"/>
  <c r="I1271" i="1"/>
  <c r="H1271" i="1"/>
  <c r="A1271" i="1"/>
  <c r="I1270" i="1"/>
  <c r="H1270" i="1"/>
  <c r="A1270" i="1"/>
  <c r="I1269" i="1"/>
  <c r="H1269" i="1"/>
  <c r="A1269" i="1"/>
  <c r="I1268" i="1"/>
  <c r="H1268" i="1"/>
  <c r="A1268" i="1"/>
  <c r="I1267" i="1"/>
  <c r="H1267" i="1"/>
  <c r="A1267" i="1"/>
  <c r="I1266" i="1"/>
  <c r="H1266" i="1"/>
  <c r="A1266" i="1"/>
  <c r="I1265" i="1"/>
  <c r="H1265" i="1"/>
  <c r="A1265" i="1"/>
  <c r="I1264" i="1"/>
  <c r="H1264" i="1"/>
  <c r="A1264" i="1"/>
  <c r="I1263" i="1"/>
  <c r="H1263" i="1"/>
  <c r="A1263" i="1"/>
  <c r="I1262" i="1"/>
  <c r="H1262" i="1"/>
  <c r="A1262" i="1"/>
  <c r="I1261" i="1"/>
  <c r="H1261" i="1"/>
  <c r="A1261" i="1"/>
  <c r="I1260" i="1"/>
  <c r="H1260" i="1"/>
  <c r="A1260" i="1"/>
  <c r="I1259" i="1"/>
  <c r="H1259" i="1"/>
  <c r="A1259" i="1"/>
  <c r="I1258" i="1"/>
  <c r="H1258" i="1"/>
  <c r="A1258" i="1"/>
  <c r="I1257" i="1"/>
  <c r="H1257" i="1"/>
  <c r="A1257" i="1"/>
  <c r="I1256" i="1"/>
  <c r="H1256" i="1"/>
  <c r="A1256" i="1"/>
  <c r="I1255" i="1"/>
  <c r="H1255" i="1"/>
  <c r="A1255" i="1"/>
  <c r="I1254" i="1"/>
  <c r="H1254" i="1"/>
  <c r="A1254" i="1"/>
  <c r="I1253" i="1"/>
  <c r="H1253" i="1"/>
  <c r="A1253" i="1"/>
  <c r="I1252" i="1"/>
  <c r="H1252" i="1"/>
  <c r="A1252" i="1"/>
  <c r="I1251" i="1"/>
  <c r="H1251" i="1"/>
  <c r="A1251" i="1"/>
  <c r="I1250" i="1"/>
  <c r="H1250" i="1"/>
  <c r="A1250" i="1"/>
  <c r="I1249" i="1"/>
  <c r="H1249" i="1"/>
  <c r="A1249" i="1"/>
  <c r="I1248" i="1"/>
  <c r="H1248" i="1"/>
  <c r="A1248" i="1"/>
  <c r="I1247" i="1"/>
  <c r="H1247" i="1"/>
  <c r="A1247" i="1"/>
  <c r="I1246" i="1"/>
  <c r="H1246" i="1"/>
  <c r="A1246" i="1"/>
  <c r="I1245" i="1"/>
  <c r="H1245" i="1"/>
  <c r="A1245" i="1"/>
  <c r="I1244" i="1"/>
  <c r="H1244" i="1"/>
  <c r="A1244" i="1"/>
  <c r="I1243" i="1"/>
  <c r="H1243" i="1"/>
  <c r="A1243" i="1"/>
  <c r="I1242" i="1"/>
  <c r="H1242" i="1"/>
  <c r="A1242" i="1"/>
  <c r="I1241" i="1"/>
  <c r="H1241" i="1"/>
  <c r="A1241" i="1"/>
  <c r="I1240" i="1"/>
  <c r="H1240" i="1"/>
  <c r="A1240" i="1"/>
  <c r="I1239" i="1"/>
  <c r="H1239" i="1"/>
  <c r="A1239" i="1"/>
  <c r="I1238" i="1"/>
  <c r="H1238" i="1"/>
  <c r="A1238" i="1"/>
  <c r="I1237" i="1"/>
  <c r="H1237" i="1"/>
  <c r="A1237" i="1"/>
  <c r="I1236" i="1"/>
  <c r="H1236" i="1"/>
  <c r="A1236" i="1"/>
  <c r="I1235" i="1"/>
  <c r="H1235" i="1"/>
  <c r="A1235" i="1"/>
  <c r="I1234" i="1"/>
  <c r="H1234" i="1"/>
  <c r="A1234" i="1"/>
  <c r="I1233" i="1"/>
  <c r="H1233" i="1"/>
  <c r="A1233" i="1"/>
  <c r="I1232" i="1"/>
  <c r="H1232" i="1"/>
  <c r="A1232" i="1"/>
  <c r="I1231" i="1"/>
  <c r="H1231" i="1"/>
  <c r="A1231" i="1"/>
  <c r="I1230" i="1"/>
  <c r="H1230" i="1"/>
  <c r="A1230" i="1"/>
  <c r="I1229" i="1"/>
  <c r="H1229" i="1"/>
  <c r="A1229" i="1"/>
  <c r="I1228" i="1"/>
  <c r="H1228" i="1"/>
  <c r="A1228" i="1"/>
  <c r="I1227" i="1"/>
  <c r="H1227" i="1"/>
  <c r="A1227" i="1"/>
  <c r="I1226" i="1"/>
  <c r="H1226" i="1"/>
  <c r="A1226" i="1"/>
  <c r="I1225" i="1"/>
  <c r="H1225" i="1"/>
  <c r="A1225" i="1"/>
  <c r="I1224" i="1"/>
  <c r="H1224" i="1"/>
  <c r="A1224" i="1"/>
  <c r="I1223" i="1"/>
  <c r="H1223" i="1"/>
  <c r="A1223" i="1"/>
  <c r="I1222" i="1"/>
  <c r="H1222" i="1"/>
  <c r="A1222" i="1"/>
  <c r="I1221" i="1"/>
  <c r="H1221" i="1"/>
  <c r="A1221" i="1"/>
  <c r="I1220" i="1"/>
  <c r="H1220" i="1"/>
  <c r="A1220" i="1"/>
  <c r="I1219" i="1"/>
  <c r="H1219" i="1"/>
  <c r="A1219" i="1"/>
  <c r="I1218" i="1"/>
  <c r="H1218" i="1"/>
  <c r="A1218" i="1"/>
  <c r="I1217" i="1"/>
  <c r="H1217" i="1"/>
  <c r="A1217" i="1"/>
  <c r="I1216" i="1"/>
  <c r="H1216" i="1"/>
  <c r="A1216" i="1"/>
  <c r="I1215" i="1"/>
  <c r="H1215" i="1"/>
  <c r="A1215" i="1"/>
  <c r="I1214" i="1"/>
  <c r="H1214" i="1"/>
  <c r="A1214" i="1"/>
  <c r="I1213" i="1"/>
  <c r="H1213" i="1"/>
  <c r="A1213" i="1"/>
  <c r="I1212" i="1"/>
  <c r="H1212" i="1"/>
  <c r="A1212" i="1"/>
  <c r="I1211" i="1"/>
  <c r="H1211" i="1"/>
  <c r="A1211" i="1"/>
  <c r="I1210" i="1"/>
  <c r="H1210" i="1"/>
  <c r="A1210" i="1"/>
  <c r="I1209" i="1"/>
  <c r="H1209" i="1"/>
  <c r="A1209" i="1"/>
  <c r="I1208" i="1"/>
  <c r="H1208" i="1"/>
  <c r="A1208" i="1"/>
  <c r="I1207" i="1"/>
  <c r="H1207" i="1"/>
  <c r="A1207" i="1"/>
  <c r="I1206" i="1"/>
  <c r="H1206" i="1"/>
  <c r="A1206" i="1"/>
  <c r="I1205" i="1"/>
  <c r="H1205" i="1"/>
  <c r="A1205" i="1"/>
  <c r="I1204" i="1"/>
  <c r="H1204" i="1"/>
  <c r="A1204" i="1"/>
  <c r="I1203" i="1"/>
  <c r="H1203" i="1"/>
  <c r="A1203" i="1"/>
  <c r="I1202" i="1"/>
  <c r="H1202" i="1"/>
  <c r="A1202" i="1"/>
  <c r="I1201" i="1"/>
  <c r="H1201" i="1"/>
  <c r="A1201" i="1"/>
  <c r="I1200" i="1"/>
  <c r="H1200" i="1"/>
  <c r="A1200" i="1"/>
  <c r="I1199" i="1"/>
  <c r="H1199" i="1"/>
  <c r="A1199" i="1"/>
  <c r="I1198" i="1"/>
  <c r="H1198" i="1"/>
  <c r="A1198" i="1"/>
  <c r="I1197" i="1"/>
  <c r="H1197" i="1"/>
  <c r="A1197" i="1"/>
  <c r="I1196" i="1"/>
  <c r="H1196" i="1"/>
  <c r="A1196" i="1"/>
  <c r="I1195" i="1"/>
  <c r="H1195" i="1"/>
  <c r="A1195" i="1"/>
  <c r="I1194" i="1"/>
  <c r="H1194" i="1"/>
  <c r="A1194" i="1"/>
  <c r="I1193" i="1"/>
  <c r="H1193" i="1"/>
  <c r="A1193" i="1"/>
  <c r="I1192" i="1"/>
  <c r="H1192" i="1"/>
  <c r="A1192" i="1"/>
  <c r="I1191" i="1"/>
  <c r="H1191" i="1"/>
  <c r="A1191" i="1"/>
  <c r="I1190" i="1"/>
  <c r="H1190" i="1"/>
  <c r="A1190" i="1"/>
  <c r="I1189" i="1"/>
  <c r="H1189" i="1"/>
  <c r="A1189" i="1"/>
  <c r="I1188" i="1"/>
  <c r="H1188" i="1"/>
  <c r="A1188" i="1"/>
  <c r="I1187" i="1"/>
  <c r="H1187" i="1"/>
  <c r="A1187" i="1"/>
  <c r="I1186" i="1"/>
  <c r="H1186" i="1"/>
  <c r="A1186" i="1"/>
  <c r="I1185" i="1"/>
  <c r="H1185" i="1"/>
  <c r="A1185" i="1"/>
  <c r="I1184" i="1"/>
  <c r="H1184" i="1"/>
  <c r="A1184" i="1"/>
  <c r="I1183" i="1"/>
  <c r="H1183" i="1"/>
  <c r="A1183" i="1"/>
  <c r="I1182" i="1"/>
  <c r="H1182" i="1"/>
  <c r="A1182" i="1"/>
  <c r="I1181" i="1"/>
  <c r="H1181" i="1"/>
  <c r="A1181" i="1"/>
  <c r="I1180" i="1"/>
  <c r="H1180" i="1"/>
  <c r="A1180" i="1"/>
  <c r="I1179" i="1"/>
  <c r="H1179" i="1"/>
  <c r="A1179" i="1"/>
  <c r="I1178" i="1"/>
  <c r="H1178" i="1"/>
  <c r="A1178" i="1"/>
  <c r="I1177" i="1"/>
  <c r="H1177" i="1"/>
  <c r="A1177" i="1"/>
  <c r="I1176" i="1"/>
  <c r="H1176" i="1"/>
  <c r="A1176" i="1"/>
  <c r="I1175" i="1"/>
  <c r="H1175" i="1"/>
  <c r="A1175" i="1"/>
  <c r="I1174" i="1"/>
  <c r="H1174" i="1"/>
  <c r="A1174" i="1"/>
  <c r="I1173" i="1"/>
  <c r="H1173" i="1"/>
  <c r="A1173" i="1"/>
  <c r="I1172" i="1"/>
  <c r="H1172" i="1"/>
  <c r="A1172" i="1"/>
  <c r="I1171" i="1"/>
  <c r="H1171" i="1"/>
  <c r="A1171" i="1"/>
  <c r="I1170" i="1"/>
  <c r="H1170" i="1"/>
  <c r="A1170" i="1"/>
  <c r="I1169" i="1"/>
  <c r="H1169" i="1"/>
  <c r="A1169" i="1"/>
  <c r="I1168" i="1"/>
  <c r="H1168" i="1"/>
  <c r="A1168" i="1"/>
  <c r="I1167" i="1"/>
  <c r="H1167" i="1"/>
  <c r="A1167" i="1"/>
  <c r="I1166" i="1"/>
  <c r="H1166" i="1"/>
  <c r="A1166" i="1"/>
  <c r="I1165" i="1"/>
  <c r="H1165" i="1"/>
  <c r="A1165" i="1"/>
  <c r="I1164" i="1"/>
  <c r="H1164" i="1"/>
  <c r="A1164" i="1"/>
  <c r="I1163" i="1"/>
  <c r="H1163" i="1"/>
  <c r="A1163" i="1"/>
  <c r="I1162" i="1"/>
  <c r="H1162" i="1"/>
  <c r="A1162" i="1"/>
  <c r="I1161" i="1"/>
  <c r="H1161" i="1"/>
  <c r="A1161" i="1"/>
  <c r="I1160" i="1"/>
  <c r="H1160" i="1"/>
  <c r="A1160" i="1"/>
  <c r="I1159" i="1"/>
  <c r="H1159" i="1"/>
  <c r="A1159" i="1"/>
  <c r="I1158" i="1"/>
  <c r="H1158" i="1"/>
  <c r="A1158" i="1"/>
  <c r="I1157" i="1"/>
  <c r="H1157" i="1"/>
  <c r="A1157" i="1"/>
  <c r="I1156" i="1"/>
  <c r="H1156" i="1"/>
  <c r="A1156" i="1"/>
  <c r="I1155" i="1"/>
  <c r="H1155" i="1"/>
  <c r="A1155" i="1"/>
  <c r="I1154" i="1"/>
  <c r="H1154" i="1"/>
  <c r="A1154" i="1"/>
  <c r="I1153" i="1"/>
  <c r="H1153" i="1"/>
  <c r="A1153" i="1"/>
  <c r="I1152" i="1"/>
  <c r="H1152" i="1"/>
  <c r="A1152" i="1"/>
  <c r="I1151" i="1"/>
  <c r="H1151" i="1"/>
  <c r="A1151" i="1"/>
  <c r="I1150" i="1"/>
  <c r="H1150" i="1"/>
  <c r="A1150" i="1"/>
  <c r="I1149" i="1"/>
  <c r="H1149" i="1"/>
  <c r="A1149" i="1"/>
  <c r="I1148" i="1"/>
  <c r="H1148" i="1"/>
  <c r="A1148" i="1"/>
  <c r="I1147" i="1"/>
  <c r="H1147" i="1"/>
  <c r="A1147" i="1"/>
  <c r="I1146" i="1"/>
  <c r="H1146" i="1"/>
  <c r="A1146" i="1"/>
  <c r="I1145" i="1"/>
  <c r="H1145" i="1"/>
  <c r="A1145" i="1"/>
  <c r="I1144" i="1"/>
  <c r="H1144" i="1"/>
  <c r="A1144" i="1"/>
  <c r="I1143" i="1"/>
  <c r="H1143" i="1"/>
  <c r="A1143" i="1"/>
  <c r="I1142" i="1"/>
  <c r="H1142" i="1"/>
  <c r="A1142" i="1"/>
  <c r="I1141" i="1"/>
  <c r="H1141" i="1"/>
  <c r="A1141" i="1"/>
  <c r="I1140" i="1"/>
  <c r="H1140" i="1"/>
  <c r="A1140" i="1"/>
  <c r="I1139" i="1"/>
  <c r="H1139" i="1"/>
  <c r="A1139" i="1"/>
  <c r="I1138" i="1"/>
  <c r="H1138" i="1"/>
  <c r="A1138" i="1"/>
  <c r="I1137" i="1"/>
  <c r="H1137" i="1"/>
  <c r="A1137" i="1"/>
  <c r="I1136" i="1"/>
  <c r="H1136" i="1"/>
  <c r="A1136" i="1"/>
  <c r="I1135" i="1"/>
  <c r="H1135" i="1"/>
  <c r="A1135" i="1"/>
  <c r="I1134" i="1"/>
  <c r="H1134" i="1"/>
  <c r="A1134" i="1"/>
  <c r="I1133" i="1"/>
  <c r="H1133" i="1"/>
  <c r="A1133" i="1"/>
  <c r="I1132" i="1"/>
  <c r="H1132" i="1"/>
  <c r="A1132" i="1"/>
  <c r="I1131" i="1"/>
  <c r="H1131" i="1"/>
  <c r="A1131" i="1"/>
  <c r="I1130" i="1"/>
  <c r="H1130" i="1"/>
  <c r="A1130" i="1"/>
  <c r="I1129" i="1"/>
  <c r="H1129" i="1"/>
  <c r="A1129" i="1"/>
  <c r="I1128" i="1"/>
  <c r="H1128" i="1"/>
  <c r="A1128" i="1"/>
  <c r="I1127" i="1"/>
  <c r="H1127" i="1"/>
  <c r="A1127" i="1"/>
  <c r="I1126" i="1"/>
  <c r="H1126" i="1"/>
  <c r="A1126" i="1"/>
  <c r="I1125" i="1"/>
  <c r="H1125" i="1"/>
  <c r="A1125" i="1"/>
  <c r="I1124" i="1"/>
  <c r="H1124" i="1"/>
  <c r="A1124" i="1"/>
  <c r="I1123" i="1"/>
  <c r="H1123" i="1"/>
  <c r="A1123" i="1"/>
  <c r="I1122" i="1"/>
  <c r="H1122" i="1"/>
  <c r="A1122" i="1"/>
  <c r="I1121" i="1"/>
  <c r="H1121" i="1"/>
  <c r="A1121" i="1"/>
  <c r="I1120" i="1"/>
  <c r="H1120" i="1"/>
  <c r="A1120" i="1"/>
  <c r="I1119" i="1"/>
  <c r="H1119" i="1"/>
  <c r="A1119" i="1"/>
  <c r="I1118" i="1"/>
  <c r="H1118" i="1"/>
  <c r="A1118" i="1"/>
  <c r="I1117" i="1"/>
  <c r="H1117" i="1"/>
  <c r="A1117" i="1"/>
  <c r="I1116" i="1"/>
  <c r="H1116" i="1"/>
  <c r="A1116" i="1"/>
  <c r="I1115" i="1"/>
  <c r="H1115" i="1"/>
  <c r="A1115" i="1"/>
  <c r="I1114" i="1"/>
  <c r="H1114" i="1"/>
  <c r="A1114" i="1"/>
  <c r="I1113" i="1"/>
  <c r="H1113" i="1"/>
  <c r="A1113" i="1"/>
  <c r="I1112" i="1"/>
  <c r="H1112" i="1"/>
  <c r="A1112" i="1"/>
  <c r="I1111" i="1"/>
  <c r="H1111" i="1"/>
  <c r="A1111" i="1"/>
  <c r="I1110" i="1"/>
  <c r="H1110" i="1"/>
  <c r="A1110" i="1"/>
  <c r="I1109" i="1"/>
  <c r="H1109" i="1"/>
  <c r="A1109" i="1"/>
  <c r="I1108" i="1"/>
  <c r="H1108" i="1"/>
  <c r="A1108" i="1"/>
  <c r="I1107" i="1"/>
  <c r="H1107" i="1"/>
  <c r="A1107" i="1"/>
  <c r="I1106" i="1"/>
  <c r="H1106" i="1"/>
  <c r="A1106" i="1"/>
  <c r="I1105" i="1"/>
  <c r="H1105" i="1"/>
  <c r="A1105" i="1"/>
  <c r="I1104" i="1"/>
  <c r="H1104" i="1"/>
  <c r="A1104" i="1"/>
  <c r="I1103" i="1"/>
  <c r="H1103" i="1"/>
  <c r="A1103" i="1"/>
  <c r="I1102" i="1"/>
  <c r="H1102" i="1"/>
  <c r="A1102" i="1"/>
  <c r="I1101" i="1"/>
  <c r="H1101" i="1"/>
  <c r="A1101" i="1"/>
  <c r="I1100" i="1"/>
  <c r="H1100" i="1"/>
  <c r="A1100" i="1"/>
  <c r="I1099" i="1"/>
  <c r="H1099" i="1"/>
  <c r="A1099" i="1"/>
  <c r="I1098" i="1"/>
  <c r="H1098" i="1"/>
  <c r="A1098" i="1"/>
  <c r="I1097" i="1"/>
  <c r="H1097" i="1"/>
  <c r="A1097" i="1"/>
  <c r="I1096" i="1"/>
  <c r="H1096" i="1"/>
  <c r="A1096" i="1"/>
  <c r="I1095" i="1"/>
  <c r="H1095" i="1"/>
  <c r="A1095" i="1"/>
  <c r="I1094" i="1"/>
  <c r="H1094" i="1"/>
  <c r="A1094" i="1"/>
  <c r="I1093" i="1"/>
  <c r="H1093" i="1"/>
  <c r="A1093" i="1"/>
  <c r="I1092" i="1"/>
  <c r="H1092" i="1"/>
  <c r="A1092" i="1"/>
  <c r="I1091" i="1"/>
  <c r="H1091" i="1"/>
  <c r="A1091" i="1"/>
  <c r="I1090" i="1"/>
  <c r="H1090" i="1"/>
  <c r="A1090" i="1"/>
  <c r="I1089" i="1"/>
  <c r="H1089" i="1"/>
  <c r="A1089" i="1"/>
  <c r="I1088" i="1"/>
  <c r="H1088" i="1"/>
  <c r="A1088" i="1"/>
  <c r="I1087" i="1"/>
  <c r="H1087" i="1"/>
  <c r="A1087" i="1"/>
  <c r="I1086" i="1"/>
  <c r="H1086" i="1"/>
  <c r="A1086" i="1"/>
  <c r="I1085" i="1"/>
  <c r="H1085" i="1"/>
  <c r="A1085" i="1"/>
  <c r="I1084" i="1"/>
  <c r="H1084" i="1"/>
  <c r="A1084" i="1"/>
  <c r="I1083" i="1"/>
  <c r="H1083" i="1"/>
  <c r="A1083" i="1"/>
  <c r="I1082" i="1"/>
  <c r="H1082" i="1"/>
  <c r="A1082" i="1"/>
  <c r="I1081" i="1"/>
  <c r="H1081" i="1"/>
  <c r="A1081" i="1"/>
  <c r="I1080" i="1"/>
  <c r="H1080" i="1"/>
  <c r="A1080" i="1"/>
  <c r="I1079" i="1"/>
  <c r="H1079" i="1"/>
  <c r="A1079" i="1"/>
  <c r="I1078" i="1"/>
  <c r="H1078" i="1"/>
  <c r="A1078" i="1"/>
  <c r="I1077" i="1"/>
  <c r="H1077" i="1"/>
  <c r="A1077" i="1"/>
  <c r="I1076" i="1"/>
  <c r="H1076" i="1"/>
  <c r="A1076" i="1"/>
  <c r="I1075" i="1"/>
  <c r="H1075" i="1"/>
  <c r="A1075" i="1"/>
  <c r="I1074" i="1"/>
  <c r="H1074" i="1"/>
  <c r="A1074" i="1"/>
  <c r="I1073" i="1"/>
  <c r="H1073" i="1"/>
  <c r="A1073" i="1"/>
  <c r="I1072" i="1"/>
  <c r="H1072" i="1"/>
  <c r="A1072" i="1"/>
  <c r="I1071" i="1"/>
  <c r="H1071" i="1"/>
  <c r="A1071" i="1"/>
  <c r="I1070" i="1"/>
  <c r="H1070" i="1"/>
  <c r="A1070" i="1"/>
  <c r="I1069" i="1"/>
  <c r="H1069" i="1"/>
  <c r="A1069" i="1"/>
  <c r="I1068" i="1"/>
  <c r="H1068" i="1"/>
  <c r="A1068" i="1"/>
  <c r="I1067" i="1"/>
  <c r="H1067" i="1"/>
  <c r="A1067" i="1"/>
  <c r="I1066" i="1"/>
  <c r="H1066" i="1"/>
  <c r="A1066" i="1"/>
  <c r="I1065" i="1"/>
  <c r="H1065" i="1"/>
  <c r="A1065" i="1"/>
  <c r="I1064" i="1"/>
  <c r="H1064" i="1"/>
  <c r="A1064" i="1"/>
  <c r="I1063" i="1"/>
  <c r="H1063" i="1"/>
  <c r="A1063" i="1"/>
  <c r="I1062" i="1"/>
  <c r="H1062" i="1"/>
  <c r="A1062" i="1"/>
  <c r="I1061" i="1"/>
  <c r="H1061" i="1"/>
  <c r="A1061" i="1"/>
  <c r="I1060" i="1"/>
  <c r="H1060" i="1"/>
  <c r="A1060" i="1"/>
  <c r="I1059" i="1"/>
  <c r="H1059" i="1"/>
  <c r="A1059" i="1"/>
  <c r="I1058" i="1"/>
  <c r="H1058" i="1"/>
  <c r="A1058" i="1"/>
  <c r="I1057" i="1"/>
  <c r="H1057" i="1"/>
  <c r="A1057" i="1"/>
  <c r="I1056" i="1"/>
  <c r="H1056" i="1"/>
  <c r="A1056" i="1"/>
  <c r="I1055" i="1"/>
  <c r="H1055" i="1"/>
  <c r="A1055" i="1"/>
  <c r="I1054" i="1"/>
  <c r="H1054" i="1"/>
  <c r="A1054" i="1"/>
  <c r="I1053" i="1"/>
  <c r="H1053" i="1"/>
  <c r="A1053" i="1"/>
  <c r="I1052" i="1"/>
  <c r="H1052" i="1"/>
  <c r="A1052" i="1"/>
  <c r="I1051" i="1"/>
  <c r="H1051" i="1"/>
  <c r="A1051" i="1"/>
  <c r="I1050" i="1"/>
  <c r="H1050" i="1"/>
  <c r="A1050" i="1"/>
  <c r="I1049" i="1"/>
  <c r="H1049" i="1"/>
  <c r="A1049" i="1"/>
  <c r="I1048" i="1"/>
  <c r="H1048" i="1"/>
  <c r="A1048" i="1"/>
  <c r="I1047" i="1"/>
  <c r="H1047" i="1"/>
  <c r="A1047" i="1"/>
  <c r="I1046" i="1"/>
  <c r="H1046" i="1"/>
  <c r="A1046" i="1"/>
  <c r="I1045" i="1"/>
  <c r="H1045" i="1"/>
  <c r="A1045" i="1"/>
  <c r="I1044" i="1"/>
  <c r="H1044" i="1"/>
  <c r="A1044" i="1"/>
  <c r="I1043" i="1"/>
  <c r="H1043" i="1"/>
  <c r="A1043" i="1"/>
  <c r="I1042" i="1"/>
  <c r="H1042" i="1"/>
  <c r="A1042" i="1"/>
  <c r="I1041" i="1"/>
  <c r="H1041" i="1"/>
  <c r="A1041" i="1"/>
  <c r="I1040" i="1"/>
  <c r="H1040" i="1"/>
  <c r="A1040" i="1"/>
  <c r="I1039" i="1"/>
  <c r="H1039" i="1"/>
  <c r="A1039" i="1"/>
  <c r="I1038" i="1"/>
  <c r="H1038" i="1"/>
  <c r="A1038" i="1"/>
  <c r="I1037" i="1"/>
  <c r="H1037" i="1"/>
  <c r="A1037" i="1"/>
  <c r="I1036" i="1"/>
  <c r="H1036" i="1"/>
  <c r="A1036" i="1"/>
  <c r="I1035" i="1"/>
  <c r="H1035" i="1"/>
  <c r="A1035" i="1"/>
  <c r="I1034" i="1"/>
  <c r="H1034" i="1"/>
  <c r="A1034" i="1"/>
  <c r="I1033" i="1"/>
  <c r="H1033" i="1"/>
  <c r="A1033" i="1"/>
  <c r="I1032" i="1"/>
  <c r="H1032" i="1"/>
  <c r="A1032" i="1"/>
  <c r="I1031" i="1"/>
  <c r="H1031" i="1"/>
  <c r="A1031" i="1"/>
  <c r="I1030" i="1"/>
  <c r="H1030" i="1"/>
  <c r="A1030" i="1"/>
  <c r="I1029" i="1"/>
  <c r="H1029" i="1"/>
  <c r="A1029" i="1"/>
  <c r="I1028" i="1"/>
  <c r="H1028" i="1"/>
  <c r="A1028" i="1"/>
  <c r="I1027" i="1"/>
  <c r="H1027" i="1"/>
  <c r="A1027" i="1"/>
  <c r="I1026" i="1"/>
  <c r="H1026" i="1"/>
  <c r="A1026" i="1"/>
  <c r="I1025" i="1"/>
  <c r="H1025" i="1"/>
  <c r="A1025" i="1"/>
  <c r="I1024" i="1"/>
  <c r="H1024" i="1"/>
  <c r="A1024" i="1"/>
  <c r="I1023" i="1"/>
  <c r="H1023" i="1"/>
  <c r="A1023" i="1"/>
  <c r="I1022" i="1"/>
  <c r="H1022" i="1"/>
  <c r="A1022" i="1"/>
  <c r="I1021" i="1"/>
  <c r="H1021" i="1"/>
  <c r="A1021" i="1"/>
  <c r="I1020" i="1"/>
  <c r="H1020" i="1"/>
  <c r="A1020" i="1"/>
  <c r="I1019" i="1"/>
  <c r="H1019" i="1"/>
  <c r="A1019" i="1"/>
  <c r="I1018" i="1"/>
  <c r="H1018" i="1"/>
  <c r="A1018" i="1"/>
  <c r="I1017" i="1"/>
  <c r="H1017" i="1"/>
  <c r="A1017" i="1"/>
  <c r="I1016" i="1"/>
  <c r="H1016" i="1"/>
  <c r="A1016" i="1"/>
  <c r="I1015" i="1"/>
  <c r="H1015" i="1"/>
  <c r="A1015" i="1"/>
  <c r="I1014" i="1"/>
  <c r="H1014" i="1"/>
  <c r="A1014" i="1"/>
  <c r="I1013" i="1"/>
  <c r="H1013" i="1"/>
  <c r="A1013" i="1"/>
  <c r="I1012" i="1"/>
  <c r="H1012" i="1"/>
  <c r="A1012" i="1"/>
  <c r="I1011" i="1"/>
  <c r="H1011" i="1"/>
  <c r="A1011" i="1"/>
  <c r="I1010" i="1"/>
  <c r="H1010" i="1"/>
  <c r="A1010" i="1"/>
  <c r="I1009" i="1"/>
  <c r="H1009" i="1"/>
  <c r="A1009" i="1"/>
  <c r="I1008" i="1"/>
  <c r="H1008" i="1"/>
  <c r="A1008" i="1"/>
  <c r="I1007" i="1"/>
  <c r="H1007" i="1"/>
  <c r="A1007" i="1"/>
  <c r="I1006" i="1"/>
  <c r="H1006" i="1"/>
  <c r="A1006" i="1"/>
  <c r="I1005" i="1"/>
  <c r="H1005" i="1"/>
  <c r="A1005" i="1"/>
  <c r="I1004" i="1"/>
  <c r="H1004" i="1"/>
  <c r="A1004" i="1"/>
  <c r="I1003" i="1"/>
  <c r="H1003" i="1"/>
  <c r="A1003" i="1"/>
  <c r="I1002" i="1"/>
  <c r="H1002" i="1"/>
  <c r="A1002" i="1"/>
  <c r="I1001" i="1"/>
  <c r="H1001" i="1"/>
  <c r="A1001" i="1"/>
  <c r="I1000" i="1"/>
  <c r="H1000" i="1"/>
  <c r="A1000" i="1"/>
  <c r="I999" i="1"/>
  <c r="H999" i="1"/>
  <c r="A999" i="1"/>
  <c r="I998" i="1"/>
  <c r="H998" i="1"/>
  <c r="A998" i="1"/>
  <c r="I997" i="1"/>
  <c r="H997" i="1"/>
  <c r="A997" i="1"/>
  <c r="I996" i="1"/>
  <c r="H996" i="1"/>
  <c r="A996" i="1"/>
  <c r="I995" i="1"/>
  <c r="H995" i="1"/>
  <c r="A995" i="1"/>
  <c r="I994" i="1"/>
  <c r="H994" i="1"/>
  <c r="A994" i="1"/>
  <c r="I993" i="1"/>
  <c r="H993" i="1"/>
  <c r="A993" i="1"/>
  <c r="I992" i="1"/>
  <c r="H992" i="1"/>
  <c r="A992" i="1"/>
  <c r="I991" i="1"/>
  <c r="H991" i="1"/>
  <c r="A991" i="1"/>
  <c r="I990" i="1"/>
  <c r="H990" i="1"/>
  <c r="A990" i="1"/>
  <c r="I989" i="1"/>
  <c r="H989" i="1"/>
  <c r="A989" i="1"/>
  <c r="I988" i="1"/>
  <c r="H988" i="1"/>
  <c r="A988" i="1"/>
  <c r="I987" i="1"/>
  <c r="H987" i="1"/>
  <c r="A987" i="1"/>
  <c r="I986" i="1"/>
  <c r="H986" i="1"/>
  <c r="A986" i="1"/>
  <c r="I985" i="1"/>
  <c r="H985" i="1"/>
  <c r="A985" i="1"/>
  <c r="I984" i="1"/>
  <c r="H984" i="1"/>
  <c r="A984" i="1"/>
  <c r="I983" i="1"/>
  <c r="H983" i="1"/>
  <c r="A983" i="1"/>
  <c r="I982" i="1"/>
  <c r="H982" i="1"/>
  <c r="A982" i="1"/>
  <c r="I981" i="1"/>
  <c r="H981" i="1"/>
  <c r="A981" i="1"/>
  <c r="I980" i="1"/>
  <c r="H980" i="1"/>
  <c r="A980" i="1"/>
  <c r="I979" i="1"/>
  <c r="H979" i="1"/>
  <c r="A979" i="1"/>
  <c r="I978" i="1"/>
  <c r="H978" i="1"/>
  <c r="A978" i="1"/>
  <c r="I977" i="1"/>
  <c r="H977" i="1"/>
  <c r="A977" i="1"/>
  <c r="I976" i="1"/>
  <c r="H976" i="1"/>
  <c r="A976" i="1"/>
  <c r="I975" i="1"/>
  <c r="H975" i="1"/>
  <c r="A975" i="1"/>
  <c r="I974" i="1"/>
  <c r="H974" i="1"/>
  <c r="A974" i="1"/>
  <c r="I973" i="1"/>
  <c r="H973" i="1"/>
  <c r="A973" i="1"/>
  <c r="I972" i="1"/>
  <c r="H972" i="1"/>
  <c r="A972" i="1"/>
  <c r="I971" i="1"/>
  <c r="H971" i="1"/>
  <c r="A971" i="1"/>
  <c r="I970" i="1"/>
  <c r="H970" i="1"/>
  <c r="A970" i="1"/>
  <c r="I969" i="1"/>
  <c r="H969" i="1"/>
  <c r="A969" i="1"/>
  <c r="I968" i="1"/>
  <c r="H968" i="1"/>
  <c r="A968" i="1"/>
  <c r="I967" i="1"/>
  <c r="H967" i="1"/>
  <c r="A967" i="1"/>
  <c r="I966" i="1"/>
  <c r="H966" i="1"/>
  <c r="A966" i="1"/>
  <c r="I965" i="1"/>
  <c r="H965" i="1"/>
  <c r="A965" i="1"/>
  <c r="I964" i="1"/>
  <c r="H964" i="1"/>
  <c r="A964" i="1"/>
  <c r="I963" i="1"/>
  <c r="H963" i="1"/>
  <c r="A963" i="1"/>
  <c r="I962" i="1"/>
  <c r="H962" i="1"/>
  <c r="A962" i="1"/>
  <c r="I961" i="1"/>
  <c r="H961" i="1"/>
  <c r="A961" i="1"/>
  <c r="I960" i="1"/>
  <c r="H960" i="1"/>
  <c r="A960" i="1"/>
  <c r="I959" i="1"/>
  <c r="H959" i="1"/>
  <c r="A959" i="1"/>
  <c r="I958" i="1"/>
  <c r="H958" i="1"/>
  <c r="A958" i="1"/>
  <c r="I957" i="1"/>
  <c r="H957" i="1"/>
  <c r="A957" i="1"/>
  <c r="I956" i="1"/>
  <c r="H956" i="1"/>
  <c r="A956" i="1"/>
  <c r="I955" i="1"/>
  <c r="H955" i="1"/>
  <c r="A955" i="1"/>
  <c r="I954" i="1"/>
  <c r="H954" i="1"/>
  <c r="A954" i="1"/>
  <c r="I953" i="1"/>
  <c r="H953" i="1"/>
  <c r="A953" i="1"/>
  <c r="I952" i="1"/>
  <c r="H952" i="1"/>
  <c r="A952" i="1"/>
  <c r="I951" i="1"/>
  <c r="H951" i="1"/>
  <c r="A951" i="1"/>
  <c r="I950" i="1"/>
  <c r="H950" i="1"/>
  <c r="A950" i="1"/>
  <c r="I949" i="1"/>
  <c r="H949" i="1"/>
  <c r="A949" i="1"/>
  <c r="I948" i="1"/>
  <c r="H948" i="1"/>
  <c r="A948" i="1"/>
  <c r="I947" i="1"/>
  <c r="H947" i="1"/>
  <c r="A947" i="1"/>
  <c r="I946" i="1"/>
  <c r="H946" i="1"/>
  <c r="A946" i="1"/>
  <c r="I945" i="1"/>
  <c r="H945" i="1"/>
  <c r="A945" i="1"/>
  <c r="I944" i="1"/>
  <c r="H944" i="1"/>
  <c r="A944" i="1"/>
  <c r="I943" i="1"/>
  <c r="H943" i="1"/>
  <c r="A943" i="1"/>
  <c r="I942" i="1"/>
  <c r="H942" i="1"/>
  <c r="A942" i="1"/>
  <c r="I941" i="1"/>
  <c r="H941" i="1"/>
  <c r="A941" i="1"/>
  <c r="I940" i="1"/>
  <c r="H940" i="1"/>
  <c r="A940" i="1"/>
  <c r="I939" i="1"/>
  <c r="H939" i="1"/>
  <c r="A939" i="1"/>
  <c r="I938" i="1"/>
  <c r="H938" i="1"/>
  <c r="A938" i="1"/>
  <c r="I937" i="1"/>
  <c r="H937" i="1"/>
  <c r="A937" i="1"/>
  <c r="I936" i="1"/>
  <c r="H936" i="1"/>
  <c r="A936" i="1"/>
  <c r="I935" i="1"/>
  <c r="H935" i="1"/>
  <c r="A935" i="1"/>
  <c r="I934" i="1"/>
  <c r="H934" i="1"/>
  <c r="A934" i="1"/>
  <c r="I933" i="1"/>
  <c r="H933" i="1"/>
  <c r="A933" i="1"/>
  <c r="I932" i="1"/>
  <c r="H932" i="1"/>
  <c r="A932" i="1"/>
  <c r="I931" i="1"/>
  <c r="H931" i="1"/>
  <c r="A931" i="1"/>
  <c r="I930" i="1"/>
  <c r="H930" i="1"/>
  <c r="A930" i="1"/>
  <c r="I929" i="1"/>
  <c r="H929" i="1"/>
  <c r="A929" i="1"/>
  <c r="I928" i="1"/>
  <c r="H928" i="1"/>
  <c r="A928" i="1"/>
  <c r="I927" i="1"/>
  <c r="H927" i="1"/>
  <c r="A927" i="1"/>
  <c r="I926" i="1"/>
  <c r="H926" i="1"/>
  <c r="A926" i="1"/>
  <c r="I925" i="1"/>
  <c r="H925" i="1"/>
  <c r="A925" i="1"/>
  <c r="I924" i="1"/>
  <c r="H924" i="1"/>
  <c r="A924" i="1"/>
  <c r="I923" i="1"/>
  <c r="H923" i="1"/>
  <c r="A923" i="1"/>
  <c r="I922" i="1"/>
  <c r="H922" i="1"/>
  <c r="A922" i="1"/>
  <c r="I921" i="1"/>
  <c r="H921" i="1"/>
  <c r="A921" i="1"/>
  <c r="I920" i="1"/>
  <c r="H920" i="1"/>
  <c r="A920" i="1"/>
  <c r="I919" i="1"/>
  <c r="H919" i="1"/>
  <c r="A919" i="1"/>
  <c r="I918" i="1"/>
  <c r="H918" i="1"/>
  <c r="A918" i="1"/>
  <c r="I917" i="1"/>
  <c r="H917" i="1"/>
  <c r="A917" i="1"/>
  <c r="I916" i="1"/>
  <c r="H916" i="1"/>
  <c r="A916" i="1"/>
  <c r="I915" i="1"/>
  <c r="H915" i="1"/>
  <c r="A915" i="1"/>
  <c r="I914" i="1"/>
  <c r="H914" i="1"/>
  <c r="A914" i="1"/>
  <c r="I913" i="1"/>
  <c r="H913" i="1"/>
  <c r="A913" i="1"/>
  <c r="I912" i="1"/>
  <c r="H912" i="1"/>
  <c r="A912" i="1"/>
  <c r="I911" i="1"/>
  <c r="H911" i="1"/>
  <c r="A911" i="1"/>
  <c r="I910" i="1"/>
  <c r="H910" i="1"/>
  <c r="A910" i="1"/>
  <c r="I909" i="1"/>
  <c r="H909" i="1"/>
  <c r="A909" i="1"/>
  <c r="I908" i="1"/>
  <c r="H908" i="1"/>
  <c r="A908" i="1"/>
  <c r="I907" i="1"/>
  <c r="H907" i="1"/>
  <c r="A907" i="1"/>
  <c r="I906" i="1"/>
  <c r="H906" i="1"/>
  <c r="A906" i="1"/>
  <c r="I905" i="1"/>
  <c r="H905" i="1"/>
  <c r="A905" i="1"/>
  <c r="I904" i="1"/>
  <c r="H904" i="1"/>
  <c r="A904" i="1"/>
  <c r="I903" i="1"/>
  <c r="H903" i="1"/>
  <c r="A903" i="1"/>
  <c r="I902" i="1"/>
  <c r="H902" i="1"/>
  <c r="A902" i="1"/>
  <c r="I901" i="1"/>
  <c r="H901" i="1"/>
  <c r="A901" i="1"/>
  <c r="I900" i="1"/>
  <c r="H900" i="1"/>
  <c r="A900" i="1"/>
  <c r="I899" i="1"/>
  <c r="H899" i="1"/>
  <c r="A899" i="1"/>
  <c r="I898" i="1"/>
  <c r="H898" i="1"/>
  <c r="A898" i="1"/>
  <c r="I897" i="1"/>
  <c r="H897" i="1"/>
  <c r="A897" i="1"/>
  <c r="I896" i="1"/>
  <c r="H896" i="1"/>
  <c r="A896" i="1"/>
  <c r="I895" i="1"/>
  <c r="H895" i="1"/>
  <c r="A895" i="1"/>
  <c r="I894" i="1"/>
  <c r="H894" i="1"/>
  <c r="A894" i="1"/>
  <c r="I893" i="1"/>
  <c r="H893" i="1"/>
  <c r="A893" i="1"/>
  <c r="I892" i="1"/>
  <c r="H892" i="1"/>
  <c r="A892" i="1"/>
  <c r="I891" i="1"/>
  <c r="H891" i="1"/>
  <c r="A891" i="1"/>
  <c r="I890" i="1"/>
  <c r="H890" i="1"/>
  <c r="A890" i="1"/>
  <c r="I889" i="1"/>
  <c r="H889" i="1"/>
  <c r="A889" i="1"/>
  <c r="I888" i="1"/>
  <c r="H888" i="1"/>
  <c r="A888" i="1"/>
  <c r="I887" i="1"/>
  <c r="H887" i="1"/>
  <c r="A887" i="1"/>
  <c r="I886" i="1"/>
  <c r="H886" i="1"/>
  <c r="A886" i="1"/>
  <c r="I885" i="1"/>
  <c r="H885" i="1"/>
  <c r="A885" i="1"/>
  <c r="I884" i="1"/>
  <c r="H884" i="1"/>
  <c r="A884" i="1"/>
  <c r="I883" i="1"/>
  <c r="H883" i="1"/>
  <c r="A883" i="1"/>
  <c r="I882" i="1"/>
  <c r="H882" i="1"/>
  <c r="A882" i="1"/>
  <c r="I881" i="1"/>
  <c r="H881" i="1"/>
  <c r="A881" i="1"/>
  <c r="I880" i="1"/>
  <c r="H880" i="1"/>
  <c r="A880" i="1"/>
  <c r="I879" i="1"/>
  <c r="H879" i="1"/>
  <c r="A879" i="1"/>
  <c r="I878" i="1"/>
  <c r="H878" i="1"/>
  <c r="A878" i="1"/>
  <c r="I877" i="1"/>
  <c r="H877" i="1"/>
  <c r="A877" i="1"/>
  <c r="I876" i="1"/>
  <c r="H876" i="1"/>
  <c r="A876" i="1"/>
  <c r="I875" i="1"/>
  <c r="H875" i="1"/>
  <c r="A875" i="1"/>
  <c r="I874" i="1"/>
  <c r="H874" i="1"/>
  <c r="A874" i="1"/>
  <c r="I873" i="1"/>
  <c r="H873" i="1"/>
  <c r="A873" i="1"/>
  <c r="I872" i="1"/>
  <c r="H872" i="1"/>
  <c r="A872" i="1"/>
  <c r="I871" i="1"/>
  <c r="H871" i="1"/>
  <c r="A871" i="1"/>
  <c r="I870" i="1"/>
  <c r="H870" i="1"/>
  <c r="A870" i="1"/>
  <c r="I869" i="1"/>
  <c r="H869" i="1"/>
  <c r="A869" i="1"/>
  <c r="I868" i="1"/>
  <c r="H868" i="1"/>
  <c r="A868" i="1"/>
  <c r="I867" i="1"/>
  <c r="H867" i="1"/>
  <c r="A867" i="1"/>
  <c r="I866" i="1"/>
  <c r="H866" i="1"/>
  <c r="A866" i="1"/>
  <c r="I865" i="1"/>
  <c r="H865" i="1"/>
  <c r="A865" i="1"/>
  <c r="I864" i="1"/>
  <c r="H864" i="1"/>
  <c r="A864" i="1"/>
  <c r="I863" i="1"/>
  <c r="H863" i="1"/>
  <c r="A863" i="1"/>
  <c r="I862" i="1"/>
  <c r="H862" i="1"/>
  <c r="A862" i="1"/>
  <c r="I861" i="1"/>
  <c r="H861" i="1"/>
  <c r="A861" i="1"/>
  <c r="I860" i="1"/>
  <c r="H860" i="1"/>
  <c r="A860" i="1"/>
  <c r="I859" i="1"/>
  <c r="H859" i="1"/>
  <c r="A859" i="1"/>
  <c r="I858" i="1"/>
  <c r="H858" i="1"/>
  <c r="A858" i="1"/>
  <c r="I857" i="1"/>
  <c r="H857" i="1"/>
  <c r="A857" i="1"/>
  <c r="I856" i="1"/>
  <c r="H856" i="1"/>
  <c r="A856" i="1"/>
  <c r="I855" i="1"/>
  <c r="H855" i="1"/>
  <c r="A855" i="1"/>
  <c r="I854" i="1"/>
  <c r="H854" i="1"/>
  <c r="A854" i="1"/>
  <c r="I853" i="1"/>
  <c r="H853" i="1"/>
  <c r="A853" i="1"/>
  <c r="I852" i="1"/>
  <c r="H852" i="1"/>
  <c r="A852" i="1"/>
  <c r="I851" i="1"/>
  <c r="H851" i="1"/>
  <c r="A851" i="1"/>
  <c r="I850" i="1"/>
  <c r="H850" i="1"/>
  <c r="A850" i="1"/>
  <c r="I849" i="1"/>
  <c r="H849" i="1"/>
  <c r="A849" i="1"/>
  <c r="I848" i="1"/>
  <c r="H848" i="1"/>
  <c r="A848" i="1"/>
  <c r="I847" i="1"/>
  <c r="H847" i="1"/>
  <c r="A847" i="1"/>
  <c r="I846" i="1"/>
  <c r="H846" i="1"/>
  <c r="A846" i="1"/>
  <c r="I845" i="1"/>
  <c r="H845" i="1"/>
  <c r="A845" i="1"/>
  <c r="I844" i="1"/>
  <c r="H844" i="1"/>
  <c r="A844" i="1"/>
  <c r="I843" i="1"/>
  <c r="H843" i="1"/>
  <c r="A843" i="1"/>
  <c r="I842" i="1"/>
  <c r="H842" i="1"/>
  <c r="A842" i="1"/>
  <c r="I841" i="1"/>
  <c r="H841" i="1"/>
  <c r="A841" i="1"/>
  <c r="I840" i="1"/>
  <c r="H840" i="1"/>
  <c r="A840" i="1"/>
  <c r="I839" i="1"/>
  <c r="H839" i="1"/>
  <c r="A839" i="1"/>
  <c r="I838" i="1"/>
  <c r="H838" i="1"/>
  <c r="A838" i="1"/>
  <c r="I837" i="1"/>
  <c r="H837" i="1"/>
  <c r="A837" i="1"/>
  <c r="I836" i="1"/>
  <c r="H836" i="1"/>
  <c r="A836" i="1"/>
  <c r="I835" i="1"/>
  <c r="H835" i="1"/>
  <c r="A835" i="1"/>
  <c r="I834" i="1"/>
  <c r="H834" i="1"/>
  <c r="A834" i="1"/>
  <c r="I833" i="1"/>
  <c r="H833" i="1"/>
  <c r="A833" i="1"/>
  <c r="I832" i="1"/>
  <c r="H832" i="1"/>
  <c r="A832" i="1"/>
  <c r="I831" i="1"/>
  <c r="H831" i="1"/>
  <c r="A831" i="1"/>
  <c r="I830" i="1"/>
  <c r="H830" i="1"/>
  <c r="A830" i="1"/>
  <c r="I829" i="1"/>
  <c r="H829" i="1"/>
  <c r="A829" i="1"/>
  <c r="I828" i="1"/>
  <c r="H828" i="1"/>
  <c r="A828" i="1"/>
  <c r="I827" i="1"/>
  <c r="H827" i="1"/>
  <c r="A827" i="1"/>
  <c r="I826" i="1"/>
  <c r="H826" i="1"/>
  <c r="A826" i="1"/>
  <c r="I825" i="1"/>
  <c r="H825" i="1"/>
  <c r="A825" i="1"/>
  <c r="I824" i="1"/>
  <c r="H824" i="1"/>
  <c r="A824" i="1"/>
  <c r="I823" i="1"/>
  <c r="H823" i="1"/>
  <c r="A823" i="1"/>
  <c r="I822" i="1"/>
  <c r="H822" i="1"/>
  <c r="A822" i="1"/>
  <c r="I821" i="1"/>
  <c r="H821" i="1"/>
  <c r="A821" i="1"/>
  <c r="I820" i="1"/>
  <c r="H820" i="1"/>
  <c r="A820" i="1"/>
  <c r="I819" i="1"/>
  <c r="H819" i="1"/>
  <c r="A819" i="1"/>
  <c r="I818" i="1"/>
  <c r="H818" i="1"/>
  <c r="A818" i="1"/>
  <c r="I817" i="1"/>
  <c r="H817" i="1"/>
  <c r="A817" i="1"/>
  <c r="I816" i="1"/>
  <c r="H816" i="1"/>
  <c r="A816" i="1"/>
  <c r="I815" i="1"/>
  <c r="H815" i="1"/>
  <c r="A815" i="1"/>
  <c r="I814" i="1"/>
  <c r="H814" i="1"/>
  <c r="A814" i="1"/>
  <c r="I813" i="1"/>
  <c r="H813" i="1"/>
  <c r="A813" i="1"/>
  <c r="I812" i="1"/>
  <c r="H812" i="1"/>
  <c r="A812" i="1"/>
  <c r="I811" i="1"/>
  <c r="H811" i="1"/>
  <c r="A811" i="1"/>
  <c r="I810" i="1"/>
  <c r="H810" i="1"/>
  <c r="A810" i="1"/>
  <c r="I809" i="1"/>
  <c r="H809" i="1"/>
  <c r="A809" i="1"/>
  <c r="I808" i="1"/>
  <c r="H808" i="1"/>
  <c r="A808" i="1"/>
  <c r="I807" i="1"/>
  <c r="H807" i="1"/>
  <c r="A807" i="1"/>
  <c r="I806" i="1"/>
  <c r="H806" i="1"/>
  <c r="A806" i="1"/>
  <c r="I805" i="1"/>
  <c r="H805" i="1"/>
  <c r="A805" i="1"/>
  <c r="I804" i="1"/>
  <c r="H804" i="1"/>
  <c r="A804" i="1"/>
  <c r="I803" i="1"/>
  <c r="H803" i="1"/>
  <c r="A803" i="1"/>
  <c r="I802" i="1"/>
  <c r="H802" i="1"/>
  <c r="A802" i="1"/>
  <c r="I801" i="1"/>
  <c r="H801" i="1"/>
  <c r="A801" i="1"/>
  <c r="I800" i="1"/>
  <c r="H800" i="1"/>
  <c r="A800" i="1"/>
  <c r="I799" i="1"/>
  <c r="H799" i="1"/>
  <c r="A799" i="1"/>
  <c r="I798" i="1"/>
  <c r="H798" i="1"/>
  <c r="A798" i="1"/>
  <c r="I797" i="1"/>
  <c r="H797" i="1"/>
  <c r="A797" i="1"/>
  <c r="I796" i="1"/>
  <c r="H796" i="1"/>
  <c r="A796" i="1"/>
  <c r="I795" i="1"/>
  <c r="H795" i="1"/>
  <c r="A795" i="1"/>
  <c r="I794" i="1"/>
  <c r="H794" i="1"/>
  <c r="A794" i="1"/>
  <c r="I793" i="1"/>
  <c r="H793" i="1"/>
  <c r="A793" i="1"/>
  <c r="I792" i="1"/>
  <c r="H792" i="1"/>
  <c r="A792" i="1"/>
  <c r="I791" i="1"/>
  <c r="H791" i="1"/>
  <c r="A791" i="1"/>
  <c r="I790" i="1"/>
  <c r="H790" i="1"/>
  <c r="A790" i="1"/>
  <c r="I789" i="1"/>
  <c r="H789" i="1"/>
  <c r="A789" i="1"/>
  <c r="I788" i="1"/>
  <c r="H788" i="1"/>
  <c r="A788" i="1"/>
  <c r="I787" i="1"/>
  <c r="H787" i="1"/>
  <c r="A787" i="1"/>
  <c r="I786" i="1"/>
  <c r="H786" i="1"/>
  <c r="A786" i="1"/>
  <c r="I785" i="1"/>
  <c r="H785" i="1"/>
  <c r="A785" i="1"/>
  <c r="I784" i="1"/>
  <c r="H784" i="1"/>
  <c r="A784" i="1"/>
  <c r="I783" i="1"/>
  <c r="H783" i="1"/>
  <c r="A783" i="1"/>
  <c r="I782" i="1"/>
  <c r="H782" i="1"/>
  <c r="A782" i="1"/>
  <c r="I781" i="1"/>
  <c r="H781" i="1"/>
  <c r="A781" i="1"/>
  <c r="I780" i="1"/>
  <c r="H780" i="1"/>
  <c r="A780" i="1"/>
  <c r="I779" i="1"/>
  <c r="H779" i="1"/>
  <c r="A779" i="1"/>
  <c r="I778" i="1"/>
  <c r="H778" i="1"/>
  <c r="A778" i="1"/>
  <c r="I777" i="1"/>
  <c r="H777" i="1"/>
  <c r="A777" i="1"/>
  <c r="I776" i="1"/>
  <c r="H776" i="1"/>
  <c r="A776" i="1"/>
  <c r="I775" i="1"/>
  <c r="H775" i="1"/>
  <c r="A775" i="1"/>
  <c r="I774" i="1"/>
  <c r="H774" i="1"/>
  <c r="A774" i="1"/>
  <c r="I773" i="1"/>
  <c r="H773" i="1"/>
  <c r="A773" i="1"/>
  <c r="I772" i="1"/>
  <c r="H772" i="1"/>
  <c r="A772" i="1"/>
  <c r="I771" i="1"/>
  <c r="H771" i="1"/>
  <c r="A771" i="1"/>
  <c r="I770" i="1"/>
  <c r="H770" i="1"/>
  <c r="A770" i="1"/>
  <c r="I769" i="1"/>
  <c r="H769" i="1"/>
  <c r="A769" i="1"/>
  <c r="I768" i="1"/>
  <c r="H768" i="1"/>
  <c r="A768" i="1"/>
  <c r="I767" i="1"/>
  <c r="H767" i="1"/>
  <c r="A767" i="1"/>
  <c r="I766" i="1"/>
  <c r="H766" i="1"/>
  <c r="A766" i="1"/>
  <c r="I765" i="1"/>
  <c r="H765" i="1"/>
  <c r="A765" i="1"/>
  <c r="I764" i="1"/>
  <c r="H764" i="1"/>
  <c r="A764" i="1"/>
  <c r="I763" i="1"/>
  <c r="H763" i="1"/>
  <c r="A763" i="1"/>
  <c r="I762" i="1"/>
  <c r="H762" i="1"/>
  <c r="A762" i="1"/>
  <c r="I761" i="1"/>
  <c r="H761" i="1"/>
  <c r="A761" i="1"/>
  <c r="I760" i="1"/>
  <c r="H760" i="1"/>
  <c r="A760" i="1"/>
  <c r="I759" i="1"/>
  <c r="H759" i="1"/>
  <c r="A759" i="1"/>
  <c r="I758" i="1"/>
  <c r="H758" i="1"/>
  <c r="A758" i="1"/>
  <c r="I757" i="1"/>
  <c r="H757" i="1"/>
  <c r="A757" i="1"/>
  <c r="I756" i="1"/>
  <c r="H756" i="1"/>
  <c r="A756" i="1"/>
  <c r="I755" i="1"/>
  <c r="H755" i="1"/>
  <c r="A755" i="1"/>
  <c r="I754" i="1"/>
  <c r="H754" i="1"/>
  <c r="A754" i="1"/>
  <c r="I753" i="1"/>
  <c r="H753" i="1"/>
  <c r="A753" i="1"/>
  <c r="I752" i="1"/>
  <c r="H752" i="1"/>
  <c r="A752" i="1"/>
  <c r="I751" i="1"/>
  <c r="H751" i="1"/>
  <c r="A751" i="1"/>
  <c r="I750" i="1"/>
  <c r="H750" i="1"/>
  <c r="A750" i="1"/>
  <c r="I749" i="1"/>
  <c r="H749" i="1"/>
  <c r="A749" i="1"/>
  <c r="I748" i="1"/>
  <c r="H748" i="1"/>
  <c r="A748" i="1"/>
  <c r="I747" i="1"/>
  <c r="H747" i="1"/>
  <c r="A747" i="1"/>
  <c r="I746" i="1"/>
  <c r="H746" i="1"/>
  <c r="A746" i="1"/>
  <c r="I745" i="1"/>
  <c r="H745" i="1"/>
  <c r="A745" i="1"/>
  <c r="I744" i="1"/>
  <c r="H744" i="1"/>
  <c r="A744" i="1"/>
  <c r="I743" i="1"/>
  <c r="H743" i="1"/>
  <c r="A743" i="1"/>
  <c r="I742" i="1"/>
  <c r="H742" i="1"/>
  <c r="A742" i="1"/>
  <c r="I741" i="1"/>
  <c r="H741" i="1"/>
  <c r="A741" i="1"/>
  <c r="I740" i="1"/>
  <c r="H740" i="1"/>
  <c r="A740" i="1"/>
  <c r="I739" i="1"/>
  <c r="H739" i="1"/>
  <c r="A739" i="1"/>
  <c r="I738" i="1"/>
  <c r="H738" i="1"/>
  <c r="A738" i="1"/>
  <c r="I737" i="1"/>
  <c r="H737" i="1"/>
  <c r="A737" i="1"/>
  <c r="I736" i="1"/>
  <c r="H736" i="1"/>
  <c r="A736" i="1"/>
  <c r="I735" i="1"/>
  <c r="H735" i="1"/>
  <c r="A735" i="1"/>
  <c r="I734" i="1"/>
  <c r="H734" i="1"/>
  <c r="A734" i="1"/>
  <c r="I733" i="1"/>
  <c r="H733" i="1"/>
  <c r="A733" i="1"/>
  <c r="I732" i="1"/>
  <c r="H732" i="1"/>
  <c r="A732" i="1"/>
  <c r="I731" i="1"/>
  <c r="H731" i="1"/>
  <c r="A731" i="1"/>
  <c r="I730" i="1"/>
  <c r="H730" i="1"/>
  <c r="A730" i="1"/>
  <c r="I729" i="1"/>
  <c r="H729" i="1"/>
  <c r="A729" i="1"/>
  <c r="I728" i="1"/>
  <c r="H728" i="1"/>
  <c r="A728" i="1"/>
  <c r="I727" i="1"/>
  <c r="H727" i="1"/>
  <c r="A727" i="1"/>
  <c r="I726" i="1"/>
  <c r="H726" i="1"/>
  <c r="A726" i="1"/>
  <c r="I725" i="1"/>
  <c r="H725" i="1"/>
  <c r="A725" i="1"/>
  <c r="I724" i="1"/>
  <c r="H724" i="1"/>
  <c r="A724" i="1"/>
  <c r="I723" i="1"/>
  <c r="H723" i="1"/>
  <c r="A723" i="1"/>
  <c r="I722" i="1"/>
  <c r="H722" i="1"/>
  <c r="A722" i="1"/>
  <c r="I721" i="1"/>
  <c r="H721" i="1"/>
  <c r="A721" i="1"/>
  <c r="I720" i="1"/>
  <c r="H720" i="1"/>
  <c r="A720" i="1"/>
  <c r="I719" i="1"/>
  <c r="H719" i="1"/>
  <c r="A719" i="1"/>
  <c r="I718" i="1"/>
  <c r="H718" i="1"/>
  <c r="A718" i="1"/>
  <c r="I717" i="1"/>
  <c r="H717" i="1"/>
  <c r="A717" i="1"/>
  <c r="I716" i="1"/>
  <c r="H716" i="1"/>
  <c r="A716" i="1"/>
  <c r="I715" i="1"/>
  <c r="H715" i="1"/>
  <c r="A715" i="1"/>
  <c r="I714" i="1"/>
  <c r="H714" i="1"/>
  <c r="A714" i="1"/>
  <c r="I713" i="1"/>
  <c r="H713" i="1"/>
  <c r="A713" i="1"/>
  <c r="I712" i="1"/>
  <c r="H712" i="1"/>
  <c r="A712" i="1"/>
  <c r="I711" i="1"/>
  <c r="H711" i="1"/>
  <c r="A711" i="1"/>
  <c r="I710" i="1"/>
  <c r="H710" i="1"/>
  <c r="A710" i="1"/>
  <c r="I709" i="1"/>
  <c r="H709" i="1"/>
  <c r="A709" i="1"/>
  <c r="I708" i="1"/>
  <c r="H708" i="1"/>
  <c r="A708" i="1"/>
  <c r="I707" i="1"/>
  <c r="H707" i="1"/>
  <c r="A707" i="1"/>
  <c r="I706" i="1"/>
  <c r="H706" i="1"/>
  <c r="A706" i="1"/>
  <c r="I705" i="1"/>
  <c r="H705" i="1"/>
  <c r="A705" i="1"/>
  <c r="I704" i="1"/>
  <c r="H704" i="1"/>
  <c r="A704" i="1"/>
  <c r="I703" i="1"/>
  <c r="H703" i="1"/>
  <c r="A703" i="1"/>
  <c r="I702" i="1"/>
  <c r="H702" i="1"/>
  <c r="A702" i="1"/>
  <c r="I701" i="1"/>
  <c r="H701" i="1"/>
  <c r="A701" i="1"/>
  <c r="I700" i="1"/>
  <c r="H700" i="1"/>
  <c r="A700" i="1"/>
  <c r="I699" i="1"/>
  <c r="H699" i="1"/>
  <c r="A699" i="1"/>
  <c r="I698" i="1"/>
  <c r="H698" i="1"/>
  <c r="A698" i="1"/>
  <c r="I697" i="1"/>
  <c r="H697" i="1"/>
  <c r="A697" i="1"/>
  <c r="I696" i="1"/>
  <c r="H696" i="1"/>
  <c r="A696" i="1"/>
  <c r="I695" i="1"/>
  <c r="H695" i="1"/>
  <c r="A695" i="1"/>
  <c r="I694" i="1"/>
  <c r="H694" i="1"/>
  <c r="A694" i="1"/>
  <c r="I693" i="1"/>
  <c r="H693" i="1"/>
  <c r="A693" i="1"/>
  <c r="I692" i="1"/>
  <c r="H692" i="1"/>
  <c r="A692" i="1"/>
  <c r="I691" i="1"/>
  <c r="H691" i="1"/>
  <c r="A691" i="1"/>
  <c r="I690" i="1"/>
  <c r="H690" i="1"/>
  <c r="A690" i="1"/>
  <c r="I689" i="1"/>
  <c r="H689" i="1"/>
  <c r="A689" i="1"/>
  <c r="I688" i="1"/>
  <c r="H688" i="1"/>
  <c r="A688" i="1"/>
  <c r="I687" i="1"/>
  <c r="H687" i="1"/>
  <c r="A687" i="1"/>
  <c r="I686" i="1"/>
  <c r="H686" i="1"/>
  <c r="A686" i="1"/>
  <c r="I685" i="1"/>
  <c r="H685" i="1"/>
  <c r="A685" i="1"/>
  <c r="I684" i="1"/>
  <c r="H684" i="1"/>
  <c r="A684" i="1"/>
  <c r="I683" i="1"/>
  <c r="H683" i="1"/>
  <c r="A683" i="1"/>
  <c r="I682" i="1"/>
  <c r="H682" i="1"/>
  <c r="A682" i="1"/>
  <c r="I681" i="1"/>
  <c r="H681" i="1"/>
  <c r="A681" i="1"/>
  <c r="I680" i="1"/>
  <c r="H680" i="1"/>
  <c r="A680" i="1"/>
  <c r="I679" i="1"/>
  <c r="H679" i="1"/>
  <c r="A679" i="1"/>
  <c r="I678" i="1"/>
  <c r="H678" i="1"/>
  <c r="A678" i="1"/>
  <c r="I677" i="1"/>
  <c r="H677" i="1"/>
  <c r="A677" i="1"/>
  <c r="I676" i="1"/>
  <c r="H676" i="1"/>
  <c r="A676" i="1"/>
  <c r="I675" i="1"/>
  <c r="H675" i="1"/>
  <c r="A675" i="1"/>
  <c r="I674" i="1"/>
  <c r="H674" i="1"/>
  <c r="A674" i="1"/>
  <c r="I673" i="1"/>
  <c r="H673" i="1"/>
  <c r="A673" i="1"/>
  <c r="I672" i="1"/>
  <c r="H672" i="1"/>
  <c r="A672" i="1"/>
  <c r="I671" i="1"/>
  <c r="H671" i="1"/>
  <c r="A671" i="1"/>
  <c r="I670" i="1"/>
  <c r="H670" i="1"/>
  <c r="A670" i="1"/>
  <c r="I669" i="1"/>
  <c r="H669" i="1"/>
  <c r="A669" i="1"/>
  <c r="I668" i="1"/>
  <c r="H668" i="1"/>
  <c r="A668" i="1"/>
  <c r="I667" i="1"/>
  <c r="H667" i="1"/>
  <c r="A667" i="1"/>
  <c r="I666" i="1"/>
  <c r="H666" i="1"/>
  <c r="A666" i="1"/>
  <c r="I665" i="1"/>
  <c r="H665" i="1"/>
  <c r="A665" i="1"/>
  <c r="I664" i="1"/>
  <c r="H664" i="1"/>
  <c r="A664" i="1"/>
  <c r="I663" i="1"/>
  <c r="H663" i="1"/>
  <c r="A663" i="1"/>
  <c r="I662" i="1"/>
  <c r="H662" i="1"/>
  <c r="A662" i="1"/>
  <c r="I661" i="1"/>
  <c r="H661" i="1"/>
  <c r="A661" i="1"/>
  <c r="I660" i="1"/>
  <c r="H660" i="1"/>
  <c r="A660" i="1"/>
  <c r="I659" i="1"/>
  <c r="H659" i="1"/>
  <c r="A659" i="1"/>
  <c r="I658" i="1"/>
  <c r="H658" i="1"/>
  <c r="A658" i="1"/>
  <c r="I657" i="1"/>
  <c r="H657" i="1"/>
  <c r="A657" i="1"/>
  <c r="I656" i="1"/>
  <c r="H656" i="1"/>
  <c r="A656" i="1"/>
  <c r="I655" i="1"/>
  <c r="H655" i="1"/>
  <c r="A655" i="1"/>
  <c r="I654" i="1"/>
  <c r="H654" i="1"/>
  <c r="A654" i="1"/>
  <c r="I653" i="1"/>
  <c r="H653" i="1"/>
  <c r="A653" i="1"/>
  <c r="I652" i="1"/>
  <c r="H652" i="1"/>
  <c r="A652" i="1"/>
  <c r="I651" i="1"/>
  <c r="H651" i="1"/>
  <c r="A651" i="1"/>
  <c r="I650" i="1"/>
  <c r="H650" i="1"/>
  <c r="A650" i="1"/>
  <c r="I649" i="1"/>
  <c r="H649" i="1"/>
  <c r="A649" i="1"/>
  <c r="I648" i="1"/>
  <c r="H648" i="1"/>
  <c r="A648" i="1"/>
  <c r="I647" i="1"/>
  <c r="H647" i="1"/>
  <c r="A647" i="1"/>
  <c r="I646" i="1"/>
  <c r="H646" i="1"/>
  <c r="A646" i="1"/>
  <c r="I645" i="1"/>
  <c r="H645" i="1"/>
  <c r="A645" i="1"/>
  <c r="I644" i="1"/>
  <c r="H644" i="1"/>
  <c r="A644" i="1"/>
  <c r="I643" i="1"/>
  <c r="H643" i="1"/>
  <c r="A643" i="1"/>
  <c r="I642" i="1"/>
  <c r="H642" i="1"/>
  <c r="A642" i="1"/>
  <c r="I641" i="1"/>
  <c r="H641" i="1"/>
  <c r="A641" i="1"/>
  <c r="I640" i="1"/>
  <c r="H640" i="1"/>
  <c r="A640" i="1"/>
  <c r="I639" i="1"/>
  <c r="H639" i="1"/>
  <c r="A639" i="1"/>
  <c r="I638" i="1"/>
  <c r="H638" i="1"/>
  <c r="A638" i="1"/>
  <c r="I637" i="1"/>
  <c r="H637" i="1"/>
  <c r="A637" i="1"/>
  <c r="I636" i="1"/>
  <c r="H636" i="1"/>
  <c r="A636" i="1"/>
  <c r="I635" i="1"/>
  <c r="H635" i="1"/>
  <c r="A635" i="1"/>
  <c r="I634" i="1"/>
  <c r="H634" i="1"/>
  <c r="A634" i="1"/>
  <c r="I633" i="1"/>
  <c r="H633" i="1"/>
  <c r="A633" i="1"/>
  <c r="I632" i="1"/>
  <c r="H632" i="1"/>
  <c r="A632" i="1"/>
  <c r="I631" i="1"/>
  <c r="H631" i="1"/>
  <c r="A631" i="1"/>
  <c r="I630" i="1"/>
  <c r="H630" i="1"/>
  <c r="A630" i="1"/>
  <c r="I629" i="1"/>
  <c r="H629" i="1"/>
  <c r="A629" i="1"/>
  <c r="I628" i="1"/>
  <c r="H628" i="1"/>
  <c r="A628" i="1"/>
  <c r="I627" i="1"/>
  <c r="H627" i="1"/>
  <c r="A627" i="1"/>
  <c r="I626" i="1"/>
  <c r="H626" i="1"/>
  <c r="A626" i="1"/>
  <c r="I625" i="1"/>
  <c r="H625" i="1"/>
  <c r="A625" i="1"/>
  <c r="I624" i="1"/>
  <c r="H624" i="1"/>
  <c r="A624" i="1"/>
  <c r="I623" i="1"/>
  <c r="H623" i="1"/>
  <c r="A623" i="1"/>
  <c r="I622" i="1"/>
  <c r="H622" i="1"/>
  <c r="A622" i="1"/>
  <c r="I621" i="1"/>
  <c r="H621" i="1"/>
  <c r="A621" i="1"/>
  <c r="I620" i="1"/>
  <c r="H620" i="1"/>
  <c r="A620" i="1"/>
  <c r="I619" i="1"/>
  <c r="H619" i="1"/>
  <c r="A619" i="1"/>
  <c r="I618" i="1"/>
  <c r="H618" i="1"/>
  <c r="A618" i="1"/>
  <c r="I617" i="1"/>
  <c r="H617" i="1"/>
  <c r="A617" i="1"/>
  <c r="I616" i="1"/>
  <c r="H616" i="1"/>
  <c r="A616" i="1"/>
  <c r="I615" i="1"/>
  <c r="H615" i="1"/>
  <c r="A615" i="1"/>
  <c r="I614" i="1"/>
  <c r="H614" i="1"/>
  <c r="A614" i="1"/>
  <c r="I613" i="1"/>
  <c r="H613" i="1"/>
  <c r="A613" i="1"/>
  <c r="I612" i="1"/>
  <c r="H612" i="1"/>
  <c r="A612" i="1"/>
  <c r="I611" i="1"/>
  <c r="H611" i="1"/>
  <c r="A611" i="1"/>
  <c r="I610" i="1"/>
  <c r="H610" i="1"/>
  <c r="A610" i="1"/>
  <c r="I609" i="1"/>
  <c r="H609" i="1"/>
  <c r="A609" i="1"/>
  <c r="I608" i="1"/>
  <c r="H608" i="1"/>
  <c r="A608" i="1"/>
  <c r="I607" i="1"/>
  <c r="H607" i="1"/>
  <c r="A607" i="1"/>
  <c r="I606" i="1"/>
  <c r="H606" i="1"/>
  <c r="A606" i="1"/>
  <c r="I605" i="1"/>
  <c r="H605" i="1"/>
  <c r="A605" i="1"/>
  <c r="I604" i="1"/>
  <c r="H604" i="1"/>
  <c r="A604" i="1"/>
  <c r="I603" i="1"/>
  <c r="H603" i="1"/>
  <c r="A603" i="1"/>
  <c r="I602" i="1"/>
  <c r="H602" i="1"/>
  <c r="A602" i="1"/>
  <c r="I601" i="1"/>
  <c r="H601" i="1"/>
  <c r="A601" i="1"/>
  <c r="I600" i="1"/>
  <c r="H600" i="1"/>
  <c r="A600" i="1"/>
  <c r="I599" i="1"/>
  <c r="H599" i="1"/>
  <c r="A599" i="1"/>
  <c r="I598" i="1"/>
  <c r="H598" i="1"/>
  <c r="A598" i="1"/>
  <c r="I597" i="1"/>
  <c r="H597" i="1"/>
  <c r="A597" i="1"/>
  <c r="I596" i="1"/>
  <c r="H596" i="1"/>
  <c r="A596" i="1"/>
  <c r="I595" i="1"/>
  <c r="H595" i="1"/>
  <c r="A595" i="1"/>
  <c r="I594" i="1"/>
  <c r="H594" i="1"/>
  <c r="A594" i="1"/>
  <c r="I593" i="1"/>
  <c r="H593" i="1"/>
  <c r="A593" i="1"/>
  <c r="I592" i="1"/>
  <c r="H592" i="1"/>
  <c r="A592" i="1"/>
  <c r="I591" i="1"/>
  <c r="H591" i="1"/>
  <c r="A591" i="1"/>
  <c r="I590" i="1"/>
  <c r="H590" i="1"/>
  <c r="A590" i="1"/>
  <c r="I589" i="1"/>
  <c r="H589" i="1"/>
  <c r="A589" i="1"/>
  <c r="I588" i="1"/>
  <c r="H588" i="1"/>
  <c r="A588" i="1"/>
  <c r="I587" i="1"/>
  <c r="H587" i="1"/>
  <c r="A587" i="1"/>
  <c r="I586" i="1"/>
  <c r="H586" i="1"/>
  <c r="A586" i="1"/>
  <c r="I585" i="1"/>
  <c r="H585" i="1"/>
  <c r="A585" i="1"/>
  <c r="I584" i="1"/>
  <c r="H584" i="1"/>
  <c r="A584" i="1"/>
  <c r="I583" i="1"/>
  <c r="H583" i="1"/>
  <c r="A583" i="1"/>
  <c r="I582" i="1"/>
  <c r="H582" i="1"/>
  <c r="A582" i="1"/>
  <c r="I581" i="1"/>
  <c r="H581" i="1"/>
  <c r="A581" i="1"/>
  <c r="I580" i="1"/>
  <c r="H580" i="1"/>
  <c r="A580" i="1"/>
  <c r="I579" i="1"/>
  <c r="H579" i="1"/>
  <c r="A579" i="1"/>
  <c r="I578" i="1"/>
  <c r="H578" i="1"/>
  <c r="A578" i="1"/>
  <c r="I577" i="1"/>
  <c r="H577" i="1"/>
  <c r="A577" i="1"/>
  <c r="I576" i="1"/>
  <c r="H576" i="1"/>
  <c r="A576" i="1"/>
  <c r="I575" i="1"/>
  <c r="H575" i="1"/>
  <c r="A575" i="1"/>
  <c r="I574" i="1"/>
  <c r="H574" i="1"/>
  <c r="A574" i="1"/>
  <c r="I573" i="1"/>
  <c r="H573" i="1"/>
  <c r="A573" i="1"/>
  <c r="I572" i="1"/>
  <c r="H572" i="1"/>
  <c r="A572" i="1"/>
  <c r="I571" i="1"/>
  <c r="H571" i="1"/>
  <c r="A571" i="1"/>
  <c r="I570" i="1"/>
  <c r="H570" i="1"/>
  <c r="A570" i="1"/>
  <c r="I569" i="1"/>
  <c r="H569" i="1"/>
  <c r="A569" i="1"/>
  <c r="I568" i="1"/>
  <c r="H568" i="1"/>
  <c r="A568" i="1"/>
  <c r="I567" i="1"/>
  <c r="H567" i="1"/>
  <c r="A567" i="1"/>
  <c r="I566" i="1"/>
  <c r="H566" i="1"/>
  <c r="A566" i="1"/>
  <c r="I565" i="1"/>
  <c r="H565" i="1"/>
  <c r="A565" i="1"/>
  <c r="I564" i="1"/>
  <c r="H564" i="1"/>
  <c r="A564" i="1"/>
  <c r="I563" i="1"/>
  <c r="H563" i="1"/>
  <c r="A563" i="1"/>
  <c r="I562" i="1"/>
  <c r="H562" i="1"/>
  <c r="A562" i="1"/>
  <c r="I561" i="1"/>
  <c r="H561" i="1"/>
  <c r="A561" i="1"/>
  <c r="I560" i="1"/>
  <c r="H560" i="1"/>
  <c r="A560" i="1"/>
  <c r="I559" i="1"/>
  <c r="H559" i="1"/>
  <c r="A559" i="1"/>
  <c r="I558" i="1"/>
  <c r="H558" i="1"/>
  <c r="A558" i="1"/>
  <c r="I557" i="1"/>
  <c r="H557" i="1"/>
  <c r="A557" i="1"/>
  <c r="I556" i="1"/>
  <c r="H556" i="1"/>
  <c r="A556" i="1"/>
  <c r="I555" i="1"/>
  <c r="H555" i="1"/>
  <c r="A555" i="1"/>
  <c r="I554" i="1"/>
  <c r="H554" i="1"/>
  <c r="A554" i="1"/>
  <c r="I553" i="1"/>
  <c r="H553" i="1"/>
  <c r="A553" i="1"/>
  <c r="I552" i="1"/>
  <c r="H552" i="1"/>
  <c r="A552" i="1"/>
  <c r="I551" i="1"/>
  <c r="H551" i="1"/>
  <c r="A551" i="1"/>
  <c r="I550" i="1"/>
  <c r="H550" i="1"/>
  <c r="A550" i="1"/>
  <c r="I549" i="1"/>
  <c r="H549" i="1"/>
  <c r="A549" i="1"/>
  <c r="I548" i="1"/>
  <c r="H548" i="1"/>
  <c r="A548" i="1"/>
  <c r="I547" i="1"/>
  <c r="H547" i="1"/>
  <c r="A547" i="1"/>
  <c r="I546" i="1"/>
  <c r="H546" i="1"/>
  <c r="A546" i="1"/>
  <c r="I545" i="1"/>
  <c r="H545" i="1"/>
  <c r="A545" i="1"/>
  <c r="I544" i="1"/>
  <c r="H544" i="1"/>
  <c r="A544" i="1"/>
  <c r="I543" i="1"/>
  <c r="H543" i="1"/>
  <c r="A543" i="1"/>
  <c r="I542" i="1"/>
  <c r="H542" i="1"/>
  <c r="A542" i="1"/>
  <c r="I541" i="1"/>
  <c r="H541" i="1"/>
  <c r="A541" i="1"/>
  <c r="I540" i="1"/>
  <c r="H540" i="1"/>
  <c r="A540" i="1"/>
  <c r="I539" i="1"/>
  <c r="H539" i="1"/>
  <c r="A539" i="1"/>
  <c r="I538" i="1"/>
  <c r="H538" i="1"/>
  <c r="A538" i="1"/>
  <c r="I537" i="1"/>
  <c r="H537" i="1"/>
  <c r="A537" i="1"/>
  <c r="I536" i="1"/>
  <c r="H536" i="1"/>
  <c r="A536" i="1"/>
  <c r="I535" i="1"/>
  <c r="H535" i="1"/>
  <c r="A535" i="1"/>
  <c r="I534" i="1"/>
  <c r="H534" i="1"/>
  <c r="A534" i="1"/>
  <c r="I533" i="1"/>
  <c r="H533" i="1"/>
  <c r="A533" i="1"/>
  <c r="I532" i="1"/>
  <c r="H532" i="1"/>
  <c r="A532" i="1"/>
  <c r="I531" i="1"/>
  <c r="H531" i="1"/>
  <c r="A531" i="1"/>
  <c r="I530" i="1"/>
  <c r="H530" i="1"/>
  <c r="A530" i="1"/>
  <c r="I529" i="1"/>
  <c r="H529" i="1"/>
  <c r="A529" i="1"/>
  <c r="I528" i="1"/>
  <c r="H528" i="1"/>
  <c r="A528" i="1"/>
  <c r="I527" i="1"/>
  <c r="H527" i="1"/>
  <c r="A527" i="1"/>
  <c r="I526" i="1"/>
  <c r="H526" i="1"/>
  <c r="A526" i="1"/>
  <c r="I525" i="1"/>
  <c r="H525" i="1"/>
  <c r="A525" i="1"/>
  <c r="I524" i="1"/>
  <c r="H524" i="1"/>
  <c r="A524" i="1"/>
  <c r="I523" i="1"/>
  <c r="H523" i="1"/>
  <c r="A523" i="1"/>
  <c r="I522" i="1"/>
  <c r="H522" i="1"/>
  <c r="A522" i="1"/>
  <c r="I521" i="1"/>
  <c r="H521" i="1"/>
  <c r="A521" i="1"/>
  <c r="I520" i="1"/>
  <c r="H520" i="1"/>
  <c r="A520" i="1"/>
  <c r="I519" i="1"/>
  <c r="H519" i="1"/>
  <c r="A519" i="1"/>
  <c r="I518" i="1"/>
  <c r="H518" i="1"/>
  <c r="A518" i="1"/>
  <c r="I517" i="1"/>
  <c r="H517" i="1"/>
  <c r="A517" i="1"/>
  <c r="I516" i="1"/>
  <c r="H516" i="1"/>
  <c r="A516" i="1"/>
  <c r="I515" i="1"/>
  <c r="H515" i="1"/>
  <c r="A515" i="1"/>
  <c r="I514" i="1"/>
  <c r="H514" i="1"/>
  <c r="A514" i="1"/>
  <c r="I513" i="1"/>
  <c r="H513" i="1"/>
  <c r="A513" i="1"/>
  <c r="I512" i="1"/>
  <c r="H512" i="1"/>
  <c r="A512" i="1"/>
  <c r="I511" i="1"/>
  <c r="H511" i="1"/>
  <c r="A511" i="1"/>
  <c r="I510" i="1"/>
  <c r="H510" i="1"/>
  <c r="A510" i="1"/>
  <c r="I509" i="1"/>
  <c r="H509" i="1"/>
  <c r="A509" i="1"/>
  <c r="I508" i="1"/>
  <c r="H508" i="1"/>
  <c r="A508" i="1"/>
  <c r="I507" i="1"/>
  <c r="H507" i="1"/>
  <c r="A507" i="1"/>
  <c r="I506" i="1"/>
  <c r="H506" i="1"/>
  <c r="A506" i="1"/>
  <c r="I505" i="1"/>
  <c r="H505" i="1"/>
  <c r="A505" i="1"/>
  <c r="I504" i="1"/>
  <c r="H504" i="1"/>
  <c r="A504" i="1"/>
  <c r="I503" i="1"/>
  <c r="H503" i="1"/>
  <c r="A503" i="1"/>
  <c r="I502" i="1"/>
  <c r="H502" i="1"/>
  <c r="A502" i="1"/>
  <c r="I501" i="1"/>
  <c r="H501" i="1"/>
  <c r="A501" i="1"/>
  <c r="I500" i="1"/>
  <c r="H500" i="1"/>
  <c r="A500" i="1"/>
  <c r="I499" i="1"/>
  <c r="H499" i="1"/>
  <c r="A499" i="1"/>
  <c r="I498" i="1"/>
  <c r="H498" i="1"/>
  <c r="A498" i="1"/>
  <c r="I497" i="1"/>
  <c r="H497" i="1"/>
  <c r="A497" i="1"/>
  <c r="I496" i="1"/>
  <c r="H496" i="1"/>
  <c r="A496" i="1"/>
  <c r="I495" i="1"/>
  <c r="H495" i="1"/>
  <c r="A495" i="1"/>
  <c r="I494" i="1"/>
  <c r="H494" i="1"/>
  <c r="A494" i="1"/>
  <c r="I493" i="1"/>
  <c r="H493" i="1"/>
  <c r="A493" i="1"/>
  <c r="I492" i="1"/>
  <c r="H492" i="1"/>
  <c r="A492" i="1"/>
  <c r="I491" i="1"/>
  <c r="H491" i="1"/>
  <c r="A491" i="1"/>
  <c r="I490" i="1"/>
  <c r="H490" i="1"/>
  <c r="A490" i="1"/>
  <c r="I489" i="1"/>
  <c r="H489" i="1"/>
  <c r="A489" i="1"/>
  <c r="I488" i="1"/>
  <c r="H488" i="1"/>
  <c r="A488" i="1"/>
  <c r="I487" i="1"/>
  <c r="H487" i="1"/>
  <c r="A487" i="1"/>
  <c r="I486" i="1"/>
  <c r="H486" i="1"/>
  <c r="A486" i="1"/>
  <c r="I485" i="1"/>
  <c r="H485" i="1"/>
  <c r="A485" i="1"/>
  <c r="I484" i="1"/>
  <c r="H484" i="1"/>
  <c r="A484" i="1"/>
  <c r="I483" i="1"/>
  <c r="H483" i="1"/>
  <c r="A483" i="1"/>
  <c r="I482" i="1"/>
  <c r="H482" i="1"/>
  <c r="A482" i="1"/>
  <c r="I481" i="1"/>
  <c r="H481" i="1"/>
  <c r="A481" i="1"/>
  <c r="I480" i="1"/>
  <c r="H480" i="1"/>
  <c r="A480" i="1"/>
  <c r="I479" i="1"/>
  <c r="H479" i="1"/>
  <c r="A479" i="1"/>
  <c r="I478" i="1"/>
  <c r="H478" i="1"/>
  <c r="A478" i="1"/>
  <c r="I477" i="1"/>
  <c r="H477" i="1"/>
  <c r="A477" i="1"/>
  <c r="I476" i="1"/>
  <c r="H476" i="1"/>
  <c r="A476" i="1"/>
  <c r="I475" i="1"/>
  <c r="H475" i="1"/>
  <c r="A475" i="1"/>
  <c r="I474" i="1"/>
  <c r="H474" i="1"/>
  <c r="A474" i="1"/>
  <c r="I473" i="1"/>
  <c r="H473" i="1"/>
  <c r="A473" i="1"/>
  <c r="I472" i="1"/>
  <c r="H472" i="1"/>
  <c r="A472" i="1"/>
  <c r="I471" i="1"/>
  <c r="H471" i="1"/>
  <c r="A471" i="1"/>
  <c r="I470" i="1"/>
  <c r="H470" i="1"/>
  <c r="A470" i="1"/>
  <c r="I469" i="1"/>
  <c r="H469" i="1"/>
  <c r="A469" i="1"/>
  <c r="I468" i="1"/>
  <c r="H468" i="1"/>
  <c r="A468" i="1"/>
  <c r="I467" i="1"/>
  <c r="H467" i="1"/>
  <c r="A467" i="1"/>
  <c r="I466" i="1"/>
  <c r="H466" i="1"/>
  <c r="A466" i="1"/>
  <c r="I465" i="1"/>
  <c r="H465" i="1"/>
  <c r="A465" i="1"/>
  <c r="I464" i="1"/>
  <c r="H464" i="1"/>
  <c r="A464" i="1"/>
  <c r="I463" i="1"/>
  <c r="H463" i="1"/>
  <c r="A463" i="1"/>
  <c r="I462" i="1"/>
  <c r="H462" i="1"/>
  <c r="A462" i="1"/>
  <c r="I461" i="1"/>
  <c r="H461" i="1"/>
  <c r="A461" i="1"/>
  <c r="I460" i="1"/>
  <c r="H460" i="1"/>
  <c r="A460" i="1"/>
  <c r="I459" i="1"/>
  <c r="H459" i="1"/>
  <c r="A459" i="1"/>
  <c r="I458" i="1"/>
  <c r="H458" i="1"/>
  <c r="A458" i="1"/>
  <c r="I457" i="1"/>
  <c r="H457" i="1"/>
  <c r="A457" i="1"/>
  <c r="I456" i="1"/>
  <c r="H456" i="1"/>
  <c r="A456" i="1"/>
  <c r="I455" i="1"/>
  <c r="H455" i="1"/>
  <c r="A455" i="1"/>
  <c r="I454" i="1"/>
  <c r="H454" i="1"/>
  <c r="A454" i="1"/>
  <c r="I453" i="1"/>
  <c r="H453" i="1"/>
  <c r="A453" i="1"/>
  <c r="I452" i="1"/>
  <c r="H452" i="1"/>
  <c r="A452" i="1"/>
  <c r="I451" i="1"/>
  <c r="H451" i="1"/>
  <c r="A451" i="1"/>
  <c r="I450" i="1"/>
  <c r="H450" i="1"/>
  <c r="A450" i="1"/>
  <c r="I449" i="1"/>
  <c r="H449" i="1"/>
  <c r="A449" i="1"/>
  <c r="I448" i="1"/>
  <c r="H448" i="1"/>
  <c r="A448" i="1"/>
  <c r="I447" i="1"/>
  <c r="H447" i="1"/>
  <c r="A447" i="1"/>
  <c r="I446" i="1"/>
  <c r="H446" i="1"/>
  <c r="A446" i="1"/>
  <c r="I445" i="1"/>
  <c r="H445" i="1"/>
  <c r="A445" i="1"/>
  <c r="I444" i="1"/>
  <c r="H444" i="1"/>
  <c r="A444" i="1"/>
  <c r="I443" i="1"/>
  <c r="H443" i="1"/>
  <c r="A443" i="1"/>
  <c r="I442" i="1"/>
  <c r="H442" i="1"/>
  <c r="A442" i="1"/>
  <c r="I441" i="1"/>
  <c r="H441" i="1"/>
  <c r="A441" i="1"/>
  <c r="I440" i="1"/>
  <c r="H440" i="1"/>
  <c r="A440" i="1"/>
  <c r="I439" i="1"/>
  <c r="H439" i="1"/>
  <c r="A439" i="1"/>
  <c r="I438" i="1"/>
  <c r="H438" i="1"/>
  <c r="A438" i="1"/>
  <c r="I437" i="1"/>
  <c r="H437" i="1"/>
  <c r="A437" i="1"/>
  <c r="I436" i="1"/>
  <c r="H436" i="1"/>
  <c r="A436" i="1"/>
  <c r="I435" i="1"/>
  <c r="H435" i="1"/>
  <c r="A435" i="1"/>
  <c r="I434" i="1"/>
  <c r="H434" i="1"/>
  <c r="A434" i="1"/>
  <c r="I433" i="1"/>
  <c r="H433" i="1"/>
  <c r="A433" i="1"/>
  <c r="I432" i="1"/>
  <c r="H432" i="1"/>
  <c r="A432" i="1"/>
  <c r="I431" i="1"/>
  <c r="H431" i="1"/>
  <c r="A431" i="1"/>
  <c r="I430" i="1"/>
  <c r="H430" i="1"/>
  <c r="A430" i="1"/>
  <c r="I429" i="1"/>
  <c r="H429" i="1"/>
  <c r="A429" i="1"/>
  <c r="I428" i="1"/>
  <c r="H428" i="1"/>
  <c r="A428" i="1"/>
  <c r="I427" i="1"/>
  <c r="H427" i="1"/>
  <c r="A427" i="1"/>
  <c r="I426" i="1"/>
  <c r="H426" i="1"/>
  <c r="A426" i="1"/>
  <c r="I425" i="1"/>
  <c r="H425" i="1"/>
  <c r="A425" i="1"/>
  <c r="I424" i="1"/>
  <c r="H424" i="1"/>
  <c r="A424" i="1"/>
  <c r="I423" i="1"/>
  <c r="H423" i="1"/>
  <c r="A423" i="1"/>
  <c r="I422" i="1"/>
  <c r="H422" i="1"/>
  <c r="A422" i="1"/>
  <c r="I421" i="1"/>
  <c r="H421" i="1"/>
  <c r="A421" i="1"/>
  <c r="I420" i="1"/>
  <c r="H420" i="1"/>
  <c r="A420" i="1"/>
  <c r="I419" i="1"/>
  <c r="H419" i="1"/>
  <c r="A419" i="1"/>
  <c r="I418" i="1"/>
  <c r="H418" i="1"/>
  <c r="A418" i="1"/>
  <c r="I417" i="1"/>
  <c r="H417" i="1"/>
  <c r="A417" i="1"/>
  <c r="I416" i="1"/>
  <c r="H416" i="1"/>
  <c r="A416" i="1"/>
  <c r="I415" i="1"/>
  <c r="H415" i="1"/>
  <c r="A415" i="1"/>
  <c r="I414" i="1"/>
  <c r="H414" i="1"/>
  <c r="A414" i="1"/>
  <c r="I413" i="1"/>
  <c r="H413" i="1"/>
  <c r="A413" i="1"/>
  <c r="I412" i="1"/>
  <c r="H412" i="1"/>
  <c r="A412" i="1"/>
  <c r="I411" i="1"/>
  <c r="H411" i="1"/>
  <c r="A411" i="1"/>
  <c r="I410" i="1"/>
  <c r="H410" i="1"/>
  <c r="A410" i="1"/>
  <c r="I409" i="1"/>
  <c r="H409" i="1"/>
  <c r="A409" i="1"/>
  <c r="I408" i="1"/>
  <c r="H408" i="1"/>
  <c r="A408" i="1"/>
  <c r="I407" i="1"/>
  <c r="H407" i="1"/>
  <c r="A407" i="1"/>
  <c r="I406" i="1"/>
  <c r="H406" i="1"/>
  <c r="A406" i="1"/>
  <c r="I405" i="1"/>
  <c r="H405" i="1"/>
  <c r="A405" i="1"/>
  <c r="I404" i="1"/>
  <c r="H404" i="1"/>
  <c r="A404" i="1"/>
  <c r="I403" i="1"/>
  <c r="H403" i="1"/>
  <c r="A403" i="1"/>
  <c r="I402" i="1"/>
  <c r="H402" i="1"/>
  <c r="A402" i="1"/>
  <c r="I401" i="1"/>
  <c r="H401" i="1"/>
  <c r="A401" i="1"/>
  <c r="I400" i="1"/>
  <c r="H400" i="1"/>
  <c r="A400" i="1"/>
  <c r="I399" i="1"/>
  <c r="H399" i="1"/>
  <c r="A399" i="1"/>
  <c r="I398" i="1"/>
  <c r="H398" i="1"/>
  <c r="A398" i="1"/>
  <c r="I397" i="1"/>
  <c r="H397" i="1"/>
  <c r="A397" i="1"/>
  <c r="I396" i="1"/>
  <c r="H396" i="1"/>
  <c r="A396" i="1"/>
  <c r="I395" i="1"/>
  <c r="H395" i="1"/>
  <c r="A395" i="1"/>
  <c r="I394" i="1"/>
  <c r="H394" i="1"/>
  <c r="A394" i="1"/>
  <c r="I393" i="1"/>
  <c r="H393" i="1"/>
  <c r="A393" i="1"/>
  <c r="I392" i="1"/>
  <c r="H392" i="1"/>
  <c r="A392" i="1"/>
  <c r="I391" i="1"/>
  <c r="H391" i="1"/>
  <c r="A391" i="1"/>
  <c r="I390" i="1"/>
  <c r="H390" i="1"/>
  <c r="A390" i="1"/>
  <c r="I389" i="1"/>
  <c r="H389" i="1"/>
  <c r="A389" i="1"/>
  <c r="I388" i="1"/>
  <c r="H388" i="1"/>
  <c r="A388" i="1"/>
  <c r="I387" i="1"/>
  <c r="H387" i="1"/>
  <c r="A387" i="1"/>
  <c r="I386" i="1"/>
  <c r="H386" i="1"/>
  <c r="A386" i="1"/>
  <c r="I385" i="1"/>
  <c r="H385" i="1"/>
  <c r="A385" i="1"/>
  <c r="I384" i="1"/>
  <c r="H384" i="1"/>
  <c r="A384" i="1"/>
  <c r="I383" i="1"/>
  <c r="H383" i="1"/>
  <c r="A383" i="1"/>
  <c r="I382" i="1"/>
  <c r="H382" i="1"/>
  <c r="A382" i="1"/>
  <c r="I381" i="1"/>
  <c r="H381" i="1"/>
  <c r="A381" i="1"/>
  <c r="I380" i="1"/>
  <c r="H380" i="1"/>
  <c r="A380" i="1"/>
  <c r="I379" i="1"/>
  <c r="H379" i="1"/>
  <c r="A379" i="1"/>
  <c r="I378" i="1"/>
  <c r="H378" i="1"/>
  <c r="A378" i="1"/>
  <c r="I377" i="1"/>
  <c r="H377" i="1"/>
  <c r="A377" i="1"/>
  <c r="I376" i="1"/>
  <c r="H376" i="1"/>
  <c r="A376" i="1"/>
  <c r="I375" i="1"/>
  <c r="H375" i="1"/>
  <c r="A375" i="1"/>
  <c r="I374" i="1"/>
  <c r="H374" i="1"/>
  <c r="A374" i="1"/>
  <c r="I373" i="1"/>
  <c r="H373" i="1"/>
  <c r="A373" i="1"/>
  <c r="I372" i="1"/>
  <c r="H372" i="1"/>
  <c r="A372" i="1"/>
  <c r="I371" i="1"/>
  <c r="H371" i="1"/>
  <c r="A371" i="1"/>
  <c r="I370" i="1"/>
  <c r="H370" i="1"/>
  <c r="A370" i="1"/>
  <c r="I369" i="1"/>
  <c r="H369" i="1"/>
  <c r="A369" i="1"/>
  <c r="I368" i="1"/>
  <c r="H368" i="1"/>
  <c r="A368" i="1"/>
  <c r="I367" i="1"/>
  <c r="H367" i="1"/>
  <c r="A367" i="1"/>
  <c r="I366" i="1"/>
  <c r="H366" i="1"/>
  <c r="A366" i="1"/>
  <c r="I365" i="1"/>
  <c r="H365" i="1"/>
  <c r="A365" i="1"/>
  <c r="I364" i="1"/>
  <c r="H364" i="1"/>
  <c r="A364" i="1"/>
  <c r="I363" i="1"/>
  <c r="H363" i="1"/>
  <c r="A363" i="1"/>
  <c r="I362" i="1"/>
  <c r="H362" i="1"/>
  <c r="A362" i="1"/>
  <c r="I361" i="1"/>
  <c r="H361" i="1"/>
  <c r="A361" i="1"/>
  <c r="I360" i="1"/>
  <c r="H360" i="1"/>
  <c r="A360" i="1"/>
  <c r="I359" i="1"/>
  <c r="H359" i="1"/>
  <c r="A359" i="1"/>
  <c r="I358" i="1"/>
  <c r="H358" i="1"/>
  <c r="A358" i="1"/>
  <c r="I357" i="1"/>
  <c r="H357" i="1"/>
  <c r="A357" i="1"/>
  <c r="I356" i="1"/>
  <c r="H356" i="1"/>
  <c r="A356" i="1"/>
  <c r="I355" i="1"/>
  <c r="H355" i="1"/>
  <c r="A355" i="1"/>
  <c r="I354" i="1"/>
  <c r="H354" i="1"/>
  <c r="A354" i="1"/>
  <c r="I353" i="1"/>
  <c r="H353" i="1"/>
  <c r="A353" i="1"/>
  <c r="I352" i="1"/>
  <c r="H352" i="1"/>
  <c r="A352" i="1"/>
  <c r="I351" i="1"/>
  <c r="H351" i="1"/>
  <c r="A351" i="1"/>
  <c r="I350" i="1"/>
  <c r="H350" i="1"/>
  <c r="A350" i="1"/>
  <c r="I349" i="1"/>
  <c r="H349" i="1"/>
  <c r="A349" i="1"/>
  <c r="I348" i="1"/>
  <c r="H348" i="1"/>
  <c r="A348" i="1"/>
  <c r="I347" i="1"/>
  <c r="H347" i="1"/>
  <c r="A347" i="1"/>
  <c r="I346" i="1"/>
  <c r="H346" i="1"/>
  <c r="A346" i="1"/>
  <c r="I345" i="1"/>
  <c r="H345" i="1"/>
  <c r="A345" i="1"/>
  <c r="I344" i="1"/>
  <c r="H344" i="1"/>
  <c r="A344" i="1"/>
  <c r="I343" i="1"/>
  <c r="H343" i="1"/>
  <c r="A343" i="1"/>
  <c r="I342" i="1"/>
  <c r="H342" i="1"/>
  <c r="A342" i="1"/>
  <c r="I341" i="1"/>
  <c r="H341" i="1"/>
  <c r="A341" i="1"/>
  <c r="I340" i="1"/>
  <c r="H340" i="1"/>
  <c r="A340" i="1"/>
  <c r="I339" i="1"/>
  <c r="H339" i="1"/>
  <c r="A339" i="1"/>
  <c r="I338" i="1"/>
  <c r="H338" i="1"/>
  <c r="A338" i="1"/>
  <c r="I337" i="1"/>
  <c r="H337" i="1"/>
  <c r="A337" i="1"/>
  <c r="I336" i="1"/>
  <c r="H336" i="1"/>
  <c r="A336" i="1"/>
  <c r="I335" i="1"/>
  <c r="H335" i="1"/>
  <c r="A335" i="1"/>
  <c r="I334" i="1"/>
  <c r="H334" i="1"/>
  <c r="A334" i="1"/>
  <c r="I333" i="1"/>
  <c r="H333" i="1"/>
  <c r="A333" i="1"/>
  <c r="I332" i="1"/>
  <c r="H332" i="1"/>
  <c r="A332" i="1"/>
  <c r="I331" i="1"/>
  <c r="H331" i="1"/>
  <c r="A331" i="1"/>
  <c r="I330" i="1"/>
  <c r="H330" i="1"/>
  <c r="A330" i="1"/>
  <c r="I329" i="1"/>
  <c r="H329" i="1"/>
  <c r="A329" i="1"/>
  <c r="I328" i="1"/>
  <c r="H328" i="1"/>
  <c r="A328" i="1"/>
  <c r="I327" i="1"/>
  <c r="H327" i="1"/>
  <c r="A327" i="1"/>
  <c r="I326" i="1"/>
  <c r="H326" i="1"/>
  <c r="A326" i="1"/>
  <c r="I325" i="1"/>
  <c r="H325" i="1"/>
  <c r="A325" i="1"/>
  <c r="I324" i="1"/>
  <c r="H324" i="1"/>
  <c r="A324" i="1"/>
  <c r="I323" i="1"/>
  <c r="H323" i="1"/>
  <c r="A323" i="1"/>
  <c r="I322" i="1"/>
  <c r="H322" i="1"/>
  <c r="A322" i="1"/>
  <c r="I321" i="1"/>
  <c r="H321" i="1"/>
  <c r="A321" i="1"/>
  <c r="I320" i="1"/>
  <c r="H320" i="1"/>
  <c r="A320" i="1"/>
  <c r="I319" i="1"/>
  <c r="H319" i="1"/>
  <c r="A319" i="1"/>
  <c r="I318" i="1"/>
  <c r="H318" i="1"/>
  <c r="A318" i="1"/>
  <c r="I317" i="1"/>
  <c r="H317" i="1"/>
  <c r="A317" i="1"/>
  <c r="I316" i="1"/>
  <c r="H316" i="1"/>
  <c r="A316" i="1"/>
  <c r="I315" i="1"/>
  <c r="H315" i="1"/>
  <c r="A315" i="1"/>
  <c r="I314" i="1"/>
  <c r="H314" i="1"/>
  <c r="A314" i="1"/>
  <c r="I313" i="1"/>
  <c r="H313" i="1"/>
  <c r="A313" i="1"/>
  <c r="I312" i="1"/>
  <c r="H312" i="1"/>
  <c r="A312" i="1"/>
  <c r="I311" i="1"/>
  <c r="H311" i="1"/>
  <c r="A311" i="1"/>
  <c r="I310" i="1"/>
  <c r="H310" i="1"/>
  <c r="A310" i="1"/>
  <c r="I309" i="1"/>
  <c r="H309" i="1"/>
  <c r="A309" i="1"/>
  <c r="I308" i="1"/>
  <c r="H308" i="1"/>
  <c r="A308" i="1"/>
  <c r="I307" i="1"/>
  <c r="H307" i="1"/>
  <c r="A307" i="1"/>
  <c r="I306" i="1"/>
  <c r="H306" i="1"/>
  <c r="A306" i="1"/>
  <c r="I305" i="1"/>
  <c r="H305" i="1"/>
  <c r="A305" i="1"/>
  <c r="I304" i="1"/>
  <c r="H304" i="1"/>
  <c r="A304" i="1"/>
  <c r="I303" i="1"/>
  <c r="H303" i="1"/>
  <c r="A303" i="1"/>
  <c r="I302" i="1"/>
  <c r="H302" i="1"/>
  <c r="A302" i="1"/>
  <c r="I301" i="1"/>
  <c r="H301" i="1"/>
  <c r="A301" i="1"/>
  <c r="I300" i="1"/>
  <c r="H300" i="1"/>
  <c r="A300" i="1"/>
  <c r="I299" i="1"/>
  <c r="H299" i="1"/>
  <c r="A299" i="1"/>
  <c r="I298" i="1"/>
  <c r="H298" i="1"/>
  <c r="A298" i="1"/>
  <c r="I297" i="1"/>
  <c r="H297" i="1"/>
  <c r="A297" i="1"/>
  <c r="I296" i="1"/>
  <c r="H296" i="1"/>
  <c r="A296" i="1"/>
  <c r="I295" i="1"/>
  <c r="H295" i="1"/>
  <c r="A295" i="1"/>
  <c r="I294" i="1"/>
  <c r="H294" i="1"/>
  <c r="A294" i="1"/>
  <c r="I293" i="1"/>
  <c r="H293" i="1"/>
  <c r="A293" i="1"/>
  <c r="I292" i="1"/>
  <c r="H292" i="1"/>
  <c r="A292" i="1"/>
  <c r="I291" i="1"/>
  <c r="H291" i="1"/>
  <c r="A291" i="1"/>
  <c r="I290" i="1"/>
  <c r="H290" i="1"/>
  <c r="A290" i="1"/>
  <c r="I289" i="1"/>
  <c r="H289" i="1"/>
  <c r="A289" i="1"/>
  <c r="I288" i="1"/>
  <c r="H288" i="1"/>
  <c r="A288" i="1"/>
  <c r="I287" i="1"/>
  <c r="H287" i="1"/>
  <c r="A287" i="1"/>
  <c r="I286" i="1"/>
  <c r="H286" i="1"/>
  <c r="A286" i="1"/>
  <c r="I285" i="1"/>
  <c r="H285" i="1"/>
  <c r="A285" i="1"/>
  <c r="I284" i="1"/>
  <c r="H284" i="1"/>
  <c r="A284" i="1"/>
  <c r="I283" i="1"/>
  <c r="H283" i="1"/>
  <c r="A283" i="1"/>
  <c r="I282" i="1"/>
  <c r="H282" i="1"/>
  <c r="A282" i="1"/>
  <c r="I281" i="1"/>
  <c r="H281" i="1"/>
  <c r="A281" i="1"/>
  <c r="I280" i="1"/>
  <c r="H280" i="1"/>
  <c r="A280" i="1"/>
  <c r="I279" i="1"/>
  <c r="H279" i="1"/>
  <c r="A279" i="1"/>
  <c r="I278" i="1"/>
  <c r="H278" i="1"/>
  <c r="A278" i="1"/>
  <c r="I277" i="1"/>
  <c r="H277" i="1"/>
  <c r="A277" i="1"/>
  <c r="I276" i="1"/>
  <c r="H276" i="1"/>
  <c r="A276" i="1"/>
  <c r="I275" i="1"/>
  <c r="H275" i="1"/>
  <c r="A275" i="1"/>
  <c r="I274" i="1"/>
  <c r="H274" i="1"/>
  <c r="A274" i="1"/>
  <c r="I273" i="1"/>
  <c r="H273" i="1"/>
  <c r="A273" i="1"/>
  <c r="I272" i="1"/>
  <c r="H272" i="1"/>
  <c r="A272" i="1"/>
  <c r="I271" i="1"/>
  <c r="H271" i="1"/>
  <c r="A271" i="1"/>
  <c r="I270" i="1"/>
  <c r="H270" i="1"/>
  <c r="A270" i="1"/>
  <c r="I269" i="1"/>
  <c r="H269" i="1"/>
  <c r="A269" i="1"/>
  <c r="I268" i="1"/>
  <c r="H268" i="1"/>
  <c r="A268" i="1"/>
  <c r="I267" i="1"/>
  <c r="H267" i="1"/>
  <c r="A267" i="1"/>
  <c r="I266" i="1"/>
  <c r="H266" i="1"/>
  <c r="A266" i="1"/>
  <c r="I265" i="1"/>
  <c r="H265" i="1"/>
  <c r="A265" i="1"/>
  <c r="I264" i="1"/>
  <c r="H264" i="1"/>
  <c r="A264" i="1"/>
  <c r="I263" i="1"/>
  <c r="H263" i="1"/>
  <c r="A263" i="1"/>
  <c r="I262" i="1"/>
  <c r="H262" i="1"/>
  <c r="A262" i="1"/>
  <c r="I261" i="1"/>
  <c r="H261" i="1"/>
  <c r="A261" i="1"/>
  <c r="I260" i="1"/>
  <c r="H260" i="1"/>
  <c r="A260" i="1"/>
  <c r="I259" i="1"/>
  <c r="H259" i="1"/>
  <c r="A259" i="1"/>
  <c r="I258" i="1"/>
  <c r="H258" i="1"/>
  <c r="A258" i="1"/>
  <c r="I257" i="1"/>
  <c r="H257" i="1"/>
  <c r="A257" i="1"/>
  <c r="I256" i="1"/>
  <c r="H256" i="1"/>
  <c r="A256" i="1"/>
  <c r="I255" i="1"/>
  <c r="H255" i="1"/>
  <c r="A255" i="1"/>
  <c r="I254" i="1"/>
  <c r="H254" i="1"/>
  <c r="A254" i="1"/>
  <c r="I253" i="1"/>
  <c r="H253" i="1"/>
  <c r="A253" i="1"/>
  <c r="I252" i="1"/>
  <c r="H252" i="1"/>
  <c r="A252" i="1"/>
  <c r="I251" i="1"/>
  <c r="H251" i="1"/>
  <c r="A251" i="1"/>
  <c r="I250" i="1"/>
  <c r="H250" i="1"/>
  <c r="A250" i="1"/>
  <c r="I249" i="1"/>
  <c r="H249" i="1"/>
  <c r="A249" i="1"/>
  <c r="I248" i="1"/>
  <c r="H248" i="1"/>
  <c r="A248" i="1"/>
  <c r="I247" i="1"/>
  <c r="H247" i="1"/>
  <c r="A247" i="1"/>
  <c r="I246" i="1"/>
  <c r="H246" i="1"/>
  <c r="A246" i="1"/>
  <c r="I245" i="1"/>
  <c r="H245" i="1"/>
  <c r="A245" i="1"/>
  <c r="I244" i="1"/>
  <c r="H244" i="1"/>
  <c r="A244" i="1"/>
  <c r="I243" i="1"/>
  <c r="H243" i="1"/>
  <c r="A243" i="1"/>
  <c r="I242" i="1"/>
  <c r="H242" i="1"/>
  <c r="A242" i="1"/>
  <c r="I241" i="1"/>
  <c r="H241" i="1"/>
  <c r="A241" i="1"/>
  <c r="I240" i="1"/>
  <c r="H240" i="1"/>
  <c r="A240" i="1"/>
  <c r="I239" i="1"/>
  <c r="H239" i="1"/>
  <c r="A239" i="1"/>
  <c r="I238" i="1"/>
  <c r="H238" i="1"/>
  <c r="A238" i="1"/>
  <c r="I237" i="1"/>
  <c r="H237" i="1"/>
  <c r="A237" i="1"/>
  <c r="I236" i="1"/>
  <c r="H236" i="1"/>
  <c r="A236" i="1"/>
  <c r="I235" i="1"/>
  <c r="H235" i="1"/>
  <c r="A235" i="1"/>
  <c r="I234" i="1"/>
  <c r="H234" i="1"/>
  <c r="A234" i="1"/>
  <c r="I233" i="1"/>
  <c r="H233" i="1"/>
  <c r="A233" i="1"/>
  <c r="I232" i="1"/>
  <c r="H232" i="1"/>
  <c r="A232" i="1"/>
  <c r="I231" i="1"/>
  <c r="H231" i="1"/>
  <c r="A231" i="1"/>
  <c r="I230" i="1"/>
  <c r="H230" i="1"/>
  <c r="A230" i="1"/>
  <c r="I229" i="1"/>
  <c r="H229" i="1"/>
  <c r="A229" i="1"/>
  <c r="I228" i="1"/>
  <c r="H228" i="1"/>
  <c r="A228" i="1"/>
  <c r="I227" i="1"/>
  <c r="H227" i="1"/>
  <c r="A227" i="1"/>
  <c r="I226" i="1"/>
  <c r="H226" i="1"/>
  <c r="A226" i="1"/>
  <c r="I225" i="1"/>
  <c r="H225" i="1"/>
  <c r="A225" i="1"/>
  <c r="I224" i="1"/>
  <c r="H224" i="1"/>
  <c r="A224" i="1"/>
  <c r="I223" i="1"/>
  <c r="H223" i="1"/>
  <c r="A223" i="1"/>
  <c r="I222" i="1"/>
  <c r="H222" i="1"/>
  <c r="A222" i="1"/>
  <c r="I221" i="1"/>
  <c r="H221" i="1"/>
  <c r="A221" i="1"/>
  <c r="I220" i="1"/>
  <c r="H220" i="1"/>
  <c r="A220" i="1"/>
  <c r="I219" i="1"/>
  <c r="H219" i="1"/>
  <c r="A219" i="1"/>
  <c r="I218" i="1"/>
  <c r="H218" i="1"/>
  <c r="A218" i="1"/>
  <c r="I217" i="1"/>
  <c r="H217" i="1"/>
  <c r="A217" i="1"/>
  <c r="I216" i="1"/>
  <c r="H216" i="1"/>
  <c r="A216" i="1"/>
  <c r="I215" i="1"/>
  <c r="H215" i="1"/>
  <c r="A215" i="1"/>
  <c r="I214" i="1"/>
  <c r="H214" i="1"/>
  <c r="A214" i="1"/>
  <c r="I213" i="1"/>
  <c r="H213" i="1"/>
  <c r="A213" i="1"/>
  <c r="I212" i="1"/>
  <c r="H212" i="1"/>
  <c r="A212" i="1"/>
  <c r="I211" i="1"/>
  <c r="H211" i="1"/>
  <c r="A211" i="1"/>
  <c r="I210" i="1"/>
  <c r="H210" i="1"/>
  <c r="A210" i="1"/>
  <c r="I209" i="1"/>
  <c r="H209" i="1"/>
  <c r="A209" i="1"/>
  <c r="I208" i="1"/>
  <c r="H208" i="1"/>
  <c r="A208" i="1"/>
  <c r="I207" i="1"/>
  <c r="H207" i="1"/>
  <c r="A207" i="1"/>
  <c r="I206" i="1"/>
  <c r="H206" i="1"/>
  <c r="A206" i="1"/>
  <c r="I205" i="1"/>
  <c r="H205" i="1"/>
  <c r="A205" i="1"/>
  <c r="I204" i="1"/>
  <c r="H204" i="1"/>
  <c r="A204" i="1"/>
  <c r="I203" i="1"/>
  <c r="H203" i="1"/>
  <c r="A203" i="1"/>
  <c r="I202" i="1"/>
  <c r="H202" i="1"/>
  <c r="A202" i="1"/>
  <c r="I201" i="1"/>
  <c r="H201" i="1"/>
  <c r="A201" i="1"/>
  <c r="I200" i="1"/>
  <c r="H200" i="1"/>
  <c r="A200" i="1"/>
  <c r="I199" i="1"/>
  <c r="H199" i="1"/>
  <c r="A199" i="1"/>
  <c r="I198" i="1"/>
  <c r="H198" i="1"/>
  <c r="A198" i="1"/>
  <c r="I197" i="1"/>
  <c r="H197" i="1"/>
  <c r="A197" i="1"/>
  <c r="I196" i="1"/>
  <c r="H196" i="1"/>
  <c r="A196" i="1"/>
  <c r="I195" i="1"/>
  <c r="H195" i="1"/>
  <c r="A195" i="1"/>
  <c r="I194" i="1"/>
  <c r="H194" i="1"/>
  <c r="A194" i="1"/>
  <c r="I193" i="1"/>
  <c r="H193" i="1"/>
  <c r="A193" i="1"/>
  <c r="I192" i="1"/>
  <c r="H192" i="1"/>
  <c r="A192" i="1"/>
  <c r="I191" i="1"/>
  <c r="H191" i="1"/>
  <c r="A191" i="1"/>
  <c r="I190" i="1"/>
  <c r="H190" i="1"/>
  <c r="A190" i="1"/>
  <c r="I189" i="1"/>
  <c r="H189" i="1"/>
  <c r="A189" i="1"/>
  <c r="I188" i="1"/>
  <c r="H188" i="1"/>
  <c r="A188" i="1"/>
  <c r="I187" i="1"/>
  <c r="H187" i="1"/>
  <c r="A187" i="1"/>
  <c r="I186" i="1"/>
  <c r="H186" i="1"/>
  <c r="A186" i="1"/>
  <c r="I185" i="1"/>
  <c r="H185" i="1"/>
  <c r="A185" i="1"/>
  <c r="I184" i="1"/>
  <c r="H184" i="1"/>
  <c r="A184" i="1"/>
  <c r="I183" i="1"/>
  <c r="H183" i="1"/>
  <c r="A183" i="1"/>
  <c r="I182" i="1"/>
  <c r="H182" i="1"/>
  <c r="A182" i="1"/>
  <c r="I181" i="1"/>
  <c r="H181" i="1"/>
  <c r="A181" i="1"/>
  <c r="I180" i="1"/>
  <c r="H180" i="1"/>
  <c r="A180" i="1"/>
  <c r="I179" i="1"/>
  <c r="H179" i="1"/>
  <c r="A179" i="1"/>
  <c r="I178" i="1"/>
  <c r="H178" i="1"/>
  <c r="A178" i="1"/>
  <c r="I177" i="1"/>
  <c r="H177" i="1"/>
  <c r="A177" i="1"/>
  <c r="I176" i="1"/>
  <c r="H176" i="1"/>
  <c r="A176" i="1"/>
  <c r="I175" i="1"/>
  <c r="H175" i="1"/>
  <c r="A175" i="1"/>
  <c r="I174" i="1"/>
  <c r="H174" i="1"/>
  <c r="A174" i="1"/>
  <c r="I173" i="1"/>
  <c r="H173" i="1"/>
  <c r="A173" i="1"/>
  <c r="I172" i="1"/>
  <c r="H172" i="1"/>
  <c r="A172" i="1"/>
  <c r="I171" i="1"/>
  <c r="H171" i="1"/>
  <c r="A171" i="1"/>
  <c r="I170" i="1"/>
  <c r="H170" i="1"/>
  <c r="A170" i="1"/>
  <c r="I169" i="1"/>
  <c r="H169" i="1"/>
  <c r="A169" i="1"/>
  <c r="I168" i="1"/>
  <c r="H168" i="1"/>
  <c r="A168" i="1"/>
  <c r="I167" i="1"/>
  <c r="H167" i="1"/>
  <c r="A167" i="1"/>
  <c r="I166" i="1"/>
  <c r="H166" i="1"/>
  <c r="A166" i="1"/>
  <c r="I165" i="1"/>
  <c r="H165" i="1"/>
  <c r="A165" i="1"/>
  <c r="I164" i="1"/>
  <c r="H164" i="1"/>
  <c r="A164" i="1"/>
  <c r="I163" i="1"/>
  <c r="H163" i="1"/>
  <c r="A163" i="1"/>
  <c r="I162" i="1"/>
  <c r="H162" i="1"/>
  <c r="A162" i="1"/>
  <c r="I161" i="1"/>
  <c r="H161" i="1"/>
  <c r="A161" i="1"/>
  <c r="I160" i="1"/>
  <c r="H160" i="1"/>
  <c r="A160" i="1"/>
  <c r="I159" i="1"/>
  <c r="H159" i="1"/>
  <c r="A159" i="1"/>
  <c r="I158" i="1"/>
  <c r="H158" i="1"/>
  <c r="A158" i="1"/>
  <c r="I157" i="1"/>
  <c r="H157" i="1"/>
  <c r="A157" i="1"/>
  <c r="I156" i="1"/>
  <c r="H156" i="1"/>
  <c r="A156" i="1"/>
  <c r="I155" i="1"/>
  <c r="H155" i="1"/>
  <c r="A155" i="1"/>
  <c r="I154" i="1"/>
  <c r="H154" i="1"/>
  <c r="A154" i="1"/>
  <c r="I153" i="1"/>
  <c r="H153" i="1"/>
  <c r="A153" i="1"/>
  <c r="I152" i="1"/>
  <c r="H152" i="1"/>
  <c r="A152" i="1"/>
  <c r="I151" i="1"/>
  <c r="H151" i="1"/>
  <c r="A151" i="1"/>
  <c r="I150" i="1"/>
  <c r="H150" i="1"/>
  <c r="A150" i="1"/>
  <c r="I149" i="1"/>
  <c r="H149" i="1"/>
  <c r="A149" i="1"/>
  <c r="I148" i="1"/>
  <c r="H148" i="1"/>
  <c r="A148" i="1"/>
  <c r="I147" i="1"/>
  <c r="H147" i="1"/>
  <c r="A147" i="1"/>
  <c r="I146" i="1"/>
  <c r="H146" i="1"/>
  <c r="A146" i="1"/>
  <c r="I145" i="1"/>
  <c r="H145" i="1"/>
  <c r="A145" i="1"/>
  <c r="I144" i="1"/>
  <c r="H144" i="1"/>
  <c r="A144" i="1"/>
  <c r="I143" i="1"/>
  <c r="H143" i="1"/>
  <c r="A143" i="1"/>
  <c r="I142" i="1"/>
  <c r="H142" i="1"/>
  <c r="A142" i="1"/>
  <c r="I141" i="1"/>
  <c r="H141" i="1"/>
  <c r="A141" i="1"/>
  <c r="I140" i="1"/>
  <c r="H140" i="1"/>
  <c r="A140" i="1"/>
  <c r="I139" i="1"/>
  <c r="H139" i="1"/>
  <c r="A139" i="1"/>
  <c r="I138" i="1"/>
  <c r="H138" i="1"/>
  <c r="A138" i="1"/>
  <c r="I137" i="1"/>
  <c r="H137" i="1"/>
  <c r="A137" i="1"/>
  <c r="I136" i="1"/>
  <c r="H136" i="1"/>
  <c r="A136" i="1"/>
  <c r="I135" i="1"/>
  <c r="H135" i="1"/>
  <c r="A135" i="1"/>
  <c r="I134" i="1"/>
  <c r="H134" i="1"/>
  <c r="A134" i="1"/>
  <c r="I133" i="1"/>
  <c r="H133" i="1"/>
  <c r="A133" i="1"/>
  <c r="I132" i="1"/>
  <c r="H132" i="1"/>
  <c r="A132" i="1"/>
  <c r="I131" i="1"/>
  <c r="H131" i="1"/>
  <c r="A131" i="1"/>
  <c r="I130" i="1"/>
  <c r="H130" i="1"/>
  <c r="A130" i="1"/>
  <c r="I129" i="1"/>
  <c r="H129" i="1"/>
  <c r="A129" i="1"/>
  <c r="I128" i="1"/>
  <c r="H128" i="1"/>
  <c r="A128" i="1"/>
  <c r="I127" i="1"/>
  <c r="H127" i="1"/>
  <c r="A127" i="1"/>
  <c r="I126" i="1"/>
  <c r="H126" i="1"/>
  <c r="A126" i="1"/>
  <c r="I125" i="1"/>
  <c r="H125" i="1"/>
  <c r="A125" i="1"/>
  <c r="I124" i="1"/>
  <c r="H124" i="1"/>
  <c r="A124" i="1"/>
  <c r="I123" i="1"/>
  <c r="H123" i="1"/>
  <c r="A123" i="1"/>
  <c r="I122" i="1"/>
  <c r="H122" i="1"/>
  <c r="A122" i="1"/>
  <c r="I121" i="1"/>
  <c r="H121" i="1"/>
  <c r="A121" i="1"/>
  <c r="I120" i="1"/>
  <c r="H120" i="1"/>
  <c r="A120" i="1"/>
  <c r="I119" i="1"/>
  <c r="H119" i="1"/>
  <c r="A119" i="1"/>
  <c r="I118" i="1"/>
  <c r="H118" i="1"/>
  <c r="A118" i="1"/>
  <c r="I117" i="1"/>
  <c r="H117" i="1"/>
  <c r="A117" i="1"/>
  <c r="I116" i="1"/>
  <c r="H116" i="1"/>
  <c r="A116" i="1"/>
  <c r="I115" i="1"/>
  <c r="H115" i="1"/>
  <c r="A115" i="1"/>
  <c r="I114" i="1"/>
  <c r="H114" i="1"/>
  <c r="A114" i="1"/>
  <c r="I113" i="1"/>
  <c r="H113" i="1"/>
  <c r="A113" i="1"/>
  <c r="I112" i="1"/>
  <c r="H112" i="1"/>
  <c r="A112" i="1"/>
  <c r="I111" i="1"/>
  <c r="H111" i="1"/>
  <c r="A111" i="1"/>
  <c r="I110" i="1"/>
  <c r="H110" i="1"/>
  <c r="A110" i="1"/>
  <c r="I109" i="1"/>
  <c r="H109" i="1"/>
  <c r="A109" i="1"/>
  <c r="I108" i="1"/>
  <c r="H108" i="1"/>
  <c r="A108" i="1"/>
  <c r="I107" i="1"/>
  <c r="H107" i="1"/>
  <c r="A107" i="1"/>
  <c r="I106" i="1"/>
  <c r="H106" i="1"/>
  <c r="A106" i="1"/>
  <c r="I105" i="1"/>
  <c r="H105" i="1"/>
  <c r="A105" i="1"/>
  <c r="I104" i="1"/>
  <c r="H104" i="1"/>
  <c r="A104" i="1"/>
  <c r="I103" i="1"/>
  <c r="H103" i="1"/>
  <c r="A103" i="1"/>
  <c r="I102" i="1"/>
  <c r="H102" i="1"/>
  <c r="A102" i="1"/>
  <c r="I101" i="1"/>
  <c r="H101" i="1"/>
  <c r="A101" i="1"/>
  <c r="I100" i="1"/>
  <c r="H100" i="1"/>
  <c r="A100" i="1"/>
  <c r="I99" i="1"/>
  <c r="H99" i="1"/>
  <c r="A99" i="1"/>
  <c r="I98" i="1"/>
  <c r="H98" i="1"/>
  <c r="A98" i="1"/>
  <c r="I97" i="1"/>
  <c r="H97" i="1"/>
  <c r="A97" i="1"/>
  <c r="I96" i="1"/>
  <c r="H96" i="1"/>
  <c r="A96" i="1"/>
  <c r="I95" i="1"/>
  <c r="H95" i="1"/>
  <c r="A95" i="1"/>
  <c r="I94" i="1"/>
  <c r="H94" i="1"/>
  <c r="A94" i="1"/>
  <c r="I93" i="1"/>
  <c r="H93" i="1"/>
  <c r="A93" i="1"/>
  <c r="I92" i="1"/>
  <c r="H92" i="1"/>
  <c r="A92" i="1"/>
  <c r="I91" i="1"/>
  <c r="H91" i="1"/>
  <c r="A91" i="1"/>
  <c r="I90" i="1"/>
  <c r="H90" i="1"/>
  <c r="A90" i="1"/>
  <c r="I89" i="1"/>
  <c r="H89" i="1"/>
  <c r="A89" i="1"/>
  <c r="I88" i="1"/>
  <c r="H88" i="1"/>
  <c r="A88" i="1"/>
  <c r="I87" i="1"/>
  <c r="H87" i="1"/>
  <c r="A87" i="1"/>
  <c r="I86" i="1"/>
  <c r="H86" i="1"/>
  <c r="A86" i="1"/>
  <c r="I85" i="1"/>
  <c r="H85" i="1"/>
  <c r="A85" i="1"/>
  <c r="I84" i="1"/>
  <c r="H84" i="1"/>
  <c r="A84" i="1"/>
  <c r="I83" i="1"/>
  <c r="H83" i="1"/>
  <c r="A83" i="1"/>
  <c r="I82" i="1"/>
  <c r="H82" i="1"/>
  <c r="A82" i="1"/>
  <c r="I81" i="1"/>
  <c r="H81" i="1"/>
  <c r="A81" i="1"/>
  <c r="I80" i="1"/>
  <c r="H80" i="1"/>
  <c r="A80" i="1"/>
  <c r="I79" i="1"/>
  <c r="H79" i="1"/>
  <c r="A79" i="1"/>
  <c r="I78" i="1"/>
  <c r="H78" i="1"/>
  <c r="A78" i="1"/>
  <c r="I77" i="1"/>
  <c r="H77" i="1"/>
  <c r="A77" i="1"/>
  <c r="I76" i="1"/>
  <c r="H76" i="1"/>
  <c r="A76" i="1"/>
  <c r="I75" i="1"/>
  <c r="H75" i="1"/>
  <c r="A75" i="1"/>
  <c r="I74" i="1"/>
  <c r="H74" i="1"/>
  <c r="A74" i="1"/>
  <c r="I73" i="1"/>
  <c r="H73" i="1"/>
  <c r="A73" i="1"/>
  <c r="I72" i="1"/>
  <c r="H72" i="1"/>
  <c r="A72" i="1"/>
  <c r="I71" i="1"/>
  <c r="H71" i="1"/>
  <c r="A71" i="1"/>
  <c r="I70" i="1"/>
  <c r="H70" i="1"/>
  <c r="A70" i="1"/>
  <c r="I69" i="1"/>
  <c r="H69" i="1"/>
  <c r="A69" i="1"/>
  <c r="I68" i="1"/>
  <c r="H68" i="1"/>
  <c r="A68" i="1"/>
  <c r="I67" i="1"/>
  <c r="H67" i="1"/>
  <c r="A67" i="1"/>
  <c r="I66" i="1"/>
  <c r="H66" i="1"/>
  <c r="A66" i="1"/>
  <c r="I65" i="1"/>
  <c r="H65" i="1"/>
  <c r="A65" i="1"/>
  <c r="I64" i="1"/>
  <c r="H64" i="1"/>
  <c r="A64" i="1"/>
  <c r="I63" i="1"/>
  <c r="H63" i="1"/>
  <c r="A63" i="1"/>
  <c r="I62" i="1"/>
  <c r="H62" i="1"/>
  <c r="A62" i="1"/>
  <c r="I61" i="1"/>
  <c r="H61" i="1"/>
  <c r="A61" i="1"/>
  <c r="I60" i="1"/>
  <c r="H60" i="1"/>
  <c r="A60" i="1"/>
  <c r="I59" i="1"/>
  <c r="H59" i="1"/>
  <c r="A59" i="1"/>
  <c r="I58" i="1"/>
  <c r="H58" i="1"/>
  <c r="A58" i="1"/>
  <c r="I57" i="1"/>
  <c r="H57" i="1"/>
  <c r="A57" i="1"/>
  <c r="I56" i="1"/>
  <c r="H56" i="1"/>
  <c r="A56" i="1"/>
  <c r="I55" i="1"/>
  <c r="H55" i="1"/>
  <c r="A55" i="1"/>
  <c r="I54" i="1"/>
  <c r="H54" i="1"/>
  <c r="A54" i="1"/>
  <c r="I53" i="1"/>
  <c r="H53" i="1"/>
  <c r="A53" i="1"/>
  <c r="I52" i="1"/>
  <c r="H52" i="1"/>
  <c r="A52" i="1"/>
  <c r="I51" i="1"/>
  <c r="H51" i="1"/>
  <c r="A51" i="1"/>
  <c r="I50" i="1"/>
  <c r="H50" i="1"/>
  <c r="A50" i="1"/>
  <c r="I49" i="1"/>
  <c r="H49" i="1"/>
  <c r="A49" i="1"/>
  <c r="I48" i="1"/>
  <c r="H48" i="1"/>
  <c r="A48" i="1"/>
  <c r="I47" i="1"/>
  <c r="H47" i="1"/>
  <c r="A47" i="1"/>
  <c r="I46" i="1"/>
  <c r="H46" i="1"/>
  <c r="A46" i="1"/>
  <c r="I45" i="1"/>
  <c r="H45" i="1"/>
  <c r="A45" i="1"/>
  <c r="I44" i="1"/>
  <c r="H44" i="1"/>
  <c r="A44" i="1"/>
  <c r="I43" i="1"/>
  <c r="H43" i="1"/>
  <c r="A43" i="1"/>
  <c r="I42" i="1"/>
  <c r="H42" i="1"/>
  <c r="A42" i="1"/>
  <c r="I41" i="1"/>
  <c r="H41" i="1"/>
  <c r="A41" i="1"/>
  <c r="I40" i="1"/>
  <c r="H40" i="1"/>
  <c r="A40" i="1"/>
  <c r="I39" i="1"/>
  <c r="H39" i="1"/>
  <c r="A39" i="1"/>
  <c r="I38" i="1"/>
  <c r="H38" i="1"/>
  <c r="A38" i="1"/>
  <c r="I37" i="1"/>
  <c r="H37" i="1"/>
  <c r="A37" i="1"/>
  <c r="I36" i="1"/>
  <c r="H36" i="1"/>
  <c r="A36" i="1"/>
  <c r="I35" i="1"/>
  <c r="H35" i="1"/>
  <c r="A35" i="1"/>
  <c r="I34" i="1"/>
  <c r="H34" i="1"/>
  <c r="A34" i="1"/>
  <c r="I33" i="1"/>
  <c r="H33" i="1"/>
  <c r="A33" i="1"/>
  <c r="I32" i="1"/>
  <c r="H32" i="1"/>
  <c r="A32" i="1"/>
  <c r="I31" i="1"/>
  <c r="H31" i="1"/>
  <c r="A31" i="1"/>
  <c r="I30" i="1"/>
  <c r="H30" i="1"/>
  <c r="A30" i="1"/>
  <c r="I29" i="1"/>
  <c r="H29" i="1"/>
  <c r="A29" i="1"/>
  <c r="I28" i="1"/>
  <c r="H28" i="1"/>
  <c r="A28" i="1"/>
  <c r="I27" i="1"/>
  <c r="H27" i="1"/>
  <c r="A27" i="1"/>
  <c r="I26" i="1"/>
  <c r="H26" i="1"/>
  <c r="A26" i="1"/>
  <c r="I25" i="1"/>
  <c r="H25" i="1"/>
  <c r="A25" i="1"/>
  <c r="I24" i="1"/>
  <c r="H24" i="1"/>
  <c r="A24" i="1"/>
  <c r="I23" i="1"/>
  <c r="H23" i="1"/>
  <c r="A23" i="1"/>
  <c r="I22" i="1"/>
  <c r="H22" i="1"/>
  <c r="A22" i="1"/>
  <c r="I21" i="1"/>
  <c r="H21" i="1"/>
  <c r="A21" i="1"/>
  <c r="I20" i="1"/>
  <c r="H20" i="1"/>
  <c r="A20" i="1"/>
  <c r="I19" i="1"/>
  <c r="H19" i="1"/>
  <c r="A19" i="1"/>
  <c r="I18" i="1"/>
  <c r="H18" i="1"/>
  <c r="A18" i="1"/>
  <c r="I17" i="1"/>
  <c r="H17" i="1"/>
  <c r="A17" i="1"/>
  <c r="I16" i="1"/>
  <c r="H16" i="1"/>
  <c r="A16" i="1"/>
  <c r="I15" i="1"/>
  <c r="H15" i="1"/>
  <c r="A15" i="1"/>
  <c r="I14" i="1"/>
  <c r="H14" i="1"/>
  <c r="A14" i="1"/>
  <c r="I13" i="1"/>
  <c r="H13" i="1"/>
  <c r="A13" i="1"/>
  <c r="I12" i="1"/>
  <c r="H12" i="1"/>
  <c r="A12" i="1"/>
  <c r="I11" i="1"/>
  <c r="H11" i="1"/>
  <c r="A11" i="1"/>
  <c r="I10" i="1"/>
  <c r="H10" i="1"/>
  <c r="A10" i="1"/>
  <c r="I9" i="1"/>
  <c r="H9" i="1"/>
  <c r="A9" i="1"/>
  <c r="I8" i="1"/>
  <c r="H8" i="1"/>
  <c r="A8" i="1"/>
  <c r="I7" i="1"/>
  <c r="H7" i="1"/>
  <c r="A7" i="1"/>
  <c r="I6" i="1"/>
  <c r="H6" i="1"/>
  <c r="A6" i="1"/>
  <c r="I5" i="1"/>
  <c r="H5" i="1"/>
  <c r="A5" i="1"/>
  <c r="I4" i="1"/>
  <c r="H4" i="1"/>
  <c r="A4" i="1"/>
  <c r="I3" i="1"/>
  <c r="H3" i="1"/>
  <c r="A3" i="1"/>
  <c r="I2" i="1"/>
  <c r="H2" i="1"/>
  <c r="A2" i="1"/>
  <c r="I1" i="1"/>
  <c r="H1" i="1"/>
  <c r="G1" i="1"/>
  <c r="F1" i="1"/>
  <c r="E1" i="1"/>
  <c r="D1" i="1"/>
  <c r="C1" i="1"/>
  <c r="B1" i="1"/>
  <c r="A1" i="1"/>
</calcChain>
</file>

<file path=xl/sharedStrings.xml><?xml version="1.0" encoding="utf-8"?>
<sst xmlns="http://schemas.openxmlformats.org/spreadsheetml/2006/main" count="29768" uniqueCount="11804">
  <si>
    <t>NANS</t>
  </si>
  <si>
    <t>tab name</t>
    <phoneticPr fontId="1" type="noConversion"/>
  </si>
  <si>
    <t>Figure</t>
    <phoneticPr fontId="1" type="noConversion"/>
  </si>
  <si>
    <t>WT+ vs WT-(ALL)</t>
  </si>
  <si>
    <t>WT+ vs KO+ (ALL)</t>
  </si>
  <si>
    <t>The table below indicates figures that the other tabs are corresponding to.</t>
    <phoneticPr fontId="1" type="noConversion"/>
  </si>
  <si>
    <t>Supplemental Table S1: Transcripts differentially expressed upon DNA damage treatment with ADR identified by the RNA-seq analysis.</t>
    <phoneticPr fontId="1" type="noConversion"/>
  </si>
  <si>
    <t>Gene</t>
    <phoneticPr fontId="5" type="noConversion"/>
  </si>
  <si>
    <t>BaseMean</t>
    <phoneticPr fontId="5" type="noConversion"/>
  </si>
  <si>
    <t>log2FoldChange</t>
  </si>
  <si>
    <t>lfcSE</t>
  </si>
  <si>
    <t>stat</t>
  </si>
  <si>
    <t>pvalue</t>
  </si>
  <si>
    <t>padj</t>
  </si>
  <si>
    <t>GeneName</t>
    <phoneticPr fontId="5" type="noConversion"/>
  </si>
  <si>
    <t>GeneType</t>
    <phoneticPr fontId="5" type="noConversion"/>
  </si>
  <si>
    <t>ENSG00000187634.12</t>
  </si>
  <si>
    <t>SAMD11</t>
  </si>
  <si>
    <t>protein_coding</t>
  </si>
  <si>
    <t>ENSG00000187961.14</t>
  </si>
  <si>
    <t>KLHL17</t>
  </si>
  <si>
    <t>ENSG00000187642.9</t>
  </si>
  <si>
    <t>PERM1</t>
  </si>
  <si>
    <t>ENSG00000188290.10</t>
  </si>
  <si>
    <t>HES4</t>
  </si>
  <si>
    <t>ENSG00000131591.17</t>
  </si>
  <si>
    <t>C1orf159</t>
  </si>
  <si>
    <t>ENSG00000162572.20</t>
  </si>
  <si>
    <t>SCNN1D</t>
  </si>
  <si>
    <t>ENSG00000169972.12</t>
  </si>
  <si>
    <t>PUSL1</t>
  </si>
  <si>
    <t>ENSG00000169962.5</t>
  </si>
  <si>
    <t>TAS1R3</t>
  </si>
  <si>
    <t>ENSG00000107404.20</t>
  </si>
  <si>
    <t>DVL1</t>
  </si>
  <si>
    <t>ENSG00000162576.16</t>
  </si>
  <si>
    <t>MXRA8</t>
  </si>
  <si>
    <t>ENSG00000235098.8</t>
  </si>
  <si>
    <t>ANKRD65</t>
  </si>
  <si>
    <t>ENSG00000179403.12</t>
  </si>
  <si>
    <t>VWA1</t>
  </si>
  <si>
    <t>ENSG00000215915.9</t>
  </si>
  <si>
    <t>ATAD3C</t>
  </si>
  <si>
    <t>ENSG00000160072.19</t>
  </si>
  <si>
    <t>ATAD3B</t>
  </si>
  <si>
    <t>ENSG00000197785.13</t>
  </si>
  <si>
    <t>ATAD3A</t>
  </si>
  <si>
    <t>ENSG00000197530.12</t>
  </si>
  <si>
    <t>MIB2</t>
  </si>
  <si>
    <t>ENSG00000169885.10</t>
  </si>
  <si>
    <t>CALML6</t>
  </si>
  <si>
    <t>ENSG00000142609.18</t>
  </si>
  <si>
    <t>CFAP74</t>
  </si>
  <si>
    <t>ENSG00000197921.6</t>
  </si>
  <si>
    <t>HES5</t>
  </si>
  <si>
    <t>ENSG00000157873.17</t>
  </si>
  <si>
    <t>TNFRSF14</t>
  </si>
  <si>
    <t>ENSG00000157870.16</t>
  </si>
  <si>
    <t>PRXL2B</t>
  </si>
  <si>
    <t>ENSG00000130762.15</t>
  </si>
  <si>
    <t>ARHGEF16</t>
  </si>
  <si>
    <t>ENSG00000158109.15</t>
  </si>
  <si>
    <t>TPRG1L</t>
  </si>
  <si>
    <t>ENSG00000078900.15</t>
  </si>
  <si>
    <t>TP73</t>
  </si>
  <si>
    <t>ENSG00000169598.15</t>
  </si>
  <si>
    <t>DFFB</t>
  </si>
  <si>
    <t>ENSG00000198912.11</t>
  </si>
  <si>
    <t>C1orf174</t>
  </si>
  <si>
    <t>ENSG00000131697.18</t>
  </si>
  <si>
    <t>NPHP4</t>
  </si>
  <si>
    <t>ENSG00000116254.18</t>
  </si>
  <si>
    <t>CHD5</t>
  </si>
  <si>
    <t>ENSG00000158286.13</t>
  </si>
  <si>
    <t>RNF207</t>
  </si>
  <si>
    <t>ENSG00000116237.16</t>
  </si>
  <si>
    <t>ICMT</t>
  </si>
  <si>
    <t>ENSG00000158292.7</t>
  </si>
  <si>
    <t>GPR153</t>
  </si>
  <si>
    <t>ENSG00000069812.11</t>
  </si>
  <si>
    <t>HES2</t>
  </si>
  <si>
    <t>ENSG00000187017.16</t>
  </si>
  <si>
    <t>ESPN</t>
  </si>
  <si>
    <t>ENSG00000215788.10</t>
  </si>
  <si>
    <t>TNFRSF25</t>
  </si>
  <si>
    <t>ENSG00000171680.21</t>
  </si>
  <si>
    <t>PLEKHG5</t>
  </si>
  <si>
    <t>ENSG00000049246.14</t>
  </si>
  <si>
    <t>PER3</t>
  </si>
  <si>
    <t>ENSG00000049249.8</t>
  </si>
  <si>
    <t>TNFRSF9</t>
  </si>
  <si>
    <t>ENSG00000074800.15</t>
  </si>
  <si>
    <t>ENO1</t>
  </si>
  <si>
    <t>ENSG00000142583.17</t>
  </si>
  <si>
    <t>SLC2A5</t>
  </si>
  <si>
    <t>ENSG00000180758.12</t>
  </si>
  <si>
    <t>GPR157</t>
  </si>
  <si>
    <t>ENSG00000173614.14</t>
  </si>
  <si>
    <t>NMNAT1</t>
  </si>
  <si>
    <t>ENSG00000116649.10</t>
  </si>
  <si>
    <t>SRM</t>
  </si>
  <si>
    <t>ENSG00000120942.13</t>
  </si>
  <si>
    <t>UBIAD1</t>
  </si>
  <si>
    <t>ENSG00000204624.8</t>
  </si>
  <si>
    <t>DISP3</t>
  </si>
  <si>
    <t>ENSG00000116661.11</t>
  </si>
  <si>
    <t>FBXO2</t>
  </si>
  <si>
    <t>ENSG00000132879.14</t>
  </si>
  <si>
    <t>FBXO44</t>
  </si>
  <si>
    <t>ENSG00000116663.11</t>
  </si>
  <si>
    <t>FBXO6</t>
  </si>
  <si>
    <t>ENSG00000116670.15</t>
  </si>
  <si>
    <t>MAD2L2</t>
  </si>
  <si>
    <t>ENSG00000162490.7</t>
  </si>
  <si>
    <t>DRAXIN</t>
  </si>
  <si>
    <t>ENSG00000177674.16</t>
  </si>
  <si>
    <t>AGTRAP</t>
  </si>
  <si>
    <t>ENSG00000215910.7</t>
  </si>
  <si>
    <t>C1orf167</t>
  </si>
  <si>
    <t>ENSG00000011021.23</t>
  </si>
  <si>
    <t>CLCN6</t>
  </si>
  <si>
    <t>ENSG00000116685.16</t>
  </si>
  <si>
    <t>KIAA2013</t>
  </si>
  <si>
    <t>ENSG00000083444.17</t>
  </si>
  <si>
    <t>PLOD1</t>
  </si>
  <si>
    <t>ENSG00000116691.11</t>
  </si>
  <si>
    <t>MIIP</t>
  </si>
  <si>
    <t>ENSG00000162494.6</t>
  </si>
  <si>
    <t>LRRC38</t>
  </si>
  <si>
    <t>ENSG00000171729.14</t>
  </si>
  <si>
    <t>TMEM51</t>
  </si>
  <si>
    <t>ENSG00000142621.19</t>
  </si>
  <si>
    <t>FHAD1</t>
  </si>
  <si>
    <t>ENSG00000142634.13</t>
  </si>
  <si>
    <t>EFHD2</t>
  </si>
  <si>
    <t>ENSG00000116771.6</t>
  </si>
  <si>
    <t>AGMAT</t>
  </si>
  <si>
    <t>ENSG00000162461.8</t>
  </si>
  <si>
    <t>SLC25A34</t>
  </si>
  <si>
    <t>ENSG00000162458.13</t>
  </si>
  <si>
    <t>FBLIM1</t>
  </si>
  <si>
    <t>ENSG00000132881.12</t>
  </si>
  <si>
    <t>CPLANE2</t>
  </si>
  <si>
    <t>ENSG00000187144.11</t>
  </si>
  <si>
    <t>SPATA21</t>
  </si>
  <si>
    <t>ENSG00000219481.10</t>
  </si>
  <si>
    <t>NBPF1</t>
  </si>
  <si>
    <t>ENSG00000058453.17</t>
  </si>
  <si>
    <t>CROCC</t>
  </si>
  <si>
    <t>ENSG00000142623.11</t>
  </si>
  <si>
    <t>PADI1</t>
  </si>
  <si>
    <t>ENSG00000142619.4</t>
  </si>
  <si>
    <t>PADI3</t>
  </si>
  <si>
    <t>ENSG00000159339.13</t>
  </si>
  <si>
    <t>PADI4</t>
  </si>
  <si>
    <t>ENSG00000276747.1</t>
  </si>
  <si>
    <t>PADI6</t>
  </si>
  <si>
    <t>ENSG00000179023.8</t>
  </si>
  <si>
    <t>KLHDC7A</t>
  </si>
  <si>
    <t>ENSG00000159423.17</t>
  </si>
  <si>
    <t>ALDH4A1</t>
  </si>
  <si>
    <t>ENSG00000053372.5</t>
  </si>
  <si>
    <t>MRTO4</t>
  </si>
  <si>
    <t>ENSG00000173436.15</t>
  </si>
  <si>
    <t>MICOS10</t>
  </si>
  <si>
    <t>ENSG00000158747.14</t>
  </si>
  <si>
    <t>NBL1</t>
  </si>
  <si>
    <t>ENSG00000188257.11</t>
  </si>
  <si>
    <t>PLA2G2A</t>
  </si>
  <si>
    <t>ENSG00000162545.6</t>
  </si>
  <si>
    <t>CAMK2N1</t>
  </si>
  <si>
    <t>ENSG00000158825.6</t>
  </si>
  <si>
    <t>CDA</t>
  </si>
  <si>
    <t>ENSG00000158828.8</t>
  </si>
  <si>
    <t>PINK1</t>
  </si>
  <si>
    <t>ENSG00000117245.12</t>
  </si>
  <si>
    <t>KIF17</t>
  </si>
  <si>
    <t>ENSG00000162551.14</t>
  </si>
  <si>
    <t>ALPL</t>
  </si>
  <si>
    <t>ENSG00000142798.20</t>
  </si>
  <si>
    <t>HSPG2</t>
  </si>
  <si>
    <t>ENSG00000133216.16</t>
  </si>
  <si>
    <t>EPHB2</t>
  </si>
  <si>
    <t>ENSG00000125945.15</t>
  </si>
  <si>
    <t>ZNF436</t>
  </si>
  <si>
    <t>ENSG00000007968.7</t>
  </si>
  <si>
    <t>E2F2</t>
  </si>
  <si>
    <t>ENSG00000011009.11</t>
  </si>
  <si>
    <t>LYPLA2</t>
  </si>
  <si>
    <t>ENSG00000117305.15</t>
  </si>
  <si>
    <t>HMGCL</t>
  </si>
  <si>
    <t>ENSG00000179163.11</t>
  </si>
  <si>
    <t>FUCA1</t>
  </si>
  <si>
    <t>ENSG00000142677.4</t>
  </si>
  <si>
    <t>IL22RA1</t>
  </si>
  <si>
    <t>ENSG00000158055.15</t>
  </si>
  <si>
    <t>GRHL3</t>
  </si>
  <si>
    <t>ENSG00000184454.7</t>
  </si>
  <si>
    <t>NCMAP</t>
  </si>
  <si>
    <t>ENSG00000169504.15</t>
  </si>
  <si>
    <t>CLIC4</t>
  </si>
  <si>
    <t>ENSG00000187010.21</t>
  </si>
  <si>
    <t>RHD</t>
  </si>
  <si>
    <t>ENSG00000188672.18</t>
  </si>
  <si>
    <t>RHCE</t>
  </si>
  <si>
    <t>ENSG00000117643.14</t>
  </si>
  <si>
    <t>MAN1C1</t>
  </si>
  <si>
    <t>ENSG00000127423.10</t>
  </si>
  <si>
    <t>AUNIP</t>
  </si>
  <si>
    <t>ENSG00000182749.5</t>
  </si>
  <si>
    <t>PAQR7</t>
  </si>
  <si>
    <t>ENSG00000158022.6</t>
  </si>
  <si>
    <t>TRIM63</t>
  </si>
  <si>
    <t>ENSG00000176083.17</t>
  </si>
  <si>
    <t>ZNF683</t>
  </si>
  <si>
    <t>ENSG00000117676.14</t>
  </si>
  <si>
    <t>RPS6KA1</t>
  </si>
  <si>
    <t>ENSG00000204160.12</t>
  </si>
  <si>
    <t>ZDHHC18</t>
  </si>
  <si>
    <t>ENSG00000175793.12</t>
  </si>
  <si>
    <t>SFN</t>
  </si>
  <si>
    <t>ENSG00000131910.5</t>
  </si>
  <si>
    <t>NR0B2</t>
  </si>
  <si>
    <t>ENSG00000090020.11</t>
  </si>
  <si>
    <t>SLC9A1</t>
  </si>
  <si>
    <t>ENSG00000142765.18</t>
  </si>
  <si>
    <t>SYTL1</t>
  </si>
  <si>
    <t>ENSG00000174950.11</t>
  </si>
  <si>
    <t>CD164L2</t>
  </si>
  <si>
    <t>ENSG00000181773.7</t>
  </si>
  <si>
    <t>GPR3</t>
  </si>
  <si>
    <t>ENSG00000126705.14</t>
  </si>
  <si>
    <t>AHDC1</t>
  </si>
  <si>
    <t>ENSG00000000938.13</t>
  </si>
  <si>
    <t>FGR</t>
  </si>
  <si>
    <t>ENSG00000126709.15</t>
  </si>
  <si>
    <t>IFI6</t>
  </si>
  <si>
    <t>ENSG00000117758.14</t>
  </si>
  <si>
    <t>STX12</t>
  </si>
  <si>
    <t>ENSG00000169403.12</t>
  </si>
  <si>
    <t>PTAFR</t>
  </si>
  <si>
    <t>ENSG00000130766.5</t>
  </si>
  <si>
    <t>SESN2</t>
  </si>
  <si>
    <t>ENSG00000180198.16</t>
  </si>
  <si>
    <t>RCC1</t>
  </si>
  <si>
    <t>ENSG00000120656.11</t>
  </si>
  <si>
    <t>TAF12</t>
  </si>
  <si>
    <t>ENSG00000060656.20</t>
  </si>
  <si>
    <t>PTPRU</t>
  </si>
  <si>
    <t>ENSG00000162511.8</t>
  </si>
  <si>
    <t>LAPTM5</t>
  </si>
  <si>
    <t>ENSG00000060688.13</t>
  </si>
  <si>
    <t>SNRNP40</t>
  </si>
  <si>
    <t>ENSG00000121764.11</t>
  </si>
  <si>
    <t>HCRTR1</t>
  </si>
  <si>
    <t>ENSG00000084636.18</t>
  </si>
  <si>
    <t>COL16A1</t>
  </si>
  <si>
    <t>ENSG00000121753.12</t>
  </si>
  <si>
    <t>ADGRB2</t>
  </si>
  <si>
    <t>ENSG00000134668.12</t>
  </si>
  <si>
    <t>SPOCD1</t>
  </si>
  <si>
    <t>ENSG00000121775.18</t>
  </si>
  <si>
    <t>TMEM39B</t>
  </si>
  <si>
    <t>ENSG00000162526.7</t>
  </si>
  <si>
    <t>TSSK3</t>
  </si>
  <si>
    <t>ENSG00000116514.16</t>
  </si>
  <si>
    <t>RNF19B</t>
  </si>
  <si>
    <t>ENSG00000121904.17</t>
  </si>
  <si>
    <t>CSMD2</t>
  </si>
  <si>
    <t>ENSG00000189280.3</t>
  </si>
  <si>
    <t>GJB5</t>
  </si>
  <si>
    <t>ENSG00000196182.10</t>
  </si>
  <si>
    <t>STK40</t>
  </si>
  <si>
    <t>ENSG00000181817.6</t>
  </si>
  <si>
    <t>LSM10</t>
  </si>
  <si>
    <t>ENSG00000116885.18</t>
  </si>
  <si>
    <t>OSCP1</t>
  </si>
  <si>
    <t>ENSG00000119535.17</t>
  </si>
  <si>
    <t>CSF3R</t>
  </si>
  <si>
    <t>ENSG00000163879.11</t>
  </si>
  <si>
    <t>DNALI1</t>
  </si>
  <si>
    <t>ENSG00000183317.17</t>
  </si>
  <si>
    <t>EPHA10</t>
  </si>
  <si>
    <t>ENSG00000185090.14</t>
  </si>
  <si>
    <t>MANEAL</t>
  </si>
  <si>
    <t>ENSG00000185668.7</t>
  </si>
  <si>
    <t>POU3F1</t>
  </si>
  <si>
    <t>ENSG00000158315.11</t>
  </si>
  <si>
    <t>RHBDL2</t>
  </si>
  <si>
    <t>ENSG00000183682.8</t>
  </si>
  <si>
    <t>BMP8A</t>
  </si>
  <si>
    <t>ENSG00000116985.12</t>
  </si>
  <si>
    <t>BMP8B</t>
  </si>
  <si>
    <t>ENSG00000049089.15</t>
  </si>
  <si>
    <t>COL9A2</t>
  </si>
  <si>
    <t>ENSG00000187801.15</t>
  </si>
  <si>
    <t>ZFP69B</t>
  </si>
  <si>
    <t>ENSG00000179862.6</t>
  </si>
  <si>
    <t>CITED4</t>
  </si>
  <si>
    <t>ENSG00000010803.16</t>
  </si>
  <si>
    <t>SCMH1</t>
  </si>
  <si>
    <t>ENSG00000204060.7</t>
  </si>
  <si>
    <t>FOXO6</t>
  </si>
  <si>
    <t>ENSG00000044012.4</t>
  </si>
  <si>
    <t>GUCA2B</t>
  </si>
  <si>
    <t>ENSG00000197273.4</t>
  </si>
  <si>
    <t>GUCA2A</t>
  </si>
  <si>
    <t>ENSG00000177181.15</t>
  </si>
  <si>
    <t>RIMKLA</t>
  </si>
  <si>
    <t>ENSG00000117394.21</t>
  </si>
  <si>
    <t>SLC2A1</t>
  </si>
  <si>
    <t>ENSG00000186973.11</t>
  </si>
  <si>
    <t>FAM183A</t>
  </si>
  <si>
    <t>ENSG00000243710.7</t>
  </si>
  <si>
    <t>CFAP57</t>
  </si>
  <si>
    <t>ENSG00000253313.5</t>
  </si>
  <si>
    <t>C1orf210</t>
  </si>
  <si>
    <t>ENSG00000132768.14</t>
  </si>
  <si>
    <t>DPH2</t>
  </si>
  <si>
    <t>ENSG00000196517.11</t>
  </si>
  <si>
    <t>SLC6A9</t>
  </si>
  <si>
    <t>ENSG00000187147.18</t>
  </si>
  <si>
    <t>RNF220</t>
  </si>
  <si>
    <t>ENSG00000126106.14</t>
  </si>
  <si>
    <t>TMEM53</t>
  </si>
  <si>
    <t>ENSG00000173846.13</t>
  </si>
  <si>
    <t>PLK3</t>
  </si>
  <si>
    <t>ENSG00000222009.8</t>
  </si>
  <si>
    <t>BTBD19</t>
  </si>
  <si>
    <t>ENSG00000162415.7</t>
  </si>
  <si>
    <t>ZSWIM5</t>
  </si>
  <si>
    <t>ENSG00000132773.12</t>
  </si>
  <si>
    <t>TOE1</t>
  </si>
  <si>
    <t>ENSG00000280670.3</t>
  </si>
  <si>
    <t>CCDC163</t>
  </si>
  <si>
    <t>ENSG00000117448.13</t>
  </si>
  <si>
    <t>AKR1A1</t>
  </si>
  <si>
    <t>ENSG00000086015.21</t>
  </si>
  <si>
    <t>MAST2</t>
  </si>
  <si>
    <t>ENSG00000117472.10</t>
  </si>
  <si>
    <t>TSPAN1</t>
  </si>
  <si>
    <t>ENSG00000171357.6</t>
  </si>
  <si>
    <t>LURAP1</t>
  </si>
  <si>
    <t>ENSG00000162456.9</t>
  </si>
  <si>
    <t>KNCN</t>
  </si>
  <si>
    <t>ENSG00000162366.8</t>
  </si>
  <si>
    <t>PDZK1IP1</t>
  </si>
  <si>
    <t>ENSG00000123473.15</t>
  </si>
  <si>
    <t>STIL</t>
  </si>
  <si>
    <t>ENSG00000117834.12</t>
  </si>
  <si>
    <t>SLC5A9</t>
  </si>
  <si>
    <t>ENSG00000132122.12</t>
  </si>
  <si>
    <t>SPATA6</t>
  </si>
  <si>
    <t>ENSG00000123080.11</t>
  </si>
  <si>
    <t>CDKN2C</t>
  </si>
  <si>
    <t>ENSG00000085831.15</t>
  </si>
  <si>
    <t>TTC39A</t>
  </si>
  <si>
    <t>ENSG00000169213.7</t>
  </si>
  <si>
    <t>RAB3B</t>
  </si>
  <si>
    <t>ENSG00000117862.12</t>
  </si>
  <si>
    <t>TXNDC12</t>
  </si>
  <si>
    <t>ENSG00000157077.14</t>
  </si>
  <si>
    <t>ZFYVE9</t>
  </si>
  <si>
    <t>ENSG00000085840.13</t>
  </si>
  <si>
    <t>ORC1</t>
  </si>
  <si>
    <t>ENSG00000203995.9</t>
  </si>
  <si>
    <t>ZYG11A</t>
  </si>
  <si>
    <t>ENSG00000157184.7</t>
  </si>
  <si>
    <t>CPT2</t>
  </si>
  <si>
    <t>ENSG00000157193.16</t>
  </si>
  <si>
    <t>LRP8</t>
  </si>
  <si>
    <t>ENSG00000211452.10</t>
  </si>
  <si>
    <t>DIO1</t>
  </si>
  <si>
    <t>ENSG00000203985.11</t>
  </si>
  <si>
    <t>LDLRAD1</t>
  </si>
  <si>
    <t>ENSG00000116209.11</t>
  </si>
  <si>
    <t>TMEM59</t>
  </si>
  <si>
    <t>ENSG00000162390.17</t>
  </si>
  <si>
    <t>ACOT11</t>
  </si>
  <si>
    <t>ENSG00000162391.12</t>
  </si>
  <si>
    <t>FAM151A</t>
  </si>
  <si>
    <t>ENSG00000169174.10</t>
  </si>
  <si>
    <t>PCSK9</t>
  </si>
  <si>
    <t>ENSG00000284686.1</t>
  </si>
  <si>
    <t>AC119674.2</t>
  </si>
  <si>
    <t>ENSG00000162407.9</t>
  </si>
  <si>
    <t>PLPP3</t>
  </si>
  <si>
    <t>ENSG00000162409.11</t>
  </si>
  <si>
    <t>PRKAA2</t>
  </si>
  <si>
    <t>ENSG00000187889.13</t>
  </si>
  <si>
    <t>FYB2</t>
  </si>
  <si>
    <t>ENSG00000157131.10</t>
  </si>
  <si>
    <t>C8A</t>
  </si>
  <si>
    <t>ENSG00000021852.13</t>
  </si>
  <si>
    <t>C8B</t>
  </si>
  <si>
    <t>ENSG00000173406.15</t>
  </si>
  <si>
    <t>DAB1</t>
  </si>
  <si>
    <t>ENSG00000162601.10</t>
  </si>
  <si>
    <t>MYSM1</t>
  </si>
  <si>
    <t>ENSG00000162599.16</t>
  </si>
  <si>
    <t>NFIA</t>
  </si>
  <si>
    <t>ENSG00000132854.19</t>
  </si>
  <si>
    <t>KANK4</t>
  </si>
  <si>
    <t>ENSG00000162607.13</t>
  </si>
  <si>
    <t>USP1</t>
  </si>
  <si>
    <t>ENSG00000079739.17</t>
  </si>
  <si>
    <t>PGM1</t>
  </si>
  <si>
    <t>ENSG00000185483.12</t>
  </si>
  <si>
    <t>ROR1</t>
  </si>
  <si>
    <t>ENSG00000158966.15</t>
  </si>
  <si>
    <t>CACHD1</t>
  </si>
  <si>
    <t>ENSG00000162437.14</t>
  </si>
  <si>
    <t>RAVER2</t>
  </si>
  <si>
    <t>ENSG00000162433.15</t>
  </si>
  <si>
    <t>AK4</t>
  </si>
  <si>
    <t>ENSG00000118473.22</t>
  </si>
  <si>
    <t>SGIP1</t>
  </si>
  <si>
    <t>ENSG00000152763.17</t>
  </si>
  <si>
    <t>WDR78</t>
  </si>
  <si>
    <t>ENSG00000081985.11</t>
  </si>
  <si>
    <t>IL12RB2</t>
  </si>
  <si>
    <t>ENSG00000142864.14</t>
  </si>
  <si>
    <t>SERBP1</t>
  </si>
  <si>
    <t>ENSG00000116717.13</t>
  </si>
  <si>
    <t>GADD45A</t>
  </si>
  <si>
    <t>ENSG00000172380.6</t>
  </si>
  <si>
    <t>GNG12</t>
  </si>
  <si>
    <t>ENSG00000033122.19</t>
  </si>
  <si>
    <t>LRRC7</t>
  </si>
  <si>
    <t>ENSG00000197568.14</t>
  </si>
  <si>
    <t>HHLA3</t>
  </si>
  <si>
    <t>ENSG00000116761.11</t>
  </si>
  <si>
    <t>CTH</t>
  </si>
  <si>
    <t>ENSG00000137968.16</t>
  </si>
  <si>
    <t>SLC44A5</t>
  </si>
  <si>
    <t>ENSG00000184005.11</t>
  </si>
  <si>
    <t>ST6GALNAC3</t>
  </si>
  <si>
    <t>ENSG00000154027.19</t>
  </si>
  <si>
    <t>AK5</t>
  </si>
  <si>
    <t>ENSG00000162614.18</t>
  </si>
  <si>
    <t>NEXN</t>
  </si>
  <si>
    <t>ENSG00000203943.8</t>
  </si>
  <si>
    <t>SAMD13</t>
  </si>
  <si>
    <t>ENSG00000117151.13</t>
  </si>
  <si>
    <t>CTBS</t>
  </si>
  <si>
    <t>ENSG00000117155.16</t>
  </si>
  <si>
    <t>SSX2IP</t>
  </si>
  <si>
    <t>ENSG00000153898.13</t>
  </si>
  <si>
    <t>MCOLN2</t>
  </si>
  <si>
    <t>ENSG00000162643.13</t>
  </si>
  <si>
    <t>WDR63</t>
  </si>
  <si>
    <t>ENSG00000055732.13</t>
  </si>
  <si>
    <t>MCOLN3</t>
  </si>
  <si>
    <t>ENSG00000171502.15</t>
  </si>
  <si>
    <t>COL24A1</t>
  </si>
  <si>
    <t>ENSG00000137975.8</t>
  </si>
  <si>
    <t>CLCA2</t>
  </si>
  <si>
    <t>ENSG00000143013.13</t>
  </si>
  <si>
    <t>LMO4</t>
  </si>
  <si>
    <t>ENSG00000137948.18</t>
  </si>
  <si>
    <t>BRDT</t>
  </si>
  <si>
    <t>ENSG00000189195.13</t>
  </si>
  <si>
    <t>BTBD8</t>
  </si>
  <si>
    <t>ENSG00000162676.12</t>
  </si>
  <si>
    <t>GFI1</t>
  </si>
  <si>
    <t>ENSG00000154511.12</t>
  </si>
  <si>
    <t>DIPK1A</t>
  </si>
  <si>
    <t>ENSG00000122483.17</t>
  </si>
  <si>
    <t>CCDC18</t>
  </si>
  <si>
    <t>ENSG00000137936.18</t>
  </si>
  <si>
    <t>BCAR3</t>
  </si>
  <si>
    <t>ENSG00000162627.17</t>
  </si>
  <si>
    <t>SNX7</t>
  </si>
  <si>
    <t>ENSG00000099260.11</t>
  </si>
  <si>
    <t>PALMD</t>
  </si>
  <si>
    <t>ENSG00000156869.13</t>
  </si>
  <si>
    <t>FRRS1</t>
  </si>
  <si>
    <t>ENSG00000156875.14</t>
  </si>
  <si>
    <t>MFSD14A</t>
  </si>
  <si>
    <t>ENSG00000060718.22</t>
  </si>
  <si>
    <t>COL11A1</t>
  </si>
  <si>
    <t>ENSG00000162631.18</t>
  </si>
  <si>
    <t>NTNG1</t>
  </si>
  <si>
    <t>ENSG00000134215.16</t>
  </si>
  <si>
    <t>VAV3</t>
  </si>
  <si>
    <t>ENSG00000085491.17</t>
  </si>
  <si>
    <t>SLC25A24</t>
  </si>
  <si>
    <t>ENSG00000116266.11</t>
  </si>
  <si>
    <t>STXBP3</t>
  </si>
  <si>
    <t>ENSG00000085433.15</t>
  </si>
  <si>
    <t>WDR47</t>
  </si>
  <si>
    <t>ENSG00000116299.17</t>
  </si>
  <si>
    <t>KIAA1324</t>
  </si>
  <si>
    <t>ENSG00000134222.16</t>
  </si>
  <si>
    <t>PSRC1</t>
  </si>
  <si>
    <t>ENSG00000143028.9</t>
  </si>
  <si>
    <t>SYPL2</t>
  </si>
  <si>
    <t>ENSG00000162650.16</t>
  </si>
  <si>
    <t>ATXN7L2</t>
  </si>
  <si>
    <t>ENSG00000116337.16</t>
  </si>
  <si>
    <t>AMPD2</t>
  </si>
  <si>
    <t>ENSG00000168765.17</t>
  </si>
  <si>
    <t>GSTM4</t>
  </si>
  <si>
    <t>ENSG00000134202.10</t>
  </si>
  <si>
    <t>GSTM3</t>
  </si>
  <si>
    <t>ENSG00000198758.10</t>
  </si>
  <si>
    <t>EPS8L3</t>
  </si>
  <si>
    <t>ENSG00000184371.14</t>
  </si>
  <si>
    <t>CSF1</t>
  </si>
  <si>
    <t>ENSG00000116396.14</t>
  </si>
  <si>
    <t>KCNC4</t>
  </si>
  <si>
    <t>ENSG00000177301.15</t>
  </si>
  <si>
    <t>KCNA2</t>
  </si>
  <si>
    <t>ENSG00000173947.14</t>
  </si>
  <si>
    <t>PIFO</t>
  </si>
  <si>
    <t>ENSG00000197852.11</t>
  </si>
  <si>
    <t>INKA2</t>
  </si>
  <si>
    <t>ENSG00000143079.15</t>
  </si>
  <si>
    <t>CTTNBP2NL</t>
  </si>
  <si>
    <t>ENSG00000155366.16</t>
  </si>
  <si>
    <t>RHOC</t>
  </si>
  <si>
    <t>ENSG00000155367.15</t>
  </si>
  <si>
    <t>PPM1J</t>
  </si>
  <si>
    <t>ENSG00000134242.16</t>
  </si>
  <si>
    <t>PTPN22</t>
  </si>
  <si>
    <t>ENSG00000118655.6</t>
  </si>
  <si>
    <t>DCLRE1B</t>
  </si>
  <si>
    <t>ENSG00000116774.12</t>
  </si>
  <si>
    <t>OLFML3</t>
  </si>
  <si>
    <t>ENSG00000175984.15</t>
  </si>
  <si>
    <t>DENND2C</t>
  </si>
  <si>
    <t>ENSG00000198765.12</t>
  </si>
  <si>
    <t>SYCP1</t>
  </si>
  <si>
    <t>ENSG00000173218.15</t>
  </si>
  <si>
    <t>VANGL1</t>
  </si>
  <si>
    <t>ENSG00000118729.11</t>
  </si>
  <si>
    <t>CASQ2</t>
  </si>
  <si>
    <t>ENSG00000134247.10</t>
  </si>
  <si>
    <t>PTGFRN</t>
  </si>
  <si>
    <t>ENSG00000183508.5</t>
  </si>
  <si>
    <t>TENT5C</t>
  </si>
  <si>
    <t>ENSG00000155761.13</t>
  </si>
  <si>
    <t>SPAG17</t>
  </si>
  <si>
    <t>ENSG00000092607.15</t>
  </si>
  <si>
    <t>TBX15</t>
  </si>
  <si>
    <t>ENSG00000092621.12</t>
  </si>
  <si>
    <t>PHGDH</t>
  </si>
  <si>
    <t>ENSG00000143127.13</t>
  </si>
  <si>
    <t>ITGA10</t>
  </si>
  <si>
    <t>ENSG00000271601.4</t>
  </si>
  <si>
    <t>LIX1L</t>
  </si>
  <si>
    <t>ENSG00000121851.13</t>
  </si>
  <si>
    <t>POLR3GL</t>
  </si>
  <si>
    <t>ENSG00000265972.5</t>
  </si>
  <si>
    <t>TXNIP</t>
  </si>
  <si>
    <t>ENSG00000131781.13</t>
  </si>
  <si>
    <t>FMO5</t>
  </si>
  <si>
    <t>ENSG00000131778.19</t>
  </si>
  <si>
    <t>CHD1L</t>
  </si>
  <si>
    <t>ENSG00000116128.11</t>
  </si>
  <si>
    <t>BCL9</t>
  </si>
  <si>
    <t>ENSG00000265107.3</t>
  </si>
  <si>
    <t>GJA5</t>
  </si>
  <si>
    <t>ENSG00000203814.6</t>
  </si>
  <si>
    <t>HIST2H2BF</t>
  </si>
  <si>
    <t>ENSG00000183598.3</t>
  </si>
  <si>
    <t>HIST2H3D</t>
  </si>
  <si>
    <t>ENSG00000270882.2</t>
  </si>
  <si>
    <t>HIST2H4A</t>
  </si>
  <si>
    <t>ENSG00000203811.1</t>
  </si>
  <si>
    <t>HIST2H3C</t>
  </si>
  <si>
    <t>ENSG00000203812.2</t>
  </si>
  <si>
    <t>HIST2H2AA3</t>
  </si>
  <si>
    <t>ENSG00000203852.3</t>
  </si>
  <si>
    <t>HIST2H3A</t>
  </si>
  <si>
    <t>ENSG00000270276.2</t>
  </si>
  <si>
    <t>HIST2H4B</t>
  </si>
  <si>
    <t>ENSG00000184678.10</t>
  </si>
  <si>
    <t>HIST2H2BE</t>
  </si>
  <si>
    <t>ENSG00000184260.5</t>
  </si>
  <si>
    <t>HIST2H2AC</t>
  </si>
  <si>
    <t>ENSG00000184270.5</t>
  </si>
  <si>
    <t>HIST2H2AB</t>
  </si>
  <si>
    <t>ENSG00000023902.14</t>
  </si>
  <si>
    <t>PLEKHO1</t>
  </si>
  <si>
    <t>ENSG00000143401.15</t>
  </si>
  <si>
    <t>ANP32E</t>
  </si>
  <si>
    <t>ENSG00000118298.12</t>
  </si>
  <si>
    <t>CA14</t>
  </si>
  <si>
    <t>ENSG00000143369.15</t>
  </si>
  <si>
    <t>ECM1</t>
  </si>
  <si>
    <t>ENSG00000143382.14</t>
  </si>
  <si>
    <t>ADAMTSL4</t>
  </si>
  <si>
    <t>ENSG00000197622.13</t>
  </si>
  <si>
    <t>CDC42SE1</t>
  </si>
  <si>
    <t>ENSG00000143416.21</t>
  </si>
  <si>
    <t>SELENBP1</t>
  </si>
  <si>
    <t>ENSG00000143375.15</t>
  </si>
  <si>
    <t>CGN</t>
  </si>
  <si>
    <t>ENSG00000159409.14</t>
  </si>
  <si>
    <t>CELF3</t>
  </si>
  <si>
    <t>ENSG00000178796.12</t>
  </si>
  <si>
    <t>RIIAD1</t>
  </si>
  <si>
    <t>ENSG00000182134.16</t>
  </si>
  <si>
    <t>TDRKH</t>
  </si>
  <si>
    <t>ENSG00000143365.18</t>
  </si>
  <si>
    <t>RORC</t>
  </si>
  <si>
    <t>ENSG00000159445.13</t>
  </si>
  <si>
    <t>THEM4</t>
  </si>
  <si>
    <t>ENSG00000163191.6</t>
  </si>
  <si>
    <t>S100A11</t>
  </si>
  <si>
    <t>ENSG00000159450.12</t>
  </si>
  <si>
    <t>TCHH</t>
  </si>
  <si>
    <t>ENSG00000197915.6</t>
  </si>
  <si>
    <t>HRNR</t>
  </si>
  <si>
    <t>ENSG00000143631.10</t>
  </si>
  <si>
    <t>FLG</t>
  </si>
  <si>
    <t>ENSG00000240386.3</t>
  </si>
  <si>
    <t>LCE1F</t>
  </si>
  <si>
    <t>ENSG00000186226.9</t>
  </si>
  <si>
    <t>LCE1E</t>
  </si>
  <si>
    <t>ENSG00000172155.9</t>
  </si>
  <si>
    <t>LCE1D</t>
  </si>
  <si>
    <t>ENSG00000197084.5</t>
  </si>
  <si>
    <t>LCE1C</t>
  </si>
  <si>
    <t>ENSG00000196734.8</t>
  </si>
  <si>
    <t>LCE1B</t>
  </si>
  <si>
    <t>ENSG00000197956.10</t>
  </si>
  <si>
    <t>S100A6</t>
  </si>
  <si>
    <t>ENSG00000196154.12</t>
  </si>
  <si>
    <t>S100A4</t>
  </si>
  <si>
    <t>ENSG00000169418.10</t>
  </si>
  <si>
    <t>NPR1</t>
  </si>
  <si>
    <t>ENSG00000163239.12</t>
  </si>
  <si>
    <t>TDRD10</t>
  </si>
  <si>
    <t>ENSG00000143603.19</t>
  </si>
  <si>
    <t>KCNN3</t>
  </si>
  <si>
    <t>ENSG00000163354.15</t>
  </si>
  <si>
    <t>DCST2</t>
  </si>
  <si>
    <t>ENSG00000143537.13</t>
  </si>
  <si>
    <t>ADAM15</t>
  </si>
  <si>
    <t>ENSG00000143590.14</t>
  </si>
  <si>
    <t>EFNA3</t>
  </si>
  <si>
    <t>ENSG00000169242.12</t>
  </si>
  <si>
    <t>EFNA1</t>
  </si>
  <si>
    <t>ENSG00000169231.13</t>
  </si>
  <si>
    <t>THBS3</t>
  </si>
  <si>
    <t>ENSG00000160767.21</t>
  </si>
  <si>
    <t>FAM189B</t>
  </si>
  <si>
    <t>ENSG00000143630.10</t>
  </si>
  <si>
    <t>HCN3</t>
  </si>
  <si>
    <t>ENSG00000143627.19</t>
  </si>
  <si>
    <t>PKLR</t>
  </si>
  <si>
    <t>ENSG00000160752.14</t>
  </si>
  <si>
    <t>FDPS</t>
  </si>
  <si>
    <t>ENSG00000132718.9</t>
  </si>
  <si>
    <t>SYT11</t>
  </si>
  <si>
    <t>ENSG00000254726.3</t>
  </si>
  <si>
    <t>MEX3A</t>
  </si>
  <si>
    <t>ENSG00000196189.13</t>
  </si>
  <si>
    <t>SEMA4A</t>
  </si>
  <si>
    <t>ENSG00000160783.19</t>
  </si>
  <si>
    <t>PMF1</t>
  </si>
  <si>
    <t>ENSG00000187862.11</t>
  </si>
  <si>
    <t>TTC24</t>
  </si>
  <si>
    <t>ENSG00000143320.9</t>
  </si>
  <si>
    <t>CRABP2</t>
  </si>
  <si>
    <t>ENSG00000143321.19</t>
  </si>
  <si>
    <t>HDGF</t>
  </si>
  <si>
    <t>ENSG00000027869.11</t>
  </si>
  <si>
    <t>SH2D2A</t>
  </si>
  <si>
    <t>ENSG00000187800.13</t>
  </si>
  <si>
    <t>PEAR1</t>
  </si>
  <si>
    <t>ENSG00000132694.18</t>
  </si>
  <si>
    <t>ARHGEF11</t>
  </si>
  <si>
    <t>ENSG00000143297.19</t>
  </si>
  <si>
    <t>FCRL5</t>
  </si>
  <si>
    <t>ENSG00000163564.14</t>
  </si>
  <si>
    <t>PYHIN1</t>
  </si>
  <si>
    <t>ENSG00000163565.18</t>
  </si>
  <si>
    <t>IFI16</t>
  </si>
  <si>
    <t>ENSG00000177807.9</t>
  </si>
  <si>
    <t>KCNJ10</t>
  </si>
  <si>
    <t>ENSG00000162729.14</t>
  </si>
  <si>
    <t>IGSF8</t>
  </si>
  <si>
    <t>ENSG00000018625.14</t>
  </si>
  <si>
    <t>ATP1A2</t>
  </si>
  <si>
    <t>ENSG00000158764.7</t>
  </si>
  <si>
    <t>ITLN2</t>
  </si>
  <si>
    <t>ENSG00000186517.14</t>
  </si>
  <si>
    <t>ARHGAP30</t>
  </si>
  <si>
    <t>ENSG00000143217.9</t>
  </si>
  <si>
    <t>NECTIN4</t>
  </si>
  <si>
    <t>ENSG00000158850.15</t>
  </si>
  <si>
    <t>B4GALT3</t>
  </si>
  <si>
    <t>ENSG00000158859.10</t>
  </si>
  <si>
    <t>ADAMTS4</t>
  </si>
  <si>
    <t>ENSG00000158874.11</t>
  </si>
  <si>
    <t>APOA2</t>
  </si>
  <si>
    <t>ENSG00000248485.2</t>
  </si>
  <si>
    <t>PCP4L1</t>
  </si>
  <si>
    <t>ENSG00000158887.16</t>
  </si>
  <si>
    <t>MPZ</t>
  </si>
  <si>
    <t>ENSG00000132185.16</t>
  </si>
  <si>
    <t>FCRLA</t>
  </si>
  <si>
    <t>ENSG00000185630.18</t>
  </si>
  <si>
    <t>PBX1</t>
  </si>
  <si>
    <t>ENSG00000143179.16</t>
  </si>
  <si>
    <t>UCK2</t>
  </si>
  <si>
    <t>ENSG00000143195.13</t>
  </si>
  <si>
    <t>ILDR2</t>
  </si>
  <si>
    <t>ENSG00000143194.13</t>
  </si>
  <si>
    <t>MAEL</t>
  </si>
  <si>
    <t>ENSG00000143167.12</t>
  </si>
  <si>
    <t>GPA33</t>
  </si>
  <si>
    <t>ENSG00000198771.11</t>
  </si>
  <si>
    <t>RCSD1</t>
  </si>
  <si>
    <t>ENSG00000197965.12</t>
  </si>
  <si>
    <t>MPZL1</t>
  </si>
  <si>
    <t>ENSG00000143158.11</t>
  </si>
  <si>
    <t>MPC2</t>
  </si>
  <si>
    <t>ENSG00000117479.14</t>
  </si>
  <si>
    <t>SLC19A2</t>
  </si>
  <si>
    <t>ENSG00000198734.10</t>
  </si>
  <si>
    <t>F5</t>
  </si>
  <si>
    <t>ENSG00000174175.17</t>
  </si>
  <si>
    <t>SELP</t>
  </si>
  <si>
    <t>ENSG00000197959.14</t>
  </si>
  <si>
    <t>DNM3</t>
  </si>
  <si>
    <t>ENSG00000117586.11</t>
  </si>
  <si>
    <t>TNFSF4</t>
  </si>
  <si>
    <t>ENSG00000117601.13</t>
  </si>
  <si>
    <t>SERPINC1</t>
  </si>
  <si>
    <t>ENSG00000116183.11</t>
  </si>
  <si>
    <t>PAPPA2</t>
  </si>
  <si>
    <t>ENSG00000152092.16</t>
  </si>
  <si>
    <t>ASTN1</t>
  </si>
  <si>
    <t>ENSG00000188585.9</t>
  </si>
  <si>
    <t>CLEC20A</t>
  </si>
  <si>
    <t>ENSG00000116191.17</t>
  </si>
  <si>
    <t>RALGPS2</t>
  </si>
  <si>
    <t>ENSG00000116194.13</t>
  </si>
  <si>
    <t>ANGPTL1</t>
  </si>
  <si>
    <t>ENSG00000162779.22</t>
  </si>
  <si>
    <t>AXDND1</t>
  </si>
  <si>
    <t>ENSG00000143337.18</t>
  </si>
  <si>
    <t>TOR1AIP1</t>
  </si>
  <si>
    <t>ENSG00000116260.17</t>
  </si>
  <si>
    <t>QSOX1</t>
  </si>
  <si>
    <t>ENSG00000135823.14</t>
  </si>
  <si>
    <t>STX6</t>
  </si>
  <si>
    <t>ENSG00000153029.14</t>
  </si>
  <si>
    <t>MR1</t>
  </si>
  <si>
    <t>ENSG00000198216.12</t>
  </si>
  <si>
    <t>CACNA1E</t>
  </si>
  <si>
    <t>ENSG00000121446.20</t>
  </si>
  <si>
    <t>RGSL1</t>
  </si>
  <si>
    <t>ENSG00000135824.12</t>
  </si>
  <si>
    <t>RGS8</t>
  </si>
  <si>
    <t>ENSG00000135838.13</t>
  </si>
  <si>
    <t>NPL</t>
  </si>
  <si>
    <t>ENSG00000058085.14</t>
  </si>
  <si>
    <t>LAMC2</t>
  </si>
  <si>
    <t>ENSG00000157064.11</t>
  </si>
  <si>
    <t>NMNAT2</t>
  </si>
  <si>
    <t>ENSG00000143344.15</t>
  </si>
  <si>
    <t>RGL1</t>
  </si>
  <si>
    <t>ENSG00000198756.12</t>
  </si>
  <si>
    <t>COLGALT2</t>
  </si>
  <si>
    <t>ENSG00000198860.12</t>
  </si>
  <si>
    <t>TSEN15</t>
  </si>
  <si>
    <t>ENSG00000135842.17</t>
  </si>
  <si>
    <t>FAM129A</t>
  </si>
  <si>
    <t>ENSG00000116668.13</t>
  </si>
  <si>
    <t>SWT1</t>
  </si>
  <si>
    <t>ENSG00000143341.12</t>
  </si>
  <si>
    <t>HMCN1</t>
  </si>
  <si>
    <t>ENSG00000162630.5</t>
  </si>
  <si>
    <t>B3GALT2</t>
  </si>
  <si>
    <t>ENSG00000162687.17</t>
  </si>
  <si>
    <t>KCNT2</t>
  </si>
  <si>
    <t>ENSG00000000971.15</t>
  </si>
  <si>
    <t>CFH</t>
  </si>
  <si>
    <t>ENSG00000213047.13</t>
  </si>
  <si>
    <t>DENND1B</t>
  </si>
  <si>
    <t>ENSG00000116833.14</t>
  </si>
  <si>
    <t>NR5A2</t>
  </si>
  <si>
    <t>ENSG00000163362.11</t>
  </si>
  <si>
    <t>INAVA</t>
  </si>
  <si>
    <t>ENSG00000163395.16</t>
  </si>
  <si>
    <t>IGFN1</t>
  </si>
  <si>
    <t>ENSG00000174307.6</t>
  </si>
  <si>
    <t>PHLDA3</t>
  </si>
  <si>
    <t>ENSG00000159176.14</t>
  </si>
  <si>
    <t>CSRP1</t>
  </si>
  <si>
    <t>ENSG00000134369.15</t>
  </si>
  <si>
    <t>NAV1</t>
  </si>
  <si>
    <t>ENSG00000143862.8</t>
  </si>
  <si>
    <t>ARL8A</t>
  </si>
  <si>
    <t>ENSG00000143851.15</t>
  </si>
  <si>
    <t>PTPN7</t>
  </si>
  <si>
    <t>ENSG00000117153.16</t>
  </si>
  <si>
    <t>KLHL12</t>
  </si>
  <si>
    <t>ENSG00000133063.16</t>
  </si>
  <si>
    <t>CHIT1</t>
  </si>
  <si>
    <t>ENSG00000159388.6</t>
  </si>
  <si>
    <t>BTG2</t>
  </si>
  <si>
    <t>ENSG00000143842.15</t>
  </si>
  <si>
    <t>SOX13</t>
  </si>
  <si>
    <t>ENSG00000174567.8</t>
  </si>
  <si>
    <t>GOLT1A</t>
  </si>
  <si>
    <t>ENSG00000133056.13</t>
  </si>
  <si>
    <t>PIK3C2B</t>
  </si>
  <si>
    <t>ENSG00000163531.15</t>
  </si>
  <si>
    <t>NFASC</t>
  </si>
  <si>
    <t>ENSG00000163545.8</t>
  </si>
  <si>
    <t>NUAK2</t>
  </si>
  <si>
    <t>ENSG00000281406.2</t>
  </si>
  <si>
    <t>BLACAT1</t>
  </si>
  <si>
    <t>ENSG00000174514.13</t>
  </si>
  <si>
    <t>MFSD4A</t>
  </si>
  <si>
    <t>ENSG00000276600.5</t>
  </si>
  <si>
    <t>RAB7B</t>
  </si>
  <si>
    <t>ENSG00000263528.8</t>
  </si>
  <si>
    <t>IKBKE</t>
  </si>
  <si>
    <t>ENSG00000266094.7</t>
  </si>
  <si>
    <t>RASSF5</t>
  </si>
  <si>
    <t>ENSG00000196352.15</t>
  </si>
  <si>
    <t>CD55</t>
  </si>
  <si>
    <t>ENSG00000117322.17</t>
  </si>
  <si>
    <t>CR2</t>
  </si>
  <si>
    <t>ENSG00000203710.11</t>
  </si>
  <si>
    <t>CR1</t>
  </si>
  <si>
    <t>ENSG00000008118.10</t>
  </si>
  <si>
    <t>CAMK1G</t>
  </si>
  <si>
    <t>ENSG00000196878.15</t>
  </si>
  <si>
    <t>LAMB3</t>
  </si>
  <si>
    <t>ENSG00000162757.4</t>
  </si>
  <si>
    <t>C1orf74</t>
  </si>
  <si>
    <t>ENSG00000143469.19</t>
  </si>
  <si>
    <t>SYT14</t>
  </si>
  <si>
    <t>ENSG00000054392.13</t>
  </si>
  <si>
    <t>HHAT</t>
  </si>
  <si>
    <t>ENSG00000170385.10</t>
  </si>
  <si>
    <t>SLC30A1</t>
  </si>
  <si>
    <t>ENSG00000143493.13</t>
  </si>
  <si>
    <t>INTS7</t>
  </si>
  <si>
    <t>ENSG00000143476.18</t>
  </si>
  <si>
    <t>DTL</t>
  </si>
  <si>
    <t>ENSG00000162769.13</t>
  </si>
  <si>
    <t>FLVCR1</t>
  </si>
  <si>
    <t>ENSG00000143494.15</t>
  </si>
  <si>
    <t>VASH2</t>
  </si>
  <si>
    <t>ENSG00000143499.14</t>
  </si>
  <si>
    <t>SMYD2</t>
  </si>
  <si>
    <t>ENSG00000136636.13</t>
  </si>
  <si>
    <t>KCTD3</t>
  </si>
  <si>
    <t>ENSG00000042781.13</t>
  </si>
  <si>
    <t>USH2A</t>
  </si>
  <si>
    <t>ENSG00000196482.17</t>
  </si>
  <si>
    <t>ESRRG</t>
  </si>
  <si>
    <t>ENSG00000162814.11</t>
  </si>
  <si>
    <t>SPATA17</t>
  </si>
  <si>
    <t>ENSG00000196660.10</t>
  </si>
  <si>
    <t>SLC30A10</t>
  </si>
  <si>
    <t>ENSG00000136628.18</t>
  </si>
  <si>
    <t>EPRS</t>
  </si>
  <si>
    <t>ENSG00000116141.15</t>
  </si>
  <si>
    <t>MARK1</t>
  </si>
  <si>
    <t>ENSG00000117791.16</t>
  </si>
  <si>
    <t>MARC2</t>
  </si>
  <si>
    <t>ENSG00000186205.13</t>
  </si>
  <si>
    <t>MARC1</t>
  </si>
  <si>
    <t>ENSG00000162909.18</t>
  </si>
  <si>
    <t>CAPN2</t>
  </si>
  <si>
    <t>ENSG00000143815.15</t>
  </si>
  <si>
    <t>LBR</t>
  </si>
  <si>
    <t>ENSG00000143819.12</t>
  </si>
  <si>
    <t>EPHX1</t>
  </si>
  <si>
    <t>ENSG00000203685.10</t>
  </si>
  <si>
    <t>STUM</t>
  </si>
  <si>
    <t>ENSG00000143772.9</t>
  </si>
  <si>
    <t>ITPKB</t>
  </si>
  <si>
    <t>ENSG00000143816.8</t>
  </si>
  <si>
    <t>WNT9A</t>
  </si>
  <si>
    <t>ENSG00000198835.4</t>
  </si>
  <si>
    <t>GJC2</t>
  </si>
  <si>
    <t>ENSG00000154358.20</t>
  </si>
  <si>
    <t>OBSCN</t>
  </si>
  <si>
    <t>ENSG00000168118.11</t>
  </si>
  <si>
    <t>RAB4A</t>
  </si>
  <si>
    <t>ENSG00000143632.14</t>
  </si>
  <si>
    <t>ACTA1</t>
  </si>
  <si>
    <t>ENSG00000135776.5</t>
  </si>
  <si>
    <t>ABCB10</t>
  </si>
  <si>
    <t>ENSG00000135763.10</t>
  </si>
  <si>
    <t>URB2</t>
  </si>
  <si>
    <t>ENSG00000135744.8</t>
  </si>
  <si>
    <t>AGT</t>
  </si>
  <si>
    <t>ENSG00000135773.13</t>
  </si>
  <si>
    <t>CAPN9</t>
  </si>
  <si>
    <t>ENSG00000182118.8</t>
  </si>
  <si>
    <t>FAM89A</t>
  </si>
  <si>
    <t>ENSG00000119283.15</t>
  </si>
  <si>
    <t>TRIM67</t>
  </si>
  <si>
    <t>ENSG00000116906.13</t>
  </si>
  <si>
    <t>GNPAT</t>
  </si>
  <si>
    <t>ENSG00000116991.10</t>
  </si>
  <si>
    <t>SIPA1L2</t>
  </si>
  <si>
    <t>ENSG00000135778.12</t>
  </si>
  <si>
    <t>NTPCR</t>
  </si>
  <si>
    <t>ENSG00000135749.19</t>
  </si>
  <si>
    <t>PCNX2</t>
  </si>
  <si>
    <t>ENSG00000168264.10</t>
  </si>
  <si>
    <t>IRF2BP2</t>
  </si>
  <si>
    <t>ENSG00000168243.11</t>
  </si>
  <si>
    <t>GNG4</t>
  </si>
  <si>
    <t>ENSG00000116962.15</t>
  </si>
  <si>
    <t>NID1</t>
  </si>
  <si>
    <t>ENSG00000086619.13</t>
  </si>
  <si>
    <t>ERO1B</t>
  </si>
  <si>
    <t>ENSG00000186197.14</t>
  </si>
  <si>
    <t>EDARADD</t>
  </si>
  <si>
    <t>ENSG00000198626.16</t>
  </si>
  <si>
    <t>RYR2</t>
  </si>
  <si>
    <t>ENSG00000117009.12</t>
  </si>
  <si>
    <t>KMO</t>
  </si>
  <si>
    <t>ENSG00000054277.14</t>
  </si>
  <si>
    <t>OPN3</t>
  </si>
  <si>
    <t>ENSG00000203668.2</t>
  </si>
  <si>
    <t>CHML</t>
  </si>
  <si>
    <t>ENSG00000174371.17</t>
  </si>
  <si>
    <t>EXO1</t>
  </si>
  <si>
    <t>ENSG00000180287.16</t>
  </si>
  <si>
    <t>PLD5</t>
  </si>
  <si>
    <t>ENSG00000054282.16</t>
  </si>
  <si>
    <t>SDCCAG8</t>
  </si>
  <si>
    <t>ENSG00000179456.10</t>
  </si>
  <si>
    <t>ZBTB18</t>
  </si>
  <si>
    <t>ENSG00000179397.18</t>
  </si>
  <si>
    <t>CATSPERE</t>
  </si>
  <si>
    <t>ENSG00000162849.16</t>
  </si>
  <si>
    <t>KIF26B</t>
  </si>
  <si>
    <t>ENSG00000162714.12</t>
  </si>
  <si>
    <t>ZNF496</t>
  </si>
  <si>
    <t>ENSG00000184731.6</t>
  </si>
  <si>
    <t>FAM110C</t>
  </si>
  <si>
    <t>ENSG00000172554.12</t>
  </si>
  <si>
    <t>SNTG2</t>
  </si>
  <si>
    <t>ENSG00000130508.11</t>
  </si>
  <si>
    <t>PXDN</t>
  </si>
  <si>
    <t>ENSG00000186487.19</t>
  </si>
  <si>
    <t>MYT1L</t>
  </si>
  <si>
    <t>ENSG00000151360.10</t>
  </si>
  <si>
    <t>ALLC</t>
  </si>
  <si>
    <t>ENSG00000115738.10</t>
  </si>
  <si>
    <t>ID2</t>
  </si>
  <si>
    <t>ENSG00000143797.12</t>
  </si>
  <si>
    <t>MBOAT2</t>
  </si>
  <si>
    <t>ENSG00000172059.11</t>
  </si>
  <si>
    <t>KLF11</t>
  </si>
  <si>
    <t>ENSG00000205795.4</t>
  </si>
  <si>
    <t>CYS1</t>
  </si>
  <si>
    <t>ENSG00000143882.12</t>
  </si>
  <si>
    <t>ATP6V1C2</t>
  </si>
  <si>
    <t>ENSG00000150873.11</t>
  </si>
  <si>
    <t>C2orf50</t>
  </si>
  <si>
    <t>ENSG00000162976.13</t>
  </si>
  <si>
    <t>PQLC3</t>
  </si>
  <si>
    <t>ENSG00000196208.14</t>
  </si>
  <si>
    <t>GREB1</t>
  </si>
  <si>
    <t>ENSG00000134324.11</t>
  </si>
  <si>
    <t>LPIN1</t>
  </si>
  <si>
    <t>ENSG00000162981.14</t>
  </si>
  <si>
    <t>FAM84A</t>
  </si>
  <si>
    <t>ENSG00000134323.12</t>
  </si>
  <si>
    <t>MYCN</t>
  </si>
  <si>
    <t>ENSG00000197872.11</t>
  </si>
  <si>
    <t>FAM49A</t>
  </si>
  <si>
    <t>ENSG00000132031.13</t>
  </si>
  <si>
    <t>MATN3</t>
  </si>
  <si>
    <t>ENSG00000115884.11</t>
  </si>
  <si>
    <t>SDC1</t>
  </si>
  <si>
    <t>ENSG00000218819.4</t>
  </si>
  <si>
    <t>TDRD15</t>
  </si>
  <si>
    <t>ENSG00000119771.15</t>
  </si>
  <si>
    <t>KLHL29</t>
  </si>
  <si>
    <t>ENSG00000115129.14</t>
  </si>
  <si>
    <t>TP53I3</t>
  </si>
  <si>
    <t>ENSG00000176732.6</t>
  </si>
  <si>
    <t>PFN4</t>
  </si>
  <si>
    <t>ENSG00000184924.5</t>
  </si>
  <si>
    <t>PTRHD1</t>
  </si>
  <si>
    <t>ENSG00000138092.11</t>
  </si>
  <si>
    <t>CENPO</t>
  </si>
  <si>
    <t>ENSG00000138031.14</t>
  </si>
  <si>
    <t>ADCY3</t>
  </si>
  <si>
    <t>ENSG00000084710.14</t>
  </si>
  <si>
    <t>EFR3B</t>
  </si>
  <si>
    <t>ENSG00000157833.13</t>
  </si>
  <si>
    <t>GAREM2</t>
  </si>
  <si>
    <t>ENSG00000115155.17</t>
  </si>
  <si>
    <t>OTOF</t>
  </si>
  <si>
    <t>ENSG00000171303.7</t>
  </si>
  <si>
    <t>KCNK3</t>
  </si>
  <si>
    <t>ENSG00000157851.17</t>
  </si>
  <si>
    <t>DPYSL5</t>
  </si>
  <si>
    <t>ENSG00000084764.11</t>
  </si>
  <si>
    <t>MAPRE3</t>
  </si>
  <si>
    <t>ENSG00000143994.14</t>
  </si>
  <si>
    <t>ABHD1</t>
  </si>
  <si>
    <t>ENSG00000084774.14</t>
  </si>
  <si>
    <t>CAD</t>
  </si>
  <si>
    <t>ENSG00000163794.6</t>
  </si>
  <si>
    <t>UCN</t>
  </si>
  <si>
    <t>ENSG00000115216.14</t>
  </si>
  <si>
    <t>NRBP1</t>
  </si>
  <si>
    <t>ENSG00000138002.15</t>
  </si>
  <si>
    <t>IFT172</t>
  </si>
  <si>
    <t>ENSG00000084734.9</t>
  </si>
  <si>
    <t>GCKR</t>
  </si>
  <si>
    <t>ENSG00000221843.4</t>
  </si>
  <si>
    <t>C2orf16</t>
  </si>
  <si>
    <t>ENSG00000243147.8</t>
  </si>
  <si>
    <t>MRPL33</t>
  </si>
  <si>
    <t>ENSG00000171174.15</t>
  </si>
  <si>
    <t>RBKS</t>
  </si>
  <si>
    <t>ENSG00000075426.12</t>
  </si>
  <si>
    <t>FOSL2</t>
  </si>
  <si>
    <t>ENSG00000163803.13</t>
  </si>
  <si>
    <t>PLB1</t>
  </si>
  <si>
    <t>ENSG00000179270.7</t>
  </si>
  <si>
    <t>PCARE</t>
  </si>
  <si>
    <t>ENSG00000171094.18</t>
  </si>
  <si>
    <t>ALK</t>
  </si>
  <si>
    <t>ENSG00000119801.13</t>
  </si>
  <si>
    <t>YPEL5</t>
  </si>
  <si>
    <t>ENSG00000213626.13</t>
  </si>
  <si>
    <t>LBH</t>
  </si>
  <si>
    <t>ENSG00000158125.10</t>
  </si>
  <si>
    <t>XDH</t>
  </si>
  <si>
    <t>ENSG00000091106.19</t>
  </si>
  <si>
    <t>NLRC4</t>
  </si>
  <si>
    <t>ENSG00000018699.13</t>
  </si>
  <si>
    <t>TTC27</t>
  </si>
  <si>
    <t>ENSG00000049323.16</t>
  </si>
  <si>
    <t>LTBP1</t>
  </si>
  <si>
    <t>ENSG00000152689.18</t>
  </si>
  <si>
    <t>RASGRP3</t>
  </si>
  <si>
    <t>ENSG00000119812.19</t>
  </si>
  <si>
    <t>FAM98A</t>
  </si>
  <si>
    <t>ENSG00000218739.10</t>
  </si>
  <si>
    <t>CEBPZOS</t>
  </si>
  <si>
    <t>ENSG00000115828.17</t>
  </si>
  <si>
    <t>QPCT</t>
  </si>
  <si>
    <t>ENSG00000163171.7</t>
  </si>
  <si>
    <t>CDC42EP3</t>
  </si>
  <si>
    <t>ENSG00000115841.20</t>
  </si>
  <si>
    <t>RMDN2</t>
  </si>
  <si>
    <t>ENSG00000143891.17</t>
  </si>
  <si>
    <t>GALM</t>
  </si>
  <si>
    <t>ENSG00000214694.11</t>
  </si>
  <si>
    <t>ARHGEF33</t>
  </si>
  <si>
    <t>ENSG00000183023.18</t>
  </si>
  <si>
    <t>SLC8A1</t>
  </si>
  <si>
    <t>ENSG00000162878.13</t>
  </si>
  <si>
    <t>PKDCC</t>
  </si>
  <si>
    <t>ENSG00000143924.19</t>
  </si>
  <si>
    <t>EML4</t>
  </si>
  <si>
    <t>ENSG00000162882.15</t>
  </si>
  <si>
    <t>HAAO</t>
  </si>
  <si>
    <t>ENSG00000095002.14</t>
  </si>
  <si>
    <t>MSH2</t>
  </si>
  <si>
    <t>ENSG00000116062.15</t>
  </si>
  <si>
    <t>MSH6</t>
  </si>
  <si>
    <t>ENSG00000179915.23</t>
  </si>
  <si>
    <t>NRXN1</t>
  </si>
  <si>
    <t>ENSG00000178021.11</t>
  </si>
  <si>
    <t>TSPYL6</t>
  </si>
  <si>
    <t>ENSG00000119866.21</t>
  </si>
  <si>
    <t>BCL11A</t>
  </si>
  <si>
    <t>ENSG00000162927.14</t>
  </si>
  <si>
    <t>PUS10</t>
  </si>
  <si>
    <t>ENSG00000237651.6</t>
  </si>
  <si>
    <t>C2orf74</t>
  </si>
  <si>
    <t>ENSG00000115507.10</t>
  </si>
  <si>
    <t>OTX1</t>
  </si>
  <si>
    <t>ENSG00000179833.4</t>
  </si>
  <si>
    <t>SERTAD2</t>
  </si>
  <si>
    <t>ENSG00000115902.11</t>
  </si>
  <si>
    <t>SLC1A4</t>
  </si>
  <si>
    <t>ENSG00000138069.18</t>
  </si>
  <si>
    <t>RAB1A</t>
  </si>
  <si>
    <t>ENSG00000119865.8</t>
  </si>
  <si>
    <t>CNRIP1</t>
  </si>
  <si>
    <t>ENSG00000115956.10</t>
  </si>
  <si>
    <t>PLEK</t>
  </si>
  <si>
    <t>ENSG00000169621.10</t>
  </si>
  <si>
    <t>APLF</t>
  </si>
  <si>
    <t>ENSG00000163219.11</t>
  </si>
  <si>
    <t>ARHGAP25</t>
  </si>
  <si>
    <t>ENSG00000169599.12</t>
  </si>
  <si>
    <t>NFU1</t>
  </si>
  <si>
    <t>ENSG00000075340.23</t>
  </si>
  <si>
    <t>ADD2</t>
  </si>
  <si>
    <t>ENSG00000124370.11</t>
  </si>
  <si>
    <t>MCEE</t>
  </si>
  <si>
    <t>ENSG00000124374.9</t>
  </si>
  <si>
    <t>PAIP2B</t>
  </si>
  <si>
    <t>ENSG00000135636.14</t>
  </si>
  <si>
    <t>DYSF</t>
  </si>
  <si>
    <t>ENSG00000116096.6</t>
  </si>
  <si>
    <t>SPR</t>
  </si>
  <si>
    <t>ENSG00000135632.12</t>
  </si>
  <si>
    <t>SMYD5</t>
  </si>
  <si>
    <t>ENSG00000135617.4</t>
  </si>
  <si>
    <t>PRADC1</t>
  </si>
  <si>
    <t>ENSG00000144035.3</t>
  </si>
  <si>
    <t>NAT8</t>
  </si>
  <si>
    <t>ENSG00000187833.7</t>
  </si>
  <si>
    <t>C2orf78</t>
  </si>
  <si>
    <t>ENSG00000187605.15</t>
  </si>
  <si>
    <t>TET3</t>
  </si>
  <si>
    <t>ENSG00000005448.16</t>
  </si>
  <si>
    <t>WDR54</t>
  </si>
  <si>
    <t>ENSG00000114993.16</t>
  </si>
  <si>
    <t>RTKN</t>
  </si>
  <si>
    <t>ENSG00000239779.7</t>
  </si>
  <si>
    <t>WBP1</t>
  </si>
  <si>
    <t>ENSG00000115275.12</t>
  </si>
  <si>
    <t>MOGS</t>
  </si>
  <si>
    <t>ENSG00000144045.14</t>
  </si>
  <si>
    <t>DQX1</t>
  </si>
  <si>
    <t>ENSG00000159374.17</t>
  </si>
  <si>
    <t>M1AP</t>
  </si>
  <si>
    <t>ENSG00000159399.9</t>
  </si>
  <si>
    <t>HK2</t>
  </si>
  <si>
    <t>ENSG00000115350.11</t>
  </si>
  <si>
    <t>POLE4</t>
  </si>
  <si>
    <t>ENSG00000115353.11</t>
  </si>
  <si>
    <t>TACR1</t>
  </si>
  <si>
    <t>ENSG00000176204.13</t>
  </si>
  <si>
    <t>LRRTM4</t>
  </si>
  <si>
    <t>ENSG00000066032.18</t>
  </si>
  <si>
    <t>CTNNA2</t>
  </si>
  <si>
    <t>ENSG00000115423.18</t>
  </si>
  <si>
    <t>DNAH6</t>
  </si>
  <si>
    <t>ENSG00000042445.14</t>
  </si>
  <si>
    <t>RETSAT</t>
  </si>
  <si>
    <t>ENSG00000152292.17</t>
  </si>
  <si>
    <t>SH2D6</t>
  </si>
  <si>
    <t>ENSG00000118640.11</t>
  </si>
  <si>
    <t>VAMP8</t>
  </si>
  <si>
    <t>ENSG00000168899.5</t>
  </si>
  <si>
    <t>VAMP5</t>
  </si>
  <si>
    <t>ENSG00000115561.16</t>
  </si>
  <si>
    <t>CHMP3</t>
  </si>
  <si>
    <t>ENSG00000172086.8</t>
  </si>
  <si>
    <t>KRCC1</t>
  </si>
  <si>
    <t>ENSG00000115593.15</t>
  </si>
  <si>
    <t>SMYD1</t>
  </si>
  <si>
    <t>ENSG00000163586.9</t>
  </si>
  <si>
    <t>FABP1</t>
  </si>
  <si>
    <t>ENSG00000172073.4</t>
  </si>
  <si>
    <t>TEX37</t>
  </si>
  <si>
    <t>ENSG00000153574.9</t>
  </si>
  <si>
    <t>RPIA</t>
  </si>
  <si>
    <t>ENSG00000155066.16</t>
  </si>
  <si>
    <t>PROM2</t>
  </si>
  <si>
    <t>ENSG00000174501.14</t>
  </si>
  <si>
    <t>ANKRD36C</t>
  </si>
  <si>
    <t>ENSG00000198885.9</t>
  </si>
  <si>
    <t>ITPRIPL1</t>
  </si>
  <si>
    <t>ENSG00000196843.16</t>
  </si>
  <si>
    <t>ARID5A</t>
  </si>
  <si>
    <t>ENSG00000168758.11</t>
  </si>
  <si>
    <t>SEMA4C</t>
  </si>
  <si>
    <t>ENSG00000168754.15</t>
  </si>
  <si>
    <t>FAM178B</t>
  </si>
  <si>
    <t>ENSG00000135976.19</t>
  </si>
  <si>
    <t>ANKRD36</t>
  </si>
  <si>
    <t>ENSG00000196912.12</t>
  </si>
  <si>
    <t>ANKRD36B</t>
  </si>
  <si>
    <t>ENSG00000115085.13</t>
  </si>
  <si>
    <t>ZAP70</t>
  </si>
  <si>
    <t>ENSG00000168658.18</t>
  </si>
  <si>
    <t>VWA3B</t>
  </si>
  <si>
    <t>ENSG00000144191.11</t>
  </si>
  <si>
    <t>CNGA3</t>
  </si>
  <si>
    <t>ENSG00000071073.13</t>
  </si>
  <si>
    <t>MGAT4A</t>
  </si>
  <si>
    <t>ENSG00000144218.18</t>
  </si>
  <si>
    <t>AFF3</t>
  </si>
  <si>
    <t>ENSG00000170500.12</t>
  </si>
  <si>
    <t>LONRF2</t>
  </si>
  <si>
    <t>ENSG00000115526.11</t>
  </si>
  <si>
    <t>CHST10</t>
  </si>
  <si>
    <t>ENSG00000163162.8</t>
  </si>
  <si>
    <t>RNF149</t>
  </si>
  <si>
    <t>ENSG00000175874.10</t>
  </si>
  <si>
    <t>CREG2</t>
  </si>
  <si>
    <t>ENSG00000196460.14</t>
  </si>
  <si>
    <t>RFX8</t>
  </si>
  <si>
    <t>ENSG00000115594.12</t>
  </si>
  <si>
    <t>IL1R1</t>
  </si>
  <si>
    <t>ENSG00000115598.10</t>
  </si>
  <si>
    <t>IL1RL2</t>
  </si>
  <si>
    <t>ENSG00000115616.2</t>
  </si>
  <si>
    <t>SLC9A2</t>
  </si>
  <si>
    <t>ENSG00000071051.14</t>
  </si>
  <si>
    <t>NCK2</t>
  </si>
  <si>
    <t>ENSG00000153165.18</t>
  </si>
  <si>
    <t>RGPD3</t>
  </si>
  <si>
    <t>ENSG00000198075.10</t>
  </si>
  <si>
    <t>SULT1C4</t>
  </si>
  <si>
    <t>ENSG00000135968.20</t>
  </si>
  <si>
    <t>GCC2</t>
  </si>
  <si>
    <t>ENSG00000169756.16</t>
  </si>
  <si>
    <t>LIMS1</t>
  </si>
  <si>
    <t>ENSG00000163006.12</t>
  </si>
  <si>
    <t>CCDC138</t>
  </si>
  <si>
    <t>ENSG00000135960.10</t>
  </si>
  <si>
    <t>EDAR</t>
  </si>
  <si>
    <t>ENSG00000153093.18</t>
  </si>
  <si>
    <t>ACOXL</t>
  </si>
  <si>
    <t>ENSG00000153214.11</t>
  </si>
  <si>
    <t>TMEM87B</t>
  </si>
  <si>
    <t>ENSG00000188177.14</t>
  </si>
  <si>
    <t>ZC3H6</t>
  </si>
  <si>
    <t>ENSG00000144130.11</t>
  </si>
  <si>
    <t>NT5DC4</t>
  </si>
  <si>
    <t>ENSG00000136689.18</t>
  </si>
  <si>
    <t>IL1RN</t>
  </si>
  <si>
    <t>ENSG00000144134.18</t>
  </si>
  <si>
    <t>RABL2A</t>
  </si>
  <si>
    <t>ENSG00000019169.10</t>
  </si>
  <si>
    <t>MARCO</t>
  </si>
  <si>
    <t>ENSG00000155368.16</t>
  </si>
  <si>
    <t>DBI</t>
  </si>
  <si>
    <t>ENSG00000171227.7</t>
  </si>
  <si>
    <t>TMEM37</t>
  </si>
  <si>
    <t>ENSG00000163075.13</t>
  </si>
  <si>
    <t>CFAP221</t>
  </si>
  <si>
    <t>ENSG00000144120.13</t>
  </si>
  <si>
    <t>TMEM177</t>
  </si>
  <si>
    <t>ENSG00000163083.6</t>
  </si>
  <si>
    <t>INHBB</t>
  </si>
  <si>
    <t>ENSG00000115112.8</t>
  </si>
  <si>
    <t>TFCP2L1</t>
  </si>
  <si>
    <t>ENSG00000155052.14</t>
  </si>
  <si>
    <t>CNTNAP5</t>
  </si>
  <si>
    <t>ENSG00000136717.15</t>
  </si>
  <si>
    <t>BIN1</t>
  </si>
  <si>
    <t>ENSG00000169994.18</t>
  </si>
  <si>
    <t>MYO7B</t>
  </si>
  <si>
    <t>ENSG00000196604.12</t>
  </si>
  <si>
    <t>POTEF</t>
  </si>
  <si>
    <t>ENSG00000152076.18</t>
  </si>
  <si>
    <t>CCDC74B</t>
  </si>
  <si>
    <t>ENSG00000136718.9</t>
  </si>
  <si>
    <t>IMP4</t>
  </si>
  <si>
    <t>ENSG00000072135.13</t>
  </si>
  <si>
    <t>PTPN18</t>
  </si>
  <si>
    <t>ENSG00000196834.12</t>
  </si>
  <si>
    <t>POTEI</t>
  </si>
  <si>
    <t>ENSG00000136002.18</t>
  </si>
  <si>
    <t>ARHGEF4</t>
  </si>
  <si>
    <t>ENSG00000188219.14</t>
  </si>
  <si>
    <t>POTEE</t>
  </si>
  <si>
    <t>ENSG00000163040.14</t>
  </si>
  <si>
    <t>CCDC74A</t>
  </si>
  <si>
    <t>ENSG00000183840.7</t>
  </si>
  <si>
    <t>GPR39</t>
  </si>
  <si>
    <t>ENSG00000176771.17</t>
  </si>
  <si>
    <t>NCKAP5</t>
  </si>
  <si>
    <t>ENSG00000152127.9</t>
  </si>
  <si>
    <t>MGAT5</t>
  </si>
  <si>
    <t>ENSG00000152128.13</t>
  </si>
  <si>
    <t>TMEM163</t>
  </si>
  <si>
    <t>ENSG00000176601.12</t>
  </si>
  <si>
    <t>MAP3K19</t>
  </si>
  <si>
    <t>ENSG00000115850.10</t>
  </si>
  <si>
    <t>LCT</t>
  </si>
  <si>
    <t>ENSG00000076003.5</t>
  </si>
  <si>
    <t>MCM6</t>
  </si>
  <si>
    <t>ENSG00000144229.12</t>
  </si>
  <si>
    <t>THSD7B</t>
  </si>
  <si>
    <t>ENSG00000168702.17</t>
  </si>
  <si>
    <t>LRP1B</t>
  </si>
  <si>
    <t>ENSG00000168280.17</t>
  </si>
  <si>
    <t>KIF5C</t>
  </si>
  <si>
    <t>ENSG00000115963.13</t>
  </si>
  <si>
    <t>RND3</t>
  </si>
  <si>
    <t>ENSG00000184898.7</t>
  </si>
  <si>
    <t>RBM43</t>
  </si>
  <si>
    <t>ENSG00000183091.19</t>
  </si>
  <si>
    <t>NEB</t>
  </si>
  <si>
    <t>ENSG00000177917.10</t>
  </si>
  <si>
    <t>ARL6IP6</t>
  </si>
  <si>
    <t>ENSG00000144278.15</t>
  </si>
  <si>
    <t>GALNT13</t>
  </si>
  <si>
    <t>ENSG00000162989.5</t>
  </si>
  <si>
    <t>KCNJ3</t>
  </si>
  <si>
    <t>ENSG00000115159.16</t>
  </si>
  <si>
    <t>GPD2</t>
  </si>
  <si>
    <t>ENSG00000007001.12</t>
  </si>
  <si>
    <t>UPP2</t>
  </si>
  <si>
    <t>ENSG00000144283.21</t>
  </si>
  <si>
    <t>PKP4</t>
  </si>
  <si>
    <t>ENSG00000054219.11</t>
  </si>
  <si>
    <t>LY75</t>
  </si>
  <si>
    <t>ENSG00000153246.13</t>
  </si>
  <si>
    <t>PLA2R1</t>
  </si>
  <si>
    <t>ENSG00000144290.17</t>
  </si>
  <si>
    <t>SLC4A10</t>
  </si>
  <si>
    <t>ENSG00000184611.11</t>
  </si>
  <si>
    <t>KCNH7</t>
  </si>
  <si>
    <t>ENSG00000182263.14</t>
  </si>
  <si>
    <t>FIGN</t>
  </si>
  <si>
    <t>ENSG00000115290.9</t>
  </si>
  <si>
    <t>GRB14</t>
  </si>
  <si>
    <t>ENSG00000169507.9</t>
  </si>
  <si>
    <t>SLC38A11</t>
  </si>
  <si>
    <t>ENSG00000153253.17</t>
  </si>
  <si>
    <t>SCN3A</t>
  </si>
  <si>
    <t>ENSG00000178662.16</t>
  </si>
  <si>
    <t>CSRNP3</t>
  </si>
  <si>
    <t>ENSG00000136546.15</t>
  </si>
  <si>
    <t>SCN7A</t>
  </si>
  <si>
    <t>ENSG00000073734.9</t>
  </si>
  <si>
    <t>ABCB11</t>
  </si>
  <si>
    <t>ENSG00000081479.14</t>
  </si>
  <si>
    <t>LRP2</t>
  </si>
  <si>
    <t>ENSG00000163093.12</t>
  </si>
  <si>
    <t>BBS5</t>
  </si>
  <si>
    <t>ENSG00000071909.18</t>
  </si>
  <si>
    <t>MYO3B</t>
  </si>
  <si>
    <t>ENSG00000204335.3</t>
  </si>
  <si>
    <t>SP5</t>
  </si>
  <si>
    <t>ENSG00000128683.14</t>
  </si>
  <si>
    <t>GAD1</t>
  </si>
  <si>
    <t>ENSG00000123600.19</t>
  </si>
  <si>
    <t>METTL8</t>
  </si>
  <si>
    <t>ENSG00000115844.11</t>
  </si>
  <si>
    <t>DLX2</t>
  </si>
  <si>
    <t>ENSG00000152256.13</t>
  </si>
  <si>
    <t>PDK1</t>
  </si>
  <si>
    <t>ENSG00000091436.17</t>
  </si>
  <si>
    <t>MAP3K20</t>
  </si>
  <si>
    <t>ENSG00000144306.14</t>
  </si>
  <si>
    <t>SCRN3</t>
  </si>
  <si>
    <t>ENSG00000163328.13</t>
  </si>
  <si>
    <t>GPR155</t>
  </si>
  <si>
    <t>ENSG00000115935.17</t>
  </si>
  <si>
    <t>WIPF1</t>
  </si>
  <si>
    <t>ENSG00000138435.15</t>
  </si>
  <si>
    <t>CHRNA1</t>
  </si>
  <si>
    <t>ENSG00000196659.9</t>
  </si>
  <si>
    <t>TTC30B</t>
  </si>
  <si>
    <t>ENSG00000197557.7</t>
  </si>
  <si>
    <t>TTC30A</t>
  </si>
  <si>
    <t>ENSG00000079156.17</t>
  </si>
  <si>
    <t>OSBPL6</t>
  </si>
  <si>
    <t>ENSG00000079150.18</t>
  </si>
  <si>
    <t>FKBP7</t>
  </si>
  <si>
    <t>ENSG00000155657.26</t>
  </si>
  <si>
    <t>TTN</t>
  </si>
  <si>
    <t>ENSG00000163492.15</t>
  </si>
  <si>
    <t>CCDC141</t>
  </si>
  <si>
    <t>ENSG00000115232.14</t>
  </si>
  <si>
    <t>ITGA4</t>
  </si>
  <si>
    <t>ENSG00000188452.14</t>
  </si>
  <si>
    <t>CERKL</t>
  </si>
  <si>
    <t>ENSG00000077232.18</t>
  </si>
  <si>
    <t>DNAJC10</t>
  </si>
  <si>
    <t>ENSG00000188738.15</t>
  </si>
  <si>
    <t>FSIP2</t>
  </si>
  <si>
    <t>ENSG00000144369.13</t>
  </si>
  <si>
    <t>FAM171B</t>
  </si>
  <si>
    <t>ENSG00000064989.13</t>
  </si>
  <si>
    <t>CALCRL</t>
  </si>
  <si>
    <t>ENSG00000204262.13</t>
  </si>
  <si>
    <t>COL5A2</t>
  </si>
  <si>
    <t>ENSG00000138449.10</t>
  </si>
  <si>
    <t>SLC40A1</t>
  </si>
  <si>
    <t>ENSG00000187699.10</t>
  </si>
  <si>
    <t>C2orf88</t>
  </si>
  <si>
    <t>ENSG00000138379.4</t>
  </si>
  <si>
    <t>MSTN</t>
  </si>
  <si>
    <t>ENSG00000151689.13</t>
  </si>
  <si>
    <t>INPP1</t>
  </si>
  <si>
    <t>ENSG00000151690.15</t>
  </si>
  <si>
    <t>MFSD6</t>
  </si>
  <si>
    <t>ENSG00000138386.17</t>
  </si>
  <si>
    <t>NAB1</t>
  </si>
  <si>
    <t>ENSG00000115415.18</t>
  </si>
  <si>
    <t>STAT1</t>
  </si>
  <si>
    <t>ENSG00000138378.19</t>
  </si>
  <si>
    <t>STAT4</t>
  </si>
  <si>
    <t>ENSG00000128641.19</t>
  </si>
  <si>
    <t>MYO1B</t>
  </si>
  <si>
    <t>ENSG00000173559.12</t>
  </si>
  <si>
    <t>NABP1</t>
  </si>
  <si>
    <t>ENSG00000196950.14</t>
  </si>
  <si>
    <t>SLC39A10</t>
  </si>
  <si>
    <t>ENSG00000118997.14</t>
  </si>
  <si>
    <t>DNAH7</t>
  </si>
  <si>
    <t>ENSG00000138411.13</t>
  </si>
  <si>
    <t>HECW2</t>
  </si>
  <si>
    <t>ENSG00000187944.2</t>
  </si>
  <si>
    <t>C2orf66</t>
  </si>
  <si>
    <t>ENSG00000197121.15</t>
  </si>
  <si>
    <t>PGAP1</t>
  </si>
  <si>
    <t>ENSG00000065413.20</t>
  </si>
  <si>
    <t>ANKRD44</t>
  </si>
  <si>
    <t>ENSG00000115896.16</t>
  </si>
  <si>
    <t>PLCL1</t>
  </si>
  <si>
    <t>ENSG00000138356.14</t>
  </si>
  <si>
    <t>AOX1</t>
  </si>
  <si>
    <t>ENSG00000003400.14</t>
  </si>
  <si>
    <t>CASP10</t>
  </si>
  <si>
    <t>ENSG00000155754.15</t>
  </si>
  <si>
    <t>C2CD6</t>
  </si>
  <si>
    <t>ENSG00000082126.18</t>
  </si>
  <si>
    <t>MPP4</t>
  </si>
  <si>
    <t>ENSG00000138395.15</t>
  </si>
  <si>
    <t>CDK15</t>
  </si>
  <si>
    <t>ENSG00000155760.2</t>
  </si>
  <si>
    <t>FZD7</t>
  </si>
  <si>
    <t>ENSG00000182329.13</t>
  </si>
  <si>
    <t>KIAA2012</t>
  </si>
  <si>
    <t>ENSG00000138380.18</t>
  </si>
  <si>
    <t>CARF</t>
  </si>
  <si>
    <t>ENSG00000173166.18</t>
  </si>
  <si>
    <t>RAPH1</t>
  </si>
  <si>
    <t>ENSG00000178562.18</t>
  </si>
  <si>
    <t>CD28</t>
  </si>
  <si>
    <t>ENSG00000118257.16</t>
  </si>
  <si>
    <t>NRP2</t>
  </si>
  <si>
    <t>ENSG00000204186.9</t>
  </si>
  <si>
    <t>ZDBF2</t>
  </si>
  <si>
    <t>ENSG00000114948.13</t>
  </si>
  <si>
    <t>ADAM23</t>
  </si>
  <si>
    <t>ENSG00000118263.15</t>
  </si>
  <si>
    <t>KLF7</t>
  </si>
  <si>
    <t>ENSG00000178385.15</t>
  </si>
  <si>
    <t>PLEKHM3</t>
  </si>
  <si>
    <t>ENSG00000138413.13</t>
  </si>
  <si>
    <t>IDH1</t>
  </si>
  <si>
    <t>ENSG00000078018.19</t>
  </si>
  <si>
    <t>MAP2</t>
  </si>
  <si>
    <t>ENSG00000144406.18</t>
  </si>
  <si>
    <t>UNC80</t>
  </si>
  <si>
    <t>ENSG00000115361.8</t>
  </si>
  <si>
    <t>ACADL</t>
  </si>
  <si>
    <t>ENSG00000178568.15</t>
  </si>
  <si>
    <t>ERBB4</t>
  </si>
  <si>
    <t>ENSG00000174453.9</t>
  </si>
  <si>
    <t>VWC2L</t>
  </si>
  <si>
    <t>ENSG00000138376.11</t>
  </si>
  <si>
    <t>BARD1</t>
  </si>
  <si>
    <t>ENSG00000144452.15</t>
  </si>
  <si>
    <t>ABCA12</t>
  </si>
  <si>
    <t>ENSG00000115425.14</t>
  </si>
  <si>
    <t>PECR</t>
  </si>
  <si>
    <t>ENSG00000115457.10</t>
  </si>
  <si>
    <t>IGFBP2</t>
  </si>
  <si>
    <t>ENSG00000180871.8</t>
  </si>
  <si>
    <t>CXCR2</t>
  </si>
  <si>
    <t>ENSG00000127838.14</t>
  </si>
  <si>
    <t>PNKD</t>
  </si>
  <si>
    <t>ENSG00000135926.15</t>
  </si>
  <si>
    <t>TMBIM1</t>
  </si>
  <si>
    <t>ENSG00000158428.4</t>
  </si>
  <si>
    <t>CATIP</t>
  </si>
  <si>
    <t>ENSG00000018280.17</t>
  </si>
  <si>
    <t>SLC11A1</t>
  </si>
  <si>
    <t>ENSG00000144579.7</t>
  </si>
  <si>
    <t>CTDSP1</t>
  </si>
  <si>
    <t>ENSG00000127831.10</t>
  </si>
  <si>
    <t>VIL1</t>
  </si>
  <si>
    <t>ENSG00000144580.13</t>
  </si>
  <si>
    <t>CNOT9</t>
  </si>
  <si>
    <t>ENSG00000115556.14</t>
  </si>
  <si>
    <t>PLCD4</t>
  </si>
  <si>
    <t>ENSG00000074582.14</t>
  </si>
  <si>
    <t>BCS1L</t>
  </si>
  <si>
    <t>ENSG00000135912.11</t>
  </si>
  <si>
    <t>TTLL4</t>
  </si>
  <si>
    <t>ENSG00000115592.11</t>
  </si>
  <si>
    <t>PRKAG3</t>
  </si>
  <si>
    <t>ENSG00000135925.9</t>
  </si>
  <si>
    <t>WNT10A</t>
  </si>
  <si>
    <t>ENSG00000163501.7</t>
  </si>
  <si>
    <t>IHH</t>
  </si>
  <si>
    <t>ENSG00000163521.16</t>
  </si>
  <si>
    <t>GLB1L</t>
  </si>
  <si>
    <t>ENSG00000127824.14</t>
  </si>
  <si>
    <t>TUBA4A</t>
  </si>
  <si>
    <t>ENSG00000243910.7</t>
  </si>
  <si>
    <t>TUBA4B</t>
  </si>
  <si>
    <t>ENSG00000123992.19</t>
  </si>
  <si>
    <t>DNPEP</t>
  </si>
  <si>
    <t>ENSG00000175084.11</t>
  </si>
  <si>
    <t>DES</t>
  </si>
  <si>
    <t>ENSG00000072195.15</t>
  </si>
  <si>
    <t>SPEG</t>
  </si>
  <si>
    <t>ENSG00000072182.12</t>
  </si>
  <si>
    <t>ASIC4</t>
  </si>
  <si>
    <t>ENSG00000188760.10</t>
  </si>
  <si>
    <t>TMEM198</t>
  </si>
  <si>
    <t>ENSG00000123999.5</t>
  </si>
  <si>
    <t>INHA</t>
  </si>
  <si>
    <t>ENSG00000144589.22</t>
  </si>
  <si>
    <t>STK11IP</t>
  </si>
  <si>
    <t>ENSG00000135903.19</t>
  </si>
  <si>
    <t>PAX3</t>
  </si>
  <si>
    <t>ENSG00000163082.10</t>
  </si>
  <si>
    <t>SGPP2</t>
  </si>
  <si>
    <t>ENSG00000152049.6</t>
  </si>
  <si>
    <t>KCNE4</t>
  </si>
  <si>
    <t>ENSG00000171951.5</t>
  </si>
  <si>
    <t>SCG2</t>
  </si>
  <si>
    <t>ENSG00000152056.17</t>
  </si>
  <si>
    <t>AP1S3</t>
  </si>
  <si>
    <t>ENSG00000135919.13</t>
  </si>
  <si>
    <t>SERPINE2</t>
  </si>
  <si>
    <t>ENSG00000124019.10</t>
  </si>
  <si>
    <t>FAM124B</t>
  </si>
  <si>
    <t>ENSG00000135905.19</t>
  </si>
  <si>
    <t>DOCK10</t>
  </si>
  <si>
    <t>ENSG00000144468.17</t>
  </si>
  <si>
    <t>RHBDD1</t>
  </si>
  <si>
    <t>ENSG00000081052.12</t>
  </si>
  <si>
    <t>COL4A4</t>
  </si>
  <si>
    <t>ENSG00000169031.19</t>
  </si>
  <si>
    <t>COL4A3</t>
  </si>
  <si>
    <t>ENSG00000135917.15</t>
  </si>
  <si>
    <t>SLC19A3</t>
  </si>
  <si>
    <t>ENSG00000123977.10</t>
  </si>
  <si>
    <t>DAW1</t>
  </si>
  <si>
    <t>ENSG00000153820.13</t>
  </si>
  <si>
    <t>SPHKAP</t>
  </si>
  <si>
    <t>ENSG00000187957.8</t>
  </si>
  <si>
    <t>DNER</t>
  </si>
  <si>
    <t>ENSG00000163053.11</t>
  </si>
  <si>
    <t>SLC16A14</t>
  </si>
  <si>
    <t>ENSG00000079263.19</t>
  </si>
  <si>
    <t>SP140</t>
  </si>
  <si>
    <t>ENSG00000204128.6</t>
  </si>
  <si>
    <t>C2orf72</t>
  </si>
  <si>
    <t>ENSG00000156966.7</t>
  </si>
  <si>
    <t>B3GNT7</t>
  </si>
  <si>
    <t>ENSG00000156973.14</t>
  </si>
  <si>
    <t>PDE6D</t>
  </si>
  <si>
    <t>ENSG00000163273.4</t>
  </si>
  <si>
    <t>NPPC</t>
  </si>
  <si>
    <t>ENSG00000163286.9</t>
  </si>
  <si>
    <t>ALPG</t>
  </si>
  <si>
    <t>ENSG00000237412.6</t>
  </si>
  <si>
    <t>PRSS56</t>
  </si>
  <si>
    <t>ENSG00000115474.6</t>
  </si>
  <si>
    <t>KCNJ13</t>
  </si>
  <si>
    <t>ENSG00000066248.15</t>
  </si>
  <si>
    <t>NGEF</t>
  </si>
  <si>
    <t>ENSG00000167165.19</t>
  </si>
  <si>
    <t>UGT1A6</t>
  </si>
  <si>
    <t>ENSG00000185038.14</t>
  </si>
  <si>
    <t>MROH2A</t>
  </si>
  <si>
    <t>ENSG00000144481.17</t>
  </si>
  <si>
    <t>TRPM8</t>
  </si>
  <si>
    <t>ENSG00000168505.7</t>
  </si>
  <si>
    <t>GBX2</t>
  </si>
  <si>
    <t>ENSG00000132321.17</t>
  </si>
  <si>
    <t>IQCA1</t>
  </si>
  <si>
    <t>ENSG00000163359.15</t>
  </si>
  <si>
    <t>COL6A3</t>
  </si>
  <si>
    <t>ENSG00000132330.17</t>
  </si>
  <si>
    <t>SCLY</t>
  </si>
  <si>
    <t>ENSG00000144488.15</t>
  </si>
  <si>
    <t>ESPNL</t>
  </si>
  <si>
    <t>ENSG00000168427.9</t>
  </si>
  <si>
    <t>KLHL30</t>
  </si>
  <si>
    <t>ENSG00000068024.16</t>
  </si>
  <si>
    <t>HDAC4</t>
  </si>
  <si>
    <t>ENSG00000182083.7</t>
  </si>
  <si>
    <t>OR6B2</t>
  </si>
  <si>
    <t>ENSG00000178602.8</t>
  </si>
  <si>
    <t>OTOS</t>
  </si>
  <si>
    <t>ENSG00000063660.9</t>
  </si>
  <si>
    <t>GPC1</t>
  </si>
  <si>
    <t>ENSG00000142327.13</t>
  </si>
  <si>
    <t>RNPEPL1</t>
  </si>
  <si>
    <t>ENSG00000178623.12</t>
  </si>
  <si>
    <t>GPR35</t>
  </si>
  <si>
    <t>ENSG00000130294.16</t>
  </si>
  <si>
    <t>KIF1A</t>
  </si>
  <si>
    <t>ENSG00000172482.5</t>
  </si>
  <si>
    <t>AGXT</t>
  </si>
  <si>
    <t>ENSG00000162804.14</t>
  </si>
  <si>
    <t>SNED1</t>
  </si>
  <si>
    <t>ENSG00000115687.13</t>
  </si>
  <si>
    <t>PASK</t>
  </si>
  <si>
    <t>ENSG00000146205.13</t>
  </si>
  <si>
    <t>ANO7</t>
  </si>
  <si>
    <t>ENSG00000176720.6</t>
  </si>
  <si>
    <t>BOK</t>
  </si>
  <si>
    <t>ENSG00000176946.12</t>
  </si>
  <si>
    <t>THAP4</t>
  </si>
  <si>
    <t>ENSG00000168395.15</t>
  </si>
  <si>
    <t>ING5</t>
  </si>
  <si>
    <t>ENSG00000204099.11</t>
  </si>
  <si>
    <t>NEU4</t>
  </si>
  <si>
    <t>ENSG00000134121.10</t>
  </si>
  <si>
    <t>CHL1</t>
  </si>
  <si>
    <t>ENSG00000150995.19</t>
  </si>
  <si>
    <t>ITPR1</t>
  </si>
  <si>
    <t>ENSG00000196220.16</t>
  </si>
  <si>
    <t>SRGAP3</t>
  </si>
  <si>
    <t>ENSG00000114026.21</t>
  </si>
  <si>
    <t>OGG1</t>
  </si>
  <si>
    <t>ENSG00000214021.16</t>
  </si>
  <si>
    <t>TTLL3</t>
  </si>
  <si>
    <t>ENSG00000187288.10</t>
  </si>
  <si>
    <t>CIDEC</t>
  </si>
  <si>
    <t>ENSG00000163701.19</t>
  </si>
  <si>
    <t>IL17RE</t>
  </si>
  <si>
    <t>ENSG00000163702.20</t>
  </si>
  <si>
    <t>IL17RC</t>
  </si>
  <si>
    <t>ENSG00000134070.5</t>
  </si>
  <si>
    <t>IRAK2</t>
  </si>
  <si>
    <t>ENSG00000157014.11</t>
  </si>
  <si>
    <t>TATDN2</t>
  </si>
  <si>
    <t>ENSG00000157020.18</t>
  </si>
  <si>
    <t>SEC13</t>
  </si>
  <si>
    <t>ENSG00000157087.19</t>
  </si>
  <si>
    <t>ATP2B2</t>
  </si>
  <si>
    <t>ENSG00000157103.12</t>
  </si>
  <si>
    <t>SLC6A1</t>
  </si>
  <si>
    <t>ENSG00000157152.17</t>
  </si>
  <si>
    <t>SYN2</t>
  </si>
  <si>
    <t>ENSG00000157150.5</t>
  </si>
  <si>
    <t>TIMP4</t>
  </si>
  <si>
    <t>ENSG00000132170.21</t>
  </si>
  <si>
    <t>PPARG</t>
  </si>
  <si>
    <t>ENSG00000154743.17</t>
  </si>
  <si>
    <t>TSEN2</t>
  </si>
  <si>
    <t>ENSG00000088726.16</t>
  </si>
  <si>
    <t>TMEM40</t>
  </si>
  <si>
    <t>ENSG00000144712.12</t>
  </si>
  <si>
    <t>CAND2</t>
  </si>
  <si>
    <t>ENSG00000163520.14</t>
  </si>
  <si>
    <t>FBLN2</t>
  </si>
  <si>
    <t>ENSG00000154767.14</t>
  </si>
  <si>
    <t>XPC</t>
  </si>
  <si>
    <t>ENSG00000144596.13</t>
  </si>
  <si>
    <t>GRIP2</t>
  </si>
  <si>
    <t>ENSG00000154783.11</t>
  </si>
  <si>
    <t>FGD5</t>
  </si>
  <si>
    <t>ENSG00000131370.16</t>
  </si>
  <si>
    <t>SH3BP5</t>
  </si>
  <si>
    <t>ENSG00000169814.13</t>
  </si>
  <si>
    <t>BTD</t>
  </si>
  <si>
    <t>ENSG00000131378.14</t>
  </si>
  <si>
    <t>RFTN1</t>
  </si>
  <si>
    <t>ENSG00000092345.13</t>
  </si>
  <si>
    <t>DAZL</t>
  </si>
  <si>
    <t>ENSG00000154822.18</t>
  </si>
  <si>
    <t>PLCL2</t>
  </si>
  <si>
    <t>ENSG00000114166.8</t>
  </si>
  <si>
    <t>KAT2B</t>
  </si>
  <si>
    <t>ENSG00000151789.12</t>
  </si>
  <si>
    <t>ZNF385D</t>
  </si>
  <si>
    <t>ENSG00000163508.12</t>
  </si>
  <si>
    <t>EOMES</t>
  </si>
  <si>
    <t>ENSG00000144642.21</t>
  </si>
  <si>
    <t>RBMS3</t>
  </si>
  <si>
    <t>ENSG00000144644.14</t>
  </si>
  <si>
    <t>GADL1</t>
  </si>
  <si>
    <t>ENSG00000144645.13</t>
  </si>
  <si>
    <t>OSBPL10</t>
  </si>
  <si>
    <t>ENSG00000170293.9</t>
  </si>
  <si>
    <t>CMTM8</t>
  </si>
  <si>
    <t>ENSG00000153551.13</t>
  </si>
  <si>
    <t>CMTM7</t>
  </si>
  <si>
    <t>ENSG00000206557.6</t>
  </si>
  <si>
    <t>TRIM71</t>
  </si>
  <si>
    <t>ENSG00000173705.9</t>
  </si>
  <si>
    <t>SUSD5</t>
  </si>
  <si>
    <t>ENSG00000153558.15</t>
  </si>
  <si>
    <t>FBXL2</t>
  </si>
  <si>
    <t>ENSG00000168016.14</t>
  </si>
  <si>
    <t>TRANK1</t>
  </si>
  <si>
    <t>ENSG00000076242.14</t>
  </si>
  <si>
    <t>MLH1</t>
  </si>
  <si>
    <t>ENSG00000144668.12</t>
  </si>
  <si>
    <t>ITGA9</t>
  </si>
  <si>
    <t>ENSG00000136059.14</t>
  </si>
  <si>
    <t>VILL</t>
  </si>
  <si>
    <t>ENSG00000187091.13</t>
  </si>
  <si>
    <t>PLCD1</t>
  </si>
  <si>
    <t>ENSG00000008226.19</t>
  </si>
  <si>
    <t>DLEC1</t>
  </si>
  <si>
    <t>ENSG00000060971.18</t>
  </si>
  <si>
    <t>ACAA1</t>
  </si>
  <si>
    <t>ENSG00000172936.14</t>
  </si>
  <si>
    <t>MYD88</t>
  </si>
  <si>
    <t>ENSG00000093217.10</t>
  </si>
  <si>
    <t>XYLB</t>
  </si>
  <si>
    <t>ENSG00000114745.13</t>
  </si>
  <si>
    <t>GORASP1</t>
  </si>
  <si>
    <t>ENSG00000168026.18</t>
  </si>
  <si>
    <t>TTC21A</t>
  </si>
  <si>
    <t>ENSG00000170011.14</t>
  </si>
  <si>
    <t>MYRIP</t>
  </si>
  <si>
    <t>ENSG00000182606.15</t>
  </si>
  <si>
    <t>TRAK1</t>
  </si>
  <si>
    <t>ENSG00000157093.9</t>
  </si>
  <si>
    <t>LYZL4</t>
  </si>
  <si>
    <t>ENSG00000114812.13</t>
  </si>
  <si>
    <t>VIPR1</t>
  </si>
  <si>
    <t>ENSG00000008324.11</t>
  </si>
  <si>
    <t>SS18L2</t>
  </si>
  <si>
    <t>ENSG00000010282.14</t>
  </si>
  <si>
    <t>HHATL</t>
  </si>
  <si>
    <t>ENSG00000280571.2</t>
  </si>
  <si>
    <t>AC006059.2</t>
  </si>
  <si>
    <t>ENSG00000144648.16</t>
  </si>
  <si>
    <t>ACKR2</t>
  </si>
  <si>
    <t>ENSG00000180432.5</t>
  </si>
  <si>
    <t>CYP8B1</t>
  </si>
  <si>
    <t>ENSG00000011198.9</t>
  </si>
  <si>
    <t>ABHD5</t>
  </si>
  <si>
    <t>ENSG00000173769.4</t>
  </si>
  <si>
    <t>TOPAZ1</t>
  </si>
  <si>
    <t>ENSG00000163810.11</t>
  </si>
  <si>
    <t>TGM4</t>
  </si>
  <si>
    <t>ENSG00000012223.12</t>
  </si>
  <si>
    <t>LTF</t>
  </si>
  <si>
    <t>ENSG00000178038.17</t>
  </si>
  <si>
    <t>ALS2CL</t>
  </si>
  <si>
    <t>ENSG00000160799.11</t>
  </si>
  <si>
    <t>CCDC12</t>
  </si>
  <si>
    <t>ENSG00000047849.21</t>
  </si>
  <si>
    <t>MAP4</t>
  </si>
  <si>
    <t>ENSG00000164045.11</t>
  </si>
  <si>
    <t>CDC25A</t>
  </si>
  <si>
    <t>ENSG00000145040.4</t>
  </si>
  <si>
    <t>UCN2</t>
  </si>
  <si>
    <t>ENSG00000114270.17</t>
  </si>
  <si>
    <t>COL7A1</t>
  </si>
  <si>
    <t>ENSG00000008300.17</t>
  </si>
  <si>
    <t>CELSR3</t>
  </si>
  <si>
    <t>ENSG00000178537.10</t>
  </si>
  <si>
    <t>SLC25A20</t>
  </si>
  <si>
    <t>ENSG00000145022.4</t>
  </si>
  <si>
    <t>TCTA</t>
  </si>
  <si>
    <t>ENSG00000185614.5</t>
  </si>
  <si>
    <t>INKA1</t>
  </si>
  <si>
    <t>ENSG00000182179.13</t>
  </si>
  <si>
    <t>UBA7</t>
  </si>
  <si>
    <t>ENSG00000164077.14</t>
  </si>
  <si>
    <t>MON1A</t>
  </si>
  <si>
    <t>ENSG00000001617.12</t>
  </si>
  <si>
    <t>SEMA3F</t>
  </si>
  <si>
    <t>ENSG00000188338.15</t>
  </si>
  <si>
    <t>SLC38A3</t>
  </si>
  <si>
    <t>ENSG00000114353.17</t>
  </si>
  <si>
    <t>GNAI2</t>
  </si>
  <si>
    <t>ENSG00000214706.10</t>
  </si>
  <si>
    <t>IFRD2</t>
  </si>
  <si>
    <t>ENSG00000088538.13</t>
  </si>
  <si>
    <t>DOCK3</t>
  </si>
  <si>
    <t>ENSG00000145050.16</t>
  </si>
  <si>
    <t>MANF</t>
  </si>
  <si>
    <t>ENSG00000114767.7</t>
  </si>
  <si>
    <t>RRP9</t>
  </si>
  <si>
    <t>ENSG00000041880.14</t>
  </si>
  <si>
    <t>PARP3</t>
  </si>
  <si>
    <t>ENSG00000164086.10</t>
  </si>
  <si>
    <t>DUSP7</t>
  </si>
  <si>
    <t>ENSG00000247596.9</t>
  </si>
  <si>
    <t>TWF2</t>
  </si>
  <si>
    <t>ENSG00000168237.18</t>
  </si>
  <si>
    <t>GLYCTK</t>
  </si>
  <si>
    <t>ENSG00000010318.21</t>
  </si>
  <si>
    <t>PHF7</t>
  </si>
  <si>
    <t>ENSG00000010319.6</t>
  </si>
  <si>
    <t>SEMA3G</t>
  </si>
  <si>
    <t>ENSG00000114854.7</t>
  </si>
  <si>
    <t>TNNC1</t>
  </si>
  <si>
    <t>ENSG00000010327.10</t>
  </si>
  <si>
    <t>STAB1</t>
  </si>
  <si>
    <t>ENSG00000168268.11</t>
  </si>
  <si>
    <t>NT5DC2</t>
  </si>
  <si>
    <t>ENSG00000163938.17</t>
  </si>
  <si>
    <t>GNL3</t>
  </si>
  <si>
    <t>ENSG00000213533.12</t>
  </si>
  <si>
    <t>STIMATE</t>
  </si>
  <si>
    <t>ENSG00000157388.17</t>
  </si>
  <si>
    <t>CACNA1D</t>
  </si>
  <si>
    <t>ENSG00000157445.15</t>
  </si>
  <si>
    <t>CACNA2D3</t>
  </si>
  <si>
    <t>ENSG00000187672.13</t>
  </si>
  <si>
    <t>ERC2</t>
  </si>
  <si>
    <t>ENSG00000163947.11</t>
  </si>
  <si>
    <t>ARHGEF3</t>
  </si>
  <si>
    <t>ENSG00000174844.14</t>
  </si>
  <si>
    <t>DNAH12</t>
  </si>
  <si>
    <t>ENSG00000168301.13</t>
  </si>
  <si>
    <t>KCTD6</t>
  </si>
  <si>
    <t>ENSG00000168306.13</t>
  </si>
  <si>
    <t>ACOX2</t>
  </si>
  <si>
    <t>ENSG00000163689.20</t>
  </si>
  <si>
    <t>C3orf67</t>
  </si>
  <si>
    <t>ENSG00000163618.18</t>
  </si>
  <si>
    <t>CADPS</t>
  </si>
  <si>
    <t>ENSG00000163637.13</t>
  </si>
  <si>
    <t>PRICKLE2</t>
  </si>
  <si>
    <t>ENSG00000144749.13</t>
  </si>
  <si>
    <t>LRIG1</t>
  </si>
  <si>
    <t>ENSG00000163377.16</t>
  </si>
  <si>
    <t>FAM19A4</t>
  </si>
  <si>
    <t>ENSG00000114541.15</t>
  </si>
  <si>
    <t>FRMD4B</t>
  </si>
  <si>
    <t>ENSG00000163412.13</t>
  </si>
  <si>
    <t>EIF4E3</t>
  </si>
  <si>
    <t>ENSG00000172986.12</t>
  </si>
  <si>
    <t>GXYLT2</t>
  </si>
  <si>
    <t>ENSG00000121440.15</t>
  </si>
  <si>
    <t>PDZRN3</t>
  </si>
  <si>
    <t>ENSG00000185008.17</t>
  </si>
  <si>
    <t>ROBO2</t>
  </si>
  <si>
    <t>ENSG00000114480.13</t>
  </si>
  <si>
    <t>GBE1</t>
  </si>
  <si>
    <t>ENSG00000175161.13</t>
  </si>
  <si>
    <t>CADM2</t>
  </si>
  <si>
    <t>ENSG00000206538.9</t>
  </si>
  <si>
    <t>VGLL3</t>
  </si>
  <si>
    <t>ENSG00000175105.7</t>
  </si>
  <si>
    <t>ZNF654</t>
  </si>
  <si>
    <t>ENSG00000169379.15</t>
  </si>
  <si>
    <t>ARL13B</t>
  </si>
  <si>
    <t>ENSG00000178700.7</t>
  </si>
  <si>
    <t>DHFR2</t>
  </si>
  <si>
    <t>ENSG00000080224.17</t>
  </si>
  <si>
    <t>EPHA6</t>
  </si>
  <si>
    <t>ENSG00000170854.18</t>
  </si>
  <si>
    <t>RIOX2</t>
  </si>
  <si>
    <t>ENSG00000144810.16</t>
  </si>
  <si>
    <t>COL8A1</t>
  </si>
  <si>
    <t>ENSG00000184220.12</t>
  </si>
  <si>
    <t>CMSS1</t>
  </si>
  <si>
    <t>ENSG00000206535.8</t>
  </si>
  <si>
    <t>LNP1</t>
  </si>
  <si>
    <t>ENSG00000144820.8</t>
  </si>
  <si>
    <t>ADGRG7</t>
  </si>
  <si>
    <t>ENSG00000154175.17</t>
  </si>
  <si>
    <t>ABI3BP</t>
  </si>
  <si>
    <t>ENSG00000081148.12</t>
  </si>
  <si>
    <t>IMPG2</t>
  </si>
  <si>
    <t>ENSG00000170044.8</t>
  </si>
  <si>
    <t>ZPLD1</t>
  </si>
  <si>
    <t>ENSG00000114455.13</t>
  </si>
  <si>
    <t>HHLA2</t>
  </si>
  <si>
    <t>ENSG00000144821.9</t>
  </si>
  <si>
    <t>MYH15</t>
  </si>
  <si>
    <t>ENSG00000198919.13</t>
  </si>
  <si>
    <t>DZIP3</t>
  </si>
  <si>
    <t>ENSG00000114487.9</t>
  </si>
  <si>
    <t>MORC1</t>
  </si>
  <si>
    <t>ENSG00000153283.12</t>
  </si>
  <si>
    <t>CD96</t>
  </si>
  <si>
    <t>ENSG00000240891.7</t>
  </si>
  <si>
    <t>PLCXD2</t>
  </si>
  <si>
    <t>ENSG00000144824.20</t>
  </si>
  <si>
    <t>PHLDB2</t>
  </si>
  <si>
    <t>ENSG00000176040.13</t>
  </si>
  <si>
    <t>TMPRSS7</t>
  </si>
  <si>
    <t>ENSG00000114529.12</t>
  </si>
  <si>
    <t>C3orf52</t>
  </si>
  <si>
    <t>ENSG00000163606.11</t>
  </si>
  <si>
    <t>CD200R1</t>
  </si>
  <si>
    <t>ENSG00000072858.10</t>
  </si>
  <si>
    <t>SIDT1</t>
  </si>
  <si>
    <t>ENSG00000176542.10</t>
  </si>
  <si>
    <t>USF3</t>
  </si>
  <si>
    <t>ENSG00000178075.20</t>
  </si>
  <si>
    <t>GRAMD1C</t>
  </si>
  <si>
    <t>ENSG00000163617.11</t>
  </si>
  <si>
    <t>CCDC191</t>
  </si>
  <si>
    <t>ENSG00000185565.12</t>
  </si>
  <si>
    <t>LSAMP</t>
  </si>
  <si>
    <t>ENSG00000031081.10</t>
  </si>
  <si>
    <t>ARHGAP31</t>
  </si>
  <si>
    <t>ENSG00000121594.12</t>
  </si>
  <si>
    <t>CD80</t>
  </si>
  <si>
    <t>ENSG00000121577.13</t>
  </si>
  <si>
    <t>POPDC2</t>
  </si>
  <si>
    <t>ENSG00000183833.16</t>
  </si>
  <si>
    <t>MAATS1</t>
  </si>
  <si>
    <t>ENSG00000163428.4</t>
  </si>
  <si>
    <t>LRRC58</t>
  </si>
  <si>
    <t>ENSG00000113924.12</t>
  </si>
  <si>
    <t>HGD</t>
  </si>
  <si>
    <t>ENSG00000145087.12</t>
  </si>
  <si>
    <t>STXBP5L</t>
  </si>
  <si>
    <t>ENSG00000114013.16</t>
  </si>
  <si>
    <t>CD86</t>
  </si>
  <si>
    <t>ENSG00000036828.16</t>
  </si>
  <si>
    <t>CASR</t>
  </si>
  <si>
    <t>ENSG00000121552.4</t>
  </si>
  <si>
    <t>CSTA</t>
  </si>
  <si>
    <t>ENSG00000114030.13</t>
  </si>
  <si>
    <t>KPNA1</t>
  </si>
  <si>
    <t>ENSG00000173200.13</t>
  </si>
  <si>
    <t>PARP15</t>
  </si>
  <si>
    <t>ENSG00000173193.15</t>
  </si>
  <si>
    <t>PARP14</t>
  </si>
  <si>
    <t>ENSG00000082684.15</t>
  </si>
  <si>
    <t>SEMA5B</t>
  </si>
  <si>
    <t>ENSG00000121542.12</t>
  </si>
  <si>
    <t>SEC22A</t>
  </si>
  <si>
    <t>ENSG00000206527.10</t>
  </si>
  <si>
    <t>HACD2</t>
  </si>
  <si>
    <t>ENSG00000065534.18</t>
  </si>
  <si>
    <t>MYLK</t>
  </si>
  <si>
    <t>ENSG00000173702.7</t>
  </si>
  <si>
    <t>MUC13</t>
  </si>
  <si>
    <t>ENSG00000221955.10</t>
  </si>
  <si>
    <t>SLC12A8</t>
  </si>
  <si>
    <t>ENSG00000189366.9</t>
  </si>
  <si>
    <t>ALG1L</t>
  </si>
  <si>
    <t>ENSG00000163884.4</t>
  </si>
  <si>
    <t>KLF15</t>
  </si>
  <si>
    <t>ENSG00000180767.9</t>
  </si>
  <si>
    <t>CHST13</t>
  </si>
  <si>
    <t>ENSG00000159685.10</t>
  </si>
  <si>
    <t>CHCHD6</t>
  </si>
  <si>
    <t>ENSG00000163870.15</t>
  </si>
  <si>
    <t>TPRA1</t>
  </si>
  <si>
    <t>ENSG00000073111.14</t>
  </si>
  <si>
    <t>MCM2</t>
  </si>
  <si>
    <t>ENSG00000114631.11</t>
  </si>
  <si>
    <t>PODXL2</t>
  </si>
  <si>
    <t>ENSG00000114626.18</t>
  </si>
  <si>
    <t>ABTB1</t>
  </si>
  <si>
    <t>ENSG00000114656.11</t>
  </si>
  <si>
    <t>KIAA1257</t>
  </si>
  <si>
    <t>ENSG00000172780.16</t>
  </si>
  <si>
    <t>RAB43</t>
  </si>
  <si>
    <t>ENSG00000184897.6</t>
  </si>
  <si>
    <t>H1FX</t>
  </si>
  <si>
    <t>ENSG00000172771.12</t>
  </si>
  <si>
    <t>EFCAB12</t>
  </si>
  <si>
    <t>ENSG00000004399.12</t>
  </si>
  <si>
    <t>PLXND1</t>
  </si>
  <si>
    <t>ENSG00000172765.17</t>
  </si>
  <si>
    <t>TMCC1</t>
  </si>
  <si>
    <t>ENSG00000251287.8</t>
  </si>
  <si>
    <t>ALG1L2</t>
  </si>
  <si>
    <t>ENSG00000172752.14</t>
  </si>
  <si>
    <t>COL6A5</t>
  </si>
  <si>
    <t>ENSG00000206384.10</t>
  </si>
  <si>
    <t>COL6A6</t>
  </si>
  <si>
    <t>ENSG00000114670.14</t>
  </si>
  <si>
    <t>NEK11</t>
  </si>
  <si>
    <t>ENSG00000198585.11</t>
  </si>
  <si>
    <t>NUDT16</t>
  </si>
  <si>
    <t>ENSG00000114686.9</t>
  </si>
  <si>
    <t>MRPL3</t>
  </si>
  <si>
    <t>ENSG00000196353.11</t>
  </si>
  <si>
    <t>CPNE4</t>
  </si>
  <si>
    <t>ENSG00000144868.13</t>
  </si>
  <si>
    <t>TMEM108</t>
  </si>
  <si>
    <t>ENSG00000091513.16</t>
  </si>
  <si>
    <t>TF</t>
  </si>
  <si>
    <t>ENSG00000144867.11</t>
  </si>
  <si>
    <t>SRPRB</t>
  </si>
  <si>
    <t>ENSG00000154917.11</t>
  </si>
  <si>
    <t>RAB6B</t>
  </si>
  <si>
    <t>ENSG00000073711.11</t>
  </si>
  <si>
    <t>PPP2R3A</t>
  </si>
  <si>
    <t>ENSG00000118007.13</t>
  </si>
  <si>
    <t>STAG1</t>
  </si>
  <si>
    <t>ENSG00000168917.9</t>
  </si>
  <si>
    <t>SLC35G2</t>
  </si>
  <si>
    <t>ENSG00000066405.13</t>
  </si>
  <si>
    <t>CLDN18</t>
  </si>
  <si>
    <t>ENSG00000158220.14</t>
  </si>
  <si>
    <t>ESYT3</t>
  </si>
  <si>
    <t>ENSG00000206262.9</t>
  </si>
  <si>
    <t>FOXL2NB</t>
  </si>
  <si>
    <t>ENSG00000114115.9</t>
  </si>
  <si>
    <t>RBP1</t>
  </si>
  <si>
    <t>ENSG00000158258.16</t>
  </si>
  <si>
    <t>CLSTN2</t>
  </si>
  <si>
    <t>ENSG00000114126.17</t>
  </si>
  <si>
    <t>TFDP2</t>
  </si>
  <si>
    <t>ENSG00000175066.16</t>
  </si>
  <si>
    <t>GK5</t>
  </si>
  <si>
    <t>ENSG00000120756.13</t>
  </si>
  <si>
    <t>PLS1</t>
  </si>
  <si>
    <t>ENSG00000163710.9</t>
  </si>
  <si>
    <t>PCOLCE2</t>
  </si>
  <si>
    <t>ENSG00000188582.8</t>
  </si>
  <si>
    <t>PAQR9</t>
  </si>
  <si>
    <t>ENSG00000181804.15</t>
  </si>
  <si>
    <t>SLC9A9</t>
  </si>
  <si>
    <t>ENSG00000163762.7</t>
  </si>
  <si>
    <t>TM4SF18</t>
  </si>
  <si>
    <t>ENSG00000206199.10</t>
  </si>
  <si>
    <t>ANKUB1</t>
  </si>
  <si>
    <t>ENSG00000144893.12</t>
  </si>
  <si>
    <t>MED12L</t>
  </si>
  <si>
    <t>ENSG00000138271.5</t>
  </si>
  <si>
    <t>GPR87</t>
  </si>
  <si>
    <t>ENSG00000152580.8</t>
  </si>
  <si>
    <t>IGSF10</t>
  </si>
  <si>
    <t>ENSG00000114771.14</t>
  </si>
  <si>
    <t>AADAC</t>
  </si>
  <si>
    <t>ENSG00000152601.17</t>
  </si>
  <si>
    <t>MBNL1</t>
  </si>
  <si>
    <t>ENSG00000196549.10</t>
  </si>
  <si>
    <t>MME</t>
  </si>
  <si>
    <t>ENSG00000114805.17</t>
  </si>
  <si>
    <t>PLCH1</t>
  </si>
  <si>
    <t>ENSG00000169282.17</t>
  </si>
  <si>
    <t>KCNAB1</t>
  </si>
  <si>
    <t>ENSG00000197415.12</t>
  </si>
  <si>
    <t>VEPH1</t>
  </si>
  <si>
    <t>ENSG00000214216.10</t>
  </si>
  <si>
    <t>IQCJ</t>
  </si>
  <si>
    <t>ENSG00000169064.12</t>
  </si>
  <si>
    <t>ZBBX</t>
  </si>
  <si>
    <t>ENSG00000163536.12</t>
  </si>
  <si>
    <t>SERPINI1</t>
  </si>
  <si>
    <t>ENSG00000013297.11</t>
  </si>
  <si>
    <t>CLDN11</t>
  </si>
  <si>
    <t>ENSG00000163584.18</t>
  </si>
  <si>
    <t>RPL22L1</t>
  </si>
  <si>
    <t>ENSG00000163581.14</t>
  </si>
  <si>
    <t>SLC2A2</t>
  </si>
  <si>
    <t>ENSG00000186329.9</t>
  </si>
  <si>
    <t>TMEM212</t>
  </si>
  <si>
    <t>ENSG00000075420.13</t>
  </si>
  <si>
    <t>FNDC3B</t>
  </si>
  <si>
    <t>ENSG00000121858.11</t>
  </si>
  <si>
    <t>TNFSF10</t>
  </si>
  <si>
    <t>ENSG00000169760.17</t>
  </si>
  <si>
    <t>NLGN1</t>
  </si>
  <si>
    <t>ENSG00000177565.16</t>
  </si>
  <si>
    <t>TBL1XR1</t>
  </si>
  <si>
    <t>ENSG00000172667.11</t>
  </si>
  <si>
    <t>ZMAT3</t>
  </si>
  <si>
    <t>ENSG00000121864.10</t>
  </si>
  <si>
    <t>ZNF639</t>
  </si>
  <si>
    <t>ENSG00000114450.10</t>
  </si>
  <si>
    <t>GNB4</t>
  </si>
  <si>
    <t>ENSG00000136521.13</t>
  </si>
  <si>
    <t>NDUFB5</t>
  </si>
  <si>
    <t>ENSG00000114757.19</t>
  </si>
  <si>
    <t>PEX5L</t>
  </si>
  <si>
    <t>ENSG00000284862.2</t>
  </si>
  <si>
    <t>CCDC39</t>
  </si>
  <si>
    <t>ENSG00000078081.8</t>
  </si>
  <si>
    <t>LAMP3</t>
  </si>
  <si>
    <t>ENSG00000053524.12</t>
  </si>
  <si>
    <t>MCF2L2</t>
  </si>
  <si>
    <t>ENSG00000172578.12</t>
  </si>
  <si>
    <t>KLHL6</t>
  </si>
  <si>
    <t>ENSG00000114796.16</t>
  </si>
  <si>
    <t>KLHL24</t>
  </si>
  <si>
    <t>ENSG00000145198.14</t>
  </si>
  <si>
    <t>VWA5B2</t>
  </si>
  <si>
    <t>ENSG00000214160.9</t>
  </si>
  <si>
    <t>ALG3</t>
  </si>
  <si>
    <t>ENSG00000284753.1</t>
  </si>
  <si>
    <t>EEF1AKMT4</t>
  </si>
  <si>
    <t>ENSG00000114859.16</t>
  </si>
  <si>
    <t>CLCN2</t>
  </si>
  <si>
    <t>ENSG00000182580.3</t>
  </si>
  <si>
    <t>EPHB3</t>
  </si>
  <si>
    <t>ENSG00000187068.3</t>
  </si>
  <si>
    <t>C3orf70</t>
  </si>
  <si>
    <t>ENSG00000163900.11</t>
  </si>
  <si>
    <t>TMEM41A</t>
  </si>
  <si>
    <t>ENSG00000163898.10</t>
  </si>
  <si>
    <t>LIPH</t>
  </si>
  <si>
    <t>ENSG00000244405.8</t>
  </si>
  <si>
    <t>ETV5</t>
  </si>
  <si>
    <t>ENSG00000145192.13</t>
  </si>
  <si>
    <t>AHSG</t>
  </si>
  <si>
    <t>ENSG00000181092.10</t>
  </si>
  <si>
    <t>ADIPOQ</t>
  </si>
  <si>
    <t>ENSG00000175077.5</t>
  </si>
  <si>
    <t>RTP1</t>
  </si>
  <si>
    <t>ENSG00000073282.13</t>
  </si>
  <si>
    <t>TP63</t>
  </si>
  <si>
    <t>ENSG00000090530.10</t>
  </si>
  <si>
    <t>P3H2</t>
  </si>
  <si>
    <t>ENSG00000113946.3</t>
  </si>
  <si>
    <t>CLDN16</t>
  </si>
  <si>
    <t>ENSG00000188729.6</t>
  </si>
  <si>
    <t>OSTN</t>
  </si>
  <si>
    <t>ENSG00000178772.7</t>
  </si>
  <si>
    <t>CPN2</t>
  </si>
  <si>
    <t>ENSG00000172061.8</t>
  </si>
  <si>
    <t>LRRC15</t>
  </si>
  <si>
    <t>ENSG00000185112.5</t>
  </si>
  <si>
    <t>FAM43A</t>
  </si>
  <si>
    <t>ENSG00000176945.17</t>
  </si>
  <si>
    <t>MUC20</t>
  </si>
  <si>
    <t>ENSG00000213123.11</t>
  </si>
  <si>
    <t>TCTEX1D2</t>
  </si>
  <si>
    <t>ENSG00000174007.8</t>
  </si>
  <si>
    <t>CEP19</t>
  </si>
  <si>
    <t>ENSG00000270170.2</t>
  </si>
  <si>
    <t>NCBP2-AS2</t>
  </si>
  <si>
    <t>ENSG00000161267.12</t>
  </si>
  <si>
    <t>BDH1</t>
  </si>
  <si>
    <t>ENSG00000185621.11</t>
  </si>
  <si>
    <t>LMLN</t>
  </si>
  <si>
    <t>ENSG00000169020.10</t>
  </si>
  <si>
    <t>ATP5ME</t>
  </si>
  <si>
    <t>ENSG00000168993.15</t>
  </si>
  <si>
    <t>CPLX1</t>
  </si>
  <si>
    <t>ENSG00000127419.17</t>
  </si>
  <si>
    <t>TMEM175</t>
  </si>
  <si>
    <t>ENSG00000145217.14</t>
  </si>
  <si>
    <t>SLC26A1</t>
  </si>
  <si>
    <t>ENSG00000127415.13</t>
  </si>
  <si>
    <t>IDUA</t>
  </si>
  <si>
    <t>ENSG00000127418.15</t>
  </si>
  <si>
    <t>FGFRL1</t>
  </si>
  <si>
    <t>ENSG00000159674.12</t>
  </si>
  <si>
    <t>SPON2</t>
  </si>
  <si>
    <t>ENSG00000163950.13</t>
  </si>
  <si>
    <t>SLBP</t>
  </si>
  <si>
    <t>ENSG00000068078.18</t>
  </si>
  <si>
    <t>FGFR3</t>
  </si>
  <si>
    <t>ENSG00000168924.15</t>
  </si>
  <si>
    <t>LETM1</t>
  </si>
  <si>
    <t>ENSG00000185049.14</t>
  </si>
  <si>
    <t>NELFA</t>
  </si>
  <si>
    <t>ENSG00000087269.16</t>
  </si>
  <si>
    <t>NOP14</t>
  </si>
  <si>
    <t>ENSG00000188981.11</t>
  </si>
  <si>
    <t>MSANTD1</t>
  </si>
  <si>
    <t>ENSG00000163956.12</t>
  </si>
  <si>
    <t>LRPAP1</t>
  </si>
  <si>
    <t>ENSG00000184160.7</t>
  </si>
  <si>
    <t>ADRA2C</t>
  </si>
  <si>
    <t>ENSG00000145220.14</t>
  </si>
  <si>
    <t>LYAR</t>
  </si>
  <si>
    <t>ENSG00000168824.14</t>
  </si>
  <si>
    <t>NSG1</t>
  </si>
  <si>
    <t>ENSG00000152953.13</t>
  </si>
  <si>
    <t>STK32B</t>
  </si>
  <si>
    <t>ENSG00000072840.13</t>
  </si>
  <si>
    <t>EVC</t>
  </si>
  <si>
    <t>ENSG00000181215.15</t>
  </si>
  <si>
    <t>C4orf50</t>
  </si>
  <si>
    <t>ENSG00000109501.13</t>
  </si>
  <si>
    <t>WFS1</t>
  </si>
  <si>
    <t>ENSG00000163993.7</t>
  </si>
  <si>
    <t>S100P</t>
  </si>
  <si>
    <t>ENSG00000173013.5</t>
  </si>
  <si>
    <t>CCDC96</t>
  </si>
  <si>
    <t>ENSG00000184985.16</t>
  </si>
  <si>
    <t>SORCS2</t>
  </si>
  <si>
    <t>ENSG00000196526.10</t>
  </si>
  <si>
    <t>AFAP1</t>
  </si>
  <si>
    <t>ENSG00000163995.20</t>
  </si>
  <si>
    <t>ABLIM2</t>
  </si>
  <si>
    <t>ENSG00000125089.17</t>
  </si>
  <si>
    <t>SH3TC1</t>
  </si>
  <si>
    <t>ENSG00000229924.3</t>
  </si>
  <si>
    <t>FAM90A26</t>
  </si>
  <si>
    <t>ENSG00000137449.15</t>
  </si>
  <si>
    <t>CPEB2</t>
  </si>
  <si>
    <t>ENSG00000007062.11</t>
  </si>
  <si>
    <t>PROM1</t>
  </si>
  <si>
    <t>ENSG00000169744.13</t>
  </si>
  <si>
    <t>LDB2</t>
  </si>
  <si>
    <t>ENSG00000047662.4</t>
  </si>
  <si>
    <t>FAM184B</t>
  </si>
  <si>
    <t>ENSG00000145147.20</t>
  </si>
  <si>
    <t>SLIT2</t>
  </si>
  <si>
    <t>ENSG00000109689.16</t>
  </si>
  <si>
    <t>STIM2</t>
  </si>
  <si>
    <t>ENSG00000169299.14</t>
  </si>
  <si>
    <t>PGM2</t>
  </si>
  <si>
    <t>ENSG00000134962.7</t>
  </si>
  <si>
    <t>KLB</t>
  </si>
  <si>
    <t>ENSG00000109814.12</t>
  </si>
  <si>
    <t>UGDH</t>
  </si>
  <si>
    <t>ENSG00000163683.12</t>
  </si>
  <si>
    <t>SMIM14</t>
  </si>
  <si>
    <t>ENSG00000163694.15</t>
  </si>
  <si>
    <t>RBM47</t>
  </si>
  <si>
    <t>ENSG00000064042.18</t>
  </si>
  <si>
    <t>LIMCH1</t>
  </si>
  <si>
    <t>ENSG00000188848.16</t>
  </si>
  <si>
    <t>BEND4</t>
  </si>
  <si>
    <t>ENSG00000124406.16</t>
  </si>
  <si>
    <t>ATP8A1</t>
  </si>
  <si>
    <t>ENSG00000163293.12</t>
  </si>
  <si>
    <t>NIPAL1</t>
  </si>
  <si>
    <t>ENSG00000182223.7</t>
  </si>
  <si>
    <t>ZAR1</t>
  </si>
  <si>
    <t>ENSG00000163069.12</t>
  </si>
  <si>
    <t>SGCB</t>
  </si>
  <si>
    <t>ENSG00000163071.11</t>
  </si>
  <si>
    <t>SPATA18</t>
  </si>
  <si>
    <t>ENSG00000226887.8</t>
  </si>
  <si>
    <t>ERVMER34-1</t>
  </si>
  <si>
    <t>ENSG00000184178.16</t>
  </si>
  <si>
    <t>SCFD2</t>
  </si>
  <si>
    <t>ENSG00000109220.11</t>
  </si>
  <si>
    <t>CHIC2</t>
  </si>
  <si>
    <t>ENSG00000128039.11</t>
  </si>
  <si>
    <t>SRD5A3</t>
  </si>
  <si>
    <t>ENSG00000090989.18</t>
  </si>
  <si>
    <t>EXOC1</t>
  </si>
  <si>
    <t>ENSG00000109265.14</t>
  </si>
  <si>
    <t>KIAA1211</t>
  </si>
  <si>
    <t>ENSG00000128059.8</t>
  </si>
  <si>
    <t>PPAT</t>
  </si>
  <si>
    <t>ENSG00000128050.8</t>
  </si>
  <si>
    <t>PAICS</t>
  </si>
  <si>
    <t>ENSG00000163453.11</t>
  </si>
  <si>
    <t>IGFBP7</t>
  </si>
  <si>
    <t>ENSG00000150471.16</t>
  </si>
  <si>
    <t>ADGRL3</t>
  </si>
  <si>
    <t>ENSG00000145242.13</t>
  </si>
  <si>
    <t>EPHA5</t>
  </si>
  <si>
    <t>ENSG00000185873.7</t>
  </si>
  <si>
    <t>TMPRSS11B</t>
  </si>
  <si>
    <t>ENSG00000087128.10</t>
  </si>
  <si>
    <t>TMPRSS11E</t>
  </si>
  <si>
    <t>ENSG00000213759.9</t>
  </si>
  <si>
    <t>UGT2B11</t>
  </si>
  <si>
    <t>ENSG00000109205.16</t>
  </si>
  <si>
    <t>ODAM</t>
  </si>
  <si>
    <t>ENSG00000178522.14</t>
  </si>
  <si>
    <t>AMBN</t>
  </si>
  <si>
    <t>ENSG00000132465.11</t>
  </si>
  <si>
    <t>JCHAIN</t>
  </si>
  <si>
    <t>ENSG00000173542.8</t>
  </si>
  <si>
    <t>MOB1B</t>
  </si>
  <si>
    <t>ENSG00000080493.17</t>
  </si>
  <si>
    <t>SLC4A4</t>
  </si>
  <si>
    <t>ENSG00000156140.10</t>
  </si>
  <si>
    <t>ADAMTS3</t>
  </si>
  <si>
    <t>ENSG00000169429.11</t>
  </si>
  <si>
    <t>CXCL8</t>
  </si>
  <si>
    <t>ENSG00000163738.18</t>
  </si>
  <si>
    <t>MTHFD2L</t>
  </si>
  <si>
    <t>ENSG00000169116.11</t>
  </si>
  <si>
    <t>PARM1</t>
  </si>
  <si>
    <t>ENSG00000138769.11</t>
  </si>
  <si>
    <t>CDKL2</t>
  </si>
  <si>
    <t>ENSG00000138744.15</t>
  </si>
  <si>
    <t>NAAA</t>
  </si>
  <si>
    <t>ENSG00000156219.16</t>
  </si>
  <si>
    <t>ART3</t>
  </si>
  <si>
    <t>ENSG00000163749.17</t>
  </si>
  <si>
    <t>CCDC158</t>
  </si>
  <si>
    <t>ENSG00000138771.16</t>
  </si>
  <si>
    <t>SHROOM3</t>
  </si>
  <si>
    <t>ENSG00000138758.11</t>
  </si>
  <si>
    <t>SEPT11</t>
  </si>
  <si>
    <t>ENSG00000138764.15</t>
  </si>
  <si>
    <t>CCNG2</t>
  </si>
  <si>
    <t>ENSG00000138759.19</t>
  </si>
  <si>
    <t>FRAS1</t>
  </si>
  <si>
    <t>ENSG00000138772.13</t>
  </si>
  <si>
    <t>ANXA3</t>
  </si>
  <si>
    <t>ENSG00000138669.9</t>
  </si>
  <si>
    <t>PRKG2</t>
  </si>
  <si>
    <t>ENSG00000152795.17</t>
  </si>
  <si>
    <t>HNRNPDL</t>
  </si>
  <si>
    <t>ENSG00000145284.12</t>
  </si>
  <si>
    <t>SCD5</t>
  </si>
  <si>
    <t>ENSG00000138678.11</t>
  </si>
  <si>
    <t>GPAT3</t>
  </si>
  <si>
    <t>ENSG00000109339.22</t>
  </si>
  <si>
    <t>MAPK10</t>
  </si>
  <si>
    <t>ENSG00000163629.13</t>
  </si>
  <si>
    <t>PTPN13</t>
  </si>
  <si>
    <t>ENSG00000198189.11</t>
  </si>
  <si>
    <t>HSD17B11</t>
  </si>
  <si>
    <t>ENSG00000118785.14</t>
  </si>
  <si>
    <t>SPP1</t>
  </si>
  <si>
    <t>ENSG00000118777.12</t>
  </si>
  <si>
    <t>ABCG2</t>
  </si>
  <si>
    <t>ENSG00000163644.15</t>
  </si>
  <si>
    <t>PPM1K</t>
  </si>
  <si>
    <t>ENSG00000138646.9</t>
  </si>
  <si>
    <t>HERC5</t>
  </si>
  <si>
    <t>ENSG00000177432.7</t>
  </si>
  <si>
    <t>NAP1L5</t>
  </si>
  <si>
    <t>ENSG00000180346.3</t>
  </si>
  <si>
    <t>TIGD2</t>
  </si>
  <si>
    <t>ENSG00000152208.13</t>
  </si>
  <si>
    <t>GRID2</t>
  </si>
  <si>
    <t>ENSG00000163106.10</t>
  </si>
  <si>
    <t>HPGDS</t>
  </si>
  <si>
    <t>ENSG00000138696.10</t>
  </si>
  <si>
    <t>BMPR1B</t>
  </si>
  <si>
    <t>ENSG00000182168.15</t>
  </si>
  <si>
    <t>UNC5C</t>
  </si>
  <si>
    <t>ENSG00000198099.8</t>
  </si>
  <si>
    <t>ADH4</t>
  </si>
  <si>
    <t>ENSG00000138823.13</t>
  </si>
  <si>
    <t>MTTP</t>
  </si>
  <si>
    <t>ENSG00000164032.12</t>
  </si>
  <si>
    <t>H2AFZ</t>
  </si>
  <si>
    <t>ENSG00000153064.12</t>
  </si>
  <si>
    <t>BANK1</t>
  </si>
  <si>
    <t>ENSG00000164038.15</t>
  </si>
  <si>
    <t>SLC9B2</t>
  </si>
  <si>
    <t>ENSG00000169836.5</t>
  </si>
  <si>
    <t>TACR3</t>
  </si>
  <si>
    <t>ENSG00000168769.13</t>
  </si>
  <si>
    <t>TET2</t>
  </si>
  <si>
    <t>ENSG00000138777.20</t>
  </si>
  <si>
    <t>PPA2</t>
  </si>
  <si>
    <t>ENSG00000236699.9</t>
  </si>
  <si>
    <t>ARHGEF38</t>
  </si>
  <si>
    <t>ENSG00000138801.9</t>
  </si>
  <si>
    <t>PAPSS1</t>
  </si>
  <si>
    <t>ENSG00000138796.16</t>
  </si>
  <si>
    <t>HADH</t>
  </si>
  <si>
    <t>ENSG00000138795.10</t>
  </si>
  <si>
    <t>LEF1</t>
  </si>
  <si>
    <t>ENSG00000198856.13</t>
  </si>
  <si>
    <t>OSTC</t>
  </si>
  <si>
    <t>ENSG00000188517.16</t>
  </si>
  <si>
    <t>COL25A1</t>
  </si>
  <si>
    <t>ENSG00000005059.16</t>
  </si>
  <si>
    <t>MCUB</t>
  </si>
  <si>
    <t>ENSG00000205403.13</t>
  </si>
  <si>
    <t>CFI</t>
  </si>
  <si>
    <t>ENSG00000170522.9</t>
  </si>
  <si>
    <t>ELOVL6</t>
  </si>
  <si>
    <t>ENSG00000138792.10</t>
  </si>
  <si>
    <t>ENPEP</t>
  </si>
  <si>
    <t>ENSG00000145365.11</t>
  </si>
  <si>
    <t>TIFA</t>
  </si>
  <si>
    <t>ENSG00000145362.18</t>
  </si>
  <si>
    <t>ANK2</t>
  </si>
  <si>
    <t>ENSG00000145349.17</t>
  </si>
  <si>
    <t>CAMK2D</t>
  </si>
  <si>
    <t>ENSG00000164100.9</t>
  </si>
  <si>
    <t>NDST3</t>
  </si>
  <si>
    <t>ENSG00000150961.15</t>
  </si>
  <si>
    <t>SEC24D</t>
  </si>
  <si>
    <t>ENSG00000172403.11</t>
  </si>
  <si>
    <t>SYNPO2</t>
  </si>
  <si>
    <t>ENSG00000145384.3</t>
  </si>
  <si>
    <t>FABP2</t>
  </si>
  <si>
    <t>ENSG00000138735.16</t>
  </si>
  <si>
    <t>PDE5A</t>
  </si>
  <si>
    <t>ENSG00000138738.10</t>
  </si>
  <si>
    <t>PRDM5</t>
  </si>
  <si>
    <t>ENSG00000138686.9</t>
  </si>
  <si>
    <t>BBS7</t>
  </si>
  <si>
    <t>ENSG00000138741.11</t>
  </si>
  <si>
    <t>TRPC3</t>
  </si>
  <si>
    <t>ENSG00000164066.13</t>
  </si>
  <si>
    <t>INTU</t>
  </si>
  <si>
    <t>ENSG00000164070.12</t>
  </si>
  <si>
    <t>HSPA4L</t>
  </si>
  <si>
    <t>ENSG00000077684.16</t>
  </si>
  <si>
    <t>JADE1</t>
  </si>
  <si>
    <t>ENSG00000151012.13</t>
  </si>
  <si>
    <t>SLC7A11</t>
  </si>
  <si>
    <t>ENSG00000145391.13</t>
  </si>
  <si>
    <t>SETD7</t>
  </si>
  <si>
    <t>ENSG00000196782.12</t>
  </si>
  <si>
    <t>MAML3</t>
  </si>
  <si>
    <t>ENSG00000153132.13</t>
  </si>
  <si>
    <t>CLGN</t>
  </si>
  <si>
    <t>ENSG00000170153.11</t>
  </si>
  <si>
    <t>RNF150</t>
  </si>
  <si>
    <t>ENSG00000109452.12</t>
  </si>
  <si>
    <t>INPP4B</t>
  </si>
  <si>
    <t>ENSG00000164167.12</t>
  </si>
  <si>
    <t>LSM6</t>
  </si>
  <si>
    <t>ENSG00000120519.14</t>
  </si>
  <si>
    <t>SLC10A7</t>
  </si>
  <si>
    <t>ENSG00000071205.11</t>
  </si>
  <si>
    <t>ARHGAP10</t>
  </si>
  <si>
    <t>ENSG00000234828.8</t>
  </si>
  <si>
    <t>IQCM</t>
  </si>
  <si>
    <t>ENSG00000198589.12</t>
  </si>
  <si>
    <t>LRBA</t>
  </si>
  <si>
    <t>ENSG00000164142.16</t>
  </si>
  <si>
    <t>FAM160A1</t>
  </si>
  <si>
    <t>ENSG00000170006.12</t>
  </si>
  <si>
    <t>TMEM154</t>
  </si>
  <si>
    <t>ENSG00000109654.15</t>
  </si>
  <si>
    <t>TRIM2</t>
  </si>
  <si>
    <t>ENSG00000121210.16</t>
  </si>
  <si>
    <t>TMEM131L</t>
  </si>
  <si>
    <t>ENSG00000171564.11</t>
  </si>
  <si>
    <t>FGB</t>
  </si>
  <si>
    <t>ENSG00000171560.15</t>
  </si>
  <si>
    <t>FGA</t>
  </si>
  <si>
    <t>ENSG00000171557.16</t>
  </si>
  <si>
    <t>FGG</t>
  </si>
  <si>
    <t>ENSG00000121207.12</t>
  </si>
  <si>
    <t>LRAT</t>
  </si>
  <si>
    <t>ENSG00000120251.20</t>
  </si>
  <si>
    <t>GRIA2</t>
  </si>
  <si>
    <t>ENSG00000164125.15</t>
  </si>
  <si>
    <t>GASK1B</t>
  </si>
  <si>
    <t>ENSG00000205208.5</t>
  </si>
  <si>
    <t>C4orf46</t>
  </si>
  <si>
    <t>ENSG00000052795.13</t>
  </si>
  <si>
    <t>FNIP2</t>
  </si>
  <si>
    <t>ENSG00000145414.9</t>
  </si>
  <si>
    <t>NAF1</t>
  </si>
  <si>
    <t>ENSG00000145416.13</t>
  </si>
  <si>
    <t>MARCH1</t>
  </si>
  <si>
    <t>ENSG00000052802.13</t>
  </si>
  <si>
    <t>MSMO1</t>
  </si>
  <si>
    <t>ENSG00000109472.14</t>
  </si>
  <si>
    <t>CPE</t>
  </si>
  <si>
    <t>ENSG00000038295.8</t>
  </si>
  <si>
    <t>TLL1</t>
  </si>
  <si>
    <t>ENSG00000129116.19</t>
  </si>
  <si>
    <t>PALLD</t>
  </si>
  <si>
    <t>ENSG00000154447.15</t>
  </si>
  <si>
    <t>SH3RF1</t>
  </si>
  <si>
    <t>ENSG00000198948.12</t>
  </si>
  <si>
    <t>MFAP3L</t>
  </si>
  <si>
    <t>ENSG00000109586.12</t>
  </si>
  <si>
    <t>GALNT7</t>
  </si>
  <si>
    <t>ENSG00000164105.4</t>
  </si>
  <si>
    <t>SAP30</t>
  </si>
  <si>
    <t>ENSG00000164120.14</t>
  </si>
  <si>
    <t>HPGD</t>
  </si>
  <si>
    <t>ENSG00000129128.13</t>
  </si>
  <si>
    <t>SPCS3</t>
  </si>
  <si>
    <t>ENSG00000218336.9</t>
  </si>
  <si>
    <t>TENM3</t>
  </si>
  <si>
    <t>ENSG00000151718.16</t>
  </si>
  <si>
    <t>WWC2</t>
  </si>
  <si>
    <t>ENSG00000173320.12</t>
  </si>
  <si>
    <t>STOX2</t>
  </si>
  <si>
    <t>ENSG00000109771.15</t>
  </si>
  <si>
    <t>LRP2BP</t>
  </si>
  <si>
    <t>ENSG00000205129.8</t>
  </si>
  <si>
    <t>C4orf47</t>
  </si>
  <si>
    <t>ENSG00000154553.15</t>
  </si>
  <si>
    <t>PDLIM3</t>
  </si>
  <si>
    <t>ENSG00000154556.18</t>
  </si>
  <si>
    <t>SORBS2</t>
  </si>
  <si>
    <t>ENSG00000164342.12</t>
  </si>
  <si>
    <t>TLR3</t>
  </si>
  <si>
    <t>ENSG00000164344.16</t>
  </si>
  <si>
    <t>KLKB1</t>
  </si>
  <si>
    <t>ENSG00000286001.1</t>
  </si>
  <si>
    <t>AC021087.5</t>
  </si>
  <si>
    <t>ENSG00000066230.11</t>
  </si>
  <si>
    <t>SLC9A3</t>
  </si>
  <si>
    <t>ENSG00000071539.14</t>
  </si>
  <si>
    <t>TRIP13</t>
  </si>
  <si>
    <t>ENSG00000145506.13</t>
  </si>
  <si>
    <t>NKD2</t>
  </si>
  <si>
    <t>ENSG00000174358.16</t>
  </si>
  <si>
    <t>SLC6A19</t>
  </si>
  <si>
    <t>ENSG00000164362.19</t>
  </si>
  <si>
    <t>TERT</t>
  </si>
  <si>
    <t>ENSG00000215218.4</t>
  </si>
  <si>
    <t>UBE2QL1</t>
  </si>
  <si>
    <t>ENSG00000078295.16</t>
  </si>
  <si>
    <t>ADCY2</t>
  </si>
  <si>
    <t>ENSG00000164237.9</t>
  </si>
  <si>
    <t>CMBL</t>
  </si>
  <si>
    <t>ENSG00000112977.15</t>
  </si>
  <si>
    <t>DAP</t>
  </si>
  <si>
    <t>ENSG00000169862.19</t>
  </si>
  <si>
    <t>CTNND2</t>
  </si>
  <si>
    <t>ENSG00000039139.9</t>
  </si>
  <si>
    <t>DNAH5</t>
  </si>
  <si>
    <t>ENSG00000145569.6</t>
  </si>
  <si>
    <t>OTULINL</t>
  </si>
  <si>
    <t>ENSG00000154162.14</t>
  </si>
  <si>
    <t>CDH12</t>
  </si>
  <si>
    <t>ENSG00000040731.10</t>
  </si>
  <si>
    <t>CDH10</t>
  </si>
  <si>
    <t>ENSG00000133401.16</t>
  </si>
  <si>
    <t>PDZD2</t>
  </si>
  <si>
    <t>ENSG00000113389.16</t>
  </si>
  <si>
    <t>NPR3</t>
  </si>
  <si>
    <t>ENSG00000242110.8</t>
  </si>
  <si>
    <t>AMACR</t>
  </si>
  <si>
    <t>ENSG00000082196.20</t>
  </si>
  <si>
    <t>C1QTNF3</t>
  </si>
  <si>
    <t>ENSG00000113494.17</t>
  </si>
  <si>
    <t>PRLR</t>
  </si>
  <si>
    <t>ENSG00000164187.7</t>
  </si>
  <si>
    <t>LMBRD2</t>
  </si>
  <si>
    <t>ENSG00000145604.15</t>
  </si>
  <si>
    <t>SKP2</t>
  </si>
  <si>
    <t>ENSG00000168621.15</t>
  </si>
  <si>
    <t>GDNF</t>
  </si>
  <si>
    <t>ENSG00000164318.18</t>
  </si>
  <si>
    <t>EGFLAM</t>
  </si>
  <si>
    <t>ENSG00000145623.13</t>
  </si>
  <si>
    <t>OSMR</t>
  </si>
  <si>
    <t>ENSG00000082074.17</t>
  </si>
  <si>
    <t>FYB1</t>
  </si>
  <si>
    <t>ENSG00000182836.10</t>
  </si>
  <si>
    <t>PLCXD3</t>
  </si>
  <si>
    <t>ENSG00000112964.14</t>
  </si>
  <si>
    <t>GHR</t>
  </si>
  <si>
    <t>ENSG00000112972.15</t>
  </si>
  <si>
    <t>HMGCS1</t>
  </si>
  <si>
    <t>ENSG00000170571.12</t>
  </si>
  <si>
    <t>EMB</t>
  </si>
  <si>
    <t>ENSG00000151883.18</t>
  </si>
  <si>
    <t>PARP8</t>
  </si>
  <si>
    <t>ENSG00000213949.9</t>
  </si>
  <si>
    <t>ITGA1</t>
  </si>
  <si>
    <t>ENSG00000164287.12</t>
  </si>
  <si>
    <t>CDC20B</t>
  </si>
  <si>
    <t>ENSG00000152670.18</t>
  </si>
  <si>
    <t>DDX4</t>
  </si>
  <si>
    <t>ENSG00000134352.20</t>
  </si>
  <si>
    <t>IL6ST</t>
  </si>
  <si>
    <t>ENSG00000145632.15</t>
  </si>
  <si>
    <t>PLK2</t>
  </si>
  <si>
    <t>ENSG00000035499.13</t>
  </si>
  <si>
    <t>DEPDC1B</t>
  </si>
  <si>
    <t>ENSG00000130449.6</t>
  </si>
  <si>
    <t>ZSWIM6</t>
  </si>
  <si>
    <t>ENSG00000113597.18</t>
  </si>
  <si>
    <t>TRAPPC13</t>
  </si>
  <si>
    <t>ENSG00000123213.23</t>
  </si>
  <si>
    <t>NLN</t>
  </si>
  <si>
    <t>ENSG00000069020.18</t>
  </si>
  <si>
    <t>MAST4</t>
  </si>
  <si>
    <t>ENSG00000152939.16</t>
  </si>
  <si>
    <t>MARVELD2</t>
  </si>
  <si>
    <t>ENSG00000172062.16</t>
  </si>
  <si>
    <t>SMN1</t>
  </si>
  <si>
    <t>ENSG00000157107.14</t>
  </si>
  <si>
    <t>FCHO2</t>
  </si>
  <si>
    <t>ENSG00000251493.5</t>
  </si>
  <si>
    <t>FOXD1</t>
  </si>
  <si>
    <t>ENSG00000164331.10</t>
  </si>
  <si>
    <t>ANKRA2</t>
  </si>
  <si>
    <t>ENSG00000145700.9</t>
  </si>
  <si>
    <t>ANKRD31</t>
  </si>
  <si>
    <t>ENSG00000113161.16</t>
  </si>
  <si>
    <t>HMGCR</t>
  </si>
  <si>
    <t>ENSG00000152359.14</t>
  </si>
  <si>
    <t>POC5</t>
  </si>
  <si>
    <t>ENSG00000122012.14</t>
  </si>
  <si>
    <t>SV2C</t>
  </si>
  <si>
    <t>ENSG00000164220.7</t>
  </si>
  <si>
    <t>F2RL2</t>
  </si>
  <si>
    <t>ENSG00000171643.14</t>
  </si>
  <si>
    <t>S100Z</t>
  </si>
  <si>
    <t>ENSG00000132846.6</t>
  </si>
  <si>
    <t>ZBED3</t>
  </si>
  <si>
    <t>ENSG00000171540.7</t>
  </si>
  <si>
    <t>OTP</t>
  </si>
  <si>
    <t>ENSG00000145685.14</t>
  </si>
  <si>
    <t>LHFPL2</t>
  </si>
  <si>
    <t>ENSG00000113273.17</t>
  </si>
  <si>
    <t>ARSB</t>
  </si>
  <si>
    <t>ENSG00000152413.14</t>
  </si>
  <si>
    <t>HOMER1</t>
  </si>
  <si>
    <t>ENSG00000113296.14</t>
  </si>
  <si>
    <t>THBS4</t>
  </si>
  <si>
    <t>ENSG00000145687.16</t>
  </si>
  <si>
    <t>SSBP2</t>
  </si>
  <si>
    <t>ENSG00000038427.16</t>
  </si>
  <si>
    <t>VCAN</t>
  </si>
  <si>
    <t>ENSG00000164176.13</t>
  </si>
  <si>
    <t>EDIL3</t>
  </si>
  <si>
    <t>ENSG00000113356.12</t>
  </si>
  <si>
    <t>POLR3G</t>
  </si>
  <si>
    <t>ENSG00000164199.18</t>
  </si>
  <si>
    <t>ADGRV1</t>
  </si>
  <si>
    <t>ENSG00000175745.13</t>
  </si>
  <si>
    <t>NR2F1</t>
  </si>
  <si>
    <t>ENSG00000175471.19</t>
  </si>
  <si>
    <t>MCTP1</t>
  </si>
  <si>
    <t>ENSG00000164292.13</t>
  </si>
  <si>
    <t>RHOBTB3</t>
  </si>
  <si>
    <t>ENSG00000173221.14</t>
  </si>
  <si>
    <t>GLRX</t>
  </si>
  <si>
    <t>ENSG00000173930.9</t>
  </si>
  <si>
    <t>SLCO4C1</t>
  </si>
  <si>
    <t>ENSG00000181751.10</t>
  </si>
  <si>
    <t>C5orf30</t>
  </si>
  <si>
    <t>ENSG00000145743.15</t>
  </si>
  <si>
    <t>FBXL17</t>
  </si>
  <si>
    <t>ENSG00000112893.9</t>
  </si>
  <si>
    <t>MAN2A1</t>
  </si>
  <si>
    <t>ENSG00000152495.11</t>
  </si>
  <si>
    <t>CAMK4</t>
  </si>
  <si>
    <t>ENSG00000134986.13</t>
  </si>
  <si>
    <t>NREP</t>
  </si>
  <si>
    <t>ENSG00000129595.13</t>
  </si>
  <si>
    <t>EPB41L4A</t>
  </si>
  <si>
    <t>ENSG00000212122.3</t>
  </si>
  <si>
    <t>TSSK1B</t>
  </si>
  <si>
    <t>ENSG00000164221.13</t>
  </si>
  <si>
    <t>CCDC112</t>
  </si>
  <si>
    <t>ENSG00000092421.16</t>
  </si>
  <si>
    <t>SEMA6A</t>
  </si>
  <si>
    <t>ENSG00000169570.10</t>
  </si>
  <si>
    <t>DTWD2</t>
  </si>
  <si>
    <t>ENSG00000145779.8</t>
  </si>
  <si>
    <t>TNFAIP8</t>
  </si>
  <si>
    <t>ENSG00000133835.15</t>
  </si>
  <si>
    <t>HSD17B4</t>
  </si>
  <si>
    <t>ENSG00000113083.14</t>
  </si>
  <si>
    <t>LOX</t>
  </si>
  <si>
    <t>ENSG00000064692.19</t>
  </si>
  <si>
    <t>SNCAIP</t>
  </si>
  <si>
    <t>ENSG00000205302.7</t>
  </si>
  <si>
    <t>SNX2</t>
  </si>
  <si>
    <t>ENSG00000164904.18</t>
  </si>
  <si>
    <t>ALDH7A1</t>
  </si>
  <si>
    <t>ENSG00000164902.14</t>
  </si>
  <si>
    <t>PHAX</t>
  </si>
  <si>
    <t>ENSG00000113368.12</t>
  </si>
  <si>
    <t>LMNB1</t>
  </si>
  <si>
    <t>ENSG00000173926.6</t>
  </si>
  <si>
    <t>MARCH3</t>
  </si>
  <si>
    <t>ENSG00000145794.17</t>
  </si>
  <si>
    <t>MEGF10</t>
  </si>
  <si>
    <t>ENSG00000138829.12</t>
  </si>
  <si>
    <t>FBN2</t>
  </si>
  <si>
    <t>ENSG00000113396.13</t>
  </si>
  <si>
    <t>SLC27A6</t>
  </si>
  <si>
    <t>ENSG00000072682.18</t>
  </si>
  <si>
    <t>P4HA2</t>
  </si>
  <si>
    <t>ENSG00000205089.7</t>
  </si>
  <si>
    <t>CCNI2</t>
  </si>
  <si>
    <t>ENSG00000164403.14</t>
  </si>
  <si>
    <t>SHROOM1</t>
  </si>
  <si>
    <t>ENSG00000164406.7</t>
  </si>
  <si>
    <t>LEAP2</t>
  </si>
  <si>
    <t>ENSG00000069011.16</t>
  </si>
  <si>
    <t>PITX1</t>
  </si>
  <si>
    <t>ENSG00000145832.14</t>
  </si>
  <si>
    <t>SLC25A48</t>
  </si>
  <si>
    <t>ENSG00000120708.17</t>
  </si>
  <si>
    <t>TGFBI</t>
  </si>
  <si>
    <t>ENSG00000152377.14</t>
  </si>
  <si>
    <t>SPOCK1</t>
  </si>
  <si>
    <t>ENSG00000146021.15</t>
  </si>
  <si>
    <t>KLHL3</t>
  </si>
  <si>
    <t>ENSG00000177733.6</t>
  </si>
  <si>
    <t>HNRNPA0</t>
  </si>
  <si>
    <t>ENSG00000078795.16</t>
  </si>
  <si>
    <t>PKD2L2</t>
  </si>
  <si>
    <t>ENSG00000132563.16</t>
  </si>
  <si>
    <t>REEP2</t>
  </si>
  <si>
    <t>ENSG00000120738.8</t>
  </si>
  <si>
    <t>EGR1</t>
  </si>
  <si>
    <t>ENSG00000146006.8</t>
  </si>
  <si>
    <t>LRRTM2</t>
  </si>
  <si>
    <t>ENSG00000280987.4</t>
  </si>
  <si>
    <t>MATR3</t>
  </si>
  <si>
    <t>ENSG00000170464.10</t>
  </si>
  <si>
    <t>DNAJC18</t>
  </si>
  <si>
    <t>ENSG00000184584.13</t>
  </si>
  <si>
    <t>TMEM173</t>
  </si>
  <si>
    <t>ENSG00000158458.20</t>
  </si>
  <si>
    <t>NRG2</t>
  </si>
  <si>
    <t>ENSG00000213523.10</t>
  </si>
  <si>
    <t>SRA1</t>
  </si>
  <si>
    <t>ENSG00000113108.19</t>
  </si>
  <si>
    <t>APBB3</t>
  </si>
  <si>
    <t>ENSG00000204967.11</t>
  </si>
  <si>
    <t>PCDHA4</t>
  </si>
  <si>
    <t>ENSG00000240184.7</t>
  </si>
  <si>
    <t>PCDHGC3</t>
  </si>
  <si>
    <t>ENSG00000113578.18</t>
  </si>
  <si>
    <t>FGF1</t>
  </si>
  <si>
    <t>ENSG00000145819.17</t>
  </si>
  <si>
    <t>ARHGAP26</t>
  </si>
  <si>
    <t>ENSG00000113580.15</t>
  </si>
  <si>
    <t>NR3C1</t>
  </si>
  <si>
    <t>ENSG00000186314.11</t>
  </si>
  <si>
    <t>PRELID2</t>
  </si>
  <si>
    <t>ENSG00000156463.18</t>
  </si>
  <si>
    <t>SH3RF2</t>
  </si>
  <si>
    <t>ENSG00000169302.16</t>
  </si>
  <si>
    <t>STK32A</t>
  </si>
  <si>
    <t>ENSG00000113657.13</t>
  </si>
  <si>
    <t>DPYSL3</t>
  </si>
  <si>
    <t>ENSG00000133710.15</t>
  </si>
  <si>
    <t>SPINK5</t>
  </si>
  <si>
    <t>ENSG00000169252.5</t>
  </si>
  <si>
    <t>ADRB2</t>
  </si>
  <si>
    <t>ENSG00000164284.15</t>
  </si>
  <si>
    <t>GRPEL2</t>
  </si>
  <si>
    <t>ENSG00000145882.11</t>
  </si>
  <si>
    <t>PCYOX1L</t>
  </si>
  <si>
    <t>ENSG00000183111.12</t>
  </si>
  <si>
    <t>ARHGEF37</t>
  </si>
  <si>
    <t>ENSG00000132915.11</t>
  </si>
  <si>
    <t>PDE6A</t>
  </si>
  <si>
    <t>ENSG00000164296.7</t>
  </si>
  <si>
    <t>TIGD6</t>
  </si>
  <si>
    <t>ENSG00000182578.13</t>
  </si>
  <si>
    <t>CSF1R</t>
  </si>
  <si>
    <t>ENSG00000113721.14</t>
  </si>
  <si>
    <t>PDGFRB</t>
  </si>
  <si>
    <t>ENSG00000183876.9</t>
  </si>
  <si>
    <t>ARSI</t>
  </si>
  <si>
    <t>ENSG00000070814.19</t>
  </si>
  <si>
    <t>TCOF1</t>
  </si>
  <si>
    <t>ENSG00000171992.13</t>
  </si>
  <si>
    <t>SYNPO</t>
  </si>
  <si>
    <t>ENSG00000256235.2</t>
  </si>
  <si>
    <t>SMIM3</t>
  </si>
  <si>
    <t>ENSG00000211445.12</t>
  </si>
  <si>
    <t>GPX3</t>
  </si>
  <si>
    <t>ENSG00000197043.14</t>
  </si>
  <si>
    <t>ANXA6</t>
  </si>
  <si>
    <t>ENSG00000198624.13</t>
  </si>
  <si>
    <t>CCDC69</t>
  </si>
  <si>
    <t>ENSG00000196743.8</t>
  </si>
  <si>
    <t>GM2A</t>
  </si>
  <si>
    <t>ENSG00000086570.12</t>
  </si>
  <si>
    <t>FAT2</t>
  </si>
  <si>
    <t>ENSG00000155511.18</t>
  </si>
  <si>
    <t>GRIA1</t>
  </si>
  <si>
    <t>ENSG00000164574.16</t>
  </si>
  <si>
    <t>GALNT10</t>
  </si>
  <si>
    <t>ENSG00000170271.11</t>
  </si>
  <si>
    <t>FAXDC2</t>
  </si>
  <si>
    <t>ENSG00000170624.13</t>
  </si>
  <si>
    <t>SGCD</t>
  </si>
  <si>
    <t>ENSG00000113249.12</t>
  </si>
  <si>
    <t>HAVCR1</t>
  </si>
  <si>
    <t>ENSG00000055163.20</t>
  </si>
  <si>
    <t>CYFIP2</t>
  </si>
  <si>
    <t>ENSG00000164330.17</t>
  </si>
  <si>
    <t>EBF1</t>
  </si>
  <si>
    <t>ENSG00000135083.15</t>
  </si>
  <si>
    <t>CCNJL</t>
  </si>
  <si>
    <t>ENSG00000164611.13</t>
  </si>
  <si>
    <t>PTTG1</t>
  </si>
  <si>
    <t>ENSG00000022355.17</t>
  </si>
  <si>
    <t>GABRA1</t>
  </si>
  <si>
    <t>ENSG00000072571.20</t>
  </si>
  <si>
    <t>HMMR</t>
  </si>
  <si>
    <t>ENSG00000038274.17</t>
  </si>
  <si>
    <t>MAT2B</t>
  </si>
  <si>
    <t>ENSG00000145934.16</t>
  </si>
  <si>
    <t>TENM2</t>
  </si>
  <si>
    <t>ENSG00000113645.14</t>
  </si>
  <si>
    <t>WWC1</t>
  </si>
  <si>
    <t>ENSG00000134516.16</t>
  </si>
  <si>
    <t>DOCK2</t>
  </si>
  <si>
    <t>ENSG00000094755.17</t>
  </si>
  <si>
    <t>GABRP</t>
  </si>
  <si>
    <t>ENSG00000204764.14</t>
  </si>
  <si>
    <t>RANBP17</t>
  </si>
  <si>
    <t>ENSG00000174705.13</t>
  </si>
  <si>
    <t>SH3PXD2B</t>
  </si>
  <si>
    <t>ENSG00000214357.8</t>
  </si>
  <si>
    <t>NEURL1B</t>
  </si>
  <si>
    <t>ENSG00000164463.12</t>
  </si>
  <si>
    <t>CREBRF</t>
  </si>
  <si>
    <t>ENSG00000183072.10</t>
  </si>
  <si>
    <t>NKX2-5</t>
  </si>
  <si>
    <t>ENSG00000113739.10</t>
  </si>
  <si>
    <t>STC2</t>
  </si>
  <si>
    <t>ENSG00000113742.13</t>
  </si>
  <si>
    <t>CPEB4</t>
  </si>
  <si>
    <t>ENSG00000145920.15</t>
  </si>
  <si>
    <t>CPLX2</t>
  </si>
  <si>
    <t>ENSG00000048162.20</t>
  </si>
  <si>
    <t>NOP16</t>
  </si>
  <si>
    <t>ENSG00000074276.10</t>
  </si>
  <si>
    <t>CDHR2</t>
  </si>
  <si>
    <t>ENSG00000169258.7</t>
  </si>
  <si>
    <t>GPRIN1</t>
  </si>
  <si>
    <t>ENSG00000160867.15</t>
  </si>
  <si>
    <t>FGFR4</t>
  </si>
  <si>
    <t>ENSG00000165671.20</t>
  </si>
  <si>
    <t>NSD1</t>
  </si>
  <si>
    <t>ENSG00000169230.10</t>
  </si>
  <si>
    <t>PRELID1</t>
  </si>
  <si>
    <t>ENSG00000131183.11</t>
  </si>
  <si>
    <t>SLC34A1</t>
  </si>
  <si>
    <t>ENSG00000198055.11</t>
  </si>
  <si>
    <t>GRK6</t>
  </si>
  <si>
    <t>ENSG00000113758.13</t>
  </si>
  <si>
    <t>DBN1</t>
  </si>
  <si>
    <t>ENSG00000145911.6</t>
  </si>
  <si>
    <t>N4BP3</t>
  </si>
  <si>
    <t>ENSG00000145912.8</t>
  </si>
  <si>
    <t>NHP2</t>
  </si>
  <si>
    <t>ENSG00000050767.17</t>
  </si>
  <si>
    <t>COL23A1</t>
  </si>
  <si>
    <t>ENSG00000087116.16</t>
  </si>
  <si>
    <t>ADAMTS2</t>
  </si>
  <si>
    <t>ENSG00000204661.9</t>
  </si>
  <si>
    <t>C5orf60</t>
  </si>
  <si>
    <t>ENSG00000161013.17</t>
  </si>
  <si>
    <t>MGAT4B</t>
  </si>
  <si>
    <t>ENSG00000197226.12</t>
  </si>
  <si>
    <t>TBC1D9B</t>
  </si>
  <si>
    <t>ENSG00000113300.12</t>
  </si>
  <si>
    <t>CNOT6</t>
  </si>
  <si>
    <t>ENSG00000161055.4</t>
  </si>
  <si>
    <t>SCGB3A1</t>
  </si>
  <si>
    <t>ENSG00000165810.17</t>
  </si>
  <si>
    <t>BTNL9</t>
  </si>
  <si>
    <t>ENSG00000164379.7</t>
  </si>
  <si>
    <t>FOXQ1</t>
  </si>
  <si>
    <t>ENSG00000112699.11</t>
  </si>
  <si>
    <t>GMDS</t>
  </si>
  <si>
    <t>ENSG00000124535.15</t>
  </si>
  <si>
    <t>WRNIP1</t>
  </si>
  <si>
    <t>ENSG00000021355.13</t>
  </si>
  <si>
    <t>SERPINB1</t>
  </si>
  <si>
    <t>ENSG00000170542.6</t>
  </si>
  <si>
    <t>SERPINB9</t>
  </si>
  <si>
    <t>ENSG00000137274.13</t>
  </si>
  <si>
    <t>BPHL</t>
  </si>
  <si>
    <t>ENSG00000137285.10</t>
  </si>
  <si>
    <t>TUBB2B</t>
  </si>
  <si>
    <t>ENSG00000168994.13</t>
  </si>
  <si>
    <t>PXDC1</t>
  </si>
  <si>
    <t>ENSG00000145975.14</t>
  </si>
  <si>
    <t>FAM217A</t>
  </si>
  <si>
    <t>ENSG00000124787.13</t>
  </si>
  <si>
    <t>RPP40</t>
  </si>
  <si>
    <t>ENSG00000214113.10</t>
  </si>
  <si>
    <t>LYRM4</t>
  </si>
  <si>
    <t>ENSG00000124491.15</t>
  </si>
  <si>
    <t>F13A1</t>
  </si>
  <si>
    <t>ENSG00000124782.20</t>
  </si>
  <si>
    <t>RREB1</t>
  </si>
  <si>
    <t>ENSG00000239264.8</t>
  </si>
  <si>
    <t>TXNDC5</t>
  </si>
  <si>
    <t>ENSG00000111846.17</t>
  </si>
  <si>
    <t>GCNT2</t>
  </si>
  <si>
    <t>ENSG00000137434.11</t>
  </si>
  <si>
    <t>C6orf52</t>
  </si>
  <si>
    <t>ENSG00000111837.11</t>
  </si>
  <si>
    <t>MAK</t>
  </si>
  <si>
    <t>ENSG00000153157.13</t>
  </si>
  <si>
    <t>SYCP2L</t>
  </si>
  <si>
    <t>ENSG00000197977.4</t>
  </si>
  <si>
    <t>ELOVL2</t>
  </si>
  <si>
    <t>ENSG00000111859.17</t>
  </si>
  <si>
    <t>NEDD9</t>
  </si>
  <si>
    <t>ENSG00000112137.17</t>
  </si>
  <si>
    <t>PHACTR1</t>
  </si>
  <si>
    <t>ENSG00000145990.11</t>
  </si>
  <si>
    <t>GFOD1</t>
  </si>
  <si>
    <t>ENSG00000180537.13</t>
  </si>
  <si>
    <t>RNF182</t>
  </si>
  <si>
    <t>ENSG00000137177.20</t>
  </si>
  <si>
    <t>KIF13A</t>
  </si>
  <si>
    <t>ENSG00000137364.5</t>
  </si>
  <si>
    <t>TPMT</t>
  </si>
  <si>
    <t>ENSG00000137393.9</t>
  </si>
  <si>
    <t>RNF144B</t>
  </si>
  <si>
    <t>ENSG00000146038.12</t>
  </si>
  <si>
    <t>DCDC2</t>
  </si>
  <si>
    <t>ENSG00000112293.15</t>
  </si>
  <si>
    <t>GPLD1</t>
  </si>
  <si>
    <t>ENSG00000112294.12</t>
  </si>
  <si>
    <t>ALDH5A1</t>
  </si>
  <si>
    <t>ENSG00000112308.13</t>
  </si>
  <si>
    <t>C6orf62</t>
  </si>
  <si>
    <t>ENSG00000111913.18</t>
  </si>
  <si>
    <t>RIPOR2</t>
  </si>
  <si>
    <t>ENSG00000079691.18</t>
  </si>
  <si>
    <t>CARMIL1</t>
  </si>
  <si>
    <t>ENSG00000079689.14</t>
  </si>
  <si>
    <t>SCGN</t>
  </si>
  <si>
    <t>ENSG00000112337.10</t>
  </si>
  <si>
    <t>SLC17A2</t>
  </si>
  <si>
    <t>ENSG00000112343.11</t>
  </si>
  <si>
    <t>TRIM38</t>
  </si>
  <si>
    <t>ENSG00000278637.1</t>
  </si>
  <si>
    <t>HIST1H4A</t>
  </si>
  <si>
    <t>ENSG00000278705.1</t>
  </si>
  <si>
    <t>HIST1H4B</t>
  </si>
  <si>
    <t>ENSG00000274267.1</t>
  </si>
  <si>
    <t>HIST1H3B</t>
  </si>
  <si>
    <t>ENSG00000278463.1</t>
  </si>
  <si>
    <t>HIST1H2AB</t>
  </si>
  <si>
    <t>ENSG00000276410.3</t>
  </si>
  <si>
    <t>HIST1H2BB</t>
  </si>
  <si>
    <t>ENSG00000278272.1</t>
  </si>
  <si>
    <t>HIST1H3C</t>
  </si>
  <si>
    <t>ENSG00000187837.3</t>
  </si>
  <si>
    <t>HIST1H1C</t>
  </si>
  <si>
    <t>ENSG00000197061.4</t>
  </si>
  <si>
    <t>HIST1H4C</t>
  </si>
  <si>
    <t>ENSG00000180596.7</t>
  </si>
  <si>
    <t>HIST1H2BC</t>
  </si>
  <si>
    <t>ENSG00000180573.9</t>
  </si>
  <si>
    <t>HIST1H2AC</t>
  </si>
  <si>
    <t>ENSG00000168298.6</t>
  </si>
  <si>
    <t>HIST1H1E</t>
  </si>
  <si>
    <t>ENSG00000158373.8</t>
  </si>
  <si>
    <t>HIST1H2BD</t>
  </si>
  <si>
    <t>ENSG00000274290.2</t>
  </si>
  <si>
    <t>HIST1H2BE</t>
  </si>
  <si>
    <t>ENSG00000277157.1</t>
  </si>
  <si>
    <t>HIST1H4D</t>
  </si>
  <si>
    <t>ENSG00000277224.2</t>
  </si>
  <si>
    <t>HIST1H2BF</t>
  </si>
  <si>
    <t>ENSG00000276966.2</t>
  </si>
  <si>
    <t>HIST1H4E</t>
  </si>
  <si>
    <t>ENSG00000273802.2</t>
  </si>
  <si>
    <t>HIST1H2BG</t>
  </si>
  <si>
    <t>ENSG00000277075.2</t>
  </si>
  <si>
    <t>HIST1H2AE</t>
  </si>
  <si>
    <t>ENSG00000274750.2</t>
  </si>
  <si>
    <t>HIST1H3E</t>
  </si>
  <si>
    <t>ENSG00000277775.1</t>
  </si>
  <si>
    <t>HIST1H3F</t>
  </si>
  <si>
    <t>ENSG00000275713.2</t>
  </si>
  <si>
    <t>HIST1H2BH</t>
  </si>
  <si>
    <t>ENSG00000158406.4</t>
  </si>
  <si>
    <t>HIST1H4H</t>
  </si>
  <si>
    <t>ENSG00000186470.14</t>
  </si>
  <si>
    <t>BTN3A2</t>
  </si>
  <si>
    <t>ENSG00000124635.8</t>
  </si>
  <si>
    <t>HIST1H2BJ</t>
  </si>
  <si>
    <t>ENSG00000196787.3</t>
  </si>
  <si>
    <t>HIST1H2AG</t>
  </si>
  <si>
    <t>ENSG00000276180.1</t>
  </si>
  <si>
    <t>HIST1H4I</t>
  </si>
  <si>
    <t>ENSG00000197903.7</t>
  </si>
  <si>
    <t>HIST1H2BK</t>
  </si>
  <si>
    <t>ENSG00000274997.1</t>
  </si>
  <si>
    <t>HIST1H2AH</t>
  </si>
  <si>
    <t>ENSG00000096654.15</t>
  </si>
  <si>
    <t>ZNF184</t>
  </si>
  <si>
    <t>ENSG00000185130.5</t>
  </si>
  <si>
    <t>HIST1H2BL</t>
  </si>
  <si>
    <t>ENSG00000196747.4</t>
  </si>
  <si>
    <t>HIST1H2AI</t>
  </si>
  <si>
    <t>ENSG00000278828.1</t>
  </si>
  <si>
    <t>HIST1H3H</t>
  </si>
  <si>
    <t>ENSG00000276368.1</t>
  </si>
  <si>
    <t>HIST1H2AJ</t>
  </si>
  <si>
    <t>ENSG00000273703.1</t>
  </si>
  <si>
    <t>HIST1H2BM</t>
  </si>
  <si>
    <t>ENSG00000197238.4</t>
  </si>
  <si>
    <t>HIST1H4J</t>
  </si>
  <si>
    <t>ENSG00000273542.1</t>
  </si>
  <si>
    <t>HIST1H4K</t>
  </si>
  <si>
    <t>ENSG00000233822.4</t>
  </si>
  <si>
    <t>HIST1H2BN</t>
  </si>
  <si>
    <t>ENSG00000275221.1</t>
  </si>
  <si>
    <t>HIST1H2AK</t>
  </si>
  <si>
    <t>ENSG00000276903.1</t>
  </si>
  <si>
    <t>HIST1H2AL</t>
  </si>
  <si>
    <t>ENSG00000184357.4</t>
  </si>
  <si>
    <t>HIST1H1B</t>
  </si>
  <si>
    <t>ENSG00000197153.4</t>
  </si>
  <si>
    <t>HIST1H3J</t>
  </si>
  <si>
    <t>ENSG00000274641.1</t>
  </si>
  <si>
    <t>HIST1H2BO</t>
  </si>
  <si>
    <t>ENSG00000124657.1</t>
  </si>
  <si>
    <t>OR2B6</t>
  </si>
  <si>
    <t>ENSG00000197279.4</t>
  </si>
  <si>
    <t>ZNF165</t>
  </si>
  <si>
    <t>ENSG00000204701.2</t>
  </si>
  <si>
    <t>OR2J3</t>
  </si>
  <si>
    <t>ENSG00000204618.8</t>
  </si>
  <si>
    <t>RNF39</t>
  </si>
  <si>
    <t>ENSG00000137404.14</t>
  </si>
  <si>
    <t>NRM</t>
  </si>
  <si>
    <t>ENSG00000196230.13</t>
  </si>
  <si>
    <t>TUBB</t>
  </si>
  <si>
    <t>ENSG00000204580.13</t>
  </si>
  <si>
    <t>DDR1</t>
  </si>
  <si>
    <t>ENSG00000137411.17</t>
  </si>
  <si>
    <t>VARS2</t>
  </si>
  <si>
    <t>ENSG00000137310.12</t>
  </si>
  <si>
    <t>TCF19</t>
  </si>
  <si>
    <t>ENSG00000234745.11</t>
  </si>
  <si>
    <t>HLA-B</t>
  </si>
  <si>
    <t>ENSG00000213722.9</t>
  </si>
  <si>
    <t>DDAH2</t>
  </si>
  <si>
    <t>ENSG00000204396.10</t>
  </si>
  <si>
    <t>VWA7</t>
  </si>
  <si>
    <t>ENSG00000204394.13</t>
  </si>
  <si>
    <t>VARS</t>
  </si>
  <si>
    <t>ENSG00000204371.11</t>
  </si>
  <si>
    <t>EHMT2</t>
  </si>
  <si>
    <t>ENSG00000166278.15</t>
  </si>
  <si>
    <t>C2</t>
  </si>
  <si>
    <t>ENSG00000204366.3</t>
  </si>
  <si>
    <t>ZBTB12</t>
  </si>
  <si>
    <t>ENSG00000243649.8</t>
  </si>
  <si>
    <t>CFB</t>
  </si>
  <si>
    <t>ENSG00000168477.19</t>
  </si>
  <si>
    <t>TNXB</t>
  </si>
  <si>
    <t>ENSG00000204301.6</t>
  </si>
  <si>
    <t>NOTCH4</t>
  </si>
  <si>
    <t>ENSG00000168394.11</t>
  </si>
  <si>
    <t>TAP1</t>
  </si>
  <si>
    <t>ENSG00000204252.14</t>
  </si>
  <si>
    <t>HLA-DOA</t>
  </si>
  <si>
    <t>ENSG00000112473.18</t>
  </si>
  <si>
    <t>SLC39A7</t>
  </si>
  <si>
    <t>ENSG00000227057.10</t>
  </si>
  <si>
    <t>WDR46</t>
  </si>
  <si>
    <t>ENSG00000204209.13</t>
  </si>
  <si>
    <t>DAXX</t>
  </si>
  <si>
    <t>ENSG00000030110.13</t>
  </si>
  <si>
    <t>BAK1</t>
  </si>
  <si>
    <t>ENSG00000161896.12</t>
  </si>
  <si>
    <t>IP6K3</t>
  </si>
  <si>
    <t>ENSG00000137309.19</t>
  </si>
  <si>
    <t>HMGA1</t>
  </si>
  <si>
    <t>ENSG00000272325.2</t>
  </si>
  <si>
    <t>NUDT3</t>
  </si>
  <si>
    <t>ENSG00000196821.10</t>
  </si>
  <si>
    <t>C6orf106</t>
  </si>
  <si>
    <t>ENSG00000065060.17</t>
  </si>
  <si>
    <t>UHRF1BP1</t>
  </si>
  <si>
    <t>ENSG00000146197.9</t>
  </si>
  <si>
    <t>SCUBE3</t>
  </si>
  <si>
    <t>ENSG00000065029.15</t>
  </si>
  <si>
    <t>ZNF76</t>
  </si>
  <si>
    <t>ENSG00000112041.13</t>
  </si>
  <si>
    <t>TULP1</t>
  </si>
  <si>
    <t>ENSG00000096060.14</t>
  </si>
  <si>
    <t>FKBP5</t>
  </si>
  <si>
    <t>ENSG00000156711.17</t>
  </si>
  <si>
    <t>MAPK13</t>
  </si>
  <si>
    <t>ENSG00000180316.12</t>
  </si>
  <si>
    <t>PNPLA1</t>
  </si>
  <si>
    <t>ENSG00000010030.14</t>
  </si>
  <si>
    <t>ETV7</t>
  </si>
  <si>
    <t>ENSG00000179165.11</t>
  </si>
  <si>
    <t>PXT1</t>
  </si>
  <si>
    <t>ENSG00000112078.14</t>
  </si>
  <si>
    <t>KCTD20</t>
  </si>
  <si>
    <t>ENSG00000124762.13</t>
  </si>
  <si>
    <t>CDKN1A</t>
  </si>
  <si>
    <t>ENSG00000124772.12</t>
  </si>
  <si>
    <t>CPNE5</t>
  </si>
  <si>
    <t>ENSG00000137193.14</t>
  </si>
  <si>
    <t>PIM1</t>
  </si>
  <si>
    <t>ENSG00000112139.16</t>
  </si>
  <si>
    <t>MDGA1</t>
  </si>
  <si>
    <t>ENSG00000124721.17</t>
  </si>
  <si>
    <t>DNAH8</t>
  </si>
  <si>
    <t>ENSG00000146122.17</t>
  </si>
  <si>
    <t>DAAM2</t>
  </si>
  <si>
    <t>ENSG00000001167.14</t>
  </si>
  <si>
    <t>NFYA</t>
  </si>
  <si>
    <t>ENSG00000161911.11</t>
  </si>
  <si>
    <t>TREML1</t>
  </si>
  <si>
    <t>ENSG00000095970.16</t>
  </si>
  <si>
    <t>TREM2</t>
  </si>
  <si>
    <t>ENSG00000112559.14</t>
  </si>
  <si>
    <t>MDFI</t>
  </si>
  <si>
    <t>ENSG00000112576.12</t>
  </si>
  <si>
    <t>CCND3</t>
  </si>
  <si>
    <t>ENSG00000124496.12</t>
  </si>
  <si>
    <t>TRERF1</t>
  </si>
  <si>
    <t>ENSG00000221821.4</t>
  </si>
  <si>
    <t>C6orf226</t>
  </si>
  <si>
    <t>ENSG00000137161.16</t>
  </si>
  <si>
    <t>CNPY3</t>
  </si>
  <si>
    <t>ENSG00000124713.6</t>
  </si>
  <si>
    <t>GNMT</t>
  </si>
  <si>
    <t>ENSG00000112640.15</t>
  </si>
  <si>
    <t>PPP2R5D</t>
  </si>
  <si>
    <t>ENSG00000112658.8</t>
  </si>
  <si>
    <t>SRF</t>
  </si>
  <si>
    <t>ENSG00000146215.13</t>
  </si>
  <si>
    <t>CRIP3</t>
  </si>
  <si>
    <t>ENSG00000171462.15</t>
  </si>
  <si>
    <t>DLK2</t>
  </si>
  <si>
    <t>ENSG00000204052.4</t>
  </si>
  <si>
    <t>LRRC73</t>
  </si>
  <si>
    <t>ENSG00000170734.11</t>
  </si>
  <si>
    <t>POLH</t>
  </si>
  <si>
    <t>ENSG00000172432.19</t>
  </si>
  <si>
    <t>GTPBP2</t>
  </si>
  <si>
    <t>ENSG00000112715.21</t>
  </si>
  <si>
    <t>VEGFA</t>
  </si>
  <si>
    <t>ENSG00000180992.7</t>
  </si>
  <si>
    <t>MRPL14</t>
  </si>
  <si>
    <t>ENSG00000137216.19</t>
  </si>
  <si>
    <t>TMEM63B</t>
  </si>
  <si>
    <t>ENSG00000262179.2</t>
  </si>
  <si>
    <t>MYMX</t>
  </si>
  <si>
    <t>ENSG00000124813.22</t>
  </si>
  <si>
    <t>RUNX2</t>
  </si>
  <si>
    <t>ENSG00000112782.17</t>
  </si>
  <si>
    <t>CLIC5</t>
  </si>
  <si>
    <t>ENSG00000146233.8</t>
  </si>
  <si>
    <t>CYP39A1</t>
  </si>
  <si>
    <t>ENSG00000153291.16</t>
  </si>
  <si>
    <t>SLC25A27</t>
  </si>
  <si>
    <t>ENSG00000112818.10</t>
  </si>
  <si>
    <t>MEP1A</t>
  </si>
  <si>
    <t>ENSG00000069122.19</t>
  </si>
  <si>
    <t>ADGRF5</t>
  </si>
  <si>
    <t>ENSG00000124818.15</t>
  </si>
  <si>
    <t>OPN5</t>
  </si>
  <si>
    <t>ENSG00000203972.10</t>
  </si>
  <si>
    <t>GLYATL3</t>
  </si>
  <si>
    <t>ENSG00000170927.14</t>
  </si>
  <si>
    <t>PKHD1</t>
  </si>
  <si>
    <t>ENSG00000112118.19</t>
  </si>
  <si>
    <t>MCM3</t>
  </si>
  <si>
    <t>ENSG00000096093.16</t>
  </si>
  <si>
    <t>EFHC1</t>
  </si>
  <si>
    <t>ENSG00000096092.6</t>
  </si>
  <si>
    <t>TMEM14A</t>
  </si>
  <si>
    <t>ENSG00000001084.12</t>
  </si>
  <si>
    <t>GCLC</t>
  </si>
  <si>
    <t>ENSG00000146147.15</t>
  </si>
  <si>
    <t>MLIP</t>
  </si>
  <si>
    <t>ENSG00000124749.17</t>
  </si>
  <si>
    <t>COL21A1</t>
  </si>
  <si>
    <t>ENSG00000151914.20</t>
  </si>
  <si>
    <t>DST</t>
  </si>
  <si>
    <t>ENSG00000112208.11</t>
  </si>
  <si>
    <t>BAG2</t>
  </si>
  <si>
    <t>ENSG00000146166.16</t>
  </si>
  <si>
    <t>LGSN</t>
  </si>
  <si>
    <t>ENSG00000112245.11</t>
  </si>
  <si>
    <t>PTP4A1</t>
  </si>
  <si>
    <t>ENSG00000188107.14</t>
  </si>
  <si>
    <t>EYS</t>
  </si>
  <si>
    <t>ENSG00000082293.13</t>
  </si>
  <si>
    <t>COL19A1</t>
  </si>
  <si>
    <t>ENSG00000112280.16</t>
  </si>
  <si>
    <t>COL9A1</t>
  </si>
  <si>
    <t>ENSG00000154079.6</t>
  </si>
  <si>
    <t>SDHAF4</t>
  </si>
  <si>
    <t>ENSG00000079841.18</t>
  </si>
  <si>
    <t>RIMS1</t>
  </si>
  <si>
    <t>ENSG00000119899.13</t>
  </si>
  <si>
    <t>SLC17A5</t>
  </si>
  <si>
    <t>ENSG00000156535.15</t>
  </si>
  <si>
    <t>CD109</t>
  </si>
  <si>
    <t>ENSG00000111799.21</t>
  </si>
  <si>
    <t>COL12A1</t>
  </si>
  <si>
    <t>ENSG00000118407.15</t>
  </si>
  <si>
    <t>FILIP1</t>
  </si>
  <si>
    <t>ENSG00000196586.14</t>
  </si>
  <si>
    <t>MYO6</t>
  </si>
  <si>
    <t>ENSG00000198478.8</t>
  </si>
  <si>
    <t>SH3BGRL2</t>
  </si>
  <si>
    <t>ENSG00000118402.6</t>
  </si>
  <si>
    <t>ELOVL4</t>
  </si>
  <si>
    <t>ENSG00000112773.16</t>
  </si>
  <si>
    <t>TENT5A</t>
  </si>
  <si>
    <t>ENSG00000065609.14</t>
  </si>
  <si>
    <t>SNAP91</t>
  </si>
  <si>
    <t>ENSG00000135318.12</t>
  </si>
  <si>
    <t>NT5E</t>
  </si>
  <si>
    <t>ENSG00000203872.7</t>
  </si>
  <si>
    <t>C6orf163</t>
  </si>
  <si>
    <t>ENSG00000118432.12</t>
  </si>
  <si>
    <t>CNR1</t>
  </si>
  <si>
    <t>ENSG00000146278.10</t>
  </si>
  <si>
    <t>PNRC1</t>
  </si>
  <si>
    <t>ENSG00000146281.6</t>
  </si>
  <si>
    <t>PM20D2</t>
  </si>
  <si>
    <t>ENSG00000198833.7</t>
  </si>
  <si>
    <t>UBE2J1</t>
  </si>
  <si>
    <t>ENSG00000135299.17</t>
  </si>
  <si>
    <t>ANKRD6</t>
  </si>
  <si>
    <t>ENSG00000112159.12</t>
  </si>
  <si>
    <t>MDN1</t>
  </si>
  <si>
    <t>ENSG00000112182.15</t>
  </si>
  <si>
    <t>BACH2</t>
  </si>
  <si>
    <t>ENSG00000172469.16</t>
  </si>
  <si>
    <t>MANEA</t>
  </si>
  <si>
    <t>ENSG00000184486.9</t>
  </si>
  <si>
    <t>POU3F2</t>
  </si>
  <si>
    <t>ENSG00000112246.9</t>
  </si>
  <si>
    <t>SIM1</t>
  </si>
  <si>
    <t>ENSG00000164418.20</t>
  </si>
  <si>
    <t>GRIK2</t>
  </si>
  <si>
    <t>ENSG00000187772.8</t>
  </si>
  <si>
    <t>LIN28B</t>
  </si>
  <si>
    <t>ENSG00000057657.17</t>
  </si>
  <si>
    <t>PRDM1</t>
  </si>
  <si>
    <t>ENSG00000272398.6</t>
  </si>
  <si>
    <t>CD24</t>
  </si>
  <si>
    <t>ENSG00000130349.10</t>
  </si>
  <si>
    <t>C6orf203</t>
  </si>
  <si>
    <t>ENSG00000178409.13</t>
  </si>
  <si>
    <t>BEND3</t>
  </si>
  <si>
    <t>ENSG00000112320.12</t>
  </si>
  <si>
    <t>SOBP</t>
  </si>
  <si>
    <t>ENSG00000081087.15</t>
  </si>
  <si>
    <t>OSTM1</t>
  </si>
  <si>
    <t>ENSG00000080546.13</t>
  </si>
  <si>
    <t>SESN1</t>
  </si>
  <si>
    <t>ENSG00000135587.9</t>
  </si>
  <si>
    <t>SMPD2</t>
  </si>
  <si>
    <t>ENSG00000004809.14</t>
  </si>
  <si>
    <t>SLC22A16</t>
  </si>
  <si>
    <t>ENSG00000112394.17</t>
  </si>
  <si>
    <t>SLC16A10</t>
  </si>
  <si>
    <t>ENSG00000074935.14</t>
  </si>
  <si>
    <t>TUBE1</t>
  </si>
  <si>
    <t>ENSG00000112769.19</t>
  </si>
  <si>
    <t>LAMA4</t>
  </si>
  <si>
    <t>ENSG00000123500.10</t>
  </si>
  <si>
    <t>COL10A1</t>
  </si>
  <si>
    <t>ENSG00000185002.10</t>
  </si>
  <si>
    <t>RFX6</t>
  </si>
  <si>
    <t>ENSG00000047936.10</t>
  </si>
  <si>
    <t>ROS1</t>
  </si>
  <si>
    <t>ENSG00000196376.11</t>
  </si>
  <si>
    <t>SLC35F1</t>
  </si>
  <si>
    <t>ENSG00000111860.14</t>
  </si>
  <si>
    <t>CEP85L</t>
  </si>
  <si>
    <t>ENSG00000111879.19</t>
  </si>
  <si>
    <t>FAM184A</t>
  </si>
  <si>
    <t>ENSG00000172594.13</t>
  </si>
  <si>
    <t>SMPDL3A</t>
  </si>
  <si>
    <t>ENSG00000186439.13</t>
  </si>
  <si>
    <t>TRDN</t>
  </si>
  <si>
    <t>ENSG00000188580.14</t>
  </si>
  <si>
    <t>NKAIN2</t>
  </si>
  <si>
    <t>ENSG00000146373.16</t>
  </si>
  <si>
    <t>RNF217</t>
  </si>
  <si>
    <t>ENSG00000111912.20</t>
  </si>
  <si>
    <t>NCOA7</t>
  </si>
  <si>
    <t>ENSG00000203760.8</t>
  </si>
  <si>
    <t>CENPW</t>
  </si>
  <si>
    <t>ENSG00000172673.10</t>
  </si>
  <si>
    <t>THEMIS</t>
  </si>
  <si>
    <t>ENSG00000152894.14</t>
  </si>
  <si>
    <t>PTPRK</t>
  </si>
  <si>
    <t>ENSG00000196569.12</t>
  </si>
  <si>
    <t>LAMA2</t>
  </si>
  <si>
    <t>ENSG00000146376.11</t>
  </si>
  <si>
    <t>ARHGAP18</t>
  </si>
  <si>
    <t>ENSG00000164484.11</t>
  </si>
  <si>
    <t>TMEM200A</t>
  </si>
  <si>
    <t>ENSG00000256162.2</t>
  </si>
  <si>
    <t>SMLR1</t>
  </si>
  <si>
    <t>ENSG00000118520.14</t>
  </si>
  <si>
    <t>ARG1</t>
  </si>
  <si>
    <t>ENSG00000154269.15</t>
  </si>
  <si>
    <t>ENPP3</t>
  </si>
  <si>
    <t>ENSG00000197594.13</t>
  </si>
  <si>
    <t>ENPP1</t>
  </si>
  <si>
    <t>ENSG00000112299.8</t>
  </si>
  <si>
    <t>VNN1</t>
  </si>
  <si>
    <t>ENSG00000146409.12</t>
  </si>
  <si>
    <t>SLC18B1</t>
  </si>
  <si>
    <t>ENSG00000112319.19</t>
  </si>
  <si>
    <t>EYA4</t>
  </si>
  <si>
    <t>ENSG00000135541.21</t>
  </si>
  <si>
    <t>AHI1</t>
  </si>
  <si>
    <t>ENSG00000171408.14</t>
  </si>
  <si>
    <t>PDE7B</t>
  </si>
  <si>
    <t>ENSG00000135525.18</t>
  </si>
  <si>
    <t>MAP7</t>
  </si>
  <si>
    <t>ENSG00000197442.10</t>
  </si>
  <si>
    <t>MAP3K5</t>
  </si>
  <si>
    <t>ENSG00000112378.12</t>
  </si>
  <si>
    <t>PERP</t>
  </si>
  <si>
    <t>ENSG00000135540.11</t>
  </si>
  <si>
    <t>NHSL1</t>
  </si>
  <si>
    <t>ENSG00000024862.17</t>
  </si>
  <si>
    <t>CCDC28A</t>
  </si>
  <si>
    <t>ENSG00000203734.11</t>
  </si>
  <si>
    <t>ECT2L</t>
  </si>
  <si>
    <t>ENSG00000112406.5</t>
  </si>
  <si>
    <t>HECA</t>
  </si>
  <si>
    <t>ENSG00000118495.19</t>
  </si>
  <si>
    <t>PLAGL1</t>
  </si>
  <si>
    <t>ENSG00000152822.14</t>
  </si>
  <si>
    <t>GRM1</t>
  </si>
  <si>
    <t>ENSG00000118508.5</t>
  </si>
  <si>
    <t>RAB32</t>
  </si>
  <si>
    <t>ENSG00000118492.17</t>
  </si>
  <si>
    <t>ADGB</t>
  </si>
  <si>
    <t>ENSG00000203727.4</t>
  </si>
  <si>
    <t>SAMD5</t>
  </si>
  <si>
    <t>ENSG00000111962.8</t>
  </si>
  <si>
    <t>UST</t>
  </si>
  <si>
    <t>ENSG00000198729.5</t>
  </si>
  <si>
    <t>PPP1R14C</t>
  </si>
  <si>
    <t>ENSG00000009765.14</t>
  </si>
  <si>
    <t>IYD</t>
  </si>
  <si>
    <t>ENSG00000120278.16</t>
  </si>
  <si>
    <t>PLEKHG1</t>
  </si>
  <si>
    <t>ENSG00000120254.15</t>
  </si>
  <si>
    <t>MTHFD1L</t>
  </si>
  <si>
    <t>ENSG00000091831.23</t>
  </si>
  <si>
    <t>ESR1</t>
  </si>
  <si>
    <t>ENSG00000131018.23</t>
  </si>
  <si>
    <t>SYNE1</t>
  </si>
  <si>
    <t>ENSG00000120279.6</t>
  </si>
  <si>
    <t>MYCT1</t>
  </si>
  <si>
    <t>ENSG00000112029.10</t>
  </si>
  <si>
    <t>FBXO5</t>
  </si>
  <si>
    <t>ENSG00000112038.18</t>
  </si>
  <si>
    <t>OPRM1</t>
  </si>
  <si>
    <t>ENSG00000029639.11</t>
  </si>
  <si>
    <t>TFB1M</t>
  </si>
  <si>
    <t>ENSG00000175048.17</t>
  </si>
  <si>
    <t>ZDHHC14</t>
  </si>
  <si>
    <t>ENSG00000130340.15</t>
  </si>
  <si>
    <t>SNX9</t>
  </si>
  <si>
    <t>ENSG00000146425.11</t>
  </si>
  <si>
    <t>DYNLT1</t>
  </si>
  <si>
    <t>ENSG00000164694.17</t>
  </si>
  <si>
    <t>FNDC1</t>
  </si>
  <si>
    <t>ENSG00000112096.18</t>
  </si>
  <si>
    <t>SOD2</t>
  </si>
  <si>
    <t>ENSG00000120437.8</t>
  </si>
  <si>
    <t>ACAT2</t>
  </si>
  <si>
    <t>ENSG00000146477.6</t>
  </si>
  <si>
    <t>SLC22A3</t>
  </si>
  <si>
    <t>ENSG00000198670.11</t>
  </si>
  <si>
    <t>LPA</t>
  </si>
  <si>
    <t>ENSG00000085511.20</t>
  </si>
  <si>
    <t>MAP3K4</t>
  </si>
  <si>
    <t>ENSG00000026652.14</t>
  </si>
  <si>
    <t>AGPAT4</t>
  </si>
  <si>
    <t>ENSG00000112530.11</t>
  </si>
  <si>
    <t>PACRG</t>
  </si>
  <si>
    <t>ENSG00000112541.14</t>
  </si>
  <si>
    <t>PDE10A</t>
  </si>
  <si>
    <t>ENSG00000071242.12</t>
  </si>
  <si>
    <t>RPS6KA2</t>
  </si>
  <si>
    <t>ENSG00000026297.15</t>
  </si>
  <si>
    <t>RNASET2</t>
  </si>
  <si>
    <t>ENSG00000166984.11</t>
  </si>
  <si>
    <t>TCP10L2</t>
  </si>
  <si>
    <t>ENSG00000112494.10</t>
  </si>
  <si>
    <t>UNC93A</t>
  </si>
  <si>
    <t>ENSG00000153303.17</t>
  </si>
  <si>
    <t>FRMD1</t>
  </si>
  <si>
    <t>ENSG00000112562.18</t>
  </si>
  <si>
    <t>SMOC2</t>
  </si>
  <si>
    <t>ENSG00000130023.16</t>
  </si>
  <si>
    <t>ERMARD</t>
  </si>
  <si>
    <t>ENSG00000177706.9</t>
  </si>
  <si>
    <t>FAM20C</t>
  </si>
  <si>
    <t>ENSG00000164818.16</t>
  </si>
  <si>
    <t>DNAAF5</t>
  </si>
  <si>
    <t>ENSG00000073067.14</t>
  </si>
  <si>
    <t>CYP2W1</t>
  </si>
  <si>
    <t>ENSG00000164849.10</t>
  </si>
  <si>
    <t>GPR146</t>
  </si>
  <si>
    <t>ENSG00000164850.15</t>
  </si>
  <si>
    <t>GPER1</t>
  </si>
  <si>
    <t>ENSG00000164877.19</t>
  </si>
  <si>
    <t>MICALL2</t>
  </si>
  <si>
    <t>ENSG00000164855.16</t>
  </si>
  <si>
    <t>TMEM184A</t>
  </si>
  <si>
    <t>ENSG00000225968.7</t>
  </si>
  <si>
    <t>ELFN1</t>
  </si>
  <si>
    <t>ENSG00000157927.16</t>
  </si>
  <si>
    <t>RADIL</t>
  </si>
  <si>
    <t>ENSG00000164638.10</t>
  </si>
  <si>
    <t>SLC29A4</t>
  </si>
  <si>
    <t>ENSG00000182095.14</t>
  </si>
  <si>
    <t>TNRC18</t>
  </si>
  <si>
    <t>ENSG00000075624.15</t>
  </si>
  <si>
    <t>ACTB</t>
  </si>
  <si>
    <t>ENSG00000136240.10</t>
  </si>
  <si>
    <t>KDELR2</t>
  </si>
  <si>
    <t>ENSG00000236609.4</t>
  </si>
  <si>
    <t>ZNF853</t>
  </si>
  <si>
    <t>ENSG00000106392.10</t>
  </si>
  <si>
    <t>C1GALT1</t>
  </si>
  <si>
    <t>ENSG00000215018.9</t>
  </si>
  <si>
    <t>COL28A1</t>
  </si>
  <si>
    <t>ENSG00000106415.13</t>
  </si>
  <si>
    <t>GLCCI1</t>
  </si>
  <si>
    <t>ENSG00000003147.19</t>
  </si>
  <si>
    <t>ICA1</t>
  </si>
  <si>
    <t>ENSG00000136267.13</t>
  </si>
  <si>
    <t>DGKB</t>
  </si>
  <si>
    <t>ENSG00000214960.10</t>
  </si>
  <si>
    <t>ISPD</t>
  </si>
  <si>
    <t>ENSG00000048052.21</t>
  </si>
  <si>
    <t>HDAC9</t>
  </si>
  <si>
    <t>ENSG00000105877.18</t>
  </si>
  <si>
    <t>DNAH11</t>
  </si>
  <si>
    <t>ENSG00000164649.20</t>
  </si>
  <si>
    <t>CDCA7L</t>
  </si>
  <si>
    <t>ENSG00000196683.10</t>
  </si>
  <si>
    <t>TOMM7</t>
  </si>
  <si>
    <t>ENSG00000122550.18</t>
  </si>
  <si>
    <t>KLHL7</t>
  </si>
  <si>
    <t>ENSG00000196335.13</t>
  </si>
  <si>
    <t>STK31</t>
  </si>
  <si>
    <t>ENSG00000105926.15</t>
  </si>
  <si>
    <t>MPP6</t>
  </si>
  <si>
    <t>ENSG00000105928.15</t>
  </si>
  <si>
    <t>GSDME</t>
  </si>
  <si>
    <t>ENSG00000070882.13</t>
  </si>
  <si>
    <t>OSBPL3</t>
  </si>
  <si>
    <t>ENSG00000050344.9</t>
  </si>
  <si>
    <t>NFE2L3</t>
  </si>
  <si>
    <t>ENSG00000122592.8</t>
  </si>
  <si>
    <t>HOXA7</t>
  </si>
  <si>
    <t>ENSG00000078399.18</t>
  </si>
  <si>
    <t>HOXA9</t>
  </si>
  <si>
    <t>ENSG00000253293.5</t>
  </si>
  <si>
    <t>HOXA10</t>
  </si>
  <si>
    <t>ENSG00000005073.5</t>
  </si>
  <si>
    <t>HOXA11</t>
  </si>
  <si>
    <t>ENSG00000153814.13</t>
  </si>
  <si>
    <t>JAZF1</t>
  </si>
  <si>
    <t>ENSG00000122574.10</t>
  </si>
  <si>
    <t>WIPF3</t>
  </si>
  <si>
    <t>ENSG00000106080.10</t>
  </si>
  <si>
    <t>FKBP14</t>
  </si>
  <si>
    <t>ENSG00000106100.11</t>
  </si>
  <si>
    <t>NOD1</t>
  </si>
  <si>
    <t>ENSG00000106105.14</t>
  </si>
  <si>
    <t>GARS</t>
  </si>
  <si>
    <t>ENSG00000180347.13</t>
  </si>
  <si>
    <t>ITPRID1</t>
  </si>
  <si>
    <t>ENSG00000154678.17</t>
  </si>
  <si>
    <t>PDE1C</t>
  </si>
  <si>
    <t>ENSG00000155849.15</t>
  </si>
  <si>
    <t>ELMO1</t>
  </si>
  <si>
    <t>ENSG00000106483.12</t>
  </si>
  <si>
    <t>SFRP4</t>
  </si>
  <si>
    <t>ENSG00000078053.17</t>
  </si>
  <si>
    <t>AMPH</t>
  </si>
  <si>
    <t>ENSG00000106536.19</t>
  </si>
  <si>
    <t>POU6F2</t>
  </si>
  <si>
    <t>ENSG00000175600.15</t>
  </si>
  <si>
    <t>SUGCT</t>
  </si>
  <si>
    <t>ENSG00000106571.14</t>
  </si>
  <si>
    <t>GLI3</t>
  </si>
  <si>
    <t>ENSG00000002746.15</t>
  </si>
  <si>
    <t>HECW1</t>
  </si>
  <si>
    <t>ENSG00000078967.13</t>
  </si>
  <si>
    <t>UBE2D4</t>
  </si>
  <si>
    <t>ENSG00000106628.10</t>
  </si>
  <si>
    <t>POLD2</t>
  </si>
  <si>
    <t>ENSG00000058404.20</t>
  </si>
  <si>
    <t>CAMK2B</t>
  </si>
  <si>
    <t>ENSG00000015520.14</t>
  </si>
  <si>
    <t>NPC1L1</t>
  </si>
  <si>
    <t>ENSG00000136286.16</t>
  </si>
  <si>
    <t>MYO1G</t>
  </si>
  <si>
    <t>ENSG00000136274.9</t>
  </si>
  <si>
    <t>NACAD</t>
  </si>
  <si>
    <t>ENSG00000164742.16</t>
  </si>
  <si>
    <t>ADCY1</t>
  </si>
  <si>
    <t>ENSG00000283247.2</t>
  </si>
  <si>
    <t>AC096582.3</t>
  </si>
  <si>
    <t>ENSG00000146678.10</t>
  </si>
  <si>
    <t>IGFBP1</t>
  </si>
  <si>
    <t>ENSG00000146674.15</t>
  </si>
  <si>
    <t>IGFBP3</t>
  </si>
  <si>
    <t>ENSG00000158683.8</t>
  </si>
  <si>
    <t>PKD1L1</t>
  </si>
  <si>
    <t>ENSG00000164746.14</t>
  </si>
  <si>
    <t>C7orf57</t>
  </si>
  <si>
    <t>ENSG00000179869.15</t>
  </si>
  <si>
    <t>ABCA13</t>
  </si>
  <si>
    <t>ENSG00000132437.18</t>
  </si>
  <si>
    <t>DDC</t>
  </si>
  <si>
    <t>ENSG00000106070.19</t>
  </si>
  <si>
    <t>GRB10</t>
  </si>
  <si>
    <t>ENSG00000185290.4</t>
  </si>
  <si>
    <t>NUPR2</t>
  </si>
  <si>
    <t>ENSG00000152926.14</t>
  </si>
  <si>
    <t>ZNF117</t>
  </si>
  <si>
    <t>ENSG00000196715.7</t>
  </si>
  <si>
    <t>VKORC1L1</t>
  </si>
  <si>
    <t>ENSG00000155428.12</t>
  </si>
  <si>
    <t>TRIM74</t>
  </si>
  <si>
    <t>ENSG00000106635.8</t>
  </si>
  <si>
    <t>BCL7B</t>
  </si>
  <si>
    <t>ENSG00000009950.16</t>
  </si>
  <si>
    <t>MLXIPL</t>
  </si>
  <si>
    <t>ENSG00000176428.6</t>
  </si>
  <si>
    <t>VPS37D</t>
  </si>
  <si>
    <t>ENSG00000165171.11</t>
  </si>
  <si>
    <t>METTL27</t>
  </si>
  <si>
    <t>ENSG00000106683.15</t>
  </si>
  <si>
    <t>LIMK1</t>
  </si>
  <si>
    <t>ENSG00000086730.17</t>
  </si>
  <si>
    <t>LAT2</t>
  </si>
  <si>
    <t>ENSG00000049541.11</t>
  </si>
  <si>
    <t>RFC2</t>
  </si>
  <si>
    <t>ENSG00000006704.10</t>
  </si>
  <si>
    <t>GTF2IRD1</t>
  </si>
  <si>
    <t>ENSG00000274523.5</t>
  </si>
  <si>
    <t>RCC1L</t>
  </si>
  <si>
    <t>ENSG00000178809.11</t>
  </si>
  <si>
    <t>TRIM73</t>
  </si>
  <si>
    <t>ENSG00000127952.17</t>
  </si>
  <si>
    <t>STYXL1</t>
  </si>
  <si>
    <t>ENSG00000177679.16</t>
  </si>
  <si>
    <t>SRRM3</t>
  </si>
  <si>
    <t>ENSG00000146707.14</t>
  </si>
  <si>
    <t>POMZP3</t>
  </si>
  <si>
    <t>ENSG00000187391.21</t>
  </si>
  <si>
    <t>MAGI2</t>
  </si>
  <si>
    <t>ENSG00000127955.17</t>
  </si>
  <si>
    <t>GNAI1</t>
  </si>
  <si>
    <t>ENSG00000135218.19</t>
  </si>
  <si>
    <t>CD36</t>
  </si>
  <si>
    <t>ENSG00000153956.16</t>
  </si>
  <si>
    <t>CACNA2D1</t>
  </si>
  <si>
    <t>ENSG00000186472.20</t>
  </si>
  <si>
    <t>PCLO</t>
  </si>
  <si>
    <t>ENSG00000170381.14</t>
  </si>
  <si>
    <t>SEMA3E</t>
  </si>
  <si>
    <t>ENSG00000164659.15</t>
  </si>
  <si>
    <t>KIAA1324L</t>
  </si>
  <si>
    <t>ENSG00000005469.11</t>
  </si>
  <si>
    <t>CROT</t>
  </si>
  <si>
    <t>ENSG00000085563.14</t>
  </si>
  <si>
    <t>ABCB1</t>
  </si>
  <si>
    <t>ENSG00000075303.13</t>
  </si>
  <si>
    <t>SLC25A40</t>
  </si>
  <si>
    <t>ENSG00000006634.8</t>
  </si>
  <si>
    <t>DBF4</t>
  </si>
  <si>
    <t>ENSG00000008277.14</t>
  </si>
  <si>
    <t>ADAM22</t>
  </si>
  <si>
    <t>ENSG00000164647.9</t>
  </si>
  <si>
    <t>STEAP1</t>
  </si>
  <si>
    <t>ENSG00000157224.16</t>
  </si>
  <si>
    <t>CLDN12</t>
  </si>
  <si>
    <t>ENSG00000157240.3</t>
  </si>
  <si>
    <t>FZD1</t>
  </si>
  <si>
    <t>ENSG00000127914.16</t>
  </si>
  <si>
    <t>AKAP9</t>
  </si>
  <si>
    <t>ENSG00000001630.17</t>
  </si>
  <si>
    <t>CYP51A1</t>
  </si>
  <si>
    <t>ENSG00000127980.16</t>
  </si>
  <si>
    <t>PEX1</t>
  </si>
  <si>
    <t>ENSG00000188175.9</t>
  </si>
  <si>
    <t>HEPACAM2</t>
  </si>
  <si>
    <t>ENSG00000004948.14</t>
  </si>
  <si>
    <t>CALCR</t>
  </si>
  <si>
    <t>ENSG00000105825.13</t>
  </si>
  <si>
    <t>TFPI2</t>
  </si>
  <si>
    <t>ENSG00000005981.13</t>
  </si>
  <si>
    <t>ASB4</t>
  </si>
  <si>
    <t>ENSG00000158560.14</t>
  </si>
  <si>
    <t>DYNC1I1</t>
  </si>
  <si>
    <t>ENSG00000070669.17</t>
  </si>
  <si>
    <t>ASNS</t>
  </si>
  <si>
    <t>ENSG00000180535.3</t>
  </si>
  <si>
    <t>BHLHA15</t>
  </si>
  <si>
    <t>ENSG00000160917.15</t>
  </si>
  <si>
    <t>CPSF4</t>
  </si>
  <si>
    <t>ENSG00000106258.15</t>
  </si>
  <si>
    <t>CYP3A5</t>
  </si>
  <si>
    <t>ENSG00000160870.14</t>
  </si>
  <si>
    <t>CYP3A7</t>
  </si>
  <si>
    <t>ENSG00000160868.15</t>
  </si>
  <si>
    <t>CYP3A4</t>
  </si>
  <si>
    <t>ENSG00000021461.16</t>
  </si>
  <si>
    <t>CYP3A43</t>
  </si>
  <si>
    <t>ENSG00000160862.13</t>
  </si>
  <si>
    <t>AZGP1</t>
  </si>
  <si>
    <t>ENSG00000166508.17</t>
  </si>
  <si>
    <t>MCM7</t>
  </si>
  <si>
    <t>ENSG00000166997.8</t>
  </si>
  <si>
    <t>CNPY4</t>
  </si>
  <si>
    <t>ENSG00000197093.11</t>
  </si>
  <si>
    <t>GAL3ST4</t>
  </si>
  <si>
    <t>ENSG00000239521.8</t>
  </si>
  <si>
    <t>CASTOR3</t>
  </si>
  <si>
    <t>ENSG00000166924.9</t>
  </si>
  <si>
    <t>NYAP1</t>
  </si>
  <si>
    <t>ENSG00000106351.13</t>
  </si>
  <si>
    <t>AGFG2</t>
  </si>
  <si>
    <t>ENSG00000106333.13</t>
  </si>
  <si>
    <t>PCOLCE</t>
  </si>
  <si>
    <t>ENSG00000106327.13</t>
  </si>
  <si>
    <t>TFR2</t>
  </si>
  <si>
    <t>ENSG00000172336.5</t>
  </si>
  <si>
    <t>POP7</t>
  </si>
  <si>
    <t>ENSG00000130427.3</t>
  </si>
  <si>
    <t>EPO</t>
  </si>
  <si>
    <t>ENSG00000087087.20</t>
  </si>
  <si>
    <t>SRRT</t>
  </si>
  <si>
    <t>ENSG00000087085.15</t>
  </si>
  <si>
    <t>ACHE</t>
  </si>
  <si>
    <t>ENSG00000205277.9</t>
  </si>
  <si>
    <t>MUC12</t>
  </si>
  <si>
    <t>ENSG00000169876.13</t>
  </si>
  <si>
    <t>MUC17</t>
  </si>
  <si>
    <t>ENSG00000106366.8</t>
  </si>
  <si>
    <t>SERPINE1</t>
  </si>
  <si>
    <t>ENSG00000106384.12</t>
  </si>
  <si>
    <t>MOGAT3</t>
  </si>
  <si>
    <t>ENSG00000160963.14</t>
  </si>
  <si>
    <t>COL26A1</t>
  </si>
  <si>
    <t>ENSG00000160991.16</t>
  </si>
  <si>
    <t>ORAI2</t>
  </si>
  <si>
    <t>ENSG00000222011.9</t>
  </si>
  <si>
    <t>FAM185A</t>
  </si>
  <si>
    <t>ENSG00000185055.11</t>
  </si>
  <si>
    <t>EFCAB10</t>
  </si>
  <si>
    <t>ENSG00000253276.3</t>
  </si>
  <si>
    <t>CCDC71L</t>
  </si>
  <si>
    <t>ENSG00000005249.13</t>
  </si>
  <si>
    <t>PRKAR2B</t>
  </si>
  <si>
    <t>ENSG00000105856.14</t>
  </si>
  <si>
    <t>HBP1</t>
  </si>
  <si>
    <t>ENSG00000091128.13</t>
  </si>
  <si>
    <t>LAMB4</t>
  </si>
  <si>
    <t>ENSG00000091129.20</t>
  </si>
  <si>
    <t>NRCAM</t>
  </si>
  <si>
    <t>ENSG00000173114.13</t>
  </si>
  <si>
    <t>LRRN3</t>
  </si>
  <si>
    <t>ENSG00000135272.10</t>
  </si>
  <si>
    <t>MDFIC</t>
  </si>
  <si>
    <t>ENSG00000105967.16</t>
  </si>
  <si>
    <t>TFEC</t>
  </si>
  <si>
    <t>ENSG00000105971.15</t>
  </si>
  <si>
    <t>CAV2</t>
  </si>
  <si>
    <t>ENSG00000105976.15</t>
  </si>
  <si>
    <t>MET</t>
  </si>
  <si>
    <t>ENSG00000004866.20</t>
  </si>
  <si>
    <t>ST7</t>
  </si>
  <si>
    <t>ENSG00000001626.15</t>
  </si>
  <si>
    <t>CFTR</t>
  </si>
  <si>
    <t>ENSG00000184408.10</t>
  </si>
  <si>
    <t>KCND2</t>
  </si>
  <si>
    <t>ENSG00000106034.18</t>
  </si>
  <si>
    <t>CPED1</t>
  </si>
  <si>
    <t>ENSG00000106278.12</t>
  </si>
  <si>
    <t>PTPRZ1</t>
  </si>
  <si>
    <t>ENSG00000008311.15</t>
  </si>
  <si>
    <t>AASS</t>
  </si>
  <si>
    <t>ENSG00000164675.11</t>
  </si>
  <si>
    <t>IQUB</t>
  </si>
  <si>
    <t>ENSG00000146809.13</t>
  </si>
  <si>
    <t>ASB15</t>
  </si>
  <si>
    <t>ENSG00000179603.17</t>
  </si>
  <si>
    <t>GRM8</t>
  </si>
  <si>
    <t>ENSG00000197157.11</t>
  </si>
  <si>
    <t>SND1</t>
  </si>
  <si>
    <t>ENSG00000205085.11</t>
  </si>
  <si>
    <t>FAM71F2</t>
  </si>
  <si>
    <t>ENSG00000128596.17</t>
  </si>
  <si>
    <t>CCDC136</t>
  </si>
  <si>
    <t>ENSG00000135253.13</t>
  </si>
  <si>
    <t>KCP</t>
  </si>
  <si>
    <t>ENSG00000158457.6</t>
  </si>
  <si>
    <t>TSPAN33</t>
  </si>
  <si>
    <t>ENSG00000128602.10</t>
  </si>
  <si>
    <t>SMO</t>
  </si>
  <si>
    <t>ENSG00000106459.15</t>
  </si>
  <si>
    <t>NRF1</t>
  </si>
  <si>
    <t>ENSG00000186591.12</t>
  </si>
  <si>
    <t>UBE2H</t>
  </si>
  <si>
    <t>ENSG00000158516.12</t>
  </si>
  <si>
    <t>CPA2</t>
  </si>
  <si>
    <t>ENSG00000128510.12</t>
  </si>
  <si>
    <t>CPA4</t>
  </si>
  <si>
    <t>ENSG00000158525.15</t>
  </si>
  <si>
    <t>CPA5</t>
  </si>
  <si>
    <t>ENSG00000091704.10</t>
  </si>
  <si>
    <t>CPA1</t>
  </si>
  <si>
    <t>ENSG00000128567.17</t>
  </si>
  <si>
    <t>PODXL</t>
  </si>
  <si>
    <t>ENSG00000221866.9</t>
  </si>
  <si>
    <t>PLXNA4</t>
  </si>
  <si>
    <t>ENSG00000164707.15</t>
  </si>
  <si>
    <t>SLC13A4</t>
  </si>
  <si>
    <t>ENSG00000157680.15</t>
  </si>
  <si>
    <t>DGKI</t>
  </si>
  <si>
    <t>ENSG00000182158.15</t>
  </si>
  <si>
    <t>CREB3L2</t>
  </si>
  <si>
    <t>ENSG00000122787.15</t>
  </si>
  <si>
    <t>AKR1D1</t>
  </si>
  <si>
    <t>ENSG00000122778.9</t>
  </si>
  <si>
    <t>KIAA1549</t>
  </si>
  <si>
    <t>ENSG00000146858.8</t>
  </si>
  <si>
    <t>ZC3HAV1L</t>
  </si>
  <si>
    <t>ENSG00000105948.13</t>
  </si>
  <si>
    <t>TTC26</t>
  </si>
  <si>
    <t>ENSG00000064393.16</t>
  </si>
  <si>
    <t>HIPK2</t>
  </si>
  <si>
    <t>ENSG00000059378.12</t>
  </si>
  <si>
    <t>PARP12</t>
  </si>
  <si>
    <t>ENSG00000146966.13</t>
  </si>
  <si>
    <t>DENND2A</t>
  </si>
  <si>
    <t>ENSG00000133597.11</t>
  </si>
  <si>
    <t>ADCK2</t>
  </si>
  <si>
    <t>ENSG00000257093.7</t>
  </si>
  <si>
    <t>KIAA1147</t>
  </si>
  <si>
    <t>ENSG00000197993.9</t>
  </si>
  <si>
    <t>KEL</t>
  </si>
  <si>
    <t>ENSG00000159840.16</t>
  </si>
  <si>
    <t>ZYX</t>
  </si>
  <si>
    <t>ENSG00000146904.9</t>
  </si>
  <si>
    <t>EPHA1</t>
  </si>
  <si>
    <t>ENSG00000155660.11</t>
  </si>
  <si>
    <t>PDIA4</t>
  </si>
  <si>
    <t>ENSG00000204947.9</t>
  </si>
  <si>
    <t>ZNF425</t>
  </si>
  <si>
    <t>ENSG00000133619.17</t>
  </si>
  <si>
    <t>KRBA1</t>
  </si>
  <si>
    <t>ENSG00000181444.13</t>
  </si>
  <si>
    <t>ZNF467</t>
  </si>
  <si>
    <t>ENSG00000197558.11</t>
  </si>
  <si>
    <t>SSPO</t>
  </si>
  <si>
    <t>ENSG00000171130.18</t>
  </si>
  <si>
    <t>ATP6V0E2</t>
  </si>
  <si>
    <t>ENSG00000106538.10</t>
  </si>
  <si>
    <t>RARRES2</t>
  </si>
  <si>
    <t>ENSG00000214022.11</t>
  </si>
  <si>
    <t>REPIN1</t>
  </si>
  <si>
    <t>ENSG00000164885.13</t>
  </si>
  <si>
    <t>CDK5</t>
  </si>
  <si>
    <t>ENSG00000164897.13</t>
  </si>
  <si>
    <t>TMUB1</t>
  </si>
  <si>
    <t>ENSG00000278685.4</t>
  </si>
  <si>
    <t>IQCA1L</t>
  </si>
  <si>
    <t>ENSG00000082014.16</t>
  </si>
  <si>
    <t>SMARCD3</t>
  </si>
  <si>
    <t>ENSG00000106617.14</t>
  </si>
  <si>
    <t>PRKAG2</t>
  </si>
  <si>
    <t>ENSG00000178234.13</t>
  </si>
  <si>
    <t>GALNT11</t>
  </si>
  <si>
    <t>ENSG00000130675.15</t>
  </si>
  <si>
    <t>MNX1</t>
  </si>
  <si>
    <t>ENSG00000117868.16</t>
  </si>
  <si>
    <t>ESYT2</t>
  </si>
  <si>
    <t>ENSG00000172748.14</t>
  </si>
  <si>
    <t>ZNF596</t>
  </si>
  <si>
    <t>ENSG00000198010.12</t>
  </si>
  <si>
    <t>DLGAP2</t>
  </si>
  <si>
    <t>ENSG00000182372.9</t>
  </si>
  <si>
    <t>CLN8</t>
  </si>
  <si>
    <t>ENSG00000183117.19</t>
  </si>
  <si>
    <t>CSMD1</t>
  </si>
  <si>
    <t>ENSG00000164825.4</t>
  </si>
  <si>
    <t>DEFB1</t>
  </si>
  <si>
    <t>ENSG00000253649.5</t>
  </si>
  <si>
    <t>PRSS51</t>
  </si>
  <si>
    <t>ENSG00000171056.8</t>
  </si>
  <si>
    <t>SOX7</t>
  </si>
  <si>
    <t>ENSG00000171044.10</t>
  </si>
  <si>
    <t>XKR6</t>
  </si>
  <si>
    <t>ENSG00000136574.17</t>
  </si>
  <si>
    <t>GATA4</t>
  </si>
  <si>
    <t>ENSG00000154328.16</t>
  </si>
  <si>
    <t>NEIL2</t>
  </si>
  <si>
    <t>ENSG00000250305.9</t>
  </si>
  <si>
    <t>TRMT9B</t>
  </si>
  <si>
    <t>ENSG00000003987.14</t>
  </si>
  <si>
    <t>MTMR7</t>
  </si>
  <si>
    <t>ENSG00000104611.12</t>
  </si>
  <si>
    <t>SH2D4A</t>
  </si>
  <si>
    <t>ENSG00000147408.14</t>
  </si>
  <si>
    <t>CSGALNACT1</t>
  </si>
  <si>
    <t>ENSG00000275074.2</t>
  </si>
  <si>
    <t>NUDT18</t>
  </si>
  <si>
    <t>ENSG00000168487.19</t>
  </si>
  <si>
    <t>BMP1</t>
  </si>
  <si>
    <t>ENSG00000168490.14</t>
  </si>
  <si>
    <t>PHYHIP</t>
  </si>
  <si>
    <t>ENSG00000104635.14</t>
  </si>
  <si>
    <t>SLC39A14</t>
  </si>
  <si>
    <t>ENSG00000120910.14</t>
  </si>
  <si>
    <t>PPP3CC</t>
  </si>
  <si>
    <t>ENSG00000120896.13</t>
  </si>
  <si>
    <t>SORBS3</t>
  </si>
  <si>
    <t>ENSG00000120913.23</t>
  </si>
  <si>
    <t>PDLIM2</t>
  </si>
  <si>
    <t>ENSG00000241852.10</t>
  </si>
  <si>
    <t>C8orf58</t>
  </si>
  <si>
    <t>ENSG00000120889.13</t>
  </si>
  <si>
    <t>TNFRSF10B</t>
  </si>
  <si>
    <t>ENSG00000104689.9</t>
  </si>
  <si>
    <t>TNFRSF10A</t>
  </si>
  <si>
    <t>ENSG00000134013.15</t>
  </si>
  <si>
    <t>LOXL2</t>
  </si>
  <si>
    <t>ENSG00000147454.14</t>
  </si>
  <si>
    <t>SLC25A37</t>
  </si>
  <si>
    <t>ENSG00000042980.12</t>
  </si>
  <si>
    <t>ADAM28</t>
  </si>
  <si>
    <t>ENSG00000221818.9</t>
  </si>
  <si>
    <t>EBF2</t>
  </si>
  <si>
    <t>ENSG00000092964.18</t>
  </si>
  <si>
    <t>DPYSL2</t>
  </si>
  <si>
    <t>ENSG00000120899.18</t>
  </si>
  <si>
    <t>PTK2B</t>
  </si>
  <si>
    <t>ENSG00000120903.13</t>
  </si>
  <si>
    <t>CHRNA2</t>
  </si>
  <si>
    <t>ENSG00000120915.13</t>
  </si>
  <si>
    <t>EPHX2</t>
  </si>
  <si>
    <t>ENSG00000120885.21</t>
  </si>
  <si>
    <t>CLU</t>
  </si>
  <si>
    <t>ENSG00000168077.14</t>
  </si>
  <si>
    <t>SCARA3</t>
  </si>
  <si>
    <t>ENSG00000168078.10</t>
  </si>
  <si>
    <t>PBK</t>
  </si>
  <si>
    <t>ENSG00000168079.17</t>
  </si>
  <si>
    <t>SCARA5</t>
  </si>
  <si>
    <t>ENSG00000189233.12</t>
  </si>
  <si>
    <t>NUGGC</t>
  </si>
  <si>
    <t>ENSG00000186918.14</t>
  </si>
  <si>
    <t>ZNF395</t>
  </si>
  <si>
    <t>ENSG00000104290.11</t>
  </si>
  <si>
    <t>FZD3</t>
  </si>
  <si>
    <t>ENSG00000177669.3</t>
  </si>
  <si>
    <t>MBOAT4</t>
  </si>
  <si>
    <t>ENSG00000157110.16</t>
  </si>
  <si>
    <t>RBPMS</t>
  </si>
  <si>
    <t>ENSG00000253457.2</t>
  </si>
  <si>
    <t>SMIM18</t>
  </si>
  <si>
    <t>ENSG00000104687.14</t>
  </si>
  <si>
    <t>GSR</t>
  </si>
  <si>
    <t>ENSG00000133863.8</t>
  </si>
  <si>
    <t>TEX15</t>
  </si>
  <si>
    <t>ENSG00000157168.19</t>
  </si>
  <si>
    <t>NRG1</t>
  </si>
  <si>
    <t>ENSG00000172728.15</t>
  </si>
  <si>
    <t>FUT10</t>
  </si>
  <si>
    <t>ENSG00000215262.8</t>
  </si>
  <si>
    <t>KCNU1</t>
  </si>
  <si>
    <t>ENSG00000020181.17</t>
  </si>
  <si>
    <t>ADGRA2</t>
  </si>
  <si>
    <t>ENSG00000187840.5</t>
  </si>
  <si>
    <t>EIF4EBP1</t>
  </si>
  <si>
    <t>ENSG00000147465.11</t>
  </si>
  <si>
    <t>STAR</t>
  </si>
  <si>
    <t>ENSG00000165046.12</t>
  </si>
  <si>
    <t>LETM2</t>
  </si>
  <si>
    <t>ENSG00000077782.20</t>
  </si>
  <si>
    <t>FGFR1</t>
  </si>
  <si>
    <t>ENSG00000169499.15</t>
  </si>
  <si>
    <t>PLEKHA2</t>
  </si>
  <si>
    <t>ENSG00000169495.5</t>
  </si>
  <si>
    <t>HTRA4</t>
  </si>
  <si>
    <t>ENSG00000029534.20</t>
  </si>
  <si>
    <t>ANK1</t>
  </si>
  <si>
    <t>ENSG00000176209.11</t>
  </si>
  <si>
    <t>SMIM19</t>
  </si>
  <si>
    <t>ENSG00000147434.8</t>
  </si>
  <si>
    <t>CHRNA6</t>
  </si>
  <si>
    <t>ENSG00000221869.4</t>
  </si>
  <si>
    <t>CEBPD</t>
  </si>
  <si>
    <t>ENSG00000104738.17</t>
  </si>
  <si>
    <t>MCM4</t>
  </si>
  <si>
    <t>ENSG00000019549.12</t>
  </si>
  <si>
    <t>SNAI2</t>
  </si>
  <si>
    <t>ENSG00000147488.11</t>
  </si>
  <si>
    <t>ST18</t>
  </si>
  <si>
    <t>ENSG00000147509.14</t>
  </si>
  <si>
    <t>RGS20</t>
  </si>
  <si>
    <t>ENSG00000104237.10</t>
  </si>
  <si>
    <t>RP1</t>
  </si>
  <si>
    <t>ENSG00000167904.15</t>
  </si>
  <si>
    <t>TMEM68</t>
  </si>
  <si>
    <t>ENSG00000137574.10</t>
  </si>
  <si>
    <t>TGS1</t>
  </si>
  <si>
    <t>ENSG00000254087.8</t>
  </si>
  <si>
    <t>LYN</t>
  </si>
  <si>
    <t>ENSG00000170786.12</t>
  </si>
  <si>
    <t>SDR16C5</t>
  </si>
  <si>
    <t>ENSG00000169122.11</t>
  </si>
  <si>
    <t>FAM110B</t>
  </si>
  <si>
    <t>ENSG00000035681.9</t>
  </si>
  <si>
    <t>NSMAF</t>
  </si>
  <si>
    <t>ENSG00000172817.4</t>
  </si>
  <si>
    <t>CYP7B1</t>
  </si>
  <si>
    <t>ENSG00000066855.16</t>
  </si>
  <si>
    <t>MTFR1</t>
  </si>
  <si>
    <t>ENSG00000147573.17</t>
  </si>
  <si>
    <t>TRIM55</t>
  </si>
  <si>
    <t>ENSG00000179041.4</t>
  </si>
  <si>
    <t>RRS1</t>
  </si>
  <si>
    <t>ENSG00000104205.14</t>
  </si>
  <si>
    <t>SGK3</t>
  </si>
  <si>
    <t>ENSG00000261787.2</t>
  </si>
  <si>
    <t>TCF24</t>
  </si>
  <si>
    <t>ENSG00000165078.12</t>
  </si>
  <si>
    <t>CPA6</t>
  </si>
  <si>
    <t>ENSG00000046889.19</t>
  </si>
  <si>
    <t>PREX2</t>
  </si>
  <si>
    <t>ENSG00000147592.9</t>
  </si>
  <si>
    <t>LACTB2</t>
  </si>
  <si>
    <t>ENSG00000221947.7</t>
  </si>
  <si>
    <t>XKR9</t>
  </si>
  <si>
    <t>ENSG00000104313.19</t>
  </si>
  <si>
    <t>EYA1</t>
  </si>
  <si>
    <t>ENSG00000154589.6</t>
  </si>
  <si>
    <t>LY96</t>
  </si>
  <si>
    <t>ENSG00000164749.11</t>
  </si>
  <si>
    <t>HNF4G</t>
  </si>
  <si>
    <t>ENSG00000171033.13</t>
  </si>
  <si>
    <t>PKIA</t>
  </si>
  <si>
    <t>ENSG00000164683.17</t>
  </si>
  <si>
    <t>HEY1</t>
  </si>
  <si>
    <t>ENSG00000076554.15</t>
  </si>
  <si>
    <t>TPD52</t>
  </si>
  <si>
    <t>ENSG00000164684.13</t>
  </si>
  <si>
    <t>ZNF704</t>
  </si>
  <si>
    <t>ENSG00000184672.12</t>
  </si>
  <si>
    <t>RALYL</t>
  </si>
  <si>
    <t>ENSG00000185015.8</t>
  </si>
  <si>
    <t>CA13</t>
  </si>
  <si>
    <t>ENSG00000104267.10</t>
  </si>
  <si>
    <t>CA2</t>
  </si>
  <si>
    <t>ENSG00000147614.4</t>
  </si>
  <si>
    <t>ATP6V0D2</t>
  </si>
  <si>
    <t>ENSG00000164893.9</t>
  </si>
  <si>
    <t>SLC7A13</t>
  </si>
  <si>
    <t>ENSG00000104312.8</t>
  </si>
  <si>
    <t>RIPK2</t>
  </si>
  <si>
    <t>ENSG00000104320.13</t>
  </si>
  <si>
    <t>NBN</t>
  </si>
  <si>
    <t>ENSG00000123119.12</t>
  </si>
  <si>
    <t>NECAB1</t>
  </si>
  <si>
    <t>ENSG00000265817.3</t>
  </si>
  <si>
    <t>FSBP</t>
  </si>
  <si>
    <t>ENSG00000175305.17</t>
  </si>
  <si>
    <t>CCNE2</t>
  </si>
  <si>
    <t>ENSG00000164938.14</t>
  </si>
  <si>
    <t>TP53INP1</t>
  </si>
  <si>
    <t>ENSG00000156469.8</t>
  </si>
  <si>
    <t>MTERF3</t>
  </si>
  <si>
    <t>ENSG00000156471.12</t>
  </si>
  <si>
    <t>PTDSS1</t>
  </si>
  <si>
    <t>ENSG00000180543.4</t>
  </si>
  <si>
    <t>TSPYL5</t>
  </si>
  <si>
    <t>ENSG00000177459.11</t>
  </si>
  <si>
    <t>ERICH5</t>
  </si>
  <si>
    <t>ENSG00000132554.20</t>
  </si>
  <si>
    <t>RGS22</t>
  </si>
  <si>
    <t>ENSG00000156509.14</t>
  </si>
  <si>
    <t>FBXO43</t>
  </si>
  <si>
    <t>ENSG00000104450.12</t>
  </si>
  <si>
    <t>SPAG1</t>
  </si>
  <si>
    <t>ENSG00000048392.11</t>
  </si>
  <si>
    <t>RRM2B</t>
  </si>
  <si>
    <t>ENSG00000164929.17</t>
  </si>
  <si>
    <t>BAALC</t>
  </si>
  <si>
    <t>ENSG00000164930.12</t>
  </si>
  <si>
    <t>FZD6</t>
  </si>
  <si>
    <t>ENSG00000164932.13</t>
  </si>
  <si>
    <t>CTHRC1</t>
  </si>
  <si>
    <t>ENSG00000164933.12</t>
  </si>
  <si>
    <t>SLC25A32</t>
  </si>
  <si>
    <t>ENSG00000176406.22</t>
  </si>
  <si>
    <t>RIMS2</t>
  </si>
  <si>
    <t>ENSG00000169946.14</t>
  </si>
  <si>
    <t>ZFPM2</t>
  </si>
  <si>
    <t>ENSG00000154188.10</t>
  </si>
  <si>
    <t>ANGPT1</t>
  </si>
  <si>
    <t>ENSG00000205038.12</t>
  </si>
  <si>
    <t>PKHD1L1</t>
  </si>
  <si>
    <t>ENSG00000147642.17</t>
  </si>
  <si>
    <t>SYBU</t>
  </si>
  <si>
    <t>ENSG00000164796.18</t>
  </si>
  <si>
    <t>CSMD3</t>
  </si>
  <si>
    <t>ENSG00000177570.14</t>
  </si>
  <si>
    <t>SAMD12</t>
  </si>
  <si>
    <t>ENSG00000187955.12</t>
  </si>
  <si>
    <t>COL14A1</t>
  </si>
  <si>
    <t>ENSG00000172164.15</t>
  </si>
  <si>
    <t>SNTB1</t>
  </si>
  <si>
    <t>ENSG00000156802.13</t>
  </si>
  <si>
    <t>ATAD2</t>
  </si>
  <si>
    <t>ENSG00000156804.7</t>
  </si>
  <si>
    <t>FBXO32</t>
  </si>
  <si>
    <t>ENSG00000104537.17</t>
  </si>
  <si>
    <t>ANXA13</t>
  </si>
  <si>
    <t>ENSG00000214814.7</t>
  </si>
  <si>
    <t>FER1L6</t>
  </si>
  <si>
    <t>ENSG00000170873.18</t>
  </si>
  <si>
    <t>MTSS1</t>
  </si>
  <si>
    <t>ENSG00000104549.12</t>
  </si>
  <si>
    <t>SQLE</t>
  </si>
  <si>
    <t>ENSG00000168672.4</t>
  </si>
  <si>
    <t>FAM84B</t>
  </si>
  <si>
    <t>ENSG00000136997.18</t>
  </si>
  <si>
    <t>MYC</t>
  </si>
  <si>
    <t>ENSG00000155897.10</t>
  </si>
  <si>
    <t>ADCY8</t>
  </si>
  <si>
    <t>ENSG00000165071.14</t>
  </si>
  <si>
    <t>TMEM71</t>
  </si>
  <si>
    <t>ENSG00000042832.12</t>
  </si>
  <si>
    <t>TG</t>
  </si>
  <si>
    <t>ENSG00000008513.16</t>
  </si>
  <si>
    <t>ST3GAL1</t>
  </si>
  <si>
    <t>ENSG00000169436.17</t>
  </si>
  <si>
    <t>COL22A1</t>
  </si>
  <si>
    <t>ENSG00000104472.10</t>
  </si>
  <si>
    <t>CHRAC1</t>
  </si>
  <si>
    <t>ENSG00000105339.10</t>
  </si>
  <si>
    <t>DENND3</t>
  </si>
  <si>
    <t>ENSG00000022567.9</t>
  </si>
  <si>
    <t>SLC45A4</t>
  </si>
  <si>
    <t>ENSG00000184489.11</t>
  </si>
  <si>
    <t>PTP4A3</t>
  </si>
  <si>
    <t>ENSG00000181790.11</t>
  </si>
  <si>
    <t>ADGRB1</t>
  </si>
  <si>
    <t>ENSG00000198576.4</t>
  </si>
  <si>
    <t>ARC</t>
  </si>
  <si>
    <t>ENSG00000234616.8</t>
  </si>
  <si>
    <t>JRK</t>
  </si>
  <si>
    <t>ENSG00000130193.8</t>
  </si>
  <si>
    <t>THEM6</t>
  </si>
  <si>
    <t>ENSG00000180155.20</t>
  </si>
  <si>
    <t>LYNX1</t>
  </si>
  <si>
    <t>ENSG00000167656.5</t>
  </si>
  <si>
    <t>LY6D</t>
  </si>
  <si>
    <t>ENSG00000160882.11</t>
  </si>
  <si>
    <t>CYP11B1</t>
  </si>
  <si>
    <t>ENSG00000158106.14</t>
  </si>
  <si>
    <t>RHPN1</t>
  </si>
  <si>
    <t>ENSG00000182759.3</t>
  </si>
  <si>
    <t>MAFA</t>
  </si>
  <si>
    <t>ENSG00000180921.7</t>
  </si>
  <si>
    <t>FAM83H</t>
  </si>
  <si>
    <t>ENSG00000261150.2</t>
  </si>
  <si>
    <t>EPPK1</t>
  </si>
  <si>
    <t>ENSG00000197858.11</t>
  </si>
  <si>
    <t>GPAA1</t>
  </si>
  <si>
    <t>ENSG00000235173.7</t>
  </si>
  <si>
    <t>HGH1</t>
  </si>
  <si>
    <t>ENSG00000261236.8</t>
  </si>
  <si>
    <t>BOP1</t>
  </si>
  <si>
    <t>ENSG00000185803.9</t>
  </si>
  <si>
    <t>SLC52A2</t>
  </si>
  <si>
    <t>ENSG00000071894.17</t>
  </si>
  <si>
    <t>CPSF1</t>
  </si>
  <si>
    <t>ENSG00000160972.9</t>
  </si>
  <si>
    <t>PPP1R16A</t>
  </si>
  <si>
    <t>ENSG00000167701.14</t>
  </si>
  <si>
    <t>GPT</t>
  </si>
  <si>
    <t>ENSG00000160957.13</t>
  </si>
  <si>
    <t>RECQL4</t>
  </si>
  <si>
    <t>ENSG00000213563.6</t>
  </si>
  <si>
    <t>C8orf82</t>
  </si>
  <si>
    <t>ENSG00000183784.7</t>
  </si>
  <si>
    <t>C9orf66</t>
  </si>
  <si>
    <t>ENSG00000107099.15</t>
  </si>
  <si>
    <t>DOCK8</t>
  </si>
  <si>
    <t>ENSG00000147852.16</t>
  </si>
  <si>
    <t>VLDLR</t>
  </si>
  <si>
    <t>ENSG00000107249.23</t>
  </si>
  <si>
    <t>GLIS3</t>
  </si>
  <si>
    <t>ENSG00000106688.12</t>
  </si>
  <si>
    <t>SLC1A1</t>
  </si>
  <si>
    <t>ENSG00000106686.16</t>
  </si>
  <si>
    <t>SPATA6L</t>
  </si>
  <si>
    <t>ENSG00000205808.5</t>
  </si>
  <si>
    <t>PLPP6</t>
  </si>
  <si>
    <t>ENSG00000099219.14</t>
  </si>
  <si>
    <t>ERMP1</t>
  </si>
  <si>
    <t>ENSG00000137033.11</t>
  </si>
  <si>
    <t>IL33</t>
  </si>
  <si>
    <t>ENSG00000178445.9</t>
  </si>
  <si>
    <t>GLDC</t>
  </si>
  <si>
    <t>ENSG00000153707.17</t>
  </si>
  <si>
    <t>PTPRD</t>
  </si>
  <si>
    <t>ENSG00000107165.12</t>
  </si>
  <si>
    <t>TYRP1</t>
  </si>
  <si>
    <t>ENSG00000147862.17</t>
  </si>
  <si>
    <t>NFIB</t>
  </si>
  <si>
    <t>ENSG00000164946.19</t>
  </si>
  <si>
    <t>FREM1</t>
  </si>
  <si>
    <t>ENSG00000155158.20</t>
  </si>
  <si>
    <t>TTC39B</t>
  </si>
  <si>
    <t>ENSG00000173068.18</t>
  </si>
  <si>
    <t>BNC2</t>
  </si>
  <si>
    <t>ENSG00000178031.17</t>
  </si>
  <si>
    <t>ADAMTSL1</t>
  </si>
  <si>
    <t>ENSG00000177076.6</t>
  </si>
  <si>
    <t>ACER2</t>
  </si>
  <si>
    <t>ENSG00000155886.11</t>
  </si>
  <si>
    <t>SLC24A2</t>
  </si>
  <si>
    <t>ENSG00000171843.16</t>
  </si>
  <si>
    <t>MLLT3</t>
  </si>
  <si>
    <t>ENSG00000147889.17</t>
  </si>
  <si>
    <t>CDKN2A</t>
  </si>
  <si>
    <t>ENSG00000147883.11</t>
  </si>
  <si>
    <t>CDKN2B</t>
  </si>
  <si>
    <t>ENSG00000184434.7</t>
  </si>
  <si>
    <t>LRRC19</t>
  </si>
  <si>
    <t>ENSG00000120156.21</t>
  </si>
  <si>
    <t>TEK</t>
  </si>
  <si>
    <t>ENSG00000137074.18</t>
  </si>
  <si>
    <t>APTX</t>
  </si>
  <si>
    <t>ENSG00000086062.12</t>
  </si>
  <si>
    <t>B4GALT1</t>
  </si>
  <si>
    <t>ENSG00000165269.13</t>
  </si>
  <si>
    <t>AQP7</t>
  </si>
  <si>
    <t>ENSG00000165272.16</t>
  </si>
  <si>
    <t>AQP3</t>
  </si>
  <si>
    <t>ENSG00000165271.17</t>
  </si>
  <si>
    <t>NOL6</t>
  </si>
  <si>
    <t>ENSG00000164976.9</t>
  </si>
  <si>
    <t>MYORG</t>
  </si>
  <si>
    <t>ENSG00000168913.7</t>
  </si>
  <si>
    <t>ENHO</t>
  </si>
  <si>
    <t>ENSG00000122756.15</t>
  </si>
  <si>
    <t>CNTFR</t>
  </si>
  <si>
    <t>ENSG00000164967.10</t>
  </si>
  <si>
    <t>RPP25L</t>
  </si>
  <si>
    <t>ENSG00000137070.17</t>
  </si>
  <si>
    <t>IL11RA</t>
  </si>
  <si>
    <t>ENSG00000137094.14</t>
  </si>
  <si>
    <t>DNAJB5</t>
  </si>
  <si>
    <t>ENSG00000165283.16</t>
  </si>
  <si>
    <t>STOML2</t>
  </si>
  <si>
    <t>ENSG00000159884.12</t>
  </si>
  <si>
    <t>CCDC107</t>
  </si>
  <si>
    <t>ENSG00000107159.13</t>
  </si>
  <si>
    <t>CA9</t>
  </si>
  <si>
    <t>ENSG00000137103.20</t>
  </si>
  <si>
    <t>TMEM8B</t>
  </si>
  <si>
    <t>ENSG00000196196.3</t>
  </si>
  <si>
    <t>HRCT1</t>
  </si>
  <si>
    <t>ENSG00000122707.12</t>
  </si>
  <si>
    <t>RECK</t>
  </si>
  <si>
    <t>ENSG00000122694.16</t>
  </si>
  <si>
    <t>GLIPR2</t>
  </si>
  <si>
    <t>ENSG00000196092.13</t>
  </si>
  <si>
    <t>PAX5</t>
  </si>
  <si>
    <t>ENSG00000168795.5</t>
  </si>
  <si>
    <t>ZBTB5</t>
  </si>
  <si>
    <t>ENSG00000137054.16</t>
  </si>
  <si>
    <t>POLR1E</t>
  </si>
  <si>
    <t>ENSG00000175768.13</t>
  </si>
  <si>
    <t>TOMM5</t>
  </si>
  <si>
    <t>ENSG00000070601.10</t>
  </si>
  <si>
    <t>FRMPD1</t>
  </si>
  <si>
    <t>ENSG00000137124.8</t>
  </si>
  <si>
    <t>ALDH1B1</t>
  </si>
  <si>
    <t>ENSG00000154529.14</t>
  </si>
  <si>
    <t>CNTNAP3B</t>
  </si>
  <si>
    <t>ENSG00000274349.4</t>
  </si>
  <si>
    <t>ZNF658</t>
  </si>
  <si>
    <t>ENSG00000107242.18</t>
  </si>
  <si>
    <t>PIP5K1B</t>
  </si>
  <si>
    <t>ENSG00000165060.13</t>
  </si>
  <si>
    <t>FXN</t>
  </si>
  <si>
    <t>ENSG00000119139.19</t>
  </si>
  <si>
    <t>TJP2</t>
  </si>
  <si>
    <t>ENSG00000107282.8</t>
  </si>
  <si>
    <t>APBA1</t>
  </si>
  <si>
    <t>ENSG00000165072.10</t>
  </si>
  <si>
    <t>MAMDC2</t>
  </si>
  <si>
    <t>ENSG00000165091.17</t>
  </si>
  <si>
    <t>TMC1</t>
  </si>
  <si>
    <t>ENSG00000165092.13</t>
  </si>
  <si>
    <t>ALDH1A1</t>
  </si>
  <si>
    <t>ENSG00000198963.11</t>
  </si>
  <si>
    <t>RORB</t>
  </si>
  <si>
    <t>ENSG00000119121.22</t>
  </si>
  <si>
    <t>TRPM6</t>
  </si>
  <si>
    <t>ENSG00000106733.21</t>
  </si>
  <si>
    <t>NMRK1</t>
  </si>
  <si>
    <t>ENSG00000099139.13</t>
  </si>
  <si>
    <t>PCSK5</t>
  </si>
  <si>
    <t>ENSG00000106772.18</t>
  </si>
  <si>
    <t>PRUNE2</t>
  </si>
  <si>
    <t>ENSG00000165105.10</t>
  </si>
  <si>
    <t>RASEF</t>
  </si>
  <si>
    <t>ENSG00000172159.16</t>
  </si>
  <si>
    <t>FRMD3</t>
  </si>
  <si>
    <t>ENSG00000148057.16</t>
  </si>
  <si>
    <t>IDNK</t>
  </si>
  <si>
    <t>ENSG00000165115.15</t>
  </si>
  <si>
    <t>KIF27</t>
  </si>
  <si>
    <t>ENSG00000148053.16</t>
  </si>
  <si>
    <t>NTRK2</t>
  </si>
  <si>
    <t>ENSG00000187753.13</t>
  </si>
  <si>
    <t>C9orf153</t>
  </si>
  <si>
    <t>ENSG00000196730.13</t>
  </si>
  <si>
    <t>DAPK1</t>
  </si>
  <si>
    <t>ENSG00000213694.5</t>
  </si>
  <si>
    <t>S1PR3</t>
  </si>
  <si>
    <t>ENSG00000187764.11</t>
  </si>
  <si>
    <t>SEMA4D</t>
  </si>
  <si>
    <t>ENSG00000196305.17</t>
  </si>
  <si>
    <t>IARS</t>
  </si>
  <si>
    <t>ENSG00000106823.12</t>
  </si>
  <si>
    <t>ECM2</t>
  </si>
  <si>
    <t>ENSG00000127084.19</t>
  </si>
  <si>
    <t>FGD3</t>
  </si>
  <si>
    <t>ENSG00000048828.17</t>
  </si>
  <si>
    <t>FAM120A</t>
  </si>
  <si>
    <t>ENSG00000158169.13</t>
  </si>
  <si>
    <t>FANCC</t>
  </si>
  <si>
    <t>ENSG00000185920.15</t>
  </si>
  <si>
    <t>PTCH1</t>
  </si>
  <si>
    <t>ENSG00000130958.13</t>
  </si>
  <si>
    <t>SLC35D2</t>
  </si>
  <si>
    <t>ENSG00000165244.7</t>
  </si>
  <si>
    <t>ZNF367</t>
  </si>
  <si>
    <t>ENSG00000130956.14</t>
  </si>
  <si>
    <t>HABP4</t>
  </si>
  <si>
    <t>ENSG00000158122.12</t>
  </si>
  <si>
    <t>PRXL2C</t>
  </si>
  <si>
    <t>ENSG00000136842.14</t>
  </si>
  <si>
    <t>TMOD1</t>
  </si>
  <si>
    <t>ENSG00000095380.11</t>
  </si>
  <si>
    <t>ENSG00000095383.20</t>
  </si>
  <si>
    <t>TBC1D2</t>
  </si>
  <si>
    <t>ENSG00000136928.7</t>
  </si>
  <si>
    <t>GABBR2</t>
  </si>
  <si>
    <t>ENSG00000119514.7</t>
  </si>
  <si>
    <t>GALNT12</t>
  </si>
  <si>
    <t>ENSG00000204291.11</t>
  </si>
  <si>
    <t>COL15A1</t>
  </si>
  <si>
    <t>ENSG00000106799.13</t>
  </si>
  <si>
    <t>TGFBR1</t>
  </si>
  <si>
    <t>ENSG00000148123.15</t>
  </si>
  <si>
    <t>PLPPR1</t>
  </si>
  <si>
    <t>ENSG00000198785.5</t>
  </si>
  <si>
    <t>GRIN3A</t>
  </si>
  <si>
    <t>ENSG00000148143.13</t>
  </si>
  <si>
    <t>ZNF462</t>
  </si>
  <si>
    <t>ENSG00000136826.15</t>
  </si>
  <si>
    <t>KLF4</t>
  </si>
  <si>
    <t>ENSG00000070061.15</t>
  </si>
  <si>
    <t>ELP1</t>
  </si>
  <si>
    <t>ENSG00000188959.9</t>
  </si>
  <si>
    <t>C9orf152</t>
  </si>
  <si>
    <t>ENSG00000165124.18</t>
  </si>
  <si>
    <t>SVEP1</t>
  </si>
  <si>
    <t>ENSG00000165181.16</t>
  </si>
  <si>
    <t>SHOC1</t>
  </si>
  <si>
    <t>ENSG00000165185.14</t>
  </si>
  <si>
    <t>KIAA1958</t>
  </si>
  <si>
    <t>ENSG00000136868.11</t>
  </si>
  <si>
    <t>SLC31A1</t>
  </si>
  <si>
    <t>ENSG00000148225.16</t>
  </si>
  <si>
    <t>WDR31</t>
  </si>
  <si>
    <t>ENSG00000138835.22</t>
  </si>
  <si>
    <t>RGS3</t>
  </si>
  <si>
    <t>ENSG00000157657.14</t>
  </si>
  <si>
    <t>ZNF618</t>
  </si>
  <si>
    <t>ENSG00000136883.14</t>
  </si>
  <si>
    <t>KIF12</t>
  </si>
  <si>
    <t>ENSG00000095397.14</t>
  </si>
  <si>
    <t>WHRN</t>
  </si>
  <si>
    <t>ENSG00000157693.15</t>
  </si>
  <si>
    <t>TMEM268</t>
  </si>
  <si>
    <t>ENSG00000181634.8</t>
  </si>
  <si>
    <t>TNFSF15</t>
  </si>
  <si>
    <t>ENSG00000173077.15</t>
  </si>
  <si>
    <t>DEC1</t>
  </si>
  <si>
    <t>ENSG00000041982.16</t>
  </si>
  <si>
    <t>TNC</t>
  </si>
  <si>
    <t>ENSG00000182752.10</t>
  </si>
  <si>
    <t>PAPPA</t>
  </si>
  <si>
    <t>ENSG00000148219.16</t>
  </si>
  <si>
    <t>ASTN2</t>
  </si>
  <si>
    <t>ENSG00000136869.15</t>
  </si>
  <si>
    <t>TLR4</t>
  </si>
  <si>
    <t>ENSG00000119402.17</t>
  </si>
  <si>
    <t>FBXW2</t>
  </si>
  <si>
    <t>ENSG00000214654.8</t>
  </si>
  <si>
    <t>B3GNT10</t>
  </si>
  <si>
    <t>ENSG00000119403.15</t>
  </si>
  <si>
    <t>PHF19</t>
  </si>
  <si>
    <t>ENSG00000106852.15</t>
  </si>
  <si>
    <t>LHX6</t>
  </si>
  <si>
    <t>ENSG00000119446.14</t>
  </si>
  <si>
    <t>RBM18</t>
  </si>
  <si>
    <t>ENSG00000095303.16</t>
  </si>
  <si>
    <t>PTGS1</t>
  </si>
  <si>
    <t>ENSG00000119522.16</t>
  </si>
  <si>
    <t>DENND1A</t>
  </si>
  <si>
    <t>ENSG00000119408.16</t>
  </si>
  <si>
    <t>NEK6</t>
  </si>
  <si>
    <t>ENSG00000136931.10</t>
  </si>
  <si>
    <t>NR5A1</t>
  </si>
  <si>
    <t>ENSG00000148200.17</t>
  </si>
  <si>
    <t>NR6A1</t>
  </si>
  <si>
    <t>ENSG00000185585.20</t>
  </si>
  <si>
    <t>OLFML2A</t>
  </si>
  <si>
    <t>ENSG00000136935.13</t>
  </si>
  <si>
    <t>GOLGA1</t>
  </si>
  <si>
    <t>ENSG00000136933.16</t>
  </si>
  <si>
    <t>RABEPK</t>
  </si>
  <si>
    <t>ENSG00000044574.8</t>
  </si>
  <si>
    <t>HSPA5</t>
  </si>
  <si>
    <t>ENSG00000136859.10</t>
  </si>
  <si>
    <t>ANGPTL2</t>
  </si>
  <si>
    <t>ENSG00000196152.10</t>
  </si>
  <si>
    <t>ZNF79</t>
  </si>
  <si>
    <t>ENSG00000136877.14</t>
  </si>
  <si>
    <t>FPGS</t>
  </si>
  <si>
    <t>ENSG00000106991.13</t>
  </si>
  <si>
    <t>ENG</t>
  </si>
  <si>
    <t>ENSG00000106992.19</t>
  </si>
  <si>
    <t>AK1</t>
  </si>
  <si>
    <t>ENSG00000136840.19</t>
  </si>
  <si>
    <t>ST6GALNAC4</t>
  </si>
  <si>
    <t>ENSG00000148337.21</t>
  </si>
  <si>
    <t>CIZ1</t>
  </si>
  <si>
    <t>ENSG00000167114.13</t>
  </si>
  <si>
    <t>SLC27A4</t>
  </si>
  <si>
    <t>ENSG00000160447.7</t>
  </si>
  <si>
    <t>PKN3</t>
  </si>
  <si>
    <t>ENSG00000160445.11</t>
  </si>
  <si>
    <t>ZER1</t>
  </si>
  <si>
    <t>ENSG00000167136.7</t>
  </si>
  <si>
    <t>ENDOG</t>
  </si>
  <si>
    <t>ENSG00000095319.14</t>
  </si>
  <si>
    <t>NUP188</t>
  </si>
  <si>
    <t>ENSG00000167130.18</t>
  </si>
  <si>
    <t>DOLPP1</t>
  </si>
  <si>
    <t>ENSG00000119383.19</t>
  </si>
  <si>
    <t>PTPA</t>
  </si>
  <si>
    <t>ENSG00000188483.7</t>
  </si>
  <si>
    <t>IER5L</t>
  </si>
  <si>
    <t>ENSG00000148344.11</t>
  </si>
  <si>
    <t>PTGES</t>
  </si>
  <si>
    <t>ENSG00000148357.16</t>
  </si>
  <si>
    <t>HMCN2</t>
  </si>
  <si>
    <t>ENSG00000130713.16</t>
  </si>
  <si>
    <t>EXOSC2</t>
  </si>
  <si>
    <t>ENSG00000097007.18</t>
  </si>
  <si>
    <t>ABL1</t>
  </si>
  <si>
    <t>ENSG00000130720.13</t>
  </si>
  <si>
    <t>FIBCD1</t>
  </si>
  <si>
    <t>ENSG00000050555.18</t>
  </si>
  <si>
    <t>LAMC3</t>
  </si>
  <si>
    <t>ENSG00000126878.13</t>
  </si>
  <si>
    <t>AIF1L</t>
  </si>
  <si>
    <t>ENSG00000130714.16</t>
  </si>
  <si>
    <t>POMT1</t>
  </si>
  <si>
    <t>ENSG00000165698.16</t>
  </si>
  <si>
    <t>SPACA9</t>
  </si>
  <si>
    <t>ENSG00000170835.14</t>
  </si>
  <si>
    <t>CEL</t>
  </si>
  <si>
    <t>ENSG00000160271.16</t>
  </si>
  <si>
    <t>RALGDS</t>
  </si>
  <si>
    <t>ENSG00000148296.7</t>
  </si>
  <si>
    <t>SURF6</t>
  </si>
  <si>
    <t>ENSG00000148297.15</t>
  </si>
  <si>
    <t>MED22</t>
  </si>
  <si>
    <t>ENSG00000148290.10</t>
  </si>
  <si>
    <t>SURF1</t>
  </si>
  <si>
    <t>ENSG00000148248.14</t>
  </si>
  <si>
    <t>SURF4</t>
  </si>
  <si>
    <t>ENSG00000160323.18</t>
  </si>
  <si>
    <t>ADAMTS13</t>
  </si>
  <si>
    <t>ENSG00000197859.10</t>
  </si>
  <si>
    <t>ADAMTSL2</t>
  </si>
  <si>
    <t>ENSG00000186350.11</t>
  </si>
  <si>
    <t>RXRA</t>
  </si>
  <si>
    <t>ENSG00000130635.15</t>
  </si>
  <si>
    <t>COL5A1</t>
  </si>
  <si>
    <t>ENSG00000196422.11</t>
  </si>
  <si>
    <t>PPP1R26</t>
  </si>
  <si>
    <t>ENSG00000160345.13</t>
  </si>
  <si>
    <t>C9orf116</t>
  </si>
  <si>
    <t>ENSG00000122140.11</t>
  </si>
  <si>
    <t>MRPS2</t>
  </si>
  <si>
    <t>ENSG00000107147.13</t>
  </si>
  <si>
    <t>KCNT1</t>
  </si>
  <si>
    <t>ENSG00000238227.8</t>
  </si>
  <si>
    <t>TMEM250</t>
  </si>
  <si>
    <t>ENSG00000107187.16</t>
  </si>
  <si>
    <t>LHX3</t>
  </si>
  <si>
    <t>ENSG00000165661.16</t>
  </si>
  <si>
    <t>QSOX2</t>
  </si>
  <si>
    <t>ENSG00000260220.6</t>
  </si>
  <si>
    <t>CCDC187</t>
  </si>
  <si>
    <t>ENSG00000160360.13</t>
  </si>
  <si>
    <t>GPSM1</t>
  </si>
  <si>
    <t>ENSG00000187796.14</t>
  </si>
  <si>
    <t>CARD9</t>
  </si>
  <si>
    <t>ENSG00000148400.11</t>
  </si>
  <si>
    <t>NOTCH1</t>
  </si>
  <si>
    <t>ENSG00000165716.11</t>
  </si>
  <si>
    <t>DIPK1B</t>
  </si>
  <si>
    <t>ENSG00000177984.7</t>
  </si>
  <si>
    <t>LCN15</t>
  </si>
  <si>
    <t>ENSG00000244187.8</t>
  </si>
  <si>
    <t>TMEM141</t>
  </si>
  <si>
    <t>ENSG00000213213.13</t>
  </si>
  <si>
    <t>CCDC183</t>
  </si>
  <si>
    <t>ENSG00000196642.19</t>
  </si>
  <si>
    <t>RABL6</t>
  </si>
  <si>
    <t>ENSG00000232434.2</t>
  </si>
  <si>
    <t>AJM1</t>
  </si>
  <si>
    <t>ENSG00000127191.18</t>
  </si>
  <si>
    <t>TRAF2</t>
  </si>
  <si>
    <t>ENSG00000184925.12</t>
  </si>
  <si>
    <t>LCN12</t>
  </si>
  <si>
    <t>ENSG00000107331.17</t>
  </si>
  <si>
    <t>ABCA2</t>
  </si>
  <si>
    <t>ENSG00000180549.7</t>
  </si>
  <si>
    <t>FUT7</t>
  </si>
  <si>
    <t>ENSG00000107281.10</t>
  </si>
  <si>
    <t>NPDC1</t>
  </si>
  <si>
    <t>ENSG00000054179.12</t>
  </si>
  <si>
    <t>ENTPD2</t>
  </si>
  <si>
    <t>ENSG00000186193.9</t>
  </si>
  <si>
    <t>SAPCD2</t>
  </si>
  <si>
    <t>ENSG00000176058.13</t>
  </si>
  <si>
    <t>TPRN</t>
  </si>
  <si>
    <t>ENSG00000197191.5</t>
  </si>
  <si>
    <t>CYSRT1</t>
  </si>
  <si>
    <t>ENSG00000233198.3</t>
  </si>
  <si>
    <t>RNF224</t>
  </si>
  <si>
    <t>ENSG00000188986.7</t>
  </si>
  <si>
    <t>NELFB</t>
  </si>
  <si>
    <t>ENSG00000198113.3</t>
  </si>
  <si>
    <t>TOR4A</t>
  </si>
  <si>
    <t>ENSG00000188747.8</t>
  </si>
  <si>
    <t>NOXA1</t>
  </si>
  <si>
    <t>ENSG00000188833.9</t>
  </si>
  <si>
    <t>ENTPD8</t>
  </si>
  <si>
    <t>ENSG00000165724.6</t>
  </si>
  <si>
    <t>ZMYND19</t>
  </si>
  <si>
    <t>ENSG00000148408.13</t>
  </si>
  <si>
    <t>CACNA1B</t>
  </si>
  <si>
    <t>ENSG00000151240.17</t>
  </si>
  <si>
    <t>DIP2C</t>
  </si>
  <si>
    <t>ENSG00000180525.12</t>
  </si>
  <si>
    <t>PRR26</t>
  </si>
  <si>
    <t>ENSG00000067064.11</t>
  </si>
  <si>
    <t>IDI1</t>
  </si>
  <si>
    <t>ENSG00000067057.17</t>
  </si>
  <si>
    <t>PFKP</t>
  </si>
  <si>
    <t>ENSG00000187134.14</t>
  </si>
  <si>
    <t>AKR1C1</t>
  </si>
  <si>
    <t>ENSG00000151632.17</t>
  </si>
  <si>
    <t>AKR1C2</t>
  </si>
  <si>
    <t>ENSG00000196139.14</t>
  </si>
  <si>
    <t>AKR1C3</t>
  </si>
  <si>
    <t>ENSG00000173848.19</t>
  </si>
  <si>
    <t>NET1</t>
  </si>
  <si>
    <t>ENSG00000170525.21</t>
  </si>
  <si>
    <t>PFKFB3</t>
  </si>
  <si>
    <t>ENSG00000123243.15</t>
  </si>
  <si>
    <t>ITIH5</t>
  </si>
  <si>
    <t>ENSG00000165632.8</t>
  </si>
  <si>
    <t>TAF3</t>
  </si>
  <si>
    <t>ENSG00000107485.17</t>
  </si>
  <si>
    <t>GATA3</t>
  </si>
  <si>
    <t>ENSG00000048740.18</t>
  </si>
  <si>
    <t>CELF2</t>
  </si>
  <si>
    <t>ENSG00000148426.13</t>
  </si>
  <si>
    <t>PROSER2</t>
  </si>
  <si>
    <t>ENSG00000151468.11</t>
  </si>
  <si>
    <t>CCDC3</t>
  </si>
  <si>
    <t>ENSG00000123240.17</t>
  </si>
  <si>
    <t>OPTN</t>
  </si>
  <si>
    <t>ENSG00000065328.16</t>
  </si>
  <si>
    <t>MCM10</t>
  </si>
  <si>
    <t>ENSG00000107537.14</t>
  </si>
  <si>
    <t>PHYH</t>
  </si>
  <si>
    <t>ENSG00000086475.15</t>
  </si>
  <si>
    <t>SEPHS1</t>
  </si>
  <si>
    <t>ENSG00000151474.23</t>
  </si>
  <si>
    <t>FRMD4A</t>
  </si>
  <si>
    <t>ENSG00000148481.14</t>
  </si>
  <si>
    <t>MINDY3</t>
  </si>
  <si>
    <t>ENSG00000165985.10</t>
  </si>
  <si>
    <t>C1QL3</t>
  </si>
  <si>
    <t>ENSG00000260314.3</t>
  </si>
  <si>
    <t>MRC1</t>
  </si>
  <si>
    <t>ENSG00000165995.20</t>
  </si>
  <si>
    <t>CACNB2</t>
  </si>
  <si>
    <t>ENSG00000120594.17</t>
  </si>
  <si>
    <t>PLXDC2</t>
  </si>
  <si>
    <t>ENSG00000078114.18</t>
  </si>
  <si>
    <t>NEBL</t>
  </si>
  <si>
    <t>ENSG00000150867.14</t>
  </si>
  <si>
    <t>PIP4K2A</t>
  </si>
  <si>
    <t>ENSG00000165309.14</t>
  </si>
  <si>
    <t>ARMC3</t>
  </si>
  <si>
    <t>ENSG00000185875.13</t>
  </si>
  <si>
    <t>THNSL1</t>
  </si>
  <si>
    <t>ENSG00000151025.11</t>
  </si>
  <si>
    <t>GPR158</t>
  </si>
  <si>
    <t>ENSG00000095777.16</t>
  </si>
  <si>
    <t>MYO3A</t>
  </si>
  <si>
    <t>ENSG00000077420.16</t>
  </si>
  <si>
    <t>APBB1IP</t>
  </si>
  <si>
    <t>ENSG00000169126.15</t>
  </si>
  <si>
    <t>ARMC4</t>
  </si>
  <si>
    <t>ENSG00000150054.18</t>
  </si>
  <si>
    <t>MPP7</t>
  </si>
  <si>
    <t>ENSG00000165757.9</t>
  </si>
  <si>
    <t>JCAD</t>
  </si>
  <si>
    <t>ENSG00000148513.17</t>
  </si>
  <si>
    <t>ANKRD30A</t>
  </si>
  <si>
    <t>ENSG00000075407.18</t>
  </si>
  <si>
    <t>ZNF37A</t>
  </si>
  <si>
    <t>ENSG00000283930.1</t>
  </si>
  <si>
    <t>AL117339.5</t>
  </si>
  <si>
    <t>ENSG00000196693.15</t>
  </si>
  <si>
    <t>ZNF33B</t>
  </si>
  <si>
    <t>ENSG00000165731.19</t>
  </si>
  <si>
    <t>RET</t>
  </si>
  <si>
    <t>ENSG00000169826.8</t>
  </si>
  <si>
    <t>CSGALNACT2</t>
  </si>
  <si>
    <t>ENSG00000165507.8</t>
  </si>
  <si>
    <t>DEPP1</t>
  </si>
  <si>
    <t>ENSG00000256574.7</t>
  </si>
  <si>
    <t>OR13A1</t>
  </si>
  <si>
    <t>ENSG00000012779.11</t>
  </si>
  <si>
    <t>ALOX5</t>
  </si>
  <si>
    <t>ENSG00000264230.9</t>
  </si>
  <si>
    <t>ANXA8L1</t>
  </si>
  <si>
    <t>ENSG00000204179.10</t>
  </si>
  <si>
    <t>PTPN20</t>
  </si>
  <si>
    <t>ENSG00000265190.6</t>
  </si>
  <si>
    <t>ANXA8</t>
  </si>
  <si>
    <t>ENSG00000170324.21</t>
  </si>
  <si>
    <t>FRMPD2</t>
  </si>
  <si>
    <t>ENSG00000128805.14</t>
  </si>
  <si>
    <t>ARHGAP22</t>
  </si>
  <si>
    <t>ENSG00000128815.19</t>
  </si>
  <si>
    <t>WDFY4</t>
  </si>
  <si>
    <t>ENSG00000197444.10</t>
  </si>
  <si>
    <t>OGDHL</t>
  </si>
  <si>
    <t>ENSG00000188611.14</t>
  </si>
  <si>
    <t>ASAH2</t>
  </si>
  <si>
    <t>ENSG00000148584.15</t>
  </si>
  <si>
    <t>A1CF</t>
  </si>
  <si>
    <t>ENSG00000185532.17</t>
  </si>
  <si>
    <t>PRKG1</t>
  </si>
  <si>
    <t>ENSG00000150275.18</t>
  </si>
  <si>
    <t>PCDH15</t>
  </si>
  <si>
    <t>ENSG00000148541.12</t>
  </si>
  <si>
    <t>FAM13C</t>
  </si>
  <si>
    <t>ENSG00000165449.11</t>
  </si>
  <si>
    <t>SLC16A9</t>
  </si>
  <si>
    <t>ENSG00000151150.22</t>
  </si>
  <si>
    <t>ANK3</t>
  </si>
  <si>
    <t>ENSG00000182010.11</t>
  </si>
  <si>
    <t>RTKN2</t>
  </si>
  <si>
    <t>ENSG00000138311.17</t>
  </si>
  <si>
    <t>ZNF365</t>
  </si>
  <si>
    <t>ENSG00000122877.16</t>
  </si>
  <si>
    <t>EGR2</t>
  </si>
  <si>
    <t>ENSG00000183230.17</t>
  </si>
  <si>
    <t>CTNNA3</t>
  </si>
  <si>
    <t>ENSG00000138347.15</t>
  </si>
  <si>
    <t>MYPN</t>
  </si>
  <si>
    <t>ENSG00000108187.16</t>
  </si>
  <si>
    <t>PBLD</t>
  </si>
  <si>
    <t>ENSG00000165730.16</t>
  </si>
  <si>
    <t>STOX1</t>
  </si>
  <si>
    <t>ENSG00000107625.13</t>
  </si>
  <si>
    <t>DDX50</t>
  </si>
  <si>
    <t>ENSG00000156510.13</t>
  </si>
  <si>
    <t>HKDC1</t>
  </si>
  <si>
    <t>ENSG00000156515.23</t>
  </si>
  <si>
    <t>HK1</t>
  </si>
  <si>
    <t>ENSG00000075073.14</t>
  </si>
  <si>
    <t>TACR2</t>
  </si>
  <si>
    <t>ENSG00000197467.14</t>
  </si>
  <si>
    <t>COL13A1</t>
  </si>
  <si>
    <t>ENSG00000156521.14</t>
  </si>
  <si>
    <t>TYSND1</t>
  </si>
  <si>
    <t>ENSG00000180817.12</t>
  </si>
  <si>
    <t>PPA1</t>
  </si>
  <si>
    <t>ENSG00000156574.9</t>
  </si>
  <si>
    <t>NODAL</t>
  </si>
  <si>
    <t>ENSG00000180644.8</t>
  </si>
  <si>
    <t>PRF1</t>
  </si>
  <si>
    <t>ENSG00000107731.12</t>
  </si>
  <si>
    <t>UNC5B</t>
  </si>
  <si>
    <t>ENSG00000107736.20</t>
  </si>
  <si>
    <t>CDH23</t>
  </si>
  <si>
    <t>ENSG00000214688.6</t>
  </si>
  <si>
    <t>C10orf105</t>
  </si>
  <si>
    <t>ENSG00000107738.20</t>
  </si>
  <si>
    <t>VSIR</t>
  </si>
  <si>
    <t>ENSG00000107742.13</t>
  </si>
  <si>
    <t>SPOCK2</t>
  </si>
  <si>
    <t>ENSG00000138308.5</t>
  </si>
  <si>
    <t>PLA2G12B</t>
  </si>
  <si>
    <t>ENSG00000122884.12</t>
  </si>
  <si>
    <t>P4HA1</t>
  </si>
  <si>
    <t>ENSG00000138286.14</t>
  </si>
  <si>
    <t>FAM149B1</t>
  </si>
  <si>
    <t>ENSG00000213551.5</t>
  </si>
  <si>
    <t>DNAJC9</t>
  </si>
  <si>
    <t>ENSG00000156042.17</t>
  </si>
  <si>
    <t>CFAP70</t>
  </si>
  <si>
    <t>ENSG00000196968.11</t>
  </si>
  <si>
    <t>FUT11</t>
  </si>
  <si>
    <t>ENSG00000214655.10</t>
  </si>
  <si>
    <t>ZSWIM8</t>
  </si>
  <si>
    <t>ENSG00000122861.16</t>
  </si>
  <si>
    <t>PLAU</t>
  </si>
  <si>
    <t>ENSG00000035403.17</t>
  </si>
  <si>
    <t>VCL</t>
  </si>
  <si>
    <t>ENSG00000079393.20</t>
  </si>
  <si>
    <t>DUSP13</t>
  </si>
  <si>
    <t>ENSG00000156113.23</t>
  </si>
  <si>
    <t>KCNMA1</t>
  </si>
  <si>
    <t>ENSG00000165424.6</t>
  </si>
  <si>
    <t>ZCCHC24</t>
  </si>
  <si>
    <t>ENSG00000253626.3</t>
  </si>
  <si>
    <t>EIF5AL1</t>
  </si>
  <si>
    <t>ENSG00000151224.13</t>
  </si>
  <si>
    <t>MAT1A</t>
  </si>
  <si>
    <t>ENSG00000182771.19</t>
  </si>
  <si>
    <t>GRID1</t>
  </si>
  <si>
    <t>ENSG00000148672.9</t>
  </si>
  <si>
    <t>GLUD1</t>
  </si>
  <si>
    <t>ENSG00000198682.13</t>
  </si>
  <si>
    <t>PAPSS2</t>
  </si>
  <si>
    <t>ENSG00000227268.3</t>
  </si>
  <si>
    <t>KLLN</t>
  </si>
  <si>
    <t>ENSG00000107796.13</t>
  </si>
  <si>
    <t>ACTA2</t>
  </si>
  <si>
    <t>ENSG00000026103.22</t>
  </si>
  <si>
    <t>FAS</t>
  </si>
  <si>
    <t>ENSG00000152779.14</t>
  </si>
  <si>
    <t>SLC16A12</t>
  </si>
  <si>
    <t>ENSG00000152804.11</t>
  </si>
  <si>
    <t>HHEX</t>
  </si>
  <si>
    <t>ENSG00000095596.12</t>
  </si>
  <si>
    <t>CYP26A1</t>
  </si>
  <si>
    <t>ENSG00000138207.14</t>
  </si>
  <si>
    <t>RBP4</t>
  </si>
  <si>
    <t>ENSG00000095464.9</t>
  </si>
  <si>
    <t>PDE6C</t>
  </si>
  <si>
    <t>ENSG00000108231.13</t>
  </si>
  <si>
    <t>LGI1</t>
  </si>
  <si>
    <t>ENSG00000176273.15</t>
  </si>
  <si>
    <t>SLC35G1</t>
  </si>
  <si>
    <t>ENSG00000138193.15</t>
  </si>
  <si>
    <t>PLCE1</t>
  </si>
  <si>
    <t>ENSG00000138109.11</t>
  </si>
  <si>
    <t>CYP2C9</t>
  </si>
  <si>
    <t>ENSG00000059573.9</t>
  </si>
  <si>
    <t>ALDH18A1</t>
  </si>
  <si>
    <t>ENSG00000138185.20</t>
  </si>
  <si>
    <t>ENTPD1</t>
  </si>
  <si>
    <t>ENSG00000188649.14</t>
  </si>
  <si>
    <t>CC2D2B</t>
  </si>
  <si>
    <t>ENSG00000095585.16</t>
  </si>
  <si>
    <t>BLNK</t>
  </si>
  <si>
    <t>ENSG00000213390.11</t>
  </si>
  <si>
    <t>ARHGAP19</t>
  </si>
  <si>
    <t>ENSG00000241935.9</t>
  </si>
  <si>
    <t>HOGA1</t>
  </si>
  <si>
    <t>ENSG00000155265.11</t>
  </si>
  <si>
    <t>GOLGA7B</t>
  </si>
  <si>
    <t>ENSG00000095713.14</t>
  </si>
  <si>
    <t>CRTAC1</t>
  </si>
  <si>
    <t>ENSG00000138131.4</t>
  </si>
  <si>
    <t>LOXL4</t>
  </si>
  <si>
    <t>ENSG00000119943.13</t>
  </si>
  <si>
    <t>PYROXD2</t>
  </si>
  <si>
    <t>ENSG00000172987.12</t>
  </si>
  <si>
    <t>HPSE2</t>
  </si>
  <si>
    <t>ENSG00000119946.11</t>
  </si>
  <si>
    <t>CNNM1</t>
  </si>
  <si>
    <t>ENSG00000198018.7</t>
  </si>
  <si>
    <t>ENTPD7</t>
  </si>
  <si>
    <t>ENSG00000120054.11</t>
  </si>
  <si>
    <t>CPN1</t>
  </si>
  <si>
    <t>ENSG00000107566.14</t>
  </si>
  <si>
    <t>ERLIN1</t>
  </si>
  <si>
    <t>ENSG00000196072.12</t>
  </si>
  <si>
    <t>BLOC1S2</t>
  </si>
  <si>
    <t>ENSG00000099194.6</t>
  </si>
  <si>
    <t>SCD</t>
  </si>
  <si>
    <t>ENSG00000119906.13</t>
  </si>
  <si>
    <t>SLF2</t>
  </si>
  <si>
    <t>ENSG00000107815.10</t>
  </si>
  <si>
    <t>TWNK</t>
  </si>
  <si>
    <t>ENSG00000186862.19</t>
  </si>
  <si>
    <t>PDZD7</t>
  </si>
  <si>
    <t>ENSG00000107821.14</t>
  </si>
  <si>
    <t>KAZALD1</t>
  </si>
  <si>
    <t>ENSG00000107833.10</t>
  </si>
  <si>
    <t>NPM3</t>
  </si>
  <si>
    <t>ENSG00000198728.10</t>
  </si>
  <si>
    <t>LDB1</t>
  </si>
  <si>
    <t>ENSG00000148840.11</t>
  </si>
  <si>
    <t>PPRC1</t>
  </si>
  <si>
    <t>ENSG00000166197.16</t>
  </si>
  <si>
    <t>NOLC1</t>
  </si>
  <si>
    <t>ENSG00000138111.14</t>
  </si>
  <si>
    <t>MFSD13A</t>
  </si>
  <si>
    <t>ENSG00000148843.15</t>
  </si>
  <si>
    <t>PDCD11</t>
  </si>
  <si>
    <t>ENSG00000138172.11</t>
  </si>
  <si>
    <t>CALHM2</t>
  </si>
  <si>
    <t>ENSG00000185933.6</t>
  </si>
  <si>
    <t>CALHM1</t>
  </si>
  <si>
    <t>ENSG00000107960.11</t>
  </si>
  <si>
    <t>STN1</t>
  </si>
  <si>
    <t>ENSG00000065618.20</t>
  </si>
  <si>
    <t>COL17A1</t>
  </si>
  <si>
    <t>ENSG00000197748.12</t>
  </si>
  <si>
    <t>CFAP43</t>
  </si>
  <si>
    <t>ENSG00000120051.15</t>
  </si>
  <si>
    <t>CFAP58</t>
  </si>
  <si>
    <t>ENSG00000138166.6</t>
  </si>
  <si>
    <t>DUSP5</t>
  </si>
  <si>
    <t>ENSG00000203867.8</t>
  </si>
  <si>
    <t>RBM20</t>
  </si>
  <si>
    <t>ENSG00000150593.18</t>
  </si>
  <si>
    <t>PDCD4</t>
  </si>
  <si>
    <t>ENSG00000150594.6</t>
  </si>
  <si>
    <t>ADRA2A</t>
  </si>
  <si>
    <t>ENSG00000119913.5</t>
  </si>
  <si>
    <t>TECTB</t>
  </si>
  <si>
    <t>ENSG00000197893.13</t>
  </si>
  <si>
    <t>NRAP</t>
  </si>
  <si>
    <t>ENSG00000198924.8</t>
  </si>
  <si>
    <t>DCLRE1A</t>
  </si>
  <si>
    <t>ENSG00000095627.9</t>
  </si>
  <si>
    <t>TDRD1</t>
  </si>
  <si>
    <t>ENSG00000165816.13</t>
  </si>
  <si>
    <t>VWA2</t>
  </si>
  <si>
    <t>ENSG00000169129.15</t>
  </si>
  <si>
    <t>AFAP1L2</t>
  </si>
  <si>
    <t>ENSG00000107518.18</t>
  </si>
  <si>
    <t>ATRNL1</t>
  </si>
  <si>
    <t>ENSG00000151892.14</t>
  </si>
  <si>
    <t>GFRA1</t>
  </si>
  <si>
    <t>ENSG00000165868.14</t>
  </si>
  <si>
    <t>HSPA12A</t>
  </si>
  <si>
    <t>ENSG00000165646.13</t>
  </si>
  <si>
    <t>SLC18A2</t>
  </si>
  <si>
    <t>ENSG00000165650.12</t>
  </si>
  <si>
    <t>PDZD8</t>
  </si>
  <si>
    <t>ENSG00000183605.16</t>
  </si>
  <si>
    <t>SFXN4</t>
  </si>
  <si>
    <t>ENSG00000066468.22</t>
  </si>
  <si>
    <t>FGFR2</t>
  </si>
  <si>
    <t>ENSG00000107672.15</t>
  </si>
  <si>
    <t>NSMCE4A</t>
  </si>
  <si>
    <t>ENSG00000187908.18</t>
  </si>
  <si>
    <t>DMBT1</t>
  </si>
  <si>
    <t>ENSG00000119965.13</t>
  </si>
  <si>
    <t>C10orf88</t>
  </si>
  <si>
    <t>ENSG00000229544.9</t>
  </si>
  <si>
    <t>NKX1-2</t>
  </si>
  <si>
    <t>ENSG00000175029.17</t>
  </si>
  <si>
    <t>CTBP2</t>
  </si>
  <si>
    <t>ENSG00000089876.11</t>
  </si>
  <si>
    <t>DHX32</t>
  </si>
  <si>
    <t>ENSG00000148848.14</t>
  </si>
  <si>
    <t>ADAM12</t>
  </si>
  <si>
    <t>ENSG00000154493.18</t>
  </si>
  <si>
    <t>C10orf90</t>
  </si>
  <si>
    <t>ENSG00000188916.9</t>
  </si>
  <si>
    <t>INSYN2</t>
  </si>
  <si>
    <t>ENSG00000186766.7</t>
  </si>
  <si>
    <t>FOXI2</t>
  </si>
  <si>
    <t>ENSG00000132334.16</t>
  </si>
  <si>
    <t>PTPRE</t>
  </si>
  <si>
    <t>ENSG00000151640.13</t>
  </si>
  <si>
    <t>DPYSL4</t>
  </si>
  <si>
    <t>ENSG00000151651.16</t>
  </si>
  <si>
    <t>ADAM8</t>
  </si>
  <si>
    <t>ENSG00000198546.15</t>
  </si>
  <si>
    <t>ZNF511</t>
  </si>
  <si>
    <t>ENSG00000165828.15</t>
  </si>
  <si>
    <t>PRAP1</t>
  </si>
  <si>
    <t>ENSG00000203772.7</t>
  </si>
  <si>
    <t>SPRN</t>
  </si>
  <si>
    <t>ENSG00000214279.13</t>
  </si>
  <si>
    <t>SCART1</t>
  </si>
  <si>
    <t>ENSG00000174885.12</t>
  </si>
  <si>
    <t>NLRP6</t>
  </si>
  <si>
    <t>ENSG00000185201.16</t>
  </si>
  <si>
    <t>IFITM2</t>
  </si>
  <si>
    <t>ENSG00000185885.16</t>
  </si>
  <si>
    <t>IFITM1</t>
  </si>
  <si>
    <t>ENSG00000142089.16</t>
  </si>
  <si>
    <t>IFITM3</t>
  </si>
  <si>
    <t>ENSG00000182272.12</t>
  </si>
  <si>
    <t>B4GALNT4</t>
  </si>
  <si>
    <t>ENSG00000184363.10</t>
  </si>
  <si>
    <t>PKP3</t>
  </si>
  <si>
    <t>ENSG00000174775.17</t>
  </si>
  <si>
    <t>HRAS</t>
  </si>
  <si>
    <t>ENSG00000177042.14</t>
  </si>
  <si>
    <t>TMEM80</t>
  </si>
  <si>
    <t>ENSG00000177542.11</t>
  </si>
  <si>
    <t>SLC25A22</t>
  </si>
  <si>
    <t>ENSG00000177595.18</t>
  </si>
  <si>
    <t>PIDD1</t>
  </si>
  <si>
    <t>ENSG00000184956.16</t>
  </si>
  <si>
    <t>MUC6</t>
  </si>
  <si>
    <t>ENSG00000198788.8</t>
  </si>
  <si>
    <t>MUC2</t>
  </si>
  <si>
    <t>ENSG00000215182.8</t>
  </si>
  <si>
    <t>MUC5AC</t>
  </si>
  <si>
    <t>ENSG00000149043.16</t>
  </si>
  <si>
    <t>SYT8</t>
  </si>
  <si>
    <t>ENSG00000130598.16</t>
  </si>
  <si>
    <t>TNNI2</t>
  </si>
  <si>
    <t>ENSG00000130592.15</t>
  </si>
  <si>
    <t>LSP1</t>
  </si>
  <si>
    <t>ENSG00000130595.19</t>
  </si>
  <si>
    <t>TNNT3</t>
  </si>
  <si>
    <t>ENSG00000214026.11</t>
  </si>
  <si>
    <t>MRPL23</t>
  </si>
  <si>
    <t>ENSG00000167244.20</t>
  </si>
  <si>
    <t>IGF2</t>
  </si>
  <si>
    <t>ENSG00000070985.13</t>
  </si>
  <si>
    <t>TRPM5</t>
  </si>
  <si>
    <t>ENSG00000053918.16</t>
  </si>
  <si>
    <t>KCNQ1</t>
  </si>
  <si>
    <t>ENSG00000181649.7</t>
  </si>
  <si>
    <t>PHLDA2</t>
  </si>
  <si>
    <t>ENSG00000005801.18</t>
  </si>
  <si>
    <t>ZNF195</t>
  </si>
  <si>
    <t>ENSG00000129749.3</t>
  </si>
  <si>
    <t>CHRNA10</t>
  </si>
  <si>
    <t>ENSG00000132256.18</t>
  </si>
  <si>
    <t>TRIM5</t>
  </si>
  <si>
    <t>ENSG00000132274.16</t>
  </si>
  <si>
    <t>TRIM22</t>
  </si>
  <si>
    <t>ENSG00000181023.7</t>
  </si>
  <si>
    <t>OR56B1</t>
  </si>
  <si>
    <t>ENSG00000181074.4</t>
  </si>
  <si>
    <t>OR52N4</t>
  </si>
  <si>
    <t>ENSG00000180934.6</t>
  </si>
  <si>
    <t>OR56A1</t>
  </si>
  <si>
    <t>ENSG00000110169.11</t>
  </si>
  <si>
    <t>HPX</t>
  </si>
  <si>
    <t>ENSG00000110171.20</t>
  </si>
  <si>
    <t>TRIM3</t>
  </si>
  <si>
    <t>ENSG00000158042.8</t>
  </si>
  <si>
    <t>MRPL17</t>
  </si>
  <si>
    <t>ENSG00000170743.17</t>
  </si>
  <si>
    <t>SYT9</t>
  </si>
  <si>
    <t>ENSG00000166405.15</t>
  </si>
  <si>
    <t>RIC3</t>
  </si>
  <si>
    <t>ENSG00000166436.16</t>
  </si>
  <si>
    <t>TRIM66</t>
  </si>
  <si>
    <t>ENSG00000175352.11</t>
  </si>
  <si>
    <t>NRIP3</t>
  </si>
  <si>
    <t>ENSG00000133805.15</t>
  </si>
  <si>
    <t>AMPD3</t>
  </si>
  <si>
    <t>ENSG00000133800.8</t>
  </si>
  <si>
    <t>LYVE1</t>
  </si>
  <si>
    <t>ENSG00000072952.18</t>
  </si>
  <si>
    <t>MRVI1</t>
  </si>
  <si>
    <t>ENSG00000050165.17</t>
  </si>
  <si>
    <t>DKK3</t>
  </si>
  <si>
    <t>ENSG00000148925.10</t>
  </si>
  <si>
    <t>BTBD10</t>
  </si>
  <si>
    <t>ENSG00000262655.4</t>
  </si>
  <si>
    <t>SPON1</t>
  </si>
  <si>
    <t>ENSG00000152270.9</t>
  </si>
  <si>
    <t>PDE3B</t>
  </si>
  <si>
    <t>ENSG00000110693.17</t>
  </si>
  <si>
    <t>SOX6</t>
  </si>
  <si>
    <t>ENSG00000166689.16</t>
  </si>
  <si>
    <t>PLEKHA7</t>
  </si>
  <si>
    <t>ENSG00000188211.8</t>
  </si>
  <si>
    <t>NCR3LG1</t>
  </si>
  <si>
    <t>ENSG00000006071.13</t>
  </si>
  <si>
    <t>ABCC8</t>
  </si>
  <si>
    <t>ENSG00000188162.10</t>
  </si>
  <si>
    <t>OTOG</t>
  </si>
  <si>
    <t>ENSG00000129158.11</t>
  </si>
  <si>
    <t>SERGEF</t>
  </si>
  <si>
    <t>ENSG00000129167.9</t>
  </si>
  <si>
    <t>TPH1</t>
  </si>
  <si>
    <t>ENSG00000148965.10</t>
  </si>
  <si>
    <t>SAA4</t>
  </si>
  <si>
    <t>ENSG00000110756.17</t>
  </si>
  <si>
    <t>HPS5</t>
  </si>
  <si>
    <t>ENSG00000134333.14</t>
  </si>
  <si>
    <t>LDHA</t>
  </si>
  <si>
    <t>ENSG00000151116.17</t>
  </si>
  <si>
    <t>UEVLD</t>
  </si>
  <si>
    <t>ENSG00000151117.9</t>
  </si>
  <si>
    <t>TMEM86A</t>
  </si>
  <si>
    <t>ENSG00000165973.18</t>
  </si>
  <si>
    <t>NELL1</t>
  </si>
  <si>
    <t>ENSG00000171714.11</t>
  </si>
  <si>
    <t>ANO5</t>
  </si>
  <si>
    <t>ENSG00000148935.11</t>
  </si>
  <si>
    <t>GAS2</t>
  </si>
  <si>
    <t>ENSG00000198168.9</t>
  </si>
  <si>
    <t>SVIP</t>
  </si>
  <si>
    <t>ENSG00000176697.19</t>
  </si>
  <si>
    <t>BDNF</t>
  </si>
  <si>
    <t>ENSG00000184937.14</t>
  </si>
  <si>
    <t>WT1</t>
  </si>
  <si>
    <t>ENSG00000186714.12</t>
  </si>
  <si>
    <t>CCDC73</t>
  </si>
  <si>
    <t>ENSG00000176148.16</t>
  </si>
  <si>
    <t>TCP11L1</t>
  </si>
  <si>
    <t>ENSG00000176102.13</t>
  </si>
  <si>
    <t>CSTF3</t>
  </si>
  <si>
    <t>ENSG00000135372.9</t>
  </si>
  <si>
    <t>NAT10</t>
  </si>
  <si>
    <t>ENSG00000121691.6</t>
  </si>
  <si>
    <t>CAT</t>
  </si>
  <si>
    <t>ENSG00000110436.13</t>
  </si>
  <si>
    <t>SLC1A2</t>
  </si>
  <si>
    <t>ENSG00000149090.11</t>
  </si>
  <si>
    <t>PAMR1</t>
  </si>
  <si>
    <t>ENSG00000179431.6</t>
  </si>
  <si>
    <t>FJX1</t>
  </si>
  <si>
    <t>ENSG00000135362.14</t>
  </si>
  <si>
    <t>PRR5L</t>
  </si>
  <si>
    <t>ENSG00000085117.12</t>
  </si>
  <si>
    <t>CD82</t>
  </si>
  <si>
    <t>ENSG00000157570.11</t>
  </si>
  <si>
    <t>TSPAN18</t>
  </si>
  <si>
    <t>ENSG00000175274.18</t>
  </si>
  <si>
    <t>TP53I11</t>
  </si>
  <si>
    <t>ENSG00000181830.8</t>
  </si>
  <si>
    <t>SLC35C1</t>
  </si>
  <si>
    <t>ENSG00000165905.18</t>
  </si>
  <si>
    <t>LARGE2</t>
  </si>
  <si>
    <t>ENSG00000149091.15</t>
  </si>
  <si>
    <t>DGKZ</t>
  </si>
  <si>
    <t>ENSG00000180720.7</t>
  </si>
  <si>
    <t>CHRM4</t>
  </si>
  <si>
    <t>ENSG00000134569.10</t>
  </si>
  <si>
    <t>LRP4</t>
  </si>
  <si>
    <t>ENSG00000134574.11</t>
  </si>
  <si>
    <t>DDB2</t>
  </si>
  <si>
    <t>ENSG00000134571.10</t>
  </si>
  <si>
    <t>MYBPC3</t>
  </si>
  <si>
    <t>ENSG00000165923.16</t>
  </si>
  <si>
    <t>AGBL2</t>
  </si>
  <si>
    <t>ENSG00000149177.13</t>
  </si>
  <si>
    <t>PTPRJ</t>
  </si>
  <si>
    <t>ENSG00000149115.14</t>
  </si>
  <si>
    <t>TNKS1BP1</t>
  </si>
  <si>
    <t>ENSG00000149136.9</t>
  </si>
  <si>
    <t>SSRP1</t>
  </si>
  <si>
    <t>ENSG00000186907.8</t>
  </si>
  <si>
    <t>RTN4RL2</t>
  </si>
  <si>
    <t>ENSG00000149150.9</t>
  </si>
  <si>
    <t>SLC43A1</t>
  </si>
  <si>
    <t>ENSG00000172409.6</t>
  </si>
  <si>
    <t>CLP1</t>
  </si>
  <si>
    <t>ENSG00000233436.7</t>
  </si>
  <si>
    <t>BTBD18</t>
  </si>
  <si>
    <t>ENSG00000110031.12</t>
  </si>
  <si>
    <t>LPXN</t>
  </si>
  <si>
    <t>ENSG00000189057.11</t>
  </si>
  <si>
    <t>FAM111B</t>
  </si>
  <si>
    <t>ENSG00000110042.8</t>
  </si>
  <si>
    <t>DTX4</t>
  </si>
  <si>
    <t>ENSG00000166902.5</t>
  </si>
  <si>
    <t>MRPL16</t>
  </si>
  <si>
    <t>ENSG00000214787.10</t>
  </si>
  <si>
    <t>MS4A4E</t>
  </si>
  <si>
    <t>ENSG00000149506.11</t>
  </si>
  <si>
    <t>ZP1</t>
  </si>
  <si>
    <t>ENSG00000110108.10</t>
  </si>
  <si>
    <t>TMEM109</t>
  </si>
  <si>
    <t>ENSG00000013725.14</t>
  </si>
  <si>
    <t>CD6</t>
  </si>
  <si>
    <t>ENSG00000110448.11</t>
  </si>
  <si>
    <t>CD5</t>
  </si>
  <si>
    <t>ENSG00000149476.15</t>
  </si>
  <si>
    <t>TKFC</t>
  </si>
  <si>
    <t>ENSG00000187049.9</t>
  </si>
  <si>
    <t>TMEM216</t>
  </si>
  <si>
    <t>ENSG00000011347.9</t>
  </si>
  <si>
    <t>SYT7</t>
  </si>
  <si>
    <t>ENSG00000124920.13</t>
  </si>
  <si>
    <t>MYRF</t>
  </si>
  <si>
    <t>ENSG00000134824.14</t>
  </si>
  <si>
    <t>FADS2</t>
  </si>
  <si>
    <t>ENSG00000221968.9</t>
  </si>
  <si>
    <t>FADS3</t>
  </si>
  <si>
    <t>ENSG00000149021.7</t>
  </si>
  <si>
    <t>SCGB1A1</t>
  </si>
  <si>
    <t>ENSG00000149499.11</t>
  </si>
  <si>
    <t>EML3</t>
  </si>
  <si>
    <t>ENSG00000162227.8</t>
  </si>
  <si>
    <t>TAF6L</t>
  </si>
  <si>
    <t>ENSG00000168003.16</t>
  </si>
  <si>
    <t>SLC3A2</t>
  </si>
  <si>
    <t>ENSG00000168004.9</t>
  </si>
  <si>
    <t>HRASLS5</t>
  </si>
  <si>
    <t>ENSG00000176485.11</t>
  </si>
  <si>
    <t>PLA2G16</t>
  </si>
  <si>
    <t>ENSG00000168005.9</t>
  </si>
  <si>
    <t>SPINDOC</t>
  </si>
  <si>
    <t>ENSG00000167771.6</t>
  </si>
  <si>
    <t>RCOR2</t>
  </si>
  <si>
    <t>ENSG00000133315.11</t>
  </si>
  <si>
    <t>MACROD1</t>
  </si>
  <si>
    <t>ENSG00000149743.14</t>
  </si>
  <si>
    <t>TRPT1</t>
  </si>
  <si>
    <t>ENSG00000149782.11</t>
  </si>
  <si>
    <t>PLCB3</t>
  </si>
  <si>
    <t>ENSG00000168065.15</t>
  </si>
  <si>
    <t>SLC22A11</t>
  </si>
  <si>
    <t>ENSG00000168066.20</t>
  </si>
  <si>
    <t>SF1</t>
  </si>
  <si>
    <t>ENSG00000168067.12</t>
  </si>
  <si>
    <t>MAP4K2</t>
  </si>
  <si>
    <t>ENSG00000171219.9</t>
  </si>
  <si>
    <t>CDC42BPG</t>
  </si>
  <si>
    <t>ENSG00000110046.13</t>
  </si>
  <si>
    <t>ATG2A</t>
  </si>
  <si>
    <t>ENSG00000149735.7</t>
  </si>
  <si>
    <t>GPHA2</t>
  </si>
  <si>
    <t>ENSG00000213465.8</t>
  </si>
  <si>
    <t>ARL2</t>
  </si>
  <si>
    <t>ENSG00000168060.16</t>
  </si>
  <si>
    <t>NAALADL1</t>
  </si>
  <si>
    <t>ENSG00000146670.10</t>
  </si>
  <si>
    <t>CDCA5</t>
  </si>
  <si>
    <t>ENSG00000149809.14</t>
  </si>
  <si>
    <t>TM7SF2</t>
  </si>
  <si>
    <t>ENSG00000204710.2</t>
  </si>
  <si>
    <t>SPDYC</t>
  </si>
  <si>
    <t>ENSG00000173825.7</t>
  </si>
  <si>
    <t>TIGD3</t>
  </si>
  <si>
    <t>ENSG00000162241.12</t>
  </si>
  <si>
    <t>SLC25A45</t>
  </si>
  <si>
    <t>ENSG00000126391.14</t>
  </si>
  <si>
    <t>FRMD8</t>
  </si>
  <si>
    <t>ENSG00000142186.17</t>
  </si>
  <si>
    <t>SCYL1</t>
  </si>
  <si>
    <t>ENSG00000176973.8</t>
  </si>
  <si>
    <t>FAM89B</t>
  </si>
  <si>
    <t>ENSG00000173327.8</t>
  </si>
  <si>
    <t>MAP3K11</t>
  </si>
  <si>
    <t>ENSG00000172818.10</t>
  </si>
  <si>
    <t>OVOL1</t>
  </si>
  <si>
    <t>ENSG00000172803.18</t>
  </si>
  <si>
    <t>SNX32</t>
  </si>
  <si>
    <t>ENSG00000175602.3</t>
  </si>
  <si>
    <t>CCDC85B</t>
  </si>
  <si>
    <t>ENSG00000175592.8</t>
  </si>
  <si>
    <t>FOSL1</t>
  </si>
  <si>
    <t>ENSG00000175294.5</t>
  </si>
  <si>
    <t>CATSPER1</t>
  </si>
  <si>
    <t>ENSG00000174807.4</t>
  </si>
  <si>
    <t>CD248</t>
  </si>
  <si>
    <t>ENSG00000174791.11</t>
  </si>
  <si>
    <t>RIN1</t>
  </si>
  <si>
    <t>ENSG00000174684.7</t>
  </si>
  <si>
    <t>B4GAT1</t>
  </si>
  <si>
    <t>ENSG00000174483.20</t>
  </si>
  <si>
    <t>BBS1</t>
  </si>
  <si>
    <t>ENSG00000173599.14</t>
  </si>
  <si>
    <t>PC</t>
  </si>
  <si>
    <t>ENSG00000173227.14</t>
  </si>
  <si>
    <t>SYT12</t>
  </si>
  <si>
    <t>ENSG00000173156.7</t>
  </si>
  <si>
    <t>RHOD</t>
  </si>
  <si>
    <t>ENSG00000175482.9</t>
  </si>
  <si>
    <t>POLD4</t>
  </si>
  <si>
    <t>ENSG00000172663.9</t>
  </si>
  <si>
    <t>TMEM134</t>
  </si>
  <si>
    <t>ENSG00000132744.8</t>
  </si>
  <si>
    <t>ACY3</t>
  </si>
  <si>
    <t>ENSG00000110057.8</t>
  </si>
  <si>
    <t>UNC93B1</t>
  </si>
  <si>
    <t>ENSG00000110721.12</t>
  </si>
  <si>
    <t>CHKA</t>
  </si>
  <si>
    <t>ENSG00000110090.13</t>
  </si>
  <si>
    <t>CPT1A</t>
  </si>
  <si>
    <t>ENSG00000162341.17</t>
  </si>
  <si>
    <t>TPCN2</t>
  </si>
  <si>
    <t>ENSG00000284713.1</t>
  </si>
  <si>
    <t>SMIM38</t>
  </si>
  <si>
    <t>ENSG00000172927.8</t>
  </si>
  <si>
    <t>MYEOV</t>
  </si>
  <si>
    <t>ENSG00000162344.4</t>
  </si>
  <si>
    <t>FGF19</t>
  </si>
  <si>
    <t>ENSG00000172893.15</t>
  </si>
  <si>
    <t>DHCR7</t>
  </si>
  <si>
    <t>ENSG00000172890.12</t>
  </si>
  <si>
    <t>NADSYN1</t>
  </si>
  <si>
    <t>ENSG00000110200.8</t>
  </si>
  <si>
    <t>ANAPC15</t>
  </si>
  <si>
    <t>ENSG00000162129.13</t>
  </si>
  <si>
    <t>CLPB</t>
  </si>
  <si>
    <t>ENSG00000186642.16</t>
  </si>
  <si>
    <t>PDE2A</t>
  </si>
  <si>
    <t>ENSG00000168010.11</t>
  </si>
  <si>
    <t>ATG16L2</t>
  </si>
  <si>
    <t>ENSG00000175591.11</t>
  </si>
  <si>
    <t>P2RY2</t>
  </si>
  <si>
    <t>ENSG00000021300.14</t>
  </si>
  <si>
    <t>PLEKHB1</t>
  </si>
  <si>
    <t>ENSG00000175567.9</t>
  </si>
  <si>
    <t>UCP2</t>
  </si>
  <si>
    <t>ENSG00000162139.10</t>
  </si>
  <si>
    <t>NEU3</t>
  </si>
  <si>
    <t>ENSG00000137491.14</t>
  </si>
  <si>
    <t>SLCO2B1</t>
  </si>
  <si>
    <t>ENSG00000137486.17</t>
  </si>
  <si>
    <t>ARRB1</t>
  </si>
  <si>
    <t>ENSG00000171533.11</t>
  </si>
  <si>
    <t>MAP6</t>
  </si>
  <si>
    <t>ENSG00000085741.13</t>
  </si>
  <si>
    <t>WNT11</t>
  </si>
  <si>
    <t>ENSG00000137474.21</t>
  </si>
  <si>
    <t>MYO7A</t>
  </si>
  <si>
    <t>ENSG00000178301.3</t>
  </si>
  <si>
    <t>AQP11</t>
  </si>
  <si>
    <t>ENSG00000151364.17</t>
  </si>
  <si>
    <t>KCTD14</t>
  </si>
  <si>
    <t>ENSG00000151366.13</t>
  </si>
  <si>
    <t>NDUFC2</t>
  </si>
  <si>
    <t>ENSG00000137513.10</t>
  </si>
  <si>
    <t>NARS2</t>
  </si>
  <si>
    <t>ENSG00000149256.15</t>
  </si>
  <si>
    <t>TENM4</t>
  </si>
  <si>
    <t>ENSG00000137502.10</t>
  </si>
  <si>
    <t>RAB30</t>
  </si>
  <si>
    <t>ENSG00000137500.9</t>
  </si>
  <si>
    <t>CCDC90B</t>
  </si>
  <si>
    <t>ENSG00000137501.17</t>
  </si>
  <si>
    <t>SYTL2</t>
  </si>
  <si>
    <t>ENSG00000150676.12</t>
  </si>
  <si>
    <t>CCDC83</t>
  </si>
  <si>
    <t>ENSG00000074266.20</t>
  </si>
  <si>
    <t>EED</t>
  </si>
  <si>
    <t>ENSG00000151376.16</t>
  </si>
  <si>
    <t>ME3</t>
  </si>
  <si>
    <t>ENSG00000150687.12</t>
  </si>
  <si>
    <t>PRSS23</t>
  </si>
  <si>
    <t>ENSG00000174804.4</t>
  </si>
  <si>
    <t>FZD4</t>
  </si>
  <si>
    <t>ENSG00000166575.17</t>
  </si>
  <si>
    <t>TMEM135</t>
  </si>
  <si>
    <t>ENSG00000109861.16</t>
  </si>
  <si>
    <t>CTSC</t>
  </si>
  <si>
    <t>ENSG00000168959.14</t>
  </si>
  <si>
    <t>GRM5</t>
  </si>
  <si>
    <t>ENSG00000086991.13</t>
  </si>
  <si>
    <t>NOX4</t>
  </si>
  <si>
    <t>ENSG00000077616.11</t>
  </si>
  <si>
    <t>NAALAD2</t>
  </si>
  <si>
    <t>ENSG00000165323.15</t>
  </si>
  <si>
    <t>FAT3</t>
  </si>
  <si>
    <t>ENSG00000181333.11</t>
  </si>
  <si>
    <t>HEPHL1</t>
  </si>
  <si>
    <t>ENSG00000183560.9</t>
  </si>
  <si>
    <t>IZUMO1R</t>
  </si>
  <si>
    <t>ENSG00000134627.12</t>
  </si>
  <si>
    <t>PIWIL4</t>
  </si>
  <si>
    <t>ENSG00000166025.18</t>
  </si>
  <si>
    <t>AMOTL1</t>
  </si>
  <si>
    <t>ENSG00000263465.4</t>
  </si>
  <si>
    <t>SRSF8</t>
  </si>
  <si>
    <t>ENSG00000149218.5</t>
  </si>
  <si>
    <t>ENDOD1</t>
  </si>
  <si>
    <t>ENSG00000149212.11</t>
  </si>
  <si>
    <t>SESN3</t>
  </si>
  <si>
    <t>ENSG00000149972.11</t>
  </si>
  <si>
    <t>CNTN5</t>
  </si>
  <si>
    <t>ENSG00000165895.19</t>
  </si>
  <si>
    <t>ARHGAP42</t>
  </si>
  <si>
    <t>ENSG00000082175.14</t>
  </si>
  <si>
    <t>PGR</t>
  </si>
  <si>
    <t>ENSG00000137672.13</t>
  </si>
  <si>
    <t>TRPC6</t>
  </si>
  <si>
    <t>ENSG00000187151.7</t>
  </si>
  <si>
    <t>ANGPTL5</t>
  </si>
  <si>
    <t>ENSG00000118113.12</t>
  </si>
  <si>
    <t>MMP8</t>
  </si>
  <si>
    <t>ENSG00000137692.12</t>
  </si>
  <si>
    <t>DCUN1D5</t>
  </si>
  <si>
    <t>ENSG00000187240.15</t>
  </si>
  <si>
    <t>DYNC2H1</t>
  </si>
  <si>
    <t>ENSG00000152402.10</t>
  </si>
  <si>
    <t>GUCY1A2</t>
  </si>
  <si>
    <t>ENSG00000075239.13</t>
  </si>
  <si>
    <t>ACAT1</t>
  </si>
  <si>
    <t>ENSG00000166323.13</t>
  </si>
  <si>
    <t>C11orf65</t>
  </si>
  <si>
    <t>ENSG00000178202.13</t>
  </si>
  <si>
    <t>KDELC2</t>
  </si>
  <si>
    <t>ENSG00000110723.12</t>
  </si>
  <si>
    <t>EXPH5</t>
  </si>
  <si>
    <t>ENSG00000137710.15</t>
  </si>
  <si>
    <t>RDX</t>
  </si>
  <si>
    <t>ENSG00000137714.3</t>
  </si>
  <si>
    <t>FDX1</t>
  </si>
  <si>
    <t>ENSG00000137727.12</t>
  </si>
  <si>
    <t>ARHGAP20</t>
  </si>
  <si>
    <t>ENSG00000110777.12</t>
  </si>
  <si>
    <t>POU2AF1</t>
  </si>
  <si>
    <t>ENSG00000204381.11</t>
  </si>
  <si>
    <t>LAYN</t>
  </si>
  <si>
    <t>ENSG00000255561.7</t>
  </si>
  <si>
    <t>FDXACB1</t>
  </si>
  <si>
    <t>ENSG00000137720.8</t>
  </si>
  <si>
    <t>C11orf1</t>
  </si>
  <si>
    <t>ENSG00000150764.13</t>
  </si>
  <si>
    <t>DIXDC1</t>
  </si>
  <si>
    <t>ENSG00000150768.15</t>
  </si>
  <si>
    <t>DLAT</t>
  </si>
  <si>
    <t>ENSG00000150773.10</t>
  </si>
  <si>
    <t>PIH1D2</t>
  </si>
  <si>
    <t>ENSG00000150782.12</t>
  </si>
  <si>
    <t>IL18</t>
  </si>
  <si>
    <t>ENSG00000197580.11</t>
  </si>
  <si>
    <t>BCO2</t>
  </si>
  <si>
    <t>ENSG00000149294.16</t>
  </si>
  <si>
    <t>NCAM1</t>
  </si>
  <si>
    <t>ENSG00000149292.16</t>
  </si>
  <si>
    <t>TTC12</t>
  </si>
  <si>
    <t>ENSG00000149295.14</t>
  </si>
  <si>
    <t>DRD2</t>
  </si>
  <si>
    <t>ENSG00000109906.13</t>
  </si>
  <si>
    <t>ZBTB16</t>
  </si>
  <si>
    <t>ENSG00000076043.10</t>
  </si>
  <si>
    <t>REXO2</t>
  </si>
  <si>
    <t>ENSG00000095110.8</t>
  </si>
  <si>
    <t>NXPE1</t>
  </si>
  <si>
    <t>ENSG00000110243.11</t>
  </si>
  <si>
    <t>APOA5</t>
  </si>
  <si>
    <t>ENSG00000110244.7</t>
  </si>
  <si>
    <t>APOA4</t>
  </si>
  <si>
    <t>ENSG00000110245.12</t>
  </si>
  <si>
    <t>APOC3</t>
  </si>
  <si>
    <t>ENSG00000149577.15</t>
  </si>
  <si>
    <t>SIDT2</t>
  </si>
  <si>
    <t>ENSG00000149591.16</t>
  </si>
  <si>
    <t>TAGLN</t>
  </si>
  <si>
    <t>ENSG00000186318.16</t>
  </si>
  <si>
    <t>BACE1</t>
  </si>
  <si>
    <t>ENSG00000110274.16</t>
  </si>
  <si>
    <t>CEP164</t>
  </si>
  <si>
    <t>ENSG00000177103.14</t>
  </si>
  <si>
    <t>DSCAML1</t>
  </si>
  <si>
    <t>ENSG00000137731.14</t>
  </si>
  <si>
    <t>FXYD2</t>
  </si>
  <si>
    <t>ENSG00000137747.16</t>
  </si>
  <si>
    <t>TMPRSS13</t>
  </si>
  <si>
    <t>ENSG00000255274.9</t>
  </si>
  <si>
    <t>SMIM35</t>
  </si>
  <si>
    <t>ENSG00000137648.17</t>
  </si>
  <si>
    <t>TMPRSS4</t>
  </si>
  <si>
    <t>ENSG00000177098.8</t>
  </si>
  <si>
    <t>SCN4B</t>
  </si>
  <si>
    <t>ENSG00000149575.5</t>
  </si>
  <si>
    <t>SCN2B</t>
  </si>
  <si>
    <t>ENSG00000149573.9</t>
  </si>
  <si>
    <t>MPZL2</t>
  </si>
  <si>
    <t>ENSG00000167286.9</t>
  </si>
  <si>
    <t>CD3D</t>
  </si>
  <si>
    <t>ENSG00000118094.11</t>
  </si>
  <si>
    <t>TREH</t>
  </si>
  <si>
    <t>ENSG00000188486.3</t>
  </si>
  <si>
    <t>H2AFX</t>
  </si>
  <si>
    <t>ENSG00000172350.10</t>
  </si>
  <si>
    <t>ABCG4</t>
  </si>
  <si>
    <t>ENSG00000160703.16</t>
  </si>
  <si>
    <t>NLRX1</t>
  </si>
  <si>
    <t>ENSG00000036672.16</t>
  </si>
  <si>
    <t>USP2</t>
  </si>
  <si>
    <t>ENSG00000137699.17</t>
  </si>
  <si>
    <t>TRIM29</t>
  </si>
  <si>
    <t>ENSG00000137709.10</t>
  </si>
  <si>
    <t>POU2F3</t>
  </si>
  <si>
    <t>ENSG00000149403.12</t>
  </si>
  <si>
    <t>GRIK4</t>
  </si>
  <si>
    <t>ENSG00000154114.12</t>
  </si>
  <si>
    <t>TBCEL</t>
  </si>
  <si>
    <t>ENSG00000109929.10</t>
  </si>
  <si>
    <t>SC5D</t>
  </si>
  <si>
    <t>ENSG00000154127.10</t>
  </si>
  <si>
    <t>UBASH3B</t>
  </si>
  <si>
    <t>ENSG00000166250.12</t>
  </si>
  <si>
    <t>CLMP</t>
  </si>
  <si>
    <t>ENSG00000166257.8</t>
  </si>
  <si>
    <t>SCN3B</t>
  </si>
  <si>
    <t>ENSG00000181518.4</t>
  </si>
  <si>
    <t>OR8D4</t>
  </si>
  <si>
    <t>ENSG00000197849.6</t>
  </si>
  <si>
    <t>OR8G1</t>
  </si>
  <si>
    <t>ENSG00000255298.3</t>
  </si>
  <si>
    <t>OR8G5</t>
  </si>
  <si>
    <t>ENSG00000110013.12</t>
  </si>
  <si>
    <t>SIAE</t>
  </si>
  <si>
    <t>ENSG00000064199.6</t>
  </si>
  <si>
    <t>SPA17</t>
  </si>
  <si>
    <t>ENSG00000154146.13</t>
  </si>
  <si>
    <t>NRGN</t>
  </si>
  <si>
    <t>ENSG00000149564.12</t>
  </si>
  <si>
    <t>ESAM</t>
  </si>
  <si>
    <t>ENSG00000134955.11</t>
  </si>
  <si>
    <t>SLC37A2</t>
  </si>
  <si>
    <t>ENSG00000165495.16</t>
  </si>
  <si>
    <t>PKNOX2</t>
  </si>
  <si>
    <t>ENSG00000149557.13</t>
  </si>
  <si>
    <t>FEZ1</t>
  </si>
  <si>
    <t>ENSG00000149547.15</t>
  </si>
  <si>
    <t>EI24</t>
  </si>
  <si>
    <t>ENSG00000149554.12</t>
  </si>
  <si>
    <t>CHEK1</t>
  </si>
  <si>
    <t>ENSG00000064309.14</t>
  </si>
  <si>
    <t>CDON</t>
  </si>
  <si>
    <t>ENSG00000110063.10</t>
  </si>
  <si>
    <t>DCPS</t>
  </si>
  <si>
    <t>ENSG00000110080.18</t>
  </si>
  <si>
    <t>ST3GAL4</t>
  </si>
  <si>
    <t>ENSG00000174370.9</t>
  </si>
  <si>
    <t>C11orf45</t>
  </si>
  <si>
    <t>ENSG00000134917.10</t>
  </si>
  <si>
    <t>ADAMTS8</t>
  </si>
  <si>
    <t>ENSG00000120451.10</t>
  </si>
  <si>
    <t>SNX19</t>
  </si>
  <si>
    <t>ENSG00000183715.13</t>
  </si>
  <si>
    <t>OPCML</t>
  </si>
  <si>
    <t>ENSG00000080854.14</t>
  </si>
  <si>
    <t>IGSF9B</t>
  </si>
  <si>
    <t>ENSG00000166086.12</t>
  </si>
  <si>
    <t>JAM3</t>
  </si>
  <si>
    <t>ENSG00000151503.12</t>
  </si>
  <si>
    <t>NCAPD3</t>
  </si>
  <si>
    <t>ENSG00000151502.11</t>
  </si>
  <si>
    <t>VPS26B</t>
  </si>
  <si>
    <t>ENSG00000166105.16</t>
  </si>
  <si>
    <t>GLB1L3</t>
  </si>
  <si>
    <t>ENSG00000149328.14</t>
  </si>
  <si>
    <t>GLB1L2</t>
  </si>
  <si>
    <t>ENSG00000120645.11</t>
  </si>
  <si>
    <t>IQSEC3</t>
  </si>
  <si>
    <t>ENSG00000010379.16</t>
  </si>
  <si>
    <t>SLC6A13</t>
  </si>
  <si>
    <t>ENSG00000060237.17</t>
  </si>
  <si>
    <t>WNK1</t>
  </si>
  <si>
    <t>ENSG00000002016.17</t>
  </si>
  <si>
    <t>RAD52</t>
  </si>
  <si>
    <t>ENSG00000111186.13</t>
  </si>
  <si>
    <t>WNT5B</t>
  </si>
  <si>
    <t>ENSG00000151062.15</t>
  </si>
  <si>
    <t>CACNA2D4</t>
  </si>
  <si>
    <t>ENSG00000151065.14</t>
  </si>
  <si>
    <t>DCP1B</t>
  </si>
  <si>
    <t>ENSG00000151067.21</t>
  </si>
  <si>
    <t>CACNA1C</t>
  </si>
  <si>
    <t>ENSG00000004478.8</t>
  </si>
  <si>
    <t>FKBP4</t>
  </si>
  <si>
    <t>ENSG00000197905.9</t>
  </si>
  <si>
    <t>TEAD4</t>
  </si>
  <si>
    <t>ENSG00000118971.8</t>
  </si>
  <si>
    <t>CCND2</t>
  </si>
  <si>
    <t>ENSG00000078237.7</t>
  </si>
  <si>
    <t>TIGAR</t>
  </si>
  <si>
    <t>ENSG00000047617.15</t>
  </si>
  <si>
    <t>ANO2</t>
  </si>
  <si>
    <t>ENSG00000110799.13</t>
  </si>
  <si>
    <t>VWF</t>
  </si>
  <si>
    <t>ENSG00000010278.14</t>
  </si>
  <si>
    <t>CD9</t>
  </si>
  <si>
    <t>ENSG00000184574.10</t>
  </si>
  <si>
    <t>LPAR5</t>
  </si>
  <si>
    <t>ENSG00000089693.10</t>
  </si>
  <si>
    <t>MLF2</t>
  </si>
  <si>
    <t>ENSG00000010610.10</t>
  </si>
  <si>
    <t>CD4</t>
  </si>
  <si>
    <t>ENSG00000110811.20</t>
  </si>
  <si>
    <t>P3H3</t>
  </si>
  <si>
    <t>ENSG00000111664.10</t>
  </si>
  <si>
    <t>GNB3</t>
  </si>
  <si>
    <t>ENSG00000111669.15</t>
  </si>
  <si>
    <t>TPI1</t>
  </si>
  <si>
    <t>ENSG00000111679.17</t>
  </si>
  <si>
    <t>PTPN6</t>
  </si>
  <si>
    <t>ENSG00000182326.15</t>
  </si>
  <si>
    <t>C1S</t>
  </si>
  <si>
    <t>ENSG00000139197.10</t>
  </si>
  <si>
    <t>PEX5</t>
  </si>
  <si>
    <t>ENSG00000177575.12</t>
  </si>
  <si>
    <t>CD163</t>
  </si>
  <si>
    <t>ENSG00000173262.11</t>
  </si>
  <si>
    <t>SLC2A14</t>
  </si>
  <si>
    <t>ENSG00000059804.16</t>
  </si>
  <si>
    <t>SLC2A3</t>
  </si>
  <si>
    <t>ENSG00000166527.8</t>
  </si>
  <si>
    <t>CLEC4D</t>
  </si>
  <si>
    <t>ENSG00000111752.11</t>
  </si>
  <si>
    <t>PHC1</t>
  </si>
  <si>
    <t>ENSG00000126838.10</t>
  </si>
  <si>
    <t>PZP</t>
  </si>
  <si>
    <t>ENSG00000139112.11</t>
  </si>
  <si>
    <t>GABARAPL1</t>
  </si>
  <si>
    <t>ENSG00000060138.13</t>
  </si>
  <si>
    <t>YBX3</t>
  </si>
  <si>
    <t>ENSG00000212128.2</t>
  </si>
  <si>
    <t>TAS2R13</t>
  </si>
  <si>
    <t>ENSG00000070018.9</t>
  </si>
  <si>
    <t>LRP6</t>
  </si>
  <si>
    <t>ENSG00000013588.8</t>
  </si>
  <si>
    <t>GPRC5A</t>
  </si>
  <si>
    <t>ENSG00000084444.14</t>
  </si>
  <si>
    <t>FAM234B</t>
  </si>
  <si>
    <t>ENSG00000246705.4</t>
  </si>
  <si>
    <t>H2AFJ</t>
  </si>
  <si>
    <t>ENSG00000111339.12</t>
  </si>
  <si>
    <t>ART4</t>
  </si>
  <si>
    <t>ENSG00000134533.6</t>
  </si>
  <si>
    <t>RERG</t>
  </si>
  <si>
    <t>ENSG00000151490.14</t>
  </si>
  <si>
    <t>PTPRO</t>
  </si>
  <si>
    <t>ENSG00000023697.13</t>
  </si>
  <si>
    <t>DERA</t>
  </si>
  <si>
    <t>ENSG00000008394.13</t>
  </si>
  <si>
    <t>MGST1</t>
  </si>
  <si>
    <t>ENSG00000048540.15</t>
  </si>
  <si>
    <t>LMO3</t>
  </si>
  <si>
    <t>ENSG00000139151.15</t>
  </si>
  <si>
    <t>PLCZ1</t>
  </si>
  <si>
    <t>ENSG00000172572.6</t>
  </si>
  <si>
    <t>PDE3A</t>
  </si>
  <si>
    <t>ENSG00000069431.11</t>
  </si>
  <si>
    <t>ABCC9</t>
  </si>
  <si>
    <t>ENSG00000060982.15</t>
  </si>
  <si>
    <t>BCAT1</t>
  </si>
  <si>
    <t>ENSG00000118308.15</t>
  </si>
  <si>
    <t>LRMP</t>
  </si>
  <si>
    <t>ENSG00000123094.15</t>
  </si>
  <si>
    <t>RASSF8</t>
  </si>
  <si>
    <t>ENSG00000123096.11</t>
  </si>
  <si>
    <t>SSPN</t>
  </si>
  <si>
    <t>ENSG00000064115.11</t>
  </si>
  <si>
    <t>TM7SF3</t>
  </si>
  <si>
    <t>ENSG00000029153.14</t>
  </si>
  <si>
    <t>ARNTL2</t>
  </si>
  <si>
    <t>ENSG00000110841.14</t>
  </si>
  <si>
    <t>PPFIBP1</t>
  </si>
  <si>
    <t>ENSG00000087494.15</t>
  </si>
  <si>
    <t>PTHLH</t>
  </si>
  <si>
    <t>ENSG00000064763.11</t>
  </si>
  <si>
    <t>FAR2</t>
  </si>
  <si>
    <t>ENSG00000110900.15</t>
  </si>
  <si>
    <t>TSPAN11</t>
  </si>
  <si>
    <t>ENSG00000170456.16</t>
  </si>
  <si>
    <t>DENND5B</t>
  </si>
  <si>
    <t>ENSG00000151746.14</t>
  </si>
  <si>
    <t>BICD1</t>
  </si>
  <si>
    <t>ENSG00000139117.14</t>
  </si>
  <si>
    <t>CPNE8</t>
  </si>
  <si>
    <t>ENSG00000151229.13</t>
  </si>
  <si>
    <t>SLC2A13</t>
  </si>
  <si>
    <t>ENSG00000188906.16</t>
  </si>
  <si>
    <t>LRRK2</t>
  </si>
  <si>
    <t>ENSG00000205592.14</t>
  </si>
  <si>
    <t>MUC19</t>
  </si>
  <si>
    <t>ENSG00000018236.15</t>
  </si>
  <si>
    <t>CNTN1</t>
  </si>
  <si>
    <t>ENSG00000173157.16</t>
  </si>
  <si>
    <t>ADAMTS20</t>
  </si>
  <si>
    <t>ENSG00000129317.14</t>
  </si>
  <si>
    <t>PUS7L</t>
  </si>
  <si>
    <t>ENSG00000198001.13</t>
  </si>
  <si>
    <t>IRAK4</t>
  </si>
  <si>
    <t>ENSG00000184613.10</t>
  </si>
  <si>
    <t>NELL2</t>
  </si>
  <si>
    <t>ENSG00000177119.16</t>
  </si>
  <si>
    <t>ANO6</t>
  </si>
  <si>
    <t>ENSG00000079337.16</t>
  </si>
  <si>
    <t>RAPGEF3</t>
  </si>
  <si>
    <t>ENSG00000211584.14</t>
  </si>
  <si>
    <t>SLC48A1</t>
  </si>
  <si>
    <t>ENSG00000111424.10</t>
  </si>
  <si>
    <t>VDR</t>
  </si>
  <si>
    <t>ENSG00000167528.12</t>
  </si>
  <si>
    <t>ZNF641</t>
  </si>
  <si>
    <t>ENSG00000181418.8</t>
  </si>
  <si>
    <t>DDN</t>
  </si>
  <si>
    <t>ENSG00000123416.15</t>
  </si>
  <si>
    <t>TUBA1B</t>
  </si>
  <si>
    <t>ENSG00000167553.15</t>
  </si>
  <si>
    <t>TUBA1C</t>
  </si>
  <si>
    <t>ENSG00000135406.14</t>
  </si>
  <si>
    <t>PRPH</t>
  </si>
  <si>
    <t>ENSG00000135519.8</t>
  </si>
  <si>
    <t>KCNH3</t>
  </si>
  <si>
    <t>ENSG00000187778.14</t>
  </si>
  <si>
    <t>MCRS1</t>
  </si>
  <si>
    <t>ENSG00000135436.8</t>
  </si>
  <si>
    <t>FAM186B</t>
  </si>
  <si>
    <t>ENSG00000186666.6</t>
  </si>
  <si>
    <t>BCDIN3D</t>
  </si>
  <si>
    <t>ENSG00000135472.9</t>
  </si>
  <si>
    <t>FAIM2</t>
  </si>
  <si>
    <t>ENSG00000110881.11</t>
  </si>
  <si>
    <t>ASIC1</t>
  </si>
  <si>
    <t>ENSG00000167588.13</t>
  </si>
  <si>
    <t>GPD1</t>
  </si>
  <si>
    <t>ENSG00000139624.12</t>
  </si>
  <si>
    <t>CERS5</t>
  </si>
  <si>
    <t>ENSG00000050405.13</t>
  </si>
  <si>
    <t>LIMA1</t>
  </si>
  <si>
    <t>ENSG00000185958.9</t>
  </si>
  <si>
    <t>FAM186A</t>
  </si>
  <si>
    <t>ENSG00000185432.12</t>
  </si>
  <si>
    <t>METTL7A</t>
  </si>
  <si>
    <t>ENSG00000110911.15</t>
  </si>
  <si>
    <t>SLC11A2</t>
  </si>
  <si>
    <t>ENSG00000139629.16</t>
  </si>
  <si>
    <t>GALNT6</t>
  </si>
  <si>
    <t>ENSG00000050438.17</t>
  </si>
  <si>
    <t>SLC4A8</t>
  </si>
  <si>
    <t>ENSG00000139567.12</t>
  </si>
  <si>
    <t>ACVRL1</t>
  </si>
  <si>
    <t>ENSG00000123358.20</t>
  </si>
  <si>
    <t>NR4A1</t>
  </si>
  <si>
    <t>ENSG00000167767.14</t>
  </si>
  <si>
    <t>KRT80</t>
  </si>
  <si>
    <t>ENSG00000063046.17</t>
  </si>
  <si>
    <t>EIF4B</t>
  </si>
  <si>
    <t>ENSG00000167780.12</t>
  </si>
  <si>
    <t>SOAT2</t>
  </si>
  <si>
    <t>ENSG00000172819.17</t>
  </si>
  <si>
    <t>RARG</t>
  </si>
  <si>
    <t>ENSG00000094914.13</t>
  </si>
  <si>
    <t>AAAS</t>
  </si>
  <si>
    <t>ENSG00000135409.11</t>
  </si>
  <si>
    <t>AMHR2</t>
  </si>
  <si>
    <t>ENSG00000205352.11</t>
  </si>
  <si>
    <t>PRR13</t>
  </si>
  <si>
    <t>ENSG00000139625.13</t>
  </si>
  <si>
    <t>MAP3K12</t>
  </si>
  <si>
    <t>ENSG00000012822.16</t>
  </si>
  <si>
    <t>CALCOCO1</t>
  </si>
  <si>
    <t>ENSG00000123364.5</t>
  </si>
  <si>
    <t>HOXC13</t>
  </si>
  <si>
    <t>ENSG00000180806.5</t>
  </si>
  <si>
    <t>HOXC9</t>
  </si>
  <si>
    <t>ENSG00000094916.16</t>
  </si>
  <si>
    <t>CBX5</t>
  </si>
  <si>
    <t>ENSG00000123405.14</t>
  </si>
  <si>
    <t>NFE2</t>
  </si>
  <si>
    <t>ENSG00000161642.17</t>
  </si>
  <si>
    <t>ZNF385A</t>
  </si>
  <si>
    <t>ENSG00000170439.7</t>
  </si>
  <si>
    <t>METTL7B</t>
  </si>
  <si>
    <t>ENSG00000123353.10</t>
  </si>
  <si>
    <t>ORMDL2</t>
  </si>
  <si>
    <t>ENSG00000065357.20</t>
  </si>
  <si>
    <t>DGKA</t>
  </si>
  <si>
    <t>ENSG00000185664.14</t>
  </si>
  <si>
    <t>PMEL</t>
  </si>
  <si>
    <t>ENSG00000123374.11</t>
  </si>
  <si>
    <t>CDK2</t>
  </si>
  <si>
    <t>ENSG00000139531.13</t>
  </si>
  <si>
    <t>SUOX</t>
  </si>
  <si>
    <t>ENSG00000123411.15</t>
  </si>
  <si>
    <t>IKZF4</t>
  </si>
  <si>
    <t>ENSG00000065361.15</t>
  </si>
  <si>
    <t>ERBB3</t>
  </si>
  <si>
    <t>ENSG00000139540.12</t>
  </si>
  <si>
    <t>SLC39A5</t>
  </si>
  <si>
    <t>ENSG00000139645.10</t>
  </si>
  <si>
    <t>ANKRD52</t>
  </si>
  <si>
    <t>ENSG00000062485.19</t>
  </si>
  <si>
    <t>CS</t>
  </si>
  <si>
    <t>ENSG00000175336.10</t>
  </si>
  <si>
    <t>APOF</t>
  </si>
  <si>
    <t>ENSG00000135423.13</t>
  </si>
  <si>
    <t>GLS2</t>
  </si>
  <si>
    <t>ENSG00000076067.13</t>
  </si>
  <si>
    <t>RBMS2</t>
  </si>
  <si>
    <t>ENSG00000166866.13</t>
  </si>
  <si>
    <t>MYO1A</t>
  </si>
  <si>
    <t>ENSG00000182379.10</t>
  </si>
  <si>
    <t>NXPH4</t>
  </si>
  <si>
    <t>ENSG00000182199.11</t>
  </si>
  <si>
    <t>SHMT2</t>
  </si>
  <si>
    <t>ENSG00000175189.4</t>
  </si>
  <si>
    <t>INHBC</t>
  </si>
  <si>
    <t>ENSG00000139269.3</t>
  </si>
  <si>
    <t>INHBE</t>
  </si>
  <si>
    <t>ENSG00000166986.15</t>
  </si>
  <si>
    <t>MARS</t>
  </si>
  <si>
    <t>ENSG00000155980.12</t>
  </si>
  <si>
    <t>KIF5A</t>
  </si>
  <si>
    <t>ENSG00000240771.7</t>
  </si>
  <si>
    <t>ARHGEF25</t>
  </si>
  <si>
    <t>ENSG00000135502.17</t>
  </si>
  <si>
    <t>SLC26A10</t>
  </si>
  <si>
    <t>ENSG00000135439.11</t>
  </si>
  <si>
    <t>AGAP2</t>
  </si>
  <si>
    <t>ENSG00000135452.10</t>
  </si>
  <si>
    <t>TSPAN31</t>
  </si>
  <si>
    <t>ENSG00000135446.17</t>
  </si>
  <si>
    <t>CDK4</t>
  </si>
  <si>
    <t>ENSG00000111012.10</t>
  </si>
  <si>
    <t>CYP27B1</t>
  </si>
  <si>
    <t>ENSG00000037897.17</t>
  </si>
  <si>
    <t>METTL1</t>
  </si>
  <si>
    <t>ENSG00000135407.10</t>
  </si>
  <si>
    <t>AVIL</t>
  </si>
  <si>
    <t>ENSG00000139263.11</t>
  </si>
  <si>
    <t>LRIG3</t>
  </si>
  <si>
    <t>ENSG00000118596.12</t>
  </si>
  <si>
    <t>SLC16A7</t>
  </si>
  <si>
    <t>ENSG00000198673.10</t>
  </si>
  <si>
    <t>FAM19A2</t>
  </si>
  <si>
    <t>ENSG00000111110.12</t>
  </si>
  <si>
    <t>PPM1H</t>
  </si>
  <si>
    <t>ENSG00000177990.11</t>
  </si>
  <si>
    <t>DPY19L2</t>
  </si>
  <si>
    <t>ENSG00000185306.12</t>
  </si>
  <si>
    <t>C12orf56</t>
  </si>
  <si>
    <t>ENSG00000184575.12</t>
  </si>
  <si>
    <t>XPOT</t>
  </si>
  <si>
    <t>ENSG00000090376.10</t>
  </si>
  <si>
    <t>IRAK3</t>
  </si>
  <si>
    <t>ENSG00000155974.12</t>
  </si>
  <si>
    <t>GRIP1</t>
  </si>
  <si>
    <t>ENSG00000135679.24</t>
  </si>
  <si>
    <t>MDM2</t>
  </si>
  <si>
    <t>ENSG00000135678.12</t>
  </si>
  <si>
    <t>CPM</t>
  </si>
  <si>
    <t>ENSG00000127337.7</t>
  </si>
  <si>
    <t>YEATS4</t>
  </si>
  <si>
    <t>ENSG00000127325.19</t>
  </si>
  <si>
    <t>BEST3</t>
  </si>
  <si>
    <t>ENSG00000127329.15</t>
  </si>
  <si>
    <t>PTPRB</t>
  </si>
  <si>
    <t>ENSG00000153233.13</t>
  </si>
  <si>
    <t>PTPRR</t>
  </si>
  <si>
    <t>ENSG00000080371.6</t>
  </si>
  <si>
    <t>RAB21</t>
  </si>
  <si>
    <t>ENSG00000139287.13</t>
  </si>
  <si>
    <t>TPH2</t>
  </si>
  <si>
    <t>ENSG00000072657.8</t>
  </si>
  <si>
    <t>TRHDE</t>
  </si>
  <si>
    <t>ENSG00000165891.16</t>
  </si>
  <si>
    <t>E2F7</t>
  </si>
  <si>
    <t>ENSG00000067798.16</t>
  </si>
  <si>
    <t>NAV3</t>
  </si>
  <si>
    <t>ENSG00000067715.14</t>
  </si>
  <si>
    <t>SYT1</t>
  </si>
  <si>
    <t>ENSG00000165899.11</t>
  </si>
  <si>
    <t>OTOGL</t>
  </si>
  <si>
    <t>ENSG00000139304.14</t>
  </si>
  <si>
    <t>PTPRQ</t>
  </si>
  <si>
    <t>ENSG00000111052.7</t>
  </si>
  <si>
    <t>LIN7A</t>
  </si>
  <si>
    <t>ENSG00000139220.16</t>
  </si>
  <si>
    <t>PPFIA2</t>
  </si>
  <si>
    <t>ENSG00000179104.9</t>
  </si>
  <si>
    <t>TMTC2</t>
  </si>
  <si>
    <t>ENSG00000133640.20</t>
  </si>
  <si>
    <t>LRRIQ1</t>
  </si>
  <si>
    <t>ENSG00000133636.11</t>
  </si>
  <si>
    <t>NTS</t>
  </si>
  <si>
    <t>ENSG00000139324.12</t>
  </si>
  <si>
    <t>TMTC3</t>
  </si>
  <si>
    <t>ENSG00000049130.15</t>
  </si>
  <si>
    <t>KITLG</t>
  </si>
  <si>
    <t>ENSG00000257594.4</t>
  </si>
  <si>
    <t>GALNT4</t>
  </si>
  <si>
    <t>ENSG00000070961.15</t>
  </si>
  <si>
    <t>ATP2B1</t>
  </si>
  <si>
    <t>ENSG00000133639.5</t>
  </si>
  <si>
    <t>BTG1</t>
  </si>
  <si>
    <t>ENSG00000187510.9</t>
  </si>
  <si>
    <t>C12orf74</t>
  </si>
  <si>
    <t>ENSG00000120833.14</t>
  </si>
  <si>
    <t>SOCS2</t>
  </si>
  <si>
    <t>ENSG00000057704.13</t>
  </si>
  <si>
    <t>TMCC3</t>
  </si>
  <si>
    <t>ENSG00000136014.12</t>
  </si>
  <si>
    <t>USP44</t>
  </si>
  <si>
    <t>ENSG00000074527.12</t>
  </si>
  <si>
    <t>NTN4</t>
  </si>
  <si>
    <t>ENSG00000139344.8</t>
  </si>
  <si>
    <t>AMDHD1</t>
  </si>
  <si>
    <t>ENSG00000084110.11</t>
  </si>
  <si>
    <t>HAL</t>
  </si>
  <si>
    <t>ENSG00000188596.11</t>
  </si>
  <si>
    <t>CFAP54</t>
  </si>
  <si>
    <t>ENSG00000120802.13</t>
  </si>
  <si>
    <t>TMPO</t>
  </si>
  <si>
    <t>ENSG00000166130.15</t>
  </si>
  <si>
    <t>IKBIP</t>
  </si>
  <si>
    <t>ENSG00000120868.13</t>
  </si>
  <si>
    <t>APAF1</t>
  </si>
  <si>
    <t>ENSG00000185046.18</t>
  </si>
  <si>
    <t>ANKS1B</t>
  </si>
  <si>
    <t>ENSG00000012504.15</t>
  </si>
  <si>
    <t>NR1H4</t>
  </si>
  <si>
    <t>ENSG00000151572.18</t>
  </si>
  <si>
    <t>ANO4</t>
  </si>
  <si>
    <t>ENSG00000120800.5</t>
  </si>
  <si>
    <t>UTP20</t>
  </si>
  <si>
    <t>ENSG00000196091.13</t>
  </si>
  <si>
    <t>MYBPC1</t>
  </si>
  <si>
    <t>ENSG00000120860.10</t>
  </si>
  <si>
    <t>WASHC3</t>
  </si>
  <si>
    <t>ENSG00000017427.16</t>
  </si>
  <si>
    <t>IGF1</t>
  </si>
  <si>
    <t>ENSG00000171759.10</t>
  </si>
  <si>
    <t>PAH</t>
  </si>
  <si>
    <t>ENSG00000136011.15</t>
  </si>
  <si>
    <t>STAB2</t>
  </si>
  <si>
    <t>ENSG00000120820.12</t>
  </si>
  <si>
    <t>GLT8D2</t>
  </si>
  <si>
    <t>ENSG00000111727.12</t>
  </si>
  <si>
    <t>HCFC2</t>
  </si>
  <si>
    <t>ENSG00000151131.11</t>
  </si>
  <si>
    <t>C12orf45</t>
  </si>
  <si>
    <t>ENSG00000136010.14</t>
  </si>
  <si>
    <t>ALDH1L2</t>
  </si>
  <si>
    <t>ENSG00000166046.11</t>
  </si>
  <si>
    <t>TCP11L2</t>
  </si>
  <si>
    <t>ENSG00000136003.15</t>
  </si>
  <si>
    <t>ISCU</t>
  </si>
  <si>
    <t>ENSG00000183160.9</t>
  </si>
  <si>
    <t>TMEM119</t>
  </si>
  <si>
    <t>ENSG00000110887.8</t>
  </si>
  <si>
    <t>DAO</t>
  </si>
  <si>
    <t>ENSG00000166111.9</t>
  </si>
  <si>
    <t>SVOP</t>
  </si>
  <si>
    <t>ENSG00000076248.10</t>
  </si>
  <si>
    <t>UNG</t>
  </si>
  <si>
    <t>ENSG00000174527.9</t>
  </si>
  <si>
    <t>MYO1H</t>
  </si>
  <si>
    <t>ENSG00000139428.12</t>
  </si>
  <si>
    <t>MMAB</t>
  </si>
  <si>
    <t>ENSG00000110921.14</t>
  </si>
  <si>
    <t>MVK</t>
  </si>
  <si>
    <t>ENSG00000139438.5</t>
  </si>
  <si>
    <t>FAM222A</t>
  </si>
  <si>
    <t>ENSG00000139433.10</t>
  </si>
  <si>
    <t>GLTP</t>
  </si>
  <si>
    <t>ENSG00000139437.18</t>
  </si>
  <si>
    <t>TCHP</t>
  </si>
  <si>
    <t>ENSG00000122986.13</t>
  </si>
  <si>
    <t>HVCN1</t>
  </si>
  <si>
    <t>ENSG00000173093.12</t>
  </si>
  <si>
    <t>CCDC63</t>
  </si>
  <si>
    <t>ENSG00000111249.14</t>
  </si>
  <si>
    <t>CUX2</t>
  </si>
  <si>
    <t>ENSG00000198270.13</t>
  </si>
  <si>
    <t>TMEM116</t>
  </si>
  <si>
    <t>ENSG00000089169.15</t>
  </si>
  <si>
    <t>RPH3A</t>
  </si>
  <si>
    <t>ENSG00000111344.11</t>
  </si>
  <si>
    <t>RASAL1</t>
  </si>
  <si>
    <t>ENSG00000139405.16</t>
  </si>
  <si>
    <t>RITA1</t>
  </si>
  <si>
    <t>ENSG00000166578.10</t>
  </si>
  <si>
    <t>IQCD</t>
  </si>
  <si>
    <t>ENSG00000186815.12</t>
  </si>
  <si>
    <t>TPCN1</t>
  </si>
  <si>
    <t>ENSG00000139410.15</t>
  </si>
  <si>
    <t>SDSL</t>
  </si>
  <si>
    <t>ENSG00000089116.4</t>
  </si>
  <si>
    <t>LHX5</t>
  </si>
  <si>
    <t>ENSG00000088992.18</t>
  </si>
  <si>
    <t>TESC</t>
  </si>
  <si>
    <t>ENSG00000089250.19</t>
  </si>
  <si>
    <t>NOS1</t>
  </si>
  <si>
    <t>ENSG00000171435.13</t>
  </si>
  <si>
    <t>KSR2</t>
  </si>
  <si>
    <t>ENSG00000152137.6</t>
  </si>
  <si>
    <t>HSPB8</t>
  </si>
  <si>
    <t>ENSG00000183273.7</t>
  </si>
  <si>
    <t>CCDC60</t>
  </si>
  <si>
    <t>ENSG00000111725.11</t>
  </si>
  <si>
    <t>PRKAB1</t>
  </si>
  <si>
    <t>ENSG00000135100.17</t>
  </si>
  <si>
    <t>HNF1A</t>
  </si>
  <si>
    <t>ENSG00000139725.8</t>
  </si>
  <si>
    <t>RHOF</t>
  </si>
  <si>
    <t>ENSG00000139718.10</t>
  </si>
  <si>
    <t>SETD1B</t>
  </si>
  <si>
    <t>ENSG00000158023.10</t>
  </si>
  <si>
    <t>WDR66</t>
  </si>
  <si>
    <t>ENSG00000182782.7</t>
  </si>
  <si>
    <t>HCAR2</t>
  </si>
  <si>
    <t>ENSG00000255398.2</t>
  </si>
  <si>
    <t>HCAR3</t>
  </si>
  <si>
    <t>ENSG00000196917.5</t>
  </si>
  <si>
    <t>HCAR1</t>
  </si>
  <si>
    <t>ENSG00000168778.12</t>
  </si>
  <si>
    <t>TCTN2</t>
  </si>
  <si>
    <t>ENSG00000197653.15</t>
  </si>
  <si>
    <t>DNAH10</t>
  </si>
  <si>
    <t>ENSG00000119242.8</t>
  </si>
  <si>
    <t>CCDC92</t>
  </si>
  <si>
    <t>ENSG00000150990.8</t>
  </si>
  <si>
    <t>DHX37</t>
  </si>
  <si>
    <t>ENSG00000139364.10</t>
  </si>
  <si>
    <t>TMEM132B</t>
  </si>
  <si>
    <t>ENSG00000151948.12</t>
  </si>
  <si>
    <t>GLT1D1</t>
  </si>
  <si>
    <t>ENSG00000111450.14</t>
  </si>
  <si>
    <t>STX2</t>
  </si>
  <si>
    <t>ENSG00000198598.6</t>
  </si>
  <si>
    <t>MMP17</t>
  </si>
  <si>
    <t>ENSG00000177192.13</t>
  </si>
  <si>
    <t>PUS1</t>
  </si>
  <si>
    <t>ENSG00000185163.10</t>
  </si>
  <si>
    <t>DDX51</t>
  </si>
  <si>
    <t>ENSG00000182870.13</t>
  </si>
  <si>
    <t>GALNT9</t>
  </si>
  <si>
    <t>ENSG00000177084.16</t>
  </si>
  <si>
    <t>POLE</t>
  </si>
  <si>
    <t>ENSG00000176894.10</t>
  </si>
  <si>
    <t>PXMP2</t>
  </si>
  <si>
    <t>ENSG00000247077.7</t>
  </si>
  <si>
    <t>PGAM5</t>
  </si>
  <si>
    <t>ENSG00000121743.4</t>
  </si>
  <si>
    <t>GJA3</t>
  </si>
  <si>
    <t>ENSG00000182957.16</t>
  </si>
  <si>
    <t>SPATA13</t>
  </si>
  <si>
    <t>ENSG00000132972.19</t>
  </si>
  <si>
    <t>RNF17</t>
  </si>
  <si>
    <t>ENSG00000132932.17</t>
  </si>
  <si>
    <t>ATP8A2</t>
  </si>
  <si>
    <t>ENSG00000180730.4</t>
  </si>
  <si>
    <t>SHISA2</t>
  </si>
  <si>
    <t>ENSG00000132970.12</t>
  </si>
  <si>
    <t>WASF3</t>
  </si>
  <si>
    <t>ENSG00000102755.12</t>
  </si>
  <si>
    <t>FLT1</t>
  </si>
  <si>
    <t>ENSG00000132938.20</t>
  </si>
  <si>
    <t>MTUS2</t>
  </si>
  <si>
    <t>ENSG00000139514.13</t>
  </si>
  <si>
    <t>SLC7A1</t>
  </si>
  <si>
    <t>ENSG00000073910.21</t>
  </si>
  <si>
    <t>FRY</t>
  </si>
  <si>
    <t>ENSG00000139597.18</t>
  </si>
  <si>
    <t>N4BP2L1</t>
  </si>
  <si>
    <t>ENSG00000133083.14</t>
  </si>
  <si>
    <t>DCLK1</t>
  </si>
  <si>
    <t>ENSG00000133111.3</t>
  </si>
  <si>
    <t>RFXAP</t>
  </si>
  <si>
    <t>ENSG00000120693.13</t>
  </si>
  <si>
    <t>SMAD9</t>
  </si>
  <si>
    <t>ENSG00000133107.14</t>
  </si>
  <si>
    <t>TRPC4</t>
  </si>
  <si>
    <t>ENSG00000120686.12</t>
  </si>
  <si>
    <t>UFM1</t>
  </si>
  <si>
    <t>ENSG00000150893.11</t>
  </si>
  <si>
    <t>FREM2</t>
  </si>
  <si>
    <t>ENSG00000183722.9</t>
  </si>
  <si>
    <t>LHFPL6</t>
  </si>
  <si>
    <t>ENSG00000120690.16</t>
  </si>
  <si>
    <t>ELF1</t>
  </si>
  <si>
    <t>ENSG00000102780.16</t>
  </si>
  <si>
    <t>DGKH</t>
  </si>
  <si>
    <t>ENSG00000120675.6</t>
  </si>
  <si>
    <t>DNAJC15</t>
  </si>
  <si>
    <t>ENSG00000151773.13</t>
  </si>
  <si>
    <t>CCDC122</t>
  </si>
  <si>
    <t>ENSG00000179630.11</t>
  </si>
  <si>
    <t>LACC1</t>
  </si>
  <si>
    <t>ENSG00000281883.1</t>
  </si>
  <si>
    <t>AL512506.3</t>
  </si>
  <si>
    <t>ENSG00000080618.15</t>
  </si>
  <si>
    <t>CPB2</t>
  </si>
  <si>
    <t>ENSG00000102445.18</t>
  </si>
  <si>
    <t>RUBCNL</t>
  </si>
  <si>
    <t>ENSG00000139687.15</t>
  </si>
  <si>
    <t>RB1</t>
  </si>
  <si>
    <t>ENSG00000139679.15</t>
  </si>
  <si>
    <t>LPAR6</t>
  </si>
  <si>
    <t>ENSG00000102539.5</t>
  </si>
  <si>
    <t>MLNR</t>
  </si>
  <si>
    <t>ENSG00000102547.19</t>
  </si>
  <si>
    <t>CAB39L</t>
  </si>
  <si>
    <t>ENSG00000152213.3</t>
  </si>
  <si>
    <t>ARL11</t>
  </si>
  <si>
    <t>ENSG00000123179.14</t>
  </si>
  <si>
    <t>EBPL</t>
  </si>
  <si>
    <t>ENSG00000102796.11</t>
  </si>
  <si>
    <t>DHRS12</t>
  </si>
  <si>
    <t>ENSG00000123191.14</t>
  </si>
  <si>
    <t>ATP7B</t>
  </si>
  <si>
    <t>ENSG00000197168.13</t>
  </si>
  <si>
    <t>NEK5</t>
  </si>
  <si>
    <t>ENSG00000102837.7</t>
  </si>
  <si>
    <t>OLFM4</t>
  </si>
  <si>
    <t>ENSG00000139734.18</t>
  </si>
  <si>
    <t>DIAPH3</t>
  </si>
  <si>
    <t>ENSG00000118922.17</t>
  </si>
  <si>
    <t>KLF12</t>
  </si>
  <si>
    <t>ENSG00000178695.5</t>
  </si>
  <si>
    <t>KCTD12</t>
  </si>
  <si>
    <t>ENSG00000136158.12</t>
  </si>
  <si>
    <t>SPRY2</t>
  </si>
  <si>
    <t>ENSG00000183098.11</t>
  </si>
  <si>
    <t>GPC6</t>
  </si>
  <si>
    <t>ENSG00000080166.16</t>
  </si>
  <si>
    <t>DCT</t>
  </si>
  <si>
    <t>ENSG00000125257.15</t>
  </si>
  <si>
    <t>ABCC4</t>
  </si>
  <si>
    <t>ENSG00000134874.17</t>
  </si>
  <si>
    <t>DZIP1</t>
  </si>
  <si>
    <t>ENSG00000102580.15</t>
  </si>
  <si>
    <t>DNAJC3</t>
  </si>
  <si>
    <t>ENSG00000185352.8</t>
  </si>
  <si>
    <t>HS6ST3</t>
  </si>
  <si>
    <t>ENSG00000152767.16</t>
  </si>
  <si>
    <t>FARP1</t>
  </si>
  <si>
    <t>ENSG00000134864.10</t>
  </si>
  <si>
    <t>GGACT</t>
  </si>
  <si>
    <t>ENSG00000102452.17</t>
  </si>
  <si>
    <t>NALCN</t>
  </si>
  <si>
    <t>ENSG00000102466.15</t>
  </si>
  <si>
    <t>FGF14</t>
  </si>
  <si>
    <t>ENSG00000134901.13</t>
  </si>
  <si>
    <t>KDELC1</t>
  </si>
  <si>
    <t>ENSG00000187498.16</t>
  </si>
  <si>
    <t>COL4A1</t>
  </si>
  <si>
    <t>ENSG00000134871.18</t>
  </si>
  <si>
    <t>COL4A2</t>
  </si>
  <si>
    <t>ENSG00000153487.12</t>
  </si>
  <si>
    <t>ING1</t>
  </si>
  <si>
    <t>ENSG00000126216.15</t>
  </si>
  <si>
    <t>TUBGCP3</t>
  </si>
  <si>
    <t>ENSG00000068650.18</t>
  </si>
  <si>
    <t>ATP11A</t>
  </si>
  <si>
    <t>ENSG00000126217.21</t>
  </si>
  <si>
    <t>MCF2L</t>
  </si>
  <si>
    <t>ENSG00000057593.13</t>
  </si>
  <si>
    <t>F7</t>
  </si>
  <si>
    <t>ENSG00000126231.14</t>
  </si>
  <si>
    <t>PROZ</t>
  </si>
  <si>
    <t>ENSG00000153531.13</t>
  </si>
  <si>
    <t>ADPRHL1</t>
  </si>
  <si>
    <t>ENSG00000198176.13</t>
  </si>
  <si>
    <t>TFDP1</t>
  </si>
  <si>
    <t>ENSG00000184497.12</t>
  </si>
  <si>
    <t>TMEM255B</t>
  </si>
  <si>
    <t>ENSG00000183087.15</t>
  </si>
  <si>
    <t>GAS6</t>
  </si>
  <si>
    <t>ENSG00000185989.11</t>
  </si>
  <si>
    <t>RASA3</t>
  </si>
  <si>
    <t>ENSG00000176230.6</t>
  </si>
  <si>
    <t>OR4K17</t>
  </si>
  <si>
    <t>ENSG00000176198.3</t>
  </si>
  <si>
    <t>OR11H4</t>
  </si>
  <si>
    <t>ENSG00000129566.13</t>
  </si>
  <si>
    <t>TEP1</t>
  </si>
  <si>
    <t>ENSG00000258818.4</t>
  </si>
  <si>
    <t>RNASE4</t>
  </si>
  <si>
    <t>ENSG00000165795.23</t>
  </si>
  <si>
    <t>NDRG2</t>
  </si>
  <si>
    <t>ENSG00000179636.15</t>
  </si>
  <si>
    <t>TPPP2</t>
  </si>
  <si>
    <t>ENSG00000165799.5</t>
  </si>
  <si>
    <t>RNASE7</t>
  </si>
  <si>
    <t>ENSG00000165801.10</t>
  </si>
  <si>
    <t>ARHGEF40</t>
  </si>
  <si>
    <t>ENSG00000232070.8</t>
  </si>
  <si>
    <t>TMEM253</t>
  </si>
  <si>
    <t>ENSG00000169327.5</t>
  </si>
  <si>
    <t>OR5AU1</t>
  </si>
  <si>
    <t>ENSG00000092200.12</t>
  </si>
  <si>
    <t>RPGRIP1</t>
  </si>
  <si>
    <t>ENSG00000276240.2</t>
  </si>
  <si>
    <t>OR4E1</t>
  </si>
  <si>
    <t>ENSG00000100439.10</t>
  </si>
  <si>
    <t>ABHD4</t>
  </si>
  <si>
    <t>ENSG00000255804.2</t>
  </si>
  <si>
    <t>OR6J1</t>
  </si>
  <si>
    <t>ENSG00000157227.13</t>
  </si>
  <si>
    <t>MMP14</t>
  </si>
  <si>
    <t>ENSG00000197324.9</t>
  </si>
  <si>
    <t>LRP10</t>
  </si>
  <si>
    <t>ENSG00000092036.18</t>
  </si>
  <si>
    <t>HAUS4</t>
  </si>
  <si>
    <t>ENSG00000139880.19</t>
  </si>
  <si>
    <t>CDH24</t>
  </si>
  <si>
    <t>ENSG00000092067.5</t>
  </si>
  <si>
    <t>CEBPE</t>
  </si>
  <si>
    <t>ENSG00000092068.20</t>
  </si>
  <si>
    <t>SLC7A8</t>
  </si>
  <si>
    <t>ENSG00000215277.8</t>
  </si>
  <si>
    <t>RNF212B</t>
  </si>
  <si>
    <t>ENSG00000136367.14</t>
  </si>
  <si>
    <t>ZFHX2</t>
  </si>
  <si>
    <t>ENSG00000092051.17</t>
  </si>
  <si>
    <t>JPH4</t>
  </si>
  <si>
    <t>ENSG00000100889.11</t>
  </si>
  <si>
    <t>PCK2</t>
  </si>
  <si>
    <t>ENSG00000196497.17</t>
  </si>
  <si>
    <t>IPO4</t>
  </si>
  <si>
    <t>ENSG00000100926.15</t>
  </si>
  <si>
    <t>TM9SF1</t>
  </si>
  <si>
    <t>ENSG00000139908.14</t>
  </si>
  <si>
    <t>TSSK4</t>
  </si>
  <si>
    <t>ENSG00000213903.9</t>
  </si>
  <si>
    <t>LTB4R</t>
  </si>
  <si>
    <t>ENSG00000129467.13</t>
  </si>
  <si>
    <t>ADCY4</t>
  </si>
  <si>
    <t>ENSG00000168952.15</t>
  </si>
  <si>
    <t>STXBP6</t>
  </si>
  <si>
    <t>ENSG00000100473.17</t>
  </si>
  <si>
    <t>COCH</t>
  </si>
  <si>
    <t>ENSG00000100478.14</t>
  </si>
  <si>
    <t>AP4S1</t>
  </si>
  <si>
    <t>ENSG00000092148.13</t>
  </si>
  <si>
    <t>HECTD1</t>
  </si>
  <si>
    <t>ENSG00000151320.11</t>
  </si>
  <si>
    <t>AKAP6</t>
  </si>
  <si>
    <t>ENSG00000151322.18</t>
  </si>
  <si>
    <t>NPAS3</t>
  </si>
  <si>
    <t>ENSG00000165389.7</t>
  </si>
  <si>
    <t>SPTSSA</t>
  </si>
  <si>
    <t>ENSG00000129518.9</t>
  </si>
  <si>
    <t>EAPP</t>
  </si>
  <si>
    <t>ENSG00000151327.12</t>
  </si>
  <si>
    <t>FAM177A1</t>
  </si>
  <si>
    <t>ENSG00000168348.4</t>
  </si>
  <si>
    <t>INSM2</t>
  </si>
  <si>
    <t>ENSG00000100916.14</t>
  </si>
  <si>
    <t>BRMS1L</t>
  </si>
  <si>
    <t>ENSG00000151338.18</t>
  </si>
  <si>
    <t>MIPOL1</t>
  </si>
  <si>
    <t>ENSG00000165379.13</t>
  </si>
  <si>
    <t>LRFN5</t>
  </si>
  <si>
    <t>ENSG00000179476.8</t>
  </si>
  <si>
    <t>C14orf28</t>
  </si>
  <si>
    <t>ENSG00000139915.20</t>
  </si>
  <si>
    <t>MDGA2</t>
  </si>
  <si>
    <t>ENSG00000165506.14</t>
  </si>
  <si>
    <t>DNAAF2</t>
  </si>
  <si>
    <t>ENSG00000100479.13</t>
  </si>
  <si>
    <t>POLE2</t>
  </si>
  <si>
    <t>ENSG00000165527.7</t>
  </si>
  <si>
    <t>ARF6</t>
  </si>
  <si>
    <t>ENSG00000100490.9</t>
  </si>
  <si>
    <t>CDKL1</t>
  </si>
  <si>
    <t>ENSG00000198513.11</t>
  </si>
  <si>
    <t>ATL1</t>
  </si>
  <si>
    <t>ENSG00000100504.17</t>
  </si>
  <si>
    <t>PYGL</t>
  </si>
  <si>
    <t>ENSG00000087303.18</t>
  </si>
  <si>
    <t>NID2</t>
  </si>
  <si>
    <t>ENSG00000197930.13</t>
  </si>
  <si>
    <t>ERO1A</t>
  </si>
  <si>
    <t>ENSG00000100522.10</t>
  </si>
  <si>
    <t>GNPNAT1</t>
  </si>
  <si>
    <t>ENSG00000073712.15</t>
  </si>
  <si>
    <t>FERMT2</t>
  </si>
  <si>
    <t>ENSG00000180008.9</t>
  </si>
  <si>
    <t>SOCS4</t>
  </si>
  <si>
    <t>ENSG00000131981.16</t>
  </si>
  <si>
    <t>LGALS3</t>
  </si>
  <si>
    <t>ENSG00000139946.10</t>
  </si>
  <si>
    <t>PELI2</t>
  </si>
  <si>
    <t>ENSG00000032219.18</t>
  </si>
  <si>
    <t>ARID4A</t>
  </si>
  <si>
    <t>ENSG00000165617.14</t>
  </si>
  <si>
    <t>DACT1</t>
  </si>
  <si>
    <t>ENSG00000139970.17</t>
  </si>
  <si>
    <t>RTN1</t>
  </si>
  <si>
    <t>ENSG00000139973.16</t>
  </si>
  <si>
    <t>SYT16</t>
  </si>
  <si>
    <t>ENSG00000140015.20</t>
  </si>
  <si>
    <t>KCNH5</t>
  </si>
  <si>
    <t>ENSG00000100714.16</t>
  </si>
  <si>
    <t>MTHFD1</t>
  </si>
  <si>
    <t>ENSG00000179841.8</t>
  </si>
  <si>
    <t>AKAP5</t>
  </si>
  <si>
    <t>ENSG00000126822.17</t>
  </si>
  <si>
    <t>PLEKHG3</t>
  </si>
  <si>
    <t>ENSG00000070182.20</t>
  </si>
  <si>
    <t>SPTB</t>
  </si>
  <si>
    <t>ENSG00000258289.8</t>
  </si>
  <si>
    <t>CHURC1</t>
  </si>
  <si>
    <t>ENSG00000139998.15</t>
  </si>
  <si>
    <t>RAB15</t>
  </si>
  <si>
    <t>ENSG00000100554.12</t>
  </si>
  <si>
    <t>ATP6V1D</t>
  </si>
  <si>
    <t>ENSG00000100558.9</t>
  </si>
  <si>
    <t>PLEK2</t>
  </si>
  <si>
    <t>ENSG00000198133.8</t>
  </si>
  <si>
    <t>TMEM229B</t>
  </si>
  <si>
    <t>ENSG00000081181.8</t>
  </si>
  <si>
    <t>ARG2</t>
  </si>
  <si>
    <t>ENSG00000072110.13</t>
  </si>
  <si>
    <t>ACTN1</t>
  </si>
  <si>
    <t>ENSG00000100647.8</t>
  </si>
  <si>
    <t>SUSD6</t>
  </si>
  <si>
    <t>ENSG00000100652.5</t>
  </si>
  <si>
    <t>SLC10A1</t>
  </si>
  <si>
    <t>ENSG00000198732.10</t>
  </si>
  <si>
    <t>SMOC1</t>
  </si>
  <si>
    <t>ENSG00000100678.18</t>
  </si>
  <si>
    <t>SLC8A3</t>
  </si>
  <si>
    <t>ENSG00000182732.18</t>
  </si>
  <si>
    <t>RGS6</t>
  </si>
  <si>
    <t>ENSG00000165861.14</t>
  </si>
  <si>
    <t>ZFYVE1</t>
  </si>
  <si>
    <t>ENSG00000100767.16</t>
  </si>
  <si>
    <t>PAPLN</t>
  </si>
  <si>
    <t>ENSG00000170468.7</t>
  </si>
  <si>
    <t>RIOX1</t>
  </si>
  <si>
    <t>ENSG00000156030.13</t>
  </si>
  <si>
    <t>ELMSAN1</t>
  </si>
  <si>
    <t>ENSG00000140043.11</t>
  </si>
  <si>
    <t>PTGR2</t>
  </si>
  <si>
    <t>ENSG00000205659.10</t>
  </si>
  <si>
    <t>LIN52</t>
  </si>
  <si>
    <t>ENSG00000119681.12</t>
  </si>
  <si>
    <t>LTBP2</t>
  </si>
  <si>
    <t>ENSG00000119630.14</t>
  </si>
  <si>
    <t>PGF</t>
  </si>
  <si>
    <t>ENSG00000140044.13</t>
  </si>
  <si>
    <t>JDP2</t>
  </si>
  <si>
    <t>ENSG00000133935.6</t>
  </si>
  <si>
    <t>ERG28</t>
  </si>
  <si>
    <t>ENSG00000071246.11</t>
  </si>
  <si>
    <t>VASH1</t>
  </si>
  <si>
    <t>ENSG00000177108.5</t>
  </si>
  <si>
    <t>ZDHHC22</t>
  </si>
  <si>
    <t>ENSG00000100593.18</t>
  </si>
  <si>
    <t>ISM2</t>
  </si>
  <si>
    <t>ENSG00000021645.18</t>
  </si>
  <si>
    <t>NRXN3</t>
  </si>
  <si>
    <t>ENSG00000185070.11</t>
  </si>
  <si>
    <t>FLRT2</t>
  </si>
  <si>
    <t>ENSG00000100433.15</t>
  </si>
  <si>
    <t>KCNK10</t>
  </si>
  <si>
    <t>ENSG00000042317.17</t>
  </si>
  <si>
    <t>SPATA7</t>
  </si>
  <si>
    <t>ENSG00000165521.15</t>
  </si>
  <si>
    <t>AL121768.1</t>
  </si>
  <si>
    <t>ENSG00000152315.5</t>
  </si>
  <si>
    <t>KCNK13</t>
  </si>
  <si>
    <t>ENSG00000119720.18</t>
  </si>
  <si>
    <t>NRDE2</t>
  </si>
  <si>
    <t>ENSG00000100784.12</t>
  </si>
  <si>
    <t>RPS6KA5</t>
  </si>
  <si>
    <t>ENSG00000015133.19</t>
  </si>
  <si>
    <t>CCDC88C</t>
  </si>
  <si>
    <t>ENSG00000133962.7</t>
  </si>
  <si>
    <t>CATSPERB</t>
  </si>
  <si>
    <t>ENSG00000165929.13</t>
  </si>
  <si>
    <t>TC2N</t>
  </si>
  <si>
    <t>ENSG00000066427.22</t>
  </si>
  <si>
    <t>ATXN3</t>
  </si>
  <si>
    <t>ENSG00000140090.17</t>
  </si>
  <si>
    <t>SLC24A4</t>
  </si>
  <si>
    <t>ENSG00000165943.5</t>
  </si>
  <si>
    <t>MOAP1</t>
  </si>
  <si>
    <t>ENSG00000133958.13</t>
  </si>
  <si>
    <t>UNC79</t>
  </si>
  <si>
    <t>ENSG00000140067.6</t>
  </si>
  <si>
    <t>FAM181A</t>
  </si>
  <si>
    <t>ENSG00000089723.10</t>
  </si>
  <si>
    <t>OTUB2</t>
  </si>
  <si>
    <t>ENSG00000119632.4</t>
  </si>
  <si>
    <t>IFI27L2</t>
  </si>
  <si>
    <t>ENSG00000170099.6</t>
  </si>
  <si>
    <t>SERPINA6</t>
  </si>
  <si>
    <t>ENSG00000186910.4</t>
  </si>
  <si>
    <t>SERPINA11</t>
  </si>
  <si>
    <t>ENSG00000176438.12</t>
  </si>
  <si>
    <t>SYNE3</t>
  </si>
  <si>
    <t>ENSG00000090061.17</t>
  </si>
  <si>
    <t>CCNK</t>
  </si>
  <si>
    <t>ENSG00000205476.9</t>
  </si>
  <si>
    <t>CCDC85C</t>
  </si>
  <si>
    <t>ENSG00000168350.8</t>
  </si>
  <si>
    <t>DEGS2</t>
  </si>
  <si>
    <t>ENSG00000197119.13</t>
  </si>
  <si>
    <t>SLC25A29</t>
  </si>
  <si>
    <t>ENSG00000140107.11</t>
  </si>
  <si>
    <t>SLC25A47</t>
  </si>
  <si>
    <t>ENSG00000183092.16</t>
  </si>
  <si>
    <t>BEGAIN</t>
  </si>
  <si>
    <t>ENSG00000140153.17</t>
  </si>
  <si>
    <t>WDR20</t>
  </si>
  <si>
    <t>ENSG00000156381.9</t>
  </si>
  <si>
    <t>ANKRD9</t>
  </si>
  <si>
    <t>ENSG00000166165.13</t>
  </si>
  <si>
    <t>CKB</t>
  </si>
  <si>
    <t>ENSG00000166166.13</t>
  </si>
  <si>
    <t>TRMT61A</t>
  </si>
  <si>
    <t>ENSG00000126215.14</t>
  </si>
  <si>
    <t>XRCC3</t>
  </si>
  <si>
    <t>ENSG00000156414.19</t>
  </si>
  <si>
    <t>TDRD9</t>
  </si>
  <si>
    <t>ENSG00000166183.16</t>
  </si>
  <si>
    <t>ASPG</t>
  </si>
  <si>
    <t>ENSG00000203485.13</t>
  </si>
  <si>
    <t>INF2</t>
  </si>
  <si>
    <t>ENSG00000185100.10</t>
  </si>
  <si>
    <t>ADSSL1</t>
  </si>
  <si>
    <t>ENSG00000184990.13</t>
  </si>
  <si>
    <t>SIVA1</t>
  </si>
  <si>
    <t>ENSG00000142208.16</t>
  </si>
  <si>
    <t>AKT1</t>
  </si>
  <si>
    <t>ENSG00000099814.16</t>
  </si>
  <si>
    <t>CEP170B</t>
  </si>
  <si>
    <t>ENSG00000185567.7</t>
  </si>
  <si>
    <t>AHNAK2</t>
  </si>
  <si>
    <t>ENSG00000140104.14</t>
  </si>
  <si>
    <t>CLBA1</t>
  </si>
  <si>
    <t>ENSG00000170779.10</t>
  </si>
  <si>
    <t>CDCA4</t>
  </si>
  <si>
    <t>ENSG00000184916.9</t>
  </si>
  <si>
    <t>JAG2</t>
  </si>
  <si>
    <t>ENSG00000185347.17</t>
  </si>
  <si>
    <t>TEDC1</t>
  </si>
  <si>
    <t>ENSG00000184986.11</t>
  </si>
  <si>
    <t>TMEM121</t>
  </si>
  <si>
    <t>ENSG00000034053.14</t>
  </si>
  <si>
    <t>APBA2</t>
  </si>
  <si>
    <t>ENSG00000134160.13</t>
  </si>
  <si>
    <t>TRPM1</t>
  </si>
  <si>
    <t>ENSG00000169926.11</t>
  </si>
  <si>
    <t>KLF13</t>
  </si>
  <si>
    <t>ENSG00000175344.17</t>
  </si>
  <si>
    <t>CHRNA7</t>
  </si>
  <si>
    <t>ENSG00000248905.8</t>
  </si>
  <si>
    <t>FMN1</t>
  </si>
  <si>
    <t>ENSG00000198838.13</t>
  </si>
  <si>
    <t>RYR3</t>
  </si>
  <si>
    <t>ENSG00000184984.9</t>
  </si>
  <si>
    <t>CHRM5</t>
  </si>
  <si>
    <t>ENSG00000176454.14</t>
  </si>
  <si>
    <t>LPCAT4</t>
  </si>
  <si>
    <t>ENSG00000215252.11</t>
  </si>
  <si>
    <t>GOLGA8B</t>
  </si>
  <si>
    <t>ENSG00000134138.20</t>
  </si>
  <si>
    <t>MEIS2</t>
  </si>
  <si>
    <t>ENSG00000172575.12</t>
  </si>
  <si>
    <t>RASGRP1</t>
  </si>
  <si>
    <t>ENSG00000175779.2</t>
  </si>
  <si>
    <t>C15orf53</t>
  </si>
  <si>
    <t>ENSG00000137801.10</t>
  </si>
  <si>
    <t>THBS1</t>
  </si>
  <si>
    <t>ENSG00000166073.10</t>
  </si>
  <si>
    <t>GPR176</t>
  </si>
  <si>
    <t>ENSG00000140323.6</t>
  </si>
  <si>
    <t>DISP2</t>
  </si>
  <si>
    <t>ENSG00000166145.14</t>
  </si>
  <si>
    <t>SPINT1</t>
  </si>
  <si>
    <t>ENSG00000137825.11</t>
  </si>
  <si>
    <t>ITPKA</t>
  </si>
  <si>
    <t>ENSG00000092445.12</t>
  </si>
  <si>
    <t>TYRO3</t>
  </si>
  <si>
    <t>ENSG00000137877.10</t>
  </si>
  <si>
    <t>SPTBN5</t>
  </si>
  <si>
    <t>ENSG00000188089.13</t>
  </si>
  <si>
    <t>PLA2G4E</t>
  </si>
  <si>
    <t>ENSG00000159337.6</t>
  </si>
  <si>
    <t>PLA2G4D</t>
  </si>
  <si>
    <t>ENSG00000168907.13</t>
  </si>
  <si>
    <t>PLA2G4F</t>
  </si>
  <si>
    <t>ENSG00000159459.12</t>
  </si>
  <si>
    <t>UBR1</t>
  </si>
  <si>
    <t>ENSG00000137842.7</t>
  </si>
  <si>
    <t>TMEM62</t>
  </si>
  <si>
    <t>ENSG00000104055.15</t>
  </si>
  <si>
    <t>TGM5</t>
  </si>
  <si>
    <t>ENSG00000137822.12</t>
  </si>
  <si>
    <t>TUBGCP4</t>
  </si>
  <si>
    <t>ENSG00000166963.13</t>
  </si>
  <si>
    <t>MAP1A</t>
  </si>
  <si>
    <t>ENSG00000242866.10</t>
  </si>
  <si>
    <t>STRC</t>
  </si>
  <si>
    <t>ENSG00000128886.12</t>
  </si>
  <si>
    <t>ELL3</t>
  </si>
  <si>
    <t>ENSG00000092470.12</t>
  </si>
  <si>
    <t>WDR76</t>
  </si>
  <si>
    <t>ENSG00000171877.21</t>
  </si>
  <si>
    <t>FRMD5</t>
  </si>
  <si>
    <t>ENSG00000166710.19</t>
  </si>
  <si>
    <t>B2M</t>
  </si>
  <si>
    <t>ENSG00000140263.14</t>
  </si>
  <si>
    <t>SORD</t>
  </si>
  <si>
    <t>ENSG00000140279.12</t>
  </si>
  <si>
    <t>DUOX2</t>
  </si>
  <si>
    <t>ENSG00000140274.13</t>
  </si>
  <si>
    <t>DUOXA2</t>
  </si>
  <si>
    <t>ENSG00000137857.17</t>
  </si>
  <si>
    <t>DUOX1</t>
  </si>
  <si>
    <t>ENSG00000171766.16</t>
  </si>
  <si>
    <t>GATM</t>
  </si>
  <si>
    <t>ENSG00000104154.7</t>
  </si>
  <si>
    <t>SLC30A4</t>
  </si>
  <si>
    <t>ENSG00000137767.14</t>
  </si>
  <si>
    <t>SQOR</t>
  </si>
  <si>
    <t>ENSG00000104177.18</t>
  </si>
  <si>
    <t>MYEF2</t>
  </si>
  <si>
    <t>ENSG00000074803.18</t>
  </si>
  <si>
    <t>SLC12A1</t>
  </si>
  <si>
    <t>ENSG00000128951.14</t>
  </si>
  <si>
    <t>DUT</t>
  </si>
  <si>
    <t>ENSG00000166147.13</t>
  </si>
  <si>
    <t>FBN1</t>
  </si>
  <si>
    <t>ENSG00000185634.12</t>
  </si>
  <si>
    <t>SHC4</t>
  </si>
  <si>
    <t>ENSG00000166262.15</t>
  </si>
  <si>
    <t>FAM227B</t>
  </si>
  <si>
    <t>ENSG00000140285.10</t>
  </si>
  <si>
    <t>FGF7</t>
  </si>
  <si>
    <t>ENSG00000104043.14</t>
  </si>
  <si>
    <t>ATP8B4</t>
  </si>
  <si>
    <t>ENSG00000140287.11</t>
  </si>
  <si>
    <t>HDC</t>
  </si>
  <si>
    <t>ENSG00000081014.11</t>
  </si>
  <si>
    <t>AP4E1</t>
  </si>
  <si>
    <t>ENSG00000183578.7</t>
  </si>
  <si>
    <t>TNFAIP8L3</t>
  </si>
  <si>
    <t>ENSG00000137869.14</t>
  </si>
  <si>
    <t>CYP19A1</t>
  </si>
  <si>
    <t>ENSG00000186417.14</t>
  </si>
  <si>
    <t>GLDN</t>
  </si>
  <si>
    <t>ENSG00000140280.14</t>
  </si>
  <si>
    <t>LYSMD2</t>
  </si>
  <si>
    <t>ENSG00000128872.10</t>
  </si>
  <si>
    <t>TMOD2</t>
  </si>
  <si>
    <t>ENSG00000197535.14</t>
  </si>
  <si>
    <t>MYO5A</t>
  </si>
  <si>
    <t>ENSG00000047346.12</t>
  </si>
  <si>
    <t>FAM214A</t>
  </si>
  <si>
    <t>ENSG00000166415.15</t>
  </si>
  <si>
    <t>WDR72</t>
  </si>
  <si>
    <t>ENSG00000069974.16</t>
  </si>
  <si>
    <t>RAB27A</t>
  </si>
  <si>
    <t>ENSG00000166450.13</t>
  </si>
  <si>
    <t>PRTG</t>
  </si>
  <si>
    <t>ENSG00000151575.14</t>
  </si>
  <si>
    <t>TEX9</t>
  </si>
  <si>
    <t>ENSG00000128849.10</t>
  </si>
  <si>
    <t>CGNL1</t>
  </si>
  <si>
    <t>ENSG00000103569.9</t>
  </si>
  <si>
    <t>AQP9</t>
  </si>
  <si>
    <t>ENSG00000140297.13</t>
  </si>
  <si>
    <t>GCNT3</t>
  </si>
  <si>
    <t>ENSG00000182718.16</t>
  </si>
  <si>
    <t>ANXA2</t>
  </si>
  <si>
    <t>ENSG00000171914.16</t>
  </si>
  <si>
    <t>TLN2</t>
  </si>
  <si>
    <t>ENSG00000140416.21</t>
  </si>
  <si>
    <t>TPM1</t>
  </si>
  <si>
    <t>ENSG00000185088.14</t>
  </si>
  <si>
    <t>RPS27L</t>
  </si>
  <si>
    <t>ENSG00000035664.11</t>
  </si>
  <si>
    <t>DAPK2</t>
  </si>
  <si>
    <t>ENSG00000166794.4</t>
  </si>
  <si>
    <t>PPIB</t>
  </si>
  <si>
    <t>ENSG00000169118.18</t>
  </si>
  <si>
    <t>CSNK1G1</t>
  </si>
  <si>
    <t>ENSG00000259316.11</t>
  </si>
  <si>
    <t>AC087632.1</t>
  </si>
  <si>
    <t>ENSG00000166831.9</t>
  </si>
  <si>
    <t>RBPMS2</t>
  </si>
  <si>
    <t>ENSG00000140451.13</t>
  </si>
  <si>
    <t>PIF1</t>
  </si>
  <si>
    <t>ENSG00000138617.15</t>
  </si>
  <si>
    <t>PARP16</t>
  </si>
  <si>
    <t>ENSG00000174498.14</t>
  </si>
  <si>
    <t>IGDCC3</t>
  </si>
  <si>
    <t>ENSG00000103742.12</t>
  </si>
  <si>
    <t>IGDCC4</t>
  </si>
  <si>
    <t>ENSG00000157890.17</t>
  </si>
  <si>
    <t>MEGF11</t>
  </si>
  <si>
    <t>ENSG00000166938.13</t>
  </si>
  <si>
    <t>DIS3L</t>
  </si>
  <si>
    <t>ENSG00000137834.15</t>
  </si>
  <si>
    <t>SMAD6</t>
  </si>
  <si>
    <t>ENSG00000166949.16</t>
  </si>
  <si>
    <t>SMAD3</t>
  </si>
  <si>
    <t>ENSG00000189227.6</t>
  </si>
  <si>
    <t>C15orf61</t>
  </si>
  <si>
    <t>ENSG00000260007.3</t>
  </si>
  <si>
    <t>AC107871.1</t>
  </si>
  <si>
    <t>ENSG00000128973.13</t>
  </si>
  <si>
    <t>CLN6</t>
  </si>
  <si>
    <t>ENSG00000137809.17</t>
  </si>
  <si>
    <t>ITGA11</t>
  </si>
  <si>
    <t>ENSG00000137819.13</t>
  </si>
  <si>
    <t>PAQR5</t>
  </si>
  <si>
    <t>ENSG00000140332.15</t>
  </si>
  <si>
    <t>TLE3</t>
  </si>
  <si>
    <t>ENSG00000187720.14</t>
  </si>
  <si>
    <t>THSD4</t>
  </si>
  <si>
    <t>ENSG00000175318.12</t>
  </si>
  <si>
    <t>GRAMD2A</t>
  </si>
  <si>
    <t>ENSG00000137817.17</t>
  </si>
  <si>
    <t>PARP6</t>
  </si>
  <si>
    <t>ENSG00000140488.16</t>
  </si>
  <si>
    <t>CELF6</t>
  </si>
  <si>
    <t>ENSG00000140463.14</t>
  </si>
  <si>
    <t>BBS4</t>
  </si>
  <si>
    <t>ENSG00000138622.4</t>
  </si>
  <si>
    <t>HCN4</t>
  </si>
  <si>
    <t>ENSG00000183324.11</t>
  </si>
  <si>
    <t>REC114</t>
  </si>
  <si>
    <t>ENSG00000205363.5</t>
  </si>
  <si>
    <t>INSYN1</t>
  </si>
  <si>
    <t>ENSG00000129038.16</t>
  </si>
  <si>
    <t>LOXL1</t>
  </si>
  <si>
    <t>ENSG00000140464.19</t>
  </si>
  <si>
    <t>PML</t>
  </si>
  <si>
    <t>ENSG00000137868.19</t>
  </si>
  <si>
    <t>STRA6</t>
  </si>
  <si>
    <t>ENSG00000140481.15</t>
  </si>
  <si>
    <t>CCDC33</t>
  </si>
  <si>
    <t>ENSG00000140465.14</t>
  </si>
  <si>
    <t>CYP1A1</t>
  </si>
  <si>
    <t>ENSG00000167173.19</t>
  </si>
  <si>
    <t>C15orf39</t>
  </si>
  <si>
    <t>ENSG00000173548.8</t>
  </si>
  <si>
    <t>SNX33</t>
  </si>
  <si>
    <t>ENSG00000173546.7</t>
  </si>
  <si>
    <t>CSPG4</t>
  </si>
  <si>
    <t>ENSG00000182950.3</t>
  </si>
  <si>
    <t>ODF3L1</t>
  </si>
  <si>
    <t>ENSG00000167196.14</t>
  </si>
  <si>
    <t>FBXO22</t>
  </si>
  <si>
    <t>ENSG00000169752.17</t>
  </si>
  <si>
    <t>NRG4</t>
  </si>
  <si>
    <t>ENSG00000159556.10</t>
  </si>
  <si>
    <t>ISL2</t>
  </si>
  <si>
    <t>ENSG00000167202.11</t>
  </si>
  <si>
    <t>TBC1D2B</t>
  </si>
  <si>
    <t>ENSG00000080644.16</t>
  </si>
  <si>
    <t>CHRNA3</t>
  </si>
  <si>
    <t>ENSG00000117971.12</t>
  </si>
  <si>
    <t>CHRNB4</t>
  </si>
  <si>
    <t>ENSG00000136378.15</t>
  </si>
  <si>
    <t>ADAMTS7</t>
  </si>
  <si>
    <t>ENSG00000058335.15</t>
  </si>
  <si>
    <t>RASGRF1</t>
  </si>
  <si>
    <t>ENSG00000166557.13</t>
  </si>
  <si>
    <t>TMED3</t>
  </si>
  <si>
    <t>ENSG00000169330.8</t>
  </si>
  <si>
    <t>MINAR1</t>
  </si>
  <si>
    <t>ENSG00000180953.11</t>
  </si>
  <si>
    <t>ST20</t>
  </si>
  <si>
    <t>ENSG00000172379.21</t>
  </si>
  <si>
    <t>ARNT2</t>
  </si>
  <si>
    <t>ENSG00000103888.17</t>
  </si>
  <si>
    <t>CEMIP</t>
  </si>
  <si>
    <t>ENSG00000172349.17</t>
  </si>
  <si>
    <t>IL16</t>
  </si>
  <si>
    <t>ENSG00000172345.14</t>
  </si>
  <si>
    <t>STARD5</t>
  </si>
  <si>
    <t>ENSG00000188869.13</t>
  </si>
  <si>
    <t>TMC3</t>
  </si>
  <si>
    <t>ENSG00000166503.9</t>
  </si>
  <si>
    <t>HDGFL3</t>
  </si>
  <si>
    <t>ENSG00000166716.10</t>
  </si>
  <si>
    <t>ZNF592</t>
  </si>
  <si>
    <t>ENSG00000140545.15</t>
  </si>
  <si>
    <t>MFGE8</t>
  </si>
  <si>
    <t>ENSG00000140534.13</t>
  </si>
  <si>
    <t>TICRR</t>
  </si>
  <si>
    <t>ENSG00000166821.9</t>
  </si>
  <si>
    <t>PEX11A</t>
  </si>
  <si>
    <t>ENSG00000166825.14</t>
  </si>
  <si>
    <t>ANPEP</t>
  </si>
  <si>
    <t>ENSG00000140548.10</t>
  </si>
  <si>
    <t>ZNF710</t>
  </si>
  <si>
    <t>ENSG00000182054.9</t>
  </si>
  <si>
    <t>IDH2</t>
  </si>
  <si>
    <t>ENSG00000196391.10</t>
  </si>
  <si>
    <t>ZNF774</t>
  </si>
  <si>
    <t>ENSG00000196547.15</t>
  </si>
  <si>
    <t>MAN2A2</t>
  </si>
  <si>
    <t>ENSG00000185518.11</t>
  </si>
  <si>
    <t>SV2B</t>
  </si>
  <si>
    <t>ENSG00000176463.14</t>
  </si>
  <si>
    <t>SLCO3A1</t>
  </si>
  <si>
    <t>ENSG00000182175.14</t>
  </si>
  <si>
    <t>RGMA</t>
  </si>
  <si>
    <t>ENSG00000140563.15</t>
  </si>
  <si>
    <t>MCTP2</t>
  </si>
  <si>
    <t>ENSG00000185551.15</t>
  </si>
  <si>
    <t>NR2F2</t>
  </si>
  <si>
    <t>ENSG00000140450.9</t>
  </si>
  <si>
    <t>ARRDC4</t>
  </si>
  <si>
    <t>ENSG00000182253.14</t>
  </si>
  <si>
    <t>SYNM</t>
  </si>
  <si>
    <t>ENSG00000168904.15</t>
  </si>
  <si>
    <t>LRRC28</t>
  </si>
  <si>
    <t>ENSG00000140470.14</t>
  </si>
  <si>
    <t>ADAMTS17</t>
  </si>
  <si>
    <t>ENSG00000184254.17</t>
  </si>
  <si>
    <t>ALDH1A3</t>
  </si>
  <si>
    <t>ENSG00000185418.16</t>
  </si>
  <si>
    <t>TARSL2</t>
  </si>
  <si>
    <t>ENSG00000161980.5</t>
  </si>
  <si>
    <t>POLR3K</t>
  </si>
  <si>
    <t>ENSG00000161981.10</t>
  </si>
  <si>
    <t>SNRNP25</t>
  </si>
  <si>
    <t>ENSG00000007384.15</t>
  </si>
  <si>
    <t>RHBDF1</t>
  </si>
  <si>
    <t>ENSG00000086506.3</t>
  </si>
  <si>
    <t>HBQ1</t>
  </si>
  <si>
    <t>ENSG00000185615.15</t>
  </si>
  <si>
    <t>PDIA2</t>
  </si>
  <si>
    <t>ENSG00000103126.15</t>
  </si>
  <si>
    <t>AXIN1</t>
  </si>
  <si>
    <t>ENSG00000103202.13</t>
  </si>
  <si>
    <t>NME4</t>
  </si>
  <si>
    <t>ENSG00000103326.12</t>
  </si>
  <si>
    <t>CAPN15</t>
  </si>
  <si>
    <t>ENSG00000172366.20</t>
  </si>
  <si>
    <t>MCRIP2</t>
  </si>
  <si>
    <t>ENSG00000161996.19</t>
  </si>
  <si>
    <t>WDR90</t>
  </si>
  <si>
    <t>ENSG00000127585.12</t>
  </si>
  <si>
    <t>FBXL16</t>
  </si>
  <si>
    <t>ENSG00000103260.9</t>
  </si>
  <si>
    <t>METRN</t>
  </si>
  <si>
    <t>ENSG00000103253.18</t>
  </si>
  <si>
    <t>HAGHL</t>
  </si>
  <si>
    <t>ENSG00000007376.8</t>
  </si>
  <si>
    <t>RPUSD1</t>
  </si>
  <si>
    <t>ENSG00000005513.10</t>
  </si>
  <si>
    <t>SOX8</t>
  </si>
  <si>
    <t>ENSG00000162009.8</t>
  </si>
  <si>
    <t>SSTR5</t>
  </si>
  <si>
    <t>ENSG00000196557.13</t>
  </si>
  <si>
    <t>CACNA1H</t>
  </si>
  <si>
    <t>ENSG00000007516.13</t>
  </si>
  <si>
    <t>BAIAP3</t>
  </si>
  <si>
    <t>ENSG00000059145.18</t>
  </si>
  <si>
    <t>UNKL</t>
  </si>
  <si>
    <t>ENSG00000100726.15</t>
  </si>
  <si>
    <t>TELO2</t>
  </si>
  <si>
    <t>ENSG00000074071.14</t>
  </si>
  <si>
    <t>MRPS34</t>
  </si>
  <si>
    <t>ENSG00000099769.5</t>
  </si>
  <si>
    <t>IGFALS</t>
  </si>
  <si>
    <t>ENSG00000162040.6</t>
  </si>
  <si>
    <t>HS3ST6</t>
  </si>
  <si>
    <t>ENSG00000198736.11</t>
  </si>
  <si>
    <t>MSRB1</t>
  </si>
  <si>
    <t>ENSG00000140990.15</t>
  </si>
  <si>
    <t>NDUFB10</t>
  </si>
  <si>
    <t>ENSG00000127554.13</t>
  </si>
  <si>
    <t>GFER</t>
  </si>
  <si>
    <t>ENSG00000127561.15</t>
  </si>
  <si>
    <t>SYNGR3</t>
  </si>
  <si>
    <t>ENSG00000183971.8</t>
  </si>
  <si>
    <t>NPW</t>
  </si>
  <si>
    <t>ENSG00000065054.14</t>
  </si>
  <si>
    <t>SLC9A3R2</t>
  </si>
  <si>
    <t>ENSG00000065057.8</t>
  </si>
  <si>
    <t>NTHL1</t>
  </si>
  <si>
    <t>ENSG00000008710.19</t>
  </si>
  <si>
    <t>PKD1</t>
  </si>
  <si>
    <t>ENSG00000167971.15</t>
  </si>
  <si>
    <t>CASKIN1</t>
  </si>
  <si>
    <t>ENSG00000167965.18</t>
  </si>
  <si>
    <t>MLST8</t>
  </si>
  <si>
    <t>ENSG00000182685.7</t>
  </si>
  <si>
    <t>BRICD5</t>
  </si>
  <si>
    <t>ENSG00000184207.8</t>
  </si>
  <si>
    <t>PGP</t>
  </si>
  <si>
    <t>ENSG00000167969.13</t>
  </si>
  <si>
    <t>ECI1</t>
  </si>
  <si>
    <t>ENSG00000167972.14</t>
  </si>
  <si>
    <t>ABCA3</t>
  </si>
  <si>
    <t>ENSG00000162068.1</t>
  </si>
  <si>
    <t>NTN3</t>
  </si>
  <si>
    <t>ENSG00000162065.13</t>
  </si>
  <si>
    <t>TBC1D24</t>
  </si>
  <si>
    <t>ENSG00000162078.11</t>
  </si>
  <si>
    <t>ZG16B</t>
  </si>
  <si>
    <t>ENSG00000059122.16</t>
  </si>
  <si>
    <t>FLYWCH1</t>
  </si>
  <si>
    <t>ENSG00000131650.14</t>
  </si>
  <si>
    <t>KREMEN2</t>
  </si>
  <si>
    <t>ENSG00000162073.13</t>
  </si>
  <si>
    <t>PAQR4</t>
  </si>
  <si>
    <t>ENSG00000184697.7</t>
  </si>
  <si>
    <t>CLDN6</t>
  </si>
  <si>
    <t>ENSG00000131652.14</t>
  </si>
  <si>
    <t>THOC6</t>
  </si>
  <si>
    <t>ENSG00000008517.16</t>
  </si>
  <si>
    <t>IL32</t>
  </si>
  <si>
    <t>ENSG00000213918.10</t>
  </si>
  <si>
    <t>DNASE1</t>
  </si>
  <si>
    <t>ENSG00000126602.11</t>
  </si>
  <si>
    <t>TRAP1</t>
  </si>
  <si>
    <t>ENSG00000090447.12</t>
  </si>
  <si>
    <t>TFAP4</t>
  </si>
  <si>
    <t>ENSG00000126603.8</t>
  </si>
  <si>
    <t>GLIS2</t>
  </si>
  <si>
    <t>ENSG00000168140.5</t>
  </si>
  <si>
    <t>VASN</t>
  </si>
  <si>
    <t>ENSG00000089486.17</t>
  </si>
  <si>
    <t>CDIP1</t>
  </si>
  <si>
    <t>ENSG00000205832.7</t>
  </si>
  <si>
    <t>C16orf96</t>
  </si>
  <si>
    <t>ENSG00000103184.12</t>
  </si>
  <si>
    <t>SEC14L5</t>
  </si>
  <si>
    <t>ENSG00000103174.13</t>
  </si>
  <si>
    <t>NAGPA</t>
  </si>
  <si>
    <t>ENSG00000153446.15</t>
  </si>
  <si>
    <t>C16orf89</t>
  </si>
  <si>
    <t>ENSG00000078328.20</t>
  </si>
  <si>
    <t>RBFOX1</t>
  </si>
  <si>
    <t>ENSG00000183454.17</t>
  </si>
  <si>
    <t>GRIN2A</t>
  </si>
  <si>
    <t>ENSG00000213853.10</t>
  </si>
  <si>
    <t>EMP2</t>
  </si>
  <si>
    <t>ENSG00000179583.19</t>
  </si>
  <si>
    <t>CIITA</t>
  </si>
  <si>
    <t>ENSG00000185338.5</t>
  </si>
  <si>
    <t>SOCS1</t>
  </si>
  <si>
    <t>ENSG00000188897.9</t>
  </si>
  <si>
    <t>AC099489.1</t>
  </si>
  <si>
    <t>ENSG00000184602.6</t>
  </si>
  <si>
    <t>SNN</t>
  </si>
  <si>
    <t>ENSG00000153066.12</t>
  </si>
  <si>
    <t>TXNDC11</t>
  </si>
  <si>
    <t>ENSG00000234719.8</t>
  </si>
  <si>
    <t>NPIPB2</t>
  </si>
  <si>
    <t>ENSG00000048471.14</t>
  </si>
  <si>
    <t>SNX29</t>
  </si>
  <si>
    <t>ENSG00000103381.12</t>
  </si>
  <si>
    <t>CPPED1</t>
  </si>
  <si>
    <t>ENSG00000237515.9</t>
  </si>
  <si>
    <t>SHISA9</t>
  </si>
  <si>
    <t>ENSG00000157045.9</t>
  </si>
  <si>
    <t>NTAN1</t>
  </si>
  <si>
    <t>ENSG00000166780.11</t>
  </si>
  <si>
    <t>C16orf45</t>
  </si>
  <si>
    <t>ENSG00000166783.22</t>
  </si>
  <si>
    <t>MARF1</t>
  </si>
  <si>
    <t>ENSG00000133392.18</t>
  </si>
  <si>
    <t>MYH11</t>
  </si>
  <si>
    <t>ENSG00000103489.11</t>
  </si>
  <si>
    <t>XYLT1</t>
  </si>
  <si>
    <t>ENSG00000170540.15</t>
  </si>
  <si>
    <t>ARL6IP1</t>
  </si>
  <si>
    <t>ENSG00000170537.13</t>
  </si>
  <si>
    <t>TMC7</t>
  </si>
  <si>
    <t>ENSG00000103528.17</t>
  </si>
  <si>
    <t>SYT17</t>
  </si>
  <si>
    <t>ENSG00000103534.17</t>
  </si>
  <si>
    <t>TMC5</t>
  </si>
  <si>
    <t>ENSG00000103540.16</t>
  </si>
  <si>
    <t>CCP110</t>
  </si>
  <si>
    <t>ENSG00000103544.14</t>
  </si>
  <si>
    <t>VPS35L</t>
  </si>
  <si>
    <t>ENSG00000167191.12</t>
  </si>
  <si>
    <t>GPRC5B</t>
  </si>
  <si>
    <t>ENSG00000183747.12</t>
  </si>
  <si>
    <t>ACSM2A</t>
  </si>
  <si>
    <t>ENSG00000066813.14</t>
  </si>
  <si>
    <t>ACSM2B</t>
  </si>
  <si>
    <t>ENSG00000005189.19</t>
  </si>
  <si>
    <t>REXO5</t>
  </si>
  <si>
    <t>ENSG00000158486.13</t>
  </si>
  <si>
    <t>DNAH3</t>
  </si>
  <si>
    <t>ENSG00000175311.7</t>
  </si>
  <si>
    <t>ANKS4B</t>
  </si>
  <si>
    <t>ENSG00000140749.9</t>
  </si>
  <si>
    <t>IGSF6</t>
  </si>
  <si>
    <t>ENSG00000155719.17</t>
  </si>
  <si>
    <t>OTOA</t>
  </si>
  <si>
    <t>ENSG00000185864.16</t>
  </si>
  <si>
    <t>NPIPB4</t>
  </si>
  <si>
    <t>ENSG00000155714.13</t>
  </si>
  <si>
    <t>PDZD9</t>
  </si>
  <si>
    <t>ENSG00000243716.10</t>
  </si>
  <si>
    <t>NPIPB5</t>
  </si>
  <si>
    <t>ENSG00000166828.3</t>
  </si>
  <si>
    <t>SCNN1G</t>
  </si>
  <si>
    <t>ENSG00000168447.11</t>
  </si>
  <si>
    <t>SCNN1B</t>
  </si>
  <si>
    <t>ENSG00000166501.13</t>
  </si>
  <si>
    <t>PRKCB</t>
  </si>
  <si>
    <t>ENSG00000158865.12</t>
  </si>
  <si>
    <t>SLC5A11</t>
  </si>
  <si>
    <t>ENSG00000103375.11</t>
  </si>
  <si>
    <t>AQP8</t>
  </si>
  <si>
    <t>ENSG00000182601.7</t>
  </si>
  <si>
    <t>HS3ST4</t>
  </si>
  <si>
    <t>ENSG00000103522.16</t>
  </si>
  <si>
    <t>IL21R</t>
  </si>
  <si>
    <t>ENSG00000188322.5</t>
  </si>
  <si>
    <t>SBK1</t>
  </si>
  <si>
    <t>ENSG00000198156.10</t>
  </si>
  <si>
    <t>NPIPB6</t>
  </si>
  <si>
    <t>ENSG00000184730.11</t>
  </si>
  <si>
    <t>APOBR</t>
  </si>
  <si>
    <t>ENSG00000176046.8</t>
  </si>
  <si>
    <t>NUPR1</t>
  </si>
  <si>
    <t>ENSG00000255524.7</t>
  </si>
  <si>
    <t>NPIPB8</t>
  </si>
  <si>
    <t>ENSG00000196993.8</t>
  </si>
  <si>
    <t>NPIPB9</t>
  </si>
  <si>
    <t>ENSG00000168488.18</t>
  </si>
  <si>
    <t>ATXN2L</t>
  </si>
  <si>
    <t>ENSG00000177455.13</t>
  </si>
  <si>
    <t>CD19</t>
  </si>
  <si>
    <t>ENSG00000254206.5</t>
  </si>
  <si>
    <t>NPIPB11</t>
  </si>
  <si>
    <t>ENSG00000169203.16</t>
  </si>
  <si>
    <t>NPIPB12</t>
  </si>
  <si>
    <t>ENSG00000197471.12</t>
  </si>
  <si>
    <t>SPN</t>
  </si>
  <si>
    <t>ENSG00000103495.14</t>
  </si>
  <si>
    <t>MAZ</t>
  </si>
  <si>
    <t>ENSG00000013364.19</t>
  </si>
  <si>
    <t>MVP</t>
  </si>
  <si>
    <t>ENSG00000174939.11</t>
  </si>
  <si>
    <t>ASPHD1</t>
  </si>
  <si>
    <t>ENSG00000149926.13</t>
  </si>
  <si>
    <t>FAM57B</t>
  </si>
  <si>
    <t>ENSG00000285043.1</t>
  </si>
  <si>
    <t>AC093512.2</t>
  </si>
  <si>
    <t>ENSG00000090238.11</t>
  </si>
  <si>
    <t>YPEL3</t>
  </si>
  <si>
    <t>ENSG00000102882.12</t>
  </si>
  <si>
    <t>MAPK3</t>
  </si>
  <si>
    <t>ENSG00000261052.5</t>
  </si>
  <si>
    <t>SULT1A3</t>
  </si>
  <si>
    <t>ENSG00000198064.13</t>
  </si>
  <si>
    <t>NPIPB13</t>
  </si>
  <si>
    <t>ENSG00000179965.11</t>
  </si>
  <si>
    <t>ZNF771</t>
  </si>
  <si>
    <t>ENSG00000179958.8</t>
  </si>
  <si>
    <t>DCTPP1</t>
  </si>
  <si>
    <t>ENSG00000179918.18</t>
  </si>
  <si>
    <t>SEPHS2</t>
  </si>
  <si>
    <t>ENSG00000169957.10</t>
  </si>
  <si>
    <t>ZNF768</t>
  </si>
  <si>
    <t>ENSG00000150281.6</t>
  </si>
  <si>
    <t>CTF1</t>
  </si>
  <si>
    <t>ENSG00000099364.16</t>
  </si>
  <si>
    <t>FBXL19</t>
  </si>
  <si>
    <t>ENSG00000175938.7</t>
  </si>
  <si>
    <t>ORAI3</t>
  </si>
  <si>
    <t>ENSG00000099365.11</t>
  </si>
  <si>
    <t>STX1B</t>
  </si>
  <si>
    <t>ENSG00000151006.7</t>
  </si>
  <si>
    <t>PRSS53</t>
  </si>
  <si>
    <t>ENSG00000167397.15</t>
  </si>
  <si>
    <t>VKORC1</t>
  </si>
  <si>
    <t>ENSG00000103490.14</t>
  </si>
  <si>
    <t>PYCARD</t>
  </si>
  <si>
    <t>ENSG00000169896.17</t>
  </si>
  <si>
    <t>ITGAM</t>
  </si>
  <si>
    <t>ENSG00000140678.16</t>
  </si>
  <si>
    <t>ITGAX</t>
  </si>
  <si>
    <t>ENSG00000140691.16</t>
  </si>
  <si>
    <t>ARMC5</t>
  </si>
  <si>
    <t>ENSG00000140682.19</t>
  </si>
  <si>
    <t>TGFB1I1</t>
  </si>
  <si>
    <t>ENSG00000171208.9</t>
  </si>
  <si>
    <t>NETO2</t>
  </si>
  <si>
    <t>ENSG00000140798.16</t>
  </si>
  <si>
    <t>ABCC12</t>
  </si>
  <si>
    <t>ENSG00000121270.15</t>
  </si>
  <si>
    <t>ABCC11</t>
  </si>
  <si>
    <t>ENSG00000102910.13</t>
  </si>
  <si>
    <t>LONP2</t>
  </si>
  <si>
    <t>ENSG00000102935.11</t>
  </si>
  <si>
    <t>ZNF423</t>
  </si>
  <si>
    <t>ENSG00000083799.17</t>
  </si>
  <si>
    <t>CYLD</t>
  </si>
  <si>
    <t>ENSG00000103449.11</t>
  </si>
  <si>
    <t>SALL1</t>
  </si>
  <si>
    <t>ENSG00000103460.17</t>
  </si>
  <si>
    <t>TOX3</t>
  </si>
  <si>
    <t>ENSG00000277639.2</t>
  </si>
  <si>
    <t>AC007906.2</t>
  </si>
  <si>
    <t>ENSG00000177508.12</t>
  </si>
  <si>
    <t>IRX3</t>
  </si>
  <si>
    <t>ENSG00000087245.13</t>
  </si>
  <si>
    <t>MMP2</t>
  </si>
  <si>
    <t>ENSG00000198848.12</t>
  </si>
  <si>
    <t>CES1</t>
  </si>
  <si>
    <t>ENSG00000159398.15</t>
  </si>
  <si>
    <t>CES5A</t>
  </si>
  <si>
    <t>ENSG00000087258.15</t>
  </si>
  <si>
    <t>GNAO1</t>
  </si>
  <si>
    <t>ENSG00000125148.7</t>
  </si>
  <si>
    <t>MT2A</t>
  </si>
  <si>
    <t>ENSG00000169715.14</t>
  </si>
  <si>
    <t>MT1E</t>
  </si>
  <si>
    <t>ENSG00000198417.7</t>
  </si>
  <si>
    <t>MT1F</t>
  </si>
  <si>
    <t>ENSG00000125144.13</t>
  </si>
  <si>
    <t>MT1G</t>
  </si>
  <si>
    <t>ENSG00000187193.9</t>
  </si>
  <si>
    <t>MT1X</t>
  </si>
  <si>
    <t>ENSG00000070915.9</t>
  </si>
  <si>
    <t>SLC12A3</t>
  </si>
  <si>
    <t>ENSG00000102962.5</t>
  </si>
  <si>
    <t>CCL22</t>
  </si>
  <si>
    <t>ENSG00000125170.11</t>
  </si>
  <si>
    <t>DOK4</t>
  </si>
  <si>
    <t>ENSG00000159618.16</t>
  </si>
  <si>
    <t>ADGRG5</t>
  </si>
  <si>
    <t>ENSG00000205336.11</t>
  </si>
  <si>
    <t>ADGRG1</t>
  </si>
  <si>
    <t>ENSG00000159625.14</t>
  </si>
  <si>
    <t>DRC7</t>
  </si>
  <si>
    <t>ENSG00000140854.13</t>
  </si>
  <si>
    <t>KATNB1</t>
  </si>
  <si>
    <t>ENSG00000070729.13</t>
  </si>
  <si>
    <t>CNGB1</t>
  </si>
  <si>
    <t>ENSG00000159648.11</t>
  </si>
  <si>
    <t>TEPP</t>
  </si>
  <si>
    <t>ENSG00000103005.11</t>
  </si>
  <si>
    <t>USB1</t>
  </si>
  <si>
    <t>ENSG00000168748.14</t>
  </si>
  <si>
    <t>CA7</t>
  </si>
  <si>
    <t>ENSG00000172840.6</t>
  </si>
  <si>
    <t>PDP2</t>
  </si>
  <si>
    <t>ENSG00000166592.12</t>
  </si>
  <si>
    <t>RRAD</t>
  </si>
  <si>
    <t>ENSG00000172831.12</t>
  </si>
  <si>
    <t>CES2</t>
  </si>
  <si>
    <t>ENSG00000172824.16</t>
  </si>
  <si>
    <t>CES4A</t>
  </si>
  <si>
    <t>ENSG00000125149.11</t>
  </si>
  <si>
    <t>C16orf70</t>
  </si>
  <si>
    <t>ENSG00000237172.4</t>
  </si>
  <si>
    <t>B3GNT9</t>
  </si>
  <si>
    <t>ENSG00000179044.16</t>
  </si>
  <si>
    <t>EXOC3L1</t>
  </si>
  <si>
    <t>ENSG00000125122.15</t>
  </si>
  <si>
    <t>LRRC29</t>
  </si>
  <si>
    <t>ENSG00000135723.14</t>
  </si>
  <si>
    <t>FHOD1</t>
  </si>
  <si>
    <t>ENSG00000196155.13</t>
  </si>
  <si>
    <t>PLEKHG4</t>
  </si>
  <si>
    <t>ENSG00000159708.18</t>
  </si>
  <si>
    <t>LRRC36</t>
  </si>
  <si>
    <t>ENSG00000039523.20</t>
  </si>
  <si>
    <t>RIPOR1</t>
  </si>
  <si>
    <t>ENSG00000159753.14</t>
  </si>
  <si>
    <t>CARMIL2</t>
  </si>
  <si>
    <t>ENSG00000141084.11</t>
  </si>
  <si>
    <t>RANBP10</t>
  </si>
  <si>
    <t>ENSG00000102904.14</t>
  </si>
  <si>
    <t>TSNAXIP1</t>
  </si>
  <si>
    <t>ENSG00000168286.2</t>
  </si>
  <si>
    <t>THAP11</t>
  </si>
  <si>
    <t>ENSG00000261884.2</t>
  </si>
  <si>
    <t>AC040162.1</t>
  </si>
  <si>
    <t>ENSG00000124067.17</t>
  </si>
  <si>
    <t>SLC12A4</t>
  </si>
  <si>
    <t>ENSG00000167261.14</t>
  </si>
  <si>
    <t>DPEP2</t>
  </si>
  <si>
    <t>ENSG00000184939.16</t>
  </si>
  <si>
    <t>ZFP90</t>
  </si>
  <si>
    <t>ENSG00000062038.14</t>
  </si>
  <si>
    <t>CDH3</t>
  </si>
  <si>
    <t>ENSG00000039068.19</t>
  </si>
  <si>
    <t>CDH1</t>
  </si>
  <si>
    <t>ENSG00000258429.2</t>
  </si>
  <si>
    <t>PDF</t>
  </si>
  <si>
    <t>ENSG00000090861.15</t>
  </si>
  <si>
    <t>AARS</t>
  </si>
  <si>
    <t>ENSG00000157423.18</t>
  </si>
  <si>
    <t>HYDIN</t>
  </si>
  <si>
    <t>ENSG00000157429.15</t>
  </si>
  <si>
    <t>ZNF19</t>
  </si>
  <si>
    <t>ENSG00000198650.11</t>
  </si>
  <si>
    <t>TAT</t>
  </si>
  <si>
    <t>ENSG00000140832.9</t>
  </si>
  <si>
    <t>MARVELD3</t>
  </si>
  <si>
    <t>ENSG00000277481.1</t>
  </si>
  <si>
    <t>PKD1L3</t>
  </si>
  <si>
    <t>ENSG00000102967.12</t>
  </si>
  <si>
    <t>DHODH</t>
  </si>
  <si>
    <t>ENSG00000257017.8</t>
  </si>
  <si>
    <t>HP</t>
  </si>
  <si>
    <t>ENSG00000261701.7</t>
  </si>
  <si>
    <t>HPR</t>
  </si>
  <si>
    <t>ENSG00000118557.15</t>
  </si>
  <si>
    <t>PMFBP1</t>
  </si>
  <si>
    <t>ENSG00000140836.17</t>
  </si>
  <si>
    <t>ZFHX3</t>
  </si>
  <si>
    <t>ENSG00000168404.13</t>
  </si>
  <si>
    <t>MLKL</t>
  </si>
  <si>
    <t>ENSG00000103089.9</t>
  </si>
  <si>
    <t>FA2H</t>
  </si>
  <si>
    <t>ENSG00000186187.11</t>
  </si>
  <si>
    <t>ZNRF1</t>
  </si>
  <si>
    <t>ENSG00000168928.13</t>
  </si>
  <si>
    <t>CTRB2</t>
  </si>
  <si>
    <t>ENSG00000183196.10</t>
  </si>
  <si>
    <t>CHST6</t>
  </si>
  <si>
    <t>ENSG00000034713.8</t>
  </si>
  <si>
    <t>GABARAPL2</t>
  </si>
  <si>
    <t>ENSG00000140873.16</t>
  </si>
  <si>
    <t>ADAMTS18</t>
  </si>
  <si>
    <t>ENSG00000178573.7</t>
  </si>
  <si>
    <t>MAF</t>
  </si>
  <si>
    <t>ENSG00000086696.11</t>
  </si>
  <si>
    <t>HSD17B2</t>
  </si>
  <si>
    <t>ENSG00000140945.17</t>
  </si>
  <si>
    <t>CDH13</t>
  </si>
  <si>
    <t>ENSG00000103150.6</t>
  </si>
  <si>
    <t>MLYCD</t>
  </si>
  <si>
    <t>ENSG00000260300.5</t>
  </si>
  <si>
    <t>AC009119.2</t>
  </si>
  <si>
    <t>ENSG00000154099.18</t>
  </si>
  <si>
    <t>DNAAF1</t>
  </si>
  <si>
    <t>ENSG00000103187.8</t>
  </si>
  <si>
    <t>COTL1</t>
  </si>
  <si>
    <t>ENSG00000103196.12</t>
  </si>
  <si>
    <t>CRISPLD2</t>
  </si>
  <si>
    <t>ENSG00000135709.12</t>
  </si>
  <si>
    <t>KIAA0513</t>
  </si>
  <si>
    <t>ENSG00000153789.13</t>
  </si>
  <si>
    <t>FAM92B</t>
  </si>
  <si>
    <t>ENSG00000131153.9</t>
  </si>
  <si>
    <t>GINS2</t>
  </si>
  <si>
    <t>ENSG00000103241.7</t>
  </si>
  <si>
    <t>FOXF1</t>
  </si>
  <si>
    <t>ENSG00000140941.13</t>
  </si>
  <si>
    <t>MAP1LC3B</t>
  </si>
  <si>
    <t>ENSG00000103257.9</t>
  </si>
  <si>
    <t>SLC7A5</t>
  </si>
  <si>
    <t>ENSG00000174990.6</t>
  </si>
  <si>
    <t>CA5A</t>
  </si>
  <si>
    <t>ENSG00000225614.2</t>
  </si>
  <si>
    <t>ZNF469</t>
  </si>
  <si>
    <t>ENSG00000167508.12</t>
  </si>
  <si>
    <t>MVD</t>
  </si>
  <si>
    <t>ENSG00000185669.6</t>
  </si>
  <si>
    <t>SNAI3</t>
  </si>
  <si>
    <t>ENSG00000174177.13</t>
  </si>
  <si>
    <t>CTU2</t>
  </si>
  <si>
    <t>ENSG00000103335.22</t>
  </si>
  <si>
    <t>PIEZO1</t>
  </si>
  <si>
    <t>ENSG00000129993.14</t>
  </si>
  <si>
    <t>CBFA2T3</t>
  </si>
  <si>
    <t>ENSG00000259803.7</t>
  </si>
  <si>
    <t>SLC22A31</t>
  </si>
  <si>
    <t>ENSG00000015413.9</t>
  </si>
  <si>
    <t>DPEP1</t>
  </si>
  <si>
    <t>ENSG00000167523.13</t>
  </si>
  <si>
    <t>SPATA33</t>
  </si>
  <si>
    <t>ENSG00000187741.15</t>
  </si>
  <si>
    <t>FANCA</t>
  </si>
  <si>
    <t>ENSG00000140995.16</t>
  </si>
  <si>
    <t>DEF8</t>
  </si>
  <si>
    <t>ENSG00000272636.4</t>
  </si>
  <si>
    <t>DOC2B</t>
  </si>
  <si>
    <t>ENSG00000183688.4</t>
  </si>
  <si>
    <t>RFLNB</t>
  </si>
  <si>
    <t>ENSG00000167695.15</t>
  </si>
  <si>
    <t>FAM57A</t>
  </si>
  <si>
    <t>ENSG00000179409.11</t>
  </si>
  <si>
    <t>GEMIN4</t>
  </si>
  <si>
    <t>ENSG00000167703.14</t>
  </si>
  <si>
    <t>SLC43A2</t>
  </si>
  <si>
    <t>ENSG00000185924.7</t>
  </si>
  <si>
    <t>RTN4RL1</t>
  </si>
  <si>
    <t>ENSG00000132361.17</t>
  </si>
  <si>
    <t>CLUH</t>
  </si>
  <si>
    <t>ENSG00000040531.14</t>
  </si>
  <si>
    <t>CTNS</t>
  </si>
  <si>
    <t>ENSG00000213977.8</t>
  </si>
  <si>
    <t>TAX1BP3</t>
  </si>
  <si>
    <t>ENSG00000004660.14</t>
  </si>
  <si>
    <t>CAMKK1</t>
  </si>
  <si>
    <t>ENSG00000074370.18</t>
  </si>
  <si>
    <t>ATP2A3</t>
  </si>
  <si>
    <t>ENSG00000182557.8</t>
  </si>
  <si>
    <t>SPNS3</t>
  </si>
  <si>
    <t>ENSG00000183018.9</t>
  </si>
  <si>
    <t>AC118754.1</t>
  </si>
  <si>
    <t>ENSG00000132382.14</t>
  </si>
  <si>
    <t>MYBBP1A</t>
  </si>
  <si>
    <t>ENSG00000167741.10</t>
  </si>
  <si>
    <t>GGT6</t>
  </si>
  <si>
    <t>ENSG00000262165.2</t>
  </si>
  <si>
    <t>AC233723.1</t>
  </si>
  <si>
    <t>ENSG00000108515.17</t>
  </si>
  <si>
    <t>ENO3</t>
  </si>
  <si>
    <t>ENSG00000091640.8</t>
  </si>
  <si>
    <t>SPAG7</t>
  </si>
  <si>
    <t>ENSG00000132517.15</t>
  </si>
  <si>
    <t>SLC52A1</t>
  </si>
  <si>
    <t>ENSG00000180626.10</t>
  </si>
  <si>
    <t>ZNF594</t>
  </si>
  <si>
    <t>ENSG00000108561.8</t>
  </si>
  <si>
    <t>C1QBP</t>
  </si>
  <si>
    <t>ENSG00000005100.13</t>
  </si>
  <si>
    <t>DHX33</t>
  </si>
  <si>
    <t>ENSG00000091622.16</t>
  </si>
  <si>
    <t>PITPNM3</t>
  </si>
  <si>
    <t>ENSG00000198920.10</t>
  </si>
  <si>
    <t>KIAA0753</t>
  </si>
  <si>
    <t>ENSG00000132530.17</t>
  </si>
  <si>
    <t>XAF1</t>
  </si>
  <si>
    <t>ENSG00000174327.6</t>
  </si>
  <si>
    <t>SLC16A13</t>
  </si>
  <si>
    <t>ENSG00000161944.16</t>
  </si>
  <si>
    <t>ASGR2</t>
  </si>
  <si>
    <t>ENSG00000141505.12</t>
  </si>
  <si>
    <t>ASGR1</t>
  </si>
  <si>
    <t>ENSG00000175826.12</t>
  </si>
  <si>
    <t>CTDNEP1</t>
  </si>
  <si>
    <t>ENSG00000170291.14</t>
  </si>
  <si>
    <t>ELP5</t>
  </si>
  <si>
    <t>ENSG00000181856.14</t>
  </si>
  <si>
    <t>SLC2A4</t>
  </si>
  <si>
    <t>ENSG00000132507.18</t>
  </si>
  <si>
    <t>EIF5A</t>
  </si>
  <si>
    <t>ENSG00000213859.6</t>
  </si>
  <si>
    <t>KCTD11</t>
  </si>
  <si>
    <t>ENSG00000239697.11</t>
  </si>
  <si>
    <t>TNFSF12</t>
  </si>
  <si>
    <t>ENSG00000129214.15</t>
  </si>
  <si>
    <t>SHBG</t>
  </si>
  <si>
    <t>ENSG00000183914.14</t>
  </si>
  <si>
    <t>DNAH2</t>
  </si>
  <si>
    <t>ENSG00000182224.12</t>
  </si>
  <si>
    <t>CYB5D1</t>
  </si>
  <si>
    <t>ENSG00000179477.10</t>
  </si>
  <si>
    <t>ALOX12B</t>
  </si>
  <si>
    <t>ENSG00000179029.14</t>
  </si>
  <si>
    <t>TMEM107</t>
  </si>
  <si>
    <t>ENSG00000178999.13</t>
  </si>
  <si>
    <t>AURKB</t>
  </si>
  <si>
    <t>ENSG00000178921.14</t>
  </si>
  <si>
    <t>PFAS</t>
  </si>
  <si>
    <t>ENSG00000108961.14</t>
  </si>
  <si>
    <t>RANGRF</t>
  </si>
  <si>
    <t>ENSG00000184619.5</t>
  </si>
  <si>
    <t>KRBA2</t>
  </si>
  <si>
    <t>ENSG00000133026.12</t>
  </si>
  <si>
    <t>MYH10</t>
  </si>
  <si>
    <t>ENSG00000276231.4</t>
  </si>
  <si>
    <t>PIK3R6</t>
  </si>
  <si>
    <t>ENSG00000065320.9</t>
  </si>
  <si>
    <t>NTN1</t>
  </si>
  <si>
    <t>ENSG00000007237.18</t>
  </si>
  <si>
    <t>GAS7</t>
  </si>
  <si>
    <t>ENSG00000133020.4</t>
  </si>
  <si>
    <t>MYH8</t>
  </si>
  <si>
    <t>ENSG00000007174.18</t>
  </si>
  <si>
    <t>DNAH9</t>
  </si>
  <si>
    <t>ENSG00000153976.3</t>
  </si>
  <si>
    <t>HS3ST3A1</t>
  </si>
  <si>
    <t>ENSG00000125430.9</t>
  </si>
  <si>
    <t>HS3ST3B1</t>
  </si>
  <si>
    <t>ENSG00000109099.15</t>
  </si>
  <si>
    <t>PMP22</t>
  </si>
  <si>
    <t>ENSG00000166582.10</t>
  </si>
  <si>
    <t>CENPV</t>
  </si>
  <si>
    <t>ENSG00000181350.11</t>
  </si>
  <si>
    <t>LRRC75A</t>
  </si>
  <si>
    <t>ENSG00000170160.17</t>
  </si>
  <si>
    <t>CCDC144A</t>
  </si>
  <si>
    <t>ENSG00000179598.6</t>
  </si>
  <si>
    <t>PLD6</t>
  </si>
  <si>
    <t>ENSG00000108551.5</t>
  </si>
  <si>
    <t>RASD1</t>
  </si>
  <si>
    <t>ENSG00000133027.18</t>
  </si>
  <si>
    <t>PEMT</t>
  </si>
  <si>
    <t>ENSG00000072310.16</t>
  </si>
  <si>
    <t>SREBF1</t>
  </si>
  <si>
    <t>ENSG00000175662.17</t>
  </si>
  <si>
    <t>TOM1L2</t>
  </si>
  <si>
    <t>ENSG00000171962.17</t>
  </si>
  <si>
    <t>DRC3</t>
  </si>
  <si>
    <t>ENSG00000091536.18</t>
  </si>
  <si>
    <t>MYO15A</t>
  </si>
  <si>
    <t>ENSG00000091542.9</t>
  </si>
  <si>
    <t>ALKBH5</t>
  </si>
  <si>
    <t>ENSG00000176974.20</t>
  </si>
  <si>
    <t>SHMT1</t>
  </si>
  <si>
    <t>ENSG00000141127.15</t>
  </si>
  <si>
    <t>PRPSAP2</t>
  </si>
  <si>
    <t>ENSG00000154025.15</t>
  </si>
  <si>
    <t>SLC5A10</t>
  </si>
  <si>
    <t>ENSG00000154016.13</t>
  </si>
  <si>
    <t>GRAP</t>
  </si>
  <si>
    <t>ENSG00000072210.18</t>
  </si>
  <si>
    <t>ALDH3A2</t>
  </si>
  <si>
    <t>ENSG00000083290.20</t>
  </si>
  <si>
    <t>ULK2</t>
  </si>
  <si>
    <t>ENSG00000128487.16</t>
  </si>
  <si>
    <t>SPECC1</t>
  </si>
  <si>
    <t>ENSG00000274180.1</t>
  </si>
  <si>
    <t>NATD1</t>
  </si>
  <si>
    <t>ENSG00000184185.10</t>
  </si>
  <si>
    <t>KCNJ12</t>
  </si>
  <si>
    <t>ENSG00000212719.11</t>
  </si>
  <si>
    <t>C17orf51</t>
  </si>
  <si>
    <t>ENSG00000109046.15</t>
  </si>
  <si>
    <t>WSB1</t>
  </si>
  <si>
    <t>ENSG00000232859.9</t>
  </si>
  <si>
    <t>LYRM9</t>
  </si>
  <si>
    <t>ENSG00000109084.14</t>
  </si>
  <si>
    <t>TMEM97</t>
  </si>
  <si>
    <t>ENSG00000109101.7</t>
  </si>
  <si>
    <t>FOXN1</t>
  </si>
  <si>
    <t>ENSG00000109107.14</t>
  </si>
  <si>
    <t>ALDOC</t>
  </si>
  <si>
    <t>ENSG00000007202.15</t>
  </si>
  <si>
    <t>KIAA0100</t>
  </si>
  <si>
    <t>ENSG00000160606.11</t>
  </si>
  <si>
    <t>TLCD1</t>
  </si>
  <si>
    <t>ENSG00000167536.14</t>
  </si>
  <si>
    <t>DHRS13</t>
  </si>
  <si>
    <t>ENSG00000108255.7</t>
  </si>
  <si>
    <t>CRYBA1</t>
  </si>
  <si>
    <t>ENSG00000168792.5</t>
  </si>
  <si>
    <t>ABHD15</t>
  </si>
  <si>
    <t>ENSG00000198720.13</t>
  </si>
  <si>
    <t>ANKRD13B</t>
  </si>
  <si>
    <t>ENSG00000167549.18</t>
  </si>
  <si>
    <t>CORO6</t>
  </si>
  <si>
    <t>ENSG00000176927.15</t>
  </si>
  <si>
    <t>EFCAB5</t>
  </si>
  <si>
    <t>ENSG00000108576.10</t>
  </si>
  <si>
    <t>SLC6A4</t>
  </si>
  <si>
    <t>ENSG00000126861.5</t>
  </si>
  <si>
    <t>OMG</t>
  </si>
  <si>
    <t>ENSG00000185862.7</t>
  </si>
  <si>
    <t>EVI2B</t>
  </si>
  <si>
    <t>ENSG00000131242.18</t>
  </si>
  <si>
    <t>RAB11FIP4</t>
  </si>
  <si>
    <t>ENSG00000108666.10</t>
  </si>
  <si>
    <t>C17orf75</t>
  </si>
  <si>
    <t>ENSG00000176749.9</t>
  </si>
  <si>
    <t>CDK5R1</t>
  </si>
  <si>
    <t>ENSG00000006042.12</t>
  </si>
  <si>
    <t>TMEM98</t>
  </si>
  <si>
    <t>ENSG00000132141.14</t>
  </si>
  <si>
    <t>CCT6B</t>
  </si>
  <si>
    <t>ENSG00000092871.16</t>
  </si>
  <si>
    <t>RFFL</t>
  </si>
  <si>
    <t>ENSG00000141161.11</t>
  </si>
  <si>
    <t>UNC45B</t>
  </si>
  <si>
    <t>ENSG00000166750.10</t>
  </si>
  <si>
    <t>SLFN5</t>
  </si>
  <si>
    <t>ENSG00000270885.1</t>
  </si>
  <si>
    <t>RASL10B</t>
  </si>
  <si>
    <t>ENSG00000270765.5</t>
  </si>
  <si>
    <t>GAS2L2</t>
  </si>
  <si>
    <t>ENSG00000276409.5</t>
  </si>
  <si>
    <t>CCL14</t>
  </si>
  <si>
    <t>ENSG00000275718.2</t>
  </si>
  <si>
    <t>CCL15</t>
  </si>
  <si>
    <t>ENSG00000278540.5</t>
  </si>
  <si>
    <t>ACACA</t>
  </si>
  <si>
    <t>ENSG00000278505.4</t>
  </si>
  <si>
    <t>C17orf78</t>
  </si>
  <si>
    <t>ENSG00000275410.5</t>
  </si>
  <si>
    <t>HNF1B</t>
  </si>
  <si>
    <t>ENSG00000277399.4</t>
  </si>
  <si>
    <t>GPR179</t>
  </si>
  <si>
    <t>ENSG00000274211.5</t>
  </si>
  <si>
    <t>SOCS7</t>
  </si>
  <si>
    <t>ENSG00000275832.5</t>
  </si>
  <si>
    <t>ARHGAP23</t>
  </si>
  <si>
    <t>ENSG00000277363.5</t>
  </si>
  <si>
    <t>SRCIN1</t>
  </si>
  <si>
    <t>ENSG00000273604.1</t>
  </si>
  <si>
    <t>EPOP</t>
  </si>
  <si>
    <t>ENSG00000275023.4</t>
  </si>
  <si>
    <t>MLLT6</t>
  </si>
  <si>
    <t>ENSG00000277972.1</t>
  </si>
  <si>
    <t>CISD3</t>
  </si>
  <si>
    <t>ENSG00000277258.5</t>
  </si>
  <si>
    <t>PCGF2</t>
  </si>
  <si>
    <t>ENSG00000161381.14</t>
  </si>
  <si>
    <t>PLXDC1</t>
  </si>
  <si>
    <t>ENSG00000141736.13</t>
  </si>
  <si>
    <t>ERBB2</t>
  </si>
  <si>
    <t>ENSG00000161405.17</t>
  </si>
  <si>
    <t>IKZF3</t>
  </si>
  <si>
    <t>ENSG00000172057.10</t>
  </si>
  <si>
    <t>ORMDL3</t>
  </si>
  <si>
    <t>ENSG00000108342.12</t>
  </si>
  <si>
    <t>CSF3</t>
  </si>
  <si>
    <t>ENSG00000094804.11</t>
  </si>
  <si>
    <t>CDC6</t>
  </si>
  <si>
    <t>ENSG00000131759.18</t>
  </si>
  <si>
    <t>RARA</t>
  </si>
  <si>
    <t>ENSG00000183153.6</t>
  </si>
  <si>
    <t>GJD3</t>
  </si>
  <si>
    <t>ENSG00000141753.7</t>
  </si>
  <si>
    <t>IGFBP4</t>
  </si>
  <si>
    <t>ENSG00000108244.16</t>
  </si>
  <si>
    <t>KRT23</t>
  </si>
  <si>
    <t>ENSG00000212901.4</t>
  </si>
  <si>
    <t>KRTAP3-1</t>
  </si>
  <si>
    <t>ENSG00000006059.3</t>
  </si>
  <si>
    <t>KRT33A</t>
  </si>
  <si>
    <t>ENSG00000171346.16</t>
  </si>
  <si>
    <t>KRT15</t>
  </si>
  <si>
    <t>ENSG00000128422.16</t>
  </si>
  <si>
    <t>KRT17</t>
  </si>
  <si>
    <t>ENSG00000184502.4</t>
  </si>
  <si>
    <t>GAST</t>
  </si>
  <si>
    <t>ENSG00000173805.15</t>
  </si>
  <si>
    <t>HAP1</t>
  </si>
  <si>
    <t>ENSG00000141696.13</t>
  </si>
  <si>
    <t>P3H4</t>
  </si>
  <si>
    <t>ENSG00000131473.17</t>
  </si>
  <si>
    <t>ACLY</t>
  </si>
  <si>
    <t>ENSG00000204815.10</t>
  </si>
  <si>
    <t>TTC25</t>
  </si>
  <si>
    <t>ENSG00000173786.17</t>
  </si>
  <si>
    <t>CNP</t>
  </si>
  <si>
    <t>ENSG00000187595.16</t>
  </si>
  <si>
    <t>ZNF385C</t>
  </si>
  <si>
    <t>ENSG00000108773.11</t>
  </si>
  <si>
    <t>KAT2A</t>
  </si>
  <si>
    <t>ENSG00000089558.9</t>
  </si>
  <si>
    <t>KCNH4</t>
  </si>
  <si>
    <t>ENSG00000168610.14</t>
  </si>
  <si>
    <t>STAT3</t>
  </si>
  <si>
    <t>ENSG00000177469.13</t>
  </si>
  <si>
    <t>CAVIN1</t>
  </si>
  <si>
    <t>ENSG00000068137.15</t>
  </si>
  <si>
    <t>PLEKHH3</t>
  </si>
  <si>
    <t>ENSG00000108797.12</t>
  </si>
  <si>
    <t>CNTNAP1</t>
  </si>
  <si>
    <t>ENSG00000131477.11</t>
  </si>
  <si>
    <t>RAMP2</t>
  </si>
  <si>
    <t>ENSG00000126562.17</t>
  </si>
  <si>
    <t>WNK4</t>
  </si>
  <si>
    <t>ENSG00000131482.9</t>
  </si>
  <si>
    <t>G6PC</t>
  </si>
  <si>
    <t>ENSG00000068079.7</t>
  </si>
  <si>
    <t>IFI35</t>
  </si>
  <si>
    <t>ENSG00000108828.16</t>
  </si>
  <si>
    <t>VAT1</t>
  </si>
  <si>
    <t>ENSG00000184988.8</t>
  </si>
  <si>
    <t>TMEM106A</t>
  </si>
  <si>
    <t>ENSG00000161647.18</t>
  </si>
  <si>
    <t>MPP3</t>
  </si>
  <si>
    <t>ENSG00000108849.7</t>
  </si>
  <si>
    <t>PPY</t>
  </si>
  <si>
    <t>ENSG00000087152.15</t>
  </si>
  <si>
    <t>ATXN7L3</t>
  </si>
  <si>
    <t>ENSG00000108312.15</t>
  </si>
  <si>
    <t>UBTF</t>
  </si>
  <si>
    <t>ENSG00000030582.18</t>
  </si>
  <si>
    <t>GRN</t>
  </si>
  <si>
    <t>ENSG00000005961.18</t>
  </si>
  <si>
    <t>ITGA2B</t>
  </si>
  <si>
    <t>ENSG00000180336.18</t>
  </si>
  <si>
    <t>MEIOC</t>
  </si>
  <si>
    <t>ENSG00000182963.10</t>
  </si>
  <si>
    <t>GJC1</t>
  </si>
  <si>
    <t>ENSG00000186185.13</t>
  </si>
  <si>
    <t>KIF18B</t>
  </si>
  <si>
    <t>ENSG00000176681.14</t>
  </si>
  <si>
    <t>LRRC37A</t>
  </si>
  <si>
    <t>ENSG00000178852.16</t>
  </si>
  <si>
    <t>EFCAB13</t>
  </si>
  <si>
    <t>ENSG00000198933.9</t>
  </si>
  <si>
    <t>TBKBP1</t>
  </si>
  <si>
    <t>ENSG00000189120.5</t>
  </si>
  <si>
    <t>SP6</t>
  </si>
  <si>
    <t>ENSG00000108439.10</t>
  </si>
  <si>
    <t>PNPO</t>
  </si>
  <si>
    <t>ENSG00000141293.16</t>
  </si>
  <si>
    <t>SKAP1</t>
  </si>
  <si>
    <t>ENSG00000159199.14</t>
  </si>
  <si>
    <t>ATP5MC1</t>
  </si>
  <si>
    <t>ENSG00000159217.10</t>
  </si>
  <si>
    <t>IGF2BP1</t>
  </si>
  <si>
    <t>ENSG00000167080.8</t>
  </si>
  <si>
    <t>B4GALNT2</t>
  </si>
  <si>
    <t>ENSG00000173868.11</t>
  </si>
  <si>
    <t>PHOSPHO1</t>
  </si>
  <si>
    <t>ENSG00000064300.9</t>
  </si>
  <si>
    <t>NGFR</t>
  </si>
  <si>
    <t>ENSG00000121104.8</t>
  </si>
  <si>
    <t>FAM117A</t>
  </si>
  <si>
    <t>ENSG00000005884.18</t>
  </si>
  <si>
    <t>ITGA3</t>
  </si>
  <si>
    <t>ENSG00000005882.11</t>
  </si>
  <si>
    <t>PDK2</t>
  </si>
  <si>
    <t>ENSG00000136444.10</t>
  </si>
  <si>
    <t>RSAD1</t>
  </si>
  <si>
    <t>ENSG00000136449.14</t>
  </si>
  <si>
    <t>MYCBPAP</t>
  </si>
  <si>
    <t>ENSG00000049283.18</t>
  </si>
  <si>
    <t>EPN3</t>
  </si>
  <si>
    <t>ENSG00000006283.18</t>
  </si>
  <si>
    <t>CACNA1G</t>
  </si>
  <si>
    <t>ENSG00000173714.7</t>
  </si>
  <si>
    <t>WFIKKN2</t>
  </si>
  <si>
    <t>ENSG00000011260.14</t>
  </si>
  <si>
    <t>UTP18</t>
  </si>
  <si>
    <t>ENSG00000261873.2</t>
  </si>
  <si>
    <t>SMIM36</t>
  </si>
  <si>
    <t>ENSG00000141179.13</t>
  </si>
  <si>
    <t>PCTP</t>
  </si>
  <si>
    <t>ENSG00000153930.11</t>
  </si>
  <si>
    <t>ANKFN1</t>
  </si>
  <si>
    <t>ENSG00000121060.18</t>
  </si>
  <si>
    <t>TRIM25</t>
  </si>
  <si>
    <t>ENSG00000121057.13</t>
  </si>
  <si>
    <t>AKAP1</t>
  </si>
  <si>
    <t>ENSG00000213246.7</t>
  </si>
  <si>
    <t>SUPT4H1</t>
  </si>
  <si>
    <t>ENSG00000108375.12</t>
  </si>
  <si>
    <t>RNF43</t>
  </si>
  <si>
    <t>ENSG00000108389.9</t>
  </si>
  <si>
    <t>MTMR4</t>
  </si>
  <si>
    <t>ENSG00000108387.14</t>
  </si>
  <si>
    <t>SEPT4</t>
  </si>
  <si>
    <t>ENSG00000121101.15</t>
  </si>
  <si>
    <t>TEX14</t>
  </si>
  <si>
    <t>ENSG00000108384.15</t>
  </si>
  <si>
    <t>RAD51C</t>
  </si>
  <si>
    <t>ENSG00000175175.6</t>
  </si>
  <si>
    <t>PPM1E</t>
  </si>
  <si>
    <t>ENSG00000062716.13</t>
  </si>
  <si>
    <t>VMP1</t>
  </si>
  <si>
    <t>ENSG00000167434.10</t>
  </si>
  <si>
    <t>CA4</t>
  </si>
  <si>
    <t>ENSG00000170836.11</t>
  </si>
  <si>
    <t>PPM1D</t>
  </si>
  <si>
    <t>ENSG00000121068.14</t>
  </si>
  <si>
    <t>TBX2</t>
  </si>
  <si>
    <t>ENSG00000121075.10</t>
  </si>
  <si>
    <t>TBX4</t>
  </si>
  <si>
    <t>ENSG00000172421.9</t>
  </si>
  <si>
    <t>EFCAB3</t>
  </si>
  <si>
    <t>ENSG00000011028.14</t>
  </si>
  <si>
    <t>AC080038.1</t>
  </si>
  <si>
    <t>ENSG00000170921.15</t>
  </si>
  <si>
    <t>TANC2</t>
  </si>
  <si>
    <t>ENSG00000173826.14</t>
  </si>
  <si>
    <t>KCNH6</t>
  </si>
  <si>
    <t>ENSG00000266173.7</t>
  </si>
  <si>
    <t>STRADA</t>
  </si>
  <si>
    <t>ENSG00000136490.9</t>
  </si>
  <si>
    <t>LIMD2</t>
  </si>
  <si>
    <t>ENSG00000108604.15</t>
  </si>
  <si>
    <t>SMARCD2</t>
  </si>
  <si>
    <t>ENSG00000136487.18</t>
  </si>
  <si>
    <t>GH2</t>
  </si>
  <si>
    <t>ENSG00000007312.12</t>
  </si>
  <si>
    <t>CD79B</t>
  </si>
  <si>
    <t>ENSG00000007314.12</t>
  </si>
  <si>
    <t>SCN4A</t>
  </si>
  <si>
    <t>ENSG00000224383.7</t>
  </si>
  <si>
    <t>PRR29</t>
  </si>
  <si>
    <t>ENSG00000261371.6</t>
  </si>
  <si>
    <t>PECAM1</t>
  </si>
  <si>
    <t>ENSG00000258890.7</t>
  </si>
  <si>
    <t>CEP95</t>
  </si>
  <si>
    <t>ENSG00000168646.13</t>
  </si>
  <si>
    <t>AXIN2</t>
  </si>
  <si>
    <t>ENSG00000091583.11</t>
  </si>
  <si>
    <t>APOH</t>
  </si>
  <si>
    <t>ENSG00000154229.12</t>
  </si>
  <si>
    <t>PRKCA</t>
  </si>
  <si>
    <t>ENSG00000075461.6</t>
  </si>
  <si>
    <t>CACNG4</t>
  </si>
  <si>
    <t>ENSG00000108878.5</t>
  </si>
  <si>
    <t>CACNG1</t>
  </si>
  <si>
    <t>ENSG00000154217.15</t>
  </si>
  <si>
    <t>PITPNC1</t>
  </si>
  <si>
    <t>ENSG00000196704.12</t>
  </si>
  <si>
    <t>AMZ2</t>
  </si>
  <si>
    <t>ENSG00000141338.14</t>
  </si>
  <si>
    <t>ABCA8</t>
  </si>
  <si>
    <t>ENSG00000154258.17</t>
  </si>
  <si>
    <t>ABCA9</t>
  </si>
  <si>
    <t>ENSG00000154262.13</t>
  </si>
  <si>
    <t>ABCA6</t>
  </si>
  <si>
    <t>ENSG00000154263.17</t>
  </si>
  <si>
    <t>ABCA10</t>
  </si>
  <si>
    <t>ENSG00000154265.16</t>
  </si>
  <si>
    <t>ABCA5</t>
  </si>
  <si>
    <t>ENSG00000108984.15</t>
  </si>
  <si>
    <t>MAP2K6</t>
  </si>
  <si>
    <t>ENSG00000180616.9</t>
  </si>
  <si>
    <t>SSTR2</t>
  </si>
  <si>
    <t>ENSG00000133193.12</t>
  </si>
  <si>
    <t>FAM104A</t>
  </si>
  <si>
    <t>ENSG00000141219.15</t>
  </si>
  <si>
    <t>C17orf80</t>
  </si>
  <si>
    <t>ENSG00000069188.17</t>
  </si>
  <si>
    <t>SDK2</t>
  </si>
  <si>
    <t>ENSG00000172794.20</t>
  </si>
  <si>
    <t>RAB37</t>
  </si>
  <si>
    <t>ENSG00000109062.12</t>
  </si>
  <si>
    <t>SLC9A3R1</t>
  </si>
  <si>
    <t>ENSG00000161509.14</t>
  </si>
  <si>
    <t>GRIN2C</t>
  </si>
  <si>
    <t>ENSG00000161513.12</t>
  </si>
  <si>
    <t>FDXR</t>
  </si>
  <si>
    <t>ENSG00000182040.9</t>
  </si>
  <si>
    <t>USH1G</t>
  </si>
  <si>
    <t>ENSG00000183034.12</t>
  </si>
  <si>
    <t>OTOP2</t>
  </si>
  <si>
    <t>ENSG00000167861.16</t>
  </si>
  <si>
    <t>HID1</t>
  </si>
  <si>
    <t>ENSG00000170190.16</t>
  </si>
  <si>
    <t>SLC16A5</t>
  </si>
  <si>
    <t>ENSG00000125449.7</t>
  </si>
  <si>
    <t>ARMC7</t>
  </si>
  <si>
    <t>ENSG00000125450.11</t>
  </si>
  <si>
    <t>NUP85</t>
  </si>
  <si>
    <t>ENSG00000182173.13</t>
  </si>
  <si>
    <t>TSEN54</t>
  </si>
  <si>
    <t>ENSG00000266714.9</t>
  </si>
  <si>
    <t>MYO15B</t>
  </si>
  <si>
    <t>ENSG00000188878.19</t>
  </si>
  <si>
    <t>FBF1</t>
  </si>
  <si>
    <t>ENSG00000167880.7</t>
  </si>
  <si>
    <t>EVPL</t>
  </si>
  <si>
    <t>ENSG00000186919.12</t>
  </si>
  <si>
    <t>ZACN</t>
  </si>
  <si>
    <t>ENSG00000182687.4</t>
  </si>
  <si>
    <t>GALR2</t>
  </si>
  <si>
    <t>ENSG00000182473.22</t>
  </si>
  <si>
    <t>EXOC7</t>
  </si>
  <si>
    <t>ENSG00000129654.8</t>
  </si>
  <si>
    <t>FOXJ1</t>
  </si>
  <si>
    <t>ENSG00000185262.9</t>
  </si>
  <si>
    <t>UBALD2</t>
  </si>
  <si>
    <t>ENSG00000175931.13</t>
  </si>
  <si>
    <t>UBE2O</t>
  </si>
  <si>
    <t>ENSG00000129667.12</t>
  </si>
  <si>
    <t>RHBDF2</t>
  </si>
  <si>
    <t>ENSG00000161544.10</t>
  </si>
  <si>
    <t>CYGB</t>
  </si>
  <si>
    <t>ENSG00000214140.11</t>
  </si>
  <si>
    <t>PRCD</t>
  </si>
  <si>
    <t>ENSG00000284526.1</t>
  </si>
  <si>
    <t>AC015802.6</t>
  </si>
  <si>
    <t>ENSG00000070731.10</t>
  </si>
  <si>
    <t>ST6GALNAC2</t>
  </si>
  <si>
    <t>ENSG00000182534.13</t>
  </si>
  <si>
    <t>MXRA7</t>
  </si>
  <si>
    <t>ENSG00000070495.14</t>
  </si>
  <si>
    <t>JMJD6</t>
  </si>
  <si>
    <t>ENSG00000161547.16</t>
  </si>
  <si>
    <t>SRSF2</t>
  </si>
  <si>
    <t>ENSG00000167895.14</t>
  </si>
  <si>
    <t>TMC8</t>
  </si>
  <si>
    <t>ENSG00000183077.15</t>
  </si>
  <si>
    <t>AFMID</t>
  </si>
  <si>
    <t>ENSG00000187775.16</t>
  </si>
  <si>
    <t>DNAH17</t>
  </si>
  <si>
    <t>ENSG00000108669.16</t>
  </si>
  <si>
    <t>CYTH1</t>
  </si>
  <si>
    <t>ENSG00000182156.10</t>
  </si>
  <si>
    <t>ENPP7</t>
  </si>
  <si>
    <t>ENSG00000173894.11</t>
  </si>
  <si>
    <t>CBX2</t>
  </si>
  <si>
    <t>ENSG00000141570.11</t>
  </si>
  <si>
    <t>CBX8</t>
  </si>
  <si>
    <t>ENSG00000141582.15</t>
  </si>
  <si>
    <t>CBX4</t>
  </si>
  <si>
    <t>ENSG00000167291.16</t>
  </si>
  <si>
    <t>TBC1D16</t>
  </si>
  <si>
    <t>ENSG00000141519.15</t>
  </si>
  <si>
    <t>CCDC40</t>
  </si>
  <si>
    <t>ENSG00000141527.18</t>
  </si>
  <si>
    <t>CARD14</t>
  </si>
  <si>
    <t>ENSG00000173821.19</t>
  </si>
  <si>
    <t>AC124319.1</t>
  </si>
  <si>
    <t>ENSG00000171246.6</t>
  </si>
  <si>
    <t>NPTX1</t>
  </si>
  <si>
    <t>ENSG00000266074.8</t>
  </si>
  <si>
    <t>BAHCC1</t>
  </si>
  <si>
    <t>ENSG00000184009.11</t>
  </si>
  <si>
    <t>ACTG1</t>
  </si>
  <si>
    <t>ENSG00000185527.12</t>
  </si>
  <si>
    <t>AC139530.1</t>
  </si>
  <si>
    <t>ENSG00000262814.8</t>
  </si>
  <si>
    <t>MRPL12</t>
  </si>
  <si>
    <t>ENSG00000183048.12</t>
  </si>
  <si>
    <t>SLC25A10</t>
  </si>
  <si>
    <t>ENSG00000141552.17</t>
  </si>
  <si>
    <t>ANAPC11</t>
  </si>
  <si>
    <t>ENSG00000185813.10</t>
  </si>
  <si>
    <t>PCYT2</t>
  </si>
  <si>
    <t>ENSG00000183010.16</t>
  </si>
  <si>
    <t>PYCR1</t>
  </si>
  <si>
    <t>ENSG00000185269.12</t>
  </si>
  <si>
    <t>NOTUM</t>
  </si>
  <si>
    <t>ENSG00000169696.16</t>
  </si>
  <si>
    <t>ASPSCR1</t>
  </si>
  <si>
    <t>ENSG00000169689.15</t>
  </si>
  <si>
    <t>CENPX</t>
  </si>
  <si>
    <t>ENSG00000169683.8</t>
  </si>
  <si>
    <t>LRRC45</t>
  </si>
  <si>
    <t>ENSG00000169750.9</t>
  </si>
  <si>
    <t>RAC3</t>
  </si>
  <si>
    <t>ENSG00000169733.12</t>
  </si>
  <si>
    <t>RFNG</t>
  </si>
  <si>
    <t>ENSG00000169710.9</t>
  </si>
  <si>
    <t>FASN</t>
  </si>
  <si>
    <t>ENSG00000141526.16</t>
  </si>
  <si>
    <t>SLC16A3</t>
  </si>
  <si>
    <t>ENSG00000173762.8</t>
  </si>
  <si>
    <t>CD7</t>
  </si>
  <si>
    <t>ENSG00000181396.13</t>
  </si>
  <si>
    <t>OGFOD3</t>
  </si>
  <si>
    <t>ENSG00000141568.21</t>
  </si>
  <si>
    <t>FOXK2</t>
  </si>
  <si>
    <t>ENSG00000167363.14</t>
  </si>
  <si>
    <t>FN3K</t>
  </si>
  <si>
    <t>ENSG00000176845.13</t>
  </si>
  <si>
    <t>METRNL</t>
  </si>
  <si>
    <t>ENSG00000173213.9</t>
  </si>
  <si>
    <t>TUBB8P12</t>
  </si>
  <si>
    <t>ENSG00000079101.16</t>
  </si>
  <si>
    <t>CLUL1</t>
  </si>
  <si>
    <t>ENSG00000101605.12</t>
  </si>
  <si>
    <t>MYOM1</t>
  </si>
  <si>
    <t>ENSG00000170579.17</t>
  </si>
  <si>
    <t>DLGAP1</t>
  </si>
  <si>
    <t>ENSG00000082397.17</t>
  </si>
  <si>
    <t>EPB41L3</t>
  </si>
  <si>
    <t>ENSG00000154655.15</t>
  </si>
  <si>
    <t>L3MBTL4</t>
  </si>
  <si>
    <t>ENSG00000101680.15</t>
  </si>
  <si>
    <t>LAMA1</t>
  </si>
  <si>
    <t>ENSG00000168461.13</t>
  </si>
  <si>
    <t>RAB31</t>
  </si>
  <si>
    <t>ENSG00000141404.16</t>
  </si>
  <si>
    <t>GNAL</t>
  </si>
  <si>
    <t>ENSG00000141401.12</t>
  </si>
  <si>
    <t>IMPA2</t>
  </si>
  <si>
    <t>ENSG00000181626.11</t>
  </si>
  <si>
    <t>ANKRD62</t>
  </si>
  <si>
    <t>ENSG00000176014.12</t>
  </si>
  <si>
    <t>TUBB6</t>
  </si>
  <si>
    <t>ENSG00000101624.10</t>
  </si>
  <si>
    <t>CEP76</t>
  </si>
  <si>
    <t>ENSG00000168675.18</t>
  </si>
  <si>
    <t>LDLRAD4</t>
  </si>
  <si>
    <t>ENSG00000183206.17</t>
  </si>
  <si>
    <t>POTEC</t>
  </si>
  <si>
    <t>ENSG00000141448.9</t>
  </si>
  <si>
    <t>GATA6</t>
  </si>
  <si>
    <t>ENSG00000134508.12</t>
  </si>
  <si>
    <t>CABLES1</t>
  </si>
  <si>
    <t>ENSG00000134490.14</t>
  </si>
  <si>
    <t>TMEM241</t>
  </si>
  <si>
    <t>ENSG00000101782.15</t>
  </si>
  <si>
    <t>RIOK3</t>
  </si>
  <si>
    <t>ENSG00000141458.13</t>
  </si>
  <si>
    <t>NPC1</t>
  </si>
  <si>
    <t>ENSG00000154065.17</t>
  </si>
  <si>
    <t>ANKRD29</t>
  </si>
  <si>
    <t>ENSG00000053747.16</t>
  </si>
  <si>
    <t>LAMA3</t>
  </si>
  <si>
    <t>ENSG00000154040.20</t>
  </si>
  <si>
    <t>CABYR</t>
  </si>
  <si>
    <t>ENSG00000141447.18</t>
  </si>
  <si>
    <t>OSBPL1A</t>
  </si>
  <si>
    <t>ENSG00000154059.11</t>
  </si>
  <si>
    <t>IMPACT</t>
  </si>
  <si>
    <t>ENSG00000141384.12</t>
  </si>
  <si>
    <t>TAF4B</t>
  </si>
  <si>
    <t>ENSG00000134504.13</t>
  </si>
  <si>
    <t>KCTD1</t>
  </si>
  <si>
    <t>ENSG00000171885.15</t>
  </si>
  <si>
    <t>AQP4</t>
  </si>
  <si>
    <t>ENSG00000154080.14</t>
  </si>
  <si>
    <t>CHST9</t>
  </si>
  <si>
    <t>ENSG00000170558.9</t>
  </si>
  <si>
    <t>CDH2</t>
  </si>
  <si>
    <t>ENSG00000134762.17</t>
  </si>
  <si>
    <t>DSC3</t>
  </si>
  <si>
    <t>ENSG00000134765.9</t>
  </si>
  <si>
    <t>DSC1</t>
  </si>
  <si>
    <t>ENSG00000134760.6</t>
  </si>
  <si>
    <t>DSG1</t>
  </si>
  <si>
    <t>ENSG00000175065.11</t>
  </si>
  <si>
    <t>DSG4</t>
  </si>
  <si>
    <t>ENSG00000134757.5</t>
  </si>
  <si>
    <t>DSG3</t>
  </si>
  <si>
    <t>ENSG00000134758.14</t>
  </si>
  <si>
    <t>RNF138</t>
  </si>
  <si>
    <t>ENSG00000166960.16</t>
  </si>
  <si>
    <t>CCDC178</t>
  </si>
  <si>
    <t>ENSG00000141431.12</t>
  </si>
  <si>
    <t>ASXL3</t>
  </si>
  <si>
    <t>ENSG00000101746.15</t>
  </si>
  <si>
    <t>NOL4</t>
  </si>
  <si>
    <t>ENSG00000166974.12</t>
  </si>
  <si>
    <t>MAPRE2</t>
  </si>
  <si>
    <t>ENSG00000186814.14</t>
  </si>
  <si>
    <t>ZSCAN30</t>
  </si>
  <si>
    <t>ENSG00000186496.12</t>
  </si>
  <si>
    <t>ZNF396</t>
  </si>
  <si>
    <t>ENSG00000134775.15</t>
  </si>
  <si>
    <t>FHOD3</t>
  </si>
  <si>
    <t>ENSG00000132874.14</t>
  </si>
  <si>
    <t>SLC14A2</t>
  </si>
  <si>
    <t>ENSG00000152229.18</t>
  </si>
  <si>
    <t>PSTPIP2</t>
  </si>
  <si>
    <t>ENSG00000167210.17</t>
  </si>
  <si>
    <t>LOXHD1</t>
  </si>
  <si>
    <t>ENSG00000167216.16</t>
  </si>
  <si>
    <t>KATNAL2</t>
  </si>
  <si>
    <t>ENSG00000184828.10</t>
  </si>
  <si>
    <t>ZBTB7C</t>
  </si>
  <si>
    <t>ENSG00000134030.14</t>
  </si>
  <si>
    <t>CTIF</t>
  </si>
  <si>
    <t>ENSG00000167306.20</t>
  </si>
  <si>
    <t>MYO5B</t>
  </si>
  <si>
    <t>ENSG00000134042.13</t>
  </si>
  <si>
    <t>MRO</t>
  </si>
  <si>
    <t>ENSG00000141642.9</t>
  </si>
  <si>
    <t>ELAC1</t>
  </si>
  <si>
    <t>ENSG00000187323.12</t>
  </si>
  <si>
    <t>DCC</t>
  </si>
  <si>
    <t>ENSG00000166510.14</t>
  </si>
  <si>
    <t>CCDC68</t>
  </si>
  <si>
    <t>ENSG00000196628.16</t>
  </si>
  <si>
    <t>TCF4</t>
  </si>
  <si>
    <t>ENSG00000172175.14</t>
  </si>
  <si>
    <t>MALT1</t>
  </si>
  <si>
    <t>ENSG00000166562.9</t>
  </si>
  <si>
    <t>SEC11C</t>
  </si>
  <si>
    <t>ENSG00000141682.11</t>
  </si>
  <si>
    <t>PMAIP1</t>
  </si>
  <si>
    <t>ENSG00000141664.9</t>
  </si>
  <si>
    <t>ZCCHC2</t>
  </si>
  <si>
    <t>ENSG00000081913.14</t>
  </si>
  <si>
    <t>PHLPP1</t>
  </si>
  <si>
    <t>ENSG00000171791.13</t>
  </si>
  <si>
    <t>BCL2</t>
  </si>
  <si>
    <t>ENSG00000206075.14</t>
  </si>
  <si>
    <t>SERPINB5</t>
  </si>
  <si>
    <t>ENSG00000166401.14</t>
  </si>
  <si>
    <t>SERPINB8</t>
  </si>
  <si>
    <t>ENSG00000171451.14</t>
  </si>
  <si>
    <t>DSEL</t>
  </si>
  <si>
    <t>ENSG00000206052.11</t>
  </si>
  <si>
    <t>DOK6</t>
  </si>
  <si>
    <t>ENSG00000075336.12</t>
  </si>
  <si>
    <t>TIMM21</t>
  </si>
  <si>
    <t>ENSG00000166347.19</t>
  </si>
  <si>
    <t>CYB5A</t>
  </si>
  <si>
    <t>ENSG00000206043.6</t>
  </si>
  <si>
    <t>C18orf63</t>
  </si>
  <si>
    <t>ENSG00000187773.8</t>
  </si>
  <si>
    <t>DIPK1C</t>
  </si>
  <si>
    <t>ENSG00000179981.10</t>
  </si>
  <si>
    <t>TSHZ1</t>
  </si>
  <si>
    <t>ENSG00000101493.11</t>
  </si>
  <si>
    <t>ZNF516</t>
  </si>
  <si>
    <t>ENSG00000178342.4</t>
  </si>
  <si>
    <t>KCNG2</t>
  </si>
  <si>
    <t>ENSG00000122490.19</t>
  </si>
  <si>
    <t>PQLC1</t>
  </si>
  <si>
    <t>ENSG00000101546.13</t>
  </si>
  <si>
    <t>RBFA</t>
  </si>
  <si>
    <t>ENSG00000178184.16</t>
  </si>
  <si>
    <t>PARD6G</t>
  </si>
  <si>
    <t>ENSG00000181781.9</t>
  </si>
  <si>
    <t>ODF3L2</t>
  </si>
  <si>
    <t>ENSG00000099822.3</t>
  </si>
  <si>
    <t>HCN2</t>
  </si>
  <si>
    <t>ENSG00000099821.14</t>
  </si>
  <si>
    <t>POLRMT</t>
  </si>
  <si>
    <t>ENSG00000070404.10</t>
  </si>
  <si>
    <t>FSTL3</t>
  </si>
  <si>
    <t>ENSG00000099864.18</t>
  </si>
  <si>
    <t>PALM</t>
  </si>
  <si>
    <t>ENSG00000099812.9</t>
  </si>
  <si>
    <t>MISP</t>
  </si>
  <si>
    <t>ENSG00000011304.20</t>
  </si>
  <si>
    <t>PTBP1</t>
  </si>
  <si>
    <t>ENSG00000129951.18</t>
  </si>
  <si>
    <t>PLPPR3</t>
  </si>
  <si>
    <t>ENSG00000175221.15</t>
  </si>
  <si>
    <t>MED16</t>
  </si>
  <si>
    <t>ENSG00000116014.10</t>
  </si>
  <si>
    <t>KISS1R</t>
  </si>
  <si>
    <t>ENSG00000065268.10</t>
  </si>
  <si>
    <t>WDR18</t>
  </si>
  <si>
    <t>ENSG00000116032.5</t>
  </si>
  <si>
    <t>GRIN3B</t>
  </si>
  <si>
    <t>ENSG00000099817.12</t>
  </si>
  <si>
    <t>POLR2E</t>
  </si>
  <si>
    <t>ENSG00000167468.16</t>
  </si>
  <si>
    <t>GPX4</t>
  </si>
  <si>
    <t>ENSG00000099625.13</t>
  </si>
  <si>
    <t>CBARP</t>
  </si>
  <si>
    <t>ENSG00000099624.8</t>
  </si>
  <si>
    <t>ATP5F1D</t>
  </si>
  <si>
    <t>ENSG00000099622.14</t>
  </si>
  <si>
    <t>CIRBP</t>
  </si>
  <si>
    <t>ENSG00000228300.14</t>
  </si>
  <si>
    <t>C19orf24</t>
  </si>
  <si>
    <t>ENSG00000099617.4</t>
  </si>
  <si>
    <t>EFNA2</t>
  </si>
  <si>
    <t>ENSG00000071626.16</t>
  </si>
  <si>
    <t>DAZAP1</t>
  </si>
  <si>
    <t>ENSG00000181588.16</t>
  </si>
  <si>
    <t>MEX3D</t>
  </si>
  <si>
    <t>ENSG00000071564.15</t>
  </si>
  <si>
    <t>TCF3</t>
  </si>
  <si>
    <t>ENSG00000129911.9</t>
  </si>
  <si>
    <t>KLF16</t>
  </si>
  <si>
    <t>ENSG00000213638.6</t>
  </si>
  <si>
    <t>ADAT3</t>
  </si>
  <si>
    <t>ENSG00000104885.18</t>
  </si>
  <si>
    <t>DOT1L</t>
  </si>
  <si>
    <t>ENSG00000104886.11</t>
  </si>
  <si>
    <t>PLEKHJ1</t>
  </si>
  <si>
    <t>ENSG00000104897.10</t>
  </si>
  <si>
    <t>SF3A2</t>
  </si>
  <si>
    <t>ENSG00000178297.13</t>
  </si>
  <si>
    <t>TMPRSS9</t>
  </si>
  <si>
    <t>ENSG00000099800.8</t>
  </si>
  <si>
    <t>TIMM13</t>
  </si>
  <si>
    <t>ENSG00000176619.13</t>
  </si>
  <si>
    <t>LMNB2</t>
  </si>
  <si>
    <t>ENSG00000176490.5</t>
  </si>
  <si>
    <t>DIRAS1</t>
  </si>
  <si>
    <t>ENSG00000172006.11</t>
  </si>
  <si>
    <t>ZNF554</t>
  </si>
  <si>
    <t>ENSG00000172000.7</t>
  </si>
  <si>
    <t>ZNF556</t>
  </si>
  <si>
    <t>ENSG00000104964.14</t>
  </si>
  <si>
    <t>AES</t>
  </si>
  <si>
    <t>ENSG00000060558.3</t>
  </si>
  <si>
    <t>GNA15</t>
  </si>
  <si>
    <t>ENSG00000125910.5</t>
  </si>
  <si>
    <t>S1PR4</t>
  </si>
  <si>
    <t>ENSG00000095932.6</t>
  </si>
  <si>
    <t>SMIM24</t>
  </si>
  <si>
    <t>ENSG00000161091.13</t>
  </si>
  <si>
    <t>MFSD12</t>
  </si>
  <si>
    <t>ENSG00000183397.5</t>
  </si>
  <si>
    <t>C19orf71</t>
  </si>
  <si>
    <t>ENSG00000105289.15</t>
  </si>
  <si>
    <t>TJP3</t>
  </si>
  <si>
    <t>ENSG00000007264.15</t>
  </si>
  <si>
    <t>MATK</t>
  </si>
  <si>
    <t>ENSG00000060566.14</t>
  </si>
  <si>
    <t>CREB3L3</t>
  </si>
  <si>
    <t>ENSG00000089847.12</t>
  </si>
  <si>
    <t>ANKRD24</t>
  </si>
  <si>
    <t>ENSG00000105246.6</t>
  </si>
  <si>
    <t>EBI3</t>
  </si>
  <si>
    <t>ENSG00000105255.11</t>
  </si>
  <si>
    <t>FSD1</t>
  </si>
  <si>
    <t>ENSG00000008382.15</t>
  </si>
  <si>
    <t>MPND</t>
  </si>
  <si>
    <t>ENSG00000167670.16</t>
  </si>
  <si>
    <t>CHAF1A</t>
  </si>
  <si>
    <t>ENSG00000167676.4</t>
  </si>
  <si>
    <t>PLIN4</t>
  </si>
  <si>
    <t>ENSG00000214456.8</t>
  </si>
  <si>
    <t>PLIN5</t>
  </si>
  <si>
    <t>ENSG00000185361.9</t>
  </si>
  <si>
    <t>TNFAIP8L1</t>
  </si>
  <si>
    <t>ENSG00000074842.7</t>
  </si>
  <si>
    <t>MYDGF</t>
  </si>
  <si>
    <t>ENSG00000127666.9</t>
  </si>
  <si>
    <t>TICAM1</t>
  </si>
  <si>
    <t>ENSG00000276043.5</t>
  </si>
  <si>
    <t>UHRF1</t>
  </si>
  <si>
    <t>ENSG00000223573.7</t>
  </si>
  <si>
    <t>TINCR</t>
  </si>
  <si>
    <t>ENSG00000174917.8</t>
  </si>
  <si>
    <t>MICOS13</t>
  </si>
  <si>
    <t>ENSG00000174898.16</t>
  </si>
  <si>
    <t>CATSPERD</t>
  </si>
  <si>
    <t>ENSG00000171119.2</t>
  </si>
  <si>
    <t>NRTN</t>
  </si>
  <si>
    <t>ENSG00000156413.13</t>
  </si>
  <si>
    <t>FUT6</t>
  </si>
  <si>
    <t>ENSG00000171124.13</t>
  </si>
  <si>
    <t>FUT3</t>
  </si>
  <si>
    <t>ENSG00000187650.3</t>
  </si>
  <si>
    <t>VMAC</t>
  </si>
  <si>
    <t>ENSG00000105519.16</t>
  </si>
  <si>
    <t>CAPS</t>
  </si>
  <si>
    <t>ENSG00000125656.10</t>
  </si>
  <si>
    <t>CLPP</t>
  </si>
  <si>
    <t>ENSG00000125652.8</t>
  </si>
  <si>
    <t>ALKBH7</t>
  </si>
  <si>
    <t>ENSG00000125648.15</t>
  </si>
  <si>
    <t>SLC25A23</t>
  </si>
  <si>
    <t>ENSG00000205744.10</t>
  </si>
  <si>
    <t>DENND1C</t>
  </si>
  <si>
    <t>ENSG00000141968.8</t>
  </si>
  <si>
    <t>VAV1</t>
  </si>
  <si>
    <t>ENSG00000104883.8</t>
  </si>
  <si>
    <t>PEX11G</t>
  </si>
  <si>
    <t>ENSG00000076826.9</t>
  </si>
  <si>
    <t>CAMSAP3</t>
  </si>
  <si>
    <t>ENSG00000183019.7</t>
  </si>
  <si>
    <t>MCEMP1</t>
  </si>
  <si>
    <t>ENSG00000142459.8</t>
  </si>
  <si>
    <t>EVI5L</t>
  </si>
  <si>
    <t>ENSG00000178531.6</t>
  </si>
  <si>
    <t>CTXN1</t>
  </si>
  <si>
    <t>ENSG00000104980.8</t>
  </si>
  <si>
    <t>TIMM44</t>
  </si>
  <si>
    <t>ENSG00000167775.11</t>
  </si>
  <si>
    <t>CD320</t>
  </si>
  <si>
    <t>ENSG00000186994.11</t>
  </si>
  <si>
    <t>KANK3</t>
  </si>
  <si>
    <t>ENSG00000099785.10</t>
  </si>
  <si>
    <t>MARCH2</t>
  </si>
  <si>
    <t>ENSG00000133246.12</t>
  </si>
  <si>
    <t>PRAM1</t>
  </si>
  <si>
    <t>ENSG00000181143.15</t>
  </si>
  <si>
    <t>MUC16</t>
  </si>
  <si>
    <t>ENSG00000196110.7</t>
  </si>
  <si>
    <t>ZNF699</t>
  </si>
  <si>
    <t>ENSG00000171469.11</t>
  </si>
  <si>
    <t>ZNF561</t>
  </si>
  <si>
    <t>ENSG00000196605.7</t>
  </si>
  <si>
    <t>ZNF846</t>
  </si>
  <si>
    <t>ENSG00000105088.8</t>
  </si>
  <si>
    <t>OLFM2</t>
  </si>
  <si>
    <t>ENSG00000130810.20</t>
  </si>
  <si>
    <t>PPAN</t>
  </si>
  <si>
    <t>ENSG00000244165.2</t>
  </si>
  <si>
    <t>P2RY11</t>
  </si>
  <si>
    <t>ENSG00000105364.13</t>
  </si>
  <si>
    <t>MRPL4</t>
  </si>
  <si>
    <t>ENSG00000105371.10</t>
  </si>
  <si>
    <t>ICAM4</t>
  </si>
  <si>
    <t>ENSG00000161847.14</t>
  </si>
  <si>
    <t>RAVER1</t>
  </si>
  <si>
    <t>ENSG00000076662.10</t>
  </si>
  <si>
    <t>ICAM3</t>
  </si>
  <si>
    <t>ENSG00000065989.16</t>
  </si>
  <si>
    <t>AC011529.1</t>
  </si>
  <si>
    <t>ENSG00000079999.14</t>
  </si>
  <si>
    <t>KEAP1</t>
  </si>
  <si>
    <t>ENSG00000129347.20</t>
  </si>
  <si>
    <t>KRI1</t>
  </si>
  <si>
    <t>ENSG00000129354.11</t>
  </si>
  <si>
    <t>AP1M2</t>
  </si>
  <si>
    <t>ENSG00000129353.15</t>
  </si>
  <si>
    <t>SLC44A2</t>
  </si>
  <si>
    <t>ENSG00000129351.17</t>
  </si>
  <si>
    <t>ILF3</t>
  </si>
  <si>
    <t>ENSG00000099203.7</t>
  </si>
  <si>
    <t>TMED1</t>
  </si>
  <si>
    <t>ENSG00000142453.11</t>
  </si>
  <si>
    <t>CARM1</t>
  </si>
  <si>
    <t>ENSG00000130164.13</t>
  </si>
  <si>
    <t>LDLR</t>
  </si>
  <si>
    <t>ENSG00000161888.11</t>
  </si>
  <si>
    <t>SPC24</t>
  </si>
  <si>
    <t>ENSG00000197256.10</t>
  </si>
  <si>
    <t>KANK2</t>
  </si>
  <si>
    <t>ENSG00000130173.13</t>
  </si>
  <si>
    <t>ANGPTL8</t>
  </si>
  <si>
    <t>ENSG00000187266.14</t>
  </si>
  <si>
    <t>EPOR</t>
  </si>
  <si>
    <t>ENSG00000130175.9</t>
  </si>
  <si>
    <t>PRKCSH</t>
  </si>
  <si>
    <t>ENSG00000196361.10</t>
  </si>
  <si>
    <t>ELAVL3</t>
  </si>
  <si>
    <t>ENSG00000130159.14</t>
  </si>
  <si>
    <t>ECSIT</t>
  </si>
  <si>
    <t>ENSG00000197044.11</t>
  </si>
  <si>
    <t>ZNF441</t>
  </si>
  <si>
    <t>ENSG00000177599.13</t>
  </si>
  <si>
    <t>ZNF491</t>
  </si>
  <si>
    <t>ENSG00000171295.12</t>
  </si>
  <si>
    <t>ZNF440</t>
  </si>
  <si>
    <t>ENSG00000197647.11</t>
  </si>
  <si>
    <t>ZNF433</t>
  </si>
  <si>
    <t>ENSG00000223547.10</t>
  </si>
  <si>
    <t>ZNF844</t>
  </si>
  <si>
    <t>ENSG00000188868.13</t>
  </si>
  <si>
    <t>ZNF563</t>
  </si>
  <si>
    <t>ENSG00000198342.10</t>
  </si>
  <si>
    <t>ZNF442</t>
  </si>
  <si>
    <t>ENSG00000249709.8</t>
  </si>
  <si>
    <t>ZNF564</t>
  </si>
  <si>
    <t>ENSG00000285589.1</t>
  </si>
  <si>
    <t>AC010422.8</t>
  </si>
  <si>
    <t>ENSG00000095059.16</t>
  </si>
  <si>
    <t>DHPS</t>
  </si>
  <si>
    <t>ENSG00000167815.12</t>
  </si>
  <si>
    <t>PRDX2</t>
  </si>
  <si>
    <t>ENSG00000105613.10</t>
  </si>
  <si>
    <t>MAST1</t>
  </si>
  <si>
    <t>ENSG00000105607.13</t>
  </si>
  <si>
    <t>GCDH</t>
  </si>
  <si>
    <t>ENSG00000008441.16</t>
  </si>
  <si>
    <t>NFIX</t>
  </si>
  <si>
    <t>ENSG00000104915.15</t>
  </si>
  <si>
    <t>STX10</t>
  </si>
  <si>
    <t>ENSG00000141837.19</t>
  </si>
  <si>
    <t>CACNA1A</t>
  </si>
  <si>
    <t>ENSG00000037757.14</t>
  </si>
  <si>
    <t>MRI1</t>
  </si>
  <si>
    <t>ENSG00000104979.9</t>
  </si>
  <si>
    <t>C19orf53</t>
  </si>
  <si>
    <t>ENSG00000132003.9</t>
  </si>
  <si>
    <t>ZSWIM4</t>
  </si>
  <si>
    <t>ENSG00000132016.11</t>
  </si>
  <si>
    <t>C19orf57</t>
  </si>
  <si>
    <t>ENSG00000132000.13</t>
  </si>
  <si>
    <t>PODNL1</t>
  </si>
  <si>
    <t>ENSG00000187867.8</t>
  </si>
  <si>
    <t>PALM3</t>
  </si>
  <si>
    <t>ENSG00000141858.11</t>
  </si>
  <si>
    <t>SAMD1</t>
  </si>
  <si>
    <t>ENSG00000072062.13</t>
  </si>
  <si>
    <t>PRKACA</t>
  </si>
  <si>
    <t>ENSG00000099797.15</t>
  </si>
  <si>
    <t>TECR</t>
  </si>
  <si>
    <t>ENSG00000105137.13</t>
  </si>
  <si>
    <t>SYDE1</t>
  </si>
  <si>
    <t>ENSG00000105135.16</t>
  </si>
  <si>
    <t>ILVBL</t>
  </si>
  <si>
    <t>ENSG00000074181.9</t>
  </si>
  <si>
    <t>NOTCH3</t>
  </si>
  <si>
    <t>ENSG00000186529.16</t>
  </si>
  <si>
    <t>CYP4F3</t>
  </si>
  <si>
    <t>ENSG00000186204.14</t>
  </si>
  <si>
    <t>CYP4F12</t>
  </si>
  <si>
    <t>ENSG00000186115.13</t>
  </si>
  <si>
    <t>CYP4F2</t>
  </si>
  <si>
    <t>ENSG00000171903.16</t>
  </si>
  <si>
    <t>CYP4F11</t>
  </si>
  <si>
    <t>ENSG00000167460.16</t>
  </si>
  <si>
    <t>TPM4</t>
  </si>
  <si>
    <t>ENSG00000160111.13</t>
  </si>
  <si>
    <t>CPAMD8</t>
  </si>
  <si>
    <t>ENSG00000130307.11</t>
  </si>
  <si>
    <t>USHBP1</t>
  </si>
  <si>
    <t>ENSG00000130299.17</t>
  </si>
  <si>
    <t>GTPBP3</t>
  </si>
  <si>
    <t>ENSG00000167483.18</t>
  </si>
  <si>
    <t>FAM129C</t>
  </si>
  <si>
    <t>ENSG00000130309.11</t>
  </si>
  <si>
    <t>COLGALT1</t>
  </si>
  <si>
    <t>ENSG00000130477.15</t>
  </si>
  <si>
    <t>UNC13A</t>
  </si>
  <si>
    <t>ENSG00000179913.10</t>
  </si>
  <si>
    <t>B3GNT3</t>
  </si>
  <si>
    <t>ENSG00000105641.4</t>
  </si>
  <si>
    <t>SLC5A5</t>
  </si>
  <si>
    <t>ENSG00000105642.15</t>
  </si>
  <si>
    <t>KCNN1</t>
  </si>
  <si>
    <t>ENSG00000285188.1</t>
  </si>
  <si>
    <t>AC008397.2</t>
  </si>
  <si>
    <t>ENSG00000105650.22</t>
  </si>
  <si>
    <t>PDE4C</t>
  </si>
  <si>
    <t>ENSG00000130518.17</t>
  </si>
  <si>
    <t>IQCN</t>
  </si>
  <si>
    <t>ENSG00000130511.16</t>
  </si>
  <si>
    <t>SSBP4</t>
  </si>
  <si>
    <t>ENSG00000105655.18</t>
  </si>
  <si>
    <t>ISYNA1</t>
  </si>
  <si>
    <t>ENSG00000105656.13</t>
  </si>
  <si>
    <t>ELL</t>
  </si>
  <si>
    <t>ENSG00000006016.11</t>
  </si>
  <si>
    <t>CRLF1</t>
  </si>
  <si>
    <t>ENSG00000223802.7</t>
  </si>
  <si>
    <t>CERS1</t>
  </si>
  <si>
    <t>ENSG00000105676.14</t>
  </si>
  <si>
    <t>ARMC6</t>
  </si>
  <si>
    <t>ENSG00000181035.13</t>
  </si>
  <si>
    <t>SLC25A42</t>
  </si>
  <si>
    <t>ENSG00000167491.17</t>
  </si>
  <si>
    <t>GATAD2A</t>
  </si>
  <si>
    <t>ENSG00000250067.12</t>
  </si>
  <si>
    <t>YJEFN3</t>
  </si>
  <si>
    <t>ENSG00000064547.14</t>
  </si>
  <si>
    <t>LPAR2</t>
  </si>
  <si>
    <t>ENSG00000089639.11</t>
  </si>
  <si>
    <t>GMIP</t>
  </si>
  <si>
    <t>ENSG00000197124.12</t>
  </si>
  <si>
    <t>ZNF682</t>
  </si>
  <si>
    <t>ENSG00000213988.11</t>
  </si>
  <si>
    <t>ZNF90</t>
  </si>
  <si>
    <t>ENSG00000256229.8</t>
  </si>
  <si>
    <t>ZNF486</t>
  </si>
  <si>
    <t>ENSG00000105750.15</t>
  </si>
  <si>
    <t>ZNF85</t>
  </si>
  <si>
    <t>ENSG00000118620.13</t>
  </si>
  <si>
    <t>ZNF430</t>
  </si>
  <si>
    <t>ENSG00000197013.10</t>
  </si>
  <si>
    <t>ZNF429</t>
  </si>
  <si>
    <t>ENSG00000166289.6</t>
  </si>
  <si>
    <t>PLEKHF1</t>
  </si>
  <si>
    <t>ENSG00000198597.9</t>
  </si>
  <si>
    <t>ZNF536</t>
  </si>
  <si>
    <t>ENSG00000105186.16</t>
  </si>
  <si>
    <t>ANKRD27</t>
  </si>
  <si>
    <t>ENSG00000213965.3</t>
  </si>
  <si>
    <t>NUDT19</t>
  </si>
  <si>
    <t>ENSG00000173809.18</t>
  </si>
  <si>
    <t>AC008736.1</t>
  </si>
  <si>
    <t>ENSG00000131941.8</t>
  </si>
  <si>
    <t>RHPN2</t>
  </si>
  <si>
    <t>ENSG00000130881.14</t>
  </si>
  <si>
    <t>LRP3</t>
  </si>
  <si>
    <t>ENSG00000153879.9</t>
  </si>
  <si>
    <t>CEBPG</t>
  </si>
  <si>
    <t>ENSG00000153885.14</t>
  </si>
  <si>
    <t>KCTD15</t>
  </si>
  <si>
    <t>ENSG00000105220.16</t>
  </si>
  <si>
    <t>GPI</t>
  </si>
  <si>
    <t>ENSG00000168661.14</t>
  </si>
  <si>
    <t>ZNF30</t>
  </si>
  <si>
    <t>ENSG00000105711.12</t>
  </si>
  <si>
    <t>SCN1B</t>
  </si>
  <si>
    <t>ENSG00000089327.14</t>
  </si>
  <si>
    <t>FXYD5</t>
  </si>
  <si>
    <t>ENSG00000105698.16</t>
  </si>
  <si>
    <t>USF2</t>
  </si>
  <si>
    <t>ENSG00000105697.9</t>
  </si>
  <si>
    <t>HAMP</t>
  </si>
  <si>
    <t>ENSG00000105677.12</t>
  </si>
  <si>
    <t>TMEM147</t>
  </si>
  <si>
    <t>ENSG00000126246.10</t>
  </si>
  <si>
    <t>IGFLR1</t>
  </si>
  <si>
    <t>ENSG00000004777.18</t>
  </si>
  <si>
    <t>ARHGAP33</t>
  </si>
  <si>
    <t>ENSG00000250799.9</t>
  </si>
  <si>
    <t>PRODH2</t>
  </si>
  <si>
    <t>ENSG00000105290.12</t>
  </si>
  <si>
    <t>APLP1</t>
  </si>
  <si>
    <t>ENSG00000167604.14</t>
  </si>
  <si>
    <t>AD000864.1</t>
  </si>
  <si>
    <t>ENSG00000126243.8</t>
  </si>
  <si>
    <t>LRFN3</t>
  </si>
  <si>
    <t>ENSG00000075702.18</t>
  </si>
  <si>
    <t>WDR62</t>
  </si>
  <si>
    <t>ENSG00000105258.9</t>
  </si>
  <si>
    <t>POLR2I</t>
  </si>
  <si>
    <t>ENSG00000105254.12</t>
  </si>
  <si>
    <t>TBCB</t>
  </si>
  <si>
    <t>ENSG00000267041.6</t>
  </si>
  <si>
    <t>ZNF850</t>
  </si>
  <si>
    <t>ENSG00000196967.10</t>
  </si>
  <si>
    <t>ZNF585A</t>
  </si>
  <si>
    <t>ENSG00000188283.11</t>
  </si>
  <si>
    <t>ZNF383</t>
  </si>
  <si>
    <t>ENSG00000171817.17</t>
  </si>
  <si>
    <t>ZNF540</t>
  </si>
  <si>
    <t>ENSG00000196381.11</t>
  </si>
  <si>
    <t>ZNF781</t>
  </si>
  <si>
    <t>ENSG00000171804.10</t>
  </si>
  <si>
    <t>WDR87</t>
  </si>
  <si>
    <t>ENSG00000167641.11</t>
  </si>
  <si>
    <t>PPP1R14A</t>
  </si>
  <si>
    <t>ENSG00000167645.17</t>
  </si>
  <si>
    <t>YIF1B</t>
  </si>
  <si>
    <t>ENSG00000099337.5</t>
  </si>
  <si>
    <t>KCNK6</t>
  </si>
  <si>
    <t>ENSG00000099338.23</t>
  </si>
  <si>
    <t>CATSPERG</t>
  </si>
  <si>
    <t>ENSG00000130244.12</t>
  </si>
  <si>
    <t>FAM98C</t>
  </si>
  <si>
    <t>ENSG00000171777.16</t>
  </si>
  <si>
    <t>RASGRP4</t>
  </si>
  <si>
    <t>ENSG00000196218.12</t>
  </si>
  <si>
    <t>RYR1</t>
  </si>
  <si>
    <t>ENSG00000205076.4</t>
  </si>
  <si>
    <t>LGALS7</t>
  </si>
  <si>
    <t>ENSG00000178934.4</t>
  </si>
  <si>
    <t>LGALS7B</t>
  </si>
  <si>
    <t>ENSG00000187994.14</t>
  </si>
  <si>
    <t>RINL</t>
  </si>
  <si>
    <t>ENSG00000104825.17</t>
  </si>
  <si>
    <t>NFKBIB</t>
  </si>
  <si>
    <t>ENSG00000104835.14</t>
  </si>
  <si>
    <t>SARS2</t>
  </si>
  <si>
    <t>ENSG00000269190.6</t>
  </si>
  <si>
    <t>FBXO17</t>
  </si>
  <si>
    <t>ENSG00000130669.17</t>
  </si>
  <si>
    <t>PAK4</t>
  </si>
  <si>
    <t>ENSG00000128011.4</t>
  </si>
  <si>
    <t>LRFN1</t>
  </si>
  <si>
    <t>ENSG00000105193.9</t>
  </si>
  <si>
    <t>RPS16</t>
  </si>
  <si>
    <t>ENSG00000105197.11</t>
  </si>
  <si>
    <t>TIMM50</t>
  </si>
  <si>
    <t>ENSG00000090932.10</t>
  </si>
  <si>
    <t>DLL3</t>
  </si>
  <si>
    <t>ENSG00000176401.5</t>
  </si>
  <si>
    <t>EID2B</t>
  </si>
  <si>
    <t>ENSG00000105202.9</t>
  </si>
  <si>
    <t>FBL</t>
  </si>
  <si>
    <t>ENSG00000197782.14</t>
  </si>
  <si>
    <t>ZNF780A</t>
  </si>
  <si>
    <t>ENSG00000130758.8</t>
  </si>
  <si>
    <t>MAP3K10</t>
  </si>
  <si>
    <t>ENSG00000105219.10</t>
  </si>
  <si>
    <t>CNTD2</t>
  </si>
  <si>
    <t>ENSG00000197019.5</t>
  </si>
  <si>
    <t>SERTAD1</t>
  </si>
  <si>
    <t>ENSG00000090013.10</t>
  </si>
  <si>
    <t>BLVRB</t>
  </si>
  <si>
    <t>ENSG00000160460.16</t>
  </si>
  <si>
    <t>SPTBN4</t>
  </si>
  <si>
    <t>ENSG00000090006.17</t>
  </si>
  <si>
    <t>LTBP4</t>
  </si>
  <si>
    <t>ENSG00000086544.3</t>
  </si>
  <si>
    <t>ITPKC</t>
  </si>
  <si>
    <t>ENSG00000167601.12</t>
  </si>
  <si>
    <t>AXL</t>
  </si>
  <si>
    <t>ENSG00000142046.15</t>
  </si>
  <si>
    <t>TMEM91</t>
  </si>
  <si>
    <t>ENSG00000077348.9</t>
  </si>
  <si>
    <t>EXOSC5</t>
  </si>
  <si>
    <t>ENSG00000177191.2</t>
  </si>
  <si>
    <t>B3GNT8</t>
  </si>
  <si>
    <t>ENSG00000076928.17</t>
  </si>
  <si>
    <t>ARHGEF1</t>
  </si>
  <si>
    <t>ENSG00000268041.2</t>
  </si>
  <si>
    <t>AC010616.1</t>
  </si>
  <si>
    <t>ENSG00000028277.21</t>
  </si>
  <si>
    <t>POU2F2</t>
  </si>
  <si>
    <t>ENSG00000105722.10</t>
  </si>
  <si>
    <t>ERF</t>
  </si>
  <si>
    <t>ENSG00000079462.7</t>
  </si>
  <si>
    <t>PAFAH1B3</t>
  </si>
  <si>
    <t>ENSG00000176531.10</t>
  </si>
  <si>
    <t>PHLDB3</t>
  </si>
  <si>
    <t>ENSG00000131116.12</t>
  </si>
  <si>
    <t>ZNF428</t>
  </si>
  <si>
    <t>ENSG00000011422.12</t>
  </si>
  <si>
    <t>PLAUR</t>
  </si>
  <si>
    <t>ENSG00000104783.13</t>
  </si>
  <si>
    <t>KCNN4</t>
  </si>
  <si>
    <t>ENSG00000216588.9</t>
  </si>
  <si>
    <t>IGSF23</t>
  </si>
  <si>
    <t>ENSG00000073008.15</t>
  </si>
  <si>
    <t>PVR</t>
  </si>
  <si>
    <t>ENSG00000142273.12</t>
  </si>
  <si>
    <t>CBLC</t>
  </si>
  <si>
    <t>ENSG00000187244.11</t>
  </si>
  <si>
    <t>BCAM</t>
  </si>
  <si>
    <t>ENSG00000130204.13</t>
  </si>
  <si>
    <t>AC011481.1</t>
  </si>
  <si>
    <t>ENSG00000007255.10</t>
  </si>
  <si>
    <t>TRAPPC6A</t>
  </si>
  <si>
    <t>ENSG00000283632.2</t>
  </si>
  <si>
    <t>EXOC3L2</t>
  </si>
  <si>
    <t>ENSG00000104879.5</t>
  </si>
  <si>
    <t>CKM</t>
  </si>
  <si>
    <t>ENSG00000104892.17</t>
  </si>
  <si>
    <t>KLC3</t>
  </si>
  <si>
    <t>ENSG00000104884.15</t>
  </si>
  <si>
    <t>ERCC2</t>
  </si>
  <si>
    <t>ENSG00000117877.10</t>
  </si>
  <si>
    <t>CD3EAP</t>
  </si>
  <si>
    <t>ENSG00000125740.14</t>
  </si>
  <si>
    <t>FOSB</t>
  </si>
  <si>
    <t>ENSG00000125753.14</t>
  </si>
  <si>
    <t>VASP</t>
  </si>
  <si>
    <t>ENSG00000125741.4</t>
  </si>
  <si>
    <t>OPA3</t>
  </si>
  <si>
    <t>ENSG00000125746.16</t>
  </si>
  <si>
    <t>EML2</t>
  </si>
  <si>
    <t>ENSG00000010310.9</t>
  </si>
  <si>
    <t>GIPR</t>
  </si>
  <si>
    <t>ENSG00000125743.10</t>
  </si>
  <si>
    <t>SNRPD2</t>
  </si>
  <si>
    <t>ENSG00000011478.12</t>
  </si>
  <si>
    <t>QPCTL</t>
  </si>
  <si>
    <t>ENSG00000177045.9</t>
  </si>
  <si>
    <t>SIX5</t>
  </si>
  <si>
    <t>ENSG00000104967.7</t>
  </si>
  <si>
    <t>NOVA2</t>
  </si>
  <si>
    <t>ENSG00000204869.8</t>
  </si>
  <si>
    <t>IGFL4</t>
  </si>
  <si>
    <t>ENSG00000204866.8</t>
  </si>
  <si>
    <t>IGFL2</t>
  </si>
  <si>
    <t>ENSG00000197380.11</t>
  </si>
  <si>
    <t>DACT3</t>
  </si>
  <si>
    <t>ENSG00000105281.12</t>
  </si>
  <si>
    <t>SLC1A5</t>
  </si>
  <si>
    <t>ENSG00000130748.7</t>
  </si>
  <si>
    <t>TMEM160</t>
  </si>
  <si>
    <t>ENSG00000105327.17</t>
  </si>
  <si>
    <t>BBC3</t>
  </si>
  <si>
    <t>ENSG00000105321.14</t>
  </si>
  <si>
    <t>CCDC9</t>
  </si>
  <si>
    <t>ENSG00000118162.14</t>
  </si>
  <si>
    <t>KPTN</t>
  </si>
  <si>
    <t>ENSG00000105499.14</t>
  </si>
  <si>
    <t>PLA2G4C</t>
  </si>
  <si>
    <t>ENSG00000142227.11</t>
  </si>
  <si>
    <t>EMP3</t>
  </si>
  <si>
    <t>ENSG00000161558.11</t>
  </si>
  <si>
    <t>TMEM143</t>
  </si>
  <si>
    <t>ENSG00000105438.9</t>
  </si>
  <si>
    <t>KDELR1</t>
  </si>
  <si>
    <t>ENSG00000105464.3</t>
  </si>
  <si>
    <t>GRIN2D</t>
  </si>
  <si>
    <t>ENSG00000105447.12</t>
  </si>
  <si>
    <t>GRWD1</t>
  </si>
  <si>
    <t>ENSG00000182324.6</t>
  </si>
  <si>
    <t>KCNJ14</t>
  </si>
  <si>
    <t>ENSG00000105523.3</t>
  </si>
  <si>
    <t>FAM83E</t>
  </si>
  <si>
    <t>ENSG00000063180.9</t>
  </si>
  <si>
    <t>CA11</t>
  </si>
  <si>
    <t>ENSG00000176909.12</t>
  </si>
  <si>
    <t>MAMSTR</t>
  </si>
  <si>
    <t>ENSG00000174951.11</t>
  </si>
  <si>
    <t>FUT1</t>
  </si>
  <si>
    <t>ENSG00000087076.9</t>
  </si>
  <si>
    <t>HSD17B14</t>
  </si>
  <si>
    <t>ENSG00000087086.15</t>
  </si>
  <si>
    <t>FTL</t>
  </si>
  <si>
    <t>ENSG00000196337.11</t>
  </si>
  <si>
    <t>CGB7</t>
  </si>
  <si>
    <t>ENSG00000177380.14</t>
  </si>
  <si>
    <t>PPFIA3</t>
  </si>
  <si>
    <t>ENSG00000130528.12</t>
  </si>
  <si>
    <t>HRC</t>
  </si>
  <si>
    <t>ENSG00000074219.13</t>
  </si>
  <si>
    <t>TEAD2</t>
  </si>
  <si>
    <t>ENSG00000161618.10</t>
  </si>
  <si>
    <t>ALDH16A1</t>
  </si>
  <si>
    <t>ENSG00000126464.14</t>
  </si>
  <si>
    <t>PRR12</t>
  </si>
  <si>
    <t>ENSG00000126453.9</t>
  </si>
  <si>
    <t>BCL2L12</t>
  </si>
  <si>
    <t>ENSG00000126457.21</t>
  </si>
  <si>
    <t>PRMT1</t>
  </si>
  <si>
    <t>ENSG00000224420.3</t>
  </si>
  <si>
    <t>ADM5</t>
  </si>
  <si>
    <t>ENSG00000104960.15</t>
  </si>
  <si>
    <t>PTOV1</t>
  </si>
  <si>
    <t>ENSG00000204673.10</t>
  </si>
  <si>
    <t>AKT1S1</t>
  </si>
  <si>
    <t>ENSG00000213024.11</t>
  </si>
  <si>
    <t>NUP62</t>
  </si>
  <si>
    <t>ENSG00000062822.13</t>
  </si>
  <si>
    <t>POLD1</t>
  </si>
  <si>
    <t>ENSG00000086967.10</t>
  </si>
  <si>
    <t>MYBPC2</t>
  </si>
  <si>
    <t>ENSG00000142544.7</t>
  </si>
  <si>
    <t>CTU1</t>
  </si>
  <si>
    <t>ENSG00000105383.15</t>
  </si>
  <si>
    <t>CD33</t>
  </si>
  <si>
    <t>ENSG00000186806.5</t>
  </si>
  <si>
    <t>VSIG10L</t>
  </si>
  <si>
    <t>ENSG00000105379.9</t>
  </si>
  <si>
    <t>ETFB</t>
  </si>
  <si>
    <t>ENSG00000160318.6</t>
  </si>
  <si>
    <t>CLDND2</t>
  </si>
  <si>
    <t>ENSG00000105501.12</t>
  </si>
  <si>
    <t>SIGLEC5</t>
  </si>
  <si>
    <t>ENSG00000254415.3</t>
  </si>
  <si>
    <t>SIGLEC14</t>
  </si>
  <si>
    <t>ENSG00000142556.19</t>
  </si>
  <si>
    <t>ZNF614</t>
  </si>
  <si>
    <t>ENSG00000167554.15</t>
  </si>
  <si>
    <t>ZNF610</t>
  </si>
  <si>
    <t>ENSG00000167766.18</t>
  </si>
  <si>
    <t>ZNF83</t>
  </si>
  <si>
    <t>ENSG00000198538.11</t>
  </si>
  <si>
    <t>ZNF28</t>
  </si>
  <si>
    <t>ENSG00000204604.11</t>
  </si>
  <si>
    <t>ZNF468</t>
  </si>
  <si>
    <t>ENSG00000180257.13</t>
  </si>
  <si>
    <t>ZNF816</t>
  </si>
  <si>
    <t>ENSG00000179820.16</t>
  </si>
  <si>
    <t>MYADM</t>
  </si>
  <si>
    <t>ENSG00000167614.13</t>
  </si>
  <si>
    <t>TTYH1</t>
  </si>
  <si>
    <t>ENSG00000275183.1</t>
  </si>
  <si>
    <t>LENG9</t>
  </si>
  <si>
    <t>ENSG00000167646.13</t>
  </si>
  <si>
    <t>DNAAF3</t>
  </si>
  <si>
    <t>ENSG00000133265.11</t>
  </si>
  <si>
    <t>HSPBP1</t>
  </si>
  <si>
    <t>ENSG00000160469.16</t>
  </si>
  <si>
    <t>BRSK1</t>
  </si>
  <si>
    <t>ENSG00000180061.9</t>
  </si>
  <si>
    <t>TMEM150B</t>
  </si>
  <si>
    <t>ENSG00000095752.7</t>
  </si>
  <si>
    <t>IL11</t>
  </si>
  <si>
    <t>ENSG00000160472.5</t>
  </si>
  <si>
    <t>TMEM190</t>
  </si>
  <si>
    <t>ENSG00000108106.14</t>
  </si>
  <si>
    <t>UBE2S</t>
  </si>
  <si>
    <t>ENSG00000187902.11</t>
  </si>
  <si>
    <t>SHISA7</t>
  </si>
  <si>
    <t>ENSG00000197483.10</t>
  </si>
  <si>
    <t>ZNF628</t>
  </si>
  <si>
    <t>ENSG00000179922.5</t>
  </si>
  <si>
    <t>ZNF784</t>
  </si>
  <si>
    <t>ENSG00000173581.7</t>
  </si>
  <si>
    <t>CCDC106</t>
  </si>
  <si>
    <t>ENSG00000171487.14</t>
  </si>
  <si>
    <t>NLRP5</t>
  </si>
  <si>
    <t>ENSG00000131864.10</t>
  </si>
  <si>
    <t>USP29</t>
  </si>
  <si>
    <t>ENSG00000186230.7</t>
  </si>
  <si>
    <t>ZNF749</t>
  </si>
  <si>
    <t>ENSG00000251369.8</t>
  </si>
  <si>
    <t>ZNF550</t>
  </si>
  <si>
    <t>ENSG00000121417.14</t>
  </si>
  <si>
    <t>ZNF211</t>
  </si>
  <si>
    <t>ENSG00000180532.10</t>
  </si>
  <si>
    <t>ZSCAN4</t>
  </si>
  <si>
    <t>ENSG00000152475.7</t>
  </si>
  <si>
    <t>ZNF837</t>
  </si>
  <si>
    <t>ENSG00000083807.10</t>
  </si>
  <si>
    <t>SLC27A5</t>
  </si>
  <si>
    <t>ENSG00000196476.12</t>
  </si>
  <si>
    <t>C20orf96</t>
  </si>
  <si>
    <t>ENSG00000177732.8</t>
  </si>
  <si>
    <t>SOX12</t>
  </si>
  <si>
    <t>ENSG00000101255.11</t>
  </si>
  <si>
    <t>TRIB3</t>
  </si>
  <si>
    <t>ENSG00000215397.4</t>
  </si>
  <si>
    <t>SCRT2</t>
  </si>
  <si>
    <t>ENSG00000125898.13</t>
  </si>
  <si>
    <t>FAM110A</t>
  </si>
  <si>
    <t>ENSG00000101280.8</t>
  </si>
  <si>
    <t>ANGPT4</t>
  </si>
  <si>
    <t>ENSG00000125895.5</t>
  </si>
  <si>
    <t>TMEM74B</t>
  </si>
  <si>
    <t>ENSG00000101298.15</t>
  </si>
  <si>
    <t>SNPH</t>
  </si>
  <si>
    <t>ENSG00000089012.14</t>
  </si>
  <si>
    <t>SIRPG</t>
  </si>
  <si>
    <t>ENSG00000198053.11</t>
  </si>
  <si>
    <t>SIRPA</t>
  </si>
  <si>
    <t>ENSG00000101327.9</t>
  </si>
  <si>
    <t>PDYN</t>
  </si>
  <si>
    <t>ENSG00000125834.12</t>
  </si>
  <si>
    <t>STK35</t>
  </si>
  <si>
    <t>ENSG00000125835.18</t>
  </si>
  <si>
    <t>SNRPB</t>
  </si>
  <si>
    <t>ENSG00000149488.13</t>
  </si>
  <si>
    <t>TMC2</t>
  </si>
  <si>
    <t>ENSG00000101361.17</t>
  </si>
  <si>
    <t>NOP56</t>
  </si>
  <si>
    <t>ENSG00000088881.20</t>
  </si>
  <si>
    <t>EBF4</t>
  </si>
  <si>
    <t>ENSG00000125901.6</t>
  </si>
  <si>
    <t>MRPS26</t>
  </si>
  <si>
    <t>ENSG00000088836.13</t>
  </si>
  <si>
    <t>SLC4A11</t>
  </si>
  <si>
    <t>ENSG00000101220.17</t>
  </si>
  <si>
    <t>C20orf27</t>
  </si>
  <si>
    <t>ENSG00000125843.11</t>
  </si>
  <si>
    <t>AP5S1</t>
  </si>
  <si>
    <t>ENSG00000125779.22</t>
  </si>
  <si>
    <t>PANK2</t>
  </si>
  <si>
    <t>ENSG00000101265.16</t>
  </si>
  <si>
    <t>RASSF2</t>
  </si>
  <si>
    <t>ENSG00000132646.11</t>
  </si>
  <si>
    <t>PCNA</t>
  </si>
  <si>
    <t>ENSG00000125772.12</t>
  </si>
  <si>
    <t>GPCPD1</t>
  </si>
  <si>
    <t>ENSG00000089199.10</t>
  </si>
  <si>
    <t>CHGB</t>
  </si>
  <si>
    <t>ENSG00000125827.9</t>
  </si>
  <si>
    <t>TMX4</t>
  </si>
  <si>
    <t>ENSG00000101333.16</t>
  </si>
  <si>
    <t>PLCB4</t>
  </si>
  <si>
    <t>ENSG00000101349.16</t>
  </si>
  <si>
    <t>PAK5</t>
  </si>
  <si>
    <t>ENSG00000132639.12</t>
  </si>
  <si>
    <t>SNAP25</t>
  </si>
  <si>
    <t>ENSG00000172296.13</t>
  </si>
  <si>
    <t>SPTLC3</t>
  </si>
  <si>
    <t>ENSG00000089048.14</t>
  </si>
  <si>
    <t>ESF1</t>
  </si>
  <si>
    <t>ENSG00000125848.10</t>
  </si>
  <si>
    <t>FLRT3</t>
  </si>
  <si>
    <t>ENSG00000125871.14</t>
  </si>
  <si>
    <t>MGME1</t>
  </si>
  <si>
    <t>ENSG00000125821.12</t>
  </si>
  <si>
    <t>DTD1</t>
  </si>
  <si>
    <t>ENSG00000185052.11</t>
  </si>
  <si>
    <t>SLC24A3</t>
  </si>
  <si>
    <t>ENSG00000089101.18</t>
  </si>
  <si>
    <t>CFAP61</t>
  </si>
  <si>
    <t>ENSG00000173404.5</t>
  </si>
  <si>
    <t>INSM1</t>
  </si>
  <si>
    <t>ENSG00000125810.10</t>
  </si>
  <si>
    <t>CD93</t>
  </si>
  <si>
    <t>ENSG00000132661.4</t>
  </si>
  <si>
    <t>NXT1</t>
  </si>
  <si>
    <t>ENSG00000101441.4</t>
  </si>
  <si>
    <t>CST4</t>
  </si>
  <si>
    <t>ENSG00000170373.8</t>
  </si>
  <si>
    <t>CST1</t>
  </si>
  <si>
    <t>ENSG00000170367.5</t>
  </si>
  <si>
    <t>CST5</t>
  </si>
  <si>
    <t>ENSG00000154930.15</t>
  </si>
  <si>
    <t>ACSS1</t>
  </si>
  <si>
    <t>ENSG00000100994.12</t>
  </si>
  <si>
    <t>PYGB</t>
  </si>
  <si>
    <t>ENSG00000130684.14</t>
  </si>
  <si>
    <t>ZNF337</t>
  </si>
  <si>
    <t>ENSG00000179772.7</t>
  </si>
  <si>
    <t>FOXS1</t>
  </si>
  <si>
    <t>ENSG00000131044.17</t>
  </si>
  <si>
    <t>TTLL9</t>
  </si>
  <si>
    <t>ENSG00000260903.3</t>
  </si>
  <si>
    <t>XKR7</t>
  </si>
  <si>
    <t>ENSG00000101336.14</t>
  </si>
  <si>
    <t>HCK</t>
  </si>
  <si>
    <t>ENSG00000101350.8</t>
  </si>
  <si>
    <t>KIF3B</t>
  </si>
  <si>
    <t>ENSG00000215529.12</t>
  </si>
  <si>
    <t>EFCAB8</t>
  </si>
  <si>
    <t>ENSG00000078898.7</t>
  </si>
  <si>
    <t>BPIFB2</t>
  </si>
  <si>
    <t>ENSG00000186191.7</t>
  </si>
  <si>
    <t>BPIFB4</t>
  </si>
  <si>
    <t>ENSG00000101400.5</t>
  </si>
  <si>
    <t>SNTA1</t>
  </si>
  <si>
    <t>ENSG00000101412.13</t>
  </si>
  <si>
    <t>E2F1</t>
  </si>
  <si>
    <t>ENSG00000101417.12</t>
  </si>
  <si>
    <t>PXMP4</t>
  </si>
  <si>
    <t>ENSG00000125970.12</t>
  </si>
  <si>
    <t>RALY</t>
  </si>
  <si>
    <t>ENSG00000101440.9</t>
  </si>
  <si>
    <t>ASIP</t>
  </si>
  <si>
    <t>ENSG00000078804.13</t>
  </si>
  <si>
    <t>TP53INP2</t>
  </si>
  <si>
    <t>ENSG00000131069.20</t>
  </si>
  <si>
    <t>ACSS2</t>
  </si>
  <si>
    <t>ENSG00000101000.6</t>
  </si>
  <si>
    <t>PROCR</t>
  </si>
  <si>
    <t>ENSG00000101335.10</t>
  </si>
  <si>
    <t>MYL9</t>
  </si>
  <si>
    <t>ENSG00000101347.9</t>
  </si>
  <si>
    <t>SAMHD1</t>
  </si>
  <si>
    <t>ENSG00000166619.14</t>
  </si>
  <si>
    <t>BLCAP</t>
  </si>
  <si>
    <t>ENSG00000101425.13</t>
  </si>
  <si>
    <t>BPI</t>
  </si>
  <si>
    <t>ENSG00000129988.6</t>
  </si>
  <si>
    <t>LBP</t>
  </si>
  <si>
    <t>ENSG00000170471.15</t>
  </si>
  <si>
    <t>RALGAPB</t>
  </si>
  <si>
    <t>ENSG00000101442.10</t>
  </si>
  <si>
    <t>ACTR5</t>
  </si>
  <si>
    <t>ENSG00000101445.10</t>
  </si>
  <si>
    <t>PPP1R16B</t>
  </si>
  <si>
    <t>ENSG00000204103.4</t>
  </si>
  <si>
    <t>MAFB</t>
  </si>
  <si>
    <t>ENSG00000132793.11</t>
  </si>
  <si>
    <t>LPIN3</t>
  </si>
  <si>
    <t>ENSG00000196090.12</t>
  </si>
  <si>
    <t>PTPRT</t>
  </si>
  <si>
    <t>ENSG00000101049.15</t>
  </si>
  <si>
    <t>SGK2</t>
  </si>
  <si>
    <t>ENSG00000101057.16</t>
  </si>
  <si>
    <t>MYBL2</t>
  </si>
  <si>
    <t>ENSG00000124191.18</t>
  </si>
  <si>
    <t>TOX2</t>
  </si>
  <si>
    <t>ENSG00000149596.6</t>
  </si>
  <si>
    <t>JPH2</t>
  </si>
  <si>
    <t>ENSG00000101076.16</t>
  </si>
  <si>
    <t>HNF4A</t>
  </si>
  <si>
    <t>ENSG00000168734.14</t>
  </si>
  <si>
    <t>PKIG</t>
  </si>
  <si>
    <t>ENSG00000196839.13</t>
  </si>
  <si>
    <t>ADA</t>
  </si>
  <si>
    <t>ENSG00000101098.12</t>
  </si>
  <si>
    <t>RIMS4</t>
  </si>
  <si>
    <t>ENSG00000124134.9</t>
  </si>
  <si>
    <t>KCNS1</t>
  </si>
  <si>
    <t>ENSG00000124145.6</t>
  </si>
  <si>
    <t>SDC4</t>
  </si>
  <si>
    <t>ENSG00000101443.18</t>
  </si>
  <si>
    <t>WFDC2</t>
  </si>
  <si>
    <t>ENSG00000124257.6</t>
  </si>
  <si>
    <t>NEURL2</t>
  </si>
  <si>
    <t>ENSG00000100979.15</t>
  </si>
  <si>
    <t>PLTP</t>
  </si>
  <si>
    <t>ENSG00000100982.12</t>
  </si>
  <si>
    <t>PCIF1</t>
  </si>
  <si>
    <t>ENSG00000100985.7</t>
  </si>
  <si>
    <t>MMP9</t>
  </si>
  <si>
    <t>ENSG00000124140.13</t>
  </si>
  <si>
    <t>SLC12A5</t>
  </si>
  <si>
    <t>ENSG00000198185.11</t>
  </si>
  <si>
    <t>ZNF334</t>
  </si>
  <si>
    <t>ENSG00000158296.14</t>
  </si>
  <si>
    <t>SLC13A3</t>
  </si>
  <si>
    <t>ENSG00000064655.19</t>
  </si>
  <si>
    <t>EYA2</t>
  </si>
  <si>
    <t>ENSG00000196562.14</t>
  </si>
  <si>
    <t>SULF2</t>
  </si>
  <si>
    <t>ENSG00000124126.14</t>
  </si>
  <si>
    <t>PREX1</t>
  </si>
  <si>
    <t>ENSG00000124201.15</t>
  </si>
  <si>
    <t>ZNFX1</t>
  </si>
  <si>
    <t>ENSG00000158445.10</t>
  </si>
  <si>
    <t>KCNB1</t>
  </si>
  <si>
    <t>ENSG00000124212.6</t>
  </si>
  <si>
    <t>PTGIS</t>
  </si>
  <si>
    <t>ENSG00000197818.11</t>
  </si>
  <si>
    <t>SLC9A8</t>
  </si>
  <si>
    <t>ENSG00000042062.12</t>
  </si>
  <si>
    <t>RIPOR3</t>
  </si>
  <si>
    <t>ENSG00000026559.14</t>
  </si>
  <si>
    <t>KCNG1</t>
  </si>
  <si>
    <t>ENSG00000054793.13</t>
  </si>
  <si>
    <t>ATP9A</t>
  </si>
  <si>
    <t>ENSG00000020256.20</t>
  </si>
  <si>
    <t>ZFP64</t>
  </si>
  <si>
    <t>ENSG00000182463.16</t>
  </si>
  <si>
    <t>TSHZ2</t>
  </si>
  <si>
    <t>ENSG00000064787.13</t>
  </si>
  <si>
    <t>BCAS1</t>
  </si>
  <si>
    <t>ENSG00000019186.10</t>
  </si>
  <si>
    <t>CYP24A1</t>
  </si>
  <si>
    <t>ENSG00000124098.10</t>
  </si>
  <si>
    <t>FAM210B</t>
  </si>
  <si>
    <t>ENSG00000101144.13</t>
  </si>
  <si>
    <t>BMP7</t>
  </si>
  <si>
    <t>ENSG00000132819.17</t>
  </si>
  <si>
    <t>RBM38</t>
  </si>
  <si>
    <t>ENSG00000124225.16</t>
  </si>
  <si>
    <t>PMEPA1</t>
  </si>
  <si>
    <t>ENSG00000254995.4</t>
  </si>
  <si>
    <t>STX16-NPEPL1</t>
  </si>
  <si>
    <t>ENSG00000101160.14</t>
  </si>
  <si>
    <t>CTSZ</t>
  </si>
  <si>
    <t>ENSG00000087495.17</t>
  </si>
  <si>
    <t>PHACTR3</t>
  </si>
  <si>
    <t>ENSG00000196074.13</t>
  </si>
  <si>
    <t>SYCP2</t>
  </si>
  <si>
    <t>ENSG00000179242.16</t>
  </si>
  <si>
    <t>CDH4</t>
  </si>
  <si>
    <t>ENSG00000149657.20</t>
  </si>
  <si>
    <t>LSM14B</t>
  </si>
  <si>
    <t>ENSG00000101187.16</t>
  </si>
  <si>
    <t>SLCO4A1</t>
  </si>
  <si>
    <t>ENSG00000101189.7</t>
  </si>
  <si>
    <t>MRGBP</t>
  </si>
  <si>
    <t>ENSG00000101194.18</t>
  </si>
  <si>
    <t>SLC17A9</t>
  </si>
  <si>
    <t>ENSG00000101197.13</t>
  </si>
  <si>
    <t>BIRC7</t>
  </si>
  <si>
    <t>ENSG00000101198.15</t>
  </si>
  <si>
    <t>NKAIN4</t>
  </si>
  <si>
    <t>ENSG00000101204.17</t>
  </si>
  <si>
    <t>CHRNA4</t>
  </si>
  <si>
    <t>ENSG00000258366.8</t>
  </si>
  <si>
    <t>RTEL1</t>
  </si>
  <si>
    <t>ENSG00000125520.14</t>
  </si>
  <si>
    <t>SLC2A4RG</t>
  </si>
  <si>
    <t>ENSG00000196700.9</t>
  </si>
  <si>
    <t>ZNF512B</t>
  </si>
  <si>
    <t>ENSG00000196421.8</t>
  </si>
  <si>
    <t>C20orf204</t>
  </si>
  <si>
    <t>ENSG00000196132.13</t>
  </si>
  <si>
    <t>MYT1</t>
  </si>
  <si>
    <t>ENSG00000277117.4</t>
  </si>
  <si>
    <t>FP565260.3</t>
  </si>
  <si>
    <t>ENSG00000274276.4</t>
  </si>
  <si>
    <t>CBSL</t>
  </si>
  <si>
    <t>ENSG00000154646.9</t>
  </si>
  <si>
    <t>TMPRSS15</t>
  </si>
  <si>
    <t>ENSG00000154721.15</t>
  </si>
  <si>
    <t>JAM2</t>
  </si>
  <si>
    <t>ENSG00000154734.15</t>
  </si>
  <si>
    <t>ADAMTS1</t>
  </si>
  <si>
    <t>ENSG00000156253.7</t>
  </si>
  <si>
    <t>RWDD2B</t>
  </si>
  <si>
    <t>ENSG00000156265.15</t>
  </si>
  <si>
    <t>MAP3K7CL</t>
  </si>
  <si>
    <t>ENSG00000171189.17</t>
  </si>
  <si>
    <t>GRIK1</t>
  </si>
  <si>
    <t>ENSG00000142149.9</t>
  </si>
  <si>
    <t>HUNK</t>
  </si>
  <si>
    <t>ENSG00000159055.4</t>
  </si>
  <si>
    <t>MIS18A</t>
  </si>
  <si>
    <t>ENSG00000159082.17</t>
  </si>
  <si>
    <t>SYNJ1</t>
  </si>
  <si>
    <t>ENSG00000159110.19</t>
  </si>
  <si>
    <t>IFNAR2</t>
  </si>
  <si>
    <t>ENSG00000159128.14</t>
  </si>
  <si>
    <t>IFNGR2</t>
  </si>
  <si>
    <t>ENSG00000177692.11</t>
  </si>
  <si>
    <t>DNAJC28</t>
  </si>
  <si>
    <t>ENSG00000159131.17</t>
  </si>
  <si>
    <t>GART</t>
  </si>
  <si>
    <t>ENSG00000159147.18</t>
  </si>
  <si>
    <t>DONSON</t>
  </si>
  <si>
    <t>ENSG00000159259.8</t>
  </si>
  <si>
    <t>CHAF1B</t>
  </si>
  <si>
    <t>ENSG00000157554.19</t>
  </si>
  <si>
    <t>ERG</t>
  </si>
  <si>
    <t>ENSG00000182240.16</t>
  </si>
  <si>
    <t>BACE2</t>
  </si>
  <si>
    <t>ENSG00000157601.14</t>
  </si>
  <si>
    <t>MX1</t>
  </si>
  <si>
    <t>ENSG00000160179.18</t>
  </si>
  <si>
    <t>ABCG1</t>
  </si>
  <si>
    <t>ENSG00000160183.15</t>
  </si>
  <si>
    <t>TMPRSS3</t>
  </si>
  <si>
    <t>ENSG00000160191.18</t>
  </si>
  <si>
    <t>PDE9A</t>
  </si>
  <si>
    <t>ENSG00000160193.11</t>
  </si>
  <si>
    <t>WDR4</t>
  </si>
  <si>
    <t>ENSG00000160200.17</t>
  </si>
  <si>
    <t>CBS</t>
  </si>
  <si>
    <t>ENSG00000160214.12</t>
  </si>
  <si>
    <t>RRP1</t>
  </si>
  <si>
    <t>ENSG00000160223.17</t>
  </si>
  <si>
    <t>ICOSLG</t>
  </si>
  <si>
    <t>ENSG00000160226.16</t>
  </si>
  <si>
    <t>CFAP410</t>
  </si>
  <si>
    <t>ENSG00000142185.16</t>
  </si>
  <si>
    <t>TRPM2</t>
  </si>
  <si>
    <t>ENSG00000160233.8</t>
  </si>
  <si>
    <t>LRRC3</t>
  </si>
  <si>
    <t>ENSG00000173638.19</t>
  </si>
  <si>
    <t>SLC19A1</t>
  </si>
  <si>
    <t>ENSG00000160285.15</t>
  </si>
  <si>
    <t>LSS</t>
  </si>
  <si>
    <t>ENSG00000160299.17</t>
  </si>
  <si>
    <t>PCNT</t>
  </si>
  <si>
    <t>ENSG00000198062.14</t>
  </si>
  <si>
    <t>POTEH</t>
  </si>
  <si>
    <t>ENSG00000099954.18</t>
  </si>
  <si>
    <t>CECR2</t>
  </si>
  <si>
    <t>ENSG00000131100.13</t>
  </si>
  <si>
    <t>ATP6V1E1</t>
  </si>
  <si>
    <t>ENSG00000099968.17</t>
  </si>
  <si>
    <t>BCL2L13</t>
  </si>
  <si>
    <t>ENSG00000184979.9</t>
  </si>
  <si>
    <t>USP18</t>
  </si>
  <si>
    <t>ENSG00000275793.1</t>
  </si>
  <si>
    <t>RIMBP3</t>
  </si>
  <si>
    <t>ENSG00000183628.13</t>
  </si>
  <si>
    <t>DGCR6</t>
  </si>
  <si>
    <t>ENSG00000100033.16</t>
  </si>
  <si>
    <t>PRODH</t>
  </si>
  <si>
    <t>ENSG00000100084.14</t>
  </si>
  <si>
    <t>HIRA</t>
  </si>
  <si>
    <t>ENSG00000093009.9</t>
  </si>
  <si>
    <t>CDC45</t>
  </si>
  <si>
    <t>ENSG00000184058.14</t>
  </si>
  <si>
    <t>TBX1</t>
  </si>
  <si>
    <t>ENSG00000185838.14</t>
  </si>
  <si>
    <t>GNB1L</t>
  </si>
  <si>
    <t>ENSG00000099889.14</t>
  </si>
  <si>
    <t>ARVCF</t>
  </si>
  <si>
    <t>ENSG00000183597.15</t>
  </si>
  <si>
    <t>TANGO2</t>
  </si>
  <si>
    <t>ENSG00000099901.17</t>
  </si>
  <si>
    <t>RANBP1</t>
  </si>
  <si>
    <t>ENSG00000040608.14</t>
  </si>
  <si>
    <t>RTN4R</t>
  </si>
  <si>
    <t>ENSG00000244486.8</t>
  </si>
  <si>
    <t>SCARF2</t>
  </si>
  <si>
    <t>ENSG00000206140.11</t>
  </si>
  <si>
    <t>TMEM191C</t>
  </si>
  <si>
    <t>ENSG00000128228.5</t>
  </si>
  <si>
    <t>SDF2L1</t>
  </si>
  <si>
    <t>ENSG00000100027.15</t>
  </si>
  <si>
    <t>YPEL1</t>
  </si>
  <si>
    <t>ENSG00000169548.3</t>
  </si>
  <si>
    <t>ZNF280A</t>
  </si>
  <si>
    <t>ENSG00000186716.20</t>
  </si>
  <si>
    <t>BCR</t>
  </si>
  <si>
    <t>ENSG00000189269.12</t>
  </si>
  <si>
    <t>DRICH1</t>
  </si>
  <si>
    <t>ENSG00000133460.19</t>
  </si>
  <si>
    <t>SLC2A11</t>
  </si>
  <si>
    <t>ENSG00000240972.2</t>
  </si>
  <si>
    <t>MIF</t>
  </si>
  <si>
    <t>ENSG00000133433.10</t>
  </si>
  <si>
    <t>GSTT2B</t>
  </si>
  <si>
    <t>ENSG00000276950.5</t>
  </si>
  <si>
    <t>GSTT4</t>
  </si>
  <si>
    <t>ENSG00000128271.22</t>
  </si>
  <si>
    <t>ADORA2A</t>
  </si>
  <si>
    <t>ENSG00000100024.14</t>
  </si>
  <si>
    <t>UPB1</t>
  </si>
  <si>
    <t>ENSG00000100053.10</t>
  </si>
  <si>
    <t>CRYBB3</t>
  </si>
  <si>
    <t>ENSG00000100095.19</t>
  </si>
  <si>
    <t>SEZ6L</t>
  </si>
  <si>
    <t>ENSG00000169184.6</t>
  </si>
  <si>
    <t>MN1</t>
  </si>
  <si>
    <t>ENSG00000100154.14</t>
  </si>
  <si>
    <t>TTC28</t>
  </si>
  <si>
    <t>ENSG00000100219.16</t>
  </si>
  <si>
    <t>XBP1</t>
  </si>
  <si>
    <t>ENSG00000186575.17</t>
  </si>
  <si>
    <t>NF2</t>
  </si>
  <si>
    <t>ENSG00000176635.17</t>
  </si>
  <si>
    <t>HORMAD2</t>
  </si>
  <si>
    <t>ENSG00000100003.18</t>
  </si>
  <si>
    <t>SEC14L2</t>
  </si>
  <si>
    <t>ENSG00000100036.13</t>
  </si>
  <si>
    <t>SLC35E4</t>
  </si>
  <si>
    <t>ENSG00000183963.18</t>
  </si>
  <si>
    <t>SMTN</t>
  </si>
  <si>
    <t>ENSG00000198832.10</t>
  </si>
  <si>
    <t>SELENOM</t>
  </si>
  <si>
    <t>ENSG00000100100.12</t>
  </si>
  <si>
    <t>PIK3IP1</t>
  </si>
  <si>
    <t>ENSG00000100105.18</t>
  </si>
  <si>
    <t>PATZ1</t>
  </si>
  <si>
    <t>ENSG00000100150.18</t>
  </si>
  <si>
    <t>DEPDC5</t>
  </si>
  <si>
    <t>ENSG00000100170.9</t>
  </si>
  <si>
    <t>SLC5A1</t>
  </si>
  <si>
    <t>ENSG00000185666.14</t>
  </si>
  <si>
    <t>SYN3</t>
  </si>
  <si>
    <t>ENSG00000175329.12</t>
  </si>
  <si>
    <t>ISX</t>
  </si>
  <si>
    <t>ENSG00000100297.16</t>
  </si>
  <si>
    <t>MCM5</t>
  </si>
  <si>
    <t>ENSG00000198125.13</t>
  </si>
  <si>
    <t>MB</t>
  </si>
  <si>
    <t>ENSG00000221963.6</t>
  </si>
  <si>
    <t>APOL6</t>
  </si>
  <si>
    <t>ENSG00000128284.19</t>
  </si>
  <si>
    <t>APOL3</t>
  </si>
  <si>
    <t>ENSG00000128335.14</t>
  </si>
  <si>
    <t>APOL2</t>
  </si>
  <si>
    <t>ENSG00000100342.20</t>
  </si>
  <si>
    <t>APOL1</t>
  </si>
  <si>
    <t>ENSG00000100350.14</t>
  </si>
  <si>
    <t>FOXRED2</t>
  </si>
  <si>
    <t>ENSG00000128311.14</t>
  </si>
  <si>
    <t>TST</t>
  </si>
  <si>
    <t>ENSG00000128309.16</t>
  </si>
  <si>
    <t>MPST</t>
  </si>
  <si>
    <t>ENSG00000133466.14</t>
  </si>
  <si>
    <t>C1QTNF6</t>
  </si>
  <si>
    <t>ENSG00000128340.15</t>
  </si>
  <si>
    <t>RAC2</t>
  </si>
  <si>
    <t>ENSG00000166897.15</t>
  </si>
  <si>
    <t>ELFN2</t>
  </si>
  <si>
    <t>ENSG00000128283.7</t>
  </si>
  <si>
    <t>CDC42EP1</t>
  </si>
  <si>
    <t>ENSG00000273899.5</t>
  </si>
  <si>
    <t>NOL12</t>
  </si>
  <si>
    <t>ENSG00000100106.21</t>
  </si>
  <si>
    <t>TRIOBP</t>
  </si>
  <si>
    <t>ENSG00000100116.16</t>
  </si>
  <si>
    <t>GCAT</t>
  </si>
  <si>
    <t>ENSG00000100139.13</t>
  </si>
  <si>
    <t>MICALL1</t>
  </si>
  <si>
    <t>ENSG00000100142.15</t>
  </si>
  <si>
    <t>POLR2F</t>
  </si>
  <si>
    <t>ENSG00000128298.17</t>
  </si>
  <si>
    <t>BAIAP2L2</t>
  </si>
  <si>
    <t>ENSG00000184381.18</t>
  </si>
  <si>
    <t>PLA2G6</t>
  </si>
  <si>
    <t>ENSG00000168135.4</t>
  </si>
  <si>
    <t>KCNJ4</t>
  </si>
  <si>
    <t>ENSG00000184949.16</t>
  </si>
  <si>
    <t>FAM227A</t>
  </si>
  <si>
    <t>ENSG00000179750.16</t>
  </si>
  <si>
    <t>APOBEC3B</t>
  </si>
  <si>
    <t>ENSG00000244509.4</t>
  </si>
  <si>
    <t>APOBEC3C</t>
  </si>
  <si>
    <t>ENSG00000243811.10</t>
  </si>
  <si>
    <t>APOBEC3D</t>
  </si>
  <si>
    <t>ENSG00000239713.9</t>
  </si>
  <si>
    <t>APOBEC3G</t>
  </si>
  <si>
    <t>ENSG00000100298.15</t>
  </si>
  <si>
    <t>APOBEC3H</t>
  </si>
  <si>
    <t>ENSG00000100311.16</t>
  </si>
  <si>
    <t>PDGFB</t>
  </si>
  <si>
    <t>ENSG00000128268.12</t>
  </si>
  <si>
    <t>MGAT3</t>
  </si>
  <si>
    <t>ENSG00000128272.14</t>
  </si>
  <si>
    <t>ATF4</t>
  </si>
  <si>
    <t>ENSG00000100346.17</t>
  </si>
  <si>
    <t>CACNA1I</t>
  </si>
  <si>
    <t>ENSG00000128285.4</t>
  </si>
  <si>
    <t>MCHR1</t>
  </si>
  <si>
    <t>ENSG00000100413.17</t>
  </si>
  <si>
    <t>POLR3H</t>
  </si>
  <si>
    <t>ENSG00000172346.15</t>
  </si>
  <si>
    <t>CSDC2</t>
  </si>
  <si>
    <t>ENSG00000198911.12</t>
  </si>
  <si>
    <t>SREBF2</t>
  </si>
  <si>
    <t>ENSG00000100162.15</t>
  </si>
  <si>
    <t>CENPM</t>
  </si>
  <si>
    <t>ENSG00000100167.20</t>
  </si>
  <si>
    <t>SEPT3</t>
  </si>
  <si>
    <t>ENSG00000100197.22</t>
  </si>
  <si>
    <t>CYP2D6</t>
  </si>
  <si>
    <t>ENSG00000189306.11</t>
  </si>
  <si>
    <t>RRP7A</t>
  </si>
  <si>
    <t>ENSG00000128274.17</t>
  </si>
  <si>
    <t>A4GALT</t>
  </si>
  <si>
    <t>ENSG00000100290.3</t>
  </si>
  <si>
    <t>BIK</t>
  </si>
  <si>
    <t>ENSG00000100300.18</t>
  </si>
  <si>
    <t>TSPO</t>
  </si>
  <si>
    <t>ENSG00000186976.15</t>
  </si>
  <si>
    <t>EFCAB6</t>
  </si>
  <si>
    <t>ENSG00000100344.10</t>
  </si>
  <si>
    <t>PNPLA3</t>
  </si>
  <si>
    <t>ENSG00000100373.10</t>
  </si>
  <si>
    <t>UPK3A</t>
  </si>
  <si>
    <t>ENSG00000100376.12</t>
  </si>
  <si>
    <t>FAM118A</t>
  </si>
  <si>
    <t>ENSG00000186951.16</t>
  </si>
  <si>
    <t>PPARA</t>
  </si>
  <si>
    <t>ENSG00000075234.17</t>
  </si>
  <si>
    <t>TTC38</t>
  </si>
  <si>
    <t>ENSG00000100426.7</t>
  </si>
  <si>
    <t>ZBED4</t>
  </si>
  <si>
    <t>ENSG00000073150.13</t>
  </si>
  <si>
    <t>PANX2</t>
  </si>
  <si>
    <t>ENSG00000170638.9</t>
  </si>
  <si>
    <t>TRABD</t>
  </si>
  <si>
    <t>ENSG00000185386.15</t>
  </si>
  <si>
    <t>MAPK11</t>
  </si>
  <si>
    <t>ENSG00000196576.15</t>
  </si>
  <si>
    <t>PLXNB2</t>
  </si>
  <si>
    <t>ENSG00000205593.12</t>
  </si>
  <si>
    <t>DENND6B</t>
  </si>
  <si>
    <t>ENSG00000100239.16</t>
  </si>
  <si>
    <t>PPP6R2</t>
  </si>
  <si>
    <t>ENSG00000100253.13</t>
  </si>
  <si>
    <t>MIOX</t>
  </si>
  <si>
    <t>ENSG00000100258.18</t>
  </si>
  <si>
    <t>LMF2</t>
  </si>
  <si>
    <t>ENSG00000100299.18</t>
  </si>
  <si>
    <t>ARSA</t>
  </si>
  <si>
    <t>ENSG00000251322.7</t>
  </si>
  <si>
    <t>SHANK3</t>
  </si>
  <si>
    <t>ENSG00000079974.17</t>
  </si>
  <si>
    <t>RABL2B</t>
  </si>
  <si>
    <t>ENSG00000124343.13</t>
  </si>
  <si>
    <t>XG</t>
  </si>
  <si>
    <t>ENSG00000056998.20</t>
  </si>
  <si>
    <t>GYG2</t>
  </si>
  <si>
    <t>ENSG00000157399.14</t>
  </si>
  <si>
    <t>ARSE</t>
  </si>
  <si>
    <t>ENSG00000183943.5</t>
  </si>
  <si>
    <t>PRKX</t>
  </si>
  <si>
    <t>ENSG00000011201.12</t>
  </si>
  <si>
    <t>ANOS1</t>
  </si>
  <si>
    <t>ENSG00000101849.16</t>
  </si>
  <si>
    <t>TBL1X</t>
  </si>
  <si>
    <t>ENSG00000101850.13</t>
  </si>
  <si>
    <t>GPR143</t>
  </si>
  <si>
    <t>ENSG00000146950.13</t>
  </si>
  <si>
    <t>SHROOM2</t>
  </si>
  <si>
    <t>ENSG00000047644.18</t>
  </si>
  <si>
    <t>WWC3</t>
  </si>
  <si>
    <t>ENSG00000101911.12</t>
  </si>
  <si>
    <t>PRPS2</t>
  </si>
  <si>
    <t>ENSG00000101958.14</t>
  </si>
  <si>
    <t>GLRA2</t>
  </si>
  <si>
    <t>ENSG00000102048.15</t>
  </si>
  <si>
    <t>ASB9</t>
  </si>
  <si>
    <t>ENSG00000087842.11</t>
  </si>
  <si>
    <t>PIR</t>
  </si>
  <si>
    <t>ENSG00000102010.15</t>
  </si>
  <si>
    <t>BMX</t>
  </si>
  <si>
    <t>ENSG00000147003.7</t>
  </si>
  <si>
    <t>CLTRN</t>
  </si>
  <si>
    <t>ENSG00000188158.15</t>
  </si>
  <si>
    <t>NHS</t>
  </si>
  <si>
    <t>ENSG00000044446.11</t>
  </si>
  <si>
    <t>PHKA2</t>
  </si>
  <si>
    <t>ENSG00000173698.18</t>
  </si>
  <si>
    <t>ADGRG2</t>
  </si>
  <si>
    <t>ENSG00000173681.16</t>
  </si>
  <si>
    <t>BCLAF3</t>
  </si>
  <si>
    <t>ENSG00000177189.13</t>
  </si>
  <si>
    <t>RPS6KA3</t>
  </si>
  <si>
    <t>ENSG00000149970.16</t>
  </si>
  <si>
    <t>CNKSR2</t>
  </si>
  <si>
    <t>ENSG00000130066.16</t>
  </si>
  <si>
    <t>SAT1</t>
  </si>
  <si>
    <t>ENSG00000184831.13</t>
  </si>
  <si>
    <t>APOO</t>
  </si>
  <si>
    <t>ENSG00000102230.13</t>
  </si>
  <si>
    <t>PCYT1B</t>
  </si>
  <si>
    <t>ENSG00000101868.10</t>
  </si>
  <si>
    <t>POLA1</t>
  </si>
  <si>
    <t>ENSG00000004848.8</t>
  </si>
  <si>
    <t>ARX</t>
  </si>
  <si>
    <t>ENSG00000176746.6</t>
  </si>
  <si>
    <t>MAGEB6</t>
  </si>
  <si>
    <t>ENSG00000169306.9</t>
  </si>
  <si>
    <t>IL1RAPL1</t>
  </si>
  <si>
    <t>ENSG00000165164.14</t>
  </si>
  <si>
    <t>CFAP47</t>
  </si>
  <si>
    <t>ENSG00000101955.15</t>
  </si>
  <si>
    <t>SRPX</t>
  </si>
  <si>
    <t>ENSG00000183337.16</t>
  </si>
  <si>
    <t>BCOR</t>
  </si>
  <si>
    <t>ENSG00000182220.14</t>
  </si>
  <si>
    <t>ATP6AP2</t>
  </si>
  <si>
    <t>ENSG00000171659.15</t>
  </si>
  <si>
    <t>GPR34</t>
  </si>
  <si>
    <t>ENSG00000189221.9</t>
  </si>
  <si>
    <t>MAOA</t>
  </si>
  <si>
    <t>ENSG00000102226.9</t>
  </si>
  <si>
    <t>USP11</t>
  </si>
  <si>
    <t>ENSG00000008056.14</t>
  </si>
  <si>
    <t>SYN1</t>
  </si>
  <si>
    <t>ENSG00000102265.12</t>
  </si>
  <si>
    <t>TIMP1</t>
  </si>
  <si>
    <t>ENSG00000147118.11</t>
  </si>
  <si>
    <t>ZNF182</t>
  </si>
  <si>
    <t>ENSG00000017483.15</t>
  </si>
  <si>
    <t>SLC38A5</t>
  </si>
  <si>
    <t>ENSG00000068438.15</t>
  </si>
  <si>
    <t>FTSJ1</t>
  </si>
  <si>
    <t>ENSG00000102312.21</t>
  </si>
  <si>
    <t>PORCN</t>
  </si>
  <si>
    <t>ENSG00000147155.11</t>
  </si>
  <si>
    <t>EBP</t>
  </si>
  <si>
    <t>ENSG00000101945.16</t>
  </si>
  <si>
    <t>SUV39H1</t>
  </si>
  <si>
    <t>ENSG00000126768.12</t>
  </si>
  <si>
    <t>TIMM17B</t>
  </si>
  <si>
    <t>ENSG00000171365.17</t>
  </si>
  <si>
    <t>CLCN5</t>
  </si>
  <si>
    <t>ENSG00000274588.2</t>
  </si>
  <si>
    <t>DGKK</t>
  </si>
  <si>
    <t>ENSG00000179222.17</t>
  </si>
  <si>
    <t>MAGED1</t>
  </si>
  <si>
    <t>ENSG00000179304.16</t>
  </si>
  <si>
    <t>AC234031.1</t>
  </si>
  <si>
    <t>ENSG00000268350.7</t>
  </si>
  <si>
    <t>FAM156A</t>
  </si>
  <si>
    <t>ENSG00000158423.17</t>
  </si>
  <si>
    <t>RIBC1</t>
  </si>
  <si>
    <t>ENSG00000187601.4</t>
  </si>
  <si>
    <t>MAGEH1</t>
  </si>
  <si>
    <t>ENSG00000102053.12</t>
  </si>
  <si>
    <t>ZC3H12B</t>
  </si>
  <si>
    <t>ENSG00000131080.15</t>
  </si>
  <si>
    <t>EDA2R</t>
  </si>
  <si>
    <t>ENSG00000079482.13</t>
  </si>
  <si>
    <t>OPHN1</t>
  </si>
  <si>
    <t>ENSG00000130052.13</t>
  </si>
  <si>
    <t>STARD8</t>
  </si>
  <si>
    <t>ENSG00000090776.6</t>
  </si>
  <si>
    <t>EFNB1</t>
  </si>
  <si>
    <t>ENSG00000130054.4</t>
  </si>
  <si>
    <t>FAM155B</t>
  </si>
  <si>
    <t>ENSG00000120498.13</t>
  </si>
  <si>
    <t>TEX11</t>
  </si>
  <si>
    <t>ENSG00000184481.16</t>
  </si>
  <si>
    <t>FOXO4</t>
  </si>
  <si>
    <t>ENSG00000169562.10</t>
  </si>
  <si>
    <t>GJB1</t>
  </si>
  <si>
    <t>ENSG00000147130.14</t>
  </si>
  <si>
    <t>ZMYM3</t>
  </si>
  <si>
    <t>ENSG00000204131.9</t>
  </si>
  <si>
    <t>NHSL2</t>
  </si>
  <si>
    <t>ENSG00000242732.4</t>
  </si>
  <si>
    <t>RTL5</t>
  </si>
  <si>
    <t>ENSG00000147100.11</t>
  </si>
  <si>
    <t>SLC16A2</t>
  </si>
  <si>
    <t>ENSG00000102144.15</t>
  </si>
  <si>
    <t>PGK1</t>
  </si>
  <si>
    <t>ENSG00000126733.21</t>
  </si>
  <si>
    <t>DACH2</t>
  </si>
  <si>
    <t>ENSG00000147202.18</t>
  </si>
  <si>
    <t>DIAPH2</t>
  </si>
  <si>
    <t>ENSG00000102384.13</t>
  </si>
  <si>
    <t>CENPI</t>
  </si>
  <si>
    <t>ENSG00000102387.15</t>
  </si>
  <si>
    <t>TAF7L</t>
  </si>
  <si>
    <t>ENSG00000133134.11</t>
  </si>
  <si>
    <t>BEX2</t>
  </si>
  <si>
    <t>ENSG00000182916.8</t>
  </si>
  <si>
    <t>TCEAL7</t>
  </si>
  <si>
    <t>ENSG00000123572.17</t>
  </si>
  <si>
    <t>NRK</t>
  </si>
  <si>
    <t>ENSG00000123561.15</t>
  </si>
  <si>
    <t>SERPINA7</t>
  </si>
  <si>
    <t>ENSG00000133135.14</t>
  </si>
  <si>
    <t>RNF128</t>
  </si>
  <si>
    <t>ENSG00000133131.15</t>
  </si>
  <si>
    <t>MORC4</t>
  </si>
  <si>
    <t>ENSG00000165376.10</t>
  </si>
  <si>
    <t>CLDN2</t>
  </si>
  <si>
    <t>ENSG00000089682.16</t>
  </si>
  <si>
    <t>RBM41</t>
  </si>
  <si>
    <t>ENSG00000198088.10</t>
  </si>
  <si>
    <t>NUP62CL</t>
  </si>
  <si>
    <t>ENSG00000147234.10</t>
  </si>
  <si>
    <t>FRMPD3</t>
  </si>
  <si>
    <t>ENSG00000147224.11</t>
  </si>
  <si>
    <t>PRPS1</t>
  </si>
  <si>
    <t>ENSG00000157514.16</t>
  </si>
  <si>
    <t>TSC22D3</t>
  </si>
  <si>
    <t>ENSG00000170925.3</t>
  </si>
  <si>
    <t>TEX13B</t>
  </si>
  <si>
    <t>ENSG00000101842.13</t>
  </si>
  <si>
    <t>VSIG1</t>
  </si>
  <si>
    <t>ENSG00000101844.18</t>
  </si>
  <si>
    <t>ATG4A</t>
  </si>
  <si>
    <t>ENSG00000243978.8</t>
  </si>
  <si>
    <t>RTL9</t>
  </si>
  <si>
    <t>ENSG00000077264.15</t>
  </si>
  <si>
    <t>PAK3</t>
  </si>
  <si>
    <t>ENSG00000077279.18</t>
  </si>
  <si>
    <t>DCX</t>
  </si>
  <si>
    <t>ENSG00000187823.3</t>
  </si>
  <si>
    <t>RTL4</t>
  </si>
  <si>
    <t>ENSG00000130224.15</t>
  </si>
  <si>
    <t>LRCH2</t>
  </si>
  <si>
    <t>ENSG00000268104.3</t>
  </si>
  <si>
    <t>SLC6A14</t>
  </si>
  <si>
    <t>ENSG00000174460.4</t>
  </si>
  <si>
    <t>ZCCHC12</t>
  </si>
  <si>
    <t>ENSG00000250423.2</t>
  </si>
  <si>
    <t>KIAA1210</t>
  </si>
  <si>
    <t>ENSG00000077713.19</t>
  </si>
  <si>
    <t>SLC25A43</t>
  </si>
  <si>
    <t>ENSG00000005893.15</t>
  </si>
  <si>
    <t>LAMP2</t>
  </si>
  <si>
    <t>ENSG00000182890.4</t>
  </si>
  <si>
    <t>GLUD2</t>
  </si>
  <si>
    <t>ENSG00000009694.13</t>
  </si>
  <si>
    <t>TENM1</t>
  </si>
  <si>
    <t>ENSG00000156709.14</t>
  </si>
  <si>
    <t>AIFM1</t>
  </si>
  <si>
    <t>ENSG00000147255.19</t>
  </si>
  <si>
    <t>IGSF1</t>
  </si>
  <si>
    <t>ENSG00000171004.18</t>
  </si>
  <si>
    <t>HS6ST2</t>
  </si>
  <si>
    <t>ENSG00000134588.12</t>
  </si>
  <si>
    <t>USP26</t>
  </si>
  <si>
    <t>ENSG00000076716.9</t>
  </si>
  <si>
    <t>GPC4</t>
  </si>
  <si>
    <t>ENSG00000170965.10</t>
  </si>
  <si>
    <t>PLAC1</t>
  </si>
  <si>
    <t>ENSG00000156504.16</t>
  </si>
  <si>
    <t>FAM122B</t>
  </si>
  <si>
    <t>ENSG00000156500.15</t>
  </si>
  <si>
    <t>FAM122C</t>
  </si>
  <si>
    <t>ENSG00000101928.13</t>
  </si>
  <si>
    <t>MOSPD1</t>
  </si>
  <si>
    <t>ENSG00000134590.13</t>
  </si>
  <si>
    <t>RTL8C</t>
  </si>
  <si>
    <t>ENSG00000156920.10</t>
  </si>
  <si>
    <t>ADGRG4</t>
  </si>
  <si>
    <t>ENSG00000129675.16</t>
  </si>
  <si>
    <t>ARHGEF6</t>
  </si>
  <si>
    <t>ENSG00000101977.21</t>
  </si>
  <si>
    <t>MCF2</t>
  </si>
  <si>
    <t>ENSG00000155966.13</t>
  </si>
  <si>
    <t>AFF2</t>
  </si>
  <si>
    <t>ENSG00000013619.14</t>
  </si>
  <si>
    <t>MAMLD1</t>
  </si>
  <si>
    <t>ENSG00000102181.21</t>
  </si>
  <si>
    <t>CD99L2</t>
  </si>
  <si>
    <t>ENSG00000029993.15</t>
  </si>
  <si>
    <t>HMGB3</t>
  </si>
  <si>
    <t>ENSG00000102195.9</t>
  </si>
  <si>
    <t>GPR50</t>
  </si>
  <si>
    <t>ENSG00000166049.11</t>
  </si>
  <si>
    <t>PASD1</t>
  </si>
  <si>
    <t>ENSG00000102287.19</t>
  </si>
  <si>
    <t>GABRE</t>
  </si>
  <si>
    <t>ENSG00000011677.13</t>
  </si>
  <si>
    <t>GABRA3</t>
  </si>
  <si>
    <t>ENSG00000147383.11</t>
  </si>
  <si>
    <t>NSDHL</t>
  </si>
  <si>
    <t>ENSG00000182492.16</t>
  </si>
  <si>
    <t>BGN</t>
  </si>
  <si>
    <t>ENSG00000198753.12</t>
  </si>
  <si>
    <t>PLXNB3</t>
  </si>
  <si>
    <t>ENSG00000067840.12</t>
  </si>
  <si>
    <t>PDZD4</t>
  </si>
  <si>
    <t>ENSG00000198910.13</t>
  </si>
  <si>
    <t>L1CAM</t>
  </si>
  <si>
    <t>ENSG00000089820.15</t>
  </si>
  <si>
    <t>ARHGAP4</t>
  </si>
  <si>
    <t>ENSG00000102032.13</t>
  </si>
  <si>
    <t>RENBP</t>
  </si>
  <si>
    <t>ENSG00000172534.14</t>
  </si>
  <si>
    <t>HCFC1</t>
  </si>
  <si>
    <t>ENSG00000013563.14</t>
  </si>
  <si>
    <t>DNASE1L1</t>
  </si>
  <si>
    <t>ENSG00000102178.13</t>
  </si>
  <si>
    <t>UBL4A</t>
  </si>
  <si>
    <t>ENSG00000130826.18</t>
  </si>
  <si>
    <t>DKC1</t>
  </si>
  <si>
    <t>ENSG00000185010.15</t>
  </si>
  <si>
    <t>F8</t>
  </si>
  <si>
    <t>ENSG00000155961.5</t>
  </si>
  <si>
    <t>RAB39B</t>
  </si>
  <si>
    <t>ENSG00000182378.14_PAR_Y</t>
  </si>
  <si>
    <t>PLCXD1</t>
  </si>
  <si>
    <t>ENSG00000178605.13_PAR_Y</t>
  </si>
  <si>
    <t>GTPBP6</t>
  </si>
  <si>
    <t>ENSG00000169084.13_PAR_Y</t>
  </si>
  <si>
    <t>DHRSX</t>
  </si>
  <si>
    <t>ENSG00000214717.12_PAR_Y</t>
  </si>
  <si>
    <t>ZBED1</t>
  </si>
  <si>
    <t>ENSG00000099725.14</t>
  </si>
  <si>
    <t>PRKY</t>
  </si>
  <si>
    <t>ENSG00000012817.15</t>
  </si>
  <si>
    <t>KDM5D</t>
  </si>
  <si>
    <t>ENSG00000198712.1</t>
  </si>
  <si>
    <t>MT-CO2</t>
  </si>
  <si>
    <t>ENSG00000198899.2</t>
  </si>
  <si>
    <t>MT-ATP6</t>
  </si>
  <si>
    <t>ENSG00000198727.2</t>
  </si>
  <si>
    <t>MT-CYB</t>
  </si>
  <si>
    <t>Gene</t>
    <phoneticPr fontId="5" type="noConversion"/>
  </si>
  <si>
    <t>GeneName</t>
    <phoneticPr fontId="5" type="noConversion"/>
  </si>
  <si>
    <t>GeneType</t>
    <phoneticPr fontId="5" type="noConversion"/>
  </si>
  <si>
    <t>ENSG00000187583.10</t>
  </si>
  <si>
    <t>PLEKHN1</t>
  </si>
  <si>
    <t>ENSG00000188157.15</t>
  </si>
  <si>
    <t>AGRN</t>
  </si>
  <si>
    <t>ENSG00000078808.16</t>
  </si>
  <si>
    <t>SDF4</t>
  </si>
  <si>
    <t>ENSG00000176022.6</t>
  </si>
  <si>
    <t>B3GALT6</t>
  </si>
  <si>
    <t>ENSG00000184163.3</t>
  </si>
  <si>
    <t>C1QTNF12</t>
  </si>
  <si>
    <t>ENSG00000205116.3</t>
  </si>
  <si>
    <t>TMEM88B</t>
  </si>
  <si>
    <t>ENSG00000178821.13</t>
  </si>
  <si>
    <t>TMEM52</t>
  </si>
  <si>
    <t>ENSG00000067606.17</t>
  </si>
  <si>
    <t>PRKCZ</t>
  </si>
  <si>
    <t>ENSG00000162585.17</t>
  </si>
  <si>
    <t>FAAP20</t>
  </si>
  <si>
    <t>ENSG00000157933.10</t>
  </si>
  <si>
    <t>SKI</t>
  </si>
  <si>
    <t>ENSG00000116151.14</t>
  </si>
  <si>
    <t>MORN1</t>
  </si>
  <si>
    <t>ENSG00000149527.18</t>
  </si>
  <si>
    <t>PLCH2</t>
  </si>
  <si>
    <t>ENSG00000162591.16</t>
  </si>
  <si>
    <t>MEGF6</t>
  </si>
  <si>
    <t>ENSG00000116213.16</t>
  </si>
  <si>
    <t>WRAP73</t>
  </si>
  <si>
    <t>ENSG00000235169.8</t>
  </si>
  <si>
    <t>SMIM1</t>
  </si>
  <si>
    <t>ENSG00000069424.14</t>
  </si>
  <si>
    <t>KCNAB2</t>
  </si>
  <si>
    <t>ENSG00000162413.16</t>
  </si>
  <si>
    <t>KLHL21</t>
  </si>
  <si>
    <t>ENSG00000162444.12</t>
  </si>
  <si>
    <t>RBP7</t>
  </si>
  <si>
    <t>ENSG00000189337.17</t>
  </si>
  <si>
    <t>KAZN</t>
  </si>
  <si>
    <t>ENSG00000117122.13</t>
  </si>
  <si>
    <t>MFAP2</t>
  </si>
  <si>
    <t>ENSG00000074964.17</t>
  </si>
  <si>
    <t>ARHGEF10L</t>
  </si>
  <si>
    <t>ENSG00000117148.8</t>
  </si>
  <si>
    <t>ACTL8</t>
  </si>
  <si>
    <t>ENSG00000169991.11</t>
  </si>
  <si>
    <t>IFFO2</t>
  </si>
  <si>
    <t>ENSG00000169914.6</t>
  </si>
  <si>
    <t>OTUD3</t>
  </si>
  <si>
    <t>ENSG00000162543.6</t>
  </si>
  <si>
    <t>UBXN10</t>
  </si>
  <si>
    <t>ENSG00000117298.16</t>
  </si>
  <si>
    <t>ECE1</t>
  </si>
  <si>
    <t>ENSG00000090686.15</t>
  </si>
  <si>
    <t>USP48</t>
  </si>
  <si>
    <t>ENSG00000179546.4</t>
  </si>
  <si>
    <t>HTR1D</t>
  </si>
  <si>
    <t>ENSG00000204219.10</t>
  </si>
  <si>
    <t>TCEA3</t>
  </si>
  <si>
    <t>ENSG00000020633.18</t>
  </si>
  <si>
    <t>RUNX3</t>
  </si>
  <si>
    <t>ENSG00000117640.18</t>
  </si>
  <si>
    <t>MTFR1L</t>
  </si>
  <si>
    <t>ENSG00000117632.23</t>
  </si>
  <si>
    <t>STMN1</t>
  </si>
  <si>
    <t>ENSG00000158246.8</t>
  </si>
  <si>
    <t>TENT5B</t>
  </si>
  <si>
    <t>ENSG00000188060.7</t>
  </si>
  <si>
    <t>RAB42</t>
  </si>
  <si>
    <t>ENSG00000116329.11</t>
  </si>
  <si>
    <t>OPRD1</t>
  </si>
  <si>
    <t>ENSG00000253304.2</t>
  </si>
  <si>
    <t>TMEM200B</t>
  </si>
  <si>
    <t>ENSG00000162512.16</t>
  </si>
  <si>
    <t>SDC3</t>
  </si>
  <si>
    <t>ENSG00000121766.15</t>
  </si>
  <si>
    <t>ZCCHC17</t>
  </si>
  <si>
    <t>ENSG00000160050.14</t>
  </si>
  <si>
    <t>CCDC28B</t>
  </si>
  <si>
    <t>ENSG00000160051.11</t>
  </si>
  <si>
    <t>IQCC</t>
  </si>
  <si>
    <t>ENSG00000182866.17</t>
  </si>
  <si>
    <t>LCK</t>
  </si>
  <si>
    <t>ENSG00000116478.12</t>
  </si>
  <si>
    <t>HDAC1</t>
  </si>
  <si>
    <t>ENSG00000175130.7</t>
  </si>
  <si>
    <t>MARCKSL1</t>
  </si>
  <si>
    <t>ENSG00000134684.10</t>
  </si>
  <si>
    <t>YARS</t>
  </si>
  <si>
    <t>ENSG00000020129.16</t>
  </si>
  <si>
    <t>NCDN</t>
  </si>
  <si>
    <t>ENSG00000142686.8</t>
  </si>
  <si>
    <t>C1orf216</t>
  </si>
  <si>
    <t>ENSG00000092853.14</t>
  </si>
  <si>
    <t>CLSPN</t>
  </si>
  <si>
    <t>ENSG00000204084.13</t>
  </si>
  <si>
    <t>INPP5B</t>
  </si>
  <si>
    <t>ENSG00000174574.16</t>
  </si>
  <si>
    <t>AKIRIN1</t>
  </si>
  <si>
    <t>ENSG00000168389.17</t>
  </si>
  <si>
    <t>MFSD2A</t>
  </si>
  <si>
    <t>ENSG00000131238.17</t>
  </si>
  <si>
    <t>PPT1</t>
  </si>
  <si>
    <t>ENSG00000171960.11</t>
  </si>
  <si>
    <t>PPIH</t>
  </si>
  <si>
    <t>ENSG00000065978.19</t>
  </si>
  <si>
    <t>YBX1</t>
  </si>
  <si>
    <t>ENSG00000164007.10</t>
  </si>
  <si>
    <t>CLDN19</t>
  </si>
  <si>
    <t>ENSG00000117385.15</t>
  </si>
  <si>
    <t>P3H1</t>
  </si>
  <si>
    <t>ENSG00000159588.15</t>
  </si>
  <si>
    <t>CCDC17</t>
  </si>
  <si>
    <t>ENSG00000269113.4</t>
  </si>
  <si>
    <t>TRABD2B</t>
  </si>
  <si>
    <t>ENSG00000134716.11</t>
  </si>
  <si>
    <t>CYP2J2</t>
  </si>
  <si>
    <t>ENSG00000132849.20</t>
  </si>
  <si>
    <t>PATJ</t>
  </si>
  <si>
    <t>ENSG00000116675.16</t>
  </si>
  <si>
    <t>DNAJC6</t>
  </si>
  <si>
    <t>ENSG00000116678.19</t>
  </si>
  <si>
    <t>LEPR</t>
  </si>
  <si>
    <t>ENSG00000117114.19</t>
  </si>
  <si>
    <t>ADGRL2</t>
  </si>
  <si>
    <t>ENSG00000137941.17</t>
  </si>
  <si>
    <t>TTLL7</t>
  </si>
  <si>
    <t>ENSG00000142875.19</t>
  </si>
  <si>
    <t>PRKACB</t>
  </si>
  <si>
    <t>ENSG00000142871.17</t>
  </si>
  <si>
    <t>CCN1</t>
  </si>
  <si>
    <t>ENSG00000117228.10</t>
  </si>
  <si>
    <t>GBP1</t>
  </si>
  <si>
    <t>ENSG00000171488.15</t>
  </si>
  <si>
    <t>LRRC8C</t>
  </si>
  <si>
    <t>ENSG00000137962.13</t>
  </si>
  <si>
    <t>ARHGAP29</t>
  </si>
  <si>
    <t>ENSG00000117519.16</t>
  </si>
  <si>
    <t>CNN3</t>
  </si>
  <si>
    <t>ENSG00000188641.13</t>
  </si>
  <si>
    <t>DPYD</t>
  </si>
  <si>
    <t>ENSG00000156876.10</t>
  </si>
  <si>
    <t>SASS6</t>
  </si>
  <si>
    <t>ENSG00000162694.14</t>
  </si>
  <si>
    <t>EXTL2</t>
  </si>
  <si>
    <t>ENSG00000162636.16</t>
  </si>
  <si>
    <t>FAM102B</t>
  </si>
  <si>
    <t>ENSG00000031698.13</t>
  </si>
  <si>
    <t>SARS</t>
  </si>
  <si>
    <t>ENSG00000163393.13</t>
  </si>
  <si>
    <t>SLC22A15</t>
  </si>
  <si>
    <t>ENSG00000188610.12</t>
  </si>
  <si>
    <t>FAM72B</t>
  </si>
  <si>
    <t>ENSG00000014914.21</t>
  </si>
  <si>
    <t>MTMR11</t>
  </si>
  <si>
    <t>ENSG00000143374.17</t>
  </si>
  <si>
    <t>TARS2</t>
  </si>
  <si>
    <t>ENSG00000163131.11</t>
  </si>
  <si>
    <t>CTSS</t>
  </si>
  <si>
    <t>ENSG00000143412.10</t>
  </si>
  <si>
    <t>ANXA9</t>
  </si>
  <si>
    <t>ENSG00000143450.16</t>
  </si>
  <si>
    <t>OAZ3</t>
  </si>
  <si>
    <t>ENSG00000143570.18</t>
  </si>
  <si>
    <t>SLC39A1</t>
  </si>
  <si>
    <t>ENSG00000163344.6</t>
  </si>
  <si>
    <t>PMVK</t>
  </si>
  <si>
    <t>ENSG00000163346.17</t>
  </si>
  <si>
    <t>PBXIP1</t>
  </si>
  <si>
    <t>ENSG00000160685.13</t>
  </si>
  <si>
    <t>ZBTB7B</t>
  </si>
  <si>
    <t>ENSG00000179085.7</t>
  </si>
  <si>
    <t>DPM3</t>
  </si>
  <si>
    <t>ENSG00000163462.18</t>
  </si>
  <si>
    <t>TRIM46</t>
  </si>
  <si>
    <t>ENSG00000160789.20</t>
  </si>
  <si>
    <t>LMNA</t>
  </si>
  <si>
    <t>ENSG00000132688.11</t>
  </si>
  <si>
    <t>NES</t>
  </si>
  <si>
    <t>ENSG00000162738.6</t>
  </si>
  <si>
    <t>VANGL2</t>
  </si>
  <si>
    <t>ENSG00000158769.18</t>
  </si>
  <si>
    <t>F11R</t>
  </si>
  <si>
    <t>ENSG00000158869.11</t>
  </si>
  <si>
    <t>FCER1G</t>
  </si>
  <si>
    <t>ENSG00000198929.13</t>
  </si>
  <si>
    <t>NOS1AP</t>
  </si>
  <si>
    <t>ENSG00000132196.14</t>
  </si>
  <si>
    <t>HSD17B7</t>
  </si>
  <si>
    <t>ENSG00000143149.12</t>
  </si>
  <si>
    <t>ALDH9A1</t>
  </si>
  <si>
    <t>ENSG00000143147.14</t>
  </si>
  <si>
    <t>GPR161</t>
  </si>
  <si>
    <t>ENSG00000000460.17</t>
  </si>
  <si>
    <t>C1orf112</t>
  </si>
  <si>
    <t>ENSG00000116161.17</t>
  </si>
  <si>
    <t>CACYBP</t>
  </si>
  <si>
    <t>ENSG00000057252.13</t>
  </si>
  <si>
    <t>SOAT1</t>
  </si>
  <si>
    <t>ENSG00000230124.8</t>
  </si>
  <si>
    <t>ACBD6</t>
  </si>
  <si>
    <t>ENSG00000162783.10</t>
  </si>
  <si>
    <t>IER5</t>
  </si>
  <si>
    <t>ENSG00000116701.14</t>
  </si>
  <si>
    <t>NCF2</t>
  </si>
  <si>
    <t>ENSG00000121481.11</t>
  </si>
  <si>
    <t>RNF2</t>
  </si>
  <si>
    <t>ENSG00000077152.10</t>
  </si>
  <si>
    <t>UBE2T</t>
  </si>
  <si>
    <t>ENSG00000058668.14</t>
  </si>
  <si>
    <t>ATP2B4</t>
  </si>
  <si>
    <t>ENSG00000198625.13</t>
  </si>
  <si>
    <t>MDM4</t>
  </si>
  <si>
    <t>ENSG00000133069.17</t>
  </si>
  <si>
    <t>TMCC2</t>
  </si>
  <si>
    <t>ENSG00000196188.11</t>
  </si>
  <si>
    <t>CTSE</t>
  </si>
  <si>
    <t>ENSG00000076356.7</t>
  </si>
  <si>
    <t>PLXNA2</t>
  </si>
  <si>
    <t>ENSG00000117650.13</t>
  </si>
  <si>
    <t>NEK2</t>
  </si>
  <si>
    <t>ENSG00000162817.7</t>
  </si>
  <si>
    <t>C1orf115</t>
  </si>
  <si>
    <t>ENSG00000143507.18</t>
  </si>
  <si>
    <t>DUSP10</t>
  </si>
  <si>
    <t>ENSG00000186063.13</t>
  </si>
  <si>
    <t>AIDA</t>
  </si>
  <si>
    <t>ENSG00000143753.13</t>
  </si>
  <si>
    <t>DEGS1</t>
  </si>
  <si>
    <t>ENSG00000163050.17</t>
  </si>
  <si>
    <t>COQ8A</t>
  </si>
  <si>
    <t>ENSG00000154429.11</t>
  </si>
  <si>
    <t>CCSAP</t>
  </si>
  <si>
    <t>ENSG00000077585.14</t>
  </si>
  <si>
    <t>GPR137B</t>
  </si>
  <si>
    <t>ENSG00000117020.17</t>
  </si>
  <si>
    <t>AKT3</t>
  </si>
  <si>
    <t>ENSG00000197472.15</t>
  </si>
  <si>
    <t>ZNF695</t>
  </si>
  <si>
    <t>ENSG00000171848.15</t>
  </si>
  <si>
    <t>RRM2</t>
  </si>
  <si>
    <t>ENSG00000115758.13</t>
  </si>
  <si>
    <t>ODC1</t>
  </si>
  <si>
    <t>ENSG00000071575.11</t>
  </si>
  <si>
    <t>TRIB2</t>
  </si>
  <si>
    <t>ENSG00000118960.13</t>
  </si>
  <si>
    <t>HS1BP3</t>
  </si>
  <si>
    <t>ENSG00000143869.7</t>
  </si>
  <si>
    <t>GDF7</t>
  </si>
  <si>
    <t>ENSG00000084731.15</t>
  </si>
  <si>
    <t>KIF3C</t>
  </si>
  <si>
    <t>ENSG00000173567.15</t>
  </si>
  <si>
    <t>ADGRF3</t>
  </si>
  <si>
    <t>ENSG00000115194.10</t>
  </si>
  <si>
    <t>SLC30A3</t>
  </si>
  <si>
    <t>ENSG00000158019.20</t>
  </si>
  <si>
    <t>BABAM2</t>
  </si>
  <si>
    <t>ENSG00000172954.13</t>
  </si>
  <si>
    <t>LCLAT1</t>
  </si>
  <si>
    <t>ENSG00000150938.10</t>
  </si>
  <si>
    <t>CRIM1</t>
  </si>
  <si>
    <t>ENSG00000188010.14</t>
  </si>
  <si>
    <t>MORN2</t>
  </si>
  <si>
    <t>ENSG00000057935.13</t>
  </si>
  <si>
    <t>MTA3</t>
  </si>
  <si>
    <t>ENSG00000152527.14</t>
  </si>
  <si>
    <t>PLEKHH2</t>
  </si>
  <si>
    <t>ENSG00000223658.8</t>
  </si>
  <si>
    <t>C1GALT1C1L</t>
  </si>
  <si>
    <t>ENSG00000143921.8</t>
  </si>
  <si>
    <t>ABCG8</t>
  </si>
  <si>
    <t>ENSG00000151665.12</t>
  </si>
  <si>
    <t>PIGF</t>
  </si>
  <si>
    <t>ENSG00000243244.6</t>
  </si>
  <si>
    <t>STON1</t>
  </si>
  <si>
    <t>ENSG00000162924.14</t>
  </si>
  <si>
    <t>REL</t>
  </si>
  <si>
    <t>ENSG00000170264.13</t>
  </si>
  <si>
    <t>FAM161A</t>
  </si>
  <si>
    <t>ENSG00000196975.16</t>
  </si>
  <si>
    <t>ANXA4</t>
  </si>
  <si>
    <t>ENSG00000116035.4</t>
  </si>
  <si>
    <t>VAX2</t>
  </si>
  <si>
    <t>ENSG00000003137.8</t>
  </si>
  <si>
    <t>CYP26B1</t>
  </si>
  <si>
    <t>ENSG00000135638.13</t>
  </si>
  <si>
    <t>EMX1</t>
  </si>
  <si>
    <t>ENSG00000144040.12</t>
  </si>
  <si>
    <t>SFXN5</t>
  </si>
  <si>
    <t>ENSG00000163013.11</t>
  </si>
  <si>
    <t>FBXO41</t>
  </si>
  <si>
    <t>ENSG00000163170.12</t>
  </si>
  <si>
    <t>BOLA3</t>
  </si>
  <si>
    <t>ENSG00000115297.11</t>
  </si>
  <si>
    <t>TLX2</t>
  </si>
  <si>
    <t>ENSG00000115318.12</t>
  </si>
  <si>
    <t>LOXL3</t>
  </si>
  <si>
    <t>ENSG00000115325.13</t>
  </si>
  <si>
    <t>DOK1</t>
  </si>
  <si>
    <t>ENSG00000186854.11</t>
  </si>
  <si>
    <t>TRABD2A</t>
  </si>
  <si>
    <t>ENSG00000034510.6</t>
  </si>
  <si>
    <t>TMSB10</t>
  </si>
  <si>
    <t>ENSG00000168874.13</t>
  </si>
  <si>
    <t>ATOH8</t>
  </si>
  <si>
    <t>ENSG00000153561.13</t>
  </si>
  <si>
    <t>RMND5A</t>
  </si>
  <si>
    <t>ENSG00000075568.17</t>
  </si>
  <si>
    <t>TMEM131</t>
  </si>
  <si>
    <t>ENSG00000115590.14</t>
  </si>
  <si>
    <t>IL1R2</t>
  </si>
  <si>
    <t>ENSG00000115604.10</t>
  </si>
  <si>
    <t>IL18R1</t>
  </si>
  <si>
    <t>ENSG00000135966.13</t>
  </si>
  <si>
    <t>TGFBRAP1</t>
  </si>
  <si>
    <t>ENSG00000115641.19</t>
  </si>
  <si>
    <t>FHL2</t>
  </si>
  <si>
    <t>ENSG00000198203.10</t>
  </si>
  <si>
    <t>SULT1C2</t>
  </si>
  <si>
    <t>ENSG00000172985.10</t>
  </si>
  <si>
    <t>SH3RF3</t>
  </si>
  <si>
    <t>ENSG00000136720.7</t>
  </si>
  <si>
    <t>HS6ST1</t>
  </si>
  <si>
    <t>ENSG00000121966.6</t>
  </si>
  <si>
    <t>CXCR4</t>
  </si>
  <si>
    <t>ENSG00000123609.10</t>
  </si>
  <si>
    <t>NMI</t>
  </si>
  <si>
    <t>ENSG00000153237.17</t>
  </si>
  <si>
    <t>CCDC148</t>
  </si>
  <si>
    <t>ENSG00000196151.10</t>
  </si>
  <si>
    <t>WDSUB1</t>
  </si>
  <si>
    <t>ENSG00000241399.7</t>
  </si>
  <si>
    <t>CD302</t>
  </si>
  <si>
    <t>ENSG00000115267.7</t>
  </si>
  <si>
    <t>IFIH1</t>
  </si>
  <si>
    <t>ENSG00000172318.5</t>
  </si>
  <si>
    <t>B3GALT1</t>
  </si>
  <si>
    <t>ENSG00000152253.9</t>
  </si>
  <si>
    <t>SPC25</t>
  </si>
  <si>
    <t>ENSG00000213160.10</t>
  </si>
  <si>
    <t>KLHL23</t>
  </si>
  <si>
    <t>ENSG00000138382.15</t>
  </si>
  <si>
    <t>METTL5</t>
  </si>
  <si>
    <t>ENSG00000115827.14</t>
  </si>
  <si>
    <t>DCAF17</t>
  </si>
  <si>
    <t>ENSG00000071967.12</t>
  </si>
  <si>
    <t>CYBRD1</t>
  </si>
  <si>
    <t>ENSG00000115840.14</t>
  </si>
  <si>
    <t>SLC25A12</t>
  </si>
  <si>
    <t>ENSG00000128708.13</t>
  </si>
  <si>
    <t>HAT1</t>
  </si>
  <si>
    <t>ENSG00000144355.15</t>
  </si>
  <si>
    <t>DLX1</t>
  </si>
  <si>
    <t>ENSG00000128652.11</t>
  </si>
  <si>
    <t>HOXD3</t>
  </si>
  <si>
    <t>ENSG00000128655.18</t>
  </si>
  <si>
    <t>PDE11A</t>
  </si>
  <si>
    <t>ENSG00000150722.10</t>
  </si>
  <si>
    <t>PPP1R1C</t>
  </si>
  <si>
    <t>ENSG00000151687.14</t>
  </si>
  <si>
    <t>ANKAR</t>
  </si>
  <si>
    <t>ENSG00000168497.5</t>
  </si>
  <si>
    <t>CAVIN2</t>
  </si>
  <si>
    <t>ENSG00000119041.11</t>
  </si>
  <si>
    <t>GTF3C3</t>
  </si>
  <si>
    <t>ENSG00000119042.17</t>
  </si>
  <si>
    <t>SATB2</t>
  </si>
  <si>
    <t>ENSG00000196290.15</t>
  </si>
  <si>
    <t>NIF3L1</t>
  </si>
  <si>
    <t>ENSG00000116117.18</t>
  </si>
  <si>
    <t>PARD3B</t>
  </si>
  <si>
    <t>ENSG00000138400.13</t>
  </si>
  <si>
    <t>MDH1B</t>
  </si>
  <si>
    <t>ENSG00000115365.11</t>
  </si>
  <si>
    <t>LANCL1</t>
  </si>
  <si>
    <t>ENSG00000163449.11</t>
  </si>
  <si>
    <t>TMEM169</t>
  </si>
  <si>
    <t>ENSG00000115596.4</t>
  </si>
  <si>
    <t>WNT6</t>
  </si>
  <si>
    <t>ENSG00000171450.5</t>
  </si>
  <si>
    <t>CDK5R2</t>
  </si>
  <si>
    <t>ENSG00000114923.17</t>
  </si>
  <si>
    <t>SLC4A3</t>
  </si>
  <si>
    <t>ENSG00000124003.12</t>
  </si>
  <si>
    <t>MOGAT1</t>
  </si>
  <si>
    <t>ENSG00000123983.14</t>
  </si>
  <si>
    <t>ACSL3</t>
  </si>
  <si>
    <t>ENSG00000042304.11</t>
  </si>
  <si>
    <t>C2orf83</t>
  </si>
  <si>
    <t>ENSG00000115009.13</t>
  </si>
  <si>
    <t>CCL20</t>
  </si>
  <si>
    <t>ENSG00000153823.18</t>
  </si>
  <si>
    <t>PID1</t>
  </si>
  <si>
    <t>ENSG00000115468.12</t>
  </si>
  <si>
    <t>EFHD1</t>
  </si>
  <si>
    <t>ENSG00000168918.14</t>
  </si>
  <si>
    <t>INPP5D</t>
  </si>
  <si>
    <t>ENSG00000123485.12</t>
  </si>
  <si>
    <t>HJURP</t>
  </si>
  <si>
    <t>ENSG00000188042.8</t>
  </si>
  <si>
    <t>ARL4C</t>
  </si>
  <si>
    <t>ENSG00000180902.18</t>
  </si>
  <si>
    <t>D2HGDH</t>
  </si>
  <si>
    <t>ENSG00000134107.4</t>
  </si>
  <si>
    <t>BHLHE40</t>
  </si>
  <si>
    <t>ENSG00000180914.10</t>
  </si>
  <si>
    <t>OXTR</t>
  </si>
  <si>
    <t>ENSG00000070950.10</t>
  </si>
  <si>
    <t>RAD18</t>
  </si>
  <si>
    <t>ENSG00000156959.9</t>
  </si>
  <si>
    <t>LHFPL4</t>
  </si>
  <si>
    <t>ENSG00000144554.10</t>
  </si>
  <si>
    <t>FANCD2</t>
  </si>
  <si>
    <t>ENSG00000197548.12</t>
  </si>
  <si>
    <t>ATG7</t>
  </si>
  <si>
    <t>ENSG00000144711.16</t>
  </si>
  <si>
    <t>IQSEC1</t>
  </si>
  <si>
    <t>ENSG00000163517.15</t>
  </si>
  <si>
    <t>HDAC11</t>
  </si>
  <si>
    <t>ENSG00000182568.17</t>
  </si>
  <si>
    <t>SATB1</t>
  </si>
  <si>
    <t>ENSG00000174738.13</t>
  </si>
  <si>
    <t>NR1D2</t>
  </si>
  <si>
    <t>ENSG00000163491.16</t>
  </si>
  <si>
    <t>NEK10</t>
  </si>
  <si>
    <t>ENSG00000033867.16</t>
  </si>
  <si>
    <t>SLC4A7</t>
  </si>
  <si>
    <t>ENSG00000152642.10</t>
  </si>
  <si>
    <t>GPD1L</t>
  </si>
  <si>
    <t>ENSG00000183873.15</t>
  </si>
  <si>
    <t>SCN5A</t>
  </si>
  <si>
    <t>ENSG00000114853.14</t>
  </si>
  <si>
    <t>ZBTB47</t>
  </si>
  <si>
    <t>ENSG00000163814.8</t>
  </si>
  <si>
    <t>CDCP1</t>
  </si>
  <si>
    <t>ENSG00000249992.1</t>
  </si>
  <si>
    <t>TMEM158</t>
  </si>
  <si>
    <t>ENSG00000163820.15</t>
  </si>
  <si>
    <t>FYCO1</t>
  </si>
  <si>
    <t>ENSG00000241186.10</t>
  </si>
  <si>
    <t>TDGF1</t>
  </si>
  <si>
    <t>ENSG00000088727.12</t>
  </si>
  <si>
    <t>KIF9</t>
  </si>
  <si>
    <t>ENSG00000164051.14</t>
  </si>
  <si>
    <t>CCDC51</t>
  </si>
  <si>
    <t>ENSG00000114268.12</t>
  </si>
  <si>
    <t>PFKFB4</t>
  </si>
  <si>
    <t>ENSG00000173531.15</t>
  </si>
  <si>
    <t>MST1</t>
  </si>
  <si>
    <t>ENSG00000164076.17</t>
  </si>
  <si>
    <t>CAMKV</t>
  </si>
  <si>
    <t>ENSG00000012171.19</t>
  </si>
  <si>
    <t>SEMA3B</t>
  </si>
  <si>
    <t>ENSG00000090097.21</t>
  </si>
  <si>
    <t>PCBP4</t>
  </si>
  <si>
    <t>ENSG00000163931.16</t>
  </si>
  <si>
    <t>TKT</t>
  </si>
  <si>
    <t>ENSG00000168291.13</t>
  </si>
  <si>
    <t>PDHB</t>
  </si>
  <si>
    <t>ENSG00000163638.13</t>
  </si>
  <si>
    <t>ADAMTS9</t>
  </si>
  <si>
    <t>ENSG00000163376.11</t>
  </si>
  <si>
    <t>KBTBD8</t>
  </si>
  <si>
    <t>ENSG00000181458.10</t>
  </si>
  <si>
    <t>TMEM45A</t>
  </si>
  <si>
    <t>ENSG00000114446.5</t>
  </si>
  <si>
    <t>IFT57</t>
  </si>
  <si>
    <t>ENSG00000163507.14</t>
  </si>
  <si>
    <t>CIP2A</t>
  </si>
  <si>
    <t>ENSG00000184307.15</t>
  </si>
  <si>
    <t>ZDHHC23</t>
  </si>
  <si>
    <t>ENSG00000181722.16</t>
  </si>
  <si>
    <t>ZBTB20</t>
  </si>
  <si>
    <t>ENSG00000082701.15</t>
  </si>
  <si>
    <t>GSK3B</t>
  </si>
  <si>
    <t>ENSG00000169087.11</t>
  </si>
  <si>
    <t>HSPBAP1</t>
  </si>
  <si>
    <t>ENSG00000144908.13</t>
  </si>
  <si>
    <t>ALDH1L1</t>
  </si>
  <si>
    <t>ENSG00000070476.15</t>
  </si>
  <si>
    <t>ZXDC</t>
  </si>
  <si>
    <t>ENSG00000129071.9</t>
  </si>
  <si>
    <t>MBD4</t>
  </si>
  <si>
    <t>ENSG00000163913.11</t>
  </si>
  <si>
    <t>IFT122</t>
  </si>
  <si>
    <t>ENSG00000158234.12</t>
  </si>
  <si>
    <t>FAIM</t>
  </si>
  <si>
    <t>ENSG00000163864.17</t>
  </si>
  <si>
    <t>NMNAT3</t>
  </si>
  <si>
    <t>ENSG00000155893.13</t>
  </si>
  <si>
    <t>PXYLP1</t>
  </si>
  <si>
    <t>ENSG00000069849.11</t>
  </si>
  <si>
    <t>ATP1B3</t>
  </si>
  <si>
    <t>ENSG00000114698.15</t>
  </si>
  <si>
    <t>PLSCR4</t>
  </si>
  <si>
    <t>ENSG00000144891.17</t>
  </si>
  <si>
    <t>AGTR1</t>
  </si>
  <si>
    <t>ENSG00000169903.6</t>
  </si>
  <si>
    <t>TM4SF4</t>
  </si>
  <si>
    <t>ENSG00000120742.11</t>
  </si>
  <si>
    <t>SERP1</t>
  </si>
  <si>
    <t>ENSG00000181467.4</t>
  </si>
  <si>
    <t>RAP2B</t>
  </si>
  <si>
    <t>ENSG00000168811.7</t>
  </si>
  <si>
    <t>IL12A</t>
  </si>
  <si>
    <t>ENSG00000180044.5</t>
  </si>
  <si>
    <t>C3orf80</t>
  </si>
  <si>
    <t>ENSG00000163590.14</t>
  </si>
  <si>
    <t>PPM1L</t>
  </si>
  <si>
    <t>ENSG00000184378.3</t>
  </si>
  <si>
    <t>ACTRT3</t>
  </si>
  <si>
    <t>ENSG00000163577.8</t>
  </si>
  <si>
    <t>EIF5A2</t>
  </si>
  <si>
    <t>ENSG00000154310.17</t>
  </si>
  <si>
    <t>TNIK</t>
  </si>
  <si>
    <t>ENSG00000114346.13</t>
  </si>
  <si>
    <t>ECT2</t>
  </si>
  <si>
    <t>ENSG00000136518.17</t>
  </si>
  <si>
    <t>ACTL6A</t>
  </si>
  <si>
    <t>ENSG00000163888.4</t>
  </si>
  <si>
    <t>CAMK2N2</t>
  </si>
  <si>
    <t>ENSG00000163882.9</t>
  </si>
  <si>
    <t>POLR2H</t>
  </si>
  <si>
    <t>ENSG00000113790.11</t>
  </si>
  <si>
    <t>EHHADH</t>
  </si>
  <si>
    <t>ENSG00000058866.15</t>
  </si>
  <si>
    <t>DGKG</t>
  </si>
  <si>
    <t>ENSG00000163918.10</t>
  </si>
  <si>
    <t>RFC4</t>
  </si>
  <si>
    <t>ENSG00000145012.13</t>
  </si>
  <si>
    <t>LPP</t>
  </si>
  <si>
    <t>ENSG00000163975.12</t>
  </si>
  <si>
    <t>MELTF</t>
  </si>
  <si>
    <t>ENSG00000273238.2</t>
  </si>
  <si>
    <t>TMEM271</t>
  </si>
  <si>
    <t>ENSG00000185619.18</t>
  </si>
  <si>
    <t>PCGF3</t>
  </si>
  <si>
    <t>ENSG00000145214.14</t>
  </si>
  <si>
    <t>DGKQ</t>
  </si>
  <si>
    <t>ENSG00000163945.16</t>
  </si>
  <si>
    <t>UVSSA</t>
  </si>
  <si>
    <t>ENSG00000168936.11</t>
  </si>
  <si>
    <t>TMEM129</t>
  </si>
  <si>
    <t>ENSG00000087266.16</t>
  </si>
  <si>
    <t>SH3BP2</t>
  </si>
  <si>
    <t>ENSG00000109758.8</t>
  </si>
  <si>
    <t>HGFAC</t>
  </si>
  <si>
    <t>ENSG00000109667.12</t>
  </si>
  <si>
    <t>SLC2A9</t>
  </si>
  <si>
    <t>ENSG00000048342.16</t>
  </si>
  <si>
    <t>CC2D2A</t>
  </si>
  <si>
    <t>ENSG00000109610.6</t>
  </si>
  <si>
    <t>SOD3</t>
  </si>
  <si>
    <t>ENSG00000181982.18</t>
  </si>
  <si>
    <t>CCDC149</t>
  </si>
  <si>
    <t>ENSG00000157765.13</t>
  </si>
  <si>
    <t>SLC34A2</t>
  </si>
  <si>
    <t>ENSG00000091490.11</t>
  </si>
  <si>
    <t>SEL1L3</t>
  </si>
  <si>
    <t>ENSG00000047365.12</t>
  </si>
  <si>
    <t>ARAP2</t>
  </si>
  <si>
    <t>ENSG00000163697.17</t>
  </si>
  <si>
    <t>APBB2</t>
  </si>
  <si>
    <t>ENSG00000145246.13</t>
  </si>
  <si>
    <t>ATP10D</t>
  </si>
  <si>
    <t>ENSG00000134853.12</t>
  </si>
  <si>
    <t>PDGFRA</t>
  </si>
  <si>
    <t>ENSG00000135220.11</t>
  </si>
  <si>
    <t>UGT2A3</t>
  </si>
  <si>
    <t>ENSG00000171234.14</t>
  </si>
  <si>
    <t>UGT2B7</t>
  </si>
  <si>
    <t>ENSG00000156096.14</t>
  </si>
  <si>
    <t>UGT2B4</t>
  </si>
  <si>
    <t>ENSG00000156136.10</t>
  </si>
  <si>
    <t>DCK</t>
  </si>
  <si>
    <t>ENSG00000163631.17</t>
  </si>
  <si>
    <t>ALB</t>
  </si>
  <si>
    <t>ENSG00000081051.7</t>
  </si>
  <si>
    <t>AFP</t>
  </si>
  <si>
    <t>ENSG00000079557.5</t>
  </si>
  <si>
    <t>AFM</t>
  </si>
  <si>
    <t>ENSG00000163735.7</t>
  </si>
  <si>
    <t>CXCL5</t>
  </si>
  <si>
    <t>ENSG00000081041.9</t>
  </si>
  <si>
    <t>CXCL2</t>
  </si>
  <si>
    <t>ENSG00000138670.17</t>
  </si>
  <si>
    <t>RASGEF1B</t>
  </si>
  <si>
    <t>ENSG00000145287.10</t>
  </si>
  <si>
    <t>PLAC8</t>
  </si>
  <si>
    <t>ENSG00000138642.14</t>
  </si>
  <si>
    <t>HERC6</t>
  </si>
  <si>
    <t>ENSG00000138821.13</t>
  </si>
  <si>
    <t>SLC39A8</t>
  </si>
  <si>
    <t>ENSG00000164023.14</t>
  </si>
  <si>
    <t>SGMS2</t>
  </si>
  <si>
    <t>ENSG00000138802.11</t>
  </si>
  <si>
    <t>SEC24B</t>
  </si>
  <si>
    <t>ENSG00000174749.6</t>
  </si>
  <si>
    <t>FAM241A</t>
  </si>
  <si>
    <t>ENSG00000164109.14</t>
  </si>
  <si>
    <t>MAD2L1</t>
  </si>
  <si>
    <t>ENSG00000164111.15</t>
  </si>
  <si>
    <t>ANXA5</t>
  </si>
  <si>
    <t>ENSG00000196159.11</t>
  </si>
  <si>
    <t>FAT4</t>
  </si>
  <si>
    <t>ENSG00000142731.11</t>
  </si>
  <si>
    <t>PLK4</t>
  </si>
  <si>
    <t>ENSG00000164136.17</t>
  </si>
  <si>
    <t>IL15</t>
  </si>
  <si>
    <t>ENSG00000151612.16</t>
  </si>
  <si>
    <t>ZNF827</t>
  </si>
  <si>
    <t>ENSG00000109670.15</t>
  </si>
  <si>
    <t>FBXW7</t>
  </si>
  <si>
    <t>ENSG00000137460.8</t>
  </si>
  <si>
    <t>FHDC1</t>
  </si>
  <si>
    <t>ENSG00000145431.11</t>
  </si>
  <si>
    <t>PDGFC</t>
  </si>
  <si>
    <t>ENSG00000168843.14</t>
  </si>
  <si>
    <t>FSTL5</t>
  </si>
  <si>
    <t>ENSG00000109674.4</t>
  </si>
  <si>
    <t>NEIL3</t>
  </si>
  <si>
    <t>ENSG00000168556.7</t>
  </si>
  <si>
    <t>ING2</t>
  </si>
  <si>
    <t>ENSG00000151725.12</t>
  </si>
  <si>
    <t>CENPU</t>
  </si>
  <si>
    <t>ENSG00000088926.13</t>
  </si>
  <si>
    <t>F11</t>
  </si>
  <si>
    <t>ENSG00000073578.17</t>
  </si>
  <si>
    <t>SDHA</t>
  </si>
  <si>
    <t>ENSG00000188818.12</t>
  </si>
  <si>
    <t>ZDHHC11</t>
  </si>
  <si>
    <t>ENSG00000113504.21</t>
  </si>
  <si>
    <t>SLC12A7</t>
  </si>
  <si>
    <t>ENSG00000153395.10</t>
  </si>
  <si>
    <t>LPCAT1</t>
  </si>
  <si>
    <t>ENSG00000145545.12</t>
  </si>
  <si>
    <t>SRD5A1</t>
  </si>
  <si>
    <t>ENSG00000164236.12</t>
  </si>
  <si>
    <t>ANKRD33B</t>
  </si>
  <si>
    <t>ENSG00000168724.16</t>
  </si>
  <si>
    <t>DNAJC21</t>
  </si>
  <si>
    <t>ENSG00000113569.16</t>
  </si>
  <si>
    <t>NUP155</t>
  </si>
  <si>
    <t>ENSG00000153071.15</t>
  </si>
  <si>
    <t>DAB2</t>
  </si>
  <si>
    <t>ENSG00000171522.6</t>
  </si>
  <si>
    <t>PTGER4</t>
  </si>
  <si>
    <t>ENSG00000132357.14</t>
  </si>
  <si>
    <t>CARD6</t>
  </si>
  <si>
    <t>ENSG00000112936.18</t>
  </si>
  <si>
    <t>C7</t>
  </si>
  <si>
    <t>ENSG00000083720.13</t>
  </si>
  <si>
    <t>OXCT1</t>
  </si>
  <si>
    <t>ENSG00000134363.12</t>
  </si>
  <si>
    <t>FST</t>
  </si>
  <si>
    <t>ENSG00000234602.7</t>
  </si>
  <si>
    <t>MCIDAS</t>
  </si>
  <si>
    <t>ENSG00000152669.9</t>
  </si>
  <si>
    <t>CCNO</t>
  </si>
  <si>
    <t>ENSG00000164181.14</t>
  </si>
  <si>
    <t>ELOVL7</t>
  </si>
  <si>
    <t>ENSG00000049192.15</t>
  </si>
  <si>
    <t>ADAMTS6</t>
  </si>
  <si>
    <t>ENSG00000153044.10</t>
  </si>
  <si>
    <t>CENPH</t>
  </si>
  <si>
    <t>ENSG00000183323.12</t>
  </si>
  <si>
    <t>CCDC125</t>
  </si>
  <si>
    <t>ENSG00000205571.13</t>
  </si>
  <si>
    <t>SMN2</t>
  </si>
  <si>
    <t>ENSG00000214944.9</t>
  </si>
  <si>
    <t>ARHGEF28</t>
  </si>
  <si>
    <t>ENSG00000198780.12</t>
  </si>
  <si>
    <t>FAM169A</t>
  </si>
  <si>
    <t>ENSG00000164251.5</t>
  </si>
  <si>
    <t>F2RL1</t>
  </si>
  <si>
    <t>ENSG00000164253.14</t>
  </si>
  <si>
    <t>WDR41</t>
  </si>
  <si>
    <t>ENSG00000132840.10</t>
  </si>
  <si>
    <t>BHMT2</t>
  </si>
  <si>
    <t>ENSG00000145692.15</t>
  </si>
  <si>
    <t>BHMT</t>
  </si>
  <si>
    <t>ENSG00000228716.7</t>
  </si>
  <si>
    <t>DHFR</t>
  </si>
  <si>
    <t>ENSG00000176055.10</t>
  </si>
  <si>
    <t>MBLAC2</t>
  </si>
  <si>
    <t>ENSG00000248483.6</t>
  </si>
  <si>
    <t>POU5F2</t>
  </si>
  <si>
    <t>ENSG00000133302.13</t>
  </si>
  <si>
    <t>SLF1</t>
  </si>
  <si>
    <t>ENSG00000164308.16</t>
  </si>
  <si>
    <t>ERAP2</t>
  </si>
  <si>
    <t>ENSG00000171444.18</t>
  </si>
  <si>
    <t>MCC</t>
  </si>
  <si>
    <t>ENSG00000152503.9</t>
  </si>
  <si>
    <t>TRIM36</t>
  </si>
  <si>
    <t>ENSG00000129596.5</t>
  </si>
  <si>
    <t>CDO1</t>
  </si>
  <si>
    <t>ENSG00000064652.11</t>
  </si>
  <si>
    <t>SNX24</t>
  </si>
  <si>
    <t>ENSG00000168916.15</t>
  </si>
  <si>
    <t>ZNF608</t>
  </si>
  <si>
    <t>ENSG00000064651.14</t>
  </si>
  <si>
    <t>SLC12A2</t>
  </si>
  <si>
    <t>ENSG00000198108.4</t>
  </si>
  <si>
    <t>CHSY3</t>
  </si>
  <si>
    <t>ENSG00000186687.16</t>
  </si>
  <si>
    <t>LYRM7</t>
  </si>
  <si>
    <t>ENSG00000053108.17</t>
  </si>
  <si>
    <t>FSTL4</t>
  </si>
  <si>
    <t>ENSG00000113583.8</t>
  </si>
  <si>
    <t>C5orf15</t>
  </si>
  <si>
    <t>ENSG00000237190.4</t>
  </si>
  <si>
    <t>CDKN2AIPNL</t>
  </si>
  <si>
    <t>ENSG00000112981.5</t>
  </si>
  <si>
    <t>NME5</t>
  </si>
  <si>
    <t>ENSG00000146013.11</t>
  </si>
  <si>
    <t>GFRA3</t>
  </si>
  <si>
    <t>ENSG00000120709.11</t>
  </si>
  <si>
    <t>FAM53C</t>
  </si>
  <si>
    <t>ENSG00000113070.8</t>
  </si>
  <si>
    <t>HBEGF</t>
  </si>
  <si>
    <t>ENSG00000176087.15</t>
  </si>
  <si>
    <t>SLC35A4</t>
  </si>
  <si>
    <t>ENSG00000113248.6</t>
  </si>
  <si>
    <t>PCDHB15</t>
  </si>
  <si>
    <t>ENSG00000253537.3</t>
  </si>
  <si>
    <t>PCDHGA7</t>
  </si>
  <si>
    <t>ENSG00000254122.2</t>
  </si>
  <si>
    <t>PCDHGB7</t>
  </si>
  <si>
    <t>ENSG00000120318.16</t>
  </si>
  <si>
    <t>ARAP3</t>
  </si>
  <si>
    <t>ENSG00000156453.13</t>
  </si>
  <si>
    <t>PCDH1</t>
  </si>
  <si>
    <t>ENSG00000164266.10</t>
  </si>
  <si>
    <t>SPINK1</t>
  </si>
  <si>
    <t>ENSG00000173210.19</t>
  </si>
  <si>
    <t>ABLIM3</t>
  </si>
  <si>
    <t>ENSG00000157510.14</t>
  </si>
  <si>
    <t>AFAP1L1</t>
  </si>
  <si>
    <t>ENSG00000019582.15</t>
  </si>
  <si>
    <t>CD74</t>
  </si>
  <si>
    <t>ENSG00000145908.12</t>
  </si>
  <si>
    <t>ZNF300</t>
  </si>
  <si>
    <t>ENSG00000145901.15</t>
  </si>
  <si>
    <t>TNIP1</t>
  </si>
  <si>
    <t>ENSG00000113140.11</t>
  </si>
  <si>
    <t>SPARC</t>
  </si>
  <si>
    <t>ENSG00000113328.19</t>
  </si>
  <si>
    <t>CCNG1</t>
  </si>
  <si>
    <t>ENSG00000087206.17</t>
  </si>
  <si>
    <t>UIMC1</t>
  </si>
  <si>
    <t>ENSG00000146094.14</t>
  </si>
  <si>
    <t>DOK3</t>
  </si>
  <si>
    <t>ENSG00000175309.15</t>
  </si>
  <si>
    <t>PHYKPL</t>
  </si>
  <si>
    <t>ENSG00000146054.18</t>
  </si>
  <si>
    <t>TRIM7</t>
  </si>
  <si>
    <t>ENSG00000137273.5</t>
  </si>
  <si>
    <t>FOXF2</t>
  </si>
  <si>
    <t>ENSG00000054598.8</t>
  </si>
  <si>
    <t>FOXC1</t>
  </si>
  <si>
    <t>ENSG00000137267.6</t>
  </si>
  <si>
    <t>TUBB2A</t>
  </si>
  <si>
    <t>ENSG00000219607.3</t>
  </si>
  <si>
    <t>PPP1R3G</t>
  </si>
  <si>
    <t>ENSG00000205269.6</t>
  </si>
  <si>
    <t>TMEM170B</t>
  </si>
  <si>
    <t>ENSG00000078401.7</t>
  </si>
  <si>
    <t>EDN1</t>
  </si>
  <si>
    <t>ENSG00000050393.11</t>
  </si>
  <si>
    <t>MCUR1</t>
  </si>
  <si>
    <t>ENSG00000008083.14</t>
  </si>
  <si>
    <t>JARID2</t>
  </si>
  <si>
    <t>ENSG00000112183.15</t>
  </si>
  <si>
    <t>RBM24</t>
  </si>
  <si>
    <t>ENSG00000112186.12</t>
  </si>
  <si>
    <t>CAP2</t>
  </si>
  <si>
    <t>ENSG00000165097.15</t>
  </si>
  <si>
    <t>KDM1B</t>
  </si>
  <si>
    <t>ENSG00000172201.12</t>
  </si>
  <si>
    <t>ID4</t>
  </si>
  <si>
    <t>ENSG00000146049.1</t>
  </si>
  <si>
    <t>KAAG1</t>
  </si>
  <si>
    <t>ENSG00000124568.10</t>
  </si>
  <si>
    <t>SLC17A1</t>
  </si>
  <si>
    <t>ENSG00000010704.18</t>
  </si>
  <si>
    <t>HFE</t>
  </si>
  <si>
    <t>ENSG00000111801.16</t>
  </si>
  <si>
    <t>BTN3A3</t>
  </si>
  <si>
    <t>ENSG00000187987.9</t>
  </si>
  <si>
    <t>ZSCAN23</t>
  </si>
  <si>
    <t>ENSG00000213886.3</t>
  </si>
  <si>
    <t>UBD</t>
  </si>
  <si>
    <t>ENSG00000204681.11</t>
  </si>
  <si>
    <t>GABBR1</t>
  </si>
  <si>
    <t>ENSG00000204642.14</t>
  </si>
  <si>
    <t>HLA-F</t>
  </si>
  <si>
    <t>ENSG00000206503.13</t>
  </si>
  <si>
    <t>HLA-A</t>
  </si>
  <si>
    <t>ENSG00000204616.11</t>
  </si>
  <si>
    <t>TRIM31</t>
  </si>
  <si>
    <t>ENSG00000204614.9</t>
  </si>
  <si>
    <t>TRIM40</t>
  </si>
  <si>
    <t>ENSG00000204613.11</t>
  </si>
  <si>
    <t>TRIM10</t>
  </si>
  <si>
    <t>ENSG00000204610.13</t>
  </si>
  <si>
    <t>TRIM15</t>
  </si>
  <si>
    <t>ENSG00000204590.12</t>
  </si>
  <si>
    <t>GNL1</t>
  </si>
  <si>
    <t>ENSG00000204531.18</t>
  </si>
  <si>
    <t>POU5F1</t>
  </si>
  <si>
    <t>ENSG00000204444.11</t>
  </si>
  <si>
    <t>APOM</t>
  </si>
  <si>
    <t>ENSG00000204439.3</t>
  </si>
  <si>
    <t>C6orf47</t>
  </si>
  <si>
    <t>ENSG00000213719.8</t>
  </si>
  <si>
    <t>CLIC1</t>
  </si>
  <si>
    <t>ENSG00000213654.10</t>
  </si>
  <si>
    <t>GPSM3</t>
  </si>
  <si>
    <t>ENSG00000179344.16</t>
  </si>
  <si>
    <t>HLA-DQB1</t>
  </si>
  <si>
    <t>ENSG00000204267.14</t>
  </si>
  <si>
    <t>TAP2</t>
  </si>
  <si>
    <t>ENSG00000240065.8</t>
  </si>
  <si>
    <t>PSMB9</t>
  </si>
  <si>
    <t>ENSG00000204248.10</t>
  </si>
  <si>
    <t>COL11A2</t>
  </si>
  <si>
    <t>ENSG00000204228.4</t>
  </si>
  <si>
    <t>HSD17B8</t>
  </si>
  <si>
    <t>ENSG00000096433.11</t>
  </si>
  <si>
    <t>ITPR3</t>
  </si>
  <si>
    <t>ENSG00000186577.14</t>
  </si>
  <si>
    <t>SMIM29</t>
  </si>
  <si>
    <t>ENSG00000112033.14</t>
  </si>
  <si>
    <t>PPARD</t>
  </si>
  <si>
    <t>ENSG00000007866.21</t>
  </si>
  <si>
    <t>TEAD3</t>
  </si>
  <si>
    <t>ENSG00000157343.8</t>
  </si>
  <si>
    <t>ARMC12</t>
  </si>
  <si>
    <t>ENSG00000197753.10</t>
  </si>
  <si>
    <t>LHFPL5</t>
  </si>
  <si>
    <t>ENSG00000164626.9</t>
  </si>
  <si>
    <t>KCNK5</t>
  </si>
  <si>
    <t>ENSG00000137218.10</t>
  </si>
  <si>
    <t>FRS3</t>
  </si>
  <si>
    <t>ENSG00000188112.9</t>
  </si>
  <si>
    <t>C6orf132</t>
  </si>
  <si>
    <t>ENSG00000124733.4</t>
  </si>
  <si>
    <t>MEA1</t>
  </si>
  <si>
    <t>ENSG00000124702.18</t>
  </si>
  <si>
    <t>KLHDC3</t>
  </si>
  <si>
    <t>ENSG00000112659.14</t>
  </si>
  <si>
    <t>CUL9</t>
  </si>
  <si>
    <t>ENSG00000112759.18</t>
  </si>
  <si>
    <t>SLC29A1</t>
  </si>
  <si>
    <t>ENSG00000244694.7</t>
  </si>
  <si>
    <t>PTCHD4</t>
  </si>
  <si>
    <t>ENSG00000031691.7</t>
  </si>
  <si>
    <t>CENPQ</t>
  </si>
  <si>
    <t>ENSG00000243955.6</t>
  </si>
  <si>
    <t>GSTA1</t>
  </si>
  <si>
    <t>ENSG00000170899.11</t>
  </si>
  <si>
    <t>GSTA4</t>
  </si>
  <si>
    <t>ENSG00000124743.6</t>
  </si>
  <si>
    <t>KLHL31</t>
  </si>
  <si>
    <t>ENSG00000137251.16</t>
  </si>
  <si>
    <t>TINAG</t>
  </si>
  <si>
    <t>ENSG00000112701.18</t>
  </si>
  <si>
    <t>SENP6</t>
  </si>
  <si>
    <t>ENSG00000118418.14</t>
  </si>
  <si>
    <t>HMGN3</t>
  </si>
  <si>
    <t>ENSG00000135338.14</t>
  </si>
  <si>
    <t>LCA5</t>
  </si>
  <si>
    <t>ENSG00000146242.8</t>
  </si>
  <si>
    <t>TPBG</t>
  </si>
  <si>
    <t>ENSG00000135324.6</t>
  </si>
  <si>
    <t>MRAP2</t>
  </si>
  <si>
    <t>ENSG00000025039.14</t>
  </si>
  <si>
    <t>RRAGD</t>
  </si>
  <si>
    <t>ENSG00000112218.9</t>
  </si>
  <si>
    <t>GPR63</t>
  </si>
  <si>
    <t>ENSG00000112249.14</t>
  </si>
  <si>
    <t>ASCC3</t>
  </si>
  <si>
    <t>ENSG00000009413.15</t>
  </si>
  <si>
    <t>REV3L</t>
  </si>
  <si>
    <t>ENSG00000056972.19</t>
  </si>
  <si>
    <t>TRAF3IP2</t>
  </si>
  <si>
    <t>ENSG00000010810.17</t>
  </si>
  <si>
    <t>FYN</t>
  </si>
  <si>
    <t>ENSG00000111816.8</t>
  </si>
  <si>
    <t>FRK</t>
  </si>
  <si>
    <t>ENSG00000112282.18</t>
  </si>
  <si>
    <t>MED23</t>
  </si>
  <si>
    <t>ENSG00000118523.6</t>
  </si>
  <si>
    <t>CCN2</t>
  </si>
  <si>
    <t>ENSG00000118515.11</t>
  </si>
  <si>
    <t>SGK1</t>
  </si>
  <si>
    <t>ENSG00000118503.15</t>
  </si>
  <si>
    <t>TNFAIP3</t>
  </si>
  <si>
    <t>ENSG00000112379.9</t>
  </si>
  <si>
    <t>ARFGEF3</t>
  </si>
  <si>
    <t>ENSG00000164442.10</t>
  </si>
  <si>
    <t>CITED2</t>
  </si>
  <si>
    <t>ENSG00000112419.14</t>
  </si>
  <si>
    <t>PHACTR2</t>
  </si>
  <si>
    <t>ENSG00000135604.9</t>
  </si>
  <si>
    <t>STX11</t>
  </si>
  <si>
    <t>ENSG00000111961.18</t>
  </si>
  <si>
    <t>SASH1</t>
  </si>
  <si>
    <t>ENSG00000178199.13</t>
  </si>
  <si>
    <t>ZC3H12D</t>
  </si>
  <si>
    <t>ENSG00000131019.11</t>
  </si>
  <si>
    <t>ULBP3</t>
  </si>
  <si>
    <t>ENSG00000131016.17</t>
  </si>
  <si>
    <t>AKAP12</t>
  </si>
  <si>
    <t>ENSG00000146426.18</t>
  </si>
  <si>
    <t>TIAM2</t>
  </si>
  <si>
    <t>ENSG00000112486.16</t>
  </si>
  <si>
    <t>CCR6</t>
  </si>
  <si>
    <t>ENSG00000203690.12</t>
  </si>
  <si>
    <t>TCP10</t>
  </si>
  <si>
    <t>ENSG00000239857.7</t>
  </si>
  <si>
    <t>GET4</t>
  </si>
  <si>
    <t>ENSG00000105963.15</t>
  </si>
  <si>
    <t>ADAP1</t>
  </si>
  <si>
    <t>ENSG00000146540.15</t>
  </si>
  <si>
    <t>C7orf50</t>
  </si>
  <si>
    <t>ENSG00000106263.18</t>
  </si>
  <si>
    <t>EIF3B</t>
  </si>
  <si>
    <t>ENSG00000136295.15</t>
  </si>
  <si>
    <t>TTYH3</t>
  </si>
  <si>
    <t>ENSG00000106305.10</t>
  </si>
  <si>
    <t>AIMP2</t>
  </si>
  <si>
    <t>ENSG00000164654.16</t>
  </si>
  <si>
    <t>MIOS</t>
  </si>
  <si>
    <t>ENSG00000106460.19</t>
  </si>
  <si>
    <t>TMEM106B</t>
  </si>
  <si>
    <t>ENSG00000006468.14</t>
  </si>
  <si>
    <t>ETV1</t>
  </si>
  <si>
    <t>ENSG00000136261.15</t>
  </si>
  <si>
    <t>BZW2</t>
  </si>
  <si>
    <t>ENSG00000106537.8</t>
  </si>
  <si>
    <t>TSPAN13</t>
  </si>
  <si>
    <t>ENSG00000106541.12</t>
  </si>
  <si>
    <t>AGR2</t>
  </si>
  <si>
    <t>ENSG00000106546.14</t>
  </si>
  <si>
    <t>AHR</t>
  </si>
  <si>
    <t>ENSG00000105855.10</t>
  </si>
  <si>
    <t>ITGB8</t>
  </si>
  <si>
    <t>ENSG00000122565.19</t>
  </si>
  <si>
    <t>CBX3</t>
  </si>
  <si>
    <t>ENSG00000005020.13</t>
  </si>
  <si>
    <t>SKAP2</t>
  </si>
  <si>
    <t>ENSG00000106004.5</t>
  </si>
  <si>
    <t>HOXA5</t>
  </si>
  <si>
    <t>ENSG00000106031.8</t>
  </si>
  <si>
    <t>HOXA13</t>
  </si>
  <si>
    <t>ENSG00000146592.17</t>
  </si>
  <si>
    <t>CREB5</t>
  </si>
  <si>
    <t>ENSG00000106066.15</t>
  </si>
  <si>
    <t>CPVL</t>
  </si>
  <si>
    <t>ENSG00000106355.10</t>
  </si>
  <si>
    <t>LSM5</t>
  </si>
  <si>
    <t>ENSG00000122507.20</t>
  </si>
  <si>
    <t>BBS9</t>
  </si>
  <si>
    <t>ENSG00000136271.10</t>
  </si>
  <si>
    <t>DDX56</t>
  </si>
  <si>
    <t>ENSG00000136270.14</t>
  </si>
  <si>
    <t>TBRG4</t>
  </si>
  <si>
    <t>ENSG00000183696.14</t>
  </si>
  <si>
    <t>UPP1</t>
  </si>
  <si>
    <t>ENSG00000132436.11</t>
  </si>
  <si>
    <t>FIGNL1</t>
  </si>
  <si>
    <t>ENSG00000106078.19</t>
  </si>
  <si>
    <t>COBL</t>
  </si>
  <si>
    <t>ENSG00000132432.14</t>
  </si>
  <si>
    <t>SEC61G</t>
  </si>
  <si>
    <t>ENSG00000146648.18</t>
  </si>
  <si>
    <t>EGFR</t>
  </si>
  <si>
    <t>ENSG00000132434.9</t>
  </si>
  <si>
    <t>LANCL2</t>
  </si>
  <si>
    <t>ENSG00000146733.14</t>
  </si>
  <si>
    <t>PSPH</t>
  </si>
  <si>
    <t>ENSG00000198039.11</t>
  </si>
  <si>
    <t>ZNF273</t>
  </si>
  <si>
    <t>ENSG00000146757.13</t>
  </si>
  <si>
    <t>ZNF92</t>
  </si>
  <si>
    <t>ENSG00000188763.4</t>
  </si>
  <si>
    <t>FZD9</t>
  </si>
  <si>
    <t>ENSG00000071462.11</t>
  </si>
  <si>
    <t>BUD23</t>
  </si>
  <si>
    <t>ENSG00000174428.17</t>
  </si>
  <si>
    <t>GTF2IRD2B</t>
  </si>
  <si>
    <t>ENSG00000005471.17</t>
  </si>
  <si>
    <t>ABCB4</t>
  </si>
  <si>
    <t>ENSG00000157214.14</t>
  </si>
  <si>
    <t>STEAP2</t>
  </si>
  <si>
    <t>ENSG00000205413.8</t>
  </si>
  <si>
    <t>SAMD9</t>
  </si>
  <si>
    <t>ENSG00000158528.12</t>
  </si>
  <si>
    <t>PPP1R9A</t>
  </si>
  <si>
    <t>ENSG00000005421.8</t>
  </si>
  <si>
    <t>PON1</t>
  </si>
  <si>
    <t>ENSG00000205356.9</t>
  </si>
  <si>
    <t>TECPR1</t>
  </si>
  <si>
    <t>ENSG00000006453.14</t>
  </si>
  <si>
    <t>BAIAP2L1</t>
  </si>
  <si>
    <t>ENSG00000197343.11</t>
  </si>
  <si>
    <t>ZNF655</t>
  </si>
  <si>
    <t>ENSG00000221838.9</t>
  </si>
  <si>
    <t>AP4M1</t>
  </si>
  <si>
    <t>ENSG00000214309.5</t>
  </si>
  <si>
    <t>MBLAC1</t>
  </si>
  <si>
    <t>ENSG00000196411.10</t>
  </si>
  <si>
    <t>EPHB4</t>
  </si>
  <si>
    <t>ENSG00000146828.18</t>
  </si>
  <si>
    <t>SLC12A9</t>
  </si>
  <si>
    <t>ENSG00000128564.7</t>
  </si>
  <si>
    <t>VGF</t>
  </si>
  <si>
    <t>ENSG00000005483.20</t>
  </si>
  <si>
    <t>KMT2E</t>
  </si>
  <si>
    <t>ENSG00000128512.21</t>
  </si>
  <si>
    <t>DOCK4</t>
  </si>
  <si>
    <t>ENSG00000181016.9</t>
  </si>
  <si>
    <t>LSMEM1</t>
  </si>
  <si>
    <t>ENSG00000135269.18</t>
  </si>
  <si>
    <t>TES</t>
  </si>
  <si>
    <t>ENSG00000198074.10</t>
  </si>
  <si>
    <t>AKR1B10</t>
  </si>
  <si>
    <t>ENSG00000146859.6</t>
  </si>
  <si>
    <t>TMEM140</t>
  </si>
  <si>
    <t>ENSG00000122779.18</t>
  </si>
  <si>
    <t>TRIM24</t>
  </si>
  <si>
    <t>ENSG00000236279.7</t>
  </si>
  <si>
    <t>CLEC2L</t>
  </si>
  <si>
    <t>ENSG00000059377.17</t>
  </si>
  <si>
    <t>TBXAS1</t>
  </si>
  <si>
    <t>ENSG00000127362.2</t>
  </si>
  <si>
    <t>TAS2R3</t>
  </si>
  <si>
    <t>ENSG00000198420.10</t>
  </si>
  <si>
    <t>TCAF1</t>
  </si>
  <si>
    <t>ENSG00000174469.22</t>
  </si>
  <si>
    <t>CNTNAP2</t>
  </si>
  <si>
    <t>ENSG00000197362.14</t>
  </si>
  <si>
    <t>ZNF786</t>
  </si>
  <si>
    <t>ENSG00000181220.17</t>
  </si>
  <si>
    <t>ZNF746</t>
  </si>
  <si>
    <t>ENSG00000187260.15</t>
  </si>
  <si>
    <t>WDR86</t>
  </si>
  <si>
    <t>ENSG00000055609.18</t>
  </si>
  <si>
    <t>KMT2C</t>
  </si>
  <si>
    <t>ENSG00000196584.3</t>
  </si>
  <si>
    <t>XRCC2</t>
  </si>
  <si>
    <t>ENSG00000126870.16</t>
  </si>
  <si>
    <t>WDR60</t>
  </si>
  <si>
    <t>ENSG00000147364.16</t>
  </si>
  <si>
    <t>FBXO25</t>
  </si>
  <si>
    <t>ENSG00000091879.13</t>
  </si>
  <si>
    <t>ANGPT2</t>
  </si>
  <si>
    <t>ENSG00000173281.5</t>
  </si>
  <si>
    <t>PPP1R3B</t>
  </si>
  <si>
    <t>ENSG00000104213.12</t>
  </si>
  <si>
    <t>PDGFRL</t>
  </si>
  <si>
    <t>ENSG00000156006.5</t>
  </si>
  <si>
    <t>NAT2</t>
  </si>
  <si>
    <t>ENSG00000156011.17</t>
  </si>
  <si>
    <t>PSD3</t>
  </si>
  <si>
    <t>ENSG00000158806.14</t>
  </si>
  <si>
    <t>NPM2</t>
  </si>
  <si>
    <t>ENSG00000158856.18</t>
  </si>
  <si>
    <t>DMTN</t>
  </si>
  <si>
    <t>ENSG00000158863.22</t>
  </si>
  <si>
    <t>FAM160B2</t>
  </si>
  <si>
    <t>ENSG00000168453.15</t>
  </si>
  <si>
    <t>HR</t>
  </si>
  <si>
    <t>ENSG00000168476.12</t>
  </si>
  <si>
    <t>REEP4</t>
  </si>
  <si>
    <t>ENSG00000197181.12</t>
  </si>
  <si>
    <t>PIWIL2</t>
  </si>
  <si>
    <t>ENSG00000179388.9</t>
  </si>
  <si>
    <t>EGR3</t>
  </si>
  <si>
    <t>ENSG00000173530.6</t>
  </si>
  <si>
    <t>TNFRSF10D</t>
  </si>
  <si>
    <t>ENSG00000240694.9</t>
  </si>
  <si>
    <t>PNMA2</t>
  </si>
  <si>
    <t>ENSG00000171320.14</t>
  </si>
  <si>
    <t>ESCO2</t>
  </si>
  <si>
    <t>ENSG00000214050.8</t>
  </si>
  <si>
    <t>FBXO16</t>
  </si>
  <si>
    <t>ENSG00000120875.9</t>
  </si>
  <si>
    <t>DUSP4</t>
  </si>
  <si>
    <t>ENSG00000104691.15</t>
  </si>
  <si>
    <t>UBXN8</t>
  </si>
  <si>
    <t>ENSG00000172733.11</t>
  </si>
  <si>
    <t>PURG</t>
  </si>
  <si>
    <t>ENSG00000133874.2</t>
  </si>
  <si>
    <t>RNF122</t>
  </si>
  <si>
    <t>ENSG00000176907.4</t>
  </si>
  <si>
    <t>TCIM</t>
  </si>
  <si>
    <t>ENSG00000104371.5</t>
  </si>
  <si>
    <t>DKK4</t>
  </si>
  <si>
    <t>ENSG00000137563.12</t>
  </si>
  <si>
    <t>GGH</t>
  </si>
  <si>
    <t>ENSG00000137561.4</t>
  </si>
  <si>
    <t>TTPA</t>
  </si>
  <si>
    <t>ENSG00000147576.17</t>
  </si>
  <si>
    <t>ADHFE1</t>
  </si>
  <si>
    <t>ENSG00000066777.9</t>
  </si>
  <si>
    <t>ARFGEF1</t>
  </si>
  <si>
    <t>ENSG00000104432.14</t>
  </si>
  <si>
    <t>IL7</t>
  </si>
  <si>
    <t>ENSG00000076641.4</t>
  </si>
  <si>
    <t>PAG1</t>
  </si>
  <si>
    <t>ENSG00000164687.11</t>
  </si>
  <si>
    <t>FABP5</t>
  </si>
  <si>
    <t>ENSG00000253598.1</t>
  </si>
  <si>
    <t>SLC10A5</t>
  </si>
  <si>
    <t>ENSG00000253250.3</t>
  </si>
  <si>
    <t>C8orf88</t>
  </si>
  <si>
    <t>ENSG00000188343.12</t>
  </si>
  <si>
    <t>FAM92A</t>
  </si>
  <si>
    <t>ENSG00000104324.16</t>
  </si>
  <si>
    <t>CPQ</t>
  </si>
  <si>
    <t>ENSG00000164841.5</t>
  </si>
  <si>
    <t>TMEM74</t>
  </si>
  <si>
    <t>ENSG00000136960.12</t>
  </si>
  <si>
    <t>ENPP2</t>
  </si>
  <si>
    <t>ENSG00000136982.6</t>
  </si>
  <si>
    <t>DSCC1</t>
  </si>
  <si>
    <t>ENSG00000155792.10</t>
  </si>
  <si>
    <t>DEPTOR</t>
  </si>
  <si>
    <t>ENSG00000165156.15</t>
  </si>
  <si>
    <t>ZHX1</t>
  </si>
  <si>
    <t>ENSG00000169427.8</t>
  </si>
  <si>
    <t>KCNK9</t>
  </si>
  <si>
    <t>ENSG00000167632.15</t>
  </si>
  <si>
    <t>TRAPPC9</t>
  </si>
  <si>
    <t>ENSG00000171045.15</t>
  </si>
  <si>
    <t>TSNARE1</t>
  </si>
  <si>
    <t>ENSG00000250571.7</t>
  </si>
  <si>
    <t>GLI4</t>
  </si>
  <si>
    <t>ENSG00000014164.7</t>
  </si>
  <si>
    <t>ZC3H3</t>
  </si>
  <si>
    <t>ENSG00000179886.5</t>
  </si>
  <si>
    <t>TIGD5</t>
  </si>
  <si>
    <t>ENSG00000104524.14</t>
  </si>
  <si>
    <t>PYCR3</t>
  </si>
  <si>
    <t>ENSG00000203499.11</t>
  </si>
  <si>
    <t>IQANK1</t>
  </si>
  <si>
    <t>ENSG00000180900.19</t>
  </si>
  <si>
    <t>SCRIB</t>
  </si>
  <si>
    <t>ENSG00000178209.15</t>
  </si>
  <si>
    <t>PLEC</t>
  </si>
  <si>
    <t>ENSG00000178814.17</t>
  </si>
  <si>
    <t>OPLAH</t>
  </si>
  <si>
    <t>ENSG00000179832.17</t>
  </si>
  <si>
    <t>MROH1</t>
  </si>
  <si>
    <t>ENSG00000173137.12</t>
  </si>
  <si>
    <t>ADCK5</t>
  </si>
  <si>
    <t>ENSG00000147804.9</t>
  </si>
  <si>
    <t>SLC39A4</t>
  </si>
  <si>
    <t>ENSG00000187954.12</t>
  </si>
  <si>
    <t>CYHR1</t>
  </si>
  <si>
    <t>ENSG00000167702.12</t>
  </si>
  <si>
    <t>KIFC2</t>
  </si>
  <si>
    <t>ENSG00000167700.9</t>
  </si>
  <si>
    <t>MFSD3</t>
  </si>
  <si>
    <t>ENSG00000107036.12</t>
  </si>
  <si>
    <t>RIC1</t>
  </si>
  <si>
    <t>ENSG00000153714.6</t>
  </si>
  <si>
    <t>LURAP1L</t>
  </si>
  <si>
    <t>ENSG00000164985.15</t>
  </si>
  <si>
    <t>PSIP1</t>
  </si>
  <si>
    <t>ENSG00000147874.11</t>
  </si>
  <si>
    <t>HAUS6</t>
  </si>
  <si>
    <t>ENSG00000235453.10</t>
  </si>
  <si>
    <t>SMIM27</t>
  </si>
  <si>
    <t>ENSG00000122711.9</t>
  </si>
  <si>
    <t>SPINK4</t>
  </si>
  <si>
    <t>ENSG00000198722.14</t>
  </si>
  <si>
    <t>UNC13B</t>
  </si>
  <si>
    <t>ENSG00000255872.3</t>
  </si>
  <si>
    <t>AL138752.2</t>
  </si>
  <si>
    <t>ENSG00000137142.5</t>
  </si>
  <si>
    <t>IGFBPL1</t>
  </si>
  <si>
    <t>ENSG00000106714.17</t>
  </si>
  <si>
    <t>CNTNAP3</t>
  </si>
  <si>
    <t>ENSG00000119138.4</t>
  </si>
  <si>
    <t>KLF9</t>
  </si>
  <si>
    <t>ENSG00000204669.10</t>
  </si>
  <si>
    <t>C9orf57</t>
  </si>
  <si>
    <t>ENSG00000119125.16</t>
  </si>
  <si>
    <t>GDA</t>
  </si>
  <si>
    <t>ENSG00000135045.7</t>
  </si>
  <si>
    <t>C9orf40</t>
  </si>
  <si>
    <t>ENSG00000187210.14</t>
  </si>
  <si>
    <t>GCNT1</t>
  </si>
  <si>
    <t>ENSG00000196781.15</t>
  </si>
  <si>
    <t>TLE1</t>
  </si>
  <si>
    <t>ENSG00000178966.16</t>
  </si>
  <si>
    <t>RMI1</t>
  </si>
  <si>
    <t>ENSG00000148082.10</t>
  </si>
  <si>
    <t>SHC3</t>
  </si>
  <si>
    <t>ENSG00000131669.10</t>
  </si>
  <si>
    <t>NINJ1</t>
  </si>
  <si>
    <t>ENSG00000165140.10</t>
  </si>
  <si>
    <t>FBP1</t>
  </si>
  <si>
    <t>ENSG00000119508.18</t>
  </si>
  <si>
    <t>NR4A3</t>
  </si>
  <si>
    <t>ENSG00000136897.8</t>
  </si>
  <si>
    <t>MRPL50</t>
  </si>
  <si>
    <t>ENSG00000136824.19</t>
  </si>
  <si>
    <t>SMC2</t>
  </si>
  <si>
    <t>ENSG00000136783.10</t>
  </si>
  <si>
    <t>NIPSNAP3A</t>
  </si>
  <si>
    <t>ENSG00000165029.16</t>
  </si>
  <si>
    <t>ABCA1</t>
  </si>
  <si>
    <t>ENSG00000070159.14</t>
  </si>
  <si>
    <t>PTPN3</t>
  </si>
  <si>
    <t>ENSG00000106853.20</t>
  </si>
  <si>
    <t>PTGR1</t>
  </si>
  <si>
    <t>ENSG00000136875.12</t>
  </si>
  <si>
    <t>PRPF4</t>
  </si>
  <si>
    <t>ENSG00000148229.13</t>
  </si>
  <si>
    <t>POLE3</t>
  </si>
  <si>
    <t>ENSG00000229314.5</t>
  </si>
  <si>
    <t>ORM1</t>
  </si>
  <si>
    <t>ENSG00000106948.16</t>
  </si>
  <si>
    <t>AKNA</t>
  </si>
  <si>
    <t>ENSG00000119401.10</t>
  </si>
  <si>
    <t>TRIM32</t>
  </si>
  <si>
    <t>ENSG00000106804.7</t>
  </si>
  <si>
    <t>C5</t>
  </si>
  <si>
    <t>ENSG00000148180.19</t>
  </si>
  <si>
    <t>GSN</t>
  </si>
  <si>
    <t>ENSG00000148175.12</t>
  </si>
  <si>
    <t>STOM</t>
  </si>
  <si>
    <t>ENSG00000167081.17</t>
  </si>
  <si>
    <t>PBX3</t>
  </si>
  <si>
    <t>ENSG00000196814.15</t>
  </si>
  <si>
    <t>MVB12B</t>
  </si>
  <si>
    <t>ENSG00000136828.19</t>
  </si>
  <si>
    <t>RALGPS1</t>
  </si>
  <si>
    <t>ENSG00000136854.21</t>
  </si>
  <si>
    <t>STXBP1</t>
  </si>
  <si>
    <t>ENSG00000167106.12</t>
  </si>
  <si>
    <t>FAM102A</t>
  </si>
  <si>
    <t>ENSG00000107021.16</t>
  </si>
  <si>
    <t>TBC1D13</t>
  </si>
  <si>
    <t>ENSG00000136816.16</t>
  </si>
  <si>
    <t>TOR1B</t>
  </si>
  <si>
    <t>ENSG00000107130.10</t>
  </si>
  <si>
    <t>NCS1</t>
  </si>
  <si>
    <t>ENSG00000130707.17</t>
  </si>
  <si>
    <t>ASS1</t>
  </si>
  <si>
    <t>ENSG00000160326.14</t>
  </si>
  <si>
    <t>SLC2A6</t>
  </si>
  <si>
    <t>ENSG00000160293.17</t>
  </si>
  <si>
    <t>VAV2</t>
  </si>
  <si>
    <t>ENSG00000130559.19</t>
  </si>
  <si>
    <t>CAMSAP1</t>
  </si>
  <si>
    <t>ENSG00000148411.8</t>
  </si>
  <si>
    <t>NACC2</t>
  </si>
  <si>
    <t>ENSG00000172889.16</t>
  </si>
  <si>
    <t>EGFL7</t>
  </si>
  <si>
    <t>ENSG00000169692.13</t>
  </si>
  <si>
    <t>AGPAT2</t>
  </si>
  <si>
    <t>ENSG00000054148.17</t>
  </si>
  <si>
    <t>PHPT1</t>
  </si>
  <si>
    <t>ENSG00000177943.14</t>
  </si>
  <si>
    <t>MAMDC4</t>
  </si>
  <si>
    <t>ENSG00000107223.13</t>
  </si>
  <si>
    <t>EDF1</t>
  </si>
  <si>
    <t>ENSG00000197355.11</t>
  </si>
  <si>
    <t>UAP1L1</t>
  </si>
  <si>
    <t>ENSG00000177239.15</t>
  </si>
  <si>
    <t>MAN1B1</t>
  </si>
  <si>
    <t>ENSG00000176978.14</t>
  </si>
  <si>
    <t>DPP7</t>
  </si>
  <si>
    <t>ENSG00000176884.15</t>
  </si>
  <si>
    <t>GRIN1</t>
  </si>
  <si>
    <t>ENSG00000176248.9</t>
  </si>
  <si>
    <t>ANAPC2</t>
  </si>
  <si>
    <t>ENSG00000187713.7</t>
  </si>
  <si>
    <t>TMEM203</t>
  </si>
  <si>
    <t>ENSG00000212864.3</t>
  </si>
  <si>
    <t>RNF208</t>
  </si>
  <si>
    <t>ENSG00000197768.10</t>
  </si>
  <si>
    <t>STPG3</t>
  </si>
  <si>
    <t>ENSG00000198435.4</t>
  </si>
  <si>
    <t>NRARP</t>
  </si>
  <si>
    <t>ENSG00000187609.16</t>
  </si>
  <si>
    <t>EXD3</t>
  </si>
  <si>
    <t>ENSG00000134470.21</t>
  </si>
  <si>
    <t>IL15RA</t>
  </si>
  <si>
    <t>ENSG00000165626.17</t>
  </si>
  <si>
    <t>BEND7</t>
  </si>
  <si>
    <t>ENSG00000187522.16</t>
  </si>
  <si>
    <t>HSPA14</t>
  </si>
  <si>
    <t>ENSG00000152455.15</t>
  </si>
  <si>
    <t>SUV39H2</t>
  </si>
  <si>
    <t>ENSG00000176244.7</t>
  </si>
  <si>
    <t>ACBD7</t>
  </si>
  <si>
    <t>ENSG00000180592.16</t>
  </si>
  <si>
    <t>SKIDA1</t>
  </si>
  <si>
    <t>ENSG00000151023.17</t>
  </si>
  <si>
    <t>ENKUR</t>
  </si>
  <si>
    <t>ENSG00000120539.14</t>
  </si>
  <si>
    <t>MASTL</t>
  </si>
  <si>
    <t>ENSG00000095739.11</t>
  </si>
  <si>
    <t>BAMBI</t>
  </si>
  <si>
    <t>ENSG00000170759.11</t>
  </si>
  <si>
    <t>KIF5B</t>
  </si>
  <si>
    <t>ENSG00000099250.18</t>
  </si>
  <si>
    <t>NRP1</t>
  </si>
  <si>
    <t>ENSG00000175395.16</t>
  </si>
  <si>
    <t>ZNF25</t>
  </si>
  <si>
    <t>ENSG00000165406.16</t>
  </si>
  <si>
    <t>MARCH8</t>
  </si>
  <si>
    <t>ENSG00000204176.13</t>
  </si>
  <si>
    <t>SYT15</t>
  </si>
  <si>
    <t>ENSG00000266524.3</t>
  </si>
  <si>
    <t>GDF10</t>
  </si>
  <si>
    <t>ENSG00000265763.4</t>
  </si>
  <si>
    <t>ZNF488</t>
  </si>
  <si>
    <t>ENSG00000107984.10</t>
  </si>
  <si>
    <t>DKK1</t>
  </si>
  <si>
    <t>ENSG00000122952.17</t>
  </si>
  <si>
    <t>ZWINT</t>
  </si>
  <si>
    <t>ENSG00000122912.15</t>
  </si>
  <si>
    <t>SLC25A16</t>
  </si>
  <si>
    <t>ENSG00000099284.14</t>
  </si>
  <si>
    <t>H2AFY2</t>
  </si>
  <si>
    <t>ENSG00000042286.15</t>
  </si>
  <si>
    <t>AIFM2</t>
  </si>
  <si>
    <t>ENSG00000107719.9</t>
  </si>
  <si>
    <t>PALD1</t>
  </si>
  <si>
    <t>ENSG00000198246.9</t>
  </si>
  <si>
    <t>SLC29A3</t>
  </si>
  <si>
    <t>ENSG00000122863.6</t>
  </si>
  <si>
    <t>CHST3</t>
  </si>
  <si>
    <t>ENSG00000168209.5</t>
  </si>
  <si>
    <t>DDIT4</t>
  </si>
  <si>
    <t>ENSG00000166348.18</t>
  </si>
  <si>
    <t>USP54</t>
  </si>
  <si>
    <t>ENSG00000156110.13</t>
  </si>
  <si>
    <t>ADK</t>
  </si>
  <si>
    <t>ENSG00000148655.15</t>
  </si>
  <si>
    <t>LRMDA</t>
  </si>
  <si>
    <t>ENSG00000108175.17</t>
  </si>
  <si>
    <t>ZMIZ1</t>
  </si>
  <si>
    <t>ENSG00000133665.13</t>
  </si>
  <si>
    <t>DYDC2</t>
  </si>
  <si>
    <t>ENSG00000138134.12</t>
  </si>
  <si>
    <t>STAMBPL1</t>
  </si>
  <si>
    <t>ENSG00000119917.14</t>
  </si>
  <si>
    <t>IFIT3</t>
  </si>
  <si>
    <t>ENSG00000185745.10</t>
  </si>
  <si>
    <t>IFIT1</t>
  </si>
  <si>
    <t>ENSG00000152778.9</t>
  </si>
  <si>
    <t>IFIT5</t>
  </si>
  <si>
    <t>ENSG00000152782.16</t>
  </si>
  <si>
    <t>PANK1</t>
  </si>
  <si>
    <t>ENSG00000148677.6</t>
  </si>
  <si>
    <t>ANKRD1</t>
  </si>
  <si>
    <t>ENSG00000119938.9</t>
  </si>
  <si>
    <t>PPP1R3C</t>
  </si>
  <si>
    <t>ENSG00000186188.10</t>
  </si>
  <si>
    <t>FFAR4</t>
  </si>
  <si>
    <t>ENSG00000119969.15</t>
  </si>
  <si>
    <t>HELLS</t>
  </si>
  <si>
    <t>ENSG00000107438.9</t>
  </si>
  <si>
    <t>PDLIM1</t>
  </si>
  <si>
    <t>ENSG00000155629.15</t>
  </si>
  <si>
    <t>PIK3AP1</t>
  </si>
  <si>
    <t>ENSG00000187122.17</t>
  </si>
  <si>
    <t>SLIT1</t>
  </si>
  <si>
    <t>ENSG00000119986.7</t>
  </si>
  <si>
    <t>AVPI1</t>
  </si>
  <si>
    <t>ENSG00000107829.14</t>
  </si>
  <si>
    <t>FBXW4</t>
  </si>
  <si>
    <t>ENSG00000120049.19</t>
  </si>
  <si>
    <t>KCNIP2</t>
  </si>
  <si>
    <t>ENSG00000119915.5</t>
  </si>
  <si>
    <t>ELOVL3</t>
  </si>
  <si>
    <t>ENSG00000077150.19</t>
  </si>
  <si>
    <t>NFKB2</t>
  </si>
  <si>
    <t>ENSG00000059915.17</t>
  </si>
  <si>
    <t>PSD</t>
  </si>
  <si>
    <t>ENSG00000148798.11</t>
  </si>
  <si>
    <t>INA</t>
  </si>
  <si>
    <t>ENSG00000148700.14</t>
  </si>
  <si>
    <t>ADD3</t>
  </si>
  <si>
    <t>ENSG00000197142.10</t>
  </si>
  <si>
    <t>ACSL5</t>
  </si>
  <si>
    <t>ENSG00000165806.19</t>
  </si>
  <si>
    <t>CASP7</t>
  </si>
  <si>
    <t>ENSG00000188620.10</t>
  </si>
  <si>
    <t>HMX3</t>
  </si>
  <si>
    <t>ENSG00000182022.18</t>
  </si>
  <si>
    <t>CHST15</t>
  </si>
  <si>
    <t>ENSG00000065154.11</t>
  </si>
  <si>
    <t>OAT</t>
  </si>
  <si>
    <t>ENSG00000107902.14</t>
  </si>
  <si>
    <t>LHPP</t>
  </si>
  <si>
    <t>ENSG00000170430.10</t>
  </si>
  <si>
    <t>MGMT</t>
  </si>
  <si>
    <t>ENSG00000171813.14</t>
  </si>
  <si>
    <t>PWWP2B</t>
  </si>
  <si>
    <t>ENSG00000068383.19</t>
  </si>
  <si>
    <t>INPP5A</t>
  </si>
  <si>
    <t>ENSG00000185101.13</t>
  </si>
  <si>
    <t>ANO9</t>
  </si>
  <si>
    <t>ENSG00000069696.6</t>
  </si>
  <si>
    <t>DRD4</t>
  </si>
  <si>
    <t>ENSG00000177030.16</t>
  </si>
  <si>
    <t>DEAF1</t>
  </si>
  <si>
    <t>ENSG00000177106.16</t>
  </si>
  <si>
    <t>EPS8L2</t>
  </si>
  <si>
    <t>ENSG00000177685.17</t>
  </si>
  <si>
    <t>CRACR2B</t>
  </si>
  <si>
    <t>ENSG00000214063.11</t>
  </si>
  <si>
    <t>TSPAN4</t>
  </si>
  <si>
    <t>ENSG00000182208.14</t>
  </si>
  <si>
    <t>MOB2</t>
  </si>
  <si>
    <t>ENSG00000250644.3</t>
  </si>
  <si>
    <t>AC068580.4</t>
  </si>
  <si>
    <t>ENSG00000166313.19</t>
  </si>
  <si>
    <t>APBB1</t>
  </si>
  <si>
    <t>ENSG00000166483.11</t>
  </si>
  <si>
    <t>WEE1</t>
  </si>
  <si>
    <t>ENSG00000133812.15</t>
  </si>
  <si>
    <t>SBF2</t>
  </si>
  <si>
    <t>ENSG00000070081.16</t>
  </si>
  <si>
    <t>NUCB2</t>
  </si>
  <si>
    <t>ENSG00000179826.6</t>
  </si>
  <si>
    <t>MRGPRX3</t>
  </si>
  <si>
    <t>ENSG00000049449.9</t>
  </si>
  <si>
    <t>RCN1</t>
  </si>
  <si>
    <t>ENSG00000110427.15</t>
  </si>
  <si>
    <t>KIAA1549L</t>
  </si>
  <si>
    <t>ENSG00000166016.6</t>
  </si>
  <si>
    <t>ABTB2</t>
  </si>
  <si>
    <t>ENSG00000135365.15</t>
  </si>
  <si>
    <t>PHF21A</t>
  </si>
  <si>
    <t>ENSG00000030066.13</t>
  </si>
  <si>
    <t>NUP160</t>
  </si>
  <si>
    <t>ENSG00000156587.16</t>
  </si>
  <si>
    <t>UBE2L6</t>
  </si>
  <si>
    <t>ENSG00000149131.15</t>
  </si>
  <si>
    <t>SERPING1</t>
  </si>
  <si>
    <t>ENSG00000211450.10</t>
  </si>
  <si>
    <t>SELENOH</t>
  </si>
  <si>
    <t>ENSG00000254732.1</t>
  </si>
  <si>
    <t>AP001931.1</t>
  </si>
  <si>
    <t>ENSG00000167992.13</t>
  </si>
  <si>
    <t>VWCE</t>
  </si>
  <si>
    <t>ENSG00000168496.4</t>
  </si>
  <si>
    <t>FEN1</t>
  </si>
  <si>
    <t>ENSG00000167994.12</t>
  </si>
  <si>
    <t>RAB3IL1</t>
  </si>
  <si>
    <t>ENSG00000162174.12</t>
  </si>
  <si>
    <t>ASRGL1</t>
  </si>
  <si>
    <t>ENSG00000149452.16</t>
  </si>
  <si>
    <t>SLC22A8</t>
  </si>
  <si>
    <t>ENSG00000149742.9</t>
  </si>
  <si>
    <t>SLC22A9</t>
  </si>
  <si>
    <t>ENSG00000133321.11</t>
  </si>
  <si>
    <t>RARRES3</t>
  </si>
  <si>
    <t>ENSG00000133318.13</t>
  </si>
  <si>
    <t>RTN3</t>
  </si>
  <si>
    <t>ENSG00000188070.9</t>
  </si>
  <si>
    <t>C11orf95</t>
  </si>
  <si>
    <t>ENSG00000068831.19</t>
  </si>
  <si>
    <t>RASGRP2</t>
  </si>
  <si>
    <t>ENSG00000149792.8</t>
  </si>
  <si>
    <t>MRPL49</t>
  </si>
  <si>
    <t>ENSG00000172922.9</t>
  </si>
  <si>
    <t>RNASEH2C</t>
  </si>
  <si>
    <t>ENSG00000254470.2</t>
  </si>
  <si>
    <t>AP5B1</t>
  </si>
  <si>
    <t>ENSG00000179292.5</t>
  </si>
  <si>
    <t>TMEM151A</t>
  </si>
  <si>
    <t>ENSG00000174547.13</t>
  </si>
  <si>
    <t>MRPL11</t>
  </si>
  <si>
    <t>ENSG00000174165.8</t>
  </si>
  <si>
    <t>ZDHHC24</t>
  </si>
  <si>
    <t>ENSG00000182791.5</t>
  </si>
  <si>
    <t>CCDC87</t>
  </si>
  <si>
    <t>ENSG00000167800.9</t>
  </si>
  <si>
    <t>TBX10</t>
  </si>
  <si>
    <t>ENSG00000149716.12</t>
  </si>
  <si>
    <t>LTO1</t>
  </si>
  <si>
    <t>ENSG00000162105.18</t>
  </si>
  <si>
    <t>SHANK2</t>
  </si>
  <si>
    <t>ENSG00000137478.15</t>
  </si>
  <si>
    <t>FCHSD2</t>
  </si>
  <si>
    <t>ENSG00000171631.14</t>
  </si>
  <si>
    <t>P2RY6</t>
  </si>
  <si>
    <t>ENSG00000054967.13</t>
  </si>
  <si>
    <t>RELT</t>
  </si>
  <si>
    <t>ENSG00000054965.10</t>
  </si>
  <si>
    <t>FAM168A</t>
  </si>
  <si>
    <t>ENSG00000165434.8</t>
  </si>
  <si>
    <t>PGM2L1</t>
  </si>
  <si>
    <t>ENSG00000175538.10</t>
  </si>
  <si>
    <t>KCNE3</t>
  </si>
  <si>
    <t>ENSG00000077514.8</t>
  </si>
  <si>
    <t>POLD3</t>
  </si>
  <si>
    <t>ENSG00000054938.15</t>
  </si>
  <si>
    <t>CHRDL2</t>
  </si>
  <si>
    <t>ENSG00000118363.12</t>
  </si>
  <si>
    <t>SPCS2</t>
  </si>
  <si>
    <t>ENSG00000149257.14</t>
  </si>
  <si>
    <t>SERPINH1</t>
  </si>
  <si>
    <t>ENSG00000062282.15</t>
  </si>
  <si>
    <t>DGAT2</t>
  </si>
  <si>
    <t>ENSG00000179240.9</t>
  </si>
  <si>
    <t>GVQW3</t>
  </si>
  <si>
    <t>ENSG00000182704.8</t>
  </si>
  <si>
    <t>TSKU</t>
  </si>
  <si>
    <t>ENSG00000149260.17</t>
  </si>
  <si>
    <t>CAPN5</t>
  </si>
  <si>
    <t>ENSG00000149269.9</t>
  </si>
  <si>
    <t>PAK1</t>
  </si>
  <si>
    <t>ENSG00000118369.13</t>
  </si>
  <si>
    <t>USP35</t>
  </si>
  <si>
    <t>ENSG00000150672.17</t>
  </si>
  <si>
    <t>DLG2</t>
  </si>
  <si>
    <t>ENSG00000023445.14</t>
  </si>
  <si>
    <t>BIRC3</t>
  </si>
  <si>
    <t>ENSG00000214290.8</t>
  </si>
  <si>
    <t>COLCA2</t>
  </si>
  <si>
    <t>ENSG00000086848.15</t>
  </si>
  <si>
    <t>ALG9</t>
  </si>
  <si>
    <t>ENSG00000149305.7</t>
  </si>
  <si>
    <t>HTR3B</t>
  </si>
  <si>
    <t>ENSG00000118137.9</t>
  </si>
  <si>
    <t>APOA1</t>
  </si>
  <si>
    <t>ENSG00000110400.11</t>
  </si>
  <si>
    <t>NECTIN1</t>
  </si>
  <si>
    <t>ENSG00000137642.13</t>
  </si>
  <si>
    <t>SORL1</t>
  </si>
  <si>
    <t>ENSG00000110002.15</t>
  </si>
  <si>
    <t>VWA5A</t>
  </si>
  <si>
    <t>ENSG00000154134.15</t>
  </si>
  <si>
    <t>ROBO3</t>
  </si>
  <si>
    <t>ENSG00000154133.14</t>
  </si>
  <si>
    <t>ROBO4</t>
  </si>
  <si>
    <t>ENSG00000165478.7</t>
  </si>
  <si>
    <t>HEPACAM</t>
  </si>
  <si>
    <t>ENSG00000109956.13</t>
  </si>
  <si>
    <t>B3GAT1</t>
  </si>
  <si>
    <t>ENSG00000139044.11</t>
  </si>
  <si>
    <t>B4GALNT3</t>
  </si>
  <si>
    <t>ENSG00000171840.11</t>
  </si>
  <si>
    <t>NINJ2</t>
  </si>
  <si>
    <t>ENSG00000111206.12</t>
  </si>
  <si>
    <t>FOXM1</t>
  </si>
  <si>
    <t>ENSG00000111247.14</t>
  </si>
  <si>
    <t>RAD51AP1</t>
  </si>
  <si>
    <t>ENSG00000111319.13</t>
  </si>
  <si>
    <t>SCNN1A</t>
  </si>
  <si>
    <t>ENSG00000159335.16</t>
  </si>
  <si>
    <t>PTMS</t>
  </si>
  <si>
    <t>ENSG00000111674.9</t>
  </si>
  <si>
    <t>ENO2</t>
  </si>
  <si>
    <t>ENSG00000111678.11</t>
  </si>
  <si>
    <t>C12orf57</t>
  </si>
  <si>
    <t>ENSG00000159403.17</t>
  </si>
  <si>
    <t>C1R</t>
  </si>
  <si>
    <t>ENSG00000139178.11</t>
  </si>
  <si>
    <t>C1RL</t>
  </si>
  <si>
    <t>ENSG00000139194.8</t>
  </si>
  <si>
    <t>RBP5</t>
  </si>
  <si>
    <t>ENSG00000175899.14</t>
  </si>
  <si>
    <t>A2M</t>
  </si>
  <si>
    <t>ENSG00000121380.12</t>
  </si>
  <si>
    <t>BCL2L14</t>
  </si>
  <si>
    <t>ENSG00000111261.14</t>
  </si>
  <si>
    <t>MANSC1</t>
  </si>
  <si>
    <t>ENSG00000165714.11</t>
  </si>
  <si>
    <t>BORCS5</t>
  </si>
  <si>
    <t>ENSG00000183150.8</t>
  </si>
  <si>
    <t>GPR19</t>
  </si>
  <si>
    <t>ENSG00000178878.12</t>
  </si>
  <si>
    <t>APOLD1</t>
  </si>
  <si>
    <t>ENSG00000123095.6</t>
  </si>
  <si>
    <t>BHLHE41</t>
  </si>
  <si>
    <t>ENSG00000133687.16</t>
  </si>
  <si>
    <t>TMTC1</t>
  </si>
  <si>
    <t>ENSG00000174718.12</t>
  </si>
  <si>
    <t>RESF1</t>
  </si>
  <si>
    <t>ENSG00000151233.11</t>
  </si>
  <si>
    <t>GXYLT1</t>
  </si>
  <si>
    <t>ENSG00000139209.16</t>
  </si>
  <si>
    <t>SLC38A4</t>
  </si>
  <si>
    <t>ENSG00000172602.11</t>
  </si>
  <si>
    <t>RND1</t>
  </si>
  <si>
    <t>ENSG00000181929.12</t>
  </si>
  <si>
    <t>PRKAG1</t>
  </si>
  <si>
    <t>ENSG00000167552.14</t>
  </si>
  <si>
    <t>TUBA1A</t>
  </si>
  <si>
    <t>ENSG00000178401.16</t>
  </si>
  <si>
    <t>DNAJC22</t>
  </si>
  <si>
    <t>ENSG00000110844.13</t>
  </si>
  <si>
    <t>PRPF40B</t>
  </si>
  <si>
    <t>ENSG00000170545.17</t>
  </si>
  <si>
    <t>SMAGP</t>
  </si>
  <si>
    <t>ENSG00000196876.15</t>
  </si>
  <si>
    <t>SCN8A</t>
  </si>
  <si>
    <t>ENSG00000261308.2</t>
  </si>
  <si>
    <t>FIGNL2</t>
  </si>
  <si>
    <t>ENSG00000167779.9</t>
  </si>
  <si>
    <t>IGFBP6</t>
  </si>
  <si>
    <t>ENSG00000135424.16</t>
  </si>
  <si>
    <t>ITGA7</t>
  </si>
  <si>
    <t>ENSG00000258311.5</t>
  </si>
  <si>
    <t>AC009779.3</t>
  </si>
  <si>
    <t>ENSG00000135414.9</t>
  </si>
  <si>
    <t>GDF11</t>
  </si>
  <si>
    <t>ENSG00000110944.9</t>
  </si>
  <si>
    <t>IL23A</t>
  </si>
  <si>
    <t>ENSG00000111602.12</t>
  </si>
  <si>
    <t>TIMELESS</t>
  </si>
  <si>
    <t>ENSG00000198056.14</t>
  </si>
  <si>
    <t>PRIM1</t>
  </si>
  <si>
    <t>ENSG00000025423.11</t>
  </si>
  <si>
    <t>HSD17B6</t>
  </si>
  <si>
    <t>ENSG00000166881.10</t>
  </si>
  <si>
    <t>NEMP1</t>
  </si>
  <si>
    <t>ENSG00000135454.14</t>
  </si>
  <si>
    <t>B4GALNT1</t>
  </si>
  <si>
    <t>ENSG00000135655.16</t>
  </si>
  <si>
    <t>USP15</t>
  </si>
  <si>
    <t>ENSG00000061987.16</t>
  </si>
  <si>
    <t>MON2</t>
  </si>
  <si>
    <t>ENSG00000196935.9</t>
  </si>
  <si>
    <t>SRGAP1</t>
  </si>
  <si>
    <t>ENSG00000174099.11</t>
  </si>
  <si>
    <t>MSRB3</t>
  </si>
  <si>
    <t>ENSG00000175782.10</t>
  </si>
  <si>
    <t>SLC35E3</t>
  </si>
  <si>
    <t>ENSG00000127324.9</t>
  </si>
  <si>
    <t>TSPAN8</t>
  </si>
  <si>
    <t>ENSG00000139278.10</t>
  </si>
  <si>
    <t>GLIPR1</t>
  </si>
  <si>
    <t>ENSG00000198707.15</t>
  </si>
  <si>
    <t>CEP290</t>
  </si>
  <si>
    <t>ENSG00000139343.10</t>
  </si>
  <si>
    <t>SNRPF</t>
  </si>
  <si>
    <t>ENSG00000165972.13</t>
  </si>
  <si>
    <t>CCDC38</t>
  </si>
  <si>
    <t>ENSG00000111145.8</t>
  </si>
  <si>
    <t>ELK3</t>
  </si>
  <si>
    <t>ENSG00000166153.16</t>
  </si>
  <si>
    <t>DEPDC4</t>
  </si>
  <si>
    <t>ENSG00000136048.14</t>
  </si>
  <si>
    <t>DRAM1</t>
  </si>
  <si>
    <t>ENSG00000255150.2</t>
  </si>
  <si>
    <t>EID3</t>
  </si>
  <si>
    <t>ENSG00000235162.8</t>
  </si>
  <si>
    <t>C12orf75</t>
  </si>
  <si>
    <t>ENSG00000151136.15</t>
  </si>
  <si>
    <t>BTBD11</t>
  </si>
  <si>
    <t>ENSG00000111199.10</t>
  </si>
  <si>
    <t>TRPV4</t>
  </si>
  <si>
    <t>ENSG00000089127.13</t>
  </si>
  <si>
    <t>OAS1</t>
  </si>
  <si>
    <t>ENSG00000111331.13</t>
  </si>
  <si>
    <t>OAS3</t>
  </si>
  <si>
    <t>ENSG00000135111.16</t>
  </si>
  <si>
    <t>TBX3</t>
  </si>
  <si>
    <t>ENSG00000135097.7</t>
  </si>
  <si>
    <t>MSI1</t>
  </si>
  <si>
    <t>ENSG00000170855.4</t>
  </si>
  <si>
    <t>TRIAP1</t>
  </si>
  <si>
    <t>ENSG00000188735.13</t>
  </si>
  <si>
    <t>TMEM120B</t>
  </si>
  <si>
    <t>ENSG00000184445.12</t>
  </si>
  <si>
    <t>KNTC1</t>
  </si>
  <si>
    <t>ENSG00000150967.18</t>
  </si>
  <si>
    <t>ABCB9</t>
  </si>
  <si>
    <t>ENSG00000196498.13</t>
  </si>
  <si>
    <t>NCOR2</t>
  </si>
  <si>
    <t>ENSG00000184992.11</t>
  </si>
  <si>
    <t>BRI3BP</t>
  </si>
  <si>
    <t>ENSG00000111452.13</t>
  </si>
  <si>
    <t>ADGRD1</t>
  </si>
  <si>
    <t>ENSG00000177169.10</t>
  </si>
  <si>
    <t>ULK1</t>
  </si>
  <si>
    <t>ENSG00000112787.13</t>
  </si>
  <si>
    <t>FBRSL1</t>
  </si>
  <si>
    <t>ENSG00000165474.7</t>
  </si>
  <si>
    <t>GJB2</t>
  </si>
  <si>
    <t>ENSG00000172458.4</t>
  </si>
  <si>
    <t>IL17D</t>
  </si>
  <si>
    <t>ENSG00000165480.16</t>
  </si>
  <si>
    <t>SKA3</t>
  </si>
  <si>
    <t>ENSG00000132952.12</t>
  </si>
  <si>
    <t>USPL1</t>
  </si>
  <si>
    <t>ENSG00000189167.11</t>
  </si>
  <si>
    <t>ZAR1L</t>
  </si>
  <si>
    <t>ENSG00000139618.14</t>
  </si>
  <si>
    <t>BRCA2</t>
  </si>
  <si>
    <t>ENSG00000133119.13</t>
  </si>
  <si>
    <t>RFC3</t>
  </si>
  <si>
    <t>ENSG00000102760.13</t>
  </si>
  <si>
    <t>RGCC</t>
  </si>
  <si>
    <t>ENSG00000136167.14</t>
  </si>
  <si>
    <t>LCP1</t>
  </si>
  <si>
    <t>ENSG00000136161.12</t>
  </si>
  <si>
    <t>RCBTB2</t>
  </si>
  <si>
    <t>ENSG00000123178.15</t>
  </si>
  <si>
    <t>SPRYD7</t>
  </si>
  <si>
    <t>ENSG00000136104.20</t>
  </si>
  <si>
    <t>RNASEH2B</t>
  </si>
  <si>
    <t>ENSG00000136098.17</t>
  </si>
  <si>
    <t>NEK3</t>
  </si>
  <si>
    <t>ENSG00000139737.22</t>
  </si>
  <si>
    <t>SLAIN1</t>
  </si>
  <si>
    <t>ENSG00000125249.7</t>
  </si>
  <si>
    <t>RAP2A</t>
  </si>
  <si>
    <t>ENSG00000088386.17</t>
  </si>
  <si>
    <t>SLC15A1</t>
  </si>
  <si>
    <t>ENSG00000125246.15</t>
  </si>
  <si>
    <t>CLYBL</t>
  </si>
  <si>
    <t>ENSG00000139800.8</t>
  </si>
  <si>
    <t>ZIC5</t>
  </si>
  <si>
    <t>ENSG00000125266.7</t>
  </si>
  <si>
    <t>EFNB2</t>
  </si>
  <si>
    <t>ENSG00000126218.11</t>
  </si>
  <si>
    <t>F10</t>
  </si>
  <si>
    <t>ENSG00000165804.16</t>
  </si>
  <si>
    <t>ZNF219</t>
  </si>
  <si>
    <t>ENSG00000165821.12</t>
  </si>
  <si>
    <t>SALL2</t>
  </si>
  <si>
    <t>ENSG00000092054.13</t>
  </si>
  <si>
    <t>MYH7</t>
  </si>
  <si>
    <t>ENSG00000259431.5</t>
  </si>
  <si>
    <t>THTPA</t>
  </si>
  <si>
    <t>ENSG00000100867.14</t>
  </si>
  <si>
    <t>DHRS2</t>
  </si>
  <si>
    <t>ENSG00000186648.15</t>
  </si>
  <si>
    <t>CARMIL3</t>
  </si>
  <si>
    <t>ENSG00000100918.13</t>
  </si>
  <si>
    <t>REC8</t>
  </si>
  <si>
    <t>ENSG00000092295.12</t>
  </si>
  <si>
    <t>TGM1</t>
  </si>
  <si>
    <t>ENSG00000100949.14</t>
  </si>
  <si>
    <t>RABGGTA</t>
  </si>
  <si>
    <t>ENSG00000136305.11</t>
  </si>
  <si>
    <t>CIDEB</t>
  </si>
  <si>
    <t>ENSG00000100968.14</t>
  </si>
  <si>
    <t>NFATC4</t>
  </si>
  <si>
    <t>ENSG00000139910.20</t>
  </si>
  <si>
    <t>NOVA1</t>
  </si>
  <si>
    <t>ENSG00000129521.13</t>
  </si>
  <si>
    <t>EGLN3</t>
  </si>
  <si>
    <t>ENSG00000139874.6</t>
  </si>
  <si>
    <t>SSTR1</t>
  </si>
  <si>
    <t>ENSG00000165501.17</t>
  </si>
  <si>
    <t>LRR1</t>
  </si>
  <si>
    <t>ENSG00000165525.18</t>
  </si>
  <si>
    <t>NEMF</t>
  </si>
  <si>
    <t>ENSG00000151748.14</t>
  </si>
  <si>
    <t>SAV1</t>
  </si>
  <si>
    <t>ENSG00000180998.12</t>
  </si>
  <si>
    <t>GPR137C</t>
  </si>
  <si>
    <t>ENSG00000070269.14</t>
  </si>
  <si>
    <t>TMEM260</t>
  </si>
  <si>
    <t>ENSG00000100557.9</t>
  </si>
  <si>
    <t>CCDC198</t>
  </si>
  <si>
    <t>ENSG00000100614.18</t>
  </si>
  <si>
    <t>PPM1A</t>
  </si>
  <si>
    <t>ENSG00000100625.9</t>
  </si>
  <si>
    <t>SIX4</t>
  </si>
  <si>
    <t>ENSG00000054654.16</t>
  </si>
  <si>
    <t>SYNE2</t>
  </si>
  <si>
    <t>ENSG00000171723.15</t>
  </si>
  <si>
    <t>GPHN</t>
  </si>
  <si>
    <t>ENSG00000100731.15</t>
  </si>
  <si>
    <t>PCNX1</t>
  </si>
  <si>
    <t>ENSG00000170345.10</t>
  </si>
  <si>
    <t>FOS</t>
  </si>
  <si>
    <t>ENSG00000156127.6</t>
  </si>
  <si>
    <t>BATF</t>
  </si>
  <si>
    <t>ENSG00000119686.10</t>
  </si>
  <si>
    <t>FLVCR2</t>
  </si>
  <si>
    <t>ENSG00000071537.14</t>
  </si>
  <si>
    <t>SEL1L</t>
  </si>
  <si>
    <t>ENSG00000100599.16</t>
  </si>
  <si>
    <t>RIN3</t>
  </si>
  <si>
    <t>ENSG00000100605.17</t>
  </si>
  <si>
    <t>ITPK1</t>
  </si>
  <si>
    <t>ENSG00000100665.12</t>
  </si>
  <si>
    <t>SERPINA4</t>
  </si>
  <si>
    <t>ENSG00000133937.4</t>
  </si>
  <si>
    <t>GSC</t>
  </si>
  <si>
    <t>ENSG00000066629.17</t>
  </si>
  <si>
    <t>EML1</t>
  </si>
  <si>
    <t>ENSG00000176473.13</t>
  </si>
  <si>
    <t>WDR25</t>
  </si>
  <si>
    <t>ENSG00000198752.11</t>
  </si>
  <si>
    <t>CDC42BPB</t>
  </si>
  <si>
    <t>ENSG00000205436.7</t>
  </si>
  <si>
    <t>EXOC3L4</t>
  </si>
  <si>
    <t>ENSG00000075413.18</t>
  </si>
  <si>
    <t>MARK3</t>
  </si>
  <si>
    <t>ENSG00000088808.17</t>
  </si>
  <si>
    <t>PPP1R13B</t>
  </si>
  <si>
    <t>ENSG00000179627.10</t>
  </si>
  <si>
    <t>AL590327.1</t>
  </si>
  <si>
    <t>ENSG00000183828.15</t>
  </si>
  <si>
    <t>NUDT14</t>
  </si>
  <si>
    <t>ENSG00000179364.13</t>
  </si>
  <si>
    <t>PACS2</t>
  </si>
  <si>
    <t>ENSG00000182979.18</t>
  </si>
  <si>
    <t>MTA1</t>
  </si>
  <si>
    <t>ENSG00000182809.10</t>
  </si>
  <si>
    <t>CRIP2</t>
  </si>
  <si>
    <t>ENSG00000179455.8</t>
  </si>
  <si>
    <t>MKRN3</t>
  </si>
  <si>
    <t>ENSG00000128739.22</t>
  </si>
  <si>
    <t>SNRPN</t>
  </si>
  <si>
    <t>ENSG00000140199.11</t>
  </si>
  <si>
    <t>SLC12A6</t>
  </si>
  <si>
    <t>ENSG00000175265.17</t>
  </si>
  <si>
    <t>GOLGA8A</t>
  </si>
  <si>
    <t>ENSG00000128829.12</t>
  </si>
  <si>
    <t>EIF2AK4</t>
  </si>
  <si>
    <t>ENSG00000104081.14</t>
  </si>
  <si>
    <t>BMF</t>
  </si>
  <si>
    <t>ENSG00000169105.7</t>
  </si>
  <si>
    <t>CHST14</t>
  </si>
  <si>
    <t>ENSG00000051180.17</t>
  </si>
  <si>
    <t>RAD51</t>
  </si>
  <si>
    <t>ENSG00000104140.7</t>
  </si>
  <si>
    <t>RHOV</t>
  </si>
  <si>
    <t>ENSG00000128917.8</t>
  </si>
  <si>
    <t>DLL4</t>
  </si>
  <si>
    <t>ENSG00000104147.9</t>
  </si>
  <si>
    <t>OIP5</t>
  </si>
  <si>
    <t>ENSG00000137802.14</t>
  </si>
  <si>
    <t>MAPKBP1</t>
  </si>
  <si>
    <t>ENSG00000137814.11</t>
  </si>
  <si>
    <t>HAUS2</t>
  </si>
  <si>
    <t>ENSG00000159433.12</t>
  </si>
  <si>
    <t>STARD9</t>
  </si>
  <si>
    <t>ENSG00000138606.19</t>
  </si>
  <si>
    <t>SHF</t>
  </si>
  <si>
    <t>ENSG00000166920.12</t>
  </si>
  <si>
    <t>C15orf48</t>
  </si>
  <si>
    <t>ENSG00000255302.4</t>
  </si>
  <si>
    <t>EID1</t>
  </si>
  <si>
    <t>ENSG00000104047.15</t>
  </si>
  <si>
    <t>DTWD1</t>
  </si>
  <si>
    <t>ENSG00000138600.10</t>
  </si>
  <si>
    <t>SPPL2A</t>
  </si>
  <si>
    <t>ENSG00000260916.7</t>
  </si>
  <si>
    <t>CCPG1</t>
  </si>
  <si>
    <t>ENSG00000069869.16</t>
  </si>
  <si>
    <t>NEDD4</t>
  </si>
  <si>
    <t>ENSG00000138587.6</t>
  </si>
  <si>
    <t>MNS1</t>
  </si>
  <si>
    <t>ENSG00000157483.8</t>
  </si>
  <si>
    <t>MYO1E</t>
  </si>
  <si>
    <t>ENSG00000157470.12</t>
  </si>
  <si>
    <t>FAM81A</t>
  </si>
  <si>
    <t>ENSG00000129003.17</t>
  </si>
  <si>
    <t>VPS13C</t>
  </si>
  <si>
    <t>ENSG00000198535.5</t>
  </si>
  <si>
    <t>C2CD4A</t>
  </si>
  <si>
    <t>ENSG00000166803.13</t>
  </si>
  <si>
    <t>PCLAF</t>
  </si>
  <si>
    <t>ENSG00000074621.14</t>
  </si>
  <si>
    <t>SLC24A1</t>
  </si>
  <si>
    <t>ENSG00000174442.12</t>
  </si>
  <si>
    <t>ZWILCH</t>
  </si>
  <si>
    <t>ENSG00000166173.10</t>
  </si>
  <si>
    <t>LARP6</t>
  </si>
  <si>
    <t>ENSG00000129028.9</t>
  </si>
  <si>
    <t>THAP10</t>
  </si>
  <si>
    <t>ENSG00000260729.1</t>
  </si>
  <si>
    <t>AC009690.1</t>
  </si>
  <si>
    <t>ENSG00000213614.9</t>
  </si>
  <si>
    <t>HEXA</t>
  </si>
  <si>
    <t>ENSG00000067221.14</t>
  </si>
  <si>
    <t>STOML1</t>
  </si>
  <si>
    <t>ENSG00000138623.10</t>
  </si>
  <si>
    <t>SEMA7A</t>
  </si>
  <si>
    <t>ENSG00000169684.13</t>
  </si>
  <si>
    <t>CHRNA5</t>
  </si>
  <si>
    <t>ENSG00000259417.3</t>
  </si>
  <si>
    <t>CTXND1</t>
  </si>
  <si>
    <t>ENSG00000184206.11</t>
  </si>
  <si>
    <t>GOLGA6L4</t>
  </si>
  <si>
    <t>ENSG00000181026.15</t>
  </si>
  <si>
    <t>AEN</t>
  </si>
  <si>
    <t>ENSG00000172183.15</t>
  </si>
  <si>
    <t>ISG20</t>
  </si>
  <si>
    <t>ENSG00000197299.12</t>
  </si>
  <si>
    <t>BLM</t>
  </si>
  <si>
    <t>ENSG00000184508.11</t>
  </si>
  <si>
    <t>HDDC3</t>
  </si>
  <si>
    <t>ENSG00000131876.17</t>
  </si>
  <si>
    <t>SNRPA1</t>
  </si>
  <si>
    <t>ENSG00000103148.15</t>
  </si>
  <si>
    <t>NPRL3</t>
  </si>
  <si>
    <t>ENSG00000086504.16</t>
  </si>
  <si>
    <t>MRPL28</t>
  </si>
  <si>
    <t>ENSG00000129925.11</t>
  </si>
  <si>
    <t>TMEM8A</t>
  </si>
  <si>
    <t>ENSG00000090565.16</t>
  </si>
  <si>
    <t>RAB11FIP3</t>
  </si>
  <si>
    <t>ENSG00000007541.16</t>
  </si>
  <si>
    <t>PIGQ</t>
  </si>
  <si>
    <t>ENSG00000197562.10</t>
  </si>
  <si>
    <t>RAB40C</t>
  </si>
  <si>
    <t>ENSG00000127578.7</t>
  </si>
  <si>
    <t>WFIKKN1</t>
  </si>
  <si>
    <t>ENSG00000130731.16</t>
  </si>
  <si>
    <t>METTL26</t>
  </si>
  <si>
    <t>ENSG00000161999.12</t>
  </si>
  <si>
    <t>JMJD8</t>
  </si>
  <si>
    <t>ENSG00000103254.10</t>
  </si>
  <si>
    <t>FAM173A</t>
  </si>
  <si>
    <t>ENSG00000103245.14</t>
  </si>
  <si>
    <t>CIAO3</t>
  </si>
  <si>
    <t>ENSG00000162006.9</t>
  </si>
  <si>
    <t>MSLNL</t>
  </si>
  <si>
    <t>ENSG00000103227.18</t>
  </si>
  <si>
    <t>LMF1</t>
  </si>
  <si>
    <t>ENSG00000138834.12</t>
  </si>
  <si>
    <t>MAPK8IP3</t>
  </si>
  <si>
    <t>ENSG00000162032.16</t>
  </si>
  <si>
    <t>SPSB3</t>
  </si>
  <si>
    <t>ENSG00000063854.13</t>
  </si>
  <si>
    <t>HAGH</t>
  </si>
  <si>
    <t>ENSG00000103197.18</t>
  </si>
  <si>
    <t>TSC2</t>
  </si>
  <si>
    <t>ENSG00000167977.9</t>
  </si>
  <si>
    <t>KCTD5</t>
  </si>
  <si>
    <t>ENSG00000172382.10</t>
  </si>
  <si>
    <t>PRSS27</t>
  </si>
  <si>
    <t>ENSG00000085644.13</t>
  </si>
  <si>
    <t>ZNF213</t>
  </si>
  <si>
    <t>ENSG00000162104.10</t>
  </si>
  <si>
    <t>ADCY9</t>
  </si>
  <si>
    <t>ENSG00000102858.13</t>
  </si>
  <si>
    <t>MGRN1</t>
  </si>
  <si>
    <t>ENSG00000183044.12</t>
  </si>
  <si>
    <t>ABAT</t>
  </si>
  <si>
    <t>ENSG00000183549.10</t>
  </si>
  <si>
    <t>ACSM5</t>
  </si>
  <si>
    <t>ENSG00000005187.12</t>
  </si>
  <si>
    <t>ACSM3</t>
  </si>
  <si>
    <t>ENSG00000103316.11</t>
  </si>
  <si>
    <t>CRYM</t>
  </si>
  <si>
    <t>ENSG00000169246.16</t>
  </si>
  <si>
    <t>NPIPB3</t>
  </si>
  <si>
    <t>ENSG00000134398.15</t>
  </si>
  <si>
    <t>ERN2</t>
  </si>
  <si>
    <t>ENSG00000180096.12</t>
  </si>
  <si>
    <t>SEPT1</t>
  </si>
  <si>
    <t>ENSG00000196118.12</t>
  </si>
  <si>
    <t>CCDC189</t>
  </si>
  <si>
    <t>ENSG00000091651.9</t>
  </si>
  <si>
    <t>ORC6</t>
  </si>
  <si>
    <t>ENSG00000129636.12</t>
  </si>
  <si>
    <t>ITFG1</t>
  </si>
  <si>
    <t>ENSG00000167207.13</t>
  </si>
  <si>
    <t>NOD2</t>
  </si>
  <si>
    <t>ENSG00000177200.17</t>
  </si>
  <si>
    <t>CHD9</t>
  </si>
  <si>
    <t>ENSG00000125124.12</t>
  </si>
  <si>
    <t>BBS2</t>
  </si>
  <si>
    <t>ENSG00000205364.4</t>
  </si>
  <si>
    <t>MT1M</t>
  </si>
  <si>
    <t>ENSG00000205362.11</t>
  </si>
  <si>
    <t>MT1A</t>
  </si>
  <si>
    <t>ENSG00000087237.12</t>
  </si>
  <si>
    <t>CETP</t>
  </si>
  <si>
    <t>ENSG00000140848.17</t>
  </si>
  <si>
    <t>CPNE2</t>
  </si>
  <si>
    <t>ENSG00000135736.6</t>
  </si>
  <si>
    <t>CCDC102A</t>
  </si>
  <si>
    <t>ENSG00000181938.13</t>
  </si>
  <si>
    <t>GINS3</t>
  </si>
  <si>
    <t>ENSG00000166546.14</t>
  </si>
  <si>
    <t>BEAN1</t>
  </si>
  <si>
    <t>ENSG00000217555.12</t>
  </si>
  <si>
    <t>CKLF</t>
  </si>
  <si>
    <t>ENSG00000172828.13</t>
  </si>
  <si>
    <t>CES3</t>
  </si>
  <si>
    <t>ENSG00000159713.11</t>
  </si>
  <si>
    <t>TPPP3</t>
  </si>
  <si>
    <t>ENSG00000102977.15</t>
  </si>
  <si>
    <t>ACD</t>
  </si>
  <si>
    <t>ENSG00000132603.15</t>
  </si>
  <si>
    <t>NIP7</t>
  </si>
  <si>
    <t>ENSG00000102908.21</t>
  </si>
  <si>
    <t>NFAT5</t>
  </si>
  <si>
    <t>ENSG00000132613.15</t>
  </si>
  <si>
    <t>MTSS1L</t>
  </si>
  <si>
    <t>ENSG00000166451.13</t>
  </si>
  <si>
    <t>CENPN</t>
  </si>
  <si>
    <t>ENSG00000284512.1</t>
  </si>
  <si>
    <t>AC092718.8</t>
  </si>
  <si>
    <t>ENSG00000131149.19</t>
  </si>
  <si>
    <t>GSE1</t>
  </si>
  <si>
    <t>ENSG00000154102.11</t>
  </si>
  <si>
    <t>C16orf74</t>
  </si>
  <si>
    <t>ENSG00000260456.6</t>
  </si>
  <si>
    <t>C16orf95</t>
  </si>
  <si>
    <t>ENSG00000179588.9</t>
  </si>
  <si>
    <t>ZFPM1</t>
  </si>
  <si>
    <t>ENSG00000158717.10</t>
  </si>
  <si>
    <t>RNF166</t>
  </si>
  <si>
    <t>ENSG00000141012.13</t>
  </si>
  <si>
    <t>GALNS</t>
  </si>
  <si>
    <t>ENSG00000176715.16</t>
  </si>
  <si>
    <t>ACSF3</t>
  </si>
  <si>
    <t>ENSG00000141002.20</t>
  </si>
  <si>
    <t>TCF25</t>
  </si>
  <si>
    <t>ENSG00000258839.3</t>
  </si>
  <si>
    <t>MC1R</t>
  </si>
  <si>
    <t>ENSG00000003249.13</t>
  </si>
  <si>
    <t>DBNDD1</t>
  </si>
  <si>
    <t>ENSG00000181031.15</t>
  </si>
  <si>
    <t>RPH3AL</t>
  </si>
  <si>
    <t>ENSG00000171861.11</t>
  </si>
  <si>
    <t>MRM3</t>
  </si>
  <si>
    <t>ENSG00000167693.17</t>
  </si>
  <si>
    <t>NXN</t>
  </si>
  <si>
    <t>ENSG00000167716.18</t>
  </si>
  <si>
    <t>WDR81</t>
  </si>
  <si>
    <t>ENSG00000070366.14</t>
  </si>
  <si>
    <t>SMG6</t>
  </si>
  <si>
    <t>ENSG00000083454.22</t>
  </si>
  <si>
    <t>P2RX5</t>
  </si>
  <si>
    <t>ENSG00000167840.13</t>
  </si>
  <si>
    <t>ZNF232</t>
  </si>
  <si>
    <t>ENSG00000072849.11</t>
  </si>
  <si>
    <t>DERL2</t>
  </si>
  <si>
    <t>ENSG00000091592.16</t>
  </si>
  <si>
    <t>NLRP1</t>
  </si>
  <si>
    <t>ENSG00000286190.1</t>
  </si>
  <si>
    <t>AC055839.2</t>
  </si>
  <si>
    <t>ENSG00000132535.19</t>
  </si>
  <si>
    <t>DLG4</t>
  </si>
  <si>
    <t>ENSG00000170175.11</t>
  </si>
  <si>
    <t>CHRNB1</t>
  </si>
  <si>
    <t>ENSG00000174282.12</t>
  </si>
  <si>
    <t>ZBTB4</t>
  </si>
  <si>
    <t>ENSG00000129244.9</t>
  </si>
  <si>
    <t>ATP1B2</t>
  </si>
  <si>
    <t>ENSG00000141510.17</t>
  </si>
  <si>
    <t>TP53</t>
  </si>
  <si>
    <t>ENSG00000264424.1</t>
  </si>
  <si>
    <t>MYH4</t>
  </si>
  <si>
    <t>ENSG00000187824.8</t>
  </si>
  <si>
    <t>TMEM220</t>
  </si>
  <si>
    <t>ENSG00000241322.10</t>
  </si>
  <si>
    <t>CDRT1</t>
  </si>
  <si>
    <t>ENSG00000170425.3</t>
  </si>
  <si>
    <t>ADORA2B</t>
  </si>
  <si>
    <t>ENSG00000171931.12</t>
  </si>
  <si>
    <t>FBXW10</t>
  </si>
  <si>
    <t>ENSG00000141068.14</t>
  </si>
  <si>
    <t>KSR1</t>
  </si>
  <si>
    <t>ENSG00000167525.13</t>
  </si>
  <si>
    <t>PROCA1</t>
  </si>
  <si>
    <t>ENSG00000172123.12</t>
  </si>
  <si>
    <t>SLFN12</t>
  </si>
  <si>
    <t>ENSG00000154760.14</t>
  </si>
  <si>
    <t>SLFN13</t>
  </si>
  <si>
    <t>ENSG00000277161.2</t>
  </si>
  <si>
    <t>PIGW</t>
  </si>
  <si>
    <t>ENSG00000276023.5</t>
  </si>
  <si>
    <t>DUSP14</t>
  </si>
  <si>
    <t>ENSG00000108306.13</t>
  </si>
  <si>
    <t>FBXL20</t>
  </si>
  <si>
    <t>ENSG00000141744.3</t>
  </si>
  <si>
    <t>PNMT</t>
  </si>
  <si>
    <t>ENSG00000161395.14</t>
  </si>
  <si>
    <t>PGAP3</t>
  </si>
  <si>
    <t>ENSG00000131746.13</t>
  </si>
  <si>
    <t>TNS4</t>
  </si>
  <si>
    <t>ENSG00000187242.5</t>
  </si>
  <si>
    <t>KRT12</t>
  </si>
  <si>
    <t>ENSG00000171431.3</t>
  </si>
  <si>
    <t>KRT20</t>
  </si>
  <si>
    <t>ENSG00000108417.3</t>
  </si>
  <si>
    <t>KRT37</t>
  </si>
  <si>
    <t>ENSG00000171345.13</t>
  </si>
  <si>
    <t>KRT19</t>
  </si>
  <si>
    <t>ENSG00000173801.17</t>
  </si>
  <si>
    <t>JUP</t>
  </si>
  <si>
    <t>ENSG00000267221.2</t>
  </si>
  <si>
    <t>C17orf113</t>
  </si>
  <si>
    <t>ENSG00000131470.14</t>
  </si>
  <si>
    <t>PSMC3IP</t>
  </si>
  <si>
    <t>ENSG00000184451.5</t>
  </si>
  <si>
    <t>CCR10</t>
  </si>
  <si>
    <t>ENSG00000131471.7</t>
  </si>
  <si>
    <t>AOC3</t>
  </si>
  <si>
    <t>ENSG00000012048.22</t>
  </si>
  <si>
    <t>BRCA1</t>
  </si>
  <si>
    <t>ENSG00000108852.14</t>
  </si>
  <si>
    <t>MPP2</t>
  </si>
  <si>
    <t>ENSG00000180340.6</t>
  </si>
  <si>
    <t>FZD2</t>
  </si>
  <si>
    <t>ENSG00000172992.12</t>
  </si>
  <si>
    <t>DCAKD</t>
  </si>
  <si>
    <t>ENSG00000161714.12</t>
  </si>
  <si>
    <t>PLCD3</t>
  </si>
  <si>
    <t>ENSG00000184922.14</t>
  </si>
  <si>
    <t>FMNL1</t>
  </si>
  <si>
    <t>ENSG00000108379.10</t>
  </si>
  <si>
    <t>WNT3</t>
  </si>
  <si>
    <t>ENSG00000182575.7</t>
  </si>
  <si>
    <t>NXPH3</t>
  </si>
  <si>
    <t>ENSG00000108813.11</t>
  </si>
  <si>
    <t>DLX4</t>
  </si>
  <si>
    <t>ENSG00000108819.11</t>
  </si>
  <si>
    <t>PPP1R9B</t>
  </si>
  <si>
    <t>ENSG00000108826.16</t>
  </si>
  <si>
    <t>MRPL27</t>
  </si>
  <si>
    <t>ENSG00000108829.10</t>
  </si>
  <si>
    <t>LRRC59</t>
  </si>
  <si>
    <t>ENSG00000108846.16</t>
  </si>
  <si>
    <t>ABCC3</t>
  </si>
  <si>
    <t>ENSG00000214226.9</t>
  </si>
  <si>
    <t>C17orf67</t>
  </si>
  <si>
    <t>ENSG00000175155.9</t>
  </si>
  <si>
    <t>YPEL2</t>
  </si>
  <si>
    <t>ENSG00000008283.16</t>
  </si>
  <si>
    <t>CYB561</t>
  </si>
  <si>
    <t>ENSG00000108622.11</t>
  </si>
  <si>
    <t>ICAM2</t>
  </si>
  <si>
    <t>ENSG00000108854.16</t>
  </si>
  <si>
    <t>SMURF2</t>
  </si>
  <si>
    <t>ENSG00000108946.14</t>
  </si>
  <si>
    <t>PRKAR1A</t>
  </si>
  <si>
    <t>ENSG00000108950.12</t>
  </si>
  <si>
    <t>FAM20A</t>
  </si>
  <si>
    <t>ENSG00000177303.10</t>
  </si>
  <si>
    <t>CASKIN2</t>
  </si>
  <si>
    <t>ENSG00000187997.11</t>
  </si>
  <si>
    <t>C17orf99</t>
  </si>
  <si>
    <t>ENSG00000167900.12</t>
  </si>
  <si>
    <t>TK1</t>
  </si>
  <si>
    <t>ENSG00000089685.15</t>
  </si>
  <si>
    <t>BIRC5</t>
  </si>
  <si>
    <t>ENSG00000178404.9</t>
  </si>
  <si>
    <t>CEP295NL</t>
  </si>
  <si>
    <t>ENSG00000181523.13</t>
  </si>
  <si>
    <t>SGSH</t>
  </si>
  <si>
    <t>ENSG00000181409.13</t>
  </si>
  <si>
    <t>AATK</t>
  </si>
  <si>
    <t>ENSG00000224877.4</t>
  </si>
  <si>
    <t>NDUFAF8</t>
  </si>
  <si>
    <t>ENSG00000157637.13</t>
  </si>
  <si>
    <t>SLC38A10</t>
  </si>
  <si>
    <t>ENSG00000185504.17</t>
  </si>
  <si>
    <t>FAAP100</t>
  </si>
  <si>
    <t>ENSG00000182676.5</t>
  </si>
  <si>
    <t>PPP1R27</t>
  </si>
  <si>
    <t>ENSG00000169738.7</t>
  </si>
  <si>
    <t>DCXR</t>
  </si>
  <si>
    <t>ENSG00000169727.12</t>
  </si>
  <si>
    <t>GPS1</t>
  </si>
  <si>
    <t>ENSG00000169718.17</t>
  </si>
  <si>
    <t>DUS1L</t>
  </si>
  <si>
    <t>ENSG00000176155.18</t>
  </si>
  <si>
    <t>CCDC57</t>
  </si>
  <si>
    <t>ENSG00000141574.7</t>
  </si>
  <si>
    <t>SECTM1</t>
  </si>
  <si>
    <t>ENSG00000182459.5</t>
  </si>
  <si>
    <t>TEX19</t>
  </si>
  <si>
    <t>ENSG00000175711.8</t>
  </si>
  <si>
    <t>B3GNTL1</t>
  </si>
  <si>
    <t>ENSG00000101577.9</t>
  </si>
  <si>
    <t>LPIN2</t>
  </si>
  <si>
    <t>ENSG00000173482.16</t>
  </si>
  <si>
    <t>PTPRM</t>
  </si>
  <si>
    <t>ENSG00000154856.13</t>
  </si>
  <si>
    <t>APCDD1</t>
  </si>
  <si>
    <t>ENSG00000154864.12</t>
  </si>
  <si>
    <t>PIEZO2</t>
  </si>
  <si>
    <t>ENSG00000101773.19</t>
  </si>
  <si>
    <t>RBBP8</t>
  </si>
  <si>
    <t>ENSG00000168234.13</t>
  </si>
  <si>
    <t>TTC39C</t>
  </si>
  <si>
    <t>ENSG00000118271.10</t>
  </si>
  <si>
    <t>TTR</t>
  </si>
  <si>
    <t>ENSG00000118276.11</t>
  </si>
  <si>
    <t>B4GALT6</t>
  </si>
  <si>
    <t>ENSG00000101695.9</t>
  </si>
  <si>
    <t>RNF125</t>
  </si>
  <si>
    <t>ENSG00000152240.13</t>
  </si>
  <si>
    <t>HAUS1</t>
  </si>
  <si>
    <t>ENSG00000101670.12</t>
  </si>
  <si>
    <t>LIPG</t>
  </si>
  <si>
    <t>ENSG00000167315.18</t>
  </si>
  <si>
    <t>ACAA2</t>
  </si>
  <si>
    <t>ENSG00000176624.11</t>
  </si>
  <si>
    <t>MEX3C</t>
  </si>
  <si>
    <t>ENSG00000119547.6</t>
  </si>
  <si>
    <t>ONECUT2</t>
  </si>
  <si>
    <t>ENSG00000081923.13</t>
  </si>
  <si>
    <t>ATP8B1</t>
  </si>
  <si>
    <t>ENSG00000198796.7</t>
  </si>
  <si>
    <t>ALPK2</t>
  </si>
  <si>
    <t>ENSG00000183287.14</t>
  </si>
  <si>
    <t>CCBE1</t>
  </si>
  <si>
    <t>ENSG00000150636.17</t>
  </si>
  <si>
    <t>CCDC102B</t>
  </si>
  <si>
    <t>ENSG00000197971.15</t>
  </si>
  <si>
    <t>MBP</t>
  </si>
  <si>
    <t>ENSG00000141934.10</t>
  </si>
  <si>
    <t>PLPP2</t>
  </si>
  <si>
    <t>ENSG00000129946.10</t>
  </si>
  <si>
    <t>SHC2</t>
  </si>
  <si>
    <t>ENSG00000141933.9</t>
  </si>
  <si>
    <t>TPGS1</t>
  </si>
  <si>
    <t>ENSG00000197540.8</t>
  </si>
  <si>
    <t>GZMM</t>
  </si>
  <si>
    <t>ENSG00000197766.7</t>
  </si>
  <si>
    <t>CFD</t>
  </si>
  <si>
    <t>ENSG00000064687.12</t>
  </si>
  <si>
    <t>ABCA7</t>
  </si>
  <si>
    <t>ENSG00000160953.16</t>
  </si>
  <si>
    <t>PWWP3A</t>
  </si>
  <si>
    <t>ENSG00000130005.12</t>
  </si>
  <si>
    <t>GAMT</t>
  </si>
  <si>
    <t>ENSG00000119559.16</t>
  </si>
  <si>
    <t>C19orf25</t>
  </si>
  <si>
    <t>ENSG00000172081.14</t>
  </si>
  <si>
    <t>MOB3A</t>
  </si>
  <si>
    <t>ENSG00000065000.17</t>
  </si>
  <si>
    <t>AP3D1</t>
  </si>
  <si>
    <t>ENSG00000141985.9</t>
  </si>
  <si>
    <t>SH3GL1</t>
  </si>
  <si>
    <t>ENSG00000167671.12</t>
  </si>
  <si>
    <t>UBXN6</t>
  </si>
  <si>
    <t>ENSG00000127663.15</t>
  </si>
  <si>
    <t>KDM4B</t>
  </si>
  <si>
    <t>ENSG00000130382.9</t>
  </si>
  <si>
    <t>MLLT1</t>
  </si>
  <si>
    <t>ENSG00000142449.13</t>
  </si>
  <si>
    <t>FBN3</t>
  </si>
  <si>
    <t>ENSG00000130813.18</t>
  </si>
  <si>
    <t>C19orf66</t>
  </si>
  <si>
    <t>ENSG00000130812.10</t>
  </si>
  <si>
    <t>ANGPTL6</t>
  </si>
  <si>
    <t>ENSG00000130816.16</t>
  </si>
  <si>
    <t>DNMT1</t>
  </si>
  <si>
    <t>ENSG00000267534.4</t>
  </si>
  <si>
    <t>S1PR2</t>
  </si>
  <si>
    <t>ENSG00000130734.10</t>
  </si>
  <si>
    <t>ATG4D</t>
  </si>
  <si>
    <t>ENSG00000105518.14</t>
  </si>
  <si>
    <t>TMEM205</t>
  </si>
  <si>
    <t>ENSG00000205517.12</t>
  </si>
  <si>
    <t>RGL3</t>
  </si>
  <si>
    <t>ENSG00000130176.8</t>
  </si>
  <si>
    <t>CNN1</t>
  </si>
  <si>
    <t>ENSG00000257446.3</t>
  </si>
  <si>
    <t>ZNF878</t>
  </si>
  <si>
    <t>ENSG00000196466.10</t>
  </si>
  <si>
    <t>ZNF799</t>
  </si>
  <si>
    <t>ENSG00000180855.16</t>
  </si>
  <si>
    <t>ZNF443</t>
  </si>
  <si>
    <t>ENSG00000104774.13</t>
  </si>
  <si>
    <t>MAN2B1</t>
  </si>
  <si>
    <t>ENSG00000105011.9</t>
  </si>
  <si>
    <t>ASF1B</t>
  </si>
  <si>
    <t>ENSG00000072071.16</t>
  </si>
  <si>
    <t>ADGRL1</t>
  </si>
  <si>
    <t>ENSG00000123146.20</t>
  </si>
  <si>
    <t>ADGRE5</t>
  </si>
  <si>
    <t>ENSG00000072954.7</t>
  </si>
  <si>
    <t>TMEM38A</t>
  </si>
  <si>
    <t>ENSG00000099331.13</t>
  </si>
  <si>
    <t>MYO9B</t>
  </si>
  <si>
    <t>ENSG00000127220.6</t>
  </si>
  <si>
    <t>ABHD8</t>
  </si>
  <si>
    <t>ENSG00000105639.18</t>
  </si>
  <si>
    <t>JAK3</t>
  </si>
  <si>
    <t>ENSG00000130513.6</t>
  </si>
  <si>
    <t>GDF15</t>
  </si>
  <si>
    <t>ENSG00000105173.14</t>
  </si>
  <si>
    <t>CCNE1</t>
  </si>
  <si>
    <t>ENSG00000105185.12</t>
  </si>
  <si>
    <t>PDCD5</t>
  </si>
  <si>
    <t>ENSG00000245848.3</t>
  </si>
  <si>
    <t>CEBPA</t>
  </si>
  <si>
    <t>ENSG00000124299.14</t>
  </si>
  <si>
    <t>PEPD</t>
  </si>
  <si>
    <t>ENSG00000126259.19</t>
  </si>
  <si>
    <t>KIRREL2</t>
  </si>
  <si>
    <t>ENSG00000126264.9</t>
  </si>
  <si>
    <t>HCST</t>
  </si>
  <si>
    <t>ENSG00000186020.13</t>
  </si>
  <si>
    <t>ZNF529</t>
  </si>
  <si>
    <t>ENSG00000185869.14</t>
  </si>
  <si>
    <t>ZNF829</t>
  </si>
  <si>
    <t>ENSG00000182472.8</t>
  </si>
  <si>
    <t>CAPN12</t>
  </si>
  <si>
    <t>ENSG00000090924.15</t>
  </si>
  <si>
    <t>PLEKHG2</t>
  </si>
  <si>
    <t>ENSG00000275395.5</t>
  </si>
  <si>
    <t>FCGBP</t>
  </si>
  <si>
    <t>ENSG00000197408.10</t>
  </si>
  <si>
    <t>CYP2B6</t>
  </si>
  <si>
    <t>ENSG00000188368.9</t>
  </si>
  <si>
    <t>PRR19</t>
  </si>
  <si>
    <t>ENSG00000105755.8</t>
  </si>
  <si>
    <t>ETHE1</t>
  </si>
  <si>
    <t>ENSG00000105767.3</t>
  </si>
  <si>
    <t>CADM4</t>
  </si>
  <si>
    <t>ENSG00000124459.12</t>
  </si>
  <si>
    <t>ZNF45</t>
  </si>
  <si>
    <t>ENSG00000159882.13</t>
  </si>
  <si>
    <t>ZNF230</t>
  </si>
  <si>
    <t>ENSG00000159885.14</t>
  </si>
  <si>
    <t>ZNF222</t>
  </si>
  <si>
    <t>ENSG00000104856.14</t>
  </si>
  <si>
    <t>RELB</t>
  </si>
  <si>
    <t>ENSG00000105287.12</t>
  </si>
  <si>
    <t>PRKD2</t>
  </si>
  <si>
    <t>ENSG00000130751.9</t>
  </si>
  <si>
    <t>NPAS1</t>
  </si>
  <si>
    <t>ENSG00000197405.8</t>
  </si>
  <si>
    <t>C5AR1</t>
  </si>
  <si>
    <t>ENSG00000105419.17</t>
  </si>
  <si>
    <t>MEIS3</t>
  </si>
  <si>
    <t>ENSG00000178150.10</t>
  </si>
  <si>
    <t>ZNF114</t>
  </si>
  <si>
    <t>ENSG00000105467.8</t>
  </si>
  <si>
    <t>SYNGR4</t>
  </si>
  <si>
    <t>ENSG00000105516.10</t>
  </si>
  <si>
    <t>DBP</t>
  </si>
  <si>
    <t>ENSG00000105538.10</t>
  </si>
  <si>
    <t>RASIP1</t>
  </si>
  <si>
    <t>ENSG00000182264.8</t>
  </si>
  <si>
    <t>IZUMO1</t>
  </si>
  <si>
    <t>ENSG00000105559.12</t>
  </si>
  <si>
    <t>PLEKHA4</t>
  </si>
  <si>
    <t>ENSG00000087088.20</t>
  </si>
  <si>
    <t>BAX</t>
  </si>
  <si>
    <t>ENSG00000063127.15</t>
  </si>
  <si>
    <t>SLC6A16</t>
  </si>
  <si>
    <t>ENSG00000104872.11</t>
  </si>
  <si>
    <t>PIH1D1</t>
  </si>
  <si>
    <t>ENSG00000126456.16</t>
  </si>
  <si>
    <t>IRF3</t>
  </si>
  <si>
    <t>ENSG00000169136.11</t>
  </si>
  <si>
    <t>ATF5</t>
  </si>
  <si>
    <t>ENSG00000131398.13</t>
  </si>
  <si>
    <t>KCNC3</t>
  </si>
  <si>
    <t>ENSG00000261341.6</t>
  </si>
  <si>
    <t>AC010325.1</t>
  </si>
  <si>
    <t>ENSG00000167755.15</t>
  </si>
  <si>
    <t>KLK6</t>
  </si>
  <si>
    <t>ENSG00000182310.14</t>
  </si>
  <si>
    <t>SPACA6</t>
  </si>
  <si>
    <t>ENSG00000196267.12</t>
  </si>
  <si>
    <t>ZNF836</t>
  </si>
  <si>
    <t>ENSG00000197497.11</t>
  </si>
  <si>
    <t>ZNF665</t>
  </si>
  <si>
    <t>ENSG00000130844.17</t>
  </si>
  <si>
    <t>ZNF331</t>
  </si>
  <si>
    <t>ENSG00000167617.3</t>
  </si>
  <si>
    <t>CDC42EP5</t>
  </si>
  <si>
    <t>ENSG00000105048.17</t>
  </si>
  <si>
    <t>TNNT1</t>
  </si>
  <si>
    <t>ENSG00000063241.8</t>
  </si>
  <si>
    <t>ISOC2</t>
  </si>
  <si>
    <t>ENSG00000231274.5</t>
  </si>
  <si>
    <t>SBK3</t>
  </si>
  <si>
    <t>ENSG00000171649.12</t>
  </si>
  <si>
    <t>ZIK1</t>
  </si>
  <si>
    <t>ENSG00000183647.10</t>
  </si>
  <si>
    <t>ZNF530</t>
  </si>
  <si>
    <t>ENSG00000088876.11</t>
  </si>
  <si>
    <t>ZNF343</t>
  </si>
  <si>
    <t>ENSG00000088812.18</t>
  </si>
  <si>
    <t>ATRN</t>
  </si>
  <si>
    <t>ENSG00000089057.15</t>
  </si>
  <si>
    <t>SLC23A2</t>
  </si>
  <si>
    <t>ENSG00000125885.13</t>
  </si>
  <si>
    <t>MCM8</t>
  </si>
  <si>
    <t>ENSG00000125845.7</t>
  </si>
  <si>
    <t>BMP2</t>
  </si>
  <si>
    <t>ENSG00000182621.18</t>
  </si>
  <si>
    <t>PLCB1</t>
  </si>
  <si>
    <t>ENSG00000101384.12</t>
  </si>
  <si>
    <t>JAG1</t>
  </si>
  <si>
    <t>ENSG00000101230.6</t>
  </si>
  <si>
    <t>ISM1</t>
  </si>
  <si>
    <t>ENSG00000125864.14</t>
  </si>
  <si>
    <t>BFSP1</t>
  </si>
  <si>
    <t>ENSG00000132669.13</t>
  </si>
  <si>
    <t>RIN2</t>
  </si>
  <si>
    <t>ENSG00000101439.9</t>
  </si>
  <si>
    <t>CST3</t>
  </si>
  <si>
    <t>ENSG00000149599.15</t>
  </si>
  <si>
    <t>DUSP15</t>
  </si>
  <si>
    <t>ENSG00000078699.21</t>
  </si>
  <si>
    <t>CBFA2T2</t>
  </si>
  <si>
    <t>ENSG00000149639.15</t>
  </si>
  <si>
    <t>SOGA1</t>
  </si>
  <si>
    <t>ENSG00000198959.12</t>
  </si>
  <si>
    <t>TGM2</t>
  </si>
  <si>
    <t>ENSG00000183798.5</t>
  </si>
  <si>
    <t>EMILIN3</t>
  </si>
  <si>
    <t>ENSG00000149634.4</t>
  </si>
  <si>
    <t>SPATA25</t>
  </si>
  <si>
    <t>ENSG00000124198.9</t>
  </si>
  <si>
    <t>ARFGEF2</t>
  </si>
  <si>
    <t>ENSG00000124216.4</t>
  </si>
  <si>
    <t>SNAI1</t>
  </si>
  <si>
    <t>ENSG00000124171.9</t>
  </si>
  <si>
    <t>PARD6B</t>
  </si>
  <si>
    <t>ENSG00000101115.13</t>
  </si>
  <si>
    <t>SALL4</t>
  </si>
  <si>
    <t>ENSG00000124253.11</t>
  </si>
  <si>
    <t>PCK1</t>
  </si>
  <si>
    <t>ENSG00000101162.3</t>
  </si>
  <si>
    <t>TUBB1</t>
  </si>
  <si>
    <t>ENSG00000130702.15</t>
  </si>
  <si>
    <t>LAMA5</t>
  </si>
  <si>
    <t>ENSG00000101213.7</t>
  </si>
  <si>
    <t>PTK6</t>
  </si>
  <si>
    <t>ENSG00000101246.20</t>
  </si>
  <si>
    <t>ARFRP1</t>
  </si>
  <si>
    <t>ENSG00000101152.11</t>
  </si>
  <si>
    <t>DNAJC5</t>
  </si>
  <si>
    <t>ENSG00000280071.3</t>
  </si>
  <si>
    <t>GATD3B</t>
  </si>
  <si>
    <t>ENSG00000154639.19</t>
  </si>
  <si>
    <t>CXADR</t>
  </si>
  <si>
    <t>ENSG00000154642.11</t>
  </si>
  <si>
    <t>C21orf91</t>
  </si>
  <si>
    <t>ENSG00000166979.13</t>
  </si>
  <si>
    <t>EVA1C</t>
  </si>
  <si>
    <t>ENSG00000243646.10</t>
  </si>
  <si>
    <t>IL10RB</t>
  </si>
  <si>
    <t>ENSG00000159263.15</t>
  </si>
  <si>
    <t>SIM2</t>
  </si>
  <si>
    <t>ENSG00000183145.9</t>
  </si>
  <si>
    <t>RIPPLY3</t>
  </si>
  <si>
    <t>ENSG00000183527.11</t>
  </si>
  <si>
    <t>PSMG1</t>
  </si>
  <si>
    <t>ENSG00000157617.17</t>
  </si>
  <si>
    <t>C2CD2</t>
  </si>
  <si>
    <t>ENSG00000160221.18</t>
  </si>
  <si>
    <t>GATD3A</t>
  </si>
  <si>
    <t>ENSG00000141959.17</t>
  </si>
  <si>
    <t>PFKL</t>
  </si>
  <si>
    <t>ENSG00000160255.18</t>
  </si>
  <si>
    <t>ITGB2</t>
  </si>
  <si>
    <t>ENSG00000197381.16</t>
  </si>
  <si>
    <t>ADARB1</t>
  </si>
  <si>
    <t>ENSG00000182871.15</t>
  </si>
  <si>
    <t>COL18A1</t>
  </si>
  <si>
    <t>ENSG00000184470.21</t>
  </si>
  <si>
    <t>TXNRD2</t>
  </si>
  <si>
    <t>ENSG00000099937.11</t>
  </si>
  <si>
    <t>SERPIND1</t>
  </si>
  <si>
    <t>ENSG00000183773.15</t>
  </si>
  <si>
    <t>AIFM3</t>
  </si>
  <si>
    <t>ENSG00000169635.10</t>
  </si>
  <si>
    <t>HIC2</t>
  </si>
  <si>
    <t>ENSG00000185686.18</t>
  </si>
  <si>
    <t>PRAME</t>
  </si>
  <si>
    <t>ENSG00000100228.12</t>
  </si>
  <si>
    <t>RAB36</t>
  </si>
  <si>
    <t>ENSG00000099994.11</t>
  </si>
  <si>
    <t>SUSD2</t>
  </si>
  <si>
    <t>ENSG00000099998.17</t>
  </si>
  <si>
    <t>GGT5</t>
  </si>
  <si>
    <t>ENSG00000128294.16</t>
  </si>
  <si>
    <t>TPST2</t>
  </si>
  <si>
    <t>ENSG00000100263.14</t>
  </si>
  <si>
    <t>RHBDD3</t>
  </si>
  <si>
    <t>ENSG00000100330.15</t>
  </si>
  <si>
    <t>MTMR3</t>
  </si>
  <si>
    <t>ENSG00000128342.5</t>
  </si>
  <si>
    <t>LIF</t>
  </si>
  <si>
    <t>ENSG00000099999.14</t>
  </si>
  <si>
    <t>RNF215</t>
  </si>
  <si>
    <t>ENSG00000184792.16</t>
  </si>
  <si>
    <t>OSBP2</t>
  </si>
  <si>
    <t>ENSG00000128245.15</t>
  </si>
  <si>
    <t>YWHAH</t>
  </si>
  <si>
    <t>ENSG00000100234.11</t>
  </si>
  <si>
    <t>TIMP3</t>
  </si>
  <si>
    <t>ENSG00000100292.17</t>
  </si>
  <si>
    <t>HMOX1</t>
  </si>
  <si>
    <t>ENSG00000100360.15</t>
  </si>
  <si>
    <t>IFT27</t>
  </si>
  <si>
    <t>ENSG00000100379.17</t>
  </si>
  <si>
    <t>KCTD17</t>
  </si>
  <si>
    <t>ENSG00000100060.17</t>
  </si>
  <si>
    <t>MFNG</t>
  </si>
  <si>
    <t>ENSG00000100079.7</t>
  </si>
  <si>
    <t>LGALS2</t>
  </si>
  <si>
    <t>ENSG00000100242.15</t>
  </si>
  <si>
    <t>SUN2</t>
  </si>
  <si>
    <t>ENSG00000100307.13</t>
  </si>
  <si>
    <t>CBX7</t>
  </si>
  <si>
    <t>ENSG00000100321.15</t>
  </si>
  <si>
    <t>SYNGR1</t>
  </si>
  <si>
    <t>ENSG00000100399.16</t>
  </si>
  <si>
    <t>CHADL</t>
  </si>
  <si>
    <t>ENSG00000159958.6</t>
  </si>
  <si>
    <t>TNFRSF13C</t>
  </si>
  <si>
    <t>ENSG00000186654.21</t>
  </si>
  <si>
    <t>PRR5</t>
  </si>
  <si>
    <t>ENSG00000128408.8</t>
  </si>
  <si>
    <t>RIBC2</t>
  </si>
  <si>
    <t>ENSG00000077942.19</t>
  </si>
  <si>
    <t>FBLN1</t>
  </si>
  <si>
    <t>ENSG00000075240.17</t>
  </si>
  <si>
    <t>GRAMD4</t>
  </si>
  <si>
    <t>ENSG00000219438.8</t>
  </si>
  <si>
    <t>FAM19A5</t>
  </si>
  <si>
    <t>ENSG00000100425.18</t>
  </si>
  <si>
    <t>BRD1</t>
  </si>
  <si>
    <t>ENSG00000198355.5</t>
  </si>
  <si>
    <t>PIM3</t>
  </si>
  <si>
    <t>ENSG00000101846.6</t>
  </si>
  <si>
    <t>STS</t>
  </si>
  <si>
    <t>ENSG00000047648.22</t>
  </si>
  <si>
    <t>ARHGAP6</t>
  </si>
  <si>
    <t>ENSG00000205542.11</t>
  </si>
  <si>
    <t>TMSB4X</t>
  </si>
  <si>
    <t>ENSG00000102098.18</t>
  </si>
  <si>
    <t>SCML2</t>
  </si>
  <si>
    <t>ENSG00000180815.14</t>
  </si>
  <si>
    <t>MAP3K15</t>
  </si>
  <si>
    <t>ENSG00000184368.16</t>
  </si>
  <si>
    <t>MAP7D2</t>
  </si>
  <si>
    <t>ENSG00000173674.11</t>
  </si>
  <si>
    <t>EIF1AX</t>
  </si>
  <si>
    <t>ENSG00000102172.16</t>
  </si>
  <si>
    <t>SMS</t>
  </si>
  <si>
    <t>ENSG00000157625.15</t>
  </si>
  <si>
    <t>TAB3</t>
  </si>
  <si>
    <t>ENSG00000198947.15</t>
  </si>
  <si>
    <t>DMD</t>
  </si>
  <si>
    <t>ENSG00000130962.17</t>
  </si>
  <si>
    <t>PRRG1</t>
  </si>
  <si>
    <t>ENSG00000147044.21</t>
  </si>
  <si>
    <t>CASK</t>
  </si>
  <si>
    <t>ENSG00000126767.18</t>
  </si>
  <si>
    <t>ELK1</t>
  </si>
  <si>
    <t>ENSG00000102007.11</t>
  </si>
  <si>
    <t>PLP2</t>
  </si>
  <si>
    <t>ENSG00000184205.14</t>
  </si>
  <si>
    <t>TSPYL2</t>
  </si>
  <si>
    <t>ENSG00000196632.10</t>
  </si>
  <si>
    <t>WNK3</t>
  </si>
  <si>
    <t>ENSG00000067445.20</t>
  </si>
  <si>
    <t>TRO</t>
  </si>
  <si>
    <t>ENSG00000165591.6</t>
  </si>
  <si>
    <t>FAAH2</t>
  </si>
  <si>
    <t>ENSG00000158813.18</t>
  </si>
  <si>
    <t>EDA</t>
  </si>
  <si>
    <t>ENSG00000147168.12</t>
  </si>
  <si>
    <t>IL2RG</t>
  </si>
  <si>
    <t>ENSG00000186462.8</t>
  </si>
  <si>
    <t>NAP1L2</t>
  </si>
  <si>
    <t>ENSG00000165259.14</t>
  </si>
  <si>
    <t>HDX</t>
  </si>
  <si>
    <t>ENSG00000102359.7</t>
  </si>
  <si>
    <t>SRPX2</t>
  </si>
  <si>
    <t>ENSG00000102362.15</t>
  </si>
  <si>
    <t>SYTL4</t>
  </si>
  <si>
    <t>ENSG00000101811.13</t>
  </si>
  <si>
    <t>CSTF2</t>
  </si>
  <si>
    <t>ENSG00000102393.10</t>
  </si>
  <si>
    <t>GLA</t>
  </si>
  <si>
    <t>ENSG00000133169.6</t>
  </si>
  <si>
    <t>BEX1</t>
  </si>
  <si>
    <t>ENSG00000102409.10</t>
  </si>
  <si>
    <t>BEX4</t>
  </si>
  <si>
    <t>ENSG00000123560.14</t>
  </si>
  <si>
    <t>PLP1</t>
  </si>
  <si>
    <t>ENSG00000123570.4</t>
  </si>
  <si>
    <t>RAB9B</t>
  </si>
  <si>
    <t>ENSG00000158427.15</t>
  </si>
  <si>
    <t>TMSB15B</t>
  </si>
  <si>
    <t>ENSG00000147231.14</t>
  </si>
  <si>
    <t>RADX</t>
  </si>
  <si>
    <t>ENSG00000147223.6</t>
  </si>
  <si>
    <t>RIPPLY1</t>
  </si>
  <si>
    <t>ENSG00000197565.15</t>
  </si>
  <si>
    <t>COL4A6</t>
  </si>
  <si>
    <t>ENSG00000188153.13</t>
  </si>
  <si>
    <t>COL4A5</t>
  </si>
  <si>
    <t>ENSG00000101888.11</t>
  </si>
  <si>
    <t>NXT2</t>
  </si>
  <si>
    <t>ENSG00000101935.10</t>
  </si>
  <si>
    <t>AMMECR1</t>
  </si>
  <si>
    <t>ENSG00000102024.18</t>
  </si>
  <si>
    <t>PLS3</t>
  </si>
  <si>
    <t>ENSG00000131724.11</t>
  </si>
  <si>
    <t>IL13RA1</t>
  </si>
  <si>
    <t>ENSG00000101856.10</t>
  </si>
  <si>
    <t>PGRMC1</t>
  </si>
  <si>
    <t>ENSG00000125354.23</t>
  </si>
  <si>
    <t>SEPT6</t>
  </si>
  <si>
    <t>ENSG00000125355.15</t>
  </si>
  <si>
    <t>TMEM255A</t>
  </si>
  <si>
    <t>ENSG00000158290.16</t>
  </si>
  <si>
    <t>CUL4B</t>
  </si>
  <si>
    <t>ENSG00000147262.4</t>
  </si>
  <si>
    <t>GPR119</t>
  </si>
  <si>
    <t>ENSG00000130822.15</t>
  </si>
  <si>
    <t>PNCK</t>
  </si>
  <si>
    <t>ENSG00000130821.16</t>
  </si>
  <si>
    <t>SLC6A8</t>
  </si>
  <si>
    <t>ENSG00000101986.12</t>
  </si>
  <si>
    <t>ABCD1</t>
  </si>
  <si>
    <t>ENSG00000071889.16</t>
  </si>
  <si>
    <t>FAM3A</t>
  </si>
  <si>
    <t>ENSG00000130830.15</t>
  </si>
  <si>
    <t>MPP1</t>
  </si>
  <si>
    <t>ENSG00000167393.17_PAR_Y</t>
  </si>
  <si>
    <t>PPP2R3B</t>
  </si>
  <si>
    <t>ENSG00000092377.14</t>
  </si>
  <si>
    <t>TBL1Y</t>
  </si>
  <si>
    <t>Gene</t>
    <phoneticPr fontId="5" type="noConversion"/>
  </si>
  <si>
    <t>GeneName</t>
    <phoneticPr fontId="5" type="noConversion"/>
  </si>
  <si>
    <t>GeneType</t>
    <phoneticPr fontId="5" type="noConversion"/>
  </si>
  <si>
    <t>log2FoldChange (WT+ vs WT-)</t>
    <phoneticPr fontId="5" type="noConversion"/>
  </si>
  <si>
    <t>pvalue  (WT+ vs WT-)</t>
    <phoneticPr fontId="5" type="noConversion"/>
  </si>
  <si>
    <t>log2FoldChange (WT+ vs KO+)</t>
    <phoneticPr fontId="5" type="noConversion"/>
  </si>
  <si>
    <t>pvalue (WT+ vs KO+)</t>
    <phoneticPr fontId="5" type="noConversion"/>
  </si>
  <si>
    <t>WT+ vs WT- (protein)</t>
  </si>
  <si>
    <t>2012 overlapped proteins</t>
  </si>
  <si>
    <t>WT+ vs KO+ (protein)</t>
    <phoneticPr fontId="1" type="noConversion"/>
  </si>
  <si>
    <t>S2C</t>
    <phoneticPr fontId="1" type="noConversion"/>
  </si>
  <si>
    <t>S2A,S2B</t>
    <phoneticPr fontId="1" type="noConversion"/>
  </si>
  <si>
    <t>S2A,S2B</t>
    <phoneticPr fontId="1" type="noConversion"/>
  </si>
  <si>
    <t>1C</t>
    <phoneticPr fontId="1" type="noConversion"/>
  </si>
  <si>
    <t>1C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</si>
</sst>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等线"/>
      <family val="2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17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A2" sqref="A2:XFD2"/>
    </sheetView>
  </sheetViews>
  <sheetFormatPr defaultColWidth="9" defaultRowHeight="14.25" x14ac:dyDescent="0.2"/>
  <cols>
    <col min="1" max="1" width="25.5" style="1" bestFit="1" customWidth="1"/>
    <col min="2" max="2" width="16.5" style="1" bestFit="1" customWidth="1"/>
    <col min="3" max="16384" width="9" style="1"/>
  </cols>
  <sheetData>
    <row r="1" spans="1:2" s="14" customFormat="1" ht="15" x14ac:dyDescent="0.2">
      <c r="A1" s="14" t="s">
        <v>6</v>
      </c>
    </row>
    <row r="2" spans="1:2" s="15" customFormat="1" x14ac:dyDescent="0.2">
      <c r="A2" s="15" t="s">
        <v>5</v>
      </c>
    </row>
    <row r="3" spans="1:2" s="16" customFormat="1" x14ac:dyDescent="0.2"/>
    <row r="4" spans="1:2" ht="15" x14ac:dyDescent="0.2">
      <c r="A4" s="5" t="s">
        <v>1</v>
      </c>
      <c r="B4" s="6" t="s">
        <v>2</v>
      </c>
    </row>
    <row r="5" spans="1:2" x14ac:dyDescent="0.2">
      <c r="A5" s="7" t="s">
        <v>3</v>
      </c>
      <c r="B5" s="8" t="s">
        <v>11803</v>
      </c>
    </row>
    <row r="6" spans="1:2" x14ac:dyDescent="0.2">
      <c r="A6" s="9" t="s">
        <v>4</v>
      </c>
      <c r="B6" s="8" t="s">
        <v>11802</v>
      </c>
    </row>
    <row r="7" spans="1:2" x14ac:dyDescent="0.2">
      <c r="A7" s="1" t="s">
        <v>11796</v>
      </c>
      <c r="B7" s="1" t="s">
        <v>11800</v>
      </c>
    </row>
    <row r="8" spans="1:2" x14ac:dyDescent="0.2">
      <c r="A8" s="1" t="s">
        <v>11798</v>
      </c>
      <c r="B8" s="1" t="s">
        <v>11801</v>
      </c>
    </row>
    <row r="9" spans="1:2" x14ac:dyDescent="0.2">
      <c r="A9" s="1" t="s">
        <v>11797</v>
      </c>
      <c r="B9" s="1" t="s">
        <v>11799</v>
      </c>
    </row>
  </sheetData>
  <mergeCells count="3">
    <mergeCell ref="A1:XFD1"/>
    <mergeCell ref="A2:XFD2"/>
    <mergeCell ref="A3:XFD3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00"/>
  <sheetViews>
    <sheetView workbookViewId="0">
      <selection activeCell="B9" sqref="B9"/>
    </sheetView>
  </sheetViews>
  <sheetFormatPr defaultColWidth="9" defaultRowHeight="14.25" x14ac:dyDescent="0.2"/>
  <cols>
    <col min="1" max="1" width="22.125" style="3" customWidth="1"/>
    <col min="2" max="2" width="12.75" style="3" bestFit="1" customWidth="1"/>
    <col min="3" max="3" width="15.375" style="3" bestFit="1" customWidth="1"/>
    <col min="4" max="7" width="9" style="3"/>
    <col min="8" max="8" width="14.375" style="3" bestFit="1" customWidth="1"/>
    <col min="9" max="9" width="35.25" style="3" bestFit="1" customWidth="1"/>
    <col min="10" max="16384" width="9" style="3"/>
  </cols>
  <sheetData>
    <row r="1" spans="1:9" ht="15" x14ac:dyDescent="0.2">
      <c r="A1" s="2" t="str">
        <f>"gene"</f>
        <v>gene</v>
      </c>
      <c r="B1" s="2" t="str">
        <f>"baseMean"</f>
        <v>baseMean</v>
      </c>
      <c r="C1" s="2" t="str">
        <f>"log2FoldChange"</f>
        <v>log2FoldChange</v>
      </c>
      <c r="D1" s="2" t="str">
        <f>"lfcSE"</f>
        <v>lfcSE</v>
      </c>
      <c r="E1" s="2" t="str">
        <f>"stat"</f>
        <v>stat</v>
      </c>
      <c r="F1" s="2" t="str">
        <f>"pvalue"</f>
        <v>pvalue</v>
      </c>
      <c r="G1" s="2" t="str">
        <f>"padj"</f>
        <v>padj</v>
      </c>
      <c r="H1" s="2" t="str">
        <f>"genename"</f>
        <v>genename</v>
      </c>
      <c r="I1" s="2" t="str">
        <f>"genetype"</f>
        <v>genetype</v>
      </c>
    </row>
    <row r="2" spans="1:9" x14ac:dyDescent="0.2">
      <c r="A2" s="3" t="str">
        <f>"ENSG00000268903.1"</f>
        <v>ENSG00000268903.1</v>
      </c>
      <c r="B2" s="3">
        <v>7.7063552003108802</v>
      </c>
      <c r="C2" s="3">
        <v>4.8565112279584897</v>
      </c>
      <c r="D2" s="3">
        <v>1.83091066177878</v>
      </c>
      <c r="E2" s="3">
        <v>2.6525113045331601</v>
      </c>
      <c r="F2" s="3">
        <v>7.9895452492933002E-3</v>
      </c>
      <c r="G2" s="3">
        <v>2.6342103026076299E-2</v>
      </c>
      <c r="H2" s="3" t="str">
        <f>"AL627309.6"</f>
        <v>AL627309.6</v>
      </c>
      <c r="I2" s="3" t="str">
        <f>"processed_pseudogene"</f>
        <v>processed_pseudogene</v>
      </c>
    </row>
    <row r="3" spans="1:9" x14ac:dyDescent="0.2">
      <c r="A3" s="3" t="str">
        <f>"ENSG00000225972.1"</f>
        <v>ENSG00000225972.1</v>
      </c>
      <c r="B3" s="3">
        <v>53.759699454833601</v>
      </c>
      <c r="C3" s="3">
        <v>1.4373399496533199</v>
      </c>
      <c r="D3" s="3">
        <v>0.55987301671637502</v>
      </c>
      <c r="E3" s="3">
        <v>2.56726062292346</v>
      </c>
      <c r="F3" s="3">
        <v>1.02505536618292E-2</v>
      </c>
      <c r="G3" s="3">
        <v>3.2487709157131499E-2</v>
      </c>
      <c r="H3" s="3" t="str">
        <f>"MTND1P23"</f>
        <v>MTND1P23</v>
      </c>
      <c r="I3" s="3" t="str">
        <f>"unprocessed_pseudogene"</f>
        <v>unprocessed_pseudogene</v>
      </c>
    </row>
    <row r="4" spans="1:9" x14ac:dyDescent="0.2">
      <c r="A4" s="3" t="str">
        <f>"ENSG00000230092.7"</f>
        <v>ENSG00000230092.7</v>
      </c>
      <c r="B4" s="3">
        <v>61.326036797390103</v>
      </c>
      <c r="C4" s="3">
        <v>1.44147785065568</v>
      </c>
      <c r="D4" s="3">
        <v>0.470948708070762</v>
      </c>
      <c r="E4" s="3">
        <v>3.0607958487893101</v>
      </c>
      <c r="F4" s="3">
        <v>2.2074955358618201E-3</v>
      </c>
      <c r="G4" s="3">
        <v>8.7627667345027502E-3</v>
      </c>
      <c r="H4" s="3" t="str">
        <f>"AL669831.4"</f>
        <v>AL669831.4</v>
      </c>
      <c r="I4" s="3" t="str">
        <f>"transcribed_unprocessed_pseudogene"</f>
        <v>transcribed_unprocessed_pseudogene</v>
      </c>
    </row>
    <row r="5" spans="1:9" x14ac:dyDescent="0.2">
      <c r="A5" s="3" t="str">
        <f>"ENSG00000187634.12"</f>
        <v>ENSG00000187634.12</v>
      </c>
      <c r="B5" s="3">
        <v>16.989692839403201</v>
      </c>
      <c r="C5" s="3">
        <v>-2.6666440876278199</v>
      </c>
      <c r="D5" s="3">
        <v>0.91123511452280004</v>
      </c>
      <c r="E5" s="3">
        <v>-2.9264061987166698</v>
      </c>
      <c r="F5" s="3">
        <v>3.42902894341602E-3</v>
      </c>
      <c r="G5" s="3">
        <v>1.28480131492377E-2</v>
      </c>
      <c r="H5" s="3" t="str">
        <f>"SAMD11"</f>
        <v>SAMD11</v>
      </c>
      <c r="I5" s="3" t="str">
        <f>"protein_coding"</f>
        <v>protein_coding</v>
      </c>
    </row>
    <row r="6" spans="1:9" x14ac:dyDescent="0.2">
      <c r="A6" s="3" t="str">
        <f>"ENSG00000187961.14"</f>
        <v>ENSG00000187961.14</v>
      </c>
      <c r="B6" s="3">
        <v>381.37480698120498</v>
      </c>
      <c r="C6" s="3">
        <v>-1.43168653851409</v>
      </c>
      <c r="D6" s="3">
        <v>0.27507574338958302</v>
      </c>
      <c r="E6" s="3">
        <v>-5.2046993343445402</v>
      </c>
      <c r="F6" s="4">
        <v>1.94310950323335E-7</v>
      </c>
      <c r="G6" s="4">
        <v>1.88211534428009E-6</v>
      </c>
      <c r="H6" s="3" t="str">
        <f>"KLHL17"</f>
        <v>KLHL17</v>
      </c>
      <c r="I6" s="3" t="str">
        <f>"protein_coding"</f>
        <v>protein_coding</v>
      </c>
    </row>
    <row r="7" spans="1:9" x14ac:dyDescent="0.2">
      <c r="A7" s="3" t="str">
        <f>"ENSG00000187642.9"</f>
        <v>ENSG00000187642.9</v>
      </c>
      <c r="B7" s="3">
        <v>123.82415861854101</v>
      </c>
      <c r="C7" s="3">
        <v>6.5691467712136999</v>
      </c>
      <c r="D7" s="3">
        <v>0.72752026298372097</v>
      </c>
      <c r="E7" s="3">
        <v>9.0295035141319495</v>
      </c>
      <c r="F7" s="4">
        <v>1.7245241660262899E-19</v>
      </c>
      <c r="G7" s="4">
        <v>6.2986742562625103E-18</v>
      </c>
      <c r="H7" s="3" t="str">
        <f>"PERM1"</f>
        <v>PERM1</v>
      </c>
      <c r="I7" s="3" t="str">
        <f>"protein_coding"</f>
        <v>protein_coding</v>
      </c>
    </row>
    <row r="8" spans="1:9" x14ac:dyDescent="0.2">
      <c r="A8" s="3" t="str">
        <f>"ENSG00000272512.1"</f>
        <v>ENSG00000272512.1</v>
      </c>
      <c r="B8" s="3">
        <v>38.753343051797501</v>
      </c>
      <c r="C8" s="3">
        <v>-1.7970228827557599</v>
      </c>
      <c r="D8" s="3">
        <v>0.58366741046095205</v>
      </c>
      <c r="E8" s="3">
        <v>-3.07884738902341</v>
      </c>
      <c r="F8" s="3">
        <v>2.07803100871028E-3</v>
      </c>
      <c r="G8" s="3">
        <v>8.3313877125263201E-3</v>
      </c>
      <c r="H8" s="3" t="str">
        <f>"AL645608.7"</f>
        <v>AL645608.7</v>
      </c>
      <c r="I8" s="3" t="str">
        <f>"lincRNA"</f>
        <v>lincRNA</v>
      </c>
    </row>
    <row r="9" spans="1:9" x14ac:dyDescent="0.2">
      <c r="A9" s="3" t="str">
        <f>"ENSG00000188290.10"</f>
        <v>ENSG00000188290.10</v>
      </c>
      <c r="B9" s="3">
        <v>107.31951201052399</v>
      </c>
      <c r="C9" s="3">
        <v>-1.54470846044258</v>
      </c>
      <c r="D9" s="3">
        <v>0.39526360670141603</v>
      </c>
      <c r="E9" s="3">
        <v>-3.9080462614142499</v>
      </c>
      <c r="F9" s="4">
        <v>9.3045492959871194E-5</v>
      </c>
      <c r="G9" s="3">
        <v>5.3700710584147604E-4</v>
      </c>
      <c r="H9" s="3" t="str">
        <f>"HES4"</f>
        <v>HES4</v>
      </c>
      <c r="I9" s="3" t="str">
        <f>"protein_coding"</f>
        <v>protein_coding</v>
      </c>
    </row>
    <row r="10" spans="1:9" x14ac:dyDescent="0.2">
      <c r="A10" s="3" t="str">
        <f>"ENSG00000217801.10"</f>
        <v>ENSG00000217801.10</v>
      </c>
      <c r="B10" s="3">
        <v>123.209677128622</v>
      </c>
      <c r="C10" s="3">
        <v>-1.4964548593488001</v>
      </c>
      <c r="D10" s="3">
        <v>0.351284895000394</v>
      </c>
      <c r="E10" s="3">
        <v>-4.2599465011073603</v>
      </c>
      <c r="F10" s="4">
        <v>2.04475840198749E-5</v>
      </c>
      <c r="G10" s="3">
        <v>1.35622035489175E-4</v>
      </c>
      <c r="H10" s="3" t="str">
        <f>"AL390719.1"</f>
        <v>AL390719.1</v>
      </c>
      <c r="I10" s="3" t="str">
        <f>"transcribed_unprocessed_pseudogene"</f>
        <v>transcribed_unprocessed_pseudogene</v>
      </c>
    </row>
    <row r="11" spans="1:9" x14ac:dyDescent="0.2">
      <c r="A11" s="3" t="str">
        <f>"ENSG00000131591.17"</f>
        <v>ENSG00000131591.17</v>
      </c>
      <c r="B11" s="3">
        <v>345.57582458626001</v>
      </c>
      <c r="C11" s="3">
        <v>-1.0536859776146299</v>
      </c>
      <c r="D11" s="3">
        <v>0.25434120578893299</v>
      </c>
      <c r="E11" s="3">
        <v>-4.1428048370936503</v>
      </c>
      <c r="F11" s="4">
        <v>3.4308388974890598E-5</v>
      </c>
      <c r="G11" s="3">
        <v>2.1719346524136699E-4</v>
      </c>
      <c r="H11" s="3" t="str">
        <f>"C1orf159"</f>
        <v>C1orf159</v>
      </c>
      <c r="I11" s="3" t="str">
        <f>"protein_coding"</f>
        <v>protein_coding</v>
      </c>
    </row>
    <row r="12" spans="1:9" x14ac:dyDescent="0.2">
      <c r="A12" s="3" t="str">
        <f>"ENSG00000223823.1"</f>
        <v>ENSG00000223823.1</v>
      </c>
      <c r="B12" s="3">
        <v>52.790061610897503</v>
      </c>
      <c r="C12" s="3">
        <v>-3.6415378907184701</v>
      </c>
      <c r="D12" s="3">
        <v>0.63071263195525695</v>
      </c>
      <c r="E12" s="3">
        <v>-5.7736878987652798</v>
      </c>
      <c r="F12" s="4">
        <v>7.7555031083164E-9</v>
      </c>
      <c r="G12" s="4">
        <v>9.3709176581949896E-8</v>
      </c>
      <c r="H12" s="3" t="str">
        <f>"LINC01342"</f>
        <v>LINC01342</v>
      </c>
      <c r="I12" s="3" t="str">
        <f>"lincRNA"</f>
        <v>lincRNA</v>
      </c>
    </row>
    <row r="13" spans="1:9" x14ac:dyDescent="0.2">
      <c r="A13" s="3" t="str">
        <f>"ENSG00000272141.1"</f>
        <v>ENSG00000272141.1</v>
      </c>
      <c r="B13" s="3">
        <v>18.753888734547701</v>
      </c>
      <c r="C13" s="3">
        <v>-4.6730210765993201</v>
      </c>
      <c r="D13" s="3">
        <v>1.10890896615944</v>
      </c>
      <c r="E13" s="3">
        <v>-4.2140709645298502</v>
      </c>
      <c r="F13" s="4">
        <v>2.5080842385143601E-5</v>
      </c>
      <c r="G13" s="3">
        <v>1.6305838999475201E-4</v>
      </c>
      <c r="H13" s="3" t="str">
        <f>"AL390719.2"</f>
        <v>AL390719.2</v>
      </c>
      <c r="I13" s="3" t="str">
        <f>"lincRNA"</f>
        <v>lincRNA</v>
      </c>
    </row>
    <row r="14" spans="1:9" x14ac:dyDescent="0.2">
      <c r="A14" s="3" t="str">
        <f>"ENSG00000162572.20"</f>
        <v>ENSG00000162572.20</v>
      </c>
      <c r="B14" s="3">
        <v>80.353460351676404</v>
      </c>
      <c r="C14" s="3">
        <v>1.3135178945622901</v>
      </c>
      <c r="D14" s="3">
        <v>0.44338867343557498</v>
      </c>
      <c r="E14" s="3">
        <v>2.9624525236167099</v>
      </c>
      <c r="F14" s="3">
        <v>3.0519887203866399E-3</v>
      </c>
      <c r="G14" s="3">
        <v>1.16320515686634E-2</v>
      </c>
      <c r="H14" s="3" t="str">
        <f>"SCNN1D"</f>
        <v>SCNN1D</v>
      </c>
      <c r="I14" s="3" t="str">
        <f t="shared" ref="I14:I19" si="0">"protein_coding"</f>
        <v>protein_coding</v>
      </c>
    </row>
    <row r="15" spans="1:9" x14ac:dyDescent="0.2">
      <c r="A15" s="3" t="str">
        <f>"ENSG00000169972.12"</f>
        <v>ENSG00000169972.12</v>
      </c>
      <c r="B15" s="3">
        <v>486.04215415742402</v>
      </c>
      <c r="C15" s="3">
        <v>-1.1647876403886099</v>
      </c>
      <c r="D15" s="3">
        <v>0.25884429357556998</v>
      </c>
      <c r="E15" s="3">
        <v>-4.4999548736373702</v>
      </c>
      <c r="F15" s="4">
        <v>6.7967889721353297E-6</v>
      </c>
      <c r="G15" s="4">
        <v>4.9863249629448399E-5</v>
      </c>
      <c r="H15" s="3" t="str">
        <f>"PUSL1"</f>
        <v>PUSL1</v>
      </c>
      <c r="I15" s="3" t="str">
        <f t="shared" si="0"/>
        <v>protein_coding</v>
      </c>
    </row>
    <row r="16" spans="1:9" x14ac:dyDescent="0.2">
      <c r="A16" s="3" t="str">
        <f>"ENSG00000169962.5"</f>
        <v>ENSG00000169962.5</v>
      </c>
      <c r="B16" s="3">
        <v>24.948810324297799</v>
      </c>
      <c r="C16" s="3">
        <v>1.76180546215876</v>
      </c>
      <c r="D16" s="3">
        <v>0.69670224930222802</v>
      </c>
      <c r="E16" s="3">
        <v>2.5287782032041202</v>
      </c>
      <c r="F16" s="3">
        <v>1.14460333793132E-2</v>
      </c>
      <c r="G16" s="3">
        <v>3.5593479968745498E-2</v>
      </c>
      <c r="H16" s="3" t="str">
        <f>"TAS1R3"</f>
        <v>TAS1R3</v>
      </c>
      <c r="I16" s="3" t="str">
        <f t="shared" si="0"/>
        <v>protein_coding</v>
      </c>
    </row>
    <row r="17" spans="1:9" x14ac:dyDescent="0.2">
      <c r="A17" s="3" t="str">
        <f>"ENSG00000107404.20"</f>
        <v>ENSG00000107404.20</v>
      </c>
      <c r="B17" s="3">
        <v>2439.7486013788898</v>
      </c>
      <c r="C17" s="3">
        <v>-1.7290784835926001</v>
      </c>
      <c r="D17" s="3">
        <v>0.219035934631268</v>
      </c>
      <c r="E17" s="3">
        <v>-7.8940402473383404</v>
      </c>
      <c r="F17" s="4">
        <v>2.9255775438045899E-15</v>
      </c>
      <c r="G17" s="4">
        <v>7.4988910005685502E-14</v>
      </c>
      <c r="H17" s="3" t="str">
        <f>"DVL1"</f>
        <v>DVL1</v>
      </c>
      <c r="I17" s="3" t="str">
        <f t="shared" si="0"/>
        <v>protein_coding</v>
      </c>
    </row>
    <row r="18" spans="1:9" x14ac:dyDescent="0.2">
      <c r="A18" s="3" t="str">
        <f>"ENSG00000162576.16"</f>
        <v>ENSG00000162576.16</v>
      </c>
      <c r="B18" s="3">
        <v>517.66596968810404</v>
      </c>
      <c r="C18" s="3">
        <v>-1.33490692427033</v>
      </c>
      <c r="D18" s="3">
        <v>0.26574688940132701</v>
      </c>
      <c r="E18" s="3">
        <v>-5.0232269031543497</v>
      </c>
      <c r="F18" s="4">
        <v>5.0810455878777195E-7</v>
      </c>
      <c r="G18" s="4">
        <v>4.5857320017523799E-6</v>
      </c>
      <c r="H18" s="3" t="str">
        <f>"MXRA8"</f>
        <v>MXRA8</v>
      </c>
      <c r="I18" s="3" t="str">
        <f t="shared" si="0"/>
        <v>protein_coding</v>
      </c>
    </row>
    <row r="19" spans="1:9" x14ac:dyDescent="0.2">
      <c r="A19" s="3" t="str">
        <f>"ENSG00000235098.8"</f>
        <v>ENSG00000235098.8</v>
      </c>
      <c r="B19" s="3">
        <v>1151.7145548194101</v>
      </c>
      <c r="C19" s="3">
        <v>2.0473622268118601</v>
      </c>
      <c r="D19" s="3">
        <v>0.243244554918887</v>
      </c>
      <c r="E19" s="3">
        <v>8.4168882115144701</v>
      </c>
      <c r="F19" s="4">
        <v>3.8661627469001303E-17</v>
      </c>
      <c r="G19" s="4">
        <v>1.1627079068961099E-15</v>
      </c>
      <c r="H19" s="3" t="str">
        <f>"ANKRD65"</f>
        <v>ANKRD65</v>
      </c>
      <c r="I19" s="3" t="str">
        <f t="shared" si="0"/>
        <v>protein_coding</v>
      </c>
    </row>
    <row r="20" spans="1:9" x14ac:dyDescent="0.2">
      <c r="A20" s="3" t="str">
        <f>"ENSG00000225905.1"</f>
        <v>ENSG00000225905.1</v>
      </c>
      <c r="B20" s="3">
        <v>31.8776245597704</v>
      </c>
      <c r="C20" s="3">
        <v>2.8486709525793099</v>
      </c>
      <c r="D20" s="3">
        <v>0.71426458896219303</v>
      </c>
      <c r="E20" s="3">
        <v>3.98825728812673</v>
      </c>
      <c r="F20" s="4">
        <v>6.6560453923806095E-5</v>
      </c>
      <c r="G20" s="3">
        <v>3.9597656944584001E-4</v>
      </c>
      <c r="H20" s="3" t="str">
        <f>"AL391244.1"</f>
        <v>AL391244.1</v>
      </c>
      <c r="I20" s="3" t="str">
        <f>"antisense"</f>
        <v>antisense</v>
      </c>
    </row>
    <row r="21" spans="1:9" x14ac:dyDescent="0.2">
      <c r="A21" s="3" t="str">
        <f>"ENSG00000179403.12"</f>
        <v>ENSG00000179403.12</v>
      </c>
      <c r="B21" s="3">
        <v>1768.8799251257699</v>
      </c>
      <c r="C21" s="3">
        <v>-1.8852764421321</v>
      </c>
      <c r="D21" s="3">
        <v>0.24347486041532301</v>
      </c>
      <c r="E21" s="3">
        <v>-7.7432078158548698</v>
      </c>
      <c r="F21" s="4">
        <v>9.6939401268504901E-15</v>
      </c>
      <c r="G21" s="4">
        <v>2.34123730229853E-13</v>
      </c>
      <c r="H21" s="3" t="str">
        <f>"VWA1"</f>
        <v>VWA1</v>
      </c>
      <c r="I21" s="3" t="str">
        <f t="shared" ref="I21:I27" si="1">"protein_coding"</f>
        <v>protein_coding</v>
      </c>
    </row>
    <row r="22" spans="1:9" x14ac:dyDescent="0.2">
      <c r="A22" s="3" t="str">
        <f>"ENSG00000215915.9"</f>
        <v>ENSG00000215915.9</v>
      </c>
      <c r="B22" s="3">
        <v>163.87576000865801</v>
      </c>
      <c r="C22" s="3">
        <v>1.30109108482039</v>
      </c>
      <c r="D22" s="3">
        <v>0.33800708057041201</v>
      </c>
      <c r="E22" s="3">
        <v>3.8493012709222101</v>
      </c>
      <c r="F22" s="3">
        <v>1.18455242758137E-4</v>
      </c>
      <c r="G22" s="3">
        <v>6.6753877961343302E-4</v>
      </c>
      <c r="H22" s="3" t="str">
        <f>"ATAD3C"</f>
        <v>ATAD3C</v>
      </c>
      <c r="I22" s="3" t="str">
        <f t="shared" si="1"/>
        <v>protein_coding</v>
      </c>
    </row>
    <row r="23" spans="1:9" x14ac:dyDescent="0.2">
      <c r="A23" s="3" t="str">
        <f>"ENSG00000160072.19"</f>
        <v>ENSG00000160072.19</v>
      </c>
      <c r="B23" s="3">
        <v>1352.2555267984999</v>
      </c>
      <c r="C23" s="3">
        <v>-1.50737224080322</v>
      </c>
      <c r="D23" s="3">
        <v>0.22336047835185899</v>
      </c>
      <c r="E23" s="3">
        <v>-6.7486076853250001</v>
      </c>
      <c r="F23" s="4">
        <v>1.4927059421142099E-11</v>
      </c>
      <c r="G23" s="4">
        <v>2.5757921978965101E-10</v>
      </c>
      <c r="H23" s="3" t="str">
        <f>"ATAD3B"</f>
        <v>ATAD3B</v>
      </c>
      <c r="I23" s="3" t="str">
        <f t="shared" si="1"/>
        <v>protein_coding</v>
      </c>
    </row>
    <row r="24" spans="1:9" x14ac:dyDescent="0.2">
      <c r="A24" s="3" t="str">
        <f>"ENSG00000197785.13"</f>
        <v>ENSG00000197785.13</v>
      </c>
      <c r="B24" s="3">
        <v>1234.15698384911</v>
      </c>
      <c r="C24" s="3">
        <v>-1.64209116228069</v>
      </c>
      <c r="D24" s="3">
        <v>0.228999207425028</v>
      </c>
      <c r="E24" s="3">
        <v>-7.1707285834964898</v>
      </c>
      <c r="F24" s="4">
        <v>7.4599673490218303E-13</v>
      </c>
      <c r="G24" s="4">
        <v>1.50564244710221E-11</v>
      </c>
      <c r="H24" s="3" t="str">
        <f>"ATAD3A"</f>
        <v>ATAD3A</v>
      </c>
      <c r="I24" s="3" t="str">
        <f t="shared" si="1"/>
        <v>protein_coding</v>
      </c>
    </row>
    <row r="25" spans="1:9" x14ac:dyDescent="0.2">
      <c r="A25" s="3" t="str">
        <f>"ENSG00000197530.12"</f>
        <v>ENSG00000197530.12</v>
      </c>
      <c r="B25" s="3">
        <v>2419.1234237293402</v>
      </c>
      <c r="C25" s="3">
        <v>1.6024725100128201</v>
      </c>
      <c r="D25" s="3">
        <v>0.1975459636993</v>
      </c>
      <c r="E25" s="3">
        <v>8.1118969985742897</v>
      </c>
      <c r="F25" s="4">
        <v>4.9835537566121505E-16</v>
      </c>
      <c r="G25" s="4">
        <v>1.36606528376671E-14</v>
      </c>
      <c r="H25" s="3" t="str">
        <f>"MIB2"</f>
        <v>MIB2</v>
      </c>
      <c r="I25" s="3" t="str">
        <f t="shared" si="1"/>
        <v>protein_coding</v>
      </c>
    </row>
    <row r="26" spans="1:9" x14ac:dyDescent="0.2">
      <c r="A26" s="3" t="str">
        <f>"ENSG00000169885.10"</f>
        <v>ENSG00000169885.10</v>
      </c>
      <c r="B26" s="3">
        <v>19.872124352439801</v>
      </c>
      <c r="C26" s="3">
        <v>4.1859160475895898</v>
      </c>
      <c r="D26" s="3">
        <v>1.0166617791036201</v>
      </c>
      <c r="E26" s="3">
        <v>4.1173142667763996</v>
      </c>
      <c r="F26" s="4">
        <v>3.8331322013857097E-5</v>
      </c>
      <c r="G26" s="3">
        <v>2.40040916233302E-4</v>
      </c>
      <c r="H26" s="3" t="str">
        <f>"CALML6"</f>
        <v>CALML6</v>
      </c>
      <c r="I26" s="3" t="str">
        <f t="shared" si="1"/>
        <v>protein_coding</v>
      </c>
    </row>
    <row r="27" spans="1:9" x14ac:dyDescent="0.2">
      <c r="A27" s="3" t="str">
        <f>"ENSG00000142609.18"</f>
        <v>ENSG00000142609.18</v>
      </c>
      <c r="B27" s="3">
        <v>65.399223492675006</v>
      </c>
      <c r="C27" s="3">
        <v>1.85405819956364</v>
      </c>
      <c r="D27" s="3">
        <v>0.45809953162931299</v>
      </c>
      <c r="E27" s="3">
        <v>4.0472824605808899</v>
      </c>
      <c r="F27" s="4">
        <v>5.1815700003921701E-5</v>
      </c>
      <c r="G27" s="3">
        <v>3.1605605059477397E-4</v>
      </c>
      <c r="H27" s="3" t="str">
        <f>"CFAP74"</f>
        <v>CFAP74</v>
      </c>
      <c r="I27" s="3" t="str">
        <f t="shared" si="1"/>
        <v>protein_coding</v>
      </c>
    </row>
    <row r="28" spans="1:9" x14ac:dyDescent="0.2">
      <c r="A28" s="3" t="str">
        <f>"ENSG00000269896.2"</f>
        <v>ENSG00000269896.2</v>
      </c>
      <c r="B28" s="3">
        <v>63.819391810899702</v>
      </c>
      <c r="C28" s="3">
        <v>2.2519352873418201</v>
      </c>
      <c r="D28" s="3">
        <v>0.476548419052789</v>
      </c>
      <c r="E28" s="3">
        <v>4.7255120304834497</v>
      </c>
      <c r="F28" s="4">
        <v>2.2953624407364098E-6</v>
      </c>
      <c r="G28" s="4">
        <v>1.8448890980160799E-5</v>
      </c>
      <c r="H28" s="3" t="str">
        <f>"AL513477.1"</f>
        <v>AL513477.1</v>
      </c>
      <c r="I28" s="3" t="str">
        <f>"transcribed_processed_pseudogene"</f>
        <v>transcribed_processed_pseudogene</v>
      </c>
    </row>
    <row r="29" spans="1:9" x14ac:dyDescent="0.2">
      <c r="A29" s="3" t="str">
        <f>"ENSG00000197921.6"</f>
        <v>ENSG00000197921.6</v>
      </c>
      <c r="B29" s="3">
        <v>12.875252514924799</v>
      </c>
      <c r="C29" s="3">
        <v>2.86310477860185</v>
      </c>
      <c r="D29" s="3">
        <v>1.09800640875903</v>
      </c>
      <c r="E29" s="3">
        <v>2.6075483310136098</v>
      </c>
      <c r="F29" s="3">
        <v>9.1193195656029697E-3</v>
      </c>
      <c r="G29" s="3">
        <v>2.94365715204341E-2</v>
      </c>
      <c r="H29" s="3" t="str">
        <f>"HES5"</f>
        <v>HES5</v>
      </c>
      <c r="I29" s="3" t="str">
        <f>"protein_coding"</f>
        <v>protein_coding</v>
      </c>
    </row>
    <row r="30" spans="1:9" x14ac:dyDescent="0.2">
      <c r="A30" s="3" t="str">
        <f>"ENSG00000238164.6"</f>
        <v>ENSG00000238164.6</v>
      </c>
      <c r="B30" s="3">
        <v>434.58224587569299</v>
      </c>
      <c r="C30" s="3">
        <v>3.9078436584621499</v>
      </c>
      <c r="D30" s="3">
        <v>0.31664953514539601</v>
      </c>
      <c r="E30" s="3">
        <v>12.341226576150801</v>
      </c>
      <c r="F30" s="4">
        <v>5.4321960938870001E-35</v>
      </c>
      <c r="G30" s="4">
        <v>5.6277964627429403E-33</v>
      </c>
      <c r="H30" s="3" t="str">
        <f>"TNFRSF14-AS1"</f>
        <v>TNFRSF14-AS1</v>
      </c>
      <c r="I30" s="3" t="str">
        <f>"antisense"</f>
        <v>antisense</v>
      </c>
    </row>
    <row r="31" spans="1:9" x14ac:dyDescent="0.2">
      <c r="A31" s="3" t="str">
        <f>"ENSG00000157873.17"</f>
        <v>ENSG00000157873.17</v>
      </c>
      <c r="B31" s="3">
        <v>1130.42986640193</v>
      </c>
      <c r="C31" s="3">
        <v>2.2502852879314998</v>
      </c>
      <c r="D31" s="3">
        <v>0.22207206867842</v>
      </c>
      <c r="E31" s="3">
        <v>10.133130660344801</v>
      </c>
      <c r="F31" s="4">
        <v>3.9383409772687297E-24</v>
      </c>
      <c r="G31" s="4">
        <v>2.0557083641310501E-22</v>
      </c>
      <c r="H31" s="3" t="str">
        <f>"TNFRSF14"</f>
        <v>TNFRSF14</v>
      </c>
      <c r="I31" s="3" t="str">
        <f>"protein_coding"</f>
        <v>protein_coding</v>
      </c>
    </row>
    <row r="32" spans="1:9" x14ac:dyDescent="0.2">
      <c r="A32" s="3" t="str">
        <f>"ENSG00000157870.16"</f>
        <v>ENSG00000157870.16</v>
      </c>
      <c r="B32" s="3">
        <v>616.87129333075995</v>
      </c>
      <c r="C32" s="3">
        <v>-1.60887182557567</v>
      </c>
      <c r="D32" s="3">
        <v>0.22850695608104399</v>
      </c>
      <c r="E32" s="3">
        <v>-7.0408002153118501</v>
      </c>
      <c r="F32" s="4">
        <v>1.9113890291070198E-12</v>
      </c>
      <c r="G32" s="4">
        <v>3.6572764660167698E-11</v>
      </c>
      <c r="H32" s="3" t="str">
        <f>"PRXL2B"</f>
        <v>PRXL2B</v>
      </c>
      <c r="I32" s="3" t="str">
        <f>"protein_coding"</f>
        <v>protein_coding</v>
      </c>
    </row>
    <row r="33" spans="1:9" x14ac:dyDescent="0.2">
      <c r="A33" s="3" t="str">
        <f>"ENSG00000130762.15"</f>
        <v>ENSG00000130762.15</v>
      </c>
      <c r="B33" s="3">
        <v>762.80968491501096</v>
      </c>
      <c r="C33" s="3">
        <v>-1.4516448291702</v>
      </c>
      <c r="D33" s="3">
        <v>0.23656903597297299</v>
      </c>
      <c r="E33" s="3">
        <v>-6.1362418931953604</v>
      </c>
      <c r="F33" s="4">
        <v>8.4496468049345698E-10</v>
      </c>
      <c r="G33" s="4">
        <v>1.1604210004740499E-8</v>
      </c>
      <c r="H33" s="3" t="str">
        <f>"ARHGEF16"</f>
        <v>ARHGEF16</v>
      </c>
      <c r="I33" s="3" t="str">
        <f>"protein_coding"</f>
        <v>protein_coding</v>
      </c>
    </row>
    <row r="34" spans="1:9" x14ac:dyDescent="0.2">
      <c r="A34" s="3" t="str">
        <f>"ENSG00000207776.1"</f>
        <v>ENSG00000207776.1</v>
      </c>
      <c r="B34" s="3">
        <v>47.660158225927702</v>
      </c>
      <c r="C34" s="3">
        <v>-1.47889463983338</v>
      </c>
      <c r="D34" s="3">
        <v>0.50996165770163704</v>
      </c>
      <c r="E34" s="3">
        <v>-2.9000114371316901</v>
      </c>
      <c r="F34" s="3">
        <v>3.73149044323176E-3</v>
      </c>
      <c r="G34" s="3">
        <v>1.3823510551561599E-2</v>
      </c>
      <c r="H34" s="3" t="str">
        <f>"MIR551A"</f>
        <v>MIR551A</v>
      </c>
      <c r="I34" s="3" t="str">
        <f>"miRNA"</f>
        <v>miRNA</v>
      </c>
    </row>
    <row r="35" spans="1:9" x14ac:dyDescent="0.2">
      <c r="A35" s="3" t="str">
        <f>"ENSG00000158109.15"</f>
        <v>ENSG00000158109.15</v>
      </c>
      <c r="B35" s="3">
        <v>1031.62850169222</v>
      </c>
      <c r="C35" s="3">
        <v>-1.1139540520507101</v>
      </c>
      <c r="D35" s="3">
        <v>0.22754823477214001</v>
      </c>
      <c r="E35" s="3">
        <v>-4.8954633867680597</v>
      </c>
      <c r="F35" s="4">
        <v>9.8074351182231902E-7</v>
      </c>
      <c r="G35" s="4">
        <v>8.43507527355515E-6</v>
      </c>
      <c r="H35" s="3" t="str">
        <f>"TPRG1L"</f>
        <v>TPRG1L</v>
      </c>
      <c r="I35" s="3" t="str">
        <f>"protein_coding"</f>
        <v>protein_coding</v>
      </c>
    </row>
    <row r="36" spans="1:9" x14ac:dyDescent="0.2">
      <c r="A36" s="3" t="str">
        <f>"ENSG00000078900.15"</f>
        <v>ENSG00000078900.15</v>
      </c>
      <c r="B36" s="3">
        <v>89.817127434648995</v>
      </c>
      <c r="C36" s="3">
        <v>1.0864823087840201</v>
      </c>
      <c r="D36" s="3">
        <v>0.41052215307936402</v>
      </c>
      <c r="E36" s="3">
        <v>2.6465863063277202</v>
      </c>
      <c r="F36" s="3">
        <v>8.1308754045728796E-3</v>
      </c>
      <c r="G36" s="3">
        <v>2.6730449100916698E-2</v>
      </c>
      <c r="H36" s="3" t="str">
        <f>"TP73"</f>
        <v>TP73</v>
      </c>
      <c r="I36" s="3" t="str">
        <f>"protein_coding"</f>
        <v>protein_coding</v>
      </c>
    </row>
    <row r="37" spans="1:9" x14ac:dyDescent="0.2">
      <c r="A37" s="3" t="str">
        <f>"ENSG00000169598.15"</f>
        <v>ENSG00000169598.15</v>
      </c>
      <c r="B37" s="3">
        <v>230.00368358115401</v>
      </c>
      <c r="C37" s="3">
        <v>-2.02049137003636</v>
      </c>
      <c r="D37" s="3">
        <v>0.29203146343835501</v>
      </c>
      <c r="E37" s="3">
        <v>-6.91874548806235</v>
      </c>
      <c r="F37" s="4">
        <v>4.5566064309679804E-12</v>
      </c>
      <c r="G37" s="4">
        <v>8.32688500500232E-11</v>
      </c>
      <c r="H37" s="3" t="str">
        <f>"DFFB"</f>
        <v>DFFB</v>
      </c>
      <c r="I37" s="3" t="str">
        <f>"protein_coding"</f>
        <v>protein_coding</v>
      </c>
    </row>
    <row r="38" spans="1:9" x14ac:dyDescent="0.2">
      <c r="A38" s="3" t="str">
        <f>"ENSG00000198912.11"</f>
        <v>ENSG00000198912.11</v>
      </c>
      <c r="B38" s="3">
        <v>773.898800382275</v>
      </c>
      <c r="C38" s="3">
        <v>-1.38587931255748</v>
      </c>
      <c r="D38" s="3">
        <v>0.22868623735284799</v>
      </c>
      <c r="E38" s="3">
        <v>-6.0601780351965697</v>
      </c>
      <c r="F38" s="4">
        <v>1.3597096305650399E-9</v>
      </c>
      <c r="G38" s="4">
        <v>1.8187534758962099E-8</v>
      </c>
      <c r="H38" s="3" t="str">
        <f>"C1orf174"</f>
        <v>C1orf174</v>
      </c>
      <c r="I38" s="3" t="str">
        <f>"protein_coding"</f>
        <v>protein_coding</v>
      </c>
    </row>
    <row r="39" spans="1:9" x14ac:dyDescent="0.2">
      <c r="A39" s="3" t="str">
        <f>"ENSG00000236423.5"</f>
        <v>ENSG00000236423.5</v>
      </c>
      <c r="B39" s="3">
        <v>120.254439382952</v>
      </c>
      <c r="C39" s="3">
        <v>-1.6635443241616099</v>
      </c>
      <c r="D39" s="3">
        <v>0.38665371905036999</v>
      </c>
      <c r="E39" s="3">
        <v>-4.3024138711178299</v>
      </c>
      <c r="F39" s="4">
        <v>1.6894735296755101E-5</v>
      </c>
      <c r="G39" s="3">
        <v>1.1405620729204299E-4</v>
      </c>
      <c r="H39" s="3" t="str">
        <f>"LINC01134"</f>
        <v>LINC01134</v>
      </c>
      <c r="I39" s="3" t="str">
        <f>"lincRNA"</f>
        <v>lincRNA</v>
      </c>
    </row>
    <row r="40" spans="1:9" x14ac:dyDescent="0.2">
      <c r="A40" s="3" t="str">
        <f>"ENSG00000131697.18"</f>
        <v>ENSG00000131697.18</v>
      </c>
      <c r="B40" s="3">
        <v>992.79922034480001</v>
      </c>
      <c r="C40" s="3">
        <v>-1.0593985511134001</v>
      </c>
      <c r="D40" s="3">
        <v>0.220607989013308</v>
      </c>
      <c r="E40" s="3">
        <v>-4.80217672919132</v>
      </c>
      <c r="F40" s="4">
        <v>1.5695007460768701E-6</v>
      </c>
      <c r="G40" s="4">
        <v>1.30021851104763E-5</v>
      </c>
      <c r="H40" s="3" t="str">
        <f>"NPHP4"</f>
        <v>NPHP4</v>
      </c>
      <c r="I40" s="3" t="str">
        <f t="shared" ref="I40:I48" si="2">"protein_coding"</f>
        <v>protein_coding</v>
      </c>
    </row>
    <row r="41" spans="1:9" x14ac:dyDescent="0.2">
      <c r="A41" s="3" t="str">
        <f>"ENSG00000116254.18"</f>
        <v>ENSG00000116254.18</v>
      </c>
      <c r="B41" s="3">
        <v>215.48223825005999</v>
      </c>
      <c r="C41" s="3">
        <v>4.2728097420668298</v>
      </c>
      <c r="D41" s="3">
        <v>0.361436337626871</v>
      </c>
      <c r="E41" s="3">
        <v>11.8217492190225</v>
      </c>
      <c r="F41" s="4">
        <v>3.0134379170704399E-32</v>
      </c>
      <c r="G41" s="4">
        <v>2.6658163287798199E-30</v>
      </c>
      <c r="H41" s="3" t="str">
        <f>"CHD5"</f>
        <v>CHD5</v>
      </c>
      <c r="I41" s="3" t="str">
        <f t="shared" si="2"/>
        <v>protein_coding</v>
      </c>
    </row>
    <row r="42" spans="1:9" x14ac:dyDescent="0.2">
      <c r="A42" s="3" t="str">
        <f>"ENSG00000158286.13"</f>
        <v>ENSG00000158286.13</v>
      </c>
      <c r="B42" s="3">
        <v>343.52575842392298</v>
      </c>
      <c r="C42" s="3">
        <v>-1.4924152549513201</v>
      </c>
      <c r="D42" s="3">
        <v>0.245795349942205</v>
      </c>
      <c r="E42" s="3">
        <v>-6.0717798579275</v>
      </c>
      <c r="F42" s="4">
        <v>1.26500270184763E-9</v>
      </c>
      <c r="G42" s="4">
        <v>1.6990836964106199E-8</v>
      </c>
      <c r="H42" s="3" t="str">
        <f>"RNF207"</f>
        <v>RNF207</v>
      </c>
      <c r="I42" s="3" t="str">
        <f t="shared" si="2"/>
        <v>protein_coding</v>
      </c>
    </row>
    <row r="43" spans="1:9" x14ac:dyDescent="0.2">
      <c r="A43" s="3" t="str">
        <f>"ENSG00000116237.16"</f>
        <v>ENSG00000116237.16</v>
      </c>
      <c r="B43" s="3">
        <v>3232.9006659066899</v>
      </c>
      <c r="C43" s="3">
        <v>-1.4030048085393101</v>
      </c>
      <c r="D43" s="3">
        <v>0.21417126265920799</v>
      </c>
      <c r="E43" s="3">
        <v>-6.5508546343670302</v>
      </c>
      <c r="F43" s="4">
        <v>5.7208726785239502E-11</v>
      </c>
      <c r="G43" s="4">
        <v>9.2289294181019603E-10</v>
      </c>
      <c r="H43" s="3" t="str">
        <f>"ICMT"</f>
        <v>ICMT</v>
      </c>
      <c r="I43" s="3" t="str">
        <f t="shared" si="2"/>
        <v>protein_coding</v>
      </c>
    </row>
    <row r="44" spans="1:9" x14ac:dyDescent="0.2">
      <c r="A44" s="3" t="str">
        <f>"ENSG00000158292.7"</f>
        <v>ENSG00000158292.7</v>
      </c>
      <c r="B44" s="3">
        <v>189.549426965073</v>
      </c>
      <c r="C44" s="3">
        <v>2.7002172950157002</v>
      </c>
      <c r="D44" s="3">
        <v>0.31944456203035099</v>
      </c>
      <c r="E44" s="3">
        <v>8.4528510294664105</v>
      </c>
      <c r="F44" s="4">
        <v>2.8427429296068003E-17</v>
      </c>
      <c r="G44" s="4">
        <v>8.67370846618102E-16</v>
      </c>
      <c r="H44" s="3" t="str">
        <f>"GPR153"</f>
        <v>GPR153</v>
      </c>
      <c r="I44" s="3" t="str">
        <f t="shared" si="2"/>
        <v>protein_coding</v>
      </c>
    </row>
    <row r="45" spans="1:9" x14ac:dyDescent="0.2">
      <c r="A45" s="3" t="str">
        <f>"ENSG00000069812.11"</f>
        <v>ENSG00000069812.11</v>
      </c>
      <c r="B45" s="3">
        <v>168.27904154132401</v>
      </c>
      <c r="C45" s="3">
        <v>4.4290580821735004</v>
      </c>
      <c r="D45" s="3">
        <v>0.40852730052654002</v>
      </c>
      <c r="E45" s="3">
        <v>10.841522895691501</v>
      </c>
      <c r="F45" s="4">
        <v>2.187981184176E-27</v>
      </c>
      <c r="G45" s="4">
        <v>1.4262182613694599E-25</v>
      </c>
      <c r="H45" s="3" t="str">
        <f>"HES2"</f>
        <v>HES2</v>
      </c>
      <c r="I45" s="3" t="str">
        <f t="shared" si="2"/>
        <v>protein_coding</v>
      </c>
    </row>
    <row r="46" spans="1:9" x14ac:dyDescent="0.2">
      <c r="A46" s="3" t="str">
        <f>"ENSG00000187017.16"</f>
        <v>ENSG00000187017.16</v>
      </c>
      <c r="B46" s="3">
        <v>1473.1427935817501</v>
      </c>
      <c r="C46" s="3">
        <v>-1.16748140780531</v>
      </c>
      <c r="D46" s="3">
        <v>0.21760638714801001</v>
      </c>
      <c r="E46" s="3">
        <v>-5.36510634226567</v>
      </c>
      <c r="F46" s="4">
        <v>8.0901540601608596E-8</v>
      </c>
      <c r="G46" s="4">
        <v>8.3307795796373005E-7</v>
      </c>
      <c r="H46" s="3" t="str">
        <f>"ESPN"</f>
        <v>ESPN</v>
      </c>
      <c r="I46" s="3" t="str">
        <f t="shared" si="2"/>
        <v>protein_coding</v>
      </c>
    </row>
    <row r="47" spans="1:9" x14ac:dyDescent="0.2">
      <c r="A47" s="3" t="str">
        <f>"ENSG00000215788.10"</f>
        <v>ENSG00000215788.10</v>
      </c>
      <c r="B47" s="3">
        <v>54.100654505408599</v>
      </c>
      <c r="C47" s="3">
        <v>1.8307455541426401</v>
      </c>
      <c r="D47" s="3">
        <v>0.50048222619402205</v>
      </c>
      <c r="E47" s="3">
        <v>3.6579631769638699</v>
      </c>
      <c r="F47" s="3">
        <v>2.54227560044051E-4</v>
      </c>
      <c r="G47" s="3">
        <v>1.3146590109167299E-3</v>
      </c>
      <c r="H47" s="3" t="str">
        <f>"TNFRSF25"</f>
        <v>TNFRSF25</v>
      </c>
      <c r="I47" s="3" t="str">
        <f t="shared" si="2"/>
        <v>protein_coding</v>
      </c>
    </row>
    <row r="48" spans="1:9" x14ac:dyDescent="0.2">
      <c r="A48" s="3" t="str">
        <f>"ENSG00000171680.21"</f>
        <v>ENSG00000171680.21</v>
      </c>
      <c r="B48" s="3">
        <v>508.777375949251</v>
      </c>
      <c r="C48" s="3">
        <v>1.2334340584971299</v>
      </c>
      <c r="D48" s="3">
        <v>0.24763560011288799</v>
      </c>
      <c r="E48" s="3">
        <v>4.9808430529974501</v>
      </c>
      <c r="F48" s="4">
        <v>6.3307868743232297E-7</v>
      </c>
      <c r="G48" s="4">
        <v>5.6059457252091296E-6</v>
      </c>
      <c r="H48" s="3" t="str">
        <f>"PLEKHG5"</f>
        <v>PLEKHG5</v>
      </c>
      <c r="I48" s="3" t="str">
        <f t="shared" si="2"/>
        <v>protein_coding</v>
      </c>
    </row>
    <row r="49" spans="1:9" x14ac:dyDescent="0.2">
      <c r="A49" s="3" t="str">
        <f>"ENSG00000270035.1"</f>
        <v>ENSG00000270035.1</v>
      </c>
      <c r="B49" s="3">
        <v>9.8802238082783695</v>
      </c>
      <c r="C49" s="3">
        <v>3.5500799304797002</v>
      </c>
      <c r="D49" s="3">
        <v>1.2872573503271001</v>
      </c>
      <c r="E49" s="3">
        <v>2.7578633981601199</v>
      </c>
      <c r="F49" s="3">
        <v>5.8180505061346298E-3</v>
      </c>
      <c r="G49" s="3">
        <v>2.01890501962112E-2</v>
      </c>
      <c r="H49" s="3" t="str">
        <f>"AL359881.2"</f>
        <v>AL359881.2</v>
      </c>
      <c r="I49" s="3" t="str">
        <f>"lincRNA"</f>
        <v>lincRNA</v>
      </c>
    </row>
    <row r="50" spans="1:9" x14ac:dyDescent="0.2">
      <c r="A50" s="3" t="str">
        <f>"ENSG00000269978.1"</f>
        <v>ENSG00000269978.1</v>
      </c>
      <c r="B50" s="3">
        <v>21.569731088664099</v>
      </c>
      <c r="C50" s="3">
        <v>1.8661234876058199</v>
      </c>
      <c r="D50" s="3">
        <v>0.75345698288714902</v>
      </c>
      <c r="E50" s="3">
        <v>2.47674854701734</v>
      </c>
      <c r="F50" s="3">
        <v>1.32585274465981E-2</v>
      </c>
      <c r="G50" s="3">
        <v>4.0255749647588497E-2</v>
      </c>
      <c r="H50" s="3" t="str">
        <f>"AL359881.1"</f>
        <v>AL359881.1</v>
      </c>
      <c r="I50" s="3" t="str">
        <f>"lincRNA"</f>
        <v>lincRNA</v>
      </c>
    </row>
    <row r="51" spans="1:9" x14ac:dyDescent="0.2">
      <c r="A51" s="3" t="str">
        <f>"ENSG00000049246.14"</f>
        <v>ENSG00000049246.14</v>
      </c>
      <c r="B51" s="3">
        <v>301.21495503996198</v>
      </c>
      <c r="C51" s="3">
        <v>-1.65682087401933</v>
      </c>
      <c r="D51" s="3">
        <v>0.26123554001535298</v>
      </c>
      <c r="E51" s="3">
        <v>-6.3422491209349401</v>
      </c>
      <c r="F51" s="4">
        <v>2.26434764209165E-10</v>
      </c>
      <c r="G51" s="4">
        <v>3.3277605288064298E-9</v>
      </c>
      <c r="H51" s="3" t="str">
        <f>"PER3"</f>
        <v>PER3</v>
      </c>
      <c r="I51" s="3" t="str">
        <f>"protein_coding"</f>
        <v>protein_coding</v>
      </c>
    </row>
    <row r="52" spans="1:9" x14ac:dyDescent="0.2">
      <c r="A52" s="3" t="str">
        <f>"ENSG00000049249.8"</f>
        <v>ENSG00000049249.8</v>
      </c>
      <c r="B52" s="3">
        <v>7.3742006763044099</v>
      </c>
      <c r="C52" s="3">
        <v>4.7880582450455504</v>
      </c>
      <c r="D52" s="3">
        <v>1.83861232792217</v>
      </c>
      <c r="E52" s="3">
        <v>2.6041695534896001</v>
      </c>
      <c r="F52" s="3">
        <v>9.2097182968161294E-3</v>
      </c>
      <c r="G52" s="3">
        <v>2.9654596364139599E-2</v>
      </c>
      <c r="H52" s="3" t="str">
        <f>"TNFRSF9"</f>
        <v>TNFRSF9</v>
      </c>
      <c r="I52" s="3" t="str">
        <f>"protein_coding"</f>
        <v>protein_coding</v>
      </c>
    </row>
    <row r="53" spans="1:9" x14ac:dyDescent="0.2">
      <c r="A53" s="3" t="str">
        <f>"ENSG00000074800.15"</f>
        <v>ENSG00000074800.15</v>
      </c>
      <c r="B53" s="3">
        <v>56426.771525545599</v>
      </c>
      <c r="C53" s="3">
        <v>-1.0039038622607199</v>
      </c>
      <c r="D53" s="3">
        <v>0.19738730349119599</v>
      </c>
      <c r="E53" s="3">
        <v>-5.0859596564958096</v>
      </c>
      <c r="F53" s="4">
        <v>3.6577180533246198E-7</v>
      </c>
      <c r="G53" s="4">
        <v>3.3829546435484E-6</v>
      </c>
      <c r="H53" s="3" t="str">
        <f>"ENO1"</f>
        <v>ENO1</v>
      </c>
      <c r="I53" s="3" t="str">
        <f>"protein_coding"</f>
        <v>protein_coding</v>
      </c>
    </row>
    <row r="54" spans="1:9" x14ac:dyDescent="0.2">
      <c r="A54" s="3" t="str">
        <f>"ENSG00000232208.2"</f>
        <v>ENSG00000232208.2</v>
      </c>
      <c r="B54" s="3">
        <v>30.8279228947288</v>
      </c>
      <c r="C54" s="3">
        <v>6.8889143920645504</v>
      </c>
      <c r="D54" s="3">
        <v>1.55163440333975</v>
      </c>
      <c r="E54" s="3">
        <v>4.4397793560369596</v>
      </c>
      <c r="F54" s="4">
        <v>9.00511542484461E-6</v>
      </c>
      <c r="G54" s="4">
        <v>6.4722337109137705E-5</v>
      </c>
      <c r="H54" s="3" t="str">
        <f>"AL139415.1"</f>
        <v>AL139415.1</v>
      </c>
      <c r="I54" s="3" t="str">
        <f>"processed_pseudogene"</f>
        <v>processed_pseudogene</v>
      </c>
    </row>
    <row r="55" spans="1:9" x14ac:dyDescent="0.2">
      <c r="A55" s="3" t="str">
        <f>"ENSG00000142583.17"</f>
        <v>ENSG00000142583.17</v>
      </c>
      <c r="B55" s="3">
        <v>34.101038969532603</v>
      </c>
      <c r="C55" s="3">
        <v>8.4891281893385706</v>
      </c>
      <c r="D55" s="3">
        <v>1.5508136038731799</v>
      </c>
      <c r="E55" s="3">
        <v>5.4739835710345002</v>
      </c>
      <c r="F55" s="4">
        <v>4.4002987780418001E-8</v>
      </c>
      <c r="G55" s="4">
        <v>4.7577357462422599E-7</v>
      </c>
      <c r="H55" s="3" t="str">
        <f>"SLC2A5"</f>
        <v>SLC2A5</v>
      </c>
      <c r="I55" s="3" t="str">
        <f>"protein_coding"</f>
        <v>protein_coding</v>
      </c>
    </row>
    <row r="56" spans="1:9" x14ac:dyDescent="0.2">
      <c r="A56" s="3" t="str">
        <f>"ENSG00000180758.12"</f>
        <v>ENSG00000180758.12</v>
      </c>
      <c r="B56" s="3">
        <v>757.76958044581897</v>
      </c>
      <c r="C56" s="3">
        <v>-1.31183429093947</v>
      </c>
      <c r="D56" s="3">
        <v>0.22784455803192399</v>
      </c>
      <c r="E56" s="3">
        <v>-5.7575844789572104</v>
      </c>
      <c r="F56" s="4">
        <v>8.5326070894034506E-9</v>
      </c>
      <c r="G56" s="4">
        <v>1.02282422069941E-7</v>
      </c>
      <c r="H56" s="3" t="str">
        <f>"GPR157"</f>
        <v>GPR157</v>
      </c>
      <c r="I56" s="3" t="str">
        <f>"protein_coding"</f>
        <v>protein_coding</v>
      </c>
    </row>
    <row r="57" spans="1:9" x14ac:dyDescent="0.2">
      <c r="A57" s="3" t="str">
        <f>"ENSG00000234546.3"</f>
        <v>ENSG00000234546.3</v>
      </c>
      <c r="B57" s="3">
        <v>130.16959987478199</v>
      </c>
      <c r="C57" s="3">
        <v>2.2822783571656902</v>
      </c>
      <c r="D57" s="3">
        <v>0.35704778762953399</v>
      </c>
      <c r="E57" s="3">
        <v>6.3920809377307704</v>
      </c>
      <c r="F57" s="4">
        <v>1.63643232739407E-10</v>
      </c>
      <c r="G57" s="4">
        <v>2.4688743978132001E-9</v>
      </c>
      <c r="H57" s="3" t="str">
        <f>"LNCTAM34A"</f>
        <v>LNCTAM34A</v>
      </c>
      <c r="I57" s="3" t="str">
        <f>"lincRNA"</f>
        <v>lincRNA</v>
      </c>
    </row>
    <row r="58" spans="1:9" x14ac:dyDescent="0.2">
      <c r="A58" s="3" t="str">
        <f>"ENSG00000173614.14"</f>
        <v>ENSG00000173614.14</v>
      </c>
      <c r="B58" s="3">
        <v>304.29372066255797</v>
      </c>
      <c r="C58" s="3">
        <v>1.5583219585127901</v>
      </c>
      <c r="D58" s="3">
        <v>0.256896946056692</v>
      </c>
      <c r="E58" s="3">
        <v>6.0659419367675298</v>
      </c>
      <c r="F58" s="4">
        <v>1.3118252009676801E-9</v>
      </c>
      <c r="G58" s="4">
        <v>1.7598868168767399E-8</v>
      </c>
      <c r="H58" s="3" t="str">
        <f>"NMNAT1"</f>
        <v>NMNAT1</v>
      </c>
      <c r="I58" s="3" t="str">
        <f t="shared" ref="I58:I72" si="3">"protein_coding"</f>
        <v>protein_coding</v>
      </c>
    </row>
    <row r="59" spans="1:9" x14ac:dyDescent="0.2">
      <c r="A59" s="3" t="str">
        <f>"ENSG00000116649.10"</f>
        <v>ENSG00000116649.10</v>
      </c>
      <c r="B59" s="3">
        <v>2237.8313793232201</v>
      </c>
      <c r="C59" s="3">
        <v>-1.72093184227355</v>
      </c>
      <c r="D59" s="3">
        <v>0.21531903164732899</v>
      </c>
      <c r="E59" s="3">
        <v>-7.9924743721319498</v>
      </c>
      <c r="F59" s="4">
        <v>1.3225701120004701E-15</v>
      </c>
      <c r="G59" s="4">
        <v>3.4851129440693197E-14</v>
      </c>
      <c r="H59" s="3" t="str">
        <f>"SRM"</f>
        <v>SRM</v>
      </c>
      <c r="I59" s="3" t="str">
        <f t="shared" si="3"/>
        <v>protein_coding</v>
      </c>
    </row>
    <row r="60" spans="1:9" x14ac:dyDescent="0.2">
      <c r="A60" s="3" t="str">
        <f>"ENSG00000120942.13"</f>
        <v>ENSG00000120942.13</v>
      </c>
      <c r="B60" s="3">
        <v>1272.1549200229999</v>
      </c>
      <c r="C60" s="3">
        <v>-1.05521511821692</v>
      </c>
      <c r="D60" s="3">
        <v>0.20771351164290999</v>
      </c>
      <c r="E60" s="3">
        <v>-5.0801467361015504</v>
      </c>
      <c r="F60" s="4">
        <v>3.7714344343901802E-7</v>
      </c>
      <c r="G60" s="4">
        <v>3.4775050434459899E-6</v>
      </c>
      <c r="H60" s="3" t="str">
        <f>"UBIAD1"</f>
        <v>UBIAD1</v>
      </c>
      <c r="I60" s="3" t="str">
        <f t="shared" si="3"/>
        <v>protein_coding</v>
      </c>
    </row>
    <row r="61" spans="1:9" x14ac:dyDescent="0.2">
      <c r="A61" s="3" t="str">
        <f>"ENSG00000204624.8"</f>
        <v>ENSG00000204624.8</v>
      </c>
      <c r="B61" s="3">
        <v>14.512227872079</v>
      </c>
      <c r="C61" s="3">
        <v>3.70131671958422</v>
      </c>
      <c r="D61" s="3">
        <v>1.0964435014379199</v>
      </c>
      <c r="E61" s="3">
        <v>3.3757477833834302</v>
      </c>
      <c r="F61" s="3">
        <v>7.3615370479428904E-4</v>
      </c>
      <c r="G61" s="3">
        <v>3.3813182728472699E-3</v>
      </c>
      <c r="H61" s="3" t="str">
        <f>"DISP3"</f>
        <v>DISP3</v>
      </c>
      <c r="I61" s="3" t="str">
        <f t="shared" si="3"/>
        <v>protein_coding</v>
      </c>
    </row>
    <row r="62" spans="1:9" x14ac:dyDescent="0.2">
      <c r="A62" s="3" t="str">
        <f>"ENSG00000116661.11"</f>
        <v>ENSG00000116661.11</v>
      </c>
      <c r="B62" s="3">
        <v>2790.1418862414298</v>
      </c>
      <c r="C62" s="3">
        <v>1.1891115363825699</v>
      </c>
      <c r="D62" s="3">
        <v>0.208849053820268</v>
      </c>
      <c r="E62" s="3">
        <v>5.6936410035446201</v>
      </c>
      <c r="F62" s="4">
        <v>1.2435842330741601E-8</v>
      </c>
      <c r="G62" s="4">
        <v>1.4592566579918801E-7</v>
      </c>
      <c r="H62" s="3" t="str">
        <f>"FBXO2"</f>
        <v>FBXO2</v>
      </c>
      <c r="I62" s="3" t="str">
        <f t="shared" si="3"/>
        <v>protein_coding</v>
      </c>
    </row>
    <row r="63" spans="1:9" x14ac:dyDescent="0.2">
      <c r="A63" s="3" t="str">
        <f>"ENSG00000132879.14"</f>
        <v>ENSG00000132879.14</v>
      </c>
      <c r="B63" s="3">
        <v>1080.13923448789</v>
      </c>
      <c r="C63" s="3">
        <v>1.2015573331032099</v>
      </c>
      <c r="D63" s="3">
        <v>0.224503218356009</v>
      </c>
      <c r="E63" s="3">
        <v>5.3520717515854397</v>
      </c>
      <c r="F63" s="4">
        <v>8.6952904899154505E-8</v>
      </c>
      <c r="G63" s="4">
        <v>8.8834113227868904E-7</v>
      </c>
      <c r="H63" s="3" t="str">
        <f>"FBXO44"</f>
        <v>FBXO44</v>
      </c>
      <c r="I63" s="3" t="str">
        <f t="shared" si="3"/>
        <v>protein_coding</v>
      </c>
    </row>
    <row r="64" spans="1:9" x14ac:dyDescent="0.2">
      <c r="A64" s="3" t="str">
        <f>"ENSG00000116663.11"</f>
        <v>ENSG00000116663.11</v>
      </c>
      <c r="B64" s="3">
        <v>106.386087306777</v>
      </c>
      <c r="C64" s="3">
        <v>-1.35324960144572</v>
      </c>
      <c r="D64" s="3">
        <v>0.38673432269441699</v>
      </c>
      <c r="E64" s="3">
        <v>-3.4991711933337002</v>
      </c>
      <c r="F64" s="3">
        <v>4.6670682852843802E-4</v>
      </c>
      <c r="G64" s="3">
        <v>2.2522778882242901E-3</v>
      </c>
      <c r="H64" s="3" t="str">
        <f>"FBXO6"</f>
        <v>FBXO6</v>
      </c>
      <c r="I64" s="3" t="str">
        <f t="shared" si="3"/>
        <v>protein_coding</v>
      </c>
    </row>
    <row r="65" spans="1:9" x14ac:dyDescent="0.2">
      <c r="A65" s="3" t="str">
        <f>"ENSG00000116670.15"</f>
        <v>ENSG00000116670.15</v>
      </c>
      <c r="B65" s="3">
        <v>709.23167902731996</v>
      </c>
      <c r="C65" s="3">
        <v>-1.5433232364529801</v>
      </c>
      <c r="D65" s="3">
        <v>0.249628354649059</v>
      </c>
      <c r="E65" s="3">
        <v>-6.1824837111259399</v>
      </c>
      <c r="F65" s="4">
        <v>6.3100823945356603E-10</v>
      </c>
      <c r="G65" s="4">
        <v>8.7854274401590806E-9</v>
      </c>
      <c r="H65" s="3" t="str">
        <f>"MAD2L2"</f>
        <v>MAD2L2</v>
      </c>
      <c r="I65" s="3" t="str">
        <f t="shared" si="3"/>
        <v>protein_coding</v>
      </c>
    </row>
    <row r="66" spans="1:9" x14ac:dyDescent="0.2">
      <c r="A66" s="3" t="str">
        <f>"ENSG00000162490.7"</f>
        <v>ENSG00000162490.7</v>
      </c>
      <c r="B66" s="3">
        <v>370.42845627144902</v>
      </c>
      <c r="C66" s="3">
        <v>8.1599816457640095</v>
      </c>
      <c r="D66" s="3">
        <v>0.68864841471372296</v>
      </c>
      <c r="E66" s="3">
        <v>11.849270936252999</v>
      </c>
      <c r="F66" s="4">
        <v>2.1707109756761501E-32</v>
      </c>
      <c r="G66" s="4">
        <v>1.94725415533155E-30</v>
      </c>
      <c r="H66" s="3" t="str">
        <f>"DRAXIN"</f>
        <v>DRAXIN</v>
      </c>
      <c r="I66" s="3" t="str">
        <f t="shared" si="3"/>
        <v>protein_coding</v>
      </c>
    </row>
    <row r="67" spans="1:9" x14ac:dyDescent="0.2">
      <c r="A67" s="3" t="str">
        <f>"ENSG00000177674.16"</f>
        <v>ENSG00000177674.16</v>
      </c>
      <c r="B67" s="3">
        <v>1137.3601375657199</v>
      </c>
      <c r="C67" s="3">
        <v>1.3932156845039601</v>
      </c>
      <c r="D67" s="3">
        <v>0.241807195529606</v>
      </c>
      <c r="E67" s="3">
        <v>5.7616800089531699</v>
      </c>
      <c r="F67" s="4">
        <v>8.32807777516892E-9</v>
      </c>
      <c r="G67" s="4">
        <v>1.00050765052922E-7</v>
      </c>
      <c r="H67" s="3" t="str">
        <f>"AGTRAP"</f>
        <v>AGTRAP</v>
      </c>
      <c r="I67" s="3" t="str">
        <f t="shared" si="3"/>
        <v>protein_coding</v>
      </c>
    </row>
    <row r="68" spans="1:9" x14ac:dyDescent="0.2">
      <c r="A68" s="3" t="str">
        <f>"ENSG00000215910.7"</f>
        <v>ENSG00000215910.7</v>
      </c>
      <c r="B68" s="3">
        <v>7.9628598253684402</v>
      </c>
      <c r="C68" s="3">
        <v>6.3873668678988604</v>
      </c>
      <c r="D68" s="3">
        <v>1.84090701658378</v>
      </c>
      <c r="E68" s="3">
        <v>3.46968467736738</v>
      </c>
      <c r="F68" s="3">
        <v>5.2106970737389403E-4</v>
      </c>
      <c r="G68" s="3">
        <v>2.4868779675628798E-3</v>
      </c>
      <c r="H68" s="3" t="str">
        <f>"C1orf167"</f>
        <v>C1orf167</v>
      </c>
      <c r="I68" s="3" t="str">
        <f t="shared" si="3"/>
        <v>protein_coding</v>
      </c>
    </row>
    <row r="69" spans="1:9" x14ac:dyDescent="0.2">
      <c r="A69" s="3" t="str">
        <f>"ENSG00000011021.23"</f>
        <v>ENSG00000011021.23</v>
      </c>
      <c r="B69" s="3">
        <v>1821.7734660034</v>
      </c>
      <c r="C69" s="3">
        <v>-1.2116925793800399</v>
      </c>
      <c r="D69" s="3">
        <v>0.18674139997168099</v>
      </c>
      <c r="E69" s="3">
        <v>-6.4886124853074501</v>
      </c>
      <c r="F69" s="4">
        <v>8.6630466281829999E-11</v>
      </c>
      <c r="G69" s="4">
        <v>1.3604728039083701E-9</v>
      </c>
      <c r="H69" s="3" t="str">
        <f>"CLCN6"</f>
        <v>CLCN6</v>
      </c>
      <c r="I69" s="3" t="str">
        <f t="shared" si="3"/>
        <v>protein_coding</v>
      </c>
    </row>
    <row r="70" spans="1:9" x14ac:dyDescent="0.2">
      <c r="A70" s="3" t="str">
        <f>"ENSG00000116685.16"</f>
        <v>ENSG00000116685.16</v>
      </c>
      <c r="B70" s="3">
        <v>2703.6280210843101</v>
      </c>
      <c r="C70" s="3">
        <v>-1.7155645683931999</v>
      </c>
      <c r="D70" s="3">
        <v>0.21263827277918601</v>
      </c>
      <c r="E70" s="3">
        <v>-8.0679952201019205</v>
      </c>
      <c r="F70" s="4">
        <v>7.1461844022514697E-16</v>
      </c>
      <c r="G70" s="4">
        <v>1.9374336956034401E-14</v>
      </c>
      <c r="H70" s="3" t="str">
        <f>"KIAA2013"</f>
        <v>KIAA2013</v>
      </c>
      <c r="I70" s="3" t="str">
        <f t="shared" si="3"/>
        <v>protein_coding</v>
      </c>
    </row>
    <row r="71" spans="1:9" x14ac:dyDescent="0.2">
      <c r="A71" s="3" t="str">
        <f>"ENSG00000083444.17"</f>
        <v>ENSG00000083444.17</v>
      </c>
      <c r="B71" s="3">
        <v>5469.8089715773003</v>
      </c>
      <c r="C71" s="3">
        <v>-1.53258911163732</v>
      </c>
      <c r="D71" s="3">
        <v>0.19353659405708601</v>
      </c>
      <c r="E71" s="3">
        <v>-7.9188595784902001</v>
      </c>
      <c r="F71" s="4">
        <v>2.39698863566469E-15</v>
      </c>
      <c r="G71" s="4">
        <v>6.1964657832975001E-14</v>
      </c>
      <c r="H71" s="3" t="str">
        <f>"PLOD1"</f>
        <v>PLOD1</v>
      </c>
      <c r="I71" s="3" t="str">
        <f t="shared" si="3"/>
        <v>protein_coding</v>
      </c>
    </row>
    <row r="72" spans="1:9" x14ac:dyDescent="0.2">
      <c r="A72" s="3" t="str">
        <f>"ENSG00000116691.11"</f>
        <v>ENSG00000116691.11</v>
      </c>
      <c r="B72" s="3">
        <v>437.731307477001</v>
      </c>
      <c r="C72" s="3">
        <v>-1.6758227620620001</v>
      </c>
      <c r="D72" s="3">
        <v>0.25369115035671702</v>
      </c>
      <c r="E72" s="3">
        <v>-6.6057596400411196</v>
      </c>
      <c r="F72" s="4">
        <v>3.9548410806663E-11</v>
      </c>
      <c r="G72" s="4">
        <v>6.5268052649857398E-10</v>
      </c>
      <c r="H72" s="3" t="str">
        <f>"MIIP"</f>
        <v>MIIP</v>
      </c>
      <c r="I72" s="3" t="str">
        <f t="shared" si="3"/>
        <v>protein_coding</v>
      </c>
    </row>
    <row r="73" spans="1:9" x14ac:dyDescent="0.2">
      <c r="A73" s="3" t="str">
        <f>"ENSG00000272482.1"</f>
        <v>ENSG00000272482.1</v>
      </c>
      <c r="B73" s="3">
        <v>238.95200308383599</v>
      </c>
      <c r="C73" s="3">
        <v>1.2890912306717801</v>
      </c>
      <c r="D73" s="3">
        <v>0.27578355318388498</v>
      </c>
      <c r="E73" s="3">
        <v>4.6742861051334899</v>
      </c>
      <c r="F73" s="4">
        <v>2.9497788029334101E-6</v>
      </c>
      <c r="G73" s="4">
        <v>2.3215662346483701E-5</v>
      </c>
      <c r="H73" s="3" t="str">
        <f>"AC254633.1"</f>
        <v>AC254633.1</v>
      </c>
      <c r="I73" s="3" t="str">
        <f>"lincRNA"</f>
        <v>lincRNA</v>
      </c>
    </row>
    <row r="74" spans="1:9" x14ac:dyDescent="0.2">
      <c r="A74" s="3" t="str">
        <f>"ENSG00000162494.6"</f>
        <v>ENSG00000162494.6</v>
      </c>
      <c r="B74" s="3">
        <v>20.730021397504999</v>
      </c>
      <c r="C74" s="3">
        <v>7.7667417475855496</v>
      </c>
      <c r="D74" s="3">
        <v>1.6266881135006199</v>
      </c>
      <c r="E74" s="3">
        <v>4.7745733697356396</v>
      </c>
      <c r="F74" s="4">
        <v>1.8008861973207301E-6</v>
      </c>
      <c r="G74" s="4">
        <v>1.4720160785915401E-5</v>
      </c>
      <c r="H74" s="3" t="str">
        <f>"LRRC38"</f>
        <v>LRRC38</v>
      </c>
      <c r="I74" s="3" t="str">
        <f>"protein_coding"</f>
        <v>protein_coding</v>
      </c>
    </row>
    <row r="75" spans="1:9" x14ac:dyDescent="0.2">
      <c r="A75" s="3" t="str">
        <f>"ENSG00000175147.12"</f>
        <v>ENSG00000175147.12</v>
      </c>
      <c r="B75" s="3">
        <v>179.66117031802199</v>
      </c>
      <c r="C75" s="3">
        <v>-2.4821172917583501</v>
      </c>
      <c r="D75" s="3">
        <v>0.33131742986400903</v>
      </c>
      <c r="E75" s="3">
        <v>-7.4916592609605503</v>
      </c>
      <c r="F75" s="4">
        <v>6.8008293944639897E-14</v>
      </c>
      <c r="G75" s="4">
        <v>1.53650247521526E-12</v>
      </c>
      <c r="H75" s="3" t="str">
        <f>"TMEM51-AS1"</f>
        <v>TMEM51-AS1</v>
      </c>
      <c r="I75" s="3" t="str">
        <f>"antisense"</f>
        <v>antisense</v>
      </c>
    </row>
    <row r="76" spans="1:9" x14ac:dyDescent="0.2">
      <c r="A76" s="3" t="str">
        <f>"ENSG00000171729.14"</f>
        <v>ENSG00000171729.14</v>
      </c>
      <c r="B76" s="3">
        <v>645.38102139276998</v>
      </c>
      <c r="C76" s="3">
        <v>-1.8689901306696299</v>
      </c>
      <c r="D76" s="3">
        <v>0.24169062719307599</v>
      </c>
      <c r="E76" s="3">
        <v>-7.7329855624751902</v>
      </c>
      <c r="F76" s="4">
        <v>1.0505321538654699E-14</v>
      </c>
      <c r="G76" s="4">
        <v>2.5219250745702498E-13</v>
      </c>
      <c r="H76" s="3" t="str">
        <f>"TMEM51"</f>
        <v>TMEM51</v>
      </c>
      <c r="I76" s="3" t="str">
        <f>"protein_coding"</f>
        <v>protein_coding</v>
      </c>
    </row>
    <row r="77" spans="1:9" x14ac:dyDescent="0.2">
      <c r="A77" s="3" t="str">
        <f>"ENSG00000142621.19"</f>
        <v>ENSG00000142621.19</v>
      </c>
      <c r="B77" s="3">
        <v>12.8910349451514</v>
      </c>
      <c r="C77" s="3">
        <v>2.8728964796457599</v>
      </c>
      <c r="D77" s="3">
        <v>1.0373938587629501</v>
      </c>
      <c r="E77" s="3">
        <v>2.7693401646618199</v>
      </c>
      <c r="F77" s="3">
        <v>5.6169956799340401E-3</v>
      </c>
      <c r="G77" s="3">
        <v>1.96157532632255E-2</v>
      </c>
      <c r="H77" s="3" t="str">
        <f>"FHAD1"</f>
        <v>FHAD1</v>
      </c>
      <c r="I77" s="3" t="str">
        <f>"protein_coding"</f>
        <v>protein_coding</v>
      </c>
    </row>
    <row r="78" spans="1:9" x14ac:dyDescent="0.2">
      <c r="A78" s="3" t="str">
        <f>"ENSG00000142634.13"</f>
        <v>ENSG00000142634.13</v>
      </c>
      <c r="B78" s="3">
        <v>912.26214652765805</v>
      </c>
      <c r="C78" s="3">
        <v>-1.2031609136064301</v>
      </c>
      <c r="D78" s="3">
        <v>0.23163074014888599</v>
      </c>
      <c r="E78" s="3">
        <v>-5.1943058716346204</v>
      </c>
      <c r="F78" s="4">
        <v>2.0548506315218001E-7</v>
      </c>
      <c r="G78" s="4">
        <v>1.9832984469385199E-6</v>
      </c>
      <c r="H78" s="3" t="str">
        <f>"EFHD2"</f>
        <v>EFHD2</v>
      </c>
      <c r="I78" s="3" t="str">
        <f>"protein_coding"</f>
        <v>protein_coding</v>
      </c>
    </row>
    <row r="79" spans="1:9" x14ac:dyDescent="0.2">
      <c r="A79" s="3" t="str">
        <f>"ENSG00000272510.1"</f>
        <v>ENSG00000272510.1</v>
      </c>
      <c r="B79" s="3">
        <v>28.679752762264101</v>
      </c>
      <c r="C79" s="3">
        <v>-1.63668365433922</v>
      </c>
      <c r="D79" s="3">
        <v>0.65707723631023796</v>
      </c>
      <c r="E79" s="3">
        <v>-2.4908542921527399</v>
      </c>
      <c r="F79" s="3">
        <v>1.2743636972607801E-2</v>
      </c>
      <c r="G79" s="3">
        <v>3.89834822715441E-2</v>
      </c>
      <c r="H79" s="3" t="str">
        <f>"AL121992.3"</f>
        <v>AL121992.3</v>
      </c>
      <c r="I79" s="3" t="str">
        <f>"antisense"</f>
        <v>antisense</v>
      </c>
    </row>
    <row r="80" spans="1:9" x14ac:dyDescent="0.2">
      <c r="A80" s="3" t="str">
        <f>"ENSG00000116771.6"</f>
        <v>ENSG00000116771.6</v>
      </c>
      <c r="B80" s="3">
        <v>3232.6832171900901</v>
      </c>
      <c r="C80" s="3">
        <v>-1.6507602670153401</v>
      </c>
      <c r="D80" s="3">
        <v>0.20280070305638601</v>
      </c>
      <c r="E80" s="3">
        <v>-8.1398153070325705</v>
      </c>
      <c r="F80" s="4">
        <v>3.9588132813541E-16</v>
      </c>
      <c r="G80" s="4">
        <v>1.0939734835401099E-14</v>
      </c>
      <c r="H80" s="3" t="str">
        <f>"AGMAT"</f>
        <v>AGMAT</v>
      </c>
      <c r="I80" s="3" t="str">
        <f>"protein_coding"</f>
        <v>protein_coding</v>
      </c>
    </row>
    <row r="81" spans="1:9" x14ac:dyDescent="0.2">
      <c r="A81" s="3" t="str">
        <f>"ENSG00000162461.8"</f>
        <v>ENSG00000162461.8</v>
      </c>
      <c r="B81" s="3">
        <v>12.6007509398623</v>
      </c>
      <c r="C81" s="3">
        <v>4.5414102152265903</v>
      </c>
      <c r="D81" s="3">
        <v>1.3595571116585301</v>
      </c>
      <c r="E81" s="3">
        <v>3.3403600159808802</v>
      </c>
      <c r="F81" s="3">
        <v>8.3669849097896601E-4</v>
      </c>
      <c r="G81" s="3">
        <v>3.7744244675006399E-3</v>
      </c>
      <c r="H81" s="3" t="str">
        <f>"SLC25A34"</f>
        <v>SLC25A34</v>
      </c>
      <c r="I81" s="3" t="str">
        <f>"protein_coding"</f>
        <v>protein_coding</v>
      </c>
    </row>
    <row r="82" spans="1:9" x14ac:dyDescent="0.2">
      <c r="A82" s="3" t="str">
        <f>"ENSG00000162458.13"</f>
        <v>ENSG00000162458.13</v>
      </c>
      <c r="B82" s="3">
        <v>1311.1756135170201</v>
      </c>
      <c r="C82" s="3">
        <v>-1.4437151579244201</v>
      </c>
      <c r="D82" s="3">
        <v>0.21464599784926</v>
      </c>
      <c r="E82" s="3">
        <v>-6.7260287747749903</v>
      </c>
      <c r="F82" s="4">
        <v>1.7435609897114198E-11</v>
      </c>
      <c r="G82" s="4">
        <v>2.9897297851898697E-10</v>
      </c>
      <c r="H82" s="3" t="str">
        <f>"FBLIM1"</f>
        <v>FBLIM1</v>
      </c>
      <c r="I82" s="3" t="str">
        <f>"protein_coding"</f>
        <v>protein_coding</v>
      </c>
    </row>
    <row r="83" spans="1:9" x14ac:dyDescent="0.2">
      <c r="A83" s="3" t="str">
        <f>"ENSG00000132881.12"</f>
        <v>ENSG00000132881.12</v>
      </c>
      <c r="B83" s="3">
        <v>32.477490064512999</v>
      </c>
      <c r="C83" s="3">
        <v>1.4955490114915</v>
      </c>
      <c r="D83" s="3">
        <v>0.61407407537838998</v>
      </c>
      <c r="E83" s="3">
        <v>2.4354537529856501</v>
      </c>
      <c r="F83" s="3">
        <v>1.4873125698376901E-2</v>
      </c>
      <c r="G83" s="3">
        <v>4.4231396627774998E-2</v>
      </c>
      <c r="H83" s="3" t="str">
        <f>"CPLANE2"</f>
        <v>CPLANE2</v>
      </c>
      <c r="I83" s="3" t="str">
        <f>"protein_coding"</f>
        <v>protein_coding</v>
      </c>
    </row>
    <row r="84" spans="1:9" x14ac:dyDescent="0.2">
      <c r="A84" s="3" t="str">
        <f>"ENSG00000187144.11"</f>
        <v>ENSG00000187144.11</v>
      </c>
      <c r="B84" s="3">
        <v>94.251944628326299</v>
      </c>
      <c r="C84" s="3">
        <v>1.5940896622419001</v>
      </c>
      <c r="D84" s="3">
        <v>0.40442238045790202</v>
      </c>
      <c r="E84" s="3">
        <v>3.94164551535702</v>
      </c>
      <c r="F84" s="4">
        <v>8.0924515966059794E-5</v>
      </c>
      <c r="G84" s="3">
        <v>4.7387713013695101E-4</v>
      </c>
      <c r="H84" s="3" t="str">
        <f>"SPATA21"</f>
        <v>SPATA21</v>
      </c>
      <c r="I84" s="3" t="str">
        <f>"protein_coding"</f>
        <v>protein_coding</v>
      </c>
    </row>
    <row r="85" spans="1:9" x14ac:dyDescent="0.2">
      <c r="A85" s="3" t="str">
        <f>"ENSG00000080947.14"</f>
        <v>ENSG00000080947.14</v>
      </c>
      <c r="B85" s="3">
        <v>1011.50918356774</v>
      </c>
      <c r="C85" s="3">
        <v>2.59410967068309</v>
      </c>
      <c r="D85" s="3">
        <v>0.201711371897451</v>
      </c>
      <c r="E85" s="3">
        <v>12.860502837697799</v>
      </c>
      <c r="F85" s="4">
        <v>7.5086620830672295E-38</v>
      </c>
      <c r="G85" s="4">
        <v>9.4280422017203996E-36</v>
      </c>
      <c r="H85" s="3" t="str">
        <f>"CROCCP3"</f>
        <v>CROCCP3</v>
      </c>
      <c r="I85" s="3" t="str">
        <f>"transcribed_unprocessed_pseudogene"</f>
        <v>transcribed_unprocessed_pseudogene</v>
      </c>
    </row>
    <row r="86" spans="1:9" x14ac:dyDescent="0.2">
      <c r="A86" s="3" t="str">
        <f>"ENSG00000206652.1"</f>
        <v>ENSG00000206652.1</v>
      </c>
      <c r="B86" s="3">
        <v>41.221014494808699</v>
      </c>
      <c r="C86" s="3">
        <v>1.6757964632253901</v>
      </c>
      <c r="D86" s="3">
        <v>0.55831275535389002</v>
      </c>
      <c r="E86" s="3">
        <v>3.0015371261994099</v>
      </c>
      <c r="F86" s="3">
        <v>2.68620281390543E-3</v>
      </c>
      <c r="G86" s="3">
        <v>1.0393491631707099E-2</v>
      </c>
      <c r="H86" s="3" t="str">
        <f>"RNU1-1"</f>
        <v>RNU1-1</v>
      </c>
      <c r="I86" s="3" t="str">
        <f>"snRNA"</f>
        <v>snRNA</v>
      </c>
    </row>
    <row r="87" spans="1:9" x14ac:dyDescent="0.2">
      <c r="A87" s="3" t="str">
        <f>"ENSG00000233421.4"</f>
        <v>ENSG00000233421.4</v>
      </c>
      <c r="B87" s="3">
        <v>49.979237655721498</v>
      </c>
      <c r="C87" s="3">
        <v>1.58995979378094</v>
      </c>
      <c r="D87" s="3">
        <v>0.54389693010145201</v>
      </c>
      <c r="E87" s="3">
        <v>2.9232740723216901</v>
      </c>
      <c r="F87" s="3">
        <v>3.46371487720713E-3</v>
      </c>
      <c r="G87" s="3">
        <v>1.2963714183964701E-2</v>
      </c>
      <c r="H87" s="3" t="str">
        <f>"LINC01783"</f>
        <v>LINC01783</v>
      </c>
      <c r="I87" s="3" t="str">
        <f>"lincRNA"</f>
        <v>lincRNA</v>
      </c>
    </row>
    <row r="88" spans="1:9" x14ac:dyDescent="0.2">
      <c r="A88" s="3" t="str">
        <f>"ENSG00000219481.10"</f>
        <v>ENSG00000219481.10</v>
      </c>
      <c r="B88" s="3">
        <v>8362.3375192803906</v>
      </c>
      <c r="C88" s="3">
        <v>1.4478484720939599</v>
      </c>
      <c r="D88" s="3">
        <v>0.170049325878427</v>
      </c>
      <c r="E88" s="3">
        <v>8.5142852793727606</v>
      </c>
      <c r="F88" s="4">
        <v>1.67620901227222E-17</v>
      </c>
      <c r="G88" s="4">
        <v>5.2315769710631199E-16</v>
      </c>
      <c r="H88" s="3" t="str">
        <f>"NBPF1"</f>
        <v>NBPF1</v>
      </c>
      <c r="I88" s="3" t="str">
        <f>"protein_coding"</f>
        <v>protein_coding</v>
      </c>
    </row>
    <row r="89" spans="1:9" x14ac:dyDescent="0.2">
      <c r="A89" s="3" t="str">
        <f>"ENSG00000058453.17"</f>
        <v>ENSG00000058453.17</v>
      </c>
      <c r="B89" s="3">
        <v>579.56864455127902</v>
      </c>
      <c r="C89" s="3">
        <v>1.65789127270459</v>
      </c>
      <c r="D89" s="3">
        <v>0.231319220697037</v>
      </c>
      <c r="E89" s="3">
        <v>7.1671142056801198</v>
      </c>
      <c r="F89" s="4">
        <v>7.6595133985932898E-13</v>
      </c>
      <c r="G89" s="4">
        <v>1.5413497900404098E-11</v>
      </c>
      <c r="H89" s="3" t="str">
        <f>"CROCC"</f>
        <v>CROCC</v>
      </c>
      <c r="I89" s="3" t="str">
        <f>"protein_coding"</f>
        <v>protein_coding</v>
      </c>
    </row>
    <row r="90" spans="1:9" x14ac:dyDescent="0.2">
      <c r="A90" s="3" t="str">
        <f>"ENSG00000227684.2"</f>
        <v>ENSG00000227684.2</v>
      </c>
      <c r="B90" s="3">
        <v>22.545191920305701</v>
      </c>
      <c r="C90" s="3">
        <v>2.5149290947897298</v>
      </c>
      <c r="D90" s="3">
        <v>0.77460252581671496</v>
      </c>
      <c r="E90" s="3">
        <v>3.2467349524042302</v>
      </c>
      <c r="F90" s="3">
        <v>1.1673704872385399E-3</v>
      </c>
      <c r="G90" s="3">
        <v>5.0533851778446701E-3</v>
      </c>
      <c r="H90" s="3" t="str">
        <f>"CROCCP4"</f>
        <v>CROCCP4</v>
      </c>
      <c r="I90" s="3" t="str">
        <f>"transcribed_unprocessed_pseudogene"</f>
        <v>transcribed_unprocessed_pseudogene</v>
      </c>
    </row>
    <row r="91" spans="1:9" x14ac:dyDescent="0.2">
      <c r="A91" s="3" t="str">
        <f>"ENSG00000142623.11"</f>
        <v>ENSG00000142623.11</v>
      </c>
      <c r="B91" s="3">
        <v>4.9190276419341501</v>
      </c>
      <c r="C91" s="3">
        <v>5.69636411255855</v>
      </c>
      <c r="D91" s="3">
        <v>2.0419266536890901</v>
      </c>
      <c r="E91" s="3">
        <v>2.7897006497599199</v>
      </c>
      <c r="F91" s="3">
        <v>5.2756794990706504E-3</v>
      </c>
      <c r="G91" s="3">
        <v>1.8559901783237999E-2</v>
      </c>
      <c r="H91" s="3" t="str">
        <f>"PADI1"</f>
        <v>PADI1</v>
      </c>
      <c r="I91" s="3" t="str">
        <f>"protein_coding"</f>
        <v>protein_coding</v>
      </c>
    </row>
    <row r="92" spans="1:9" x14ac:dyDescent="0.2">
      <c r="A92" s="3" t="str">
        <f>"ENSG00000142619.4"</f>
        <v>ENSG00000142619.4</v>
      </c>
      <c r="B92" s="3">
        <v>208.31429460887</v>
      </c>
      <c r="C92" s="3">
        <v>8.6511604095928494</v>
      </c>
      <c r="D92" s="3">
        <v>1.0602893049048701</v>
      </c>
      <c r="E92" s="3">
        <v>8.1592451886223891</v>
      </c>
      <c r="F92" s="4">
        <v>3.37124678824575E-16</v>
      </c>
      <c r="G92" s="4">
        <v>9.3444924963715097E-15</v>
      </c>
      <c r="H92" s="3" t="str">
        <f>"PADI3"</f>
        <v>PADI3</v>
      </c>
      <c r="I92" s="3" t="str">
        <f>"protein_coding"</f>
        <v>protein_coding</v>
      </c>
    </row>
    <row r="93" spans="1:9" x14ac:dyDescent="0.2">
      <c r="A93" s="3" t="str">
        <f>"ENSG00000266634.1"</f>
        <v>ENSG00000266634.1</v>
      </c>
      <c r="B93" s="3">
        <v>4.0372899650807801</v>
      </c>
      <c r="C93" s="3">
        <v>5.4095356733146298</v>
      </c>
      <c r="D93" s="3">
        <v>2.1467512296701501</v>
      </c>
      <c r="E93" s="3">
        <v>2.5198707696307201</v>
      </c>
      <c r="F93" s="3">
        <v>1.17397926988685E-2</v>
      </c>
      <c r="G93" s="3">
        <v>3.6345203007166198E-2</v>
      </c>
      <c r="H93" s="3" t="str">
        <f>"MIR3972"</f>
        <v>MIR3972</v>
      </c>
      <c r="I93" s="3" t="str">
        <f>"miRNA"</f>
        <v>miRNA</v>
      </c>
    </row>
    <row r="94" spans="1:9" x14ac:dyDescent="0.2">
      <c r="A94" s="3" t="str">
        <f>"ENSG00000159339.13"</f>
        <v>ENSG00000159339.13</v>
      </c>
      <c r="B94" s="3">
        <v>1798.9725955413301</v>
      </c>
      <c r="C94" s="3">
        <v>9.7648249731750898</v>
      </c>
      <c r="D94" s="3">
        <v>0.54651160296063195</v>
      </c>
      <c r="E94" s="3">
        <v>17.867552894167002</v>
      </c>
      <c r="F94" s="4">
        <v>2.1105160011308801E-71</v>
      </c>
      <c r="G94" s="4">
        <v>1.06491165708913E-68</v>
      </c>
      <c r="H94" s="3" t="str">
        <f>"PADI4"</f>
        <v>PADI4</v>
      </c>
      <c r="I94" s="3" t="str">
        <f t="shared" ref="I94:I105" si="4">"protein_coding"</f>
        <v>protein_coding</v>
      </c>
    </row>
    <row r="95" spans="1:9" x14ac:dyDescent="0.2">
      <c r="A95" s="3" t="str">
        <f>"ENSG00000276747.1"</f>
        <v>ENSG00000276747.1</v>
      </c>
      <c r="B95" s="3">
        <v>5.0277419563543804</v>
      </c>
      <c r="C95" s="3">
        <v>5.7249864720364698</v>
      </c>
      <c r="D95" s="3">
        <v>2.0292551541625601</v>
      </c>
      <c r="E95" s="3">
        <v>2.82122554193983</v>
      </c>
      <c r="F95" s="3">
        <v>4.7840554620197E-3</v>
      </c>
      <c r="G95" s="3">
        <v>1.7077316805142299E-2</v>
      </c>
      <c r="H95" s="3" t="str">
        <f>"PADI6"</f>
        <v>PADI6</v>
      </c>
      <c r="I95" s="3" t="str">
        <f t="shared" si="4"/>
        <v>protein_coding</v>
      </c>
    </row>
    <row r="96" spans="1:9" x14ac:dyDescent="0.2">
      <c r="A96" s="3" t="str">
        <f>"ENSG00000179023.8"</f>
        <v>ENSG00000179023.8</v>
      </c>
      <c r="B96" s="3">
        <v>1635.10415381649</v>
      </c>
      <c r="C96" s="3">
        <v>4.6593654214031304</v>
      </c>
      <c r="D96" s="3">
        <v>0.212804945144906</v>
      </c>
      <c r="E96" s="3">
        <v>21.895005392052401</v>
      </c>
      <c r="F96" s="4">
        <v>2.89870529811292E-106</v>
      </c>
      <c r="G96" s="4">
        <v>4.3878346254268202E-103</v>
      </c>
      <c r="H96" s="3" t="str">
        <f>"KLHDC7A"</f>
        <v>KLHDC7A</v>
      </c>
      <c r="I96" s="3" t="str">
        <f t="shared" si="4"/>
        <v>protein_coding</v>
      </c>
    </row>
    <row r="97" spans="1:9" x14ac:dyDescent="0.2">
      <c r="A97" s="3" t="str">
        <f>"ENSG00000159423.17"</f>
        <v>ENSG00000159423.17</v>
      </c>
      <c r="B97" s="3">
        <v>1582.55862211665</v>
      </c>
      <c r="C97" s="3">
        <v>-1.4134565246558699</v>
      </c>
      <c r="D97" s="3">
        <v>0.205408585259132</v>
      </c>
      <c r="E97" s="3">
        <v>-6.8811949747510903</v>
      </c>
      <c r="F97" s="4">
        <v>5.9352548812611798E-12</v>
      </c>
      <c r="G97" s="4">
        <v>1.06885584765184E-10</v>
      </c>
      <c r="H97" s="3" t="str">
        <f>"ALDH4A1"</f>
        <v>ALDH4A1</v>
      </c>
      <c r="I97" s="3" t="str">
        <f t="shared" si="4"/>
        <v>protein_coding</v>
      </c>
    </row>
    <row r="98" spans="1:9" x14ac:dyDescent="0.2">
      <c r="A98" s="3" t="str">
        <f>"ENSG00000053372.5"</f>
        <v>ENSG00000053372.5</v>
      </c>
      <c r="B98" s="3">
        <v>1883.01802077654</v>
      </c>
      <c r="C98" s="3">
        <v>-1.5813720737383301</v>
      </c>
      <c r="D98" s="3">
        <v>0.207217269217258</v>
      </c>
      <c r="E98" s="3">
        <v>-7.6314685533295501</v>
      </c>
      <c r="F98" s="4">
        <v>2.3209445979502E-14</v>
      </c>
      <c r="G98" s="4">
        <v>5.4282212412316797E-13</v>
      </c>
      <c r="H98" s="3" t="str">
        <f>"MRTO4"</f>
        <v>MRTO4</v>
      </c>
      <c r="I98" s="3" t="str">
        <f t="shared" si="4"/>
        <v>protein_coding</v>
      </c>
    </row>
    <row r="99" spans="1:9" x14ac:dyDescent="0.2">
      <c r="A99" s="3" t="str">
        <f>"ENSG00000173436.15"</f>
        <v>ENSG00000173436.15</v>
      </c>
      <c r="B99" s="3">
        <v>322.86891519165198</v>
      </c>
      <c r="C99" s="3">
        <v>1.0099951067761299</v>
      </c>
      <c r="D99" s="3">
        <v>0.257545204266318</v>
      </c>
      <c r="E99" s="3">
        <v>3.9216226512675898</v>
      </c>
      <c r="F99" s="4">
        <v>8.7954658395808595E-5</v>
      </c>
      <c r="G99" s="3">
        <v>5.1087200539556496E-4</v>
      </c>
      <c r="H99" s="3" t="str">
        <f>"MICOS10"</f>
        <v>MICOS10</v>
      </c>
      <c r="I99" s="3" t="str">
        <f t="shared" si="4"/>
        <v>protein_coding</v>
      </c>
    </row>
    <row r="100" spans="1:9" x14ac:dyDescent="0.2">
      <c r="A100" s="3" t="str">
        <f>"ENSG00000158747.14"</f>
        <v>ENSG00000158747.14</v>
      </c>
      <c r="B100" s="3">
        <v>351.23021275564599</v>
      </c>
      <c r="C100" s="3">
        <v>-1.53038949399554</v>
      </c>
      <c r="D100" s="3">
        <v>0.29134462822488699</v>
      </c>
      <c r="E100" s="3">
        <v>-5.2528495319098196</v>
      </c>
      <c r="F100" s="4">
        <v>1.4976388338723799E-7</v>
      </c>
      <c r="G100" s="4">
        <v>1.4752771260492E-6</v>
      </c>
      <c r="H100" s="3" t="str">
        <f>"NBL1"</f>
        <v>NBL1</v>
      </c>
      <c r="I100" s="3" t="str">
        <f t="shared" si="4"/>
        <v>protein_coding</v>
      </c>
    </row>
    <row r="101" spans="1:9" x14ac:dyDescent="0.2">
      <c r="A101" s="3" t="str">
        <f>"ENSG00000188257.11"</f>
        <v>ENSG00000188257.11</v>
      </c>
      <c r="B101" s="3">
        <v>2089.3375288940001</v>
      </c>
      <c r="C101" s="3">
        <v>-1.44000297618163</v>
      </c>
      <c r="D101" s="3">
        <v>0.22838545112854</v>
      </c>
      <c r="E101" s="3">
        <v>-6.30514320884288</v>
      </c>
      <c r="F101" s="4">
        <v>2.8792754633469002E-10</v>
      </c>
      <c r="G101" s="4">
        <v>4.1840863226567001E-9</v>
      </c>
      <c r="H101" s="3" t="str">
        <f>"PLA2G2A"</f>
        <v>PLA2G2A</v>
      </c>
      <c r="I101" s="3" t="str">
        <f t="shared" si="4"/>
        <v>protein_coding</v>
      </c>
    </row>
    <row r="102" spans="1:9" x14ac:dyDescent="0.2">
      <c r="A102" s="3" t="str">
        <f>"ENSG00000162545.6"</f>
        <v>ENSG00000162545.6</v>
      </c>
      <c r="B102" s="3">
        <v>3509.7960269689602</v>
      </c>
      <c r="C102" s="3">
        <v>-1.7686461014631201</v>
      </c>
      <c r="D102" s="3">
        <v>0.179656766384415</v>
      </c>
      <c r="E102" s="3">
        <v>-9.8445838531832095</v>
      </c>
      <c r="F102" s="4">
        <v>7.23379664964626E-23</v>
      </c>
      <c r="G102" s="4">
        <v>3.4397776145359803E-21</v>
      </c>
      <c r="H102" s="3" t="str">
        <f>"CAMK2N1"</f>
        <v>CAMK2N1</v>
      </c>
      <c r="I102" s="3" t="str">
        <f t="shared" si="4"/>
        <v>protein_coding</v>
      </c>
    </row>
    <row r="103" spans="1:9" x14ac:dyDescent="0.2">
      <c r="A103" s="3" t="str">
        <f>"ENSG00000158825.6"</f>
        <v>ENSG00000158825.6</v>
      </c>
      <c r="B103" s="3">
        <v>36.684196452240897</v>
      </c>
      <c r="C103" s="3">
        <v>1.8450547048278401</v>
      </c>
      <c r="D103" s="3">
        <v>0.58911134004110599</v>
      </c>
      <c r="E103" s="3">
        <v>3.1319286854995898</v>
      </c>
      <c r="F103" s="3">
        <v>1.7366205241462001E-3</v>
      </c>
      <c r="G103" s="3">
        <v>7.1509293367706698E-3</v>
      </c>
      <c r="H103" s="3" t="str">
        <f>"CDA"</f>
        <v>CDA</v>
      </c>
      <c r="I103" s="3" t="str">
        <f t="shared" si="4"/>
        <v>protein_coding</v>
      </c>
    </row>
    <row r="104" spans="1:9" x14ac:dyDescent="0.2">
      <c r="A104" s="3" t="str">
        <f>"ENSG00000158828.8"</f>
        <v>ENSG00000158828.8</v>
      </c>
      <c r="B104" s="3">
        <v>803.19935436380001</v>
      </c>
      <c r="C104" s="3">
        <v>1.2548995278484101</v>
      </c>
      <c r="D104" s="3">
        <v>0.23031836431643199</v>
      </c>
      <c r="E104" s="3">
        <v>5.4485430702534803</v>
      </c>
      <c r="F104" s="4">
        <v>5.0784094360746201E-8</v>
      </c>
      <c r="G104" s="4">
        <v>5.4284590782552095E-7</v>
      </c>
      <c r="H104" s="3" t="str">
        <f>"PINK1"</f>
        <v>PINK1</v>
      </c>
      <c r="I104" s="3" t="str">
        <f t="shared" si="4"/>
        <v>protein_coding</v>
      </c>
    </row>
    <row r="105" spans="1:9" x14ac:dyDescent="0.2">
      <c r="A105" s="3" t="str">
        <f>"ENSG00000117245.12"</f>
        <v>ENSG00000117245.12</v>
      </c>
      <c r="B105" s="3">
        <v>130.184873031444</v>
      </c>
      <c r="C105" s="3">
        <v>2.4953776644935202</v>
      </c>
      <c r="D105" s="3">
        <v>0.36115602466171898</v>
      </c>
      <c r="E105" s="3">
        <v>6.9094172437822197</v>
      </c>
      <c r="F105" s="4">
        <v>4.8664866102914696E-12</v>
      </c>
      <c r="G105" s="4">
        <v>8.8575257628999099E-11</v>
      </c>
      <c r="H105" s="3" t="str">
        <f>"KIF17"</f>
        <v>KIF17</v>
      </c>
      <c r="I105" s="3" t="str">
        <f t="shared" si="4"/>
        <v>protein_coding</v>
      </c>
    </row>
    <row r="106" spans="1:9" x14ac:dyDescent="0.2">
      <c r="A106" s="3" t="str">
        <f>"ENSG00000235432.1"</f>
        <v>ENSG00000235432.1</v>
      </c>
      <c r="B106" s="3">
        <v>6.5677771004748902</v>
      </c>
      <c r="C106" s="3">
        <v>6.1084846562903197</v>
      </c>
      <c r="D106" s="3">
        <v>1.92051677073079</v>
      </c>
      <c r="E106" s="3">
        <v>3.18064634966241</v>
      </c>
      <c r="F106" s="3">
        <v>1.4694689540206501E-3</v>
      </c>
      <c r="G106" s="3">
        <v>6.17265510513399E-3</v>
      </c>
      <c r="H106" s="3" t="str">
        <f>"AL663074.2"</f>
        <v>AL663074.2</v>
      </c>
      <c r="I106" s="3" t="str">
        <f>"unprocessed_pseudogene"</f>
        <v>unprocessed_pseudogene</v>
      </c>
    </row>
    <row r="107" spans="1:9" x14ac:dyDescent="0.2">
      <c r="A107" s="3" t="str">
        <f>"ENSG00000162551.14"</f>
        <v>ENSG00000162551.14</v>
      </c>
      <c r="B107" s="3">
        <v>1790.0908261324901</v>
      </c>
      <c r="C107" s="3">
        <v>3.3491115165791401</v>
      </c>
      <c r="D107" s="3">
        <v>0.21777726698048899</v>
      </c>
      <c r="E107" s="3">
        <v>15.378609360908101</v>
      </c>
      <c r="F107" s="4">
        <v>2.2778763589136299E-53</v>
      </c>
      <c r="G107" s="4">
        <v>5.1721080959433099E-51</v>
      </c>
      <c r="H107" s="3" t="str">
        <f>"ALPL"</f>
        <v>ALPL</v>
      </c>
      <c r="I107" s="3" t="str">
        <f>"protein_coding"</f>
        <v>protein_coding</v>
      </c>
    </row>
    <row r="108" spans="1:9" x14ac:dyDescent="0.2">
      <c r="A108" s="3" t="str">
        <f>"ENSG00000233431.1"</f>
        <v>ENSG00000233431.1</v>
      </c>
      <c r="B108" s="3">
        <v>5.9819558428212396</v>
      </c>
      <c r="C108" s="3">
        <v>5.9757714752725404</v>
      </c>
      <c r="D108" s="3">
        <v>1.9478131524890001</v>
      </c>
      <c r="E108" s="3">
        <v>3.0679387638575299</v>
      </c>
      <c r="F108" s="3">
        <v>2.15540781510168E-3</v>
      </c>
      <c r="G108" s="3">
        <v>8.5973351980786605E-3</v>
      </c>
      <c r="H108" s="3" t="str">
        <f>"LINC02596"</f>
        <v>LINC02596</v>
      </c>
      <c r="I108" s="3" t="str">
        <f>"antisense"</f>
        <v>antisense</v>
      </c>
    </row>
    <row r="109" spans="1:9" x14ac:dyDescent="0.2">
      <c r="A109" s="3" t="str">
        <f>"ENSG00000142798.20"</f>
        <v>ENSG00000142798.20</v>
      </c>
      <c r="B109" s="3">
        <v>20409.1282319235</v>
      </c>
      <c r="C109" s="3">
        <v>1.8181916733447201</v>
      </c>
      <c r="D109" s="3">
        <v>0.19114756499438701</v>
      </c>
      <c r="E109" s="3">
        <v>9.5119792574815492</v>
      </c>
      <c r="F109" s="4">
        <v>1.8706882653618901E-21</v>
      </c>
      <c r="G109" s="4">
        <v>8.1553029066104799E-20</v>
      </c>
      <c r="H109" s="3" t="str">
        <f>"HSPG2"</f>
        <v>HSPG2</v>
      </c>
      <c r="I109" s="3" t="str">
        <f>"protein_coding"</f>
        <v>protein_coding</v>
      </c>
    </row>
    <row r="110" spans="1:9" x14ac:dyDescent="0.2">
      <c r="A110" s="3" t="str">
        <f>"ENSG00000283234.1"</f>
        <v>ENSG00000283234.1</v>
      </c>
      <c r="B110" s="3">
        <v>12.673351679528301</v>
      </c>
      <c r="C110" s="3">
        <v>5.5891026299871696</v>
      </c>
      <c r="D110" s="3">
        <v>1.7108693499849801</v>
      </c>
      <c r="E110" s="3">
        <v>3.2668202455297002</v>
      </c>
      <c r="F110" s="3">
        <v>1.0876271578904599E-3</v>
      </c>
      <c r="G110" s="3">
        <v>4.7422911139448597E-3</v>
      </c>
      <c r="H110" s="3" t="str">
        <f>"AL590556.2"</f>
        <v>AL590556.2</v>
      </c>
      <c r="I110" s="3" t="str">
        <f>"transcribed_unitary_pseudogene"</f>
        <v>transcribed_unitary_pseudogene</v>
      </c>
    </row>
    <row r="111" spans="1:9" x14ac:dyDescent="0.2">
      <c r="A111" s="3" t="str">
        <f>"ENSG00000230068.2"</f>
        <v>ENSG00000230068.2</v>
      </c>
      <c r="B111" s="3">
        <v>85.420871667642601</v>
      </c>
      <c r="C111" s="3">
        <v>1.5601261199274301</v>
      </c>
      <c r="D111" s="3">
        <v>0.407491821858601</v>
      </c>
      <c r="E111" s="3">
        <v>3.8286071921924099</v>
      </c>
      <c r="F111" s="3">
        <v>1.2887050076857299E-4</v>
      </c>
      <c r="G111" s="3">
        <v>7.1983077786824895E-4</v>
      </c>
      <c r="H111" s="3" t="str">
        <f>"CDC42-IT1"</f>
        <v>CDC42-IT1</v>
      </c>
      <c r="I111" s="3" t="str">
        <f>"sense_intronic"</f>
        <v>sense_intronic</v>
      </c>
    </row>
    <row r="112" spans="1:9" x14ac:dyDescent="0.2">
      <c r="A112" s="3" t="str">
        <f>"ENSG00000133216.16"</f>
        <v>ENSG00000133216.16</v>
      </c>
      <c r="B112" s="3">
        <v>18.3841097433526</v>
      </c>
      <c r="C112" s="3">
        <v>4.0750942929047103</v>
      </c>
      <c r="D112" s="3">
        <v>1.03370155539301</v>
      </c>
      <c r="E112" s="3">
        <v>3.94223484684162</v>
      </c>
      <c r="F112" s="4">
        <v>8.0725873459725403E-5</v>
      </c>
      <c r="G112" s="3">
        <v>4.7281553614727801E-4</v>
      </c>
      <c r="H112" s="3" t="str">
        <f>"EPHB2"</f>
        <v>EPHB2</v>
      </c>
      <c r="I112" s="3" t="str">
        <f>"protein_coding"</f>
        <v>protein_coding</v>
      </c>
    </row>
    <row r="113" spans="1:9" x14ac:dyDescent="0.2">
      <c r="A113" s="3" t="str">
        <f>"ENSG00000125945.15"</f>
        <v>ENSG00000125945.15</v>
      </c>
      <c r="B113" s="3">
        <v>486.20764231621098</v>
      </c>
      <c r="C113" s="3">
        <v>1.01296363139316</v>
      </c>
      <c r="D113" s="3">
        <v>0.22561116463300099</v>
      </c>
      <c r="E113" s="3">
        <v>4.4898648213661501</v>
      </c>
      <c r="F113" s="4">
        <v>7.1268387268749403E-6</v>
      </c>
      <c r="G113" s="4">
        <v>5.2074275889289797E-5</v>
      </c>
      <c r="H113" s="3" t="str">
        <f>"ZNF436"</f>
        <v>ZNF436</v>
      </c>
      <c r="I113" s="3" t="str">
        <f>"protein_coding"</f>
        <v>protein_coding</v>
      </c>
    </row>
    <row r="114" spans="1:9" x14ac:dyDescent="0.2">
      <c r="A114" s="3" t="str">
        <f>"ENSG00000249087.6"</f>
        <v>ENSG00000249087.6</v>
      </c>
      <c r="B114" s="3">
        <v>149.15588286258401</v>
      </c>
      <c r="C114" s="3">
        <v>1.2044114615336901</v>
      </c>
      <c r="D114" s="3">
        <v>0.32440427054848098</v>
      </c>
      <c r="E114" s="3">
        <v>3.7126868259081398</v>
      </c>
      <c r="F114" s="3">
        <v>2.05070578906499E-4</v>
      </c>
      <c r="G114" s="3">
        <v>1.0915331243339301E-3</v>
      </c>
      <c r="H114" s="3" t="str">
        <f>"ZNF436-AS1"</f>
        <v>ZNF436-AS1</v>
      </c>
      <c r="I114" s="3" t="str">
        <f>"antisense"</f>
        <v>antisense</v>
      </c>
    </row>
    <row r="115" spans="1:9" x14ac:dyDescent="0.2">
      <c r="A115" s="3" t="str">
        <f>"ENSG00000007968.7"</f>
        <v>ENSG00000007968.7</v>
      </c>
      <c r="B115" s="3">
        <v>491.368533480103</v>
      </c>
      <c r="C115" s="3">
        <v>-1.30379351153288</v>
      </c>
      <c r="D115" s="3">
        <v>0.24179402098434499</v>
      </c>
      <c r="E115" s="3">
        <v>-5.3921660520186698</v>
      </c>
      <c r="F115" s="4">
        <v>6.9613392030541396E-8</v>
      </c>
      <c r="G115" s="4">
        <v>7.2756275130654399E-7</v>
      </c>
      <c r="H115" s="3" t="str">
        <f>"E2F2"</f>
        <v>E2F2</v>
      </c>
      <c r="I115" s="3" t="str">
        <f>"protein_coding"</f>
        <v>protein_coding</v>
      </c>
    </row>
    <row r="116" spans="1:9" x14ac:dyDescent="0.2">
      <c r="A116" s="3" t="str">
        <f>"ENSG00000197880.8"</f>
        <v>ENSG00000197880.8</v>
      </c>
      <c r="B116" s="3">
        <v>20.525081834811299</v>
      </c>
      <c r="C116" s="3">
        <v>3.1674241637117602</v>
      </c>
      <c r="D116" s="3">
        <v>0.89072556567542505</v>
      </c>
      <c r="E116" s="3">
        <v>3.5560045492911598</v>
      </c>
      <c r="F116" s="3">
        <v>3.7653755926095301E-4</v>
      </c>
      <c r="G116" s="3">
        <v>1.8680842820799699E-3</v>
      </c>
      <c r="H116" s="3" t="str">
        <f>"MDS2"</f>
        <v>MDS2</v>
      </c>
      <c r="I116" s="3" t="str">
        <f>"lincRNA"</f>
        <v>lincRNA</v>
      </c>
    </row>
    <row r="117" spans="1:9" x14ac:dyDescent="0.2">
      <c r="A117" s="3" t="str">
        <f>"ENSG00000011009.11"</f>
        <v>ENSG00000011009.11</v>
      </c>
      <c r="B117" s="3">
        <v>4179.2302102580898</v>
      </c>
      <c r="C117" s="3">
        <v>1.3078357608703199</v>
      </c>
      <c r="D117" s="3">
        <v>0.22154865698960599</v>
      </c>
      <c r="E117" s="3">
        <v>5.9031536396615598</v>
      </c>
      <c r="F117" s="4">
        <v>3.5661787354724099E-9</v>
      </c>
      <c r="G117" s="4">
        <v>4.5152263943037502E-8</v>
      </c>
      <c r="H117" s="3" t="str">
        <f>"LYPLA2"</f>
        <v>LYPLA2</v>
      </c>
      <c r="I117" s="3" t="str">
        <f t="shared" ref="I117:I126" si="5">"protein_coding"</f>
        <v>protein_coding</v>
      </c>
    </row>
    <row r="118" spans="1:9" x14ac:dyDescent="0.2">
      <c r="A118" s="3" t="str">
        <f>"ENSG00000117305.15"</f>
        <v>ENSG00000117305.15</v>
      </c>
      <c r="B118" s="3">
        <v>693.83960760411901</v>
      </c>
      <c r="C118" s="3">
        <v>1.41840026949975</v>
      </c>
      <c r="D118" s="3">
        <v>0.22528137312169599</v>
      </c>
      <c r="E118" s="3">
        <v>6.29612759299697</v>
      </c>
      <c r="F118" s="4">
        <v>3.0517320568326799E-10</v>
      </c>
      <c r="G118" s="4">
        <v>4.4229012421553203E-9</v>
      </c>
      <c r="H118" s="3" t="str">
        <f>"HMGCL"</f>
        <v>HMGCL</v>
      </c>
      <c r="I118" s="3" t="str">
        <f t="shared" si="5"/>
        <v>protein_coding</v>
      </c>
    </row>
    <row r="119" spans="1:9" x14ac:dyDescent="0.2">
      <c r="A119" s="3" t="str">
        <f>"ENSG00000179163.11"</f>
        <v>ENSG00000179163.11</v>
      </c>
      <c r="B119" s="3">
        <v>987.40318366084</v>
      </c>
      <c r="C119" s="3">
        <v>1.01971723978736</v>
      </c>
      <c r="D119" s="3">
        <v>0.20450625132036601</v>
      </c>
      <c r="E119" s="3">
        <v>4.9862399472079701</v>
      </c>
      <c r="F119" s="4">
        <v>6.1565677354809405E-7</v>
      </c>
      <c r="G119" s="4">
        <v>5.4605469104377896E-6</v>
      </c>
      <c r="H119" s="3" t="str">
        <f>"FUCA1"</f>
        <v>FUCA1</v>
      </c>
      <c r="I119" s="3" t="str">
        <f t="shared" si="5"/>
        <v>protein_coding</v>
      </c>
    </row>
    <row r="120" spans="1:9" x14ac:dyDescent="0.2">
      <c r="A120" s="3" t="str">
        <f>"ENSG00000142677.4"</f>
        <v>ENSG00000142677.4</v>
      </c>
      <c r="B120" s="3">
        <v>180.69998954066801</v>
      </c>
      <c r="C120" s="3">
        <v>-1.07199807570586</v>
      </c>
      <c r="D120" s="3">
        <v>0.34441383647531998</v>
      </c>
      <c r="E120" s="3">
        <v>-3.1125290629335001</v>
      </c>
      <c r="F120" s="3">
        <v>1.8549174922366501E-3</v>
      </c>
      <c r="G120" s="3">
        <v>7.5546990898313999E-3</v>
      </c>
      <c r="H120" s="3" t="str">
        <f>"IL22RA1"</f>
        <v>IL22RA1</v>
      </c>
      <c r="I120" s="3" t="str">
        <f t="shared" si="5"/>
        <v>protein_coding</v>
      </c>
    </row>
    <row r="121" spans="1:9" x14ac:dyDescent="0.2">
      <c r="A121" s="3" t="str">
        <f>"ENSG00000158055.15"</f>
        <v>ENSG00000158055.15</v>
      </c>
      <c r="B121" s="3">
        <v>338.02701056001399</v>
      </c>
      <c r="C121" s="3">
        <v>11.7977282466342</v>
      </c>
      <c r="D121" s="3">
        <v>1.46423892175948</v>
      </c>
      <c r="E121" s="3">
        <v>8.0572426202532696</v>
      </c>
      <c r="F121" s="4">
        <v>7.8034670291854499E-16</v>
      </c>
      <c r="G121" s="4">
        <v>2.1030768164610899E-14</v>
      </c>
      <c r="H121" s="3" t="str">
        <f>"GRHL3"</f>
        <v>GRHL3</v>
      </c>
      <c r="I121" s="3" t="str">
        <f t="shared" si="5"/>
        <v>protein_coding</v>
      </c>
    </row>
    <row r="122" spans="1:9" x14ac:dyDescent="0.2">
      <c r="A122" s="3" t="str">
        <f>"ENSG00000184454.7"</f>
        <v>ENSG00000184454.7</v>
      </c>
      <c r="B122" s="3">
        <v>27.089910499230001</v>
      </c>
      <c r="C122" s="3">
        <v>-3.1928377577100799</v>
      </c>
      <c r="D122" s="3">
        <v>0.78765297697650805</v>
      </c>
      <c r="E122" s="3">
        <v>-4.0536097127013102</v>
      </c>
      <c r="F122" s="4">
        <v>5.0433330702322002E-5</v>
      </c>
      <c r="G122" s="3">
        <v>3.0872993970931702E-4</v>
      </c>
      <c r="H122" s="3" t="str">
        <f>"NCMAP"</f>
        <v>NCMAP</v>
      </c>
      <c r="I122" s="3" t="str">
        <f t="shared" si="5"/>
        <v>protein_coding</v>
      </c>
    </row>
    <row r="123" spans="1:9" x14ac:dyDescent="0.2">
      <c r="A123" s="3" t="str">
        <f>"ENSG00000169504.15"</f>
        <v>ENSG00000169504.15</v>
      </c>
      <c r="B123" s="3">
        <v>4476.8719872194597</v>
      </c>
      <c r="C123" s="3">
        <v>-1.31959191353366</v>
      </c>
      <c r="D123" s="3">
        <v>0.18246113154280899</v>
      </c>
      <c r="E123" s="3">
        <v>-7.23218091642745</v>
      </c>
      <c r="F123" s="4">
        <v>4.7529842212490003E-13</v>
      </c>
      <c r="G123" s="4">
        <v>9.8407721182653207E-12</v>
      </c>
      <c r="H123" s="3" t="str">
        <f>"CLIC4"</f>
        <v>CLIC4</v>
      </c>
      <c r="I123" s="3" t="str">
        <f t="shared" si="5"/>
        <v>protein_coding</v>
      </c>
    </row>
    <row r="124" spans="1:9" x14ac:dyDescent="0.2">
      <c r="A124" s="3" t="str">
        <f>"ENSG00000187010.21"</f>
        <v>ENSG00000187010.21</v>
      </c>
      <c r="B124" s="3">
        <v>8.2197002483510495</v>
      </c>
      <c r="C124" s="3">
        <v>4.95164271967265</v>
      </c>
      <c r="D124" s="3">
        <v>1.80620885712682</v>
      </c>
      <c r="E124" s="3">
        <v>2.7414563383048298</v>
      </c>
      <c r="F124" s="3">
        <v>6.11674895611399E-3</v>
      </c>
      <c r="G124" s="3">
        <v>2.10361144428492E-2</v>
      </c>
      <c r="H124" s="3" t="str">
        <f>"RHD"</f>
        <v>RHD</v>
      </c>
      <c r="I124" s="3" t="str">
        <f t="shared" si="5"/>
        <v>protein_coding</v>
      </c>
    </row>
    <row r="125" spans="1:9" x14ac:dyDescent="0.2">
      <c r="A125" s="3" t="str">
        <f>"ENSG00000188672.18"</f>
        <v>ENSG00000188672.18</v>
      </c>
      <c r="B125" s="3">
        <v>16.4728440790085</v>
      </c>
      <c r="C125" s="3">
        <v>3.5631734064077598</v>
      </c>
      <c r="D125" s="3">
        <v>1.01782208938095</v>
      </c>
      <c r="E125" s="3">
        <v>3.5007821539567199</v>
      </c>
      <c r="F125" s="3">
        <v>4.63894880628231E-4</v>
      </c>
      <c r="G125" s="3">
        <v>2.2403809643062201E-3</v>
      </c>
      <c r="H125" s="3" t="str">
        <f>"RHCE"</f>
        <v>RHCE</v>
      </c>
      <c r="I125" s="3" t="str">
        <f t="shared" si="5"/>
        <v>protein_coding</v>
      </c>
    </row>
    <row r="126" spans="1:9" x14ac:dyDescent="0.2">
      <c r="A126" s="3" t="str">
        <f>"ENSG00000117643.14"</f>
        <v>ENSG00000117643.14</v>
      </c>
      <c r="B126" s="3">
        <v>55.664168042743299</v>
      </c>
      <c r="C126" s="3">
        <v>4.2138435971544697</v>
      </c>
      <c r="D126" s="3">
        <v>0.62808569482369203</v>
      </c>
      <c r="E126" s="3">
        <v>6.7090265418914301</v>
      </c>
      <c r="F126" s="4">
        <v>1.9592703284733099E-11</v>
      </c>
      <c r="G126" s="4">
        <v>3.3386015409576202E-10</v>
      </c>
      <c r="H126" s="3" t="str">
        <f>"MAN1C1"</f>
        <v>MAN1C1</v>
      </c>
      <c r="I126" s="3" t="str">
        <f t="shared" si="5"/>
        <v>protein_coding</v>
      </c>
    </row>
    <row r="127" spans="1:9" x14ac:dyDescent="0.2">
      <c r="A127" s="3" t="str">
        <f>"ENSG00000228172.5"</f>
        <v>ENSG00000228172.5</v>
      </c>
      <c r="B127" s="3">
        <v>53.7882200113118</v>
      </c>
      <c r="C127" s="3">
        <v>1.2423229213654501</v>
      </c>
      <c r="D127" s="3">
        <v>0.482922221302025</v>
      </c>
      <c r="E127" s="3">
        <v>2.57251140362929</v>
      </c>
      <c r="F127" s="3">
        <v>1.0096362973051901E-2</v>
      </c>
      <c r="G127" s="3">
        <v>3.2058688023161197E-2</v>
      </c>
      <c r="H127" s="3" t="str">
        <f>"AL020996.1"</f>
        <v>AL020996.1</v>
      </c>
      <c r="I127" s="3" t="str">
        <f>"antisense"</f>
        <v>antisense</v>
      </c>
    </row>
    <row r="128" spans="1:9" x14ac:dyDescent="0.2">
      <c r="A128" s="3" t="str">
        <f>"ENSG00000127423.10"</f>
        <v>ENSG00000127423.10</v>
      </c>
      <c r="B128" s="3">
        <v>285.87534269042197</v>
      </c>
      <c r="C128" s="3">
        <v>-1.0454843235006399</v>
      </c>
      <c r="D128" s="3">
        <v>0.260440630282465</v>
      </c>
      <c r="E128" s="3">
        <v>-4.0142904060965501</v>
      </c>
      <c r="F128" s="4">
        <v>5.9624899223740097E-5</v>
      </c>
      <c r="G128" s="3">
        <v>3.5910690299497002E-4</v>
      </c>
      <c r="H128" s="3" t="str">
        <f>"AUNIP"</f>
        <v>AUNIP</v>
      </c>
      <c r="I128" s="3" t="str">
        <f t="shared" ref="I128:I139" si="6">"protein_coding"</f>
        <v>protein_coding</v>
      </c>
    </row>
    <row r="129" spans="1:9" x14ac:dyDescent="0.2">
      <c r="A129" s="3" t="str">
        <f>"ENSG00000182749.5"</f>
        <v>ENSG00000182749.5</v>
      </c>
      <c r="B129" s="3">
        <v>1487.25778660843</v>
      </c>
      <c r="C129" s="3">
        <v>1.0087783319011501</v>
      </c>
      <c r="D129" s="3">
        <v>0.20613414656649501</v>
      </c>
      <c r="E129" s="3">
        <v>4.8937953692002001</v>
      </c>
      <c r="F129" s="4">
        <v>9.8909683403058396E-7</v>
      </c>
      <c r="G129" s="4">
        <v>8.4988714717222705E-6</v>
      </c>
      <c r="H129" s="3" t="str">
        <f>"PAQR7"</f>
        <v>PAQR7</v>
      </c>
      <c r="I129" s="3" t="str">
        <f t="shared" si="6"/>
        <v>protein_coding</v>
      </c>
    </row>
    <row r="130" spans="1:9" x14ac:dyDescent="0.2">
      <c r="A130" s="3" t="str">
        <f>"ENSG00000158022.6"</f>
        <v>ENSG00000158022.6</v>
      </c>
      <c r="B130" s="3">
        <v>21.361098131084098</v>
      </c>
      <c r="C130" s="3">
        <v>7.8131521451357404</v>
      </c>
      <c r="D130" s="3">
        <v>1.6040040898560599</v>
      </c>
      <c r="E130" s="3">
        <v>4.8710300644164004</v>
      </c>
      <c r="F130" s="4">
        <v>1.1101794389181301E-6</v>
      </c>
      <c r="G130" s="4">
        <v>9.4380839850864907E-6</v>
      </c>
      <c r="H130" s="3" t="str">
        <f>"TRIM63"</f>
        <v>TRIM63</v>
      </c>
      <c r="I130" s="3" t="str">
        <f t="shared" si="6"/>
        <v>protein_coding</v>
      </c>
    </row>
    <row r="131" spans="1:9" x14ac:dyDescent="0.2">
      <c r="A131" s="3" t="str">
        <f>"ENSG00000176083.17"</f>
        <v>ENSG00000176083.17</v>
      </c>
      <c r="B131" s="3">
        <v>15.3791422882629</v>
      </c>
      <c r="C131" s="3">
        <v>7.3395540326914999</v>
      </c>
      <c r="D131" s="3">
        <v>1.6598330149184599</v>
      </c>
      <c r="E131" s="3">
        <v>4.4218629023065201</v>
      </c>
      <c r="F131" s="4">
        <v>9.7853541632360107E-6</v>
      </c>
      <c r="G131" s="4">
        <v>6.9704979055082797E-5</v>
      </c>
      <c r="H131" s="3" t="str">
        <f>"ZNF683"</f>
        <v>ZNF683</v>
      </c>
      <c r="I131" s="3" t="str">
        <f t="shared" si="6"/>
        <v>protein_coding</v>
      </c>
    </row>
    <row r="132" spans="1:9" x14ac:dyDescent="0.2">
      <c r="A132" s="3" t="str">
        <f>"ENSG00000117676.14"</f>
        <v>ENSG00000117676.14</v>
      </c>
      <c r="B132" s="3">
        <v>2710.9144589194798</v>
      </c>
      <c r="C132" s="3">
        <v>1.3327393908043199</v>
      </c>
      <c r="D132" s="3">
        <v>0.19861221168579801</v>
      </c>
      <c r="E132" s="3">
        <v>6.7102590494923504</v>
      </c>
      <c r="F132" s="4">
        <v>1.94279201753575E-11</v>
      </c>
      <c r="G132" s="4">
        <v>3.3125941240173102E-10</v>
      </c>
      <c r="H132" s="3" t="str">
        <f>"RPS6KA1"</f>
        <v>RPS6KA1</v>
      </c>
      <c r="I132" s="3" t="str">
        <f t="shared" si="6"/>
        <v>protein_coding</v>
      </c>
    </row>
    <row r="133" spans="1:9" x14ac:dyDescent="0.2">
      <c r="A133" s="3" t="str">
        <f>"ENSG00000204160.12"</f>
        <v>ENSG00000204160.12</v>
      </c>
      <c r="B133" s="3">
        <v>1198.93937577523</v>
      </c>
      <c r="C133" s="3">
        <v>-1.2636261330267</v>
      </c>
      <c r="D133" s="3">
        <v>0.210255437306161</v>
      </c>
      <c r="E133" s="3">
        <v>-6.0099569800265398</v>
      </c>
      <c r="F133" s="4">
        <v>1.85572563313245E-9</v>
      </c>
      <c r="G133" s="4">
        <v>2.4181232102324202E-8</v>
      </c>
      <c r="H133" s="3" t="str">
        <f>"ZDHHC18"</f>
        <v>ZDHHC18</v>
      </c>
      <c r="I133" s="3" t="str">
        <f t="shared" si="6"/>
        <v>protein_coding</v>
      </c>
    </row>
    <row r="134" spans="1:9" x14ac:dyDescent="0.2">
      <c r="A134" s="3" t="str">
        <f>"ENSG00000175793.12"</f>
        <v>ENSG00000175793.12</v>
      </c>
      <c r="B134" s="3">
        <v>1604.63925288271</v>
      </c>
      <c r="C134" s="3">
        <v>2.1102807087883302</v>
      </c>
      <c r="D134" s="3">
        <v>0.213681779205698</v>
      </c>
      <c r="E134" s="3">
        <v>9.8758102662412597</v>
      </c>
      <c r="F134" s="4">
        <v>5.3002847622050903E-23</v>
      </c>
      <c r="G134" s="4">
        <v>2.5515346098198199E-21</v>
      </c>
      <c r="H134" s="3" t="str">
        <f>"SFN"</f>
        <v>SFN</v>
      </c>
      <c r="I134" s="3" t="str">
        <f t="shared" si="6"/>
        <v>protein_coding</v>
      </c>
    </row>
    <row r="135" spans="1:9" x14ac:dyDescent="0.2">
      <c r="A135" s="3" t="str">
        <f>"ENSG00000131910.5"</f>
        <v>ENSG00000131910.5</v>
      </c>
      <c r="B135" s="3">
        <v>3447.1123730824502</v>
      </c>
      <c r="C135" s="3">
        <v>2.0463650993363101</v>
      </c>
      <c r="D135" s="3">
        <v>0.21972430722024</v>
      </c>
      <c r="E135" s="3">
        <v>9.3133305332720493</v>
      </c>
      <c r="F135" s="4">
        <v>1.2388540267297399E-20</v>
      </c>
      <c r="G135" s="4">
        <v>5.0835927208290802E-19</v>
      </c>
      <c r="H135" s="3" t="str">
        <f>"NR0B2"</f>
        <v>NR0B2</v>
      </c>
      <c r="I135" s="3" t="str">
        <f t="shared" si="6"/>
        <v>protein_coding</v>
      </c>
    </row>
    <row r="136" spans="1:9" x14ac:dyDescent="0.2">
      <c r="A136" s="3" t="str">
        <f>"ENSG00000090020.11"</f>
        <v>ENSG00000090020.11</v>
      </c>
      <c r="B136" s="3">
        <v>1644.68170635602</v>
      </c>
      <c r="C136" s="3">
        <v>1.37015682914735</v>
      </c>
      <c r="D136" s="3">
        <v>0.210027041664788</v>
      </c>
      <c r="E136" s="3">
        <v>6.5237162714226997</v>
      </c>
      <c r="F136" s="4">
        <v>6.8586396716769494E-11</v>
      </c>
      <c r="G136" s="4">
        <v>1.09412971390036E-9</v>
      </c>
      <c r="H136" s="3" t="str">
        <f>"SLC9A1"</f>
        <v>SLC9A1</v>
      </c>
      <c r="I136" s="3" t="str">
        <f t="shared" si="6"/>
        <v>protein_coding</v>
      </c>
    </row>
    <row r="137" spans="1:9" x14ac:dyDescent="0.2">
      <c r="A137" s="3" t="str">
        <f>"ENSG00000142765.18"</f>
        <v>ENSG00000142765.18</v>
      </c>
      <c r="B137" s="3">
        <v>2174.6814183778101</v>
      </c>
      <c r="C137" s="3">
        <v>3.7267192557981201</v>
      </c>
      <c r="D137" s="3">
        <v>0.20819981889512201</v>
      </c>
      <c r="E137" s="3">
        <v>17.899723811361302</v>
      </c>
      <c r="F137" s="4">
        <v>1.1850815537988E-71</v>
      </c>
      <c r="G137" s="4">
        <v>6.0924371879916703E-69</v>
      </c>
      <c r="H137" s="3" t="str">
        <f>"SYTL1"</f>
        <v>SYTL1</v>
      </c>
      <c r="I137" s="3" t="str">
        <f t="shared" si="6"/>
        <v>protein_coding</v>
      </c>
    </row>
    <row r="138" spans="1:9" x14ac:dyDescent="0.2">
      <c r="A138" s="3" t="str">
        <f>"ENSG00000174950.11"</f>
        <v>ENSG00000174950.11</v>
      </c>
      <c r="B138" s="3">
        <v>4.8797837467545202</v>
      </c>
      <c r="C138" s="3">
        <v>5.6795021195980304</v>
      </c>
      <c r="D138" s="3">
        <v>2.05906026095156</v>
      </c>
      <c r="E138" s="3">
        <v>2.7582981553795598</v>
      </c>
      <c r="F138" s="3">
        <v>5.8103175464449099E-3</v>
      </c>
      <c r="G138" s="3">
        <v>2.0167353144966201E-2</v>
      </c>
      <c r="H138" s="3" t="str">
        <f>"CD164L2"</f>
        <v>CD164L2</v>
      </c>
      <c r="I138" s="3" t="str">
        <f t="shared" si="6"/>
        <v>protein_coding</v>
      </c>
    </row>
    <row r="139" spans="1:9" x14ac:dyDescent="0.2">
      <c r="A139" s="3" t="str">
        <f>"ENSG00000181773.7"</f>
        <v>ENSG00000181773.7</v>
      </c>
      <c r="B139" s="3">
        <v>352.57992420477501</v>
      </c>
      <c r="C139" s="3">
        <v>2.0182104715470199</v>
      </c>
      <c r="D139" s="3">
        <v>0.29160070387312398</v>
      </c>
      <c r="E139" s="3">
        <v>6.9211440327152003</v>
      </c>
      <c r="F139" s="4">
        <v>4.4801068381997699E-12</v>
      </c>
      <c r="G139" s="4">
        <v>8.1925819476798103E-11</v>
      </c>
      <c r="H139" s="3" t="str">
        <f>"GPR3"</f>
        <v>GPR3</v>
      </c>
      <c r="I139" s="3" t="str">
        <f t="shared" si="6"/>
        <v>protein_coding</v>
      </c>
    </row>
    <row r="140" spans="1:9" x14ac:dyDescent="0.2">
      <c r="A140" s="3" t="str">
        <f>"ENSG00000237429.1"</f>
        <v>ENSG00000237429.1</v>
      </c>
      <c r="B140" s="3">
        <v>30.185212598478898</v>
      </c>
      <c r="C140" s="3">
        <v>2.27791732596621</v>
      </c>
      <c r="D140" s="3">
        <v>0.66016505595404895</v>
      </c>
      <c r="E140" s="3">
        <v>3.45052696355495</v>
      </c>
      <c r="F140" s="3">
        <v>5.5949327498245E-4</v>
      </c>
      <c r="G140" s="3">
        <v>2.6461574836741599E-3</v>
      </c>
      <c r="H140" s="3" t="str">
        <f>"BX293535.1"</f>
        <v>BX293535.1</v>
      </c>
      <c r="I140" s="3" t="str">
        <f>"antisense"</f>
        <v>antisense</v>
      </c>
    </row>
    <row r="141" spans="1:9" x14ac:dyDescent="0.2">
      <c r="A141" s="3" t="str">
        <f>"ENSG00000126705.14"</f>
        <v>ENSG00000126705.14</v>
      </c>
      <c r="B141" s="3">
        <v>2273.8001079979299</v>
      </c>
      <c r="C141" s="3">
        <v>1.4481398374211401</v>
      </c>
      <c r="D141" s="3">
        <v>0.22570413201859699</v>
      </c>
      <c r="E141" s="3">
        <v>6.4160980327193204</v>
      </c>
      <c r="F141" s="4">
        <v>1.39811434792771E-10</v>
      </c>
      <c r="G141" s="4">
        <v>2.1293695717152698E-9</v>
      </c>
      <c r="H141" s="3" t="str">
        <f>"AHDC1"</f>
        <v>AHDC1</v>
      </c>
      <c r="I141" s="3" t="str">
        <f>"protein_coding"</f>
        <v>protein_coding</v>
      </c>
    </row>
    <row r="142" spans="1:9" x14ac:dyDescent="0.2">
      <c r="A142" s="3" t="str">
        <f>"ENSG00000000938.13"</f>
        <v>ENSG00000000938.13</v>
      </c>
      <c r="B142" s="3">
        <v>4.0010518602740399</v>
      </c>
      <c r="C142" s="3">
        <v>5.39773571786733</v>
      </c>
      <c r="D142" s="3">
        <v>2.1532629357120299</v>
      </c>
      <c r="E142" s="3">
        <v>2.5067703661942402</v>
      </c>
      <c r="F142" s="3">
        <v>1.2183983780147E-2</v>
      </c>
      <c r="G142" s="3">
        <v>3.74945794056546E-2</v>
      </c>
      <c r="H142" s="3" t="str">
        <f>"FGR"</f>
        <v>FGR</v>
      </c>
      <c r="I142" s="3" t="str">
        <f>"protein_coding"</f>
        <v>protein_coding</v>
      </c>
    </row>
    <row r="143" spans="1:9" x14ac:dyDescent="0.2">
      <c r="A143" s="3" t="str">
        <f>"ENSG00000126709.15"</f>
        <v>ENSG00000126709.15</v>
      </c>
      <c r="B143" s="3">
        <v>622.57946042337005</v>
      </c>
      <c r="C143" s="3">
        <v>2.5943910974837001</v>
      </c>
      <c r="D143" s="3">
        <v>0.25446000983054501</v>
      </c>
      <c r="E143" s="3">
        <v>10.195673179496501</v>
      </c>
      <c r="F143" s="4">
        <v>2.0730332586214901E-24</v>
      </c>
      <c r="G143" s="4">
        <v>1.0967754795662099E-22</v>
      </c>
      <c r="H143" s="3" t="str">
        <f>"IFI6"</f>
        <v>IFI6</v>
      </c>
      <c r="I143" s="3" t="str">
        <f>"protein_coding"</f>
        <v>protein_coding</v>
      </c>
    </row>
    <row r="144" spans="1:9" x14ac:dyDescent="0.2">
      <c r="A144" s="3" t="str">
        <f>"ENSG00000117758.14"</f>
        <v>ENSG00000117758.14</v>
      </c>
      <c r="B144" s="3">
        <v>1152.61352270983</v>
      </c>
      <c r="C144" s="3">
        <v>1.92519714375889</v>
      </c>
      <c r="D144" s="3">
        <v>0.21313141502220401</v>
      </c>
      <c r="E144" s="3">
        <v>9.0329111903016397</v>
      </c>
      <c r="F144" s="4">
        <v>1.6716432849000099E-19</v>
      </c>
      <c r="G144" s="4">
        <v>6.1137267897544501E-18</v>
      </c>
      <c r="H144" s="3" t="str">
        <f>"STX12"</f>
        <v>STX12</v>
      </c>
      <c r="I144" s="3" t="str">
        <f>"protein_coding"</f>
        <v>protein_coding</v>
      </c>
    </row>
    <row r="145" spans="1:9" x14ac:dyDescent="0.2">
      <c r="A145" s="3" t="str">
        <f>"ENSG00000169403.12"</f>
        <v>ENSG00000169403.12</v>
      </c>
      <c r="B145" s="3">
        <v>247.06710104102299</v>
      </c>
      <c r="C145" s="3">
        <v>5.4792568523104999</v>
      </c>
      <c r="D145" s="3">
        <v>0.41638555716866099</v>
      </c>
      <c r="E145" s="3">
        <v>13.159094396953501</v>
      </c>
      <c r="F145" s="4">
        <v>1.5088347097033798E-39</v>
      </c>
      <c r="G145" s="4">
        <v>2.0251832184870899E-37</v>
      </c>
      <c r="H145" s="3" t="str">
        <f>"PTAFR"</f>
        <v>PTAFR</v>
      </c>
      <c r="I145" s="3" t="str">
        <f>"protein_coding"</f>
        <v>protein_coding</v>
      </c>
    </row>
    <row r="146" spans="1:9" x14ac:dyDescent="0.2">
      <c r="A146" s="3" t="str">
        <f>"ENSG00000270605.1"</f>
        <v>ENSG00000270605.1</v>
      </c>
      <c r="B146" s="3">
        <v>159.12171417313601</v>
      </c>
      <c r="C146" s="3">
        <v>1.46235215262453</v>
      </c>
      <c r="D146" s="3">
        <v>0.31982956053017703</v>
      </c>
      <c r="E146" s="3">
        <v>4.5722857830915098</v>
      </c>
      <c r="F146" s="4">
        <v>4.8243233538517696E-6</v>
      </c>
      <c r="G146" s="4">
        <v>3.65032875374616E-5</v>
      </c>
      <c r="H146" s="3" t="str">
        <f>"AL353622.1"</f>
        <v>AL353622.1</v>
      </c>
      <c r="I146" s="3" t="str">
        <f>"antisense"</f>
        <v>antisense</v>
      </c>
    </row>
    <row r="147" spans="1:9" x14ac:dyDescent="0.2">
      <c r="A147" s="3" t="str">
        <f>"ENSG00000130766.5"</f>
        <v>ENSG00000130766.5</v>
      </c>
      <c r="B147" s="3">
        <v>2981.0488476901101</v>
      </c>
      <c r="C147" s="3">
        <v>1.77081703073351</v>
      </c>
      <c r="D147" s="3">
        <v>0.211092569865625</v>
      </c>
      <c r="E147" s="3">
        <v>8.3888174361644001</v>
      </c>
      <c r="F147" s="4">
        <v>4.9105657220152497E-17</v>
      </c>
      <c r="G147" s="4">
        <v>1.46547846908816E-15</v>
      </c>
      <c r="H147" s="3" t="str">
        <f>"SESN2"</f>
        <v>SESN2</v>
      </c>
      <c r="I147" s="3" t="str">
        <f>"protein_coding"</f>
        <v>protein_coding</v>
      </c>
    </row>
    <row r="148" spans="1:9" x14ac:dyDescent="0.2">
      <c r="A148" s="3" t="str">
        <f>"ENSG00000180198.16"</f>
        <v>ENSG00000180198.16</v>
      </c>
      <c r="B148" s="3">
        <v>3307.0907453898399</v>
      </c>
      <c r="C148" s="3">
        <v>-1.6824776261621801</v>
      </c>
      <c r="D148" s="3">
        <v>0.21427095465582699</v>
      </c>
      <c r="E148" s="3">
        <v>-7.8521030947225903</v>
      </c>
      <c r="F148" s="4">
        <v>4.0911796175260703E-15</v>
      </c>
      <c r="G148" s="4">
        <v>1.03215158369197E-13</v>
      </c>
      <c r="H148" s="3" t="str">
        <f>"RCC1"</f>
        <v>RCC1</v>
      </c>
      <c r="I148" s="3" t="str">
        <f>"protein_coding"</f>
        <v>protein_coding</v>
      </c>
    </row>
    <row r="149" spans="1:9" x14ac:dyDescent="0.2">
      <c r="A149" s="3" t="str">
        <f>"ENSG00000197989.14"</f>
        <v>ENSG00000197989.14</v>
      </c>
      <c r="B149" s="3">
        <v>981.82378016999303</v>
      </c>
      <c r="C149" s="3">
        <v>-1.1942555506199199</v>
      </c>
      <c r="D149" s="3">
        <v>0.19875505896742099</v>
      </c>
      <c r="E149" s="3">
        <v>-6.0086800146087</v>
      </c>
      <c r="F149" s="4">
        <v>1.8703986315844301E-9</v>
      </c>
      <c r="G149" s="4">
        <v>2.43607798827825E-8</v>
      </c>
      <c r="H149" s="3" t="str">
        <f>"SNHG12"</f>
        <v>SNHG12</v>
      </c>
      <c r="I149" s="3" t="str">
        <f>"antisense"</f>
        <v>antisense</v>
      </c>
    </row>
    <row r="150" spans="1:9" x14ac:dyDescent="0.2">
      <c r="A150" s="3" t="str">
        <f>"ENSG00000120656.11"</f>
        <v>ENSG00000120656.11</v>
      </c>
      <c r="B150" s="3">
        <v>401.265705837903</v>
      </c>
      <c r="C150" s="3">
        <v>1.5173209570422801</v>
      </c>
      <c r="D150" s="3">
        <v>0.24154454834165401</v>
      </c>
      <c r="E150" s="3">
        <v>6.2817437506231597</v>
      </c>
      <c r="F150" s="4">
        <v>3.3479636210372698E-10</v>
      </c>
      <c r="G150" s="4">
        <v>4.8189099198310896E-9</v>
      </c>
      <c r="H150" s="3" t="str">
        <f>"TAF12"</f>
        <v>TAF12</v>
      </c>
      <c r="I150" s="3" t="str">
        <f>"protein_coding"</f>
        <v>protein_coding</v>
      </c>
    </row>
    <row r="151" spans="1:9" x14ac:dyDescent="0.2">
      <c r="A151" s="3" t="str">
        <f>"ENSG00000060656.20"</f>
        <v>ENSG00000060656.20</v>
      </c>
      <c r="B151" s="3">
        <v>7719.6443976885803</v>
      </c>
      <c r="C151" s="3">
        <v>1.16509108679691</v>
      </c>
      <c r="D151" s="3">
        <v>0.19177521434899999</v>
      </c>
      <c r="E151" s="3">
        <v>6.0752954481210404</v>
      </c>
      <c r="F151" s="4">
        <v>1.23759646601935E-9</v>
      </c>
      <c r="G151" s="4">
        <v>1.6652242424508201E-8</v>
      </c>
      <c r="H151" s="3" t="str">
        <f>"PTPRU"</f>
        <v>PTPRU</v>
      </c>
      <c r="I151" s="3" t="str">
        <f>"protein_coding"</f>
        <v>protein_coding</v>
      </c>
    </row>
    <row r="152" spans="1:9" x14ac:dyDescent="0.2">
      <c r="A152" s="3" t="str">
        <f>"ENSG00000230523.1"</f>
        <v>ENSG00000230523.1</v>
      </c>
      <c r="B152" s="3">
        <v>3.8168555458674298</v>
      </c>
      <c r="C152" s="3">
        <v>5.3279350919035302</v>
      </c>
      <c r="D152" s="3">
        <v>2.1809774924298599</v>
      </c>
      <c r="E152" s="3">
        <v>2.4429115432858599</v>
      </c>
      <c r="F152" s="3">
        <v>1.4569307781241599E-2</v>
      </c>
      <c r="G152" s="3">
        <v>4.3474967595607303E-2</v>
      </c>
      <c r="H152" s="3" t="str">
        <f>"LINC01756"</f>
        <v>LINC01756</v>
      </c>
      <c r="I152" s="3" t="str">
        <f>"lincRNA"</f>
        <v>lincRNA</v>
      </c>
    </row>
    <row r="153" spans="1:9" x14ac:dyDescent="0.2">
      <c r="A153" s="3" t="str">
        <f>"ENSG00000228176.1"</f>
        <v>ENSG00000228176.1</v>
      </c>
      <c r="B153" s="3">
        <v>16.698743013169999</v>
      </c>
      <c r="C153" s="3">
        <v>7.4572407146052102</v>
      </c>
      <c r="D153" s="3">
        <v>1.64489202984287</v>
      </c>
      <c r="E153" s="3">
        <v>4.5335745929278799</v>
      </c>
      <c r="F153" s="4">
        <v>5.7993772574245599E-6</v>
      </c>
      <c r="G153" s="4">
        <v>4.3209087266351398E-5</v>
      </c>
      <c r="H153" s="3" t="str">
        <f>"AC092265.1"</f>
        <v>AC092265.1</v>
      </c>
      <c r="I153" s="3" t="str">
        <f>"lincRNA"</f>
        <v>lincRNA</v>
      </c>
    </row>
    <row r="154" spans="1:9" x14ac:dyDescent="0.2">
      <c r="A154" s="3" t="str">
        <f>"ENSG00000186056.10"</f>
        <v>ENSG00000186056.10</v>
      </c>
      <c r="B154" s="3">
        <v>33.372290129898701</v>
      </c>
      <c r="C154" s="3">
        <v>1.6589771089444001</v>
      </c>
      <c r="D154" s="3">
        <v>0.630600890251099</v>
      </c>
      <c r="E154" s="3">
        <v>2.63078776860561</v>
      </c>
      <c r="F154" s="3">
        <v>8.5187215313982795E-3</v>
      </c>
      <c r="G154" s="3">
        <v>2.7817702596989801E-2</v>
      </c>
      <c r="H154" s="3" t="str">
        <f>"MATN1-AS1"</f>
        <v>MATN1-AS1</v>
      </c>
      <c r="I154" s="3" t="str">
        <f>"antisense"</f>
        <v>antisense</v>
      </c>
    </row>
    <row r="155" spans="1:9" x14ac:dyDescent="0.2">
      <c r="A155" s="3" t="str">
        <f>"ENSG00000162511.8"</f>
        <v>ENSG00000162511.8</v>
      </c>
      <c r="B155" s="3">
        <v>1418.3547176412601</v>
      </c>
      <c r="C155" s="3">
        <v>7.2442819425711003</v>
      </c>
      <c r="D155" s="3">
        <v>0.30821692130609701</v>
      </c>
      <c r="E155" s="3">
        <v>23.5038423973375</v>
      </c>
      <c r="F155" s="4">
        <v>3.7259442017945098E-122</v>
      </c>
      <c r="G155" s="4">
        <v>1.0152080166629501E-118</v>
      </c>
      <c r="H155" s="3" t="str">
        <f>"LAPTM5"</f>
        <v>LAPTM5</v>
      </c>
      <c r="I155" s="3" t="str">
        <f>"protein_coding"</f>
        <v>protein_coding</v>
      </c>
    </row>
    <row r="156" spans="1:9" x14ac:dyDescent="0.2">
      <c r="A156" s="3" t="str">
        <f>"ENSG00000060688.13"</f>
        <v>ENSG00000060688.13</v>
      </c>
      <c r="B156" s="3">
        <v>1762.2076726881401</v>
      </c>
      <c r="C156" s="3">
        <v>-1.2044193652061601</v>
      </c>
      <c r="D156" s="3">
        <v>0.195068325193854</v>
      </c>
      <c r="E156" s="3">
        <v>-6.1743461631161098</v>
      </c>
      <c r="F156" s="4">
        <v>6.6437834271085996E-10</v>
      </c>
      <c r="G156" s="4">
        <v>9.2311660906898606E-9</v>
      </c>
      <c r="H156" s="3" t="str">
        <f>"SNRNP40"</f>
        <v>SNRNP40</v>
      </c>
      <c r="I156" s="3" t="str">
        <f>"protein_coding"</f>
        <v>protein_coding</v>
      </c>
    </row>
    <row r="157" spans="1:9" x14ac:dyDescent="0.2">
      <c r="A157" s="3" t="str">
        <f>"ENSG00000229167.1"</f>
        <v>ENSG00000229167.1</v>
      </c>
      <c r="B157" s="3">
        <v>253.02923337191399</v>
      </c>
      <c r="C157" s="3">
        <v>3.34399196698033</v>
      </c>
      <c r="D157" s="3">
        <v>0.310912420886504</v>
      </c>
      <c r="E157" s="3">
        <v>10.7554145229889</v>
      </c>
      <c r="F157" s="4">
        <v>5.5882197746482E-27</v>
      </c>
      <c r="G157" s="4">
        <v>3.5575286027999898E-25</v>
      </c>
      <c r="H157" s="3" t="str">
        <f>"AC114488.1"</f>
        <v>AC114488.1</v>
      </c>
      <c r="I157" s="3" t="str">
        <f>"antisense"</f>
        <v>antisense</v>
      </c>
    </row>
    <row r="158" spans="1:9" x14ac:dyDescent="0.2">
      <c r="A158" s="3" t="str">
        <f>"ENSG00000121764.11"</f>
        <v>ENSG00000121764.11</v>
      </c>
      <c r="B158" s="3">
        <v>9.1405139214215403</v>
      </c>
      <c r="C158" s="3">
        <v>6.5901829154921696</v>
      </c>
      <c r="D158" s="3">
        <v>1.79254900780578</v>
      </c>
      <c r="E158" s="3">
        <v>3.6764310971665202</v>
      </c>
      <c r="F158" s="3">
        <v>2.36519700500884E-4</v>
      </c>
      <c r="G158" s="3">
        <v>1.2340965682779701E-3</v>
      </c>
      <c r="H158" s="3" t="str">
        <f>"HCRTR1"</f>
        <v>HCRTR1</v>
      </c>
      <c r="I158" s="3" t="str">
        <f>"protein_coding"</f>
        <v>protein_coding</v>
      </c>
    </row>
    <row r="159" spans="1:9" x14ac:dyDescent="0.2">
      <c r="A159" s="3" t="str">
        <f>"ENSG00000084636.18"</f>
        <v>ENSG00000084636.18</v>
      </c>
      <c r="B159" s="3">
        <v>1220.26089515689</v>
      </c>
      <c r="C159" s="3">
        <v>-1.0837511018027799</v>
      </c>
      <c r="D159" s="3">
        <v>0.229858377144843</v>
      </c>
      <c r="E159" s="3">
        <v>-4.7148644972806997</v>
      </c>
      <c r="F159" s="4">
        <v>2.4187165730148101E-6</v>
      </c>
      <c r="G159" s="4">
        <v>1.9314997205432201E-5</v>
      </c>
      <c r="H159" s="3" t="str">
        <f>"COL16A1"</f>
        <v>COL16A1</v>
      </c>
      <c r="I159" s="3" t="str">
        <f>"protein_coding"</f>
        <v>protein_coding</v>
      </c>
    </row>
    <row r="160" spans="1:9" x14ac:dyDescent="0.2">
      <c r="A160" s="3" t="str">
        <f>"ENSG00000121753.12"</f>
        <v>ENSG00000121753.12</v>
      </c>
      <c r="B160" s="3">
        <v>42.828576382065599</v>
      </c>
      <c r="C160" s="3">
        <v>5.3465357220774399</v>
      </c>
      <c r="D160" s="3">
        <v>0.90101690818104996</v>
      </c>
      <c r="E160" s="3">
        <v>5.9338905558064301</v>
      </c>
      <c r="F160" s="4">
        <v>2.95839075292567E-9</v>
      </c>
      <c r="G160" s="4">
        <v>3.77551629250424E-8</v>
      </c>
      <c r="H160" s="3" t="str">
        <f>"ADGRB2"</f>
        <v>ADGRB2</v>
      </c>
      <c r="I160" s="3" t="str">
        <f>"protein_coding"</f>
        <v>protein_coding</v>
      </c>
    </row>
    <row r="161" spans="1:9" x14ac:dyDescent="0.2">
      <c r="A161" s="3" t="str">
        <f>"ENSG00000134668.12"</f>
        <v>ENSG00000134668.12</v>
      </c>
      <c r="B161" s="3">
        <v>19.129831210955199</v>
      </c>
      <c r="C161" s="3">
        <v>3.2647827793562998</v>
      </c>
      <c r="D161" s="3">
        <v>0.90386168832737102</v>
      </c>
      <c r="E161" s="3">
        <v>3.6120380159025198</v>
      </c>
      <c r="F161" s="3">
        <v>3.0380001556401602E-4</v>
      </c>
      <c r="G161" s="3">
        <v>1.54059911112465E-3</v>
      </c>
      <c r="H161" s="3" t="str">
        <f>"SPOCD1"</f>
        <v>SPOCD1</v>
      </c>
      <c r="I161" s="3" t="str">
        <f>"protein_coding"</f>
        <v>protein_coding</v>
      </c>
    </row>
    <row r="162" spans="1:9" x14ac:dyDescent="0.2">
      <c r="A162" s="3" t="str">
        <f>"ENSG00000121775.18"</f>
        <v>ENSG00000121775.18</v>
      </c>
      <c r="B162" s="3">
        <v>318.57585479099203</v>
      </c>
      <c r="C162" s="3">
        <v>-1.9089016202184601</v>
      </c>
      <c r="D162" s="3">
        <v>0.26757156980379199</v>
      </c>
      <c r="E162" s="3">
        <v>-7.1341720707407097</v>
      </c>
      <c r="F162" s="4">
        <v>9.7371459986552795E-13</v>
      </c>
      <c r="G162" s="4">
        <v>1.9323235034622001E-11</v>
      </c>
      <c r="H162" s="3" t="str">
        <f>"TMEM39B"</f>
        <v>TMEM39B</v>
      </c>
      <c r="I162" s="3" t="str">
        <f>"protein_coding"</f>
        <v>protein_coding</v>
      </c>
    </row>
    <row r="163" spans="1:9" x14ac:dyDescent="0.2">
      <c r="A163" s="3" t="str">
        <f>"ENSG00000220785.7"</f>
        <v>ENSG00000220785.7</v>
      </c>
      <c r="B163" s="3">
        <v>80.597488365829605</v>
      </c>
      <c r="C163" s="3">
        <v>3.0792365489362701</v>
      </c>
      <c r="D163" s="3">
        <v>0.46149222764175601</v>
      </c>
      <c r="E163" s="3">
        <v>6.6723475813911097</v>
      </c>
      <c r="F163" s="4">
        <v>2.51743456015203E-11</v>
      </c>
      <c r="G163" s="4">
        <v>4.2445878378998998E-10</v>
      </c>
      <c r="H163" s="3" t="str">
        <f>"MTMR9LP"</f>
        <v>MTMR9LP</v>
      </c>
      <c r="I163" s="3" t="str">
        <f>"transcribed_unprocessed_pseudogene"</f>
        <v>transcribed_unprocessed_pseudogene</v>
      </c>
    </row>
    <row r="164" spans="1:9" x14ac:dyDescent="0.2">
      <c r="A164" s="3" t="str">
        <f>"ENSG00000162526.7"</f>
        <v>ENSG00000162526.7</v>
      </c>
      <c r="B164" s="3">
        <v>85.230247917081499</v>
      </c>
      <c r="C164" s="3">
        <v>1.6539976423375999</v>
      </c>
      <c r="D164" s="3">
        <v>0.44267966527929198</v>
      </c>
      <c r="E164" s="3">
        <v>3.7363307422175698</v>
      </c>
      <c r="F164" s="3">
        <v>1.86725034563769E-4</v>
      </c>
      <c r="G164" s="3">
        <v>1.00250187522345E-3</v>
      </c>
      <c r="H164" s="3" t="str">
        <f>"TSSK3"</f>
        <v>TSSK3</v>
      </c>
      <c r="I164" s="3" t="str">
        <f>"protein_coding"</f>
        <v>protein_coding</v>
      </c>
    </row>
    <row r="165" spans="1:9" x14ac:dyDescent="0.2">
      <c r="A165" s="3" t="str">
        <f>"ENSG00000116514.16"</f>
        <v>ENSG00000116514.16</v>
      </c>
      <c r="B165" s="3">
        <v>2048.5985159960701</v>
      </c>
      <c r="C165" s="3">
        <v>1.95322195695753</v>
      </c>
      <c r="D165" s="3">
        <v>0.18799718772771301</v>
      </c>
      <c r="E165" s="3">
        <v>10.3896339118992</v>
      </c>
      <c r="F165" s="4">
        <v>2.76411999683377E-25</v>
      </c>
      <c r="G165" s="4">
        <v>1.5723168591592799E-23</v>
      </c>
      <c r="H165" s="3" t="str">
        <f>"RNF19B"</f>
        <v>RNF19B</v>
      </c>
      <c r="I165" s="3" t="str">
        <f>"protein_coding"</f>
        <v>protein_coding</v>
      </c>
    </row>
    <row r="166" spans="1:9" x14ac:dyDescent="0.2">
      <c r="A166" s="3" t="str">
        <f>"ENSG00000279179.1"</f>
        <v>ENSG00000279179.1</v>
      </c>
      <c r="B166" s="3">
        <v>14.883756397995199</v>
      </c>
      <c r="C166" s="3">
        <v>2.24587226768982</v>
      </c>
      <c r="D166" s="3">
        <v>0.93072341095665401</v>
      </c>
      <c r="E166" s="3">
        <v>2.4130394070364898</v>
      </c>
      <c r="F166" s="3">
        <v>1.5820109010276799E-2</v>
      </c>
      <c r="G166" s="3">
        <v>4.6558518901330399E-2</v>
      </c>
      <c r="H166" s="3" t="str">
        <f>"AL662907.2"</f>
        <v>AL662907.2</v>
      </c>
      <c r="I166" s="3" t="str">
        <f>"TEC"</f>
        <v>TEC</v>
      </c>
    </row>
    <row r="167" spans="1:9" x14ac:dyDescent="0.2">
      <c r="A167" s="3" t="str">
        <f>"ENSG00000121904.17"</f>
        <v>ENSG00000121904.17</v>
      </c>
      <c r="B167" s="3">
        <v>12.1207627363085</v>
      </c>
      <c r="C167" s="3">
        <v>5.5220822809180499</v>
      </c>
      <c r="D167" s="3">
        <v>1.7065179362360301</v>
      </c>
      <c r="E167" s="3">
        <v>3.2358770826035399</v>
      </c>
      <c r="F167" s="3">
        <v>1.2126959250637001E-3</v>
      </c>
      <c r="G167" s="3">
        <v>5.2249092141382998E-3</v>
      </c>
      <c r="H167" s="3" t="str">
        <f>"CSMD2"</f>
        <v>CSMD2</v>
      </c>
      <c r="I167" s="3" t="str">
        <f t="shared" ref="I167:I176" si="7">"protein_coding"</f>
        <v>protein_coding</v>
      </c>
    </row>
    <row r="168" spans="1:9" x14ac:dyDescent="0.2">
      <c r="A168" s="3" t="str">
        <f>"ENSG00000189280.3"</f>
        <v>ENSG00000189280.3</v>
      </c>
      <c r="B168" s="3">
        <v>6.8606877293017199</v>
      </c>
      <c r="C168" s="3">
        <v>6.1706072827813099</v>
      </c>
      <c r="D168" s="3">
        <v>1.91251448943764</v>
      </c>
      <c r="E168" s="3">
        <v>3.2264368802746901</v>
      </c>
      <c r="F168" s="3">
        <v>1.2534187471246201E-3</v>
      </c>
      <c r="G168" s="3">
        <v>5.3706401325529897E-3</v>
      </c>
      <c r="H168" s="3" t="str">
        <f>"GJB5"</f>
        <v>GJB5</v>
      </c>
      <c r="I168" s="3" t="str">
        <f t="shared" si="7"/>
        <v>protein_coding</v>
      </c>
    </row>
    <row r="169" spans="1:9" x14ac:dyDescent="0.2">
      <c r="A169" s="3" t="str">
        <f>"ENSG00000196182.10"</f>
        <v>ENSG00000196182.10</v>
      </c>
      <c r="B169" s="3">
        <v>3142.3940120421298</v>
      </c>
      <c r="C169" s="3">
        <v>-1.16732812209448</v>
      </c>
      <c r="D169" s="3">
        <v>0.209332294117996</v>
      </c>
      <c r="E169" s="3">
        <v>-5.5764359102494003</v>
      </c>
      <c r="F169" s="4">
        <v>2.4549630061031099E-8</v>
      </c>
      <c r="G169" s="4">
        <v>2.7663514072494402E-7</v>
      </c>
      <c r="H169" s="3" t="str">
        <f>"STK40"</f>
        <v>STK40</v>
      </c>
      <c r="I169" s="3" t="str">
        <f t="shared" si="7"/>
        <v>protein_coding</v>
      </c>
    </row>
    <row r="170" spans="1:9" x14ac:dyDescent="0.2">
      <c r="A170" s="3" t="str">
        <f>"ENSG00000181817.6"</f>
        <v>ENSG00000181817.6</v>
      </c>
      <c r="B170" s="3">
        <v>591.90365712355799</v>
      </c>
      <c r="C170" s="3">
        <v>-1.1852580300692599</v>
      </c>
      <c r="D170" s="3">
        <v>0.28284599056294701</v>
      </c>
      <c r="E170" s="3">
        <v>-4.1904713858953704</v>
      </c>
      <c r="F170" s="4">
        <v>2.7837552043382701E-5</v>
      </c>
      <c r="G170" s="3">
        <v>1.7973691481659899E-4</v>
      </c>
      <c r="H170" s="3" t="str">
        <f>"LSM10"</f>
        <v>LSM10</v>
      </c>
      <c r="I170" s="3" t="str">
        <f t="shared" si="7"/>
        <v>protein_coding</v>
      </c>
    </row>
    <row r="171" spans="1:9" x14ac:dyDescent="0.2">
      <c r="A171" s="3" t="str">
        <f>"ENSG00000116885.18"</f>
        <v>ENSG00000116885.18</v>
      </c>
      <c r="B171" s="3">
        <v>52.698503860406497</v>
      </c>
      <c r="C171" s="3">
        <v>2.4761489353918602</v>
      </c>
      <c r="D171" s="3">
        <v>0.53114603982313102</v>
      </c>
      <c r="E171" s="3">
        <v>4.6618985170564597</v>
      </c>
      <c r="F171" s="4">
        <v>3.13305682259621E-6</v>
      </c>
      <c r="G171" s="4">
        <v>2.4572941636522399E-5</v>
      </c>
      <c r="H171" s="3" t="str">
        <f>"OSCP1"</f>
        <v>OSCP1</v>
      </c>
      <c r="I171" s="3" t="str">
        <f t="shared" si="7"/>
        <v>protein_coding</v>
      </c>
    </row>
    <row r="172" spans="1:9" x14ac:dyDescent="0.2">
      <c r="A172" s="3" t="str">
        <f>"ENSG00000119535.17"</f>
        <v>ENSG00000119535.17</v>
      </c>
      <c r="B172" s="3">
        <v>317.09359785969002</v>
      </c>
      <c r="C172" s="3">
        <v>1.07323700338198</v>
      </c>
      <c r="D172" s="3">
        <v>0.26489425580509002</v>
      </c>
      <c r="E172" s="3">
        <v>4.0515676722400098</v>
      </c>
      <c r="F172" s="4">
        <v>5.0875606588405898E-5</v>
      </c>
      <c r="G172" s="3">
        <v>3.1087859446384702E-4</v>
      </c>
      <c r="H172" s="3" t="str">
        <f>"CSF3R"</f>
        <v>CSF3R</v>
      </c>
      <c r="I172" s="3" t="str">
        <f t="shared" si="7"/>
        <v>protein_coding</v>
      </c>
    </row>
    <row r="173" spans="1:9" x14ac:dyDescent="0.2">
      <c r="A173" s="3" t="str">
        <f>"ENSG00000163879.11"</f>
        <v>ENSG00000163879.11</v>
      </c>
      <c r="B173" s="3">
        <v>18.3934684890739</v>
      </c>
      <c r="C173" s="3">
        <v>2.1697410195700599</v>
      </c>
      <c r="D173" s="3">
        <v>0.83247606959818499</v>
      </c>
      <c r="E173" s="3">
        <v>2.6063704397140701</v>
      </c>
      <c r="F173" s="3">
        <v>9.1507435504037202E-3</v>
      </c>
      <c r="G173" s="3">
        <v>2.9527511785628902E-2</v>
      </c>
      <c r="H173" s="3" t="str">
        <f>"DNALI1"</f>
        <v>DNALI1</v>
      </c>
      <c r="I173" s="3" t="str">
        <f t="shared" si="7"/>
        <v>protein_coding</v>
      </c>
    </row>
    <row r="174" spans="1:9" x14ac:dyDescent="0.2">
      <c r="A174" s="3" t="str">
        <f>"ENSG00000183317.17"</f>
        <v>ENSG00000183317.17</v>
      </c>
      <c r="B174" s="3">
        <v>36.834228642903398</v>
      </c>
      <c r="C174" s="3">
        <v>3.0925146051342298</v>
      </c>
      <c r="D174" s="3">
        <v>0.65629845113826402</v>
      </c>
      <c r="E174" s="3">
        <v>4.7120553153381204</v>
      </c>
      <c r="F174" s="4">
        <v>2.45230788140885E-6</v>
      </c>
      <c r="G174" s="4">
        <v>1.9548868591207399E-5</v>
      </c>
      <c r="H174" s="3" t="str">
        <f>"EPHA10"</f>
        <v>EPHA10</v>
      </c>
      <c r="I174" s="3" t="str">
        <f t="shared" si="7"/>
        <v>protein_coding</v>
      </c>
    </row>
    <row r="175" spans="1:9" x14ac:dyDescent="0.2">
      <c r="A175" s="3" t="str">
        <f>"ENSG00000185090.14"</f>
        <v>ENSG00000185090.14</v>
      </c>
      <c r="B175" s="3">
        <v>798.38299036727005</v>
      </c>
      <c r="C175" s="3">
        <v>-2.7667814017909</v>
      </c>
      <c r="D175" s="3">
        <v>0.225759474087151</v>
      </c>
      <c r="E175" s="3">
        <v>-12.255438727336999</v>
      </c>
      <c r="F175" s="4">
        <v>1.5709682696274499E-34</v>
      </c>
      <c r="G175" s="4">
        <v>1.6031525259378001E-32</v>
      </c>
      <c r="H175" s="3" t="str">
        <f>"MANEAL"</f>
        <v>MANEAL</v>
      </c>
      <c r="I175" s="3" t="str">
        <f t="shared" si="7"/>
        <v>protein_coding</v>
      </c>
    </row>
    <row r="176" spans="1:9" x14ac:dyDescent="0.2">
      <c r="A176" s="3" t="str">
        <f>"ENSG00000185668.7"</f>
        <v>ENSG00000185668.7</v>
      </c>
      <c r="B176" s="3">
        <v>174.60858070676201</v>
      </c>
      <c r="C176" s="3">
        <v>5.9181170285829801</v>
      </c>
      <c r="D176" s="3">
        <v>0.53065804972441799</v>
      </c>
      <c r="E176" s="3">
        <v>11.1524116738762</v>
      </c>
      <c r="F176" s="4">
        <v>6.9691476476176894E-29</v>
      </c>
      <c r="G176" s="4">
        <v>5.0102471228136999E-27</v>
      </c>
      <c r="H176" s="3" t="str">
        <f>"POU3F1"</f>
        <v>POU3F1</v>
      </c>
      <c r="I176" s="3" t="str">
        <f t="shared" si="7"/>
        <v>protein_coding</v>
      </c>
    </row>
    <row r="177" spans="1:9" x14ac:dyDescent="0.2">
      <c r="A177" s="3" t="str">
        <f>"ENSG00000224592.5"</f>
        <v>ENSG00000224592.5</v>
      </c>
      <c r="B177" s="3">
        <v>136.64574472979299</v>
      </c>
      <c r="C177" s="3">
        <v>3.6116078090456298</v>
      </c>
      <c r="D177" s="3">
        <v>0.38776613880343402</v>
      </c>
      <c r="E177" s="3">
        <v>9.3138813517608892</v>
      </c>
      <c r="F177" s="4">
        <v>1.2324435488556E-20</v>
      </c>
      <c r="G177" s="4">
        <v>5.0649154412773096E-19</v>
      </c>
      <c r="H177" s="3" t="str">
        <f>"AL139158.2"</f>
        <v>AL139158.2</v>
      </c>
      <c r="I177" s="3" t="str">
        <f>"lincRNA"</f>
        <v>lincRNA</v>
      </c>
    </row>
    <row r="178" spans="1:9" x14ac:dyDescent="0.2">
      <c r="A178" s="3" t="str">
        <f>"ENSG00000158315.11"</f>
        <v>ENSG00000158315.11</v>
      </c>
      <c r="B178" s="3">
        <v>82.823610333708999</v>
      </c>
      <c r="C178" s="3">
        <v>-2.8874557513377201</v>
      </c>
      <c r="D178" s="3">
        <v>0.44423896627915099</v>
      </c>
      <c r="E178" s="3">
        <v>-6.4997804571769704</v>
      </c>
      <c r="F178" s="4">
        <v>8.0437311750685703E-11</v>
      </c>
      <c r="G178" s="4">
        <v>1.2690651032257901E-9</v>
      </c>
      <c r="H178" s="3" t="str">
        <f>"RHBDL2"</f>
        <v>RHBDL2</v>
      </c>
      <c r="I178" s="3" t="str">
        <f>"protein_coding"</f>
        <v>protein_coding</v>
      </c>
    </row>
    <row r="179" spans="1:9" x14ac:dyDescent="0.2">
      <c r="A179" s="3" t="str">
        <f>"ENSG00000183682.8"</f>
        <v>ENSG00000183682.8</v>
      </c>
      <c r="B179" s="3">
        <v>77.865127755285698</v>
      </c>
      <c r="C179" s="3">
        <v>5.1987722225451396</v>
      </c>
      <c r="D179" s="3">
        <v>0.64444026257812903</v>
      </c>
      <c r="E179" s="3">
        <v>8.0671126936530602</v>
      </c>
      <c r="F179" s="4">
        <v>7.1980104186969796E-16</v>
      </c>
      <c r="G179" s="4">
        <v>1.9476086383141699E-14</v>
      </c>
      <c r="H179" s="3" t="str">
        <f>"BMP8A"</f>
        <v>BMP8A</v>
      </c>
      <c r="I179" s="3" t="str">
        <f>"protein_coding"</f>
        <v>protein_coding</v>
      </c>
    </row>
    <row r="180" spans="1:9" x14ac:dyDescent="0.2">
      <c r="A180" s="3" t="str">
        <f>"ENSG00000116985.12"</f>
        <v>ENSG00000116985.12</v>
      </c>
      <c r="B180" s="3">
        <v>171.128038587986</v>
      </c>
      <c r="C180" s="3">
        <v>1.6852691843658101</v>
      </c>
      <c r="D180" s="3">
        <v>0.31454298774998002</v>
      </c>
      <c r="E180" s="3">
        <v>5.3578342229818903</v>
      </c>
      <c r="F180" s="4">
        <v>8.4225465573692207E-8</v>
      </c>
      <c r="G180" s="4">
        <v>8.63390240965535E-7</v>
      </c>
      <c r="H180" s="3" t="str">
        <f>"BMP8B"</f>
        <v>BMP8B</v>
      </c>
      <c r="I180" s="3" t="str">
        <f>"protein_coding"</f>
        <v>protein_coding</v>
      </c>
    </row>
    <row r="181" spans="1:9" x14ac:dyDescent="0.2">
      <c r="A181" s="3" t="str">
        <f>"ENSG00000049089.15"</f>
        <v>ENSG00000049089.15</v>
      </c>
      <c r="B181" s="3">
        <v>2981.2776773649598</v>
      </c>
      <c r="C181" s="3">
        <v>1.3570338698440401</v>
      </c>
      <c r="D181" s="3">
        <v>0.19737980616596801</v>
      </c>
      <c r="E181" s="3">
        <v>6.8752416784874599</v>
      </c>
      <c r="F181" s="4">
        <v>6.1884852279096802E-12</v>
      </c>
      <c r="G181" s="4">
        <v>1.11257315898325E-10</v>
      </c>
      <c r="H181" s="3" t="str">
        <f>"COL9A2"</f>
        <v>COL9A2</v>
      </c>
      <c r="I181" s="3" t="str">
        <f>"protein_coding"</f>
        <v>protein_coding</v>
      </c>
    </row>
    <row r="182" spans="1:9" x14ac:dyDescent="0.2">
      <c r="A182" s="3" t="str">
        <f>"ENSG00000187801.15"</f>
        <v>ENSG00000187801.15</v>
      </c>
      <c r="B182" s="3">
        <v>183.77271776406701</v>
      </c>
      <c r="C182" s="3">
        <v>-2.4977536255525599</v>
      </c>
      <c r="D182" s="3">
        <v>0.311140733456095</v>
      </c>
      <c r="E182" s="3">
        <v>-8.0277294387268601</v>
      </c>
      <c r="F182" s="4">
        <v>9.9293157060389398E-16</v>
      </c>
      <c r="G182" s="4">
        <v>2.65239279453376E-14</v>
      </c>
      <c r="H182" s="3" t="str">
        <f>"ZFP69B"</f>
        <v>ZFP69B</v>
      </c>
      <c r="I182" s="3" t="str">
        <f>"protein_coding"</f>
        <v>protein_coding</v>
      </c>
    </row>
    <row r="183" spans="1:9" x14ac:dyDescent="0.2">
      <c r="A183" s="3" t="str">
        <f>"ENSG00000260920.2"</f>
        <v>ENSG00000260920.2</v>
      </c>
      <c r="B183" s="3">
        <v>79.858305557894695</v>
      </c>
      <c r="C183" s="3">
        <v>-2.8603061369862601</v>
      </c>
      <c r="D183" s="3">
        <v>0.47213406816432801</v>
      </c>
      <c r="E183" s="3">
        <v>-6.0582498274424896</v>
      </c>
      <c r="F183" s="4">
        <v>1.37610557856087E-9</v>
      </c>
      <c r="G183" s="4">
        <v>1.83797787740432E-8</v>
      </c>
      <c r="H183" s="3" t="str">
        <f>"AL031985.3"</f>
        <v>AL031985.3</v>
      </c>
      <c r="I183" s="3" t="str">
        <f>"sense_overlapping"</f>
        <v>sense_overlapping</v>
      </c>
    </row>
    <row r="184" spans="1:9" x14ac:dyDescent="0.2">
      <c r="A184" s="3" t="str">
        <f>"ENSG00000179862.6"</f>
        <v>ENSG00000179862.6</v>
      </c>
      <c r="B184" s="3">
        <v>271.10883365738698</v>
      </c>
      <c r="C184" s="3">
        <v>1.27354661336132</v>
      </c>
      <c r="D184" s="3">
        <v>0.27384404350561498</v>
      </c>
      <c r="E184" s="3">
        <v>4.6506274047739602</v>
      </c>
      <c r="F184" s="4">
        <v>3.30926732336026E-6</v>
      </c>
      <c r="G184" s="4">
        <v>2.5858218170231401E-5</v>
      </c>
      <c r="H184" s="3" t="str">
        <f>"CITED4"</f>
        <v>CITED4</v>
      </c>
      <c r="I184" s="3" t="str">
        <f t="shared" ref="I184:I190" si="8">"protein_coding"</f>
        <v>protein_coding</v>
      </c>
    </row>
    <row r="185" spans="1:9" x14ac:dyDescent="0.2">
      <c r="A185" s="3" t="str">
        <f>"ENSG00000010803.16"</f>
        <v>ENSG00000010803.16</v>
      </c>
      <c r="B185" s="3">
        <v>1990.7856772883899</v>
      </c>
      <c r="C185" s="3">
        <v>-1.3231180732916501</v>
      </c>
      <c r="D185" s="3">
        <v>0.20362276022457401</v>
      </c>
      <c r="E185" s="3">
        <v>-6.49788889921932</v>
      </c>
      <c r="F185" s="4">
        <v>8.1454920335760505E-11</v>
      </c>
      <c r="G185" s="4">
        <v>1.2836334380500101E-9</v>
      </c>
      <c r="H185" s="3" t="str">
        <f>"SCMH1"</f>
        <v>SCMH1</v>
      </c>
      <c r="I185" s="3" t="str">
        <f t="shared" si="8"/>
        <v>protein_coding</v>
      </c>
    </row>
    <row r="186" spans="1:9" x14ac:dyDescent="0.2">
      <c r="A186" s="3" t="str">
        <f>"ENSG00000204060.7"</f>
        <v>ENSG00000204060.7</v>
      </c>
      <c r="B186" s="3">
        <v>12.4053709587768</v>
      </c>
      <c r="C186" s="3">
        <v>2.5640225243068899</v>
      </c>
      <c r="D186" s="3">
        <v>1.0666092684414601</v>
      </c>
      <c r="E186" s="3">
        <v>2.40390047243211</v>
      </c>
      <c r="F186" s="3">
        <v>1.6221188935436701E-2</v>
      </c>
      <c r="G186" s="3">
        <v>4.75194855310015E-2</v>
      </c>
      <c r="H186" s="3" t="str">
        <f>"FOXO6"</f>
        <v>FOXO6</v>
      </c>
      <c r="I186" s="3" t="str">
        <f t="shared" si="8"/>
        <v>protein_coding</v>
      </c>
    </row>
    <row r="187" spans="1:9" x14ac:dyDescent="0.2">
      <c r="A187" s="3" t="str">
        <f>"ENSG00000044012.4"</f>
        <v>ENSG00000044012.4</v>
      </c>
      <c r="B187" s="3">
        <v>232.64369883312199</v>
      </c>
      <c r="C187" s="3">
        <v>9.8142287370833401</v>
      </c>
      <c r="D187" s="3">
        <v>1.4620184433305701</v>
      </c>
      <c r="E187" s="3">
        <v>6.7127940703168401</v>
      </c>
      <c r="F187" s="4">
        <v>1.9093248818351099E-11</v>
      </c>
      <c r="G187" s="4">
        <v>3.2596099658747599E-10</v>
      </c>
      <c r="H187" s="3" t="str">
        <f>"GUCA2B"</f>
        <v>GUCA2B</v>
      </c>
      <c r="I187" s="3" t="str">
        <f t="shared" si="8"/>
        <v>protein_coding</v>
      </c>
    </row>
    <row r="188" spans="1:9" x14ac:dyDescent="0.2">
      <c r="A188" s="3" t="str">
        <f>"ENSG00000197273.4"</f>
        <v>ENSG00000197273.4</v>
      </c>
      <c r="B188" s="3">
        <v>11.659692860084199</v>
      </c>
      <c r="C188" s="3">
        <v>2.7154020966079102</v>
      </c>
      <c r="D188" s="3">
        <v>1.11486053956108</v>
      </c>
      <c r="E188" s="3">
        <v>2.4356428452270502</v>
      </c>
      <c r="F188" s="3">
        <v>1.4865353944665601E-2</v>
      </c>
      <c r="G188" s="3">
        <v>4.4220011243919603E-2</v>
      </c>
      <c r="H188" s="3" t="str">
        <f>"GUCA2A"</f>
        <v>GUCA2A</v>
      </c>
      <c r="I188" s="3" t="str">
        <f t="shared" si="8"/>
        <v>protein_coding</v>
      </c>
    </row>
    <row r="189" spans="1:9" x14ac:dyDescent="0.2">
      <c r="A189" s="3" t="str">
        <f>"ENSG00000177181.15"</f>
        <v>ENSG00000177181.15</v>
      </c>
      <c r="B189" s="3">
        <v>200.092623679837</v>
      </c>
      <c r="C189" s="3">
        <v>-2.5771454210021698</v>
      </c>
      <c r="D189" s="3">
        <v>0.31291467216178898</v>
      </c>
      <c r="E189" s="3">
        <v>-8.2359366634929998</v>
      </c>
      <c r="F189" s="4">
        <v>1.7815817582075601E-16</v>
      </c>
      <c r="G189" s="4">
        <v>5.0723885230806098E-15</v>
      </c>
      <c r="H189" s="3" t="str">
        <f>"RIMKLA"</f>
        <v>RIMKLA</v>
      </c>
      <c r="I189" s="3" t="str">
        <f t="shared" si="8"/>
        <v>protein_coding</v>
      </c>
    </row>
    <row r="190" spans="1:9" x14ac:dyDescent="0.2">
      <c r="A190" s="3" t="str">
        <f>"ENSG00000117394.21"</f>
        <v>ENSG00000117394.21</v>
      </c>
      <c r="B190" s="3">
        <v>26594.003921882999</v>
      </c>
      <c r="C190" s="3">
        <v>-1.74909521148923</v>
      </c>
      <c r="D190" s="3">
        <v>0.17803929448772901</v>
      </c>
      <c r="E190" s="3">
        <v>-9.8242088440188802</v>
      </c>
      <c r="F190" s="4">
        <v>8.8566710583328099E-23</v>
      </c>
      <c r="G190" s="4">
        <v>4.17504699526633E-21</v>
      </c>
      <c r="H190" s="3" t="str">
        <f>"SLC2A1"</f>
        <v>SLC2A1</v>
      </c>
      <c r="I190" s="3" t="str">
        <f t="shared" si="8"/>
        <v>protein_coding</v>
      </c>
    </row>
    <row r="191" spans="1:9" x14ac:dyDescent="0.2">
      <c r="A191" s="3" t="str">
        <f>"ENSG00000284138.1"</f>
        <v>ENSG00000284138.1</v>
      </c>
      <c r="B191" s="3">
        <v>112.780506899801</v>
      </c>
      <c r="C191" s="3">
        <v>-1.9467076875156</v>
      </c>
      <c r="D191" s="3">
        <v>0.37900406421650601</v>
      </c>
      <c r="E191" s="3">
        <v>-5.1363768131086598</v>
      </c>
      <c r="F191" s="4">
        <v>2.8008579696602801E-7</v>
      </c>
      <c r="G191" s="4">
        <v>2.6315509344597801E-6</v>
      </c>
      <c r="H191" s="3" t="str">
        <f>"ATP6V0CP4"</f>
        <v>ATP6V0CP4</v>
      </c>
      <c r="I191" s="3" t="str">
        <f>"processed_pseudogene"</f>
        <v>processed_pseudogene</v>
      </c>
    </row>
    <row r="192" spans="1:9" x14ac:dyDescent="0.2">
      <c r="A192" s="3" t="str">
        <f>"ENSG00000283973.1"</f>
        <v>ENSG00000283973.1</v>
      </c>
      <c r="B192" s="3">
        <v>13.802994474818499</v>
      </c>
      <c r="C192" s="3">
        <v>-3.75692064424919</v>
      </c>
      <c r="D192" s="3">
        <v>1.1148346775201099</v>
      </c>
      <c r="E192" s="3">
        <v>-3.3699352199971702</v>
      </c>
      <c r="F192" s="3">
        <v>7.5185856625146195E-4</v>
      </c>
      <c r="G192" s="3">
        <v>3.4430067822947201E-3</v>
      </c>
      <c r="H192" s="3" t="str">
        <f>"AC099795.1"</f>
        <v>AC099795.1</v>
      </c>
      <c r="I192" s="3" t="str">
        <f>"lincRNA"</f>
        <v>lincRNA</v>
      </c>
    </row>
    <row r="193" spans="1:9" x14ac:dyDescent="0.2">
      <c r="A193" s="3" t="str">
        <f>"ENSG00000186973.11"</f>
        <v>ENSG00000186973.11</v>
      </c>
      <c r="B193" s="3">
        <v>28.484361443762499</v>
      </c>
      <c r="C193" s="3">
        <v>1.9201515375472999</v>
      </c>
      <c r="D193" s="3">
        <v>0.66955819796988802</v>
      </c>
      <c r="E193" s="3">
        <v>2.8677888544554202</v>
      </c>
      <c r="F193" s="3">
        <v>4.1335128962458299E-3</v>
      </c>
      <c r="G193" s="3">
        <v>1.50629698922041E-2</v>
      </c>
      <c r="H193" s="3" t="str">
        <f>"FAM183A"</f>
        <v>FAM183A</v>
      </c>
      <c r="I193" s="3" t="str">
        <f>"protein_coding"</f>
        <v>protein_coding</v>
      </c>
    </row>
    <row r="194" spans="1:9" x14ac:dyDescent="0.2">
      <c r="A194" s="3" t="str">
        <f>"ENSG00000243710.7"</f>
        <v>ENSG00000243710.7</v>
      </c>
      <c r="B194" s="3">
        <v>14.928676075995501</v>
      </c>
      <c r="C194" s="3">
        <v>2.6296627270920698</v>
      </c>
      <c r="D194" s="3">
        <v>0.96842766029164695</v>
      </c>
      <c r="E194" s="3">
        <v>2.7153940711484101</v>
      </c>
      <c r="F194" s="3">
        <v>6.6196949592019399E-3</v>
      </c>
      <c r="G194" s="3">
        <v>2.2485774512859599E-2</v>
      </c>
      <c r="H194" s="3" t="str">
        <f>"CFAP57"</f>
        <v>CFAP57</v>
      </c>
      <c r="I194" s="3" t="str">
        <f>"protein_coding"</f>
        <v>protein_coding</v>
      </c>
    </row>
    <row r="195" spans="1:9" x14ac:dyDescent="0.2">
      <c r="A195" s="3" t="str">
        <f>"ENSG00000253313.5"</f>
        <v>ENSG00000253313.5</v>
      </c>
      <c r="B195" s="3">
        <v>59.938551040650196</v>
      </c>
      <c r="C195" s="3">
        <v>3.7462938676892499</v>
      </c>
      <c r="D195" s="3">
        <v>0.61582747786652303</v>
      </c>
      <c r="E195" s="3">
        <v>6.0833496430979999</v>
      </c>
      <c r="F195" s="4">
        <v>1.1769729156120901E-9</v>
      </c>
      <c r="G195" s="4">
        <v>1.58600301838192E-8</v>
      </c>
      <c r="H195" s="3" t="str">
        <f>"C1orf210"</f>
        <v>C1orf210</v>
      </c>
      <c r="I195" s="3" t="str">
        <f>"protein_coding"</f>
        <v>protein_coding</v>
      </c>
    </row>
    <row r="196" spans="1:9" x14ac:dyDescent="0.2">
      <c r="A196" s="3" t="str">
        <f>"ENSG00000132768.14"</f>
        <v>ENSG00000132768.14</v>
      </c>
      <c r="B196" s="3">
        <v>1182.76743741155</v>
      </c>
      <c r="C196" s="3">
        <v>-1.11238236328514</v>
      </c>
      <c r="D196" s="3">
        <v>0.20820671332999699</v>
      </c>
      <c r="E196" s="3">
        <v>-5.3426824980521399</v>
      </c>
      <c r="F196" s="4">
        <v>9.1581092297512905E-8</v>
      </c>
      <c r="G196" s="4">
        <v>9.33175026862503E-7</v>
      </c>
      <c r="H196" s="3" t="str">
        <f>"DPH2"</f>
        <v>DPH2</v>
      </c>
      <c r="I196" s="3" t="str">
        <f>"protein_coding"</f>
        <v>protein_coding</v>
      </c>
    </row>
    <row r="197" spans="1:9" x14ac:dyDescent="0.2">
      <c r="A197" s="3" t="str">
        <f>"ENSG00000196517.11"</f>
        <v>ENSG00000196517.11</v>
      </c>
      <c r="B197" s="3">
        <v>407.525057114623</v>
      </c>
      <c r="C197" s="3">
        <v>-1.66460159296197</v>
      </c>
      <c r="D197" s="3">
        <v>0.256717184828477</v>
      </c>
      <c r="E197" s="3">
        <v>-6.4841845086224303</v>
      </c>
      <c r="F197" s="4">
        <v>8.9212992458148306E-11</v>
      </c>
      <c r="G197" s="4">
        <v>1.3986112804989501E-9</v>
      </c>
      <c r="H197" s="3" t="str">
        <f>"SLC6A9"</f>
        <v>SLC6A9</v>
      </c>
      <c r="I197" s="3" t="str">
        <f>"protein_coding"</f>
        <v>protein_coding</v>
      </c>
    </row>
    <row r="198" spans="1:9" x14ac:dyDescent="0.2">
      <c r="A198" s="3" t="str">
        <f>"ENSG00000230615.6"</f>
        <v>ENSG00000230615.6</v>
      </c>
      <c r="B198" s="3">
        <v>23.2066630769082</v>
      </c>
      <c r="C198" s="3">
        <v>2.4418042621576399</v>
      </c>
      <c r="D198" s="3">
        <v>0.75602427226865299</v>
      </c>
      <c r="E198" s="3">
        <v>3.2297961212678499</v>
      </c>
      <c r="F198" s="3">
        <v>1.2387852190683399E-3</v>
      </c>
      <c r="G198" s="3">
        <v>5.3188119861259202E-3</v>
      </c>
      <c r="H198" s="3" t="str">
        <f>"AL139220.2"</f>
        <v>AL139220.2</v>
      </c>
      <c r="I198" s="3" t="str">
        <f>"lincRNA"</f>
        <v>lincRNA</v>
      </c>
    </row>
    <row r="199" spans="1:9" x14ac:dyDescent="0.2">
      <c r="A199" s="3" t="str">
        <f>"ENSG00000187147.18"</f>
        <v>ENSG00000187147.18</v>
      </c>
      <c r="B199" s="3">
        <v>2445.1732711665099</v>
      </c>
      <c r="C199" s="3">
        <v>-1.1543824353124099</v>
      </c>
      <c r="D199" s="3">
        <v>0.190931134072331</v>
      </c>
      <c r="E199" s="3">
        <v>-6.0460670331277298</v>
      </c>
      <c r="F199" s="4">
        <v>1.4842436260727101E-9</v>
      </c>
      <c r="G199" s="4">
        <v>1.9717789409850402E-8</v>
      </c>
      <c r="H199" s="3" t="str">
        <f>"RNF220"</f>
        <v>RNF220</v>
      </c>
      <c r="I199" s="3" t="str">
        <f>"protein_coding"</f>
        <v>protein_coding</v>
      </c>
    </row>
    <row r="200" spans="1:9" x14ac:dyDescent="0.2">
      <c r="A200" s="3" t="str">
        <f>"ENSG00000263381.1"</f>
        <v>ENSG00000263381.1</v>
      </c>
      <c r="B200" s="3">
        <v>3.8511441996640401</v>
      </c>
      <c r="C200" s="3">
        <v>-5.4604992606921501</v>
      </c>
      <c r="D200" s="3">
        <v>2.18943492068732</v>
      </c>
      <c r="E200" s="3">
        <v>-2.4940221831201801</v>
      </c>
      <c r="F200" s="3">
        <v>1.26304650639632E-2</v>
      </c>
      <c r="G200" s="3">
        <v>3.86807105313932E-2</v>
      </c>
      <c r="H200" s="3" t="str">
        <f>"MIR5584"</f>
        <v>MIR5584</v>
      </c>
      <c r="I200" s="3" t="str">
        <f>"miRNA"</f>
        <v>miRNA</v>
      </c>
    </row>
    <row r="201" spans="1:9" x14ac:dyDescent="0.2">
      <c r="A201" s="3" t="str">
        <f>"ENSG00000126106.14"</f>
        <v>ENSG00000126106.14</v>
      </c>
      <c r="B201" s="3">
        <v>200.94783757000999</v>
      </c>
      <c r="C201" s="3">
        <v>-1.7655082791346901</v>
      </c>
      <c r="D201" s="3">
        <v>0.31557810681297099</v>
      </c>
      <c r="E201" s="3">
        <v>-5.5945207890515096</v>
      </c>
      <c r="F201" s="4">
        <v>2.2123196152421599E-8</v>
      </c>
      <c r="G201" s="4">
        <v>2.51372279218111E-7</v>
      </c>
      <c r="H201" s="3" t="str">
        <f>"TMEM53"</f>
        <v>TMEM53</v>
      </c>
      <c r="I201" s="3" t="str">
        <f t="shared" ref="I201:I213" si="9">"protein_coding"</f>
        <v>protein_coding</v>
      </c>
    </row>
    <row r="202" spans="1:9" x14ac:dyDescent="0.2">
      <c r="A202" s="3" t="str">
        <f>"ENSG00000173846.13"</f>
        <v>ENSG00000173846.13</v>
      </c>
      <c r="B202" s="3">
        <v>1870.9166445992901</v>
      </c>
      <c r="C202" s="3">
        <v>2.5855607601172399</v>
      </c>
      <c r="D202" s="3">
        <v>0.240146763018253</v>
      </c>
      <c r="E202" s="3">
        <v>10.766585931123799</v>
      </c>
      <c r="F202" s="4">
        <v>4.9501818234825302E-27</v>
      </c>
      <c r="G202" s="4">
        <v>3.1661409423574801E-25</v>
      </c>
      <c r="H202" s="3" t="str">
        <f>"PLK3"</f>
        <v>PLK3</v>
      </c>
      <c r="I202" s="3" t="str">
        <f t="shared" si="9"/>
        <v>protein_coding</v>
      </c>
    </row>
    <row r="203" spans="1:9" x14ac:dyDescent="0.2">
      <c r="A203" s="3" t="str">
        <f>"ENSG00000222009.8"</f>
        <v>ENSG00000222009.8</v>
      </c>
      <c r="B203" s="3">
        <v>1096.36328464744</v>
      </c>
      <c r="C203" s="3">
        <v>3.1644300329083901</v>
      </c>
      <c r="D203" s="3">
        <v>0.21564705008447799</v>
      </c>
      <c r="E203" s="3">
        <v>14.674116950214501</v>
      </c>
      <c r="F203" s="4">
        <v>9.4436972419947299E-49</v>
      </c>
      <c r="G203" s="4">
        <v>1.7745684051905502E-46</v>
      </c>
      <c r="H203" s="3" t="str">
        <f>"BTBD19"</f>
        <v>BTBD19</v>
      </c>
      <c r="I203" s="3" t="str">
        <f t="shared" si="9"/>
        <v>protein_coding</v>
      </c>
    </row>
    <row r="204" spans="1:9" x14ac:dyDescent="0.2">
      <c r="A204" s="3" t="str">
        <f>"ENSG00000162415.7"</f>
        <v>ENSG00000162415.7</v>
      </c>
      <c r="B204" s="3">
        <v>1048.0821350198401</v>
      </c>
      <c r="C204" s="3">
        <v>-1.0290760770170699</v>
      </c>
      <c r="D204" s="3">
        <v>0.20566973444669001</v>
      </c>
      <c r="E204" s="3">
        <v>-5.0035367614276396</v>
      </c>
      <c r="F204" s="4">
        <v>5.6287925973862203E-7</v>
      </c>
      <c r="G204" s="4">
        <v>5.0284495705240102E-6</v>
      </c>
      <c r="H204" s="3" t="str">
        <f>"ZSWIM5"</f>
        <v>ZSWIM5</v>
      </c>
      <c r="I204" s="3" t="str">
        <f t="shared" si="9"/>
        <v>protein_coding</v>
      </c>
    </row>
    <row r="205" spans="1:9" x14ac:dyDescent="0.2">
      <c r="A205" s="3" t="str">
        <f>"ENSG00000132773.12"</f>
        <v>ENSG00000132773.12</v>
      </c>
      <c r="B205" s="3">
        <v>543.72166386642402</v>
      </c>
      <c r="C205" s="3">
        <v>-1.151993334818</v>
      </c>
      <c r="D205" s="3">
        <v>0.22818636138107601</v>
      </c>
      <c r="E205" s="3">
        <v>-5.0484758503780398</v>
      </c>
      <c r="F205" s="4">
        <v>4.45348753799794E-7</v>
      </c>
      <c r="G205" s="4">
        <v>4.0583336102953099E-6</v>
      </c>
      <c r="H205" s="3" t="str">
        <f>"TOE1"</f>
        <v>TOE1</v>
      </c>
      <c r="I205" s="3" t="str">
        <f t="shared" si="9"/>
        <v>protein_coding</v>
      </c>
    </row>
    <row r="206" spans="1:9" x14ac:dyDescent="0.2">
      <c r="A206" s="3" t="str">
        <f>"ENSG00000280670.3"</f>
        <v>ENSG00000280670.3</v>
      </c>
      <c r="B206" s="3">
        <v>188.00178765103601</v>
      </c>
      <c r="C206" s="3">
        <v>-1.6640748924748301</v>
      </c>
      <c r="D206" s="3">
        <v>0.31448130497985999</v>
      </c>
      <c r="E206" s="3">
        <v>-5.2914906740844403</v>
      </c>
      <c r="F206" s="4">
        <v>1.21323378183884E-7</v>
      </c>
      <c r="G206" s="4">
        <v>1.21622446113918E-6</v>
      </c>
      <c r="H206" s="3" t="str">
        <f>"CCDC163"</f>
        <v>CCDC163</v>
      </c>
      <c r="I206" s="3" t="str">
        <f t="shared" si="9"/>
        <v>protein_coding</v>
      </c>
    </row>
    <row r="207" spans="1:9" x14ac:dyDescent="0.2">
      <c r="A207" s="3" t="str">
        <f>"ENSG00000117448.13"</f>
        <v>ENSG00000117448.13</v>
      </c>
      <c r="B207" s="3">
        <v>2063.0606366070101</v>
      </c>
      <c r="C207" s="3">
        <v>-1.07454944616203</v>
      </c>
      <c r="D207" s="3">
        <v>0.22070649115973801</v>
      </c>
      <c r="E207" s="3">
        <v>-4.8686807556752498</v>
      </c>
      <c r="F207" s="4">
        <v>1.1234573217227201E-6</v>
      </c>
      <c r="G207" s="4">
        <v>9.5334567261049798E-6</v>
      </c>
      <c r="H207" s="3" t="str">
        <f>"AKR1A1"</f>
        <v>AKR1A1</v>
      </c>
      <c r="I207" s="3" t="str">
        <f t="shared" si="9"/>
        <v>protein_coding</v>
      </c>
    </row>
    <row r="208" spans="1:9" x14ac:dyDescent="0.2">
      <c r="A208" s="3" t="str">
        <f>"ENSG00000086015.21"</f>
        <v>ENSG00000086015.21</v>
      </c>
      <c r="B208" s="3">
        <v>2703.5663827953499</v>
      </c>
      <c r="C208" s="3">
        <v>-1.6277810710931899</v>
      </c>
      <c r="D208" s="3">
        <v>0.19625697338884901</v>
      </c>
      <c r="E208" s="3">
        <v>-8.2941311230150507</v>
      </c>
      <c r="F208" s="4">
        <v>1.09381747344309E-16</v>
      </c>
      <c r="G208" s="4">
        <v>3.1807091460943198E-15</v>
      </c>
      <c r="H208" s="3" t="str">
        <f>"MAST2"</f>
        <v>MAST2</v>
      </c>
      <c r="I208" s="3" t="str">
        <f t="shared" si="9"/>
        <v>protein_coding</v>
      </c>
    </row>
    <row r="209" spans="1:9" x14ac:dyDescent="0.2">
      <c r="A209" s="3" t="str">
        <f>"ENSG00000117472.10"</f>
        <v>ENSG00000117472.10</v>
      </c>
      <c r="B209" s="3">
        <v>163.81060839336001</v>
      </c>
      <c r="C209" s="3">
        <v>4.1880996307337197</v>
      </c>
      <c r="D209" s="3">
        <v>0.39859477859901998</v>
      </c>
      <c r="E209" s="3">
        <v>10.507161296628199</v>
      </c>
      <c r="F209" s="4">
        <v>8.0067370545163901E-26</v>
      </c>
      <c r="G209" s="4">
        <v>4.7737322653043299E-24</v>
      </c>
      <c r="H209" s="3" t="str">
        <f>"TSPAN1"</f>
        <v>TSPAN1</v>
      </c>
      <c r="I209" s="3" t="str">
        <f t="shared" si="9"/>
        <v>protein_coding</v>
      </c>
    </row>
    <row r="210" spans="1:9" x14ac:dyDescent="0.2">
      <c r="A210" s="3" t="str">
        <f>"ENSG00000171357.6"</f>
        <v>ENSG00000171357.6</v>
      </c>
      <c r="B210" s="3">
        <v>38.989591027300797</v>
      </c>
      <c r="C210" s="3">
        <v>6.2163364349109198</v>
      </c>
      <c r="D210" s="3">
        <v>1.14919866856078</v>
      </c>
      <c r="E210" s="3">
        <v>5.4092791829423703</v>
      </c>
      <c r="F210" s="4">
        <v>6.3278919440531596E-8</v>
      </c>
      <c r="G210" s="4">
        <v>6.6518546218987905E-7</v>
      </c>
      <c r="H210" s="3" t="str">
        <f>"LURAP1"</f>
        <v>LURAP1</v>
      </c>
      <c r="I210" s="3" t="str">
        <f t="shared" si="9"/>
        <v>protein_coding</v>
      </c>
    </row>
    <row r="211" spans="1:9" x14ac:dyDescent="0.2">
      <c r="A211" s="3" t="str">
        <f>"ENSG00000162456.9"</f>
        <v>ENSG00000162456.9</v>
      </c>
      <c r="B211" s="3">
        <v>4.3302005939076098</v>
      </c>
      <c r="C211" s="3">
        <v>5.5088803257156904</v>
      </c>
      <c r="D211" s="3">
        <v>2.1104502212244198</v>
      </c>
      <c r="E211" s="3">
        <v>2.6102867863519599</v>
      </c>
      <c r="F211" s="3">
        <v>9.0466346159683401E-3</v>
      </c>
      <c r="G211" s="3">
        <v>2.9246992570157698E-2</v>
      </c>
      <c r="H211" s="3" t="str">
        <f>"KNCN"</f>
        <v>KNCN</v>
      </c>
      <c r="I211" s="3" t="str">
        <f t="shared" si="9"/>
        <v>protein_coding</v>
      </c>
    </row>
    <row r="212" spans="1:9" x14ac:dyDescent="0.2">
      <c r="A212" s="3" t="str">
        <f>"ENSG00000162366.8"</f>
        <v>ENSG00000162366.8</v>
      </c>
      <c r="B212" s="3">
        <v>13.1564644286016</v>
      </c>
      <c r="C212" s="3">
        <v>-5.7736873347620099</v>
      </c>
      <c r="D212" s="3">
        <v>1.6666969555134401</v>
      </c>
      <c r="E212" s="3">
        <v>-3.46414944580214</v>
      </c>
      <c r="F212" s="3">
        <v>5.3191091549227804E-4</v>
      </c>
      <c r="G212" s="3">
        <v>2.53152431692893E-3</v>
      </c>
      <c r="H212" s="3" t="str">
        <f>"PDZK1IP1"</f>
        <v>PDZK1IP1</v>
      </c>
      <c r="I212" s="3" t="str">
        <f t="shared" si="9"/>
        <v>protein_coding</v>
      </c>
    </row>
    <row r="213" spans="1:9" x14ac:dyDescent="0.2">
      <c r="A213" s="3" t="str">
        <f>"ENSG00000123473.15"</f>
        <v>ENSG00000123473.15</v>
      </c>
      <c r="B213" s="3">
        <v>1103.0853533066299</v>
      </c>
      <c r="C213" s="3">
        <v>-1.1478490170090101</v>
      </c>
      <c r="D213" s="3">
        <v>0.20629429625249199</v>
      </c>
      <c r="E213" s="3">
        <v>-5.5641335599706103</v>
      </c>
      <c r="F213" s="4">
        <v>2.6345811281577001E-8</v>
      </c>
      <c r="G213" s="4">
        <v>2.95652520588603E-7</v>
      </c>
      <c r="H213" s="3" t="str">
        <f>"STIL"</f>
        <v>STIL</v>
      </c>
      <c r="I213" s="3" t="str">
        <f t="shared" si="9"/>
        <v>protein_coding</v>
      </c>
    </row>
    <row r="214" spans="1:9" x14ac:dyDescent="0.2">
      <c r="A214" s="3" t="str">
        <f>"ENSG00000237424.1"</f>
        <v>ENSG00000237424.1</v>
      </c>
      <c r="B214" s="3">
        <v>113.32901477593499</v>
      </c>
      <c r="C214" s="3">
        <v>-1.4501364512405499</v>
      </c>
      <c r="D214" s="3">
        <v>0.36223105274205503</v>
      </c>
      <c r="E214" s="3">
        <v>-4.0033465940127204</v>
      </c>
      <c r="F214" s="4">
        <v>6.2452703222924395E-5</v>
      </c>
      <c r="G214" s="3">
        <v>3.7448257146017203E-4</v>
      </c>
      <c r="H214" s="3" t="str">
        <f>"FOXD2-AS1"</f>
        <v>FOXD2-AS1</v>
      </c>
      <c r="I214" s="3" t="str">
        <f>"lincRNA"</f>
        <v>lincRNA</v>
      </c>
    </row>
    <row r="215" spans="1:9" x14ac:dyDescent="0.2">
      <c r="A215" s="3" t="str">
        <f>"ENSG00000225028.1"</f>
        <v>ENSG00000225028.1</v>
      </c>
      <c r="B215" s="3">
        <v>9.9135372838546907</v>
      </c>
      <c r="C215" s="3">
        <v>6.7093224608774902</v>
      </c>
      <c r="D215" s="3">
        <v>1.7842094231040699</v>
      </c>
      <c r="E215" s="3">
        <v>3.7603895450820799</v>
      </c>
      <c r="F215" s="3">
        <v>1.6964897070747799E-4</v>
      </c>
      <c r="G215" s="3">
        <v>9.2061850325964002E-4</v>
      </c>
      <c r="H215" s="3" t="str">
        <f>"AC096541.1"</f>
        <v>AC096541.1</v>
      </c>
      <c r="I215" s="3" t="str">
        <f>"lincRNA"</f>
        <v>lincRNA</v>
      </c>
    </row>
    <row r="216" spans="1:9" x14ac:dyDescent="0.2">
      <c r="A216" s="3" t="str">
        <f>"ENSG00000117834.12"</f>
        <v>ENSG00000117834.12</v>
      </c>
      <c r="B216" s="3">
        <v>835.78097997362499</v>
      </c>
      <c r="C216" s="3">
        <v>-3.03855818999706</v>
      </c>
      <c r="D216" s="3">
        <v>0.27520249197519803</v>
      </c>
      <c r="E216" s="3">
        <v>-11.0411725133321</v>
      </c>
      <c r="F216" s="4">
        <v>2.4185631374238302E-28</v>
      </c>
      <c r="G216" s="4">
        <v>1.67255304074587E-26</v>
      </c>
      <c r="H216" s="3" t="str">
        <f>"SLC5A9"</f>
        <v>SLC5A9</v>
      </c>
      <c r="I216" s="3" t="str">
        <f>"protein_coding"</f>
        <v>protein_coding</v>
      </c>
    </row>
    <row r="217" spans="1:9" x14ac:dyDescent="0.2">
      <c r="A217" s="3" t="str">
        <f>"ENSG00000132122.12"</f>
        <v>ENSG00000132122.12</v>
      </c>
      <c r="B217" s="3">
        <v>200.91056613803801</v>
      </c>
      <c r="C217" s="3">
        <v>1.0203242455013699</v>
      </c>
      <c r="D217" s="3">
        <v>0.29692868880090001</v>
      </c>
      <c r="E217" s="3">
        <v>3.43626023346479</v>
      </c>
      <c r="F217" s="3">
        <v>5.8980414885725701E-4</v>
      </c>
      <c r="G217" s="3">
        <v>2.77462936084944E-3</v>
      </c>
      <c r="H217" s="3" t="str">
        <f>"SPATA6"</f>
        <v>SPATA6</v>
      </c>
      <c r="I217" s="3" t="str">
        <f>"protein_coding"</f>
        <v>protein_coding</v>
      </c>
    </row>
    <row r="218" spans="1:9" x14ac:dyDescent="0.2">
      <c r="A218" s="3" t="str">
        <f>"ENSG00000123080.11"</f>
        <v>ENSG00000123080.11</v>
      </c>
      <c r="B218" s="3">
        <v>260.30427160638402</v>
      </c>
      <c r="C218" s="3">
        <v>-1.9043331310448901</v>
      </c>
      <c r="D218" s="3">
        <v>0.31745484932573698</v>
      </c>
      <c r="E218" s="3">
        <v>-5.9987526890505301</v>
      </c>
      <c r="F218" s="4">
        <v>1.9883891748772399E-9</v>
      </c>
      <c r="G218" s="4">
        <v>2.586044861474E-8</v>
      </c>
      <c r="H218" s="3" t="str">
        <f>"CDKN2C"</f>
        <v>CDKN2C</v>
      </c>
      <c r="I218" s="3" t="str">
        <f>"protein_coding"</f>
        <v>protein_coding</v>
      </c>
    </row>
    <row r="219" spans="1:9" x14ac:dyDescent="0.2">
      <c r="A219" s="3" t="str">
        <f>"ENSG00000085831.15"</f>
        <v>ENSG00000085831.15</v>
      </c>
      <c r="B219" s="3">
        <v>57.883244086479003</v>
      </c>
      <c r="C219" s="3">
        <v>1.6275420233800999</v>
      </c>
      <c r="D219" s="3">
        <v>0.49200996614969</v>
      </c>
      <c r="E219" s="3">
        <v>3.3079452355746302</v>
      </c>
      <c r="F219" s="3">
        <v>9.3983186206626703E-4</v>
      </c>
      <c r="G219" s="3">
        <v>4.1794677241259303E-3</v>
      </c>
      <c r="H219" s="3" t="str">
        <f>"TTC39A"</f>
        <v>TTC39A</v>
      </c>
      <c r="I219" s="3" t="str">
        <f>"protein_coding"</f>
        <v>protein_coding</v>
      </c>
    </row>
    <row r="220" spans="1:9" x14ac:dyDescent="0.2">
      <c r="A220" s="3" t="str">
        <f>"ENSG00000227742.2"</f>
        <v>ENSG00000227742.2</v>
      </c>
      <c r="B220" s="3">
        <v>9.5028949694889508</v>
      </c>
      <c r="C220" s="3">
        <v>6.6413066223502</v>
      </c>
      <c r="D220" s="3">
        <v>1.79369484842161</v>
      </c>
      <c r="E220" s="3">
        <v>3.7025844324603701</v>
      </c>
      <c r="F220" s="3">
        <v>2.1341430191571301E-4</v>
      </c>
      <c r="G220" s="3">
        <v>1.12932598257864E-3</v>
      </c>
      <c r="H220" s="3" t="str">
        <f>"CALR4P"</f>
        <v>CALR4P</v>
      </c>
      <c r="I220" s="3" t="str">
        <f>"transcribed_unitary_pseudogene"</f>
        <v>transcribed_unitary_pseudogene</v>
      </c>
    </row>
    <row r="221" spans="1:9" x14ac:dyDescent="0.2">
      <c r="A221" s="3" t="str">
        <f>"ENSG00000169213.7"</f>
        <v>ENSG00000169213.7</v>
      </c>
      <c r="B221" s="3">
        <v>628.63199308496496</v>
      </c>
      <c r="C221" s="3">
        <v>1.57795004482294</v>
      </c>
      <c r="D221" s="3">
        <v>0.24376508617892501</v>
      </c>
      <c r="E221" s="3">
        <v>6.4732405676205502</v>
      </c>
      <c r="F221" s="4">
        <v>9.5923045423858406E-11</v>
      </c>
      <c r="G221" s="4">
        <v>1.49777376427729E-9</v>
      </c>
      <c r="H221" s="3" t="str">
        <f>"RAB3B"</f>
        <v>RAB3B</v>
      </c>
      <c r="I221" s="3" t="str">
        <f>"protein_coding"</f>
        <v>protein_coding</v>
      </c>
    </row>
    <row r="222" spans="1:9" x14ac:dyDescent="0.2">
      <c r="A222" s="3" t="str">
        <f>"ENSG00000117862.12"</f>
        <v>ENSG00000117862.12</v>
      </c>
      <c r="B222" s="3">
        <v>424.66999349888499</v>
      </c>
      <c r="C222" s="3">
        <v>-1.0989906722799401</v>
      </c>
      <c r="D222" s="3">
        <v>0.263047916948628</v>
      </c>
      <c r="E222" s="3">
        <v>-4.17791056864582</v>
      </c>
      <c r="F222" s="4">
        <v>2.9419928179953999E-5</v>
      </c>
      <c r="G222" s="3">
        <v>1.8910233147421699E-4</v>
      </c>
      <c r="H222" s="3" t="str">
        <f>"TXNDC12"</f>
        <v>TXNDC12</v>
      </c>
      <c r="I222" s="3" t="str">
        <f>"protein_coding"</f>
        <v>protein_coding</v>
      </c>
    </row>
    <row r="223" spans="1:9" x14ac:dyDescent="0.2">
      <c r="A223" s="3" t="str">
        <f>"ENSG00000157077.14"</f>
        <v>ENSG00000157077.14</v>
      </c>
      <c r="B223" s="3">
        <v>1248.7247678542601</v>
      </c>
      <c r="C223" s="3">
        <v>-1.1449213886174801</v>
      </c>
      <c r="D223" s="3">
        <v>0.207721033721775</v>
      </c>
      <c r="E223" s="3">
        <v>-5.5118221207728197</v>
      </c>
      <c r="F223" s="4">
        <v>3.5513774331889601E-8</v>
      </c>
      <c r="G223" s="4">
        <v>3.8876810334310801E-7</v>
      </c>
      <c r="H223" s="3" t="str">
        <f>"ZFYVE9"</f>
        <v>ZFYVE9</v>
      </c>
      <c r="I223" s="3" t="str">
        <f>"protein_coding"</f>
        <v>protein_coding</v>
      </c>
    </row>
    <row r="224" spans="1:9" x14ac:dyDescent="0.2">
      <c r="A224" s="3" t="str">
        <f>"ENSG00000085840.13"</f>
        <v>ENSG00000085840.13</v>
      </c>
      <c r="B224" s="3">
        <v>838.74765683904695</v>
      </c>
      <c r="C224" s="3">
        <v>-1.3577200668507201</v>
      </c>
      <c r="D224" s="3">
        <v>0.20989729903861501</v>
      </c>
      <c r="E224" s="3">
        <v>-6.4684970843809797</v>
      </c>
      <c r="F224" s="4">
        <v>9.8982427156891595E-11</v>
      </c>
      <c r="G224" s="4">
        <v>1.5420092582869201E-9</v>
      </c>
      <c r="H224" s="3" t="str">
        <f>"ORC1"</f>
        <v>ORC1</v>
      </c>
      <c r="I224" s="3" t="str">
        <f>"protein_coding"</f>
        <v>protein_coding</v>
      </c>
    </row>
    <row r="225" spans="1:9" x14ac:dyDescent="0.2">
      <c r="A225" s="3" t="str">
        <f>"ENSG00000203995.9"</f>
        <v>ENSG00000203995.9</v>
      </c>
      <c r="B225" s="3">
        <v>11.311376739016101</v>
      </c>
      <c r="C225" s="3">
        <v>4.3730628461921501</v>
      </c>
      <c r="D225" s="3">
        <v>1.4215409109908701</v>
      </c>
      <c r="E225" s="3">
        <v>3.0762834979852598</v>
      </c>
      <c r="F225" s="3">
        <v>2.0959845567618098E-3</v>
      </c>
      <c r="G225" s="3">
        <v>8.3959557803718107E-3</v>
      </c>
      <c r="H225" s="3" t="str">
        <f>"ZYG11A"</f>
        <v>ZYG11A</v>
      </c>
      <c r="I225" s="3" t="str">
        <f>"protein_coding"</f>
        <v>protein_coding</v>
      </c>
    </row>
    <row r="226" spans="1:9" x14ac:dyDescent="0.2">
      <c r="A226" s="3" t="str">
        <f>"ENSG00000236360.2"</f>
        <v>ENSG00000236360.2</v>
      </c>
      <c r="B226" s="3">
        <v>34.6136210126555</v>
      </c>
      <c r="C226" s="3">
        <v>1.45319654228793</v>
      </c>
      <c r="D226" s="3">
        <v>0.60459759794283097</v>
      </c>
      <c r="E226" s="3">
        <v>2.40357644031748</v>
      </c>
      <c r="F226" s="3">
        <v>1.62355722958995E-2</v>
      </c>
      <c r="G226" s="3">
        <v>4.7546285290882701E-2</v>
      </c>
      <c r="H226" s="3" t="str">
        <f>"AL445183.3"</f>
        <v>AL445183.3</v>
      </c>
      <c r="I226" s="3" t="str">
        <f>"processed_pseudogene"</f>
        <v>processed_pseudogene</v>
      </c>
    </row>
    <row r="227" spans="1:9" x14ac:dyDescent="0.2">
      <c r="A227" s="3" t="str">
        <f>"ENSG00000157184.7"</f>
        <v>ENSG00000157184.7</v>
      </c>
      <c r="B227" s="3">
        <v>1089.82075030907</v>
      </c>
      <c r="C227" s="3">
        <v>1.8882773107975901</v>
      </c>
      <c r="D227" s="3">
        <v>0.20191274242434001</v>
      </c>
      <c r="E227" s="3">
        <v>9.3519472229700895</v>
      </c>
      <c r="F227" s="4">
        <v>8.6048708176157803E-21</v>
      </c>
      <c r="G227" s="4">
        <v>3.6014887122515698E-19</v>
      </c>
      <c r="H227" s="3" t="str">
        <f>"CPT2"</f>
        <v>CPT2</v>
      </c>
      <c r="I227" s="3" t="str">
        <f>"protein_coding"</f>
        <v>protein_coding</v>
      </c>
    </row>
    <row r="228" spans="1:9" x14ac:dyDescent="0.2">
      <c r="A228" s="3" t="str">
        <f>"ENSG00000157193.16"</f>
        <v>ENSG00000157193.16</v>
      </c>
      <c r="B228" s="3">
        <v>1453.6075537996901</v>
      </c>
      <c r="C228" s="3">
        <v>-3.6489374355678201</v>
      </c>
      <c r="D228" s="3">
        <v>0.19871417071449399</v>
      </c>
      <c r="E228" s="3">
        <v>-18.362743947488699</v>
      </c>
      <c r="F228" s="4">
        <v>2.6107568084974299E-75</v>
      </c>
      <c r="G228" s="4">
        <v>1.54641936437238E-72</v>
      </c>
      <c r="H228" s="3" t="str">
        <f>"LRP8"</f>
        <v>LRP8</v>
      </c>
      <c r="I228" s="3" t="str">
        <f>"protein_coding"</f>
        <v>protein_coding</v>
      </c>
    </row>
    <row r="229" spans="1:9" x14ac:dyDescent="0.2">
      <c r="A229" s="3" t="str">
        <f>"ENSG00000225030.1"</f>
        <v>ENSG00000225030.1</v>
      </c>
      <c r="B229" s="3">
        <v>15.398850966589</v>
      </c>
      <c r="C229" s="3">
        <v>-5.00244336983741</v>
      </c>
      <c r="D229" s="3">
        <v>1.3142686127112599</v>
      </c>
      <c r="E229" s="3">
        <v>-3.8062564390985898</v>
      </c>
      <c r="F229" s="3">
        <v>1.4108609804938901E-4</v>
      </c>
      <c r="G229" s="3">
        <v>7.8022588056661296E-4</v>
      </c>
      <c r="H229" s="3" t="str">
        <f>"AL355483.1"</f>
        <v>AL355483.1</v>
      </c>
      <c r="I229" s="3" t="str">
        <f>"sense_intronic"</f>
        <v>sense_intronic</v>
      </c>
    </row>
    <row r="230" spans="1:9" x14ac:dyDescent="0.2">
      <c r="A230" s="3" t="str">
        <f>"ENSG00000211452.10"</f>
        <v>ENSG00000211452.10</v>
      </c>
      <c r="B230" s="3">
        <v>69.736761253614304</v>
      </c>
      <c r="C230" s="3">
        <v>-2.9990151086234098</v>
      </c>
      <c r="D230" s="3">
        <v>0.52045211190839002</v>
      </c>
      <c r="E230" s="3">
        <v>-5.7623267155678199</v>
      </c>
      <c r="F230" s="4">
        <v>8.2962203294316497E-9</v>
      </c>
      <c r="G230" s="4">
        <v>9.9756008524282503E-8</v>
      </c>
      <c r="H230" s="3" t="str">
        <f>"DIO1"</f>
        <v>DIO1</v>
      </c>
      <c r="I230" s="3" t="str">
        <f>"protein_coding"</f>
        <v>protein_coding</v>
      </c>
    </row>
    <row r="231" spans="1:9" x14ac:dyDescent="0.2">
      <c r="A231" s="3" t="str">
        <f>"ENSG00000203985.11"</f>
        <v>ENSG00000203985.11</v>
      </c>
      <c r="B231" s="3">
        <v>877.82987202666902</v>
      </c>
      <c r="C231" s="3">
        <v>4.5433468321081296</v>
      </c>
      <c r="D231" s="3">
        <v>0.23741714507324899</v>
      </c>
      <c r="E231" s="3">
        <v>19.1365574323051</v>
      </c>
      <c r="F231" s="4">
        <v>1.2527901677837101E-81</v>
      </c>
      <c r="G231" s="4">
        <v>9.2256145139467006E-79</v>
      </c>
      <c r="H231" s="3" t="str">
        <f>"LDLRAD1"</f>
        <v>LDLRAD1</v>
      </c>
      <c r="I231" s="3" t="str">
        <f>"protein_coding"</f>
        <v>protein_coding</v>
      </c>
    </row>
    <row r="232" spans="1:9" x14ac:dyDescent="0.2">
      <c r="A232" s="3" t="str">
        <f>"ENSG00000116209.11"</f>
        <v>ENSG00000116209.11</v>
      </c>
      <c r="B232" s="3">
        <v>2819.3004632430202</v>
      </c>
      <c r="C232" s="3">
        <v>1.16223654168801</v>
      </c>
      <c r="D232" s="3">
        <v>0.18234210992750999</v>
      </c>
      <c r="E232" s="3">
        <v>6.3739338222534503</v>
      </c>
      <c r="F232" s="4">
        <v>1.84240115952688E-10</v>
      </c>
      <c r="G232" s="4">
        <v>2.7567218228242E-9</v>
      </c>
      <c r="H232" s="3" t="str">
        <f>"TMEM59"</f>
        <v>TMEM59</v>
      </c>
      <c r="I232" s="3" t="str">
        <f>"protein_coding"</f>
        <v>protein_coding</v>
      </c>
    </row>
    <row r="233" spans="1:9" x14ac:dyDescent="0.2">
      <c r="A233" s="3" t="str">
        <f>"ENSG00000162390.17"</f>
        <v>ENSG00000162390.17</v>
      </c>
      <c r="B233" s="3">
        <v>275.92200969187502</v>
      </c>
      <c r="C233" s="3">
        <v>-1.28822527264956</v>
      </c>
      <c r="D233" s="3">
        <v>0.27307076732621099</v>
      </c>
      <c r="E233" s="3">
        <v>-4.7175510043176496</v>
      </c>
      <c r="F233" s="4">
        <v>2.38700569840653E-6</v>
      </c>
      <c r="G233" s="4">
        <v>1.90953447635005E-5</v>
      </c>
      <c r="H233" s="3" t="str">
        <f>"ACOT11"</f>
        <v>ACOT11</v>
      </c>
      <c r="I233" s="3" t="str">
        <f>"protein_coding"</f>
        <v>protein_coding</v>
      </c>
    </row>
    <row r="234" spans="1:9" x14ac:dyDescent="0.2">
      <c r="A234" s="3" t="str">
        <f>"ENSG00000162391.12"</f>
        <v>ENSG00000162391.12</v>
      </c>
      <c r="B234" s="3">
        <v>20.185582050746699</v>
      </c>
      <c r="C234" s="3">
        <v>-3.53960302712095</v>
      </c>
      <c r="D234" s="3">
        <v>0.96685172340233705</v>
      </c>
      <c r="E234" s="3">
        <v>-3.6609574575356199</v>
      </c>
      <c r="F234" s="3">
        <v>2.5127448315012397E-4</v>
      </c>
      <c r="G234" s="3">
        <v>1.30086943613745E-3</v>
      </c>
      <c r="H234" s="3" t="str">
        <f>"FAM151A"</f>
        <v>FAM151A</v>
      </c>
      <c r="I234" s="3" t="str">
        <f>"protein_coding"</f>
        <v>protein_coding</v>
      </c>
    </row>
    <row r="235" spans="1:9" x14ac:dyDescent="0.2">
      <c r="A235" s="3" t="str">
        <f>"ENSG00000242396.1"</f>
        <v>ENSG00000242396.1</v>
      </c>
      <c r="B235" s="3">
        <v>21.914830151486701</v>
      </c>
      <c r="C235" s="3">
        <v>1.80045442219478</v>
      </c>
      <c r="D235" s="3">
        <v>0.75106463979090199</v>
      </c>
      <c r="E235" s="3">
        <v>2.39720301929809</v>
      </c>
      <c r="F235" s="3">
        <v>1.6520767232783399E-2</v>
      </c>
      <c r="G235" s="3">
        <v>4.8277707506611797E-2</v>
      </c>
      <c r="H235" s="3" t="str">
        <f>"AC096536.2"</f>
        <v>AC096536.2</v>
      </c>
      <c r="I235" s="3" t="str">
        <f>"antisense"</f>
        <v>antisense</v>
      </c>
    </row>
    <row r="236" spans="1:9" x14ac:dyDescent="0.2">
      <c r="A236" s="3" t="str">
        <f>"ENSG00000169174.10"</f>
        <v>ENSG00000169174.10</v>
      </c>
      <c r="B236" s="3">
        <v>2722.6998661108501</v>
      </c>
      <c r="C236" s="3">
        <v>-4.2570318121287096</v>
      </c>
      <c r="D236" s="3">
        <v>0.24390340462891599</v>
      </c>
      <c r="E236" s="3">
        <v>-17.4537613306609</v>
      </c>
      <c r="F236" s="4">
        <v>3.2229316172398701E-68</v>
      </c>
      <c r="G236" s="4">
        <v>1.27268431557876E-65</v>
      </c>
      <c r="H236" s="3" t="str">
        <f>"PCSK9"</f>
        <v>PCSK9</v>
      </c>
      <c r="I236" s="3" t="str">
        <f>"protein_coding"</f>
        <v>protein_coding</v>
      </c>
    </row>
    <row r="237" spans="1:9" x14ac:dyDescent="0.2">
      <c r="A237" s="3" t="str">
        <f>"ENSG00000234810.3"</f>
        <v>ENSG00000234810.3</v>
      </c>
      <c r="B237" s="3">
        <v>6.2023902620345801</v>
      </c>
      <c r="C237" s="3">
        <v>6.0283798576101697</v>
      </c>
      <c r="D237" s="3">
        <v>1.9313346894476899</v>
      </c>
      <c r="E237" s="3">
        <v>3.1213543103366201</v>
      </c>
      <c r="F237" s="3">
        <v>1.8002129849072001E-3</v>
      </c>
      <c r="G237" s="3">
        <v>7.3648740103651996E-3</v>
      </c>
      <c r="H237" s="3" t="str">
        <f>"AL603840.1"</f>
        <v>AL603840.1</v>
      </c>
      <c r="I237" s="3" t="str">
        <f>"lincRNA"</f>
        <v>lincRNA</v>
      </c>
    </row>
    <row r="238" spans="1:9" x14ac:dyDescent="0.2">
      <c r="A238" s="3" t="str">
        <f>"ENSG00000260971.4"</f>
        <v>ENSG00000260971.4</v>
      </c>
      <c r="B238" s="3">
        <v>34.834314725731197</v>
      </c>
      <c r="C238" s="3">
        <v>-1.80156690289323</v>
      </c>
      <c r="D238" s="3">
        <v>0.59837738650694405</v>
      </c>
      <c r="E238" s="3">
        <v>-3.01075365399412</v>
      </c>
      <c r="F238" s="3">
        <v>2.6060018374554901E-3</v>
      </c>
      <c r="G238" s="3">
        <v>1.01205433388184E-2</v>
      </c>
      <c r="H238" s="3" t="str">
        <f>"AC119674.1"</f>
        <v>AC119674.1</v>
      </c>
      <c r="I238" s="3" t="str">
        <f>"lincRNA"</f>
        <v>lincRNA</v>
      </c>
    </row>
    <row r="239" spans="1:9" x14ac:dyDescent="0.2">
      <c r="A239" s="3" t="str">
        <f>"ENSG00000284686.1"</f>
        <v>ENSG00000284686.1</v>
      </c>
      <c r="B239" s="3">
        <v>19.827752645667498</v>
      </c>
      <c r="C239" s="3">
        <v>-2.0476307239164</v>
      </c>
      <c r="D239" s="3">
        <v>0.81179577868916397</v>
      </c>
      <c r="E239" s="3">
        <v>-2.52234709476167</v>
      </c>
      <c r="F239" s="3">
        <v>1.16574618534414E-2</v>
      </c>
      <c r="G239" s="3">
        <v>3.6143703131624801E-2</v>
      </c>
      <c r="H239" s="3" t="str">
        <f>"AC119674.2"</f>
        <v>AC119674.2</v>
      </c>
      <c r="I239" s="3" t="str">
        <f t="shared" ref="I239:I246" si="10">"protein_coding"</f>
        <v>protein_coding</v>
      </c>
    </row>
    <row r="240" spans="1:9" x14ac:dyDescent="0.2">
      <c r="A240" s="3" t="str">
        <f>"ENSG00000162407.9"</f>
        <v>ENSG00000162407.9</v>
      </c>
      <c r="B240" s="3">
        <v>1256.19148360646</v>
      </c>
      <c r="C240" s="3">
        <v>-1.51950574227638</v>
      </c>
      <c r="D240" s="3">
        <v>0.19358322362456901</v>
      </c>
      <c r="E240" s="3">
        <v>-7.8493668708775601</v>
      </c>
      <c r="F240" s="4">
        <v>4.1814277481165301E-15</v>
      </c>
      <c r="G240" s="4">
        <v>1.05394414295033E-13</v>
      </c>
      <c r="H240" s="3" t="str">
        <f>"PLPP3"</f>
        <v>PLPP3</v>
      </c>
      <c r="I240" s="3" t="str">
        <f t="shared" si="10"/>
        <v>protein_coding</v>
      </c>
    </row>
    <row r="241" spans="1:9" x14ac:dyDescent="0.2">
      <c r="A241" s="3" t="str">
        <f>"ENSG00000162409.11"</f>
        <v>ENSG00000162409.11</v>
      </c>
      <c r="B241" s="3">
        <v>2266.9142862179001</v>
      </c>
      <c r="C241" s="3">
        <v>-1.2183218225160699</v>
      </c>
      <c r="D241" s="3">
        <v>0.197905002343718</v>
      </c>
      <c r="E241" s="3">
        <v>-6.1560941264137901</v>
      </c>
      <c r="F241" s="4">
        <v>7.45609192945823E-10</v>
      </c>
      <c r="G241" s="4">
        <v>1.0312494253905999E-8</v>
      </c>
      <c r="H241" s="3" t="str">
        <f>"PRKAA2"</f>
        <v>PRKAA2</v>
      </c>
      <c r="I241" s="3" t="str">
        <f t="shared" si="10"/>
        <v>protein_coding</v>
      </c>
    </row>
    <row r="242" spans="1:9" x14ac:dyDescent="0.2">
      <c r="A242" s="3" t="str">
        <f>"ENSG00000187889.13"</f>
        <v>ENSG00000187889.13</v>
      </c>
      <c r="B242" s="3">
        <v>313.82026924346201</v>
      </c>
      <c r="C242" s="3">
        <v>2.0265974097661199</v>
      </c>
      <c r="D242" s="3">
        <v>0.27774304002035</v>
      </c>
      <c r="E242" s="3">
        <v>7.2966631661323502</v>
      </c>
      <c r="F242" s="4">
        <v>2.9499205748934699E-13</v>
      </c>
      <c r="G242" s="4">
        <v>6.2452592000095097E-12</v>
      </c>
      <c r="H242" s="3" t="str">
        <f>"FYB2"</f>
        <v>FYB2</v>
      </c>
      <c r="I242" s="3" t="str">
        <f t="shared" si="10"/>
        <v>protein_coding</v>
      </c>
    </row>
    <row r="243" spans="1:9" x14ac:dyDescent="0.2">
      <c r="A243" s="3" t="str">
        <f>"ENSG00000157131.10"</f>
        <v>ENSG00000157131.10</v>
      </c>
      <c r="B243" s="3">
        <v>133.09849465444699</v>
      </c>
      <c r="C243" s="3">
        <v>-3.12687719902911</v>
      </c>
      <c r="D243" s="3">
        <v>0.36974198089438098</v>
      </c>
      <c r="E243" s="3">
        <v>-8.4569168788066804</v>
      </c>
      <c r="F243" s="4">
        <v>2.74539464608196E-17</v>
      </c>
      <c r="G243" s="4">
        <v>8.4297158876023801E-16</v>
      </c>
      <c r="H243" s="3" t="str">
        <f>"C8A"</f>
        <v>C8A</v>
      </c>
      <c r="I243" s="3" t="str">
        <f t="shared" si="10"/>
        <v>protein_coding</v>
      </c>
    </row>
    <row r="244" spans="1:9" x14ac:dyDescent="0.2">
      <c r="A244" s="3" t="str">
        <f>"ENSG00000021852.13"</f>
        <v>ENSG00000021852.13</v>
      </c>
      <c r="B244" s="3">
        <v>52.438593584063199</v>
      </c>
      <c r="C244" s="3">
        <v>-1.78578908275639</v>
      </c>
      <c r="D244" s="3">
        <v>0.54278929357599603</v>
      </c>
      <c r="E244" s="3">
        <v>-3.2900226734231999</v>
      </c>
      <c r="F244" s="3">
        <v>1.0017931008143399E-3</v>
      </c>
      <c r="G244" s="3">
        <v>4.4268337038417503E-3</v>
      </c>
      <c r="H244" s="3" t="str">
        <f>"C8B"</f>
        <v>C8B</v>
      </c>
      <c r="I244" s="3" t="str">
        <f t="shared" si="10"/>
        <v>protein_coding</v>
      </c>
    </row>
    <row r="245" spans="1:9" x14ac:dyDescent="0.2">
      <c r="A245" s="3" t="str">
        <f>"ENSG00000173406.15"</f>
        <v>ENSG00000173406.15</v>
      </c>
      <c r="B245" s="3">
        <v>20.316340355842001</v>
      </c>
      <c r="C245" s="3">
        <v>2.3346272611794801</v>
      </c>
      <c r="D245" s="3">
        <v>0.79862330646683699</v>
      </c>
      <c r="E245" s="3">
        <v>2.9233147120487</v>
      </c>
      <c r="F245" s="3">
        <v>3.4632627855406199E-3</v>
      </c>
      <c r="G245" s="3">
        <v>1.2963714183964701E-2</v>
      </c>
      <c r="H245" s="3" t="str">
        <f>"DAB1"</f>
        <v>DAB1</v>
      </c>
      <c r="I245" s="3" t="str">
        <f t="shared" si="10"/>
        <v>protein_coding</v>
      </c>
    </row>
    <row r="246" spans="1:9" x14ac:dyDescent="0.2">
      <c r="A246" s="3" t="str">
        <f>"ENSG00000162601.10"</f>
        <v>ENSG00000162601.10</v>
      </c>
      <c r="B246" s="3">
        <v>4130.4102765420903</v>
      </c>
      <c r="C246" s="3">
        <v>1.12375479066399</v>
      </c>
      <c r="D246" s="3">
        <v>0.208007859013248</v>
      </c>
      <c r="E246" s="3">
        <v>5.40246313766644</v>
      </c>
      <c r="F246" s="4">
        <v>6.5731968512302704E-8</v>
      </c>
      <c r="G246" s="4">
        <v>6.8964148866180598E-7</v>
      </c>
      <c r="H246" s="3" t="str">
        <f>"MYSM1"</f>
        <v>MYSM1</v>
      </c>
      <c r="I246" s="3" t="str">
        <f t="shared" si="10"/>
        <v>protein_coding</v>
      </c>
    </row>
    <row r="247" spans="1:9" x14ac:dyDescent="0.2">
      <c r="A247" s="3" t="str">
        <f>"ENSG00000237352.3"</f>
        <v>ENSG00000237352.3</v>
      </c>
      <c r="B247" s="3">
        <v>5.0639800611611197</v>
      </c>
      <c r="C247" s="3">
        <v>5.7344144815604299</v>
      </c>
      <c r="D247" s="3">
        <v>2.0295138375163799</v>
      </c>
      <c r="E247" s="3">
        <v>2.8255113986204301</v>
      </c>
      <c r="F247" s="3">
        <v>4.7205208416510897E-3</v>
      </c>
      <c r="G247" s="3">
        <v>1.6903670833548101E-2</v>
      </c>
      <c r="H247" s="3" t="str">
        <f>"LINC01358"</f>
        <v>LINC01358</v>
      </c>
      <c r="I247" s="3" t="str">
        <f>"lincRNA"</f>
        <v>lincRNA</v>
      </c>
    </row>
    <row r="248" spans="1:9" x14ac:dyDescent="0.2">
      <c r="A248" s="3" t="str">
        <f>"ENSG00000162599.16"</f>
        <v>ENSG00000162599.16</v>
      </c>
      <c r="B248" s="3">
        <v>2066.0947757202998</v>
      </c>
      <c r="C248" s="3">
        <v>-1.44728802790248</v>
      </c>
      <c r="D248" s="3">
        <v>0.18111429548702401</v>
      </c>
      <c r="E248" s="3">
        <v>-7.9910203885930997</v>
      </c>
      <c r="F248" s="4">
        <v>1.33826420723743E-15</v>
      </c>
      <c r="G248" s="4">
        <v>3.5230613386085202E-14</v>
      </c>
      <c r="H248" s="3" t="str">
        <f>"NFIA"</f>
        <v>NFIA</v>
      </c>
      <c r="I248" s="3" t="str">
        <f>"protein_coding"</f>
        <v>protein_coding</v>
      </c>
    </row>
    <row r="249" spans="1:9" x14ac:dyDescent="0.2">
      <c r="A249" s="3" t="str">
        <f>"ENSG00000132854.19"</f>
        <v>ENSG00000132854.19</v>
      </c>
      <c r="B249" s="3">
        <v>1424.7092365891201</v>
      </c>
      <c r="C249" s="3">
        <v>-1.6532314697895001</v>
      </c>
      <c r="D249" s="3">
        <v>0.21752845085873801</v>
      </c>
      <c r="E249" s="3">
        <v>-7.6000700748018604</v>
      </c>
      <c r="F249" s="4">
        <v>2.95970439414323E-14</v>
      </c>
      <c r="G249" s="4">
        <v>6.8749416561995302E-13</v>
      </c>
      <c r="H249" s="3" t="str">
        <f>"KANK4"</f>
        <v>KANK4</v>
      </c>
      <c r="I249" s="3" t="str">
        <f>"protein_coding"</f>
        <v>protein_coding</v>
      </c>
    </row>
    <row r="250" spans="1:9" x14ac:dyDescent="0.2">
      <c r="A250" s="3" t="str">
        <f>"ENSG00000162607.13"</f>
        <v>ENSG00000162607.13</v>
      </c>
      <c r="B250" s="3">
        <v>2519.0414449170198</v>
      </c>
      <c r="C250" s="3">
        <v>-1.08009345109834</v>
      </c>
      <c r="D250" s="3">
        <v>0.18762443901668999</v>
      </c>
      <c r="E250" s="3">
        <v>-5.7566778440961004</v>
      </c>
      <c r="F250" s="4">
        <v>8.5785399368189299E-9</v>
      </c>
      <c r="G250" s="4">
        <v>1.02787808996704E-7</v>
      </c>
      <c r="H250" s="3" t="str">
        <f>"USP1"</f>
        <v>USP1</v>
      </c>
      <c r="I250" s="3" t="str">
        <f>"protein_coding"</f>
        <v>protein_coding</v>
      </c>
    </row>
    <row r="251" spans="1:9" x14ac:dyDescent="0.2">
      <c r="A251" s="3" t="str">
        <f>"ENSG00000224209.7"</f>
        <v>ENSG00000224209.7</v>
      </c>
      <c r="B251" s="3">
        <v>4.5506350131209503</v>
      </c>
      <c r="C251" s="3">
        <v>5.5810926405007502</v>
      </c>
      <c r="D251" s="3">
        <v>2.0811975347712699</v>
      </c>
      <c r="E251" s="3">
        <v>2.6816736745337999</v>
      </c>
      <c r="F251" s="3">
        <v>7.3254878825888504E-3</v>
      </c>
      <c r="G251" s="3">
        <v>2.4457489074488199E-2</v>
      </c>
      <c r="H251" s="3" t="str">
        <f>"LINC00466"</f>
        <v>LINC00466</v>
      </c>
      <c r="I251" s="3" t="str">
        <f>"processed_transcript"</f>
        <v>processed_transcript</v>
      </c>
    </row>
    <row r="252" spans="1:9" x14ac:dyDescent="0.2">
      <c r="A252" s="3" t="str">
        <f>"ENSG00000079739.17"</f>
        <v>ENSG00000079739.17</v>
      </c>
      <c r="B252" s="3">
        <v>2329.2427795240301</v>
      </c>
      <c r="C252" s="3">
        <v>-2.0075021356536298</v>
      </c>
      <c r="D252" s="3">
        <v>0.206440370901363</v>
      </c>
      <c r="E252" s="3">
        <v>-9.7243679949248296</v>
      </c>
      <c r="F252" s="4">
        <v>2.3737486491819798E-22</v>
      </c>
      <c r="G252" s="4">
        <v>1.09437444068124E-20</v>
      </c>
      <c r="H252" s="3" t="str">
        <f>"PGM1"</f>
        <v>PGM1</v>
      </c>
      <c r="I252" s="3" t="str">
        <f>"protein_coding"</f>
        <v>protein_coding</v>
      </c>
    </row>
    <row r="253" spans="1:9" x14ac:dyDescent="0.2">
      <c r="A253" s="3" t="str">
        <f>"ENSG00000185483.12"</f>
        <v>ENSG00000185483.12</v>
      </c>
      <c r="B253" s="3">
        <v>60.742180999409896</v>
      </c>
      <c r="C253" s="3">
        <v>1.2095719058297201</v>
      </c>
      <c r="D253" s="3">
        <v>0.46305948317097601</v>
      </c>
      <c r="E253" s="3">
        <v>2.6121307300451302</v>
      </c>
      <c r="F253" s="3">
        <v>8.9979839376818308E-3</v>
      </c>
      <c r="G253" s="3">
        <v>2.9151970077290999E-2</v>
      </c>
      <c r="H253" s="3" t="str">
        <f>"ROR1"</f>
        <v>ROR1</v>
      </c>
      <c r="I253" s="3" t="str">
        <f>"protein_coding"</f>
        <v>protein_coding</v>
      </c>
    </row>
    <row r="254" spans="1:9" x14ac:dyDescent="0.2">
      <c r="A254" s="3" t="str">
        <f>"ENSG00000158966.15"</f>
        <v>ENSG00000158966.15</v>
      </c>
      <c r="B254" s="3">
        <v>26.2175609516013</v>
      </c>
      <c r="C254" s="3">
        <v>1.94120260035508</v>
      </c>
      <c r="D254" s="3">
        <v>0.69308992581426199</v>
      </c>
      <c r="E254" s="3">
        <v>2.80079471372275</v>
      </c>
      <c r="F254" s="3">
        <v>5.0976936134624496E-3</v>
      </c>
      <c r="G254" s="3">
        <v>1.8015156664852299E-2</v>
      </c>
      <c r="H254" s="3" t="str">
        <f>"CACHD1"</f>
        <v>CACHD1</v>
      </c>
      <c r="I254" s="3" t="str">
        <f>"protein_coding"</f>
        <v>protein_coding</v>
      </c>
    </row>
    <row r="255" spans="1:9" x14ac:dyDescent="0.2">
      <c r="A255" s="3" t="str">
        <f>"ENSG00000162437.14"</f>
        <v>ENSG00000162437.14</v>
      </c>
      <c r="B255" s="3">
        <v>578.45580365212095</v>
      </c>
      <c r="C255" s="3">
        <v>-1.29899765059812</v>
      </c>
      <c r="D255" s="3">
        <v>0.226732718512617</v>
      </c>
      <c r="E255" s="3">
        <v>-5.7292024685261298</v>
      </c>
      <c r="F255" s="4">
        <v>1.00903902245443E-8</v>
      </c>
      <c r="G255" s="4">
        <v>1.19536027151373E-7</v>
      </c>
      <c r="H255" s="3" t="str">
        <f>"RAVER2"</f>
        <v>RAVER2</v>
      </c>
      <c r="I255" s="3" t="str">
        <f>"protein_coding"</f>
        <v>protein_coding</v>
      </c>
    </row>
    <row r="256" spans="1:9" x14ac:dyDescent="0.2">
      <c r="A256" s="3" t="str">
        <f>"ENSG00000226891.8"</f>
        <v>ENSG00000226891.8</v>
      </c>
      <c r="B256" s="3">
        <v>20.621518350957299</v>
      </c>
      <c r="C256" s="3">
        <v>4.6793555014723101</v>
      </c>
      <c r="D256" s="3">
        <v>1.09999716146013</v>
      </c>
      <c r="E256" s="3">
        <v>4.2539705241247603</v>
      </c>
      <c r="F256" s="4">
        <v>2.1001295850204999E-5</v>
      </c>
      <c r="G256" s="3">
        <v>1.39057669023217E-4</v>
      </c>
      <c r="H256" s="3" t="str">
        <f>"LINC01359"</f>
        <v>LINC01359</v>
      </c>
      <c r="I256" s="3" t="str">
        <f>"processed_transcript"</f>
        <v>processed_transcript</v>
      </c>
    </row>
    <row r="257" spans="1:9" x14ac:dyDescent="0.2">
      <c r="A257" s="3" t="str">
        <f>"ENSG00000162433.15"</f>
        <v>ENSG00000162433.15</v>
      </c>
      <c r="B257" s="3">
        <v>4093.4625210392501</v>
      </c>
      <c r="C257" s="3">
        <v>-1.5471926707313699</v>
      </c>
      <c r="D257" s="3">
        <v>0.19289050807994501</v>
      </c>
      <c r="E257" s="3">
        <v>-8.0210928268700492</v>
      </c>
      <c r="F257" s="4">
        <v>1.04808483476661E-15</v>
      </c>
      <c r="G257" s="4">
        <v>2.7915119738891301E-14</v>
      </c>
      <c r="H257" s="3" t="str">
        <f>"AK4"</f>
        <v>AK4</v>
      </c>
      <c r="I257" s="3" t="str">
        <f t="shared" ref="I257:I263" si="11">"protein_coding"</f>
        <v>protein_coding</v>
      </c>
    </row>
    <row r="258" spans="1:9" x14ac:dyDescent="0.2">
      <c r="A258" s="3" t="str">
        <f>"ENSG00000118473.22"</f>
        <v>ENSG00000118473.22</v>
      </c>
      <c r="B258" s="3">
        <v>7.2683242532945602</v>
      </c>
      <c r="C258" s="3">
        <v>6.2594851785055603</v>
      </c>
      <c r="D258" s="3">
        <v>1.8703113788183201</v>
      </c>
      <c r="E258" s="3">
        <v>3.34676099894144</v>
      </c>
      <c r="F258" s="3">
        <v>8.1761670174386599E-4</v>
      </c>
      <c r="G258" s="3">
        <v>3.7005983841221098E-3</v>
      </c>
      <c r="H258" s="3" t="str">
        <f>"SGIP1"</f>
        <v>SGIP1</v>
      </c>
      <c r="I258" s="3" t="str">
        <f t="shared" si="11"/>
        <v>protein_coding</v>
      </c>
    </row>
    <row r="259" spans="1:9" x14ac:dyDescent="0.2">
      <c r="A259" s="3" t="str">
        <f>"ENSG00000152763.17"</f>
        <v>ENSG00000152763.17</v>
      </c>
      <c r="B259" s="3">
        <v>49.381567815875101</v>
      </c>
      <c r="C259" s="3">
        <v>1.4572706218973901</v>
      </c>
      <c r="D259" s="3">
        <v>0.52304459175806595</v>
      </c>
      <c r="E259" s="3">
        <v>2.7861307522541998</v>
      </c>
      <c r="F259" s="3">
        <v>5.3341350954691797E-3</v>
      </c>
      <c r="G259" s="3">
        <v>1.8743768241713799E-2</v>
      </c>
      <c r="H259" s="3" t="str">
        <f>"WDR78"</f>
        <v>WDR78</v>
      </c>
      <c r="I259" s="3" t="str">
        <f t="shared" si="11"/>
        <v>protein_coding</v>
      </c>
    </row>
    <row r="260" spans="1:9" x14ac:dyDescent="0.2">
      <c r="A260" s="3" t="str">
        <f>"ENSG00000081985.11"</f>
        <v>ENSG00000081985.11</v>
      </c>
      <c r="B260" s="3">
        <v>18.9000814149306</v>
      </c>
      <c r="C260" s="3">
        <v>7.6355303932943501</v>
      </c>
      <c r="D260" s="3">
        <v>1.62460801699486</v>
      </c>
      <c r="E260" s="3">
        <v>4.6999216508966004</v>
      </c>
      <c r="F260" s="4">
        <v>2.6026132318172802E-6</v>
      </c>
      <c r="G260" s="4">
        <v>2.0656394619086899E-5</v>
      </c>
      <c r="H260" s="3" t="str">
        <f>"IL12RB2"</f>
        <v>IL12RB2</v>
      </c>
      <c r="I260" s="3" t="str">
        <f t="shared" si="11"/>
        <v>protein_coding</v>
      </c>
    </row>
    <row r="261" spans="1:9" x14ac:dyDescent="0.2">
      <c r="A261" s="3" t="str">
        <f>"ENSG00000142864.14"</f>
        <v>ENSG00000142864.14</v>
      </c>
      <c r="B261" s="3">
        <v>17278.054058259801</v>
      </c>
      <c r="C261" s="3">
        <v>-1.01818561355757</v>
      </c>
      <c r="D261" s="3">
        <v>0.17934331723736799</v>
      </c>
      <c r="E261" s="3">
        <v>-5.6772988770468604</v>
      </c>
      <c r="F261" s="4">
        <v>1.36838267030334E-8</v>
      </c>
      <c r="G261" s="4">
        <v>1.59812784473875E-7</v>
      </c>
      <c r="H261" s="3" t="str">
        <f>"SERBP1"</f>
        <v>SERBP1</v>
      </c>
      <c r="I261" s="3" t="str">
        <f t="shared" si="11"/>
        <v>protein_coding</v>
      </c>
    </row>
    <row r="262" spans="1:9" x14ac:dyDescent="0.2">
      <c r="A262" s="3" t="str">
        <f>"ENSG00000116717.13"</f>
        <v>ENSG00000116717.13</v>
      </c>
      <c r="B262" s="3">
        <v>1989.62796316713</v>
      </c>
      <c r="C262" s="3">
        <v>1.6753765657675499</v>
      </c>
      <c r="D262" s="3">
        <v>0.185751944408692</v>
      </c>
      <c r="E262" s="3">
        <v>9.0194294929230097</v>
      </c>
      <c r="F262" s="4">
        <v>1.8907134920190399E-19</v>
      </c>
      <c r="G262" s="4">
        <v>6.87800674459849E-18</v>
      </c>
      <c r="H262" s="3" t="str">
        <f>"GADD45A"</f>
        <v>GADD45A</v>
      </c>
      <c r="I262" s="3" t="str">
        <f t="shared" si="11"/>
        <v>protein_coding</v>
      </c>
    </row>
    <row r="263" spans="1:9" x14ac:dyDescent="0.2">
      <c r="A263" s="3" t="str">
        <f>"ENSG00000172380.6"</f>
        <v>ENSG00000172380.6</v>
      </c>
      <c r="B263" s="3">
        <v>100.658316203095</v>
      </c>
      <c r="C263" s="3">
        <v>3.5843576267430399</v>
      </c>
      <c r="D263" s="3">
        <v>0.44366801433560199</v>
      </c>
      <c r="E263" s="3">
        <v>8.0789182698028306</v>
      </c>
      <c r="F263" s="4">
        <v>6.53438008946756E-16</v>
      </c>
      <c r="G263" s="4">
        <v>1.77332922607293E-14</v>
      </c>
      <c r="H263" s="3" t="str">
        <f>"GNG12"</f>
        <v>GNG12</v>
      </c>
      <c r="I263" s="3" t="str">
        <f t="shared" si="11"/>
        <v>protein_coding</v>
      </c>
    </row>
    <row r="264" spans="1:9" x14ac:dyDescent="0.2">
      <c r="A264" s="3" t="str">
        <f>"ENSG00000223883.1"</f>
        <v>ENSG00000223883.1</v>
      </c>
      <c r="B264" s="3">
        <v>38.854073659629499</v>
      </c>
      <c r="C264" s="3">
        <v>8.6733134446142195</v>
      </c>
      <c r="D264" s="3">
        <v>1.5588318803941099</v>
      </c>
      <c r="E264" s="3">
        <v>5.5639825908752902</v>
      </c>
      <c r="F264" s="4">
        <v>2.6368626396454799E-8</v>
      </c>
      <c r="G264" s="4">
        <v>2.9578672845788602E-7</v>
      </c>
      <c r="H264" s="3" t="str">
        <f>"LINC01707"</f>
        <v>LINC01707</v>
      </c>
      <c r="I264" s="3" t="str">
        <f>"lincRNA"</f>
        <v>lincRNA</v>
      </c>
    </row>
    <row r="265" spans="1:9" x14ac:dyDescent="0.2">
      <c r="A265" s="3" t="str">
        <f>"ENSG00000033122.19"</f>
        <v>ENSG00000033122.19</v>
      </c>
      <c r="B265" s="3">
        <v>15.629971130499699</v>
      </c>
      <c r="C265" s="3">
        <v>5.8960900686576201</v>
      </c>
      <c r="D265" s="3">
        <v>1.64940829641038</v>
      </c>
      <c r="E265" s="3">
        <v>3.5746698264397798</v>
      </c>
      <c r="F265" s="3">
        <v>3.50670139387829E-4</v>
      </c>
      <c r="G265" s="3">
        <v>1.7499467560256701E-3</v>
      </c>
      <c r="H265" s="3" t="str">
        <f>"LRRC7"</f>
        <v>LRRC7</v>
      </c>
      <c r="I265" s="3" t="str">
        <f>"protein_coding"</f>
        <v>protein_coding</v>
      </c>
    </row>
    <row r="266" spans="1:9" x14ac:dyDescent="0.2">
      <c r="A266" s="3" t="str">
        <f>"ENSG00000197568.14"</f>
        <v>ENSG00000197568.14</v>
      </c>
      <c r="B266" s="3">
        <v>40.7109732428341</v>
      </c>
      <c r="C266" s="3">
        <v>1.32187490299347</v>
      </c>
      <c r="D266" s="3">
        <v>0.54972318991756497</v>
      </c>
      <c r="E266" s="3">
        <v>2.4046191378458999</v>
      </c>
      <c r="F266" s="3">
        <v>1.6189328274638599E-2</v>
      </c>
      <c r="G266" s="3">
        <v>4.7441452731671101E-2</v>
      </c>
      <c r="H266" s="3" t="str">
        <f>"HHLA3"</f>
        <v>HHLA3</v>
      </c>
      <c r="I266" s="3" t="str">
        <f>"protein_coding"</f>
        <v>protein_coding</v>
      </c>
    </row>
    <row r="267" spans="1:9" x14ac:dyDescent="0.2">
      <c r="A267" s="3" t="str">
        <f>"ENSG00000116761.11"</f>
        <v>ENSG00000116761.11</v>
      </c>
      <c r="B267" s="3">
        <v>326.06320501347699</v>
      </c>
      <c r="C267" s="3">
        <v>-3.7285987288886</v>
      </c>
      <c r="D267" s="3">
        <v>0.29582287827237302</v>
      </c>
      <c r="E267" s="3">
        <v>-12.6041594573884</v>
      </c>
      <c r="F267" s="4">
        <v>2.00296535288522E-36</v>
      </c>
      <c r="G267" s="4">
        <v>2.28346430837087E-34</v>
      </c>
      <c r="H267" s="3" t="str">
        <f>"CTH"</f>
        <v>CTH</v>
      </c>
      <c r="I267" s="3" t="str">
        <f>"protein_coding"</f>
        <v>protein_coding</v>
      </c>
    </row>
    <row r="268" spans="1:9" x14ac:dyDescent="0.2">
      <c r="A268" s="3" t="str">
        <f>"ENSG00000229956.10"</f>
        <v>ENSG00000229956.10</v>
      </c>
      <c r="B268" s="3">
        <v>55.654723464632397</v>
      </c>
      <c r="C268" s="3">
        <v>1.7670093089749599</v>
      </c>
      <c r="D268" s="3">
        <v>0.51486340550024501</v>
      </c>
      <c r="E268" s="3">
        <v>3.4319963122221302</v>
      </c>
      <c r="F268" s="3">
        <v>5.9915570556156098E-4</v>
      </c>
      <c r="G268" s="3">
        <v>2.8108118990075501E-3</v>
      </c>
      <c r="H268" s="3" t="str">
        <f>"ZRANB2-AS2"</f>
        <v>ZRANB2-AS2</v>
      </c>
      <c r="I268" s="3" t="str">
        <f>"processed_transcript"</f>
        <v>processed_transcript</v>
      </c>
    </row>
    <row r="269" spans="1:9" x14ac:dyDescent="0.2">
      <c r="A269" s="3" t="str">
        <f>"ENSG00000137968.16"</f>
        <v>ENSG00000137968.16</v>
      </c>
      <c r="B269" s="3">
        <v>1403.5949019019999</v>
      </c>
      <c r="C269" s="3">
        <v>2.3469763363805298</v>
      </c>
      <c r="D269" s="3">
        <v>0.21839447415767901</v>
      </c>
      <c r="E269" s="3">
        <v>10.7465005487549</v>
      </c>
      <c r="F269" s="4">
        <v>6.1552778381682897E-27</v>
      </c>
      <c r="G269" s="4">
        <v>3.9093905654212501E-25</v>
      </c>
      <c r="H269" s="3" t="str">
        <f>"SLC44A5"</f>
        <v>SLC44A5</v>
      </c>
      <c r="I269" s="3" t="str">
        <f>"protein_coding"</f>
        <v>protein_coding</v>
      </c>
    </row>
    <row r="270" spans="1:9" x14ac:dyDescent="0.2">
      <c r="A270" s="3" t="str">
        <f>"ENSG00000184005.11"</f>
        <v>ENSG00000184005.11</v>
      </c>
      <c r="B270" s="3">
        <v>4.84354564194778</v>
      </c>
      <c r="C270" s="3">
        <v>5.66966161396478</v>
      </c>
      <c r="D270" s="3">
        <v>2.0551998500533002</v>
      </c>
      <c r="E270" s="3">
        <v>2.7586911383911099</v>
      </c>
      <c r="F270" s="3">
        <v>5.8033355931816598E-3</v>
      </c>
      <c r="G270" s="3">
        <v>2.01585268877385E-2</v>
      </c>
      <c r="H270" s="3" t="str">
        <f>"ST6GALNAC3"</f>
        <v>ST6GALNAC3</v>
      </c>
      <c r="I270" s="3" t="str">
        <f>"protein_coding"</f>
        <v>protein_coding</v>
      </c>
    </row>
    <row r="271" spans="1:9" x14ac:dyDescent="0.2">
      <c r="A271" s="3" t="str">
        <f>"ENSG00000226415.1"</f>
        <v>ENSG00000226415.1</v>
      </c>
      <c r="B271" s="3">
        <v>203.21433539939801</v>
      </c>
      <c r="C271" s="3">
        <v>-1.0648250936418699</v>
      </c>
      <c r="D271" s="3">
        <v>0.30513414567926</v>
      </c>
      <c r="E271" s="3">
        <v>-3.48969497094944</v>
      </c>
      <c r="F271" s="3">
        <v>4.8357216374328698E-4</v>
      </c>
      <c r="G271" s="3">
        <v>2.3270736039409001E-3</v>
      </c>
      <c r="H271" s="3" t="str">
        <f>"TPI1P1"</f>
        <v>TPI1P1</v>
      </c>
      <c r="I271" s="3" t="str">
        <f>"processed_pseudogene"</f>
        <v>processed_pseudogene</v>
      </c>
    </row>
    <row r="272" spans="1:9" x14ac:dyDescent="0.2">
      <c r="A272" s="3" t="str">
        <f>"ENSG00000154027.19"</f>
        <v>ENSG00000154027.19</v>
      </c>
      <c r="B272" s="3">
        <v>5.4686107947810703</v>
      </c>
      <c r="C272" s="3">
        <v>5.8471691751158898</v>
      </c>
      <c r="D272" s="3">
        <v>1.9869895306888601</v>
      </c>
      <c r="E272" s="3">
        <v>2.9427277219164698</v>
      </c>
      <c r="F272" s="3">
        <v>3.2533441457431398E-3</v>
      </c>
      <c r="G272" s="3">
        <v>1.22877554670174E-2</v>
      </c>
      <c r="H272" s="3" t="str">
        <f>"AK5"</f>
        <v>AK5</v>
      </c>
      <c r="I272" s="3" t="str">
        <f>"protein_coding"</f>
        <v>protein_coding</v>
      </c>
    </row>
    <row r="273" spans="1:9" x14ac:dyDescent="0.2">
      <c r="A273" s="3" t="str">
        <f>"ENSG00000235927.4"</f>
        <v>ENSG00000235927.4</v>
      </c>
      <c r="B273" s="3">
        <v>12.5343730488147</v>
      </c>
      <c r="C273" s="3">
        <v>2.8232932355112701</v>
      </c>
      <c r="D273" s="3">
        <v>1.0623062526482601</v>
      </c>
      <c r="E273" s="3">
        <v>2.65770179594913</v>
      </c>
      <c r="F273" s="3">
        <v>7.86754736550631E-3</v>
      </c>
      <c r="G273" s="3">
        <v>2.6015420275236699E-2</v>
      </c>
      <c r="H273" s="3" t="str">
        <f>"NEXN-AS1"</f>
        <v>NEXN-AS1</v>
      </c>
      <c r="I273" s="3" t="str">
        <f>"antisense"</f>
        <v>antisense</v>
      </c>
    </row>
    <row r="274" spans="1:9" x14ac:dyDescent="0.2">
      <c r="A274" s="3" t="str">
        <f>"ENSG00000162614.18"</f>
        <v>ENSG00000162614.18</v>
      </c>
      <c r="B274" s="3">
        <v>69.883865358261005</v>
      </c>
      <c r="C274" s="3">
        <v>1.5213724333369201</v>
      </c>
      <c r="D274" s="3">
        <v>0.44896150167161503</v>
      </c>
      <c r="E274" s="3">
        <v>3.3886478632853998</v>
      </c>
      <c r="F274" s="3">
        <v>7.0238147854825796E-4</v>
      </c>
      <c r="G274" s="3">
        <v>3.2480971055676199E-3</v>
      </c>
      <c r="H274" s="3" t="str">
        <f>"NEXN"</f>
        <v>NEXN</v>
      </c>
      <c r="I274" s="3" t="str">
        <f>"protein_coding"</f>
        <v>protein_coding</v>
      </c>
    </row>
    <row r="275" spans="1:9" x14ac:dyDescent="0.2">
      <c r="A275" s="3" t="str">
        <f>"ENSG00000285782.1"</f>
        <v>ENSG00000285782.1</v>
      </c>
      <c r="B275" s="3">
        <v>4.1822423843077399</v>
      </c>
      <c r="C275" s="3">
        <v>5.4559790170220399</v>
      </c>
      <c r="D275" s="3">
        <v>2.1535693190750198</v>
      </c>
      <c r="E275" s="3">
        <v>2.5334587415860099</v>
      </c>
      <c r="F275" s="3">
        <v>1.12943035283908E-2</v>
      </c>
      <c r="G275" s="3">
        <v>3.5206027712854998E-2</v>
      </c>
      <c r="H275" s="3" t="str">
        <f>"AC116099.1"</f>
        <v>AC116099.1</v>
      </c>
      <c r="I275" s="3" t="str">
        <f>"lincRNA"</f>
        <v>lincRNA</v>
      </c>
    </row>
    <row r="276" spans="1:9" x14ac:dyDescent="0.2">
      <c r="A276" s="3" t="str">
        <f>"ENSG00000271576.1"</f>
        <v>ENSG00000271576.1</v>
      </c>
      <c r="B276" s="3">
        <v>89.108383536473795</v>
      </c>
      <c r="C276" s="3">
        <v>-1.18934326757491</v>
      </c>
      <c r="D276" s="3">
        <v>0.40425363375849299</v>
      </c>
      <c r="E276" s="3">
        <v>-2.9420719277577199</v>
      </c>
      <c r="F276" s="3">
        <v>3.2602419102685299E-3</v>
      </c>
      <c r="G276" s="3">
        <v>1.2303574976327799E-2</v>
      </c>
      <c r="H276" s="3" t="str">
        <f>"AL359504.2"</f>
        <v>AL359504.2</v>
      </c>
      <c r="I276" s="3" t="str">
        <f>"lincRNA"</f>
        <v>lincRNA</v>
      </c>
    </row>
    <row r="277" spans="1:9" x14ac:dyDescent="0.2">
      <c r="A277" s="3" t="str">
        <f>"ENSG00000203943.8"</f>
        <v>ENSG00000203943.8</v>
      </c>
      <c r="B277" s="3">
        <v>9.5567942263755601</v>
      </c>
      <c r="C277" s="3">
        <v>3.4867964000606402</v>
      </c>
      <c r="D277" s="3">
        <v>1.3597713173356001</v>
      </c>
      <c r="E277" s="3">
        <v>2.5642520588629698</v>
      </c>
      <c r="F277" s="3">
        <v>1.0339842468980299E-2</v>
      </c>
      <c r="G277" s="3">
        <v>3.2721218089698703E-2</v>
      </c>
      <c r="H277" s="3" t="str">
        <f>"SAMD13"</f>
        <v>SAMD13</v>
      </c>
      <c r="I277" s="3" t="str">
        <f>"protein_coding"</f>
        <v>protein_coding</v>
      </c>
    </row>
    <row r="278" spans="1:9" x14ac:dyDescent="0.2">
      <c r="A278" s="3" t="str">
        <f>"ENSG00000285851.1"</f>
        <v>ENSG00000285851.1</v>
      </c>
      <c r="B278" s="3">
        <v>28.672100182353901</v>
      </c>
      <c r="C278" s="3">
        <v>2.9139666822819801</v>
      </c>
      <c r="D278" s="3">
        <v>0.72520289859806697</v>
      </c>
      <c r="E278" s="3">
        <v>4.0181398721863104</v>
      </c>
      <c r="F278" s="4">
        <v>5.8659375197998601E-5</v>
      </c>
      <c r="G278" s="3">
        <v>3.5412618964009298E-4</v>
      </c>
      <c r="H278" s="3" t="str">
        <f>"AL359762.3"</f>
        <v>AL359762.3</v>
      </c>
      <c r="I278" s="3" t="str">
        <f>"processed_transcript"</f>
        <v>processed_transcript</v>
      </c>
    </row>
    <row r="279" spans="1:9" x14ac:dyDescent="0.2">
      <c r="A279" s="3" t="str">
        <f>"ENSG00000117151.13"</f>
        <v>ENSG00000117151.13</v>
      </c>
      <c r="B279" s="3">
        <v>282.98588889017401</v>
      </c>
      <c r="C279" s="3">
        <v>1.13015595982606</v>
      </c>
      <c r="D279" s="3">
        <v>0.266992630203228</v>
      </c>
      <c r="E279" s="3">
        <v>4.2329106948226096</v>
      </c>
      <c r="F279" s="4">
        <v>2.3068612538679599E-5</v>
      </c>
      <c r="G279" s="3">
        <v>1.5149152084814699E-4</v>
      </c>
      <c r="H279" s="3" t="str">
        <f>"CTBS"</f>
        <v>CTBS</v>
      </c>
      <c r="I279" s="3" t="str">
        <f>"protein_coding"</f>
        <v>protein_coding</v>
      </c>
    </row>
    <row r="280" spans="1:9" x14ac:dyDescent="0.2">
      <c r="A280" s="3" t="str">
        <f>"ENSG00000284882.1"</f>
        <v>ENSG00000284882.1</v>
      </c>
      <c r="B280" s="3">
        <v>8.2343122411480003</v>
      </c>
      <c r="C280" s="3">
        <v>3.89362699915592</v>
      </c>
      <c r="D280" s="3">
        <v>1.5093321313961401</v>
      </c>
      <c r="E280" s="3">
        <v>2.57970192124266</v>
      </c>
      <c r="F280" s="3">
        <v>9.8885628937188004E-3</v>
      </c>
      <c r="G280" s="3">
        <v>3.1516396439952701E-2</v>
      </c>
      <c r="H280" s="3" t="str">
        <f>"AL359762.1"</f>
        <v>AL359762.1</v>
      </c>
      <c r="I280" s="3" t="str">
        <f>"bidirectional_promoter_lncRNA"</f>
        <v>bidirectional_promoter_lncRNA</v>
      </c>
    </row>
    <row r="281" spans="1:9" x14ac:dyDescent="0.2">
      <c r="A281" s="3" t="str">
        <f>"ENSG00000117155.16"</f>
        <v>ENSG00000117155.16</v>
      </c>
      <c r="B281" s="3">
        <v>455.02687185587502</v>
      </c>
      <c r="C281" s="3">
        <v>-1.7935599329667</v>
      </c>
      <c r="D281" s="3">
        <v>0.26305966229954603</v>
      </c>
      <c r="E281" s="3">
        <v>-6.8180728177335599</v>
      </c>
      <c r="F281" s="4">
        <v>9.2269874435503494E-12</v>
      </c>
      <c r="G281" s="4">
        <v>1.63676905517198E-10</v>
      </c>
      <c r="H281" s="3" t="str">
        <f>"SSX2IP"</f>
        <v>SSX2IP</v>
      </c>
      <c r="I281" s="3" t="str">
        <f>"protein_coding"</f>
        <v>protein_coding</v>
      </c>
    </row>
    <row r="282" spans="1:9" x14ac:dyDescent="0.2">
      <c r="A282" s="3" t="str">
        <f>"ENSG00000153898.13"</f>
        <v>ENSG00000153898.13</v>
      </c>
      <c r="B282" s="3">
        <v>3.8560994410470699</v>
      </c>
      <c r="C282" s="3">
        <v>5.3491168120911601</v>
      </c>
      <c r="D282" s="3">
        <v>2.2210669996358101</v>
      </c>
      <c r="E282" s="3">
        <v>2.4083545489479898</v>
      </c>
      <c r="F282" s="3">
        <v>1.6024610240486702E-2</v>
      </c>
      <c r="G282" s="3">
        <v>4.7034639149255701E-2</v>
      </c>
      <c r="H282" s="3" t="str">
        <f>"MCOLN2"</f>
        <v>MCOLN2</v>
      </c>
      <c r="I282" s="3" t="str">
        <f>"protein_coding"</f>
        <v>protein_coding</v>
      </c>
    </row>
    <row r="283" spans="1:9" x14ac:dyDescent="0.2">
      <c r="A283" s="3" t="str">
        <f>"ENSG00000162643.13"</f>
        <v>ENSG00000162643.13</v>
      </c>
      <c r="B283" s="3">
        <v>128.80083993078901</v>
      </c>
      <c r="C283" s="3">
        <v>10.403908761853501</v>
      </c>
      <c r="D283" s="3">
        <v>1.4861184187630601</v>
      </c>
      <c r="E283" s="3">
        <v>7.0007266113510598</v>
      </c>
      <c r="F283" s="4">
        <v>2.5463840083243698E-12</v>
      </c>
      <c r="G283" s="4">
        <v>4.79483932790699E-11</v>
      </c>
      <c r="H283" s="3" t="str">
        <f>"WDR63"</f>
        <v>WDR63</v>
      </c>
      <c r="I283" s="3" t="str">
        <f>"protein_coding"</f>
        <v>protein_coding</v>
      </c>
    </row>
    <row r="284" spans="1:9" x14ac:dyDescent="0.2">
      <c r="A284" s="3" t="str">
        <f>"ENSG00000055732.13"</f>
        <v>ENSG00000055732.13</v>
      </c>
      <c r="B284" s="3">
        <v>49.773178624442401</v>
      </c>
      <c r="C284" s="3">
        <v>5.5605291259494196</v>
      </c>
      <c r="D284" s="3">
        <v>0.86075840238791301</v>
      </c>
      <c r="E284" s="3">
        <v>6.46003467468155</v>
      </c>
      <c r="F284" s="4">
        <v>1.0467899276996E-10</v>
      </c>
      <c r="G284" s="4">
        <v>1.62332869436716E-9</v>
      </c>
      <c r="H284" s="3" t="str">
        <f>"MCOLN3"</f>
        <v>MCOLN3</v>
      </c>
      <c r="I284" s="3" t="str">
        <f>"protein_coding"</f>
        <v>protein_coding</v>
      </c>
    </row>
    <row r="285" spans="1:9" x14ac:dyDescent="0.2">
      <c r="A285" s="3" t="str">
        <f>"ENSG00000282057.1"</f>
        <v>ENSG00000282057.1</v>
      </c>
      <c r="B285" s="3">
        <v>28.596044859981902</v>
      </c>
      <c r="C285" s="3">
        <v>1.9489840688486499</v>
      </c>
      <c r="D285" s="3">
        <v>0.74143172836767302</v>
      </c>
      <c r="E285" s="3">
        <v>2.6286763760967098</v>
      </c>
      <c r="F285" s="3">
        <v>8.5717891713618308E-3</v>
      </c>
      <c r="G285" s="3">
        <v>2.7977424479168098E-2</v>
      </c>
      <c r="H285" s="3" t="str">
        <f>"AC092807.3"</f>
        <v>AC092807.3</v>
      </c>
      <c r="I285" s="3" t="str">
        <f>"lincRNA"</f>
        <v>lincRNA</v>
      </c>
    </row>
    <row r="286" spans="1:9" x14ac:dyDescent="0.2">
      <c r="A286" s="3" t="str">
        <f>"ENSG00000171502.15"</f>
        <v>ENSG00000171502.15</v>
      </c>
      <c r="B286" s="3">
        <v>39.264027449884097</v>
      </c>
      <c r="C286" s="3">
        <v>1.95861529420928</v>
      </c>
      <c r="D286" s="3">
        <v>0.59137735809937597</v>
      </c>
      <c r="E286" s="3">
        <v>3.31195516261235</v>
      </c>
      <c r="F286" s="3">
        <v>9.2646393303645299E-4</v>
      </c>
      <c r="G286" s="3">
        <v>4.1281051158535099E-3</v>
      </c>
      <c r="H286" s="3" t="str">
        <f>"COL24A1"</f>
        <v>COL24A1</v>
      </c>
      <c r="I286" s="3" t="str">
        <f>"protein_coding"</f>
        <v>protein_coding</v>
      </c>
    </row>
    <row r="287" spans="1:9" x14ac:dyDescent="0.2">
      <c r="A287" s="3" t="str">
        <f>"ENSG00000137975.8"</f>
        <v>ENSG00000137975.8</v>
      </c>
      <c r="B287" s="3">
        <v>36.999669673634898</v>
      </c>
      <c r="C287" s="3">
        <v>6.1373555726082101</v>
      </c>
      <c r="D287" s="3">
        <v>1.1656517712046499</v>
      </c>
      <c r="E287" s="3">
        <v>5.2651707175510101</v>
      </c>
      <c r="F287" s="4">
        <v>1.40059144973285E-7</v>
      </c>
      <c r="G287" s="4">
        <v>1.38619379698042E-6</v>
      </c>
      <c r="H287" s="3" t="str">
        <f>"CLCA2"</f>
        <v>CLCA2</v>
      </c>
      <c r="I287" s="3" t="str">
        <f>"protein_coding"</f>
        <v>protein_coding</v>
      </c>
    </row>
    <row r="288" spans="1:9" x14ac:dyDescent="0.2">
      <c r="A288" s="3" t="str">
        <f>"ENSG00000236915.2"</f>
        <v>ENSG00000236915.2</v>
      </c>
      <c r="B288" s="3">
        <v>21.8286510693869</v>
      </c>
      <c r="C288" s="3">
        <v>2.88990302249214</v>
      </c>
      <c r="D288" s="3">
        <v>0.83059122378462802</v>
      </c>
      <c r="E288" s="3">
        <v>3.47933247997031</v>
      </c>
      <c r="F288" s="3">
        <v>5.0266452794357503E-4</v>
      </c>
      <c r="G288" s="3">
        <v>2.4087408358914198E-3</v>
      </c>
      <c r="H288" s="3" t="str">
        <f>"CLCA4-AS1"</f>
        <v>CLCA4-AS1</v>
      </c>
      <c r="I288" s="3" t="str">
        <f>"antisense"</f>
        <v>antisense</v>
      </c>
    </row>
    <row r="289" spans="1:9" x14ac:dyDescent="0.2">
      <c r="A289" s="3" t="str">
        <f>"ENSG00000143013.13"</f>
        <v>ENSG00000143013.13</v>
      </c>
      <c r="B289" s="3">
        <v>1173.2773461664301</v>
      </c>
      <c r="C289" s="3">
        <v>-1.1532710237750701</v>
      </c>
      <c r="D289" s="3">
        <v>0.19248121817597699</v>
      </c>
      <c r="E289" s="3">
        <v>-5.9916028935388601</v>
      </c>
      <c r="F289" s="4">
        <v>2.0778279479194201E-9</v>
      </c>
      <c r="G289" s="4">
        <v>2.6959322903314601E-8</v>
      </c>
      <c r="H289" s="3" t="str">
        <f>"LMO4"</f>
        <v>LMO4</v>
      </c>
      <c r="I289" s="3" t="str">
        <f>"protein_coding"</f>
        <v>protein_coding</v>
      </c>
    </row>
    <row r="290" spans="1:9" x14ac:dyDescent="0.2">
      <c r="A290" s="3" t="str">
        <f>"ENSG00000233593.9"</f>
        <v>ENSG00000233593.9</v>
      </c>
      <c r="B290" s="3">
        <v>205.716033341958</v>
      </c>
      <c r="C290" s="3">
        <v>-1.1182682759740199</v>
      </c>
      <c r="D290" s="3">
        <v>0.285765710933087</v>
      </c>
      <c r="E290" s="3">
        <v>-3.91323462959441</v>
      </c>
      <c r="F290" s="4">
        <v>9.1067970373156598E-5</v>
      </c>
      <c r="G290" s="3">
        <v>5.2670961340636703E-4</v>
      </c>
      <c r="H290" s="3" t="str">
        <f>"LINC02609"</f>
        <v>LINC02609</v>
      </c>
      <c r="I290" s="3" t="str">
        <f>"processed_transcript"</f>
        <v>processed_transcript</v>
      </c>
    </row>
    <row r="291" spans="1:9" x14ac:dyDescent="0.2">
      <c r="A291" s="3" t="str">
        <f>"ENSG00000239794.3"</f>
        <v>ENSG00000239794.3</v>
      </c>
      <c r="B291" s="3">
        <v>52.727378048501301</v>
      </c>
      <c r="C291" s="3">
        <v>1.44860502381732</v>
      </c>
      <c r="D291" s="3">
        <v>0.51860133498994299</v>
      </c>
      <c r="E291" s="3">
        <v>2.7932921226387002</v>
      </c>
      <c r="F291" s="3">
        <v>5.2174551328433997E-3</v>
      </c>
      <c r="G291" s="3">
        <v>1.83954451351688E-2</v>
      </c>
      <c r="H291" s="3" t="str">
        <f>"RN7SL653P"</f>
        <v>RN7SL653P</v>
      </c>
      <c r="I291" s="3" t="str">
        <f>"misc_RNA"</f>
        <v>misc_RNA</v>
      </c>
    </row>
    <row r="292" spans="1:9" x14ac:dyDescent="0.2">
      <c r="A292" s="3" t="str">
        <f>"ENSG00000137948.18"</f>
        <v>ENSG00000137948.18</v>
      </c>
      <c r="B292" s="3">
        <v>5.72528331880115</v>
      </c>
      <c r="C292" s="3">
        <v>5.91290183596508</v>
      </c>
      <c r="D292" s="3">
        <v>1.9664132806819701</v>
      </c>
      <c r="E292" s="3">
        <v>3.0069476717093999</v>
      </c>
      <c r="F292" s="3">
        <v>2.6388518374758801E-3</v>
      </c>
      <c r="G292" s="3">
        <v>1.0232075710218501E-2</v>
      </c>
      <c r="H292" s="3" t="str">
        <f>"BRDT"</f>
        <v>BRDT</v>
      </c>
      <c r="I292" s="3" t="str">
        <f>"protein_coding"</f>
        <v>protein_coding</v>
      </c>
    </row>
    <row r="293" spans="1:9" x14ac:dyDescent="0.2">
      <c r="A293" s="3" t="str">
        <f>"ENSG00000189195.13"</f>
        <v>ENSG00000189195.13</v>
      </c>
      <c r="B293" s="3">
        <v>123.735825299666</v>
      </c>
      <c r="C293" s="3">
        <v>2.6472496861946602</v>
      </c>
      <c r="D293" s="3">
        <v>0.37421939850779101</v>
      </c>
      <c r="E293" s="3">
        <v>7.0740578835587797</v>
      </c>
      <c r="F293" s="4">
        <v>1.5046747394036601E-12</v>
      </c>
      <c r="G293" s="4">
        <v>2.9284194731808302E-11</v>
      </c>
      <c r="H293" s="3" t="str">
        <f>"BTBD8"</f>
        <v>BTBD8</v>
      </c>
      <c r="I293" s="3" t="str">
        <f>"protein_coding"</f>
        <v>protein_coding</v>
      </c>
    </row>
    <row r="294" spans="1:9" x14ac:dyDescent="0.2">
      <c r="A294" s="3" t="str">
        <f>"ENSG00000162676.12"</f>
        <v>ENSG00000162676.12</v>
      </c>
      <c r="B294" s="3">
        <v>222.240014158512</v>
      </c>
      <c r="C294" s="3">
        <v>-2.2139427497463302</v>
      </c>
      <c r="D294" s="3">
        <v>0.29041639558457399</v>
      </c>
      <c r="E294" s="3">
        <v>-7.6233393961450497</v>
      </c>
      <c r="F294" s="4">
        <v>2.4719580521447602E-14</v>
      </c>
      <c r="G294" s="4">
        <v>5.7764529199646795E-13</v>
      </c>
      <c r="H294" s="3" t="str">
        <f>"GFI1"</f>
        <v>GFI1</v>
      </c>
      <c r="I294" s="3" t="str">
        <f>"protein_coding"</f>
        <v>protein_coding</v>
      </c>
    </row>
    <row r="295" spans="1:9" x14ac:dyDescent="0.2">
      <c r="A295" s="3" t="str">
        <f>"ENSG00000154511.12"</f>
        <v>ENSG00000154511.12</v>
      </c>
      <c r="B295" s="3">
        <v>377.49936565589297</v>
      </c>
      <c r="C295" s="3">
        <v>-1.5927113066431799</v>
      </c>
      <c r="D295" s="3">
        <v>0.25985997233849301</v>
      </c>
      <c r="E295" s="3">
        <v>-6.1291136619091198</v>
      </c>
      <c r="F295" s="4">
        <v>8.8369980377978495E-10</v>
      </c>
      <c r="G295" s="4">
        <v>1.21239519403765E-8</v>
      </c>
      <c r="H295" s="3" t="str">
        <f>"DIPK1A"</f>
        <v>DIPK1A</v>
      </c>
      <c r="I295" s="3" t="str">
        <f>"protein_coding"</f>
        <v>protein_coding</v>
      </c>
    </row>
    <row r="296" spans="1:9" x14ac:dyDescent="0.2">
      <c r="A296" s="3" t="str">
        <f>"ENSG00000122483.17"</f>
        <v>ENSG00000122483.17</v>
      </c>
      <c r="B296" s="3">
        <v>910.09883463805704</v>
      </c>
      <c r="C296" s="3">
        <v>1.05020579585556</v>
      </c>
      <c r="D296" s="3">
        <v>0.21219194029837599</v>
      </c>
      <c r="E296" s="3">
        <v>4.9493199146904701</v>
      </c>
      <c r="F296" s="4">
        <v>7.4473248823501305E-7</v>
      </c>
      <c r="G296" s="4">
        <v>6.5141977871394597E-6</v>
      </c>
      <c r="H296" s="3" t="str">
        <f>"CCDC18"</f>
        <v>CCDC18</v>
      </c>
      <c r="I296" s="3" t="str">
        <f>"protein_coding"</f>
        <v>protein_coding</v>
      </c>
    </row>
    <row r="297" spans="1:9" x14ac:dyDescent="0.2">
      <c r="A297" s="3" t="str">
        <f>"ENSG00000223745.7"</f>
        <v>ENSG00000223745.7</v>
      </c>
      <c r="B297" s="3">
        <v>289.68896056897</v>
      </c>
      <c r="C297" s="3">
        <v>1.9939090400786299</v>
      </c>
      <c r="D297" s="3">
        <v>0.28962046517728801</v>
      </c>
      <c r="E297" s="3">
        <v>6.8845585164642102</v>
      </c>
      <c r="F297" s="4">
        <v>5.7967022897010002E-12</v>
      </c>
      <c r="G297" s="4">
        <v>1.0459784588575E-10</v>
      </c>
      <c r="H297" s="3" t="str">
        <f>"CCDC18-AS1"</f>
        <v>CCDC18-AS1</v>
      </c>
      <c r="I297" s="3" t="str">
        <f>"processed_transcript"</f>
        <v>processed_transcript</v>
      </c>
    </row>
    <row r="298" spans="1:9" x14ac:dyDescent="0.2">
      <c r="A298" s="3" t="str">
        <f>"ENSG00000137936.18"</f>
        <v>ENSG00000137936.18</v>
      </c>
      <c r="B298" s="3">
        <v>381.51974632045602</v>
      </c>
      <c r="C298" s="3">
        <v>-1.26853836340869</v>
      </c>
      <c r="D298" s="3">
        <v>0.25175056547601798</v>
      </c>
      <c r="E298" s="3">
        <v>-5.0388699664292602</v>
      </c>
      <c r="F298" s="4">
        <v>4.6828849387765902E-7</v>
      </c>
      <c r="G298" s="4">
        <v>4.2517349525773301E-6</v>
      </c>
      <c r="H298" s="3" t="str">
        <f>"BCAR3"</f>
        <v>BCAR3</v>
      </c>
      <c r="I298" s="3" t="str">
        <f>"protein_coding"</f>
        <v>protein_coding</v>
      </c>
    </row>
    <row r="299" spans="1:9" x14ac:dyDescent="0.2">
      <c r="A299" s="3" t="str">
        <f>"ENSG00000224093.5"</f>
        <v>ENSG00000224093.5</v>
      </c>
      <c r="B299" s="3">
        <v>1696.7686302161501</v>
      </c>
      <c r="C299" s="3">
        <v>1.18713597580024</v>
      </c>
      <c r="D299" s="3">
        <v>0.20360489165739501</v>
      </c>
      <c r="E299" s="3">
        <v>5.8305867120217796</v>
      </c>
      <c r="F299" s="4">
        <v>5.5232827949997602E-9</v>
      </c>
      <c r="G299" s="4">
        <v>6.7973300052104106E-8</v>
      </c>
      <c r="H299" s="3" t="str">
        <f>"AL109613.1"</f>
        <v>AL109613.1</v>
      </c>
      <c r="I299" s="3" t="str">
        <f>"antisense"</f>
        <v>antisense</v>
      </c>
    </row>
    <row r="300" spans="1:9" x14ac:dyDescent="0.2">
      <c r="A300" s="3" t="str">
        <f>"ENSG00000235501.5"</f>
        <v>ENSG00000235501.5</v>
      </c>
      <c r="B300" s="3">
        <v>170.80071766149501</v>
      </c>
      <c r="C300" s="3">
        <v>-1.14309516500123</v>
      </c>
      <c r="D300" s="3">
        <v>0.30572943005860398</v>
      </c>
      <c r="E300" s="3">
        <v>-3.7389111175267402</v>
      </c>
      <c r="F300" s="3">
        <v>1.8481905273045099E-4</v>
      </c>
      <c r="G300" s="3">
        <v>9.9363944943697694E-4</v>
      </c>
      <c r="H300" s="3" t="str">
        <f>"AC105942.1"</f>
        <v>AC105942.1</v>
      </c>
      <c r="I300" s="3" t="str">
        <f>"antisense"</f>
        <v>antisense</v>
      </c>
    </row>
    <row r="301" spans="1:9" x14ac:dyDescent="0.2">
      <c r="A301" s="3" t="str">
        <f>"ENSG00000162627.17"</f>
        <v>ENSG00000162627.17</v>
      </c>
      <c r="B301" s="3">
        <v>535.85477702480102</v>
      </c>
      <c r="C301" s="3">
        <v>-1.31773712419636</v>
      </c>
      <c r="D301" s="3">
        <v>0.233626356940694</v>
      </c>
      <c r="E301" s="3">
        <v>-5.6403615647307603</v>
      </c>
      <c r="F301" s="4">
        <v>1.69693453311537E-8</v>
      </c>
      <c r="G301" s="4">
        <v>1.9542001362550501E-7</v>
      </c>
      <c r="H301" s="3" t="str">
        <f>"SNX7"</f>
        <v>SNX7</v>
      </c>
      <c r="I301" s="3" t="str">
        <f>"protein_coding"</f>
        <v>protein_coding</v>
      </c>
    </row>
    <row r="302" spans="1:9" x14ac:dyDescent="0.2">
      <c r="A302" s="3" t="str">
        <f>"ENSG00000099260.11"</f>
        <v>ENSG00000099260.11</v>
      </c>
      <c r="B302" s="3">
        <v>438.52579875814098</v>
      </c>
      <c r="C302" s="3">
        <v>-1.26042770304611</v>
      </c>
      <c r="D302" s="3">
        <v>0.27268249305048398</v>
      </c>
      <c r="E302" s="3">
        <v>-4.6223271943342397</v>
      </c>
      <c r="F302" s="4">
        <v>3.7945887713373399E-6</v>
      </c>
      <c r="G302" s="4">
        <v>2.9314193437093401E-5</v>
      </c>
      <c r="H302" s="3" t="str">
        <f>"PALMD"</f>
        <v>PALMD</v>
      </c>
      <c r="I302" s="3" t="str">
        <f>"protein_coding"</f>
        <v>protein_coding</v>
      </c>
    </row>
    <row r="303" spans="1:9" x14ac:dyDescent="0.2">
      <c r="A303" s="3" t="str">
        <f>"ENSG00000156869.13"</f>
        <v>ENSG00000156869.13</v>
      </c>
      <c r="B303" s="3">
        <v>391.17940338130597</v>
      </c>
      <c r="C303" s="3">
        <v>-1.7095899388201199</v>
      </c>
      <c r="D303" s="3">
        <v>0.23958235605053099</v>
      </c>
      <c r="E303" s="3">
        <v>-7.13570885186361</v>
      </c>
      <c r="F303" s="4">
        <v>9.6289632273983093E-13</v>
      </c>
      <c r="G303" s="4">
        <v>1.9122475295694E-11</v>
      </c>
      <c r="H303" s="3" t="str">
        <f>"FRRS1"</f>
        <v>FRRS1</v>
      </c>
      <c r="I303" s="3" t="str">
        <f>"protein_coding"</f>
        <v>protein_coding</v>
      </c>
    </row>
    <row r="304" spans="1:9" x14ac:dyDescent="0.2">
      <c r="A304" s="3" t="str">
        <f>"ENSG00000156875.14"</f>
        <v>ENSG00000156875.14</v>
      </c>
      <c r="B304" s="3">
        <v>177.26435331271401</v>
      </c>
      <c r="C304" s="3">
        <v>-1.1965337087142001</v>
      </c>
      <c r="D304" s="3">
        <v>0.32516073058384698</v>
      </c>
      <c r="E304" s="3">
        <v>-3.6798223037749498</v>
      </c>
      <c r="F304" s="3">
        <v>2.3339653301345E-4</v>
      </c>
      <c r="G304" s="3">
        <v>1.2190415861449699E-3</v>
      </c>
      <c r="H304" s="3" t="str">
        <f>"MFSD14A"</f>
        <v>MFSD14A</v>
      </c>
      <c r="I304" s="3" t="str">
        <f>"protein_coding"</f>
        <v>protein_coding</v>
      </c>
    </row>
    <row r="305" spans="1:9" x14ac:dyDescent="0.2">
      <c r="A305" s="3" t="str">
        <f>"ENSG00000183298.5"</f>
        <v>ENSG00000183298.5</v>
      </c>
      <c r="B305" s="3">
        <v>514.36610255008395</v>
      </c>
      <c r="C305" s="3">
        <v>-1.0725766025204599</v>
      </c>
      <c r="D305" s="3">
        <v>0.27593132162898998</v>
      </c>
      <c r="E305" s="3">
        <v>-3.8871143594296802</v>
      </c>
      <c r="F305" s="3">
        <v>1.01442969497246E-4</v>
      </c>
      <c r="G305" s="3">
        <v>5.80310012574318E-4</v>
      </c>
      <c r="H305" s="3" t="str">
        <f>"RPSAP19"</f>
        <v>RPSAP19</v>
      </c>
      <c r="I305" s="3" t="str">
        <f>"processed_pseudogene"</f>
        <v>processed_pseudogene</v>
      </c>
    </row>
    <row r="306" spans="1:9" x14ac:dyDescent="0.2">
      <c r="A306" s="3" t="str">
        <f>"ENSG00000060718.22"</f>
        <v>ENSG00000060718.22</v>
      </c>
      <c r="B306" s="3">
        <v>13.1474528323889</v>
      </c>
      <c r="C306" s="3">
        <v>5.6410618642337997</v>
      </c>
      <c r="D306" s="3">
        <v>1.6829629494520999</v>
      </c>
      <c r="E306" s="3">
        <v>3.3518633705336698</v>
      </c>
      <c r="F306" s="3">
        <v>8.0269622713449295E-4</v>
      </c>
      <c r="G306" s="3">
        <v>3.6403235853418002E-3</v>
      </c>
      <c r="H306" s="3" t="str">
        <f>"COL11A1"</f>
        <v>COL11A1</v>
      </c>
      <c r="I306" s="3" t="str">
        <f t="shared" ref="I306:I311" si="12">"protein_coding"</f>
        <v>protein_coding</v>
      </c>
    </row>
    <row r="307" spans="1:9" x14ac:dyDescent="0.2">
      <c r="A307" s="3" t="str">
        <f>"ENSG00000162631.18"</f>
        <v>ENSG00000162631.18</v>
      </c>
      <c r="B307" s="3">
        <v>4.0735280698875203</v>
      </c>
      <c r="C307" s="3">
        <v>5.4212402584095702</v>
      </c>
      <c r="D307" s="3">
        <v>2.1434463209324499</v>
      </c>
      <c r="E307" s="3">
        <v>2.52921671304146</v>
      </c>
      <c r="F307" s="3">
        <v>1.1431741709104999E-2</v>
      </c>
      <c r="G307" s="3">
        <v>3.5553095120189997E-2</v>
      </c>
      <c r="H307" s="3" t="str">
        <f>"NTNG1"</f>
        <v>NTNG1</v>
      </c>
      <c r="I307" s="3" t="str">
        <f t="shared" si="12"/>
        <v>protein_coding</v>
      </c>
    </row>
    <row r="308" spans="1:9" x14ac:dyDescent="0.2">
      <c r="A308" s="3" t="str">
        <f>"ENSG00000134215.16"</f>
        <v>ENSG00000134215.16</v>
      </c>
      <c r="B308" s="3">
        <v>562.58938260657203</v>
      </c>
      <c r="C308" s="3">
        <v>-1.9225947077502501</v>
      </c>
      <c r="D308" s="3">
        <v>0.23664994747843501</v>
      </c>
      <c r="E308" s="3">
        <v>-8.1242135408690199</v>
      </c>
      <c r="F308" s="4">
        <v>4.5027241733644101E-16</v>
      </c>
      <c r="G308" s="4">
        <v>1.2383897097908299E-14</v>
      </c>
      <c r="H308" s="3" t="str">
        <f>"VAV3"</f>
        <v>VAV3</v>
      </c>
      <c r="I308" s="3" t="str">
        <f t="shared" si="12"/>
        <v>protein_coding</v>
      </c>
    </row>
    <row r="309" spans="1:9" x14ac:dyDescent="0.2">
      <c r="A309" s="3" t="str">
        <f>"ENSG00000085491.17"</f>
        <v>ENSG00000085491.17</v>
      </c>
      <c r="B309" s="3">
        <v>690.51408164700103</v>
      </c>
      <c r="C309" s="3">
        <v>-1.67792936508834</v>
      </c>
      <c r="D309" s="3">
        <v>0.20963857700942801</v>
      </c>
      <c r="E309" s="3">
        <v>-8.0039150667049093</v>
      </c>
      <c r="F309" s="4">
        <v>1.2052453588750501E-15</v>
      </c>
      <c r="G309" s="4">
        <v>3.19448640985101E-14</v>
      </c>
      <c r="H309" s="3" t="str">
        <f>"SLC25A24"</f>
        <v>SLC25A24</v>
      </c>
      <c r="I309" s="3" t="str">
        <f t="shared" si="12"/>
        <v>protein_coding</v>
      </c>
    </row>
    <row r="310" spans="1:9" x14ac:dyDescent="0.2">
      <c r="A310" s="3" t="str">
        <f>"ENSG00000116266.11"</f>
        <v>ENSG00000116266.11</v>
      </c>
      <c r="B310" s="3">
        <v>1572.8496739883601</v>
      </c>
      <c r="C310" s="3">
        <v>1.5213164208210801</v>
      </c>
      <c r="D310" s="3">
        <v>0.209626466423665</v>
      </c>
      <c r="E310" s="3">
        <v>7.2572726467965198</v>
      </c>
      <c r="F310" s="4">
        <v>3.9497307308208001E-13</v>
      </c>
      <c r="G310" s="4">
        <v>8.2534030599161706E-12</v>
      </c>
      <c r="H310" s="3" t="str">
        <f>"STXBP3"</f>
        <v>STXBP3</v>
      </c>
      <c r="I310" s="3" t="str">
        <f t="shared" si="12"/>
        <v>protein_coding</v>
      </c>
    </row>
    <row r="311" spans="1:9" x14ac:dyDescent="0.2">
      <c r="A311" s="3" t="str">
        <f>"ENSG00000085433.15"</f>
        <v>ENSG00000085433.15</v>
      </c>
      <c r="B311" s="3">
        <v>481.48273547102298</v>
      </c>
      <c r="C311" s="3">
        <v>1.1814243107628799</v>
      </c>
      <c r="D311" s="3">
        <v>0.232286695904379</v>
      </c>
      <c r="E311" s="3">
        <v>5.0860610254201504</v>
      </c>
      <c r="F311" s="4">
        <v>3.6557646658851999E-7</v>
      </c>
      <c r="G311" s="4">
        <v>3.3822960900296798E-6</v>
      </c>
      <c r="H311" s="3" t="str">
        <f>"WDR47"</f>
        <v>WDR47</v>
      </c>
      <c r="I311" s="3" t="str">
        <f t="shared" si="12"/>
        <v>protein_coding</v>
      </c>
    </row>
    <row r="312" spans="1:9" x14ac:dyDescent="0.2">
      <c r="A312" s="3" t="str">
        <f>"ENSG00000273382.1"</f>
        <v>ENSG00000273382.1</v>
      </c>
      <c r="B312" s="3">
        <v>42.191185390801003</v>
      </c>
      <c r="C312" s="3">
        <v>1.59045589082885</v>
      </c>
      <c r="D312" s="3">
        <v>0.58578747622170402</v>
      </c>
      <c r="E312" s="3">
        <v>2.7150732226083201</v>
      </c>
      <c r="F312" s="3">
        <v>6.6261118324766098E-3</v>
      </c>
      <c r="G312" s="3">
        <v>2.2502510977792801E-2</v>
      </c>
      <c r="H312" s="3" t="str">
        <f>"AL356488.3"</f>
        <v>AL356488.3</v>
      </c>
      <c r="I312" s="3" t="str">
        <f>"antisense"</f>
        <v>antisense</v>
      </c>
    </row>
    <row r="313" spans="1:9" x14ac:dyDescent="0.2">
      <c r="A313" s="3" t="str">
        <f>"ENSG00000116299.17"</f>
        <v>ENSG00000116299.17</v>
      </c>
      <c r="B313" s="3">
        <v>33.100989604418402</v>
      </c>
      <c r="C313" s="3">
        <v>3.9053303621594599</v>
      </c>
      <c r="D313" s="3">
        <v>0.771054281965875</v>
      </c>
      <c r="E313" s="3">
        <v>5.0649227343663199</v>
      </c>
      <c r="F313" s="4">
        <v>4.0856602966103299E-7</v>
      </c>
      <c r="G313" s="4">
        <v>3.7444327649425401E-6</v>
      </c>
      <c r="H313" s="3" t="str">
        <f>"KIAA1324"</f>
        <v>KIAA1324</v>
      </c>
      <c r="I313" s="3" t="str">
        <f t="shared" ref="I313:I320" si="13">"protein_coding"</f>
        <v>protein_coding</v>
      </c>
    </row>
    <row r="314" spans="1:9" x14ac:dyDescent="0.2">
      <c r="A314" s="3" t="str">
        <f>"ENSG00000134222.16"</f>
        <v>ENSG00000134222.16</v>
      </c>
      <c r="B314" s="3">
        <v>595.99549212546003</v>
      </c>
      <c r="C314" s="3">
        <v>-1.3050509401068</v>
      </c>
      <c r="D314" s="3">
        <v>0.28265385686226202</v>
      </c>
      <c r="E314" s="3">
        <v>-4.6171347336072497</v>
      </c>
      <c r="F314" s="4">
        <v>3.8907467722049698E-6</v>
      </c>
      <c r="G314" s="4">
        <v>3.0014489609928901E-5</v>
      </c>
      <c r="H314" s="3" t="str">
        <f>"PSRC1"</f>
        <v>PSRC1</v>
      </c>
      <c r="I314" s="3" t="str">
        <f t="shared" si="13"/>
        <v>protein_coding</v>
      </c>
    </row>
    <row r="315" spans="1:9" x14ac:dyDescent="0.2">
      <c r="A315" s="3" t="str">
        <f>"ENSG00000143028.9"</f>
        <v>ENSG00000143028.9</v>
      </c>
      <c r="B315" s="3">
        <v>43.003234700204899</v>
      </c>
      <c r="C315" s="3">
        <v>1.8595462347788301</v>
      </c>
      <c r="D315" s="3">
        <v>0.556882928897105</v>
      </c>
      <c r="E315" s="3">
        <v>3.3392049536544901</v>
      </c>
      <c r="F315" s="3">
        <v>8.40185503200659E-4</v>
      </c>
      <c r="G315" s="3">
        <v>3.7889001002496502E-3</v>
      </c>
      <c r="H315" s="3" t="str">
        <f>"SYPL2"</f>
        <v>SYPL2</v>
      </c>
      <c r="I315" s="3" t="str">
        <f t="shared" si="13"/>
        <v>protein_coding</v>
      </c>
    </row>
    <row r="316" spans="1:9" x14ac:dyDescent="0.2">
      <c r="A316" s="3" t="str">
        <f>"ENSG00000162650.16"</f>
        <v>ENSG00000162650.16</v>
      </c>
      <c r="B316" s="3">
        <v>176.80971783367701</v>
      </c>
      <c r="C316" s="3">
        <v>-1.0202564118506301</v>
      </c>
      <c r="D316" s="3">
        <v>0.30358918755789499</v>
      </c>
      <c r="E316" s="3">
        <v>-3.3606480522501099</v>
      </c>
      <c r="F316" s="3">
        <v>7.7759842642248099E-4</v>
      </c>
      <c r="G316" s="3">
        <v>3.5441994521133099E-3</v>
      </c>
      <c r="H316" s="3" t="str">
        <f>"ATXN7L2"</f>
        <v>ATXN7L2</v>
      </c>
      <c r="I316" s="3" t="str">
        <f t="shared" si="13"/>
        <v>protein_coding</v>
      </c>
    </row>
    <row r="317" spans="1:9" x14ac:dyDescent="0.2">
      <c r="A317" s="3" t="str">
        <f>"ENSG00000116337.16"</f>
        <v>ENSG00000116337.16</v>
      </c>
      <c r="B317" s="3">
        <v>1531.0459209891901</v>
      </c>
      <c r="C317" s="3">
        <v>-1.28555648892053</v>
      </c>
      <c r="D317" s="3">
        <v>0.23264390448681899</v>
      </c>
      <c r="E317" s="3">
        <v>-5.5258550261881796</v>
      </c>
      <c r="F317" s="4">
        <v>3.2788480495522E-8</v>
      </c>
      <c r="G317" s="4">
        <v>3.6184193117111699E-7</v>
      </c>
      <c r="H317" s="3" t="str">
        <f>"AMPD2"</f>
        <v>AMPD2</v>
      </c>
      <c r="I317" s="3" t="str">
        <f t="shared" si="13"/>
        <v>protein_coding</v>
      </c>
    </row>
    <row r="318" spans="1:9" x14ac:dyDescent="0.2">
      <c r="A318" s="3" t="str">
        <f>"ENSG00000168765.17"</f>
        <v>ENSG00000168765.17</v>
      </c>
      <c r="B318" s="3">
        <v>415.12660163712098</v>
      </c>
      <c r="C318" s="3">
        <v>-1.90469705939656</v>
      </c>
      <c r="D318" s="3">
        <v>0.27588982262938899</v>
      </c>
      <c r="E318" s="3">
        <v>-6.9038322662420004</v>
      </c>
      <c r="F318" s="4">
        <v>5.06180639101339E-12</v>
      </c>
      <c r="G318" s="4">
        <v>9.1946025823961306E-11</v>
      </c>
      <c r="H318" s="3" t="str">
        <f>"GSTM4"</f>
        <v>GSTM4</v>
      </c>
      <c r="I318" s="3" t="str">
        <f t="shared" si="13"/>
        <v>protein_coding</v>
      </c>
    </row>
    <row r="319" spans="1:9" x14ac:dyDescent="0.2">
      <c r="A319" s="3" t="str">
        <f>"ENSG00000134202.10"</f>
        <v>ENSG00000134202.10</v>
      </c>
      <c r="B319" s="3">
        <v>603.41902916071501</v>
      </c>
      <c r="C319" s="3">
        <v>-1.1703173806473399</v>
      </c>
      <c r="D319" s="3">
        <v>0.242536326795811</v>
      </c>
      <c r="E319" s="3">
        <v>-4.8253282141632203</v>
      </c>
      <c r="F319" s="4">
        <v>1.39772895343152E-6</v>
      </c>
      <c r="G319" s="4">
        <v>1.16919171962888E-5</v>
      </c>
      <c r="H319" s="3" t="str">
        <f>"GSTM3"</f>
        <v>GSTM3</v>
      </c>
      <c r="I319" s="3" t="str">
        <f t="shared" si="13"/>
        <v>protein_coding</v>
      </c>
    </row>
    <row r="320" spans="1:9" x14ac:dyDescent="0.2">
      <c r="A320" s="3" t="str">
        <f>"ENSG00000198758.10"</f>
        <v>ENSG00000198758.10</v>
      </c>
      <c r="B320" s="3">
        <v>1101.6906981918601</v>
      </c>
      <c r="C320" s="3">
        <v>-1.9006340625751901</v>
      </c>
      <c r="D320" s="3">
        <v>0.22449252211560999</v>
      </c>
      <c r="E320" s="3">
        <v>-8.4663580090048303</v>
      </c>
      <c r="F320" s="4">
        <v>2.53185147955775E-17</v>
      </c>
      <c r="G320" s="4">
        <v>7.7861577046851E-16</v>
      </c>
      <c r="H320" s="3" t="str">
        <f>"EPS8L3"</f>
        <v>EPS8L3</v>
      </c>
      <c r="I320" s="3" t="str">
        <f t="shared" si="13"/>
        <v>protein_coding</v>
      </c>
    </row>
    <row r="321" spans="1:9" x14ac:dyDescent="0.2">
      <c r="A321" s="3" t="str">
        <f>"ENSG00000235005.1"</f>
        <v>ENSG00000235005.1</v>
      </c>
      <c r="B321" s="3">
        <v>8.7780083433016198</v>
      </c>
      <c r="C321" s="3">
        <v>5.0414316350917598</v>
      </c>
      <c r="D321" s="3">
        <v>1.7822841319059399</v>
      </c>
      <c r="E321" s="3">
        <v>2.8286352017848899</v>
      </c>
      <c r="F321" s="3">
        <v>4.6746950866450301E-3</v>
      </c>
      <c r="G321" s="3">
        <v>1.67616024510879E-2</v>
      </c>
      <c r="H321" s="3" t="str">
        <f>"AL450468.1"</f>
        <v>AL450468.1</v>
      </c>
      <c r="I321" s="3" t="str">
        <f>"antisense"</f>
        <v>antisense</v>
      </c>
    </row>
    <row r="322" spans="1:9" x14ac:dyDescent="0.2">
      <c r="A322" s="3" t="str">
        <f>"ENSG00000261055.1"</f>
        <v>ENSG00000261055.1</v>
      </c>
      <c r="B322" s="3">
        <v>32.827078464063497</v>
      </c>
      <c r="C322" s="3">
        <v>3.4034449889605298</v>
      </c>
      <c r="D322" s="3">
        <v>0.71352050543618795</v>
      </c>
      <c r="E322" s="3">
        <v>4.7699329774411199</v>
      </c>
      <c r="F322" s="4">
        <v>1.84287224958141E-6</v>
      </c>
      <c r="G322" s="4">
        <v>1.5041149539021999E-5</v>
      </c>
      <c r="H322" s="3" t="str">
        <f>"AL450468.2"</f>
        <v>AL450468.2</v>
      </c>
      <c r="I322" s="3" t="str">
        <f>"lincRNA"</f>
        <v>lincRNA</v>
      </c>
    </row>
    <row r="323" spans="1:9" x14ac:dyDescent="0.2">
      <c r="A323" s="3" t="str">
        <f>"ENSG00000184371.14"</f>
        <v>ENSG00000184371.14</v>
      </c>
      <c r="B323" s="3">
        <v>1749.6936720594299</v>
      </c>
      <c r="C323" s="3">
        <v>1.9892740947141101</v>
      </c>
      <c r="D323" s="3">
        <v>0.198952948248173</v>
      </c>
      <c r="E323" s="3">
        <v>9.9987163408742301</v>
      </c>
      <c r="F323" s="4">
        <v>1.54385241722522E-23</v>
      </c>
      <c r="G323" s="4">
        <v>7.6901913733337602E-22</v>
      </c>
      <c r="H323" s="3" t="str">
        <f>"CSF1"</f>
        <v>CSF1</v>
      </c>
      <c r="I323" s="3" t="str">
        <f>"protein_coding"</f>
        <v>protein_coding</v>
      </c>
    </row>
    <row r="324" spans="1:9" x14ac:dyDescent="0.2">
      <c r="A324" s="3" t="str">
        <f>"ENSG00000116396.14"</f>
        <v>ENSG00000116396.14</v>
      </c>
      <c r="B324" s="3">
        <v>1743.1467141565799</v>
      </c>
      <c r="C324" s="3">
        <v>1.4530756336683499</v>
      </c>
      <c r="D324" s="3">
        <v>0.18902316314598</v>
      </c>
      <c r="E324" s="3">
        <v>7.6872887400903203</v>
      </c>
      <c r="F324" s="4">
        <v>1.50285712203506E-14</v>
      </c>
      <c r="G324" s="4">
        <v>3.5545440975772001E-13</v>
      </c>
      <c r="H324" s="3" t="str">
        <f>"KCNC4"</f>
        <v>KCNC4</v>
      </c>
      <c r="I324" s="3" t="str">
        <f>"protein_coding"</f>
        <v>protein_coding</v>
      </c>
    </row>
    <row r="325" spans="1:9" x14ac:dyDescent="0.2">
      <c r="A325" s="3" t="str">
        <f>"ENSG00000177301.15"</f>
        <v>ENSG00000177301.15</v>
      </c>
      <c r="B325" s="3">
        <v>4.2939624891008599</v>
      </c>
      <c r="C325" s="3">
        <v>5.4978614945687996</v>
      </c>
      <c r="D325" s="3">
        <v>2.1119244238519399</v>
      </c>
      <c r="E325" s="3">
        <v>2.6032472717661199</v>
      </c>
      <c r="F325" s="3">
        <v>9.2345323669644607E-3</v>
      </c>
      <c r="G325" s="3">
        <v>2.9695893237658502E-2</v>
      </c>
      <c r="H325" s="3" t="str">
        <f>"KCNA2"</f>
        <v>KCNA2</v>
      </c>
      <c r="I325" s="3" t="str">
        <f>"protein_coding"</f>
        <v>protein_coding</v>
      </c>
    </row>
    <row r="326" spans="1:9" x14ac:dyDescent="0.2">
      <c r="A326" s="3" t="str">
        <f>"ENSG00000173947.14"</f>
        <v>ENSG00000173947.14</v>
      </c>
      <c r="B326" s="3">
        <v>39.359381370079397</v>
      </c>
      <c r="C326" s="3">
        <v>2.28425819619912</v>
      </c>
      <c r="D326" s="3">
        <v>0.58702646237900802</v>
      </c>
      <c r="E326" s="3">
        <v>3.8912354767480899</v>
      </c>
      <c r="F326" s="4">
        <v>9.9735081580005805E-5</v>
      </c>
      <c r="G326" s="3">
        <v>5.7113950563480803E-4</v>
      </c>
      <c r="H326" s="3" t="str">
        <f>"PIFO"</f>
        <v>PIFO</v>
      </c>
      <c r="I326" s="3" t="str">
        <f>"protein_coding"</f>
        <v>protein_coding</v>
      </c>
    </row>
    <row r="327" spans="1:9" x14ac:dyDescent="0.2">
      <c r="A327" s="3" t="str">
        <f>"ENSG00000197852.11"</f>
        <v>ENSG00000197852.11</v>
      </c>
      <c r="B327" s="3">
        <v>1651.9218973119901</v>
      </c>
      <c r="C327" s="3">
        <v>2.1006287006896498</v>
      </c>
      <c r="D327" s="3">
        <v>0.18922879792825001</v>
      </c>
      <c r="E327" s="3">
        <v>11.1009990217565</v>
      </c>
      <c r="F327" s="4">
        <v>1.24049454945359E-28</v>
      </c>
      <c r="G327" s="4">
        <v>8.75641320957561E-27</v>
      </c>
      <c r="H327" s="3" t="str">
        <f>"INKA2"</f>
        <v>INKA2</v>
      </c>
      <c r="I327" s="3" t="str">
        <f>"protein_coding"</f>
        <v>protein_coding</v>
      </c>
    </row>
    <row r="328" spans="1:9" x14ac:dyDescent="0.2">
      <c r="A328" s="3" t="str">
        <f>"ENSG00000227811.2"</f>
        <v>ENSG00000227811.2</v>
      </c>
      <c r="B328" s="3">
        <v>59.538898237412901</v>
      </c>
      <c r="C328" s="3">
        <v>3.0407080580666501</v>
      </c>
      <c r="D328" s="3">
        <v>0.52243156472492402</v>
      </c>
      <c r="E328" s="3">
        <v>5.8202992762653496</v>
      </c>
      <c r="F328" s="4">
        <v>5.8742349825509201E-9</v>
      </c>
      <c r="G328" s="4">
        <v>7.1902641765303201E-8</v>
      </c>
      <c r="H328" s="3" t="str">
        <f>"INKA2-AS1"</f>
        <v>INKA2-AS1</v>
      </c>
      <c r="I328" s="3" t="str">
        <f>"bidirectional_promoter_lncRNA"</f>
        <v>bidirectional_promoter_lncRNA</v>
      </c>
    </row>
    <row r="329" spans="1:9" x14ac:dyDescent="0.2">
      <c r="A329" s="3" t="str">
        <f>"ENSG00000143079.15"</f>
        <v>ENSG00000143079.15</v>
      </c>
      <c r="B329" s="3">
        <v>960.79314389773697</v>
      </c>
      <c r="C329" s="3">
        <v>1.1282424494359899</v>
      </c>
      <c r="D329" s="3">
        <v>0.19716152735232001</v>
      </c>
      <c r="E329" s="3">
        <v>5.72242700990983</v>
      </c>
      <c r="F329" s="4">
        <v>1.05012964901225E-8</v>
      </c>
      <c r="G329" s="4">
        <v>1.2429575389503401E-7</v>
      </c>
      <c r="H329" s="3" t="str">
        <f>"CTTNBP2NL"</f>
        <v>CTTNBP2NL</v>
      </c>
      <c r="I329" s="3" t="str">
        <f>"protein_coding"</f>
        <v>protein_coding</v>
      </c>
    </row>
    <row r="330" spans="1:9" x14ac:dyDescent="0.2">
      <c r="A330" s="3" t="str">
        <f>"ENSG00000155366.16"</f>
        <v>ENSG00000155366.16</v>
      </c>
      <c r="B330" s="3">
        <v>2722.6157850719301</v>
      </c>
      <c r="C330" s="3">
        <v>1.68444919540477</v>
      </c>
      <c r="D330" s="3">
        <v>0.21751632070973601</v>
      </c>
      <c r="E330" s="3">
        <v>7.74401290858804</v>
      </c>
      <c r="F330" s="4">
        <v>9.6327223204141706E-15</v>
      </c>
      <c r="G330" s="4">
        <v>2.3309305955979098E-13</v>
      </c>
      <c r="H330" s="3" t="str">
        <f>"RHOC"</f>
        <v>RHOC</v>
      </c>
      <c r="I330" s="3" t="str">
        <f>"protein_coding"</f>
        <v>protein_coding</v>
      </c>
    </row>
    <row r="331" spans="1:9" x14ac:dyDescent="0.2">
      <c r="A331" s="3" t="str">
        <f>"ENSG00000155367.15"</f>
        <v>ENSG00000155367.15</v>
      </c>
      <c r="B331" s="3">
        <v>24.823636407123399</v>
      </c>
      <c r="C331" s="3">
        <v>2.9440998141426999</v>
      </c>
      <c r="D331" s="3">
        <v>0.81642836641751704</v>
      </c>
      <c r="E331" s="3">
        <v>3.6060724188962099</v>
      </c>
      <c r="F331" s="3">
        <v>3.1086641525136099E-4</v>
      </c>
      <c r="G331" s="3">
        <v>1.57262852141735E-3</v>
      </c>
      <c r="H331" s="3" t="str">
        <f>"PPM1J"</f>
        <v>PPM1J</v>
      </c>
      <c r="I331" s="3" t="str">
        <f>"protein_coding"</f>
        <v>protein_coding</v>
      </c>
    </row>
    <row r="332" spans="1:9" x14ac:dyDescent="0.2">
      <c r="A332" s="3" t="str">
        <f>"ENSG00000233839.1"</f>
        <v>ENSG00000233839.1</v>
      </c>
      <c r="B332" s="3">
        <v>4.0010518602740399</v>
      </c>
      <c r="C332" s="3">
        <v>5.39773571786733</v>
      </c>
      <c r="D332" s="3">
        <v>2.1532629357120299</v>
      </c>
      <c r="E332" s="3">
        <v>2.5067703661942402</v>
      </c>
      <c r="F332" s="3">
        <v>1.2183983780147E-2</v>
      </c>
      <c r="G332" s="3">
        <v>3.74945794056546E-2</v>
      </c>
      <c r="H332" s="3" t="str">
        <f>"AL357055.1"</f>
        <v>AL357055.1</v>
      </c>
      <c r="I332" s="3" t="str">
        <f>"processed_pseudogene"</f>
        <v>processed_pseudogene</v>
      </c>
    </row>
    <row r="333" spans="1:9" x14ac:dyDescent="0.2">
      <c r="A333" s="3" t="str">
        <f>"ENSG00000134242.16"</f>
        <v>ENSG00000134242.16</v>
      </c>
      <c r="B333" s="3">
        <v>3.8530936506741802</v>
      </c>
      <c r="C333" s="3">
        <v>5.3403250580865702</v>
      </c>
      <c r="D333" s="3">
        <v>2.1789621139591802</v>
      </c>
      <c r="E333" s="3">
        <v>2.4508572333014098</v>
      </c>
      <c r="F333" s="3">
        <v>1.4251646682892799E-2</v>
      </c>
      <c r="G333" s="3">
        <v>4.2728280938466097E-2</v>
      </c>
      <c r="H333" s="3" t="str">
        <f>"PTPN22"</f>
        <v>PTPN22</v>
      </c>
      <c r="I333" s="3" t="str">
        <f>"protein_coding"</f>
        <v>protein_coding</v>
      </c>
    </row>
    <row r="334" spans="1:9" x14ac:dyDescent="0.2">
      <c r="A334" s="3" t="str">
        <f>"ENSG00000118655.6"</f>
        <v>ENSG00000118655.6</v>
      </c>
      <c r="B334" s="3">
        <v>495.08203676071201</v>
      </c>
      <c r="C334" s="3">
        <v>-1.0507561113048001</v>
      </c>
      <c r="D334" s="3">
        <v>0.23418987268473901</v>
      </c>
      <c r="E334" s="3">
        <v>-4.48677006934156</v>
      </c>
      <c r="F334" s="4">
        <v>7.2311039506930104E-6</v>
      </c>
      <c r="G334" s="4">
        <v>5.2708905656643197E-5</v>
      </c>
      <c r="H334" s="3" t="str">
        <f>"DCLRE1B"</f>
        <v>DCLRE1B</v>
      </c>
      <c r="I334" s="3" t="str">
        <f>"protein_coding"</f>
        <v>protein_coding</v>
      </c>
    </row>
    <row r="335" spans="1:9" x14ac:dyDescent="0.2">
      <c r="A335" s="3" t="str">
        <f>"ENSG00000235527.6"</f>
        <v>ENSG00000235527.6</v>
      </c>
      <c r="B335" s="3">
        <v>14.392037461964801</v>
      </c>
      <c r="C335" s="3">
        <v>2.3759997565707098</v>
      </c>
      <c r="D335" s="3">
        <v>0.95269320551393799</v>
      </c>
      <c r="E335" s="3">
        <v>2.4939820530041001</v>
      </c>
      <c r="F335" s="3">
        <v>1.26318931176259E-2</v>
      </c>
      <c r="G335" s="3">
        <v>3.8680736320066703E-2</v>
      </c>
      <c r="H335" s="3" t="str">
        <f>"HIPK1-AS1"</f>
        <v>HIPK1-AS1</v>
      </c>
      <c r="I335" s="3" t="str">
        <f>"antisense"</f>
        <v>antisense</v>
      </c>
    </row>
    <row r="336" spans="1:9" x14ac:dyDescent="0.2">
      <c r="A336" s="3" t="str">
        <f>"ENSG00000116774.12"</f>
        <v>ENSG00000116774.12</v>
      </c>
      <c r="B336" s="3">
        <v>153.79620300911799</v>
      </c>
      <c r="C336" s="3">
        <v>-2.37992426702113</v>
      </c>
      <c r="D336" s="3">
        <v>0.39496116577926399</v>
      </c>
      <c r="E336" s="3">
        <v>-6.0257171419005404</v>
      </c>
      <c r="F336" s="4">
        <v>1.68361408438292E-9</v>
      </c>
      <c r="G336" s="4">
        <v>2.21503780575478E-8</v>
      </c>
      <c r="H336" s="3" t="str">
        <f>"OLFML3"</f>
        <v>OLFML3</v>
      </c>
      <c r="I336" s="3" t="str">
        <f>"protein_coding"</f>
        <v>protein_coding</v>
      </c>
    </row>
    <row r="337" spans="1:9" x14ac:dyDescent="0.2">
      <c r="A337" s="3" t="str">
        <f>"ENSG00000175984.15"</f>
        <v>ENSG00000175984.15</v>
      </c>
      <c r="B337" s="3">
        <v>28.061603653407499</v>
      </c>
      <c r="C337" s="3">
        <v>3.0061794533183899</v>
      </c>
      <c r="D337" s="3">
        <v>0.73534588180512295</v>
      </c>
      <c r="E337" s="3">
        <v>4.0881162561743603</v>
      </c>
      <c r="F337" s="4">
        <v>4.3489021005152197E-5</v>
      </c>
      <c r="G337" s="3">
        <v>2.6936698234311901E-4</v>
      </c>
      <c r="H337" s="3" t="str">
        <f>"DENND2C"</f>
        <v>DENND2C</v>
      </c>
      <c r="I337" s="3" t="str">
        <f>"protein_coding"</f>
        <v>protein_coding</v>
      </c>
    </row>
    <row r="338" spans="1:9" x14ac:dyDescent="0.2">
      <c r="A338" s="3" t="str">
        <f>"ENSG00000198765.12"</f>
        <v>ENSG00000198765.12</v>
      </c>
      <c r="B338" s="3">
        <v>3.9648137554673002</v>
      </c>
      <c r="C338" s="3">
        <v>5.38581965917892</v>
      </c>
      <c r="D338" s="3">
        <v>2.16320773319238</v>
      </c>
      <c r="E338" s="3">
        <v>2.4897376135165499</v>
      </c>
      <c r="F338" s="3">
        <v>1.2783743375967001E-2</v>
      </c>
      <c r="G338" s="3">
        <v>3.9066695352733702E-2</v>
      </c>
      <c r="H338" s="3" t="str">
        <f>"SYCP1"</f>
        <v>SYCP1</v>
      </c>
      <c r="I338" s="3" t="str">
        <f>"protein_coding"</f>
        <v>protein_coding</v>
      </c>
    </row>
    <row r="339" spans="1:9" x14ac:dyDescent="0.2">
      <c r="A339" s="3" t="str">
        <f>"ENSG00000173218.15"</f>
        <v>ENSG00000173218.15</v>
      </c>
      <c r="B339" s="3">
        <v>1001.97807092025</v>
      </c>
      <c r="C339" s="3">
        <v>-1.45150192243767</v>
      </c>
      <c r="D339" s="3">
        <v>0.20163377747021599</v>
      </c>
      <c r="E339" s="3">
        <v>-7.1987042084359203</v>
      </c>
      <c r="F339" s="4">
        <v>6.0787456050726296E-13</v>
      </c>
      <c r="G339" s="4">
        <v>1.23880016081835E-11</v>
      </c>
      <c r="H339" s="3" t="str">
        <f>"VANGL1"</f>
        <v>VANGL1</v>
      </c>
      <c r="I339" s="3" t="str">
        <f>"protein_coding"</f>
        <v>protein_coding</v>
      </c>
    </row>
    <row r="340" spans="1:9" x14ac:dyDescent="0.2">
      <c r="A340" s="3" t="str">
        <f>"ENSG00000118729.11"</f>
        <v>ENSG00000118729.11</v>
      </c>
      <c r="B340" s="3">
        <v>3.7081412314472102</v>
      </c>
      <c r="C340" s="3">
        <v>5.2900887480517502</v>
      </c>
      <c r="D340" s="3">
        <v>2.20912909971939</v>
      </c>
      <c r="E340" s="3">
        <v>2.39464898123143</v>
      </c>
      <c r="F340" s="3">
        <v>1.66362833632147E-2</v>
      </c>
      <c r="G340" s="3">
        <v>4.8568393099487003E-2</v>
      </c>
      <c r="H340" s="3" t="str">
        <f>"CASQ2"</f>
        <v>CASQ2</v>
      </c>
      <c r="I340" s="3" t="str">
        <f>"protein_coding"</f>
        <v>protein_coding</v>
      </c>
    </row>
    <row r="341" spans="1:9" x14ac:dyDescent="0.2">
      <c r="A341" s="3" t="str">
        <f>"ENSG00000203865.9"</f>
        <v>ENSG00000203865.9</v>
      </c>
      <c r="B341" s="3">
        <v>85.864705575522706</v>
      </c>
      <c r="C341" s="3">
        <v>1.21133457406259</v>
      </c>
      <c r="D341" s="3">
        <v>0.41874308198773402</v>
      </c>
      <c r="E341" s="3">
        <v>2.8927870719977098</v>
      </c>
      <c r="F341" s="3">
        <v>3.8184006112290201E-3</v>
      </c>
      <c r="G341" s="3">
        <v>1.4101377264049499E-2</v>
      </c>
      <c r="H341" s="3" t="str">
        <f>"ATP1A1-AS1"</f>
        <v>ATP1A1-AS1</v>
      </c>
      <c r="I341" s="3" t="str">
        <f>"processed_transcript"</f>
        <v>processed_transcript</v>
      </c>
    </row>
    <row r="342" spans="1:9" x14ac:dyDescent="0.2">
      <c r="A342" s="3" t="str">
        <f>"ENSG00000134247.10"</f>
        <v>ENSG00000134247.10</v>
      </c>
      <c r="B342" s="3">
        <v>1549.9823966506499</v>
      </c>
      <c r="C342" s="3">
        <v>-1.53177759012598</v>
      </c>
      <c r="D342" s="3">
        <v>0.19369149258030299</v>
      </c>
      <c r="E342" s="3">
        <v>-7.9083369626619602</v>
      </c>
      <c r="F342" s="4">
        <v>2.60849971265173E-15</v>
      </c>
      <c r="G342" s="4">
        <v>6.7177496853139495E-14</v>
      </c>
      <c r="H342" s="3" t="str">
        <f>"PTGFRN"</f>
        <v>PTGFRN</v>
      </c>
      <c r="I342" s="3" t="str">
        <f>"protein_coding"</f>
        <v>protein_coding</v>
      </c>
    </row>
    <row r="343" spans="1:9" x14ac:dyDescent="0.2">
      <c r="A343" s="3" t="str">
        <f>"ENSG00000183508.5"</f>
        <v>ENSG00000183508.5</v>
      </c>
      <c r="B343" s="3">
        <v>54.233226379878097</v>
      </c>
      <c r="C343" s="3">
        <v>3.7000364787587299</v>
      </c>
      <c r="D343" s="3">
        <v>0.58207576307794595</v>
      </c>
      <c r="E343" s="3">
        <v>6.3566235075540396</v>
      </c>
      <c r="F343" s="4">
        <v>2.0623663278142599E-10</v>
      </c>
      <c r="G343" s="4">
        <v>3.0539834420627798E-9</v>
      </c>
      <c r="H343" s="3" t="str">
        <f>"TENT5C"</f>
        <v>TENT5C</v>
      </c>
      <c r="I343" s="3" t="str">
        <f>"protein_coding"</f>
        <v>protein_coding</v>
      </c>
    </row>
    <row r="344" spans="1:9" x14ac:dyDescent="0.2">
      <c r="A344" s="3" t="str">
        <f>"ENSG00000155761.13"</f>
        <v>ENSG00000155761.13</v>
      </c>
      <c r="B344" s="3">
        <v>16.140310388166998</v>
      </c>
      <c r="C344" s="3">
        <v>5.9412975816262303</v>
      </c>
      <c r="D344" s="3">
        <v>1.6602758473235699</v>
      </c>
      <c r="E344" s="3">
        <v>3.5785002782542499</v>
      </c>
      <c r="F344" s="3">
        <v>3.4557150069848102E-4</v>
      </c>
      <c r="G344" s="3">
        <v>1.72640019793391E-3</v>
      </c>
      <c r="H344" s="3" t="str">
        <f>"SPAG17"</f>
        <v>SPAG17</v>
      </c>
      <c r="I344" s="3" t="str">
        <f>"protein_coding"</f>
        <v>protein_coding</v>
      </c>
    </row>
    <row r="345" spans="1:9" x14ac:dyDescent="0.2">
      <c r="A345" s="3" t="str">
        <f>"ENSG00000092607.15"</f>
        <v>ENSG00000092607.15</v>
      </c>
      <c r="B345" s="3">
        <v>174.92894582792101</v>
      </c>
      <c r="C345" s="3">
        <v>2.6352386663942799</v>
      </c>
      <c r="D345" s="3">
        <v>0.32465004017253501</v>
      </c>
      <c r="E345" s="3">
        <v>8.1171672271895705</v>
      </c>
      <c r="F345" s="4">
        <v>4.7719102647852303E-16</v>
      </c>
      <c r="G345" s="4">
        <v>1.30936796560527E-14</v>
      </c>
      <c r="H345" s="3" t="str">
        <f>"TBX15"</f>
        <v>TBX15</v>
      </c>
      <c r="I345" s="3" t="str">
        <f>"protein_coding"</f>
        <v>protein_coding</v>
      </c>
    </row>
    <row r="346" spans="1:9" x14ac:dyDescent="0.2">
      <c r="A346" s="3" t="str">
        <f>"ENSG00000232650.5"</f>
        <v>ENSG00000232650.5</v>
      </c>
      <c r="B346" s="3">
        <v>63.770062853655098</v>
      </c>
      <c r="C346" s="3">
        <v>1.3352803993607201</v>
      </c>
      <c r="D346" s="3">
        <v>0.461656722621686</v>
      </c>
      <c r="E346" s="3">
        <v>2.8923664141135998</v>
      </c>
      <c r="F346" s="3">
        <v>3.8235174072752602E-3</v>
      </c>
      <c r="G346" s="3">
        <v>1.41126224324071E-2</v>
      </c>
      <c r="H346" s="3" t="str">
        <f>"LINC01780"</f>
        <v>LINC01780</v>
      </c>
      <c r="I346" s="3" t="str">
        <f>"lincRNA"</f>
        <v>lincRNA</v>
      </c>
    </row>
    <row r="347" spans="1:9" x14ac:dyDescent="0.2">
      <c r="A347" s="3" t="str">
        <f>"ENSG00000226443.3"</f>
        <v>ENSG00000226443.3</v>
      </c>
      <c r="B347" s="3">
        <v>28.230803231504499</v>
      </c>
      <c r="C347" s="3">
        <v>8.2175396364169906</v>
      </c>
      <c r="D347" s="3">
        <v>1.5750992998334299</v>
      </c>
      <c r="E347" s="3">
        <v>5.2171565546921403</v>
      </c>
      <c r="F347" s="4">
        <v>1.8169068743916899E-7</v>
      </c>
      <c r="G347" s="4">
        <v>1.7712079286780099E-6</v>
      </c>
      <c r="H347" s="3" t="str">
        <f>"GAPDHP32"</f>
        <v>GAPDHP32</v>
      </c>
      <c r="I347" s="3" t="str">
        <f>"processed_pseudogene"</f>
        <v>processed_pseudogene</v>
      </c>
    </row>
    <row r="348" spans="1:9" x14ac:dyDescent="0.2">
      <c r="A348" s="3" t="str">
        <f>"ENSG00000239873.2"</f>
        <v>ENSG00000239873.2</v>
      </c>
      <c r="B348" s="3">
        <v>33.584688131119499</v>
      </c>
      <c r="C348" s="3">
        <v>8.4664171692879702</v>
      </c>
      <c r="D348" s="3">
        <v>1.5506752202638501</v>
      </c>
      <c r="E348" s="3">
        <v>5.4598261832335204</v>
      </c>
      <c r="F348" s="4">
        <v>4.7660095382214001E-8</v>
      </c>
      <c r="G348" s="4">
        <v>5.1186228572297397E-7</v>
      </c>
      <c r="H348" s="3" t="str">
        <f>"GAPDHP27"</f>
        <v>GAPDHP27</v>
      </c>
      <c r="I348" s="3" t="str">
        <f>"processed_pseudogene"</f>
        <v>processed_pseudogene</v>
      </c>
    </row>
    <row r="349" spans="1:9" x14ac:dyDescent="0.2">
      <c r="A349" s="3" t="str">
        <f>"ENSG00000203855.7"</f>
        <v>ENSG00000203855.7</v>
      </c>
      <c r="B349" s="3">
        <v>5.9819558428212396</v>
      </c>
      <c r="C349" s="3">
        <v>5.9757714752725404</v>
      </c>
      <c r="D349" s="3">
        <v>1.9478131524890001</v>
      </c>
      <c r="E349" s="3">
        <v>3.0679387638575299</v>
      </c>
      <c r="F349" s="3">
        <v>2.15540781510168E-3</v>
      </c>
      <c r="G349" s="3">
        <v>8.5973351980786605E-3</v>
      </c>
      <c r="H349" s="3" t="str">
        <f>"HSD3BP4"</f>
        <v>HSD3BP4</v>
      </c>
      <c r="I349" s="3" t="str">
        <f>"unprocessed_pseudogene"</f>
        <v>unprocessed_pseudogene</v>
      </c>
    </row>
    <row r="350" spans="1:9" x14ac:dyDescent="0.2">
      <c r="A350" s="3" t="str">
        <f>"ENSG00000240244.3"</f>
        <v>ENSG00000240244.3</v>
      </c>
      <c r="B350" s="3">
        <v>104.142578680548</v>
      </c>
      <c r="C350" s="3">
        <v>7.6494964925824096</v>
      </c>
      <c r="D350" s="3">
        <v>1.08434383227344</v>
      </c>
      <c r="E350" s="3">
        <v>7.0544934779076804</v>
      </c>
      <c r="F350" s="4">
        <v>1.73230576430199E-12</v>
      </c>
      <c r="G350" s="4">
        <v>3.3356985978753498E-11</v>
      </c>
      <c r="H350" s="3" t="str">
        <f>"GAPDHP33"</f>
        <v>GAPDHP33</v>
      </c>
      <c r="I350" s="3" t="str">
        <f>"processed_pseudogene"</f>
        <v>processed_pseudogene</v>
      </c>
    </row>
    <row r="351" spans="1:9" x14ac:dyDescent="0.2">
      <c r="A351" s="3" t="str">
        <f>"ENSG00000260941.1"</f>
        <v>ENSG00000260941.1</v>
      </c>
      <c r="B351" s="3">
        <v>156.69047126716799</v>
      </c>
      <c r="C351" s="3">
        <v>10.686824184642401</v>
      </c>
      <c r="D351" s="3">
        <v>1.4811165330805001</v>
      </c>
      <c r="E351" s="3">
        <v>7.21538376350136</v>
      </c>
      <c r="F351" s="4">
        <v>5.37820838006552E-13</v>
      </c>
      <c r="G351" s="4">
        <v>1.10847234290201E-11</v>
      </c>
      <c r="H351" s="3" t="str">
        <f>"LINC00622"</f>
        <v>LINC00622</v>
      </c>
      <c r="I351" s="3" t="str">
        <f>"sense_overlapping"</f>
        <v>sense_overlapping</v>
      </c>
    </row>
    <row r="352" spans="1:9" x14ac:dyDescent="0.2">
      <c r="A352" s="3" t="str">
        <f>"ENSG00000198857.3"</f>
        <v>ENSG00000198857.3</v>
      </c>
      <c r="B352" s="3">
        <v>325.00297149403201</v>
      </c>
      <c r="C352" s="3">
        <v>8.7083022451760499</v>
      </c>
      <c r="D352" s="3">
        <v>0.86980574258436205</v>
      </c>
      <c r="E352" s="3">
        <v>10.011778284312101</v>
      </c>
      <c r="F352" s="4">
        <v>1.3529836251389901E-23</v>
      </c>
      <c r="G352" s="4">
        <v>6.7890874464386996E-22</v>
      </c>
      <c r="H352" s="3" t="str">
        <f>"HSD3BP5"</f>
        <v>HSD3BP5</v>
      </c>
      <c r="I352" s="3" t="str">
        <f>"transcribed_unprocessed_pseudogene"</f>
        <v>transcribed_unprocessed_pseudogene</v>
      </c>
    </row>
    <row r="353" spans="1:9" x14ac:dyDescent="0.2">
      <c r="A353" s="3" t="str">
        <f>"ENSG00000092621.12"</f>
        <v>ENSG00000092621.12</v>
      </c>
      <c r="B353" s="3">
        <v>3405.0728459634101</v>
      </c>
      <c r="C353" s="3">
        <v>-4.5256209852779596</v>
      </c>
      <c r="D353" s="3">
        <v>0.21795883045748701</v>
      </c>
      <c r="E353" s="3">
        <v>-20.7636505287666</v>
      </c>
      <c r="F353" s="4">
        <v>9.2283092833782305E-96</v>
      </c>
      <c r="G353" s="4">
        <v>9.6709131940079399E-93</v>
      </c>
      <c r="H353" s="3" t="str">
        <f>"PHGDH"</f>
        <v>PHGDH</v>
      </c>
      <c r="I353" s="3" t="str">
        <f>"protein_coding"</f>
        <v>protein_coding</v>
      </c>
    </row>
    <row r="354" spans="1:9" x14ac:dyDescent="0.2">
      <c r="A354" s="3" t="str">
        <f>"ENSG00000272150.5"</f>
        <v>ENSG00000272150.5</v>
      </c>
      <c r="B354" s="3">
        <v>97.506240266975794</v>
      </c>
      <c r="C354" s="3">
        <v>1.4327659008562901</v>
      </c>
      <c r="D354" s="3">
        <v>0.38077930398570797</v>
      </c>
      <c r="E354" s="3">
        <v>3.7627199951761798</v>
      </c>
      <c r="F354" s="3">
        <v>1.6807534680143E-4</v>
      </c>
      <c r="G354" s="3">
        <v>9.1353460488700499E-4</v>
      </c>
      <c r="H354" s="3" t="str">
        <f>"NBPF25P"</f>
        <v>NBPF25P</v>
      </c>
      <c r="I354" s="3" t="str">
        <f>"transcribed_unprocessed_pseudogene"</f>
        <v>transcribed_unprocessed_pseudogene</v>
      </c>
    </row>
    <row r="355" spans="1:9" x14ac:dyDescent="0.2">
      <c r="A355" s="3" t="str">
        <f>"ENSG00000143127.13"</f>
        <v>ENSG00000143127.13</v>
      </c>
      <c r="B355" s="3">
        <v>78.8322833060151</v>
      </c>
      <c r="C355" s="3">
        <v>-2.6015094152235099</v>
      </c>
      <c r="D355" s="3">
        <v>0.44984839187666997</v>
      </c>
      <c r="E355" s="3">
        <v>-5.7830803937535098</v>
      </c>
      <c r="F355" s="4">
        <v>7.3344988986838199E-9</v>
      </c>
      <c r="G355" s="4">
        <v>8.88586445053081E-8</v>
      </c>
      <c r="H355" s="3" t="str">
        <f>"ITGA10"</f>
        <v>ITGA10</v>
      </c>
      <c r="I355" s="3" t="str">
        <f>"protein_coding"</f>
        <v>protein_coding</v>
      </c>
    </row>
    <row r="356" spans="1:9" x14ac:dyDescent="0.2">
      <c r="A356" s="3" t="str">
        <f>"ENSG00000271601.4"</f>
        <v>ENSG00000271601.4</v>
      </c>
      <c r="B356" s="3">
        <v>631.17266961562598</v>
      </c>
      <c r="C356" s="3">
        <v>-1.37359448846587</v>
      </c>
      <c r="D356" s="3">
        <v>0.212136240300447</v>
      </c>
      <c r="E356" s="3">
        <v>-6.4750581349064298</v>
      </c>
      <c r="F356" s="4">
        <v>9.4775443873900996E-11</v>
      </c>
      <c r="G356" s="4">
        <v>1.48240328314132E-9</v>
      </c>
      <c r="H356" s="3" t="str">
        <f>"LIX1L"</f>
        <v>LIX1L</v>
      </c>
      <c r="I356" s="3" t="str">
        <f>"protein_coding"</f>
        <v>protein_coding</v>
      </c>
    </row>
    <row r="357" spans="1:9" x14ac:dyDescent="0.2">
      <c r="A357" s="3" t="str">
        <f>"ENSG00000121851.13"</f>
        <v>ENSG00000121851.13</v>
      </c>
      <c r="B357" s="3">
        <v>128.90917414460799</v>
      </c>
      <c r="C357" s="3">
        <v>1.0700491438492901</v>
      </c>
      <c r="D357" s="3">
        <v>0.34175254810565298</v>
      </c>
      <c r="E357" s="3">
        <v>3.1310641274823499</v>
      </c>
      <c r="F357" s="3">
        <v>1.7417412308791699E-3</v>
      </c>
      <c r="G357" s="3">
        <v>7.1685839976016602E-3</v>
      </c>
      <c r="H357" s="3" t="str">
        <f>"POLR3GL"</f>
        <v>POLR3GL</v>
      </c>
      <c r="I357" s="3" t="str">
        <f>"protein_coding"</f>
        <v>protein_coding</v>
      </c>
    </row>
    <row r="358" spans="1:9" x14ac:dyDescent="0.2">
      <c r="A358" s="3" t="str">
        <f>"ENSG00000265972.5"</f>
        <v>ENSG00000265972.5</v>
      </c>
      <c r="B358" s="3">
        <v>1684.19997292728</v>
      </c>
      <c r="C358" s="3">
        <v>4.0975139922264301</v>
      </c>
      <c r="D358" s="3">
        <v>0.25553989599833399</v>
      </c>
      <c r="E358" s="3">
        <v>16.034732957131499</v>
      </c>
      <c r="F358" s="4">
        <v>7.3097138228951707E-58</v>
      </c>
      <c r="G358" s="4">
        <v>1.9526252209061202E-55</v>
      </c>
      <c r="H358" s="3" t="str">
        <f>"TXNIP"</f>
        <v>TXNIP</v>
      </c>
      <c r="I358" s="3" t="str">
        <f>"protein_coding"</f>
        <v>protein_coding</v>
      </c>
    </row>
    <row r="359" spans="1:9" x14ac:dyDescent="0.2">
      <c r="A359" s="3" t="str">
        <f>"ENSG00000233396.7"</f>
        <v>ENSG00000233396.7</v>
      </c>
      <c r="B359" s="3">
        <v>84.128041780431602</v>
      </c>
      <c r="C359" s="3">
        <v>1.2193489564825499</v>
      </c>
      <c r="D359" s="3">
        <v>0.40116857865350602</v>
      </c>
      <c r="E359" s="3">
        <v>3.0394926755609899</v>
      </c>
      <c r="F359" s="3">
        <v>2.3697696485343801E-3</v>
      </c>
      <c r="G359" s="3">
        <v>9.3213676358620198E-3</v>
      </c>
      <c r="H359" s="3" t="str">
        <f>"LINC01719"</f>
        <v>LINC01719</v>
      </c>
      <c r="I359" s="3" t="str">
        <f>"lincRNA"</f>
        <v>lincRNA</v>
      </c>
    </row>
    <row r="360" spans="1:9" x14ac:dyDescent="0.2">
      <c r="A360" s="3" t="str">
        <f>"ENSG00000276975.3"</f>
        <v>ENSG00000276975.3</v>
      </c>
      <c r="B360" s="3">
        <v>7.9990979301751803</v>
      </c>
      <c r="C360" s="3">
        <v>6.3933593586813897</v>
      </c>
      <c r="D360" s="3">
        <v>1.8432454210622999</v>
      </c>
      <c r="E360" s="3">
        <v>3.4685339703688398</v>
      </c>
      <c r="F360" s="3">
        <v>5.23306362090474E-4</v>
      </c>
      <c r="G360" s="3">
        <v>2.4948214445992098E-3</v>
      </c>
      <c r="H360" s="3" t="str">
        <f>"HYDIN2"</f>
        <v>HYDIN2</v>
      </c>
      <c r="I360" s="3" t="str">
        <f>"transcribed_unprocessed_pseudogene"</f>
        <v>transcribed_unprocessed_pseudogene</v>
      </c>
    </row>
    <row r="361" spans="1:9" x14ac:dyDescent="0.2">
      <c r="A361" s="3" t="str">
        <f>"ENSG00000131781.13"</f>
        <v>ENSG00000131781.13</v>
      </c>
      <c r="B361" s="3">
        <v>735.89571937514097</v>
      </c>
      <c r="C361" s="3">
        <v>-1.35267640422966</v>
      </c>
      <c r="D361" s="3">
        <v>0.21018477808490199</v>
      </c>
      <c r="E361" s="3">
        <v>-6.4356535071405396</v>
      </c>
      <c r="F361" s="4">
        <v>1.2294320489975701E-10</v>
      </c>
      <c r="G361" s="4">
        <v>1.8925613016404902E-9</v>
      </c>
      <c r="H361" s="3" t="str">
        <f>"FMO5"</f>
        <v>FMO5</v>
      </c>
      <c r="I361" s="3" t="str">
        <f>"protein_coding"</f>
        <v>protein_coding</v>
      </c>
    </row>
    <row r="362" spans="1:9" x14ac:dyDescent="0.2">
      <c r="A362" s="3" t="str">
        <f>"ENSG00000226015.2"</f>
        <v>ENSG00000226015.2</v>
      </c>
      <c r="B362" s="3">
        <v>102.847946533044</v>
      </c>
      <c r="C362" s="3">
        <v>-1.0620132843883301</v>
      </c>
      <c r="D362" s="3">
        <v>0.37167741237159602</v>
      </c>
      <c r="E362" s="3">
        <v>-2.8573522335184398</v>
      </c>
      <c r="F362" s="3">
        <v>4.2719148808077296E-3</v>
      </c>
      <c r="G362" s="3">
        <v>1.5490666057674801E-2</v>
      </c>
      <c r="H362" s="3" t="str">
        <f>"CCT8P1"</f>
        <v>CCT8P1</v>
      </c>
      <c r="I362" s="3" t="str">
        <f>"processed_pseudogene"</f>
        <v>processed_pseudogene</v>
      </c>
    </row>
    <row r="363" spans="1:9" x14ac:dyDescent="0.2">
      <c r="A363" s="3" t="str">
        <f>"ENSG00000131778.19"</f>
        <v>ENSG00000131778.19</v>
      </c>
      <c r="B363" s="3">
        <v>238.97021316670799</v>
      </c>
      <c r="C363" s="3">
        <v>-1.02244476998628</v>
      </c>
      <c r="D363" s="3">
        <v>0.29772555839668502</v>
      </c>
      <c r="E363" s="3">
        <v>-3.43418541388372</v>
      </c>
      <c r="F363" s="3">
        <v>5.9433750320929499E-4</v>
      </c>
      <c r="G363" s="3">
        <v>2.79253560095597E-3</v>
      </c>
      <c r="H363" s="3" t="str">
        <f>"CHD1L"</f>
        <v>CHD1L</v>
      </c>
      <c r="I363" s="3" t="str">
        <f>"protein_coding"</f>
        <v>protein_coding</v>
      </c>
    </row>
    <row r="364" spans="1:9" x14ac:dyDescent="0.2">
      <c r="A364" s="3" t="str">
        <f>"ENSG00000116128.11"</f>
        <v>ENSG00000116128.11</v>
      </c>
      <c r="B364" s="3">
        <v>585.22495710039198</v>
      </c>
      <c r="C364" s="3">
        <v>-1.97009513043455</v>
      </c>
      <c r="D364" s="3">
        <v>0.23056519740409201</v>
      </c>
      <c r="E364" s="3">
        <v>-8.5446335900458195</v>
      </c>
      <c r="F364" s="4">
        <v>1.2894472714788301E-17</v>
      </c>
      <c r="G364" s="4">
        <v>4.0523148565148498E-16</v>
      </c>
      <c r="H364" s="3" t="str">
        <f>"BCL9"</f>
        <v>BCL9</v>
      </c>
      <c r="I364" s="3" t="str">
        <f>"protein_coding"</f>
        <v>protein_coding</v>
      </c>
    </row>
    <row r="365" spans="1:9" x14ac:dyDescent="0.2">
      <c r="A365" s="3" t="str">
        <f>"ENSG00000265107.3"</f>
        <v>ENSG00000265107.3</v>
      </c>
      <c r="B365" s="3">
        <v>5.0277419563543804</v>
      </c>
      <c r="C365" s="3">
        <v>5.7249864720364698</v>
      </c>
      <c r="D365" s="3">
        <v>2.0292551541625601</v>
      </c>
      <c r="E365" s="3">
        <v>2.82122554193983</v>
      </c>
      <c r="F365" s="3">
        <v>4.7840554620197E-3</v>
      </c>
      <c r="G365" s="3">
        <v>1.7077316805142299E-2</v>
      </c>
      <c r="H365" s="3" t="str">
        <f>"GJA5"</f>
        <v>GJA5</v>
      </c>
      <c r="I365" s="3" t="str">
        <f>"protein_coding"</f>
        <v>protein_coding</v>
      </c>
    </row>
    <row r="366" spans="1:9" x14ac:dyDescent="0.2">
      <c r="A366" s="3" t="str">
        <f>"ENSG00000227733.9"</f>
        <v>ENSG00000227733.9</v>
      </c>
      <c r="B366" s="3">
        <v>11.7797153712359</v>
      </c>
      <c r="C366" s="3">
        <v>6.9528033436343097</v>
      </c>
      <c r="D366" s="3">
        <v>1.72287724370748</v>
      </c>
      <c r="E366" s="3">
        <v>4.0355767475763198</v>
      </c>
      <c r="F366" s="4">
        <v>5.4468330684773903E-5</v>
      </c>
      <c r="G366" s="3">
        <v>3.3068150761319799E-4</v>
      </c>
      <c r="H366" s="3" t="str">
        <f>"AC239809.3"</f>
        <v>AC239809.3</v>
      </c>
      <c r="I366" s="3" t="str">
        <f>"lincRNA"</f>
        <v>lincRNA</v>
      </c>
    </row>
    <row r="367" spans="1:9" x14ac:dyDescent="0.2">
      <c r="A367" s="3" t="str">
        <f>"ENSG00000203814.6"</f>
        <v>ENSG00000203814.6</v>
      </c>
      <c r="B367" s="3">
        <v>3681.72096423932</v>
      </c>
      <c r="C367" s="3">
        <v>-2.46687409696982</v>
      </c>
      <c r="D367" s="3">
        <v>0.25802026705646303</v>
      </c>
      <c r="E367" s="3">
        <v>-9.5607764657882104</v>
      </c>
      <c r="F367" s="4">
        <v>1.1687650044989301E-21</v>
      </c>
      <c r="G367" s="4">
        <v>5.1696980645426003E-20</v>
      </c>
      <c r="H367" s="3" t="str">
        <f>"HIST2H2BF"</f>
        <v>HIST2H2BF</v>
      </c>
      <c r="I367" s="3" t="str">
        <f t="shared" ref="I367:I380" si="14">"protein_coding"</f>
        <v>protein_coding</v>
      </c>
    </row>
    <row r="368" spans="1:9" x14ac:dyDescent="0.2">
      <c r="A368" s="3" t="str">
        <f>"ENSG00000183598.3"</f>
        <v>ENSG00000183598.3</v>
      </c>
      <c r="B368" s="3">
        <v>1080.36809718727</v>
      </c>
      <c r="C368" s="3">
        <v>-2.43815000780969</v>
      </c>
      <c r="D368" s="3">
        <v>0.28919033023004298</v>
      </c>
      <c r="E368" s="3">
        <v>-8.4309527426806099</v>
      </c>
      <c r="F368" s="4">
        <v>3.4286220158267599E-17</v>
      </c>
      <c r="G368" s="4">
        <v>1.03799626739146E-15</v>
      </c>
      <c r="H368" s="3" t="str">
        <f>"HIST2H3D"</f>
        <v>HIST2H3D</v>
      </c>
      <c r="I368" s="3" t="str">
        <f t="shared" si="14"/>
        <v>protein_coding</v>
      </c>
    </row>
    <row r="369" spans="1:9" x14ac:dyDescent="0.2">
      <c r="A369" s="3" t="str">
        <f>"ENSG00000270882.2"</f>
        <v>ENSG00000270882.2</v>
      </c>
      <c r="B369" s="3">
        <v>159.140865044648</v>
      </c>
      <c r="C369" s="3">
        <v>-1.41074676786147</v>
      </c>
      <c r="D369" s="3">
        <v>0.33699961893156499</v>
      </c>
      <c r="E369" s="3">
        <v>-4.1861969231126999</v>
      </c>
      <c r="F369" s="4">
        <v>2.8366726801769301E-5</v>
      </c>
      <c r="G369" s="3">
        <v>1.8302349163338999E-4</v>
      </c>
      <c r="H369" s="3" t="str">
        <f>"HIST2H4A"</f>
        <v>HIST2H4A</v>
      </c>
      <c r="I369" s="3" t="str">
        <f t="shared" si="14"/>
        <v>protein_coding</v>
      </c>
    </row>
    <row r="370" spans="1:9" x14ac:dyDescent="0.2">
      <c r="A370" s="3" t="str">
        <f>"ENSG00000203811.1"</f>
        <v>ENSG00000203811.1</v>
      </c>
      <c r="B370" s="3">
        <v>1567.6432556826801</v>
      </c>
      <c r="C370" s="3">
        <v>-1.22304529863361</v>
      </c>
      <c r="D370" s="3">
        <v>0.26766224957052898</v>
      </c>
      <c r="E370" s="3">
        <v>-4.5693604555592504</v>
      </c>
      <c r="F370" s="4">
        <v>4.8921476686099703E-6</v>
      </c>
      <c r="G370" s="4">
        <v>3.6965154610819701E-5</v>
      </c>
      <c r="H370" s="3" t="str">
        <f>"HIST2H3C"</f>
        <v>HIST2H3C</v>
      </c>
      <c r="I370" s="3" t="str">
        <f t="shared" si="14"/>
        <v>protein_coding</v>
      </c>
    </row>
    <row r="371" spans="1:9" x14ac:dyDescent="0.2">
      <c r="A371" s="3" t="str">
        <f>"ENSG00000203812.2"</f>
        <v>ENSG00000203812.2</v>
      </c>
      <c r="B371" s="3">
        <v>4087.9625819732801</v>
      </c>
      <c r="C371" s="3">
        <v>-1.66014367276343</v>
      </c>
      <c r="D371" s="3">
        <v>0.252378718655354</v>
      </c>
      <c r="E371" s="3">
        <v>-6.5779859792001796</v>
      </c>
      <c r="F371" s="4">
        <v>4.7686318207888201E-11</v>
      </c>
      <c r="G371" s="4">
        <v>7.7432009070937402E-10</v>
      </c>
      <c r="H371" s="3" t="str">
        <f>"HIST2H2AA3"</f>
        <v>HIST2H2AA3</v>
      </c>
      <c r="I371" s="3" t="str">
        <f t="shared" si="14"/>
        <v>protein_coding</v>
      </c>
    </row>
    <row r="372" spans="1:9" x14ac:dyDescent="0.2">
      <c r="A372" s="3" t="str">
        <f>"ENSG00000203852.3"</f>
        <v>ENSG00000203852.3</v>
      </c>
      <c r="B372" s="3">
        <v>306.39836994131798</v>
      </c>
      <c r="C372" s="3">
        <v>-1.0969671512422901</v>
      </c>
      <c r="D372" s="3">
        <v>0.34014927418121499</v>
      </c>
      <c r="E372" s="3">
        <v>-3.2249580831323001</v>
      </c>
      <c r="F372" s="3">
        <v>1.2599111433280201E-3</v>
      </c>
      <c r="G372" s="3">
        <v>5.3959130654288902E-3</v>
      </c>
      <c r="H372" s="3" t="str">
        <f>"HIST2H3A"</f>
        <v>HIST2H3A</v>
      </c>
      <c r="I372" s="3" t="str">
        <f t="shared" si="14"/>
        <v>protein_coding</v>
      </c>
    </row>
    <row r="373" spans="1:9" x14ac:dyDescent="0.2">
      <c r="A373" s="3" t="str">
        <f>"ENSG00000270276.2"</f>
        <v>ENSG00000270276.2</v>
      </c>
      <c r="B373" s="3">
        <v>1724.4338496399901</v>
      </c>
      <c r="C373" s="3">
        <v>-1.3486515359678</v>
      </c>
      <c r="D373" s="3">
        <v>0.27702249449295802</v>
      </c>
      <c r="E373" s="3">
        <v>-4.8683827587224604</v>
      </c>
      <c r="F373" s="4">
        <v>1.1251524298586999E-6</v>
      </c>
      <c r="G373" s="4">
        <v>9.5445293450684893E-6</v>
      </c>
      <c r="H373" s="3" t="str">
        <f>"HIST2H4B"</f>
        <v>HIST2H4B</v>
      </c>
      <c r="I373" s="3" t="str">
        <f t="shared" si="14"/>
        <v>protein_coding</v>
      </c>
    </row>
    <row r="374" spans="1:9" x14ac:dyDescent="0.2">
      <c r="A374" s="3" t="str">
        <f>"ENSG00000184678.10"</f>
        <v>ENSG00000184678.10</v>
      </c>
      <c r="B374" s="3">
        <v>7675.5310587730701</v>
      </c>
      <c r="C374" s="3">
        <v>-1.4350259687619</v>
      </c>
      <c r="D374" s="3">
        <v>0.25471657855484098</v>
      </c>
      <c r="E374" s="3">
        <v>-5.6338145593178801</v>
      </c>
      <c r="F374" s="4">
        <v>1.7626655691206101E-8</v>
      </c>
      <c r="G374" s="4">
        <v>2.0264704118915301E-7</v>
      </c>
      <c r="H374" s="3" t="str">
        <f>"HIST2H2BE"</f>
        <v>HIST2H2BE</v>
      </c>
      <c r="I374" s="3" t="str">
        <f t="shared" si="14"/>
        <v>protein_coding</v>
      </c>
    </row>
    <row r="375" spans="1:9" x14ac:dyDescent="0.2">
      <c r="A375" s="3" t="str">
        <f>"ENSG00000184260.5"</f>
        <v>ENSG00000184260.5</v>
      </c>
      <c r="B375" s="3">
        <v>7979.0349515340304</v>
      </c>
      <c r="C375" s="3">
        <v>-1.08200351016204</v>
      </c>
      <c r="D375" s="3">
        <v>0.26124961458180002</v>
      </c>
      <c r="E375" s="3">
        <v>-4.1416463403939501</v>
      </c>
      <c r="F375" s="4">
        <v>3.4482175366563603E-5</v>
      </c>
      <c r="G375" s="3">
        <v>2.18141590947936E-4</v>
      </c>
      <c r="H375" s="3" t="str">
        <f>"HIST2H2AC"</f>
        <v>HIST2H2AC</v>
      </c>
      <c r="I375" s="3" t="str">
        <f t="shared" si="14"/>
        <v>protein_coding</v>
      </c>
    </row>
    <row r="376" spans="1:9" x14ac:dyDescent="0.2">
      <c r="A376" s="3" t="str">
        <f>"ENSG00000184270.5"</f>
        <v>ENSG00000184270.5</v>
      </c>
      <c r="B376" s="3">
        <v>2540.05016918207</v>
      </c>
      <c r="C376" s="3">
        <v>-2.0909333661787999</v>
      </c>
      <c r="D376" s="3">
        <v>0.26716657626175599</v>
      </c>
      <c r="E376" s="3">
        <v>-7.8263284106699196</v>
      </c>
      <c r="F376" s="4">
        <v>5.0232410930938302E-15</v>
      </c>
      <c r="G376" s="4">
        <v>1.24635420545291E-13</v>
      </c>
      <c r="H376" s="3" t="str">
        <f>"HIST2H2AB"</f>
        <v>HIST2H2AB</v>
      </c>
      <c r="I376" s="3" t="str">
        <f t="shared" si="14"/>
        <v>protein_coding</v>
      </c>
    </row>
    <row r="377" spans="1:9" x14ac:dyDescent="0.2">
      <c r="A377" s="3" t="str">
        <f>"ENSG00000023902.14"</f>
        <v>ENSG00000023902.14</v>
      </c>
      <c r="B377" s="3">
        <v>483.31655573143502</v>
      </c>
      <c r="C377" s="3">
        <v>-2.1616622551331299</v>
      </c>
      <c r="D377" s="3">
        <v>0.24186223501260801</v>
      </c>
      <c r="E377" s="3">
        <v>-8.9375766126548797</v>
      </c>
      <c r="F377" s="4">
        <v>3.9779789646845799E-19</v>
      </c>
      <c r="G377" s="4">
        <v>1.41130199024428E-17</v>
      </c>
      <c r="H377" s="3" t="str">
        <f>"PLEKHO1"</f>
        <v>PLEKHO1</v>
      </c>
      <c r="I377" s="3" t="str">
        <f t="shared" si="14"/>
        <v>protein_coding</v>
      </c>
    </row>
    <row r="378" spans="1:9" x14ac:dyDescent="0.2">
      <c r="A378" s="3" t="str">
        <f>"ENSG00000143401.15"</f>
        <v>ENSG00000143401.15</v>
      </c>
      <c r="B378" s="3">
        <v>2252.17319641635</v>
      </c>
      <c r="C378" s="3">
        <v>-1.9130324196459301</v>
      </c>
      <c r="D378" s="3">
        <v>0.18333012398801499</v>
      </c>
      <c r="E378" s="3">
        <v>-10.4349049574144</v>
      </c>
      <c r="F378" s="4">
        <v>1.7178557814357999E-25</v>
      </c>
      <c r="G378" s="4">
        <v>1.00227872541288E-23</v>
      </c>
      <c r="H378" s="3" t="str">
        <f>"ANP32E"</f>
        <v>ANP32E</v>
      </c>
      <c r="I378" s="3" t="str">
        <f t="shared" si="14"/>
        <v>protein_coding</v>
      </c>
    </row>
    <row r="379" spans="1:9" x14ac:dyDescent="0.2">
      <c r="A379" s="3" t="str">
        <f>"ENSG00000118298.12"</f>
        <v>ENSG00000118298.12</v>
      </c>
      <c r="B379" s="3">
        <v>48.916650815269598</v>
      </c>
      <c r="C379" s="3">
        <v>-2.7750967019727799</v>
      </c>
      <c r="D379" s="3">
        <v>0.55312964474909498</v>
      </c>
      <c r="E379" s="3">
        <v>-5.0170818510940496</v>
      </c>
      <c r="F379" s="4">
        <v>5.24622208921425E-7</v>
      </c>
      <c r="G379" s="4">
        <v>4.7254153145395303E-6</v>
      </c>
      <c r="H379" s="3" t="str">
        <f>"CA14"</f>
        <v>CA14</v>
      </c>
      <c r="I379" s="3" t="str">
        <f t="shared" si="14"/>
        <v>protein_coding</v>
      </c>
    </row>
    <row r="380" spans="1:9" x14ac:dyDescent="0.2">
      <c r="A380" s="3" t="str">
        <f>"ENSG00000143369.15"</f>
        <v>ENSG00000143369.15</v>
      </c>
      <c r="B380" s="3">
        <v>97.762475350246305</v>
      </c>
      <c r="C380" s="3">
        <v>2.17244783074824</v>
      </c>
      <c r="D380" s="3">
        <v>0.40912742239384597</v>
      </c>
      <c r="E380" s="3">
        <v>5.3099540921433004</v>
      </c>
      <c r="F380" s="4">
        <v>1.09652851847024E-7</v>
      </c>
      <c r="G380" s="4">
        <v>1.1069697125883201E-6</v>
      </c>
      <c r="H380" s="3" t="str">
        <f>"ECM1"</f>
        <v>ECM1</v>
      </c>
      <c r="I380" s="3" t="str">
        <f t="shared" si="14"/>
        <v>protein_coding</v>
      </c>
    </row>
    <row r="381" spans="1:9" x14ac:dyDescent="0.2">
      <c r="A381" s="3" t="str">
        <f>"ENSG00000228126.1"</f>
        <v>ENSG00000228126.1</v>
      </c>
      <c r="B381" s="3">
        <v>46.379546773584998</v>
      </c>
      <c r="C381" s="3">
        <v>2.7680983184264698</v>
      </c>
      <c r="D381" s="3">
        <v>0.56261446888064204</v>
      </c>
      <c r="E381" s="3">
        <v>4.9200624433526903</v>
      </c>
      <c r="F381" s="4">
        <v>8.6516606174865199E-7</v>
      </c>
      <c r="G381" s="4">
        <v>7.50499194029466E-6</v>
      </c>
      <c r="H381" s="3" t="str">
        <f>"FALEC"</f>
        <v>FALEC</v>
      </c>
      <c r="I381" s="3" t="str">
        <f>"lincRNA"</f>
        <v>lincRNA</v>
      </c>
    </row>
    <row r="382" spans="1:9" x14ac:dyDescent="0.2">
      <c r="A382" s="3" t="str">
        <f>"ENSG00000143382.14"</f>
        <v>ENSG00000143382.14</v>
      </c>
      <c r="B382" s="3">
        <v>2152.7393146854902</v>
      </c>
      <c r="C382" s="3">
        <v>1.3551174793101799</v>
      </c>
      <c r="D382" s="3">
        <v>0.197956454432793</v>
      </c>
      <c r="E382" s="3">
        <v>6.84553319159519</v>
      </c>
      <c r="F382" s="4">
        <v>7.6191550488654705E-12</v>
      </c>
      <c r="G382" s="4">
        <v>1.35952270868656E-10</v>
      </c>
      <c r="H382" s="3" t="str">
        <f>"ADAMTSL4"</f>
        <v>ADAMTSL4</v>
      </c>
      <c r="I382" s="3" t="str">
        <f t="shared" ref="I382:I392" si="15">"protein_coding"</f>
        <v>protein_coding</v>
      </c>
    </row>
    <row r="383" spans="1:9" x14ac:dyDescent="0.2">
      <c r="A383" s="3" t="str">
        <f>"ENSG00000197622.13"</f>
        <v>ENSG00000197622.13</v>
      </c>
      <c r="B383" s="3">
        <v>1118.72634282786</v>
      </c>
      <c r="C383" s="3">
        <v>1.1257435381282299</v>
      </c>
      <c r="D383" s="3">
        <v>0.19227219644820001</v>
      </c>
      <c r="E383" s="3">
        <v>5.8549470954398899</v>
      </c>
      <c r="F383" s="4">
        <v>4.7716188545550402E-9</v>
      </c>
      <c r="G383" s="4">
        <v>5.9339250995007399E-8</v>
      </c>
      <c r="H383" s="3" t="str">
        <f>"CDC42SE1"</f>
        <v>CDC42SE1</v>
      </c>
      <c r="I383" s="3" t="str">
        <f t="shared" si="15"/>
        <v>protein_coding</v>
      </c>
    </row>
    <row r="384" spans="1:9" x14ac:dyDescent="0.2">
      <c r="A384" s="3" t="str">
        <f>"ENSG00000143416.21"</f>
        <v>ENSG00000143416.21</v>
      </c>
      <c r="B384" s="3">
        <v>485.53071984856399</v>
      </c>
      <c r="C384" s="3">
        <v>-1.3434245542316201</v>
      </c>
      <c r="D384" s="3">
        <v>0.27254425951247102</v>
      </c>
      <c r="E384" s="3">
        <v>-4.9291977627221097</v>
      </c>
      <c r="F384" s="4">
        <v>8.2567961940823098E-7</v>
      </c>
      <c r="G384" s="4">
        <v>7.1853377802670304E-6</v>
      </c>
      <c r="H384" s="3" t="str">
        <f>"SELENBP1"</f>
        <v>SELENBP1</v>
      </c>
      <c r="I384" s="3" t="str">
        <f t="shared" si="15"/>
        <v>protein_coding</v>
      </c>
    </row>
    <row r="385" spans="1:9" x14ac:dyDescent="0.2">
      <c r="A385" s="3" t="str">
        <f>"ENSG00000143375.15"</f>
        <v>ENSG00000143375.15</v>
      </c>
      <c r="B385" s="3">
        <v>119.91004863288801</v>
      </c>
      <c r="C385" s="3">
        <v>1.1835632665539999</v>
      </c>
      <c r="D385" s="3">
        <v>0.34496263049466502</v>
      </c>
      <c r="E385" s="3">
        <v>3.4309897998423899</v>
      </c>
      <c r="F385" s="3">
        <v>6.0138321329058499E-4</v>
      </c>
      <c r="G385" s="3">
        <v>2.8183502601528301E-3</v>
      </c>
      <c r="H385" s="3" t="str">
        <f>"CGN"</f>
        <v>CGN</v>
      </c>
      <c r="I385" s="3" t="str">
        <f t="shared" si="15"/>
        <v>protein_coding</v>
      </c>
    </row>
    <row r="386" spans="1:9" x14ac:dyDescent="0.2">
      <c r="A386" s="3" t="str">
        <f>"ENSG00000159409.14"</f>
        <v>ENSG00000159409.14</v>
      </c>
      <c r="B386" s="3">
        <v>124.373655033568</v>
      </c>
      <c r="C386" s="3">
        <v>8.9099346543221802</v>
      </c>
      <c r="D386" s="3">
        <v>1.4768632446848799</v>
      </c>
      <c r="E386" s="3">
        <v>6.0330126613877999</v>
      </c>
      <c r="F386" s="4">
        <v>1.6093080089210301E-9</v>
      </c>
      <c r="G386" s="4">
        <v>2.12651868666689E-8</v>
      </c>
      <c r="H386" s="3" t="str">
        <f>"CELF3"</f>
        <v>CELF3</v>
      </c>
      <c r="I386" s="3" t="str">
        <f t="shared" si="15"/>
        <v>protein_coding</v>
      </c>
    </row>
    <row r="387" spans="1:9" x14ac:dyDescent="0.2">
      <c r="A387" s="3" t="str">
        <f>"ENSG00000178796.12"</f>
        <v>ENSG00000178796.12</v>
      </c>
      <c r="B387" s="3">
        <v>46.940676751282702</v>
      </c>
      <c r="C387" s="3">
        <v>8.9485358861548594</v>
      </c>
      <c r="D387" s="3">
        <v>1.5238407255450499</v>
      </c>
      <c r="E387" s="3">
        <v>5.87235643210294</v>
      </c>
      <c r="F387" s="4">
        <v>4.2964374372844701E-9</v>
      </c>
      <c r="G387" s="4">
        <v>5.3773555743541498E-8</v>
      </c>
      <c r="H387" s="3" t="str">
        <f>"RIIAD1"</f>
        <v>RIIAD1</v>
      </c>
      <c r="I387" s="3" t="str">
        <f t="shared" si="15"/>
        <v>protein_coding</v>
      </c>
    </row>
    <row r="388" spans="1:9" x14ac:dyDescent="0.2">
      <c r="A388" s="3" t="str">
        <f>"ENSG00000182134.16"</f>
        <v>ENSG00000182134.16</v>
      </c>
      <c r="B388" s="3">
        <v>305.70856385758498</v>
      </c>
      <c r="C388" s="3">
        <v>1.38310056175149</v>
      </c>
      <c r="D388" s="3">
        <v>0.253887047487799</v>
      </c>
      <c r="E388" s="3">
        <v>5.44770036690411</v>
      </c>
      <c r="F388" s="4">
        <v>5.1025220433729798E-8</v>
      </c>
      <c r="G388" s="4">
        <v>5.4478220264805504E-7</v>
      </c>
      <c r="H388" s="3" t="str">
        <f>"TDRKH"</f>
        <v>TDRKH</v>
      </c>
      <c r="I388" s="3" t="str">
        <f t="shared" si="15"/>
        <v>protein_coding</v>
      </c>
    </row>
    <row r="389" spans="1:9" x14ac:dyDescent="0.2">
      <c r="A389" s="3" t="str">
        <f>"ENSG00000143365.18"</f>
        <v>ENSG00000143365.18</v>
      </c>
      <c r="B389" s="3">
        <v>42.824787531599</v>
      </c>
      <c r="C389" s="3">
        <v>-2.5980217268075099</v>
      </c>
      <c r="D389" s="3">
        <v>0.603863737142326</v>
      </c>
      <c r="E389" s="3">
        <v>-4.3023310839994702</v>
      </c>
      <c r="F389" s="4">
        <v>1.6901050954696699E-5</v>
      </c>
      <c r="G389" s="3">
        <v>1.1407058096671299E-4</v>
      </c>
      <c r="H389" s="3" t="str">
        <f>"RORC"</f>
        <v>RORC</v>
      </c>
      <c r="I389" s="3" t="str">
        <f t="shared" si="15"/>
        <v>protein_coding</v>
      </c>
    </row>
    <row r="390" spans="1:9" x14ac:dyDescent="0.2">
      <c r="A390" s="3" t="str">
        <f>"ENSG00000159445.13"</f>
        <v>ENSG00000159445.13</v>
      </c>
      <c r="B390" s="3">
        <v>306.97284292518202</v>
      </c>
      <c r="C390" s="3">
        <v>-1.02574716140915</v>
      </c>
      <c r="D390" s="3">
        <v>0.252821383492983</v>
      </c>
      <c r="E390" s="3">
        <v>-4.0572009663004698</v>
      </c>
      <c r="F390" s="4">
        <v>4.9664344824102097E-5</v>
      </c>
      <c r="G390" s="3">
        <v>3.0443293665293798E-4</v>
      </c>
      <c r="H390" s="3" t="str">
        <f>"THEM4"</f>
        <v>THEM4</v>
      </c>
      <c r="I390" s="3" t="str">
        <f t="shared" si="15"/>
        <v>protein_coding</v>
      </c>
    </row>
    <row r="391" spans="1:9" x14ac:dyDescent="0.2">
      <c r="A391" s="3" t="str">
        <f>"ENSG00000163191.6"</f>
        <v>ENSG00000163191.6</v>
      </c>
      <c r="B391" s="3">
        <v>1390.5472509107501</v>
      </c>
      <c r="C391" s="3">
        <v>1.1733224165906699</v>
      </c>
      <c r="D391" s="3">
        <v>0.21873316170277499</v>
      </c>
      <c r="E391" s="3">
        <v>5.3641725262721396</v>
      </c>
      <c r="F391" s="4">
        <v>8.1321148833410406E-8</v>
      </c>
      <c r="G391" s="4">
        <v>8.3708248668830098E-7</v>
      </c>
      <c r="H391" s="3" t="str">
        <f>"S100A11"</f>
        <v>S100A11</v>
      </c>
      <c r="I391" s="3" t="str">
        <f t="shared" si="15"/>
        <v>protein_coding</v>
      </c>
    </row>
    <row r="392" spans="1:9" x14ac:dyDescent="0.2">
      <c r="A392" s="3" t="str">
        <f>"ENSG00000159450.12"</f>
        <v>ENSG00000159450.12</v>
      </c>
      <c r="B392" s="3">
        <v>5.5773251092012899</v>
      </c>
      <c r="C392" s="3">
        <v>5.8730172189294603</v>
      </c>
      <c r="D392" s="3">
        <v>1.9878318593136</v>
      </c>
      <c r="E392" s="3">
        <v>2.9544838973238998</v>
      </c>
      <c r="F392" s="3">
        <v>3.13192497340763E-3</v>
      </c>
      <c r="G392" s="3">
        <v>1.18835203663052E-2</v>
      </c>
      <c r="H392" s="3" t="str">
        <f>"TCHH"</f>
        <v>TCHH</v>
      </c>
      <c r="I392" s="3" t="str">
        <f t="shared" si="15"/>
        <v>protein_coding</v>
      </c>
    </row>
    <row r="393" spans="1:9" x14ac:dyDescent="0.2">
      <c r="A393" s="3" t="str">
        <f>"ENSG00000237975.6"</f>
        <v>ENSG00000237975.6</v>
      </c>
      <c r="B393" s="3">
        <v>179.87588182222399</v>
      </c>
      <c r="C393" s="3">
        <v>5.8349324351209404</v>
      </c>
      <c r="D393" s="3">
        <v>0.50917945069901904</v>
      </c>
      <c r="E393" s="3">
        <v>11.4594813814865</v>
      </c>
      <c r="F393" s="4">
        <v>2.1077310019529301E-30</v>
      </c>
      <c r="G393" s="4">
        <v>1.69408102095019E-28</v>
      </c>
      <c r="H393" s="3" t="str">
        <f>"FLG-AS1"</f>
        <v>FLG-AS1</v>
      </c>
      <c r="I393" s="3" t="str">
        <f>"antisense"</f>
        <v>antisense</v>
      </c>
    </row>
    <row r="394" spans="1:9" x14ac:dyDescent="0.2">
      <c r="A394" s="3" t="str">
        <f>"ENSG00000236427.1"</f>
        <v>ENSG00000236427.1</v>
      </c>
      <c r="B394" s="3">
        <v>25.389793260791301</v>
      </c>
      <c r="C394" s="3">
        <v>3.9444387203204498</v>
      </c>
      <c r="D394" s="3">
        <v>0.89131110939414004</v>
      </c>
      <c r="E394" s="3">
        <v>4.4254342605486503</v>
      </c>
      <c r="F394" s="4">
        <v>9.6248465026580303E-6</v>
      </c>
      <c r="G394" s="4">
        <v>6.8705316389290906E-5</v>
      </c>
      <c r="H394" s="3" t="str">
        <f>"AL589986.2"</f>
        <v>AL589986.2</v>
      </c>
      <c r="I394" s="3" t="str">
        <f>"lincRNA"</f>
        <v>lincRNA</v>
      </c>
    </row>
    <row r="395" spans="1:9" x14ac:dyDescent="0.2">
      <c r="A395" s="3" t="str">
        <f>"ENSG00000197915.6"</f>
        <v>ENSG00000197915.6</v>
      </c>
      <c r="B395" s="3">
        <v>8.5156166675507698</v>
      </c>
      <c r="C395" s="3">
        <v>5.0070271060010896</v>
      </c>
      <c r="D395" s="3">
        <v>1.81681631856015</v>
      </c>
      <c r="E395" s="3">
        <v>2.7559346835728702</v>
      </c>
      <c r="F395" s="3">
        <v>5.8524682607126498E-3</v>
      </c>
      <c r="G395" s="3">
        <v>2.0290393523302901E-2</v>
      </c>
      <c r="H395" s="3" t="str">
        <f>"HRNR"</f>
        <v>HRNR</v>
      </c>
      <c r="I395" s="3" t="str">
        <f t="shared" ref="I395:I404" si="16">"protein_coding"</f>
        <v>protein_coding</v>
      </c>
    </row>
    <row r="396" spans="1:9" x14ac:dyDescent="0.2">
      <c r="A396" s="3" t="str">
        <f>"ENSG00000143631.10"</f>
        <v>ENSG00000143631.10</v>
      </c>
      <c r="B396" s="3">
        <v>28.548096702609001</v>
      </c>
      <c r="C396" s="3">
        <v>6.7756972776461</v>
      </c>
      <c r="D396" s="3">
        <v>1.5624022697499</v>
      </c>
      <c r="E396" s="3">
        <v>4.33671750792496</v>
      </c>
      <c r="F396" s="4">
        <v>1.44626305173421E-5</v>
      </c>
      <c r="G396" s="4">
        <v>9.9204920128771902E-5</v>
      </c>
      <c r="H396" s="3" t="str">
        <f>"FLG"</f>
        <v>FLG</v>
      </c>
      <c r="I396" s="3" t="str">
        <f t="shared" si="16"/>
        <v>protein_coding</v>
      </c>
    </row>
    <row r="397" spans="1:9" x14ac:dyDescent="0.2">
      <c r="A397" s="3" t="str">
        <f>"ENSG00000240386.3"</f>
        <v>ENSG00000240386.3</v>
      </c>
      <c r="B397" s="3">
        <v>329.10091947706002</v>
      </c>
      <c r="C397" s="3">
        <v>11.759029074968799</v>
      </c>
      <c r="D397" s="3">
        <v>1.4640549963032701</v>
      </c>
      <c r="E397" s="3">
        <v>8.0318219634236794</v>
      </c>
      <c r="F397" s="4">
        <v>9.6035665603125094E-16</v>
      </c>
      <c r="G397" s="4">
        <v>2.5678937985165401E-14</v>
      </c>
      <c r="H397" s="3" t="str">
        <f>"LCE1F"</f>
        <v>LCE1F</v>
      </c>
      <c r="I397" s="3" t="str">
        <f t="shared" si="16"/>
        <v>protein_coding</v>
      </c>
    </row>
    <row r="398" spans="1:9" x14ac:dyDescent="0.2">
      <c r="A398" s="3" t="str">
        <f>"ENSG00000186226.9"</f>
        <v>ENSG00000186226.9</v>
      </c>
      <c r="B398" s="3">
        <v>139.00110764239199</v>
      </c>
      <c r="C398" s="3">
        <v>10.515603984459799</v>
      </c>
      <c r="D398" s="3">
        <v>1.47752233514492</v>
      </c>
      <c r="E398" s="3">
        <v>7.1170524697539497</v>
      </c>
      <c r="F398" s="4">
        <v>1.10259520837335E-12</v>
      </c>
      <c r="G398" s="4">
        <v>2.16756216757206E-11</v>
      </c>
      <c r="H398" s="3" t="str">
        <f>"LCE1E"</f>
        <v>LCE1E</v>
      </c>
      <c r="I398" s="3" t="str">
        <f t="shared" si="16"/>
        <v>protein_coding</v>
      </c>
    </row>
    <row r="399" spans="1:9" x14ac:dyDescent="0.2">
      <c r="A399" s="3" t="str">
        <f>"ENSG00000172155.9"</f>
        <v>ENSG00000172155.9</v>
      </c>
      <c r="B399" s="3">
        <v>8.1500619301479293</v>
      </c>
      <c r="C399" s="3">
        <v>6.4255588067260998</v>
      </c>
      <c r="D399" s="3">
        <v>1.83422848902311</v>
      </c>
      <c r="E399" s="3">
        <v>3.50313979156887</v>
      </c>
      <c r="F399" s="3">
        <v>4.5980808452777402E-4</v>
      </c>
      <c r="G399" s="3">
        <v>2.2244719662634599E-3</v>
      </c>
      <c r="H399" s="3" t="str">
        <f>"LCE1D"</f>
        <v>LCE1D</v>
      </c>
      <c r="I399" s="3" t="str">
        <f t="shared" si="16"/>
        <v>protein_coding</v>
      </c>
    </row>
    <row r="400" spans="1:9" x14ac:dyDescent="0.2">
      <c r="A400" s="3" t="str">
        <f>"ENSG00000197084.5"</f>
        <v>ENSG00000197084.5</v>
      </c>
      <c r="B400" s="3">
        <v>240.60067160779801</v>
      </c>
      <c r="C400" s="3">
        <v>11.3071053367385</v>
      </c>
      <c r="D400" s="3">
        <v>1.4675110198604</v>
      </c>
      <c r="E400" s="3">
        <v>7.7049542958894497</v>
      </c>
      <c r="F400" s="4">
        <v>1.3089012780967399E-14</v>
      </c>
      <c r="G400" s="4">
        <v>3.1120098712305201E-13</v>
      </c>
      <c r="H400" s="3" t="str">
        <f>"LCE1C"</f>
        <v>LCE1C</v>
      </c>
      <c r="I400" s="3" t="str">
        <f t="shared" si="16"/>
        <v>protein_coding</v>
      </c>
    </row>
    <row r="401" spans="1:9" x14ac:dyDescent="0.2">
      <c r="A401" s="3" t="str">
        <f>"ENSG00000196734.8"</f>
        <v>ENSG00000196734.8</v>
      </c>
      <c r="B401" s="3">
        <v>229.66645580860799</v>
      </c>
      <c r="C401" s="3">
        <v>11.240112651589399</v>
      </c>
      <c r="D401" s="3">
        <v>1.46846291446954</v>
      </c>
      <c r="E401" s="3">
        <v>7.6543387925119504</v>
      </c>
      <c r="F401" s="4">
        <v>1.9430939321481699E-14</v>
      </c>
      <c r="G401" s="4">
        <v>4.5680310931183096E-13</v>
      </c>
      <c r="H401" s="3" t="str">
        <f>"LCE1B"</f>
        <v>LCE1B</v>
      </c>
      <c r="I401" s="3" t="str">
        <f t="shared" si="16"/>
        <v>protein_coding</v>
      </c>
    </row>
    <row r="402" spans="1:9" x14ac:dyDescent="0.2">
      <c r="A402" s="3" t="str">
        <f>"ENSG00000197956.10"</f>
        <v>ENSG00000197956.10</v>
      </c>
      <c r="B402" s="3">
        <v>1716.4930887979201</v>
      </c>
      <c r="C402" s="3">
        <v>1.1054039896591701</v>
      </c>
      <c r="D402" s="3">
        <v>0.21341414412950499</v>
      </c>
      <c r="E402" s="3">
        <v>5.17961915864577</v>
      </c>
      <c r="F402" s="4">
        <v>2.22339351888664E-7</v>
      </c>
      <c r="G402" s="4">
        <v>2.13613551513062E-6</v>
      </c>
      <c r="H402" s="3" t="str">
        <f>"S100A6"</f>
        <v>S100A6</v>
      </c>
      <c r="I402" s="3" t="str">
        <f t="shared" si="16"/>
        <v>protein_coding</v>
      </c>
    </row>
    <row r="403" spans="1:9" x14ac:dyDescent="0.2">
      <c r="A403" s="3" t="str">
        <f>"ENSG00000196154.12"</f>
        <v>ENSG00000196154.12</v>
      </c>
      <c r="B403" s="3">
        <v>95.866111872061893</v>
      </c>
      <c r="C403" s="3">
        <v>-1.9999858935492201</v>
      </c>
      <c r="D403" s="3">
        <v>0.38703770770075702</v>
      </c>
      <c r="E403" s="3">
        <v>-5.1674187133609601</v>
      </c>
      <c r="F403" s="4">
        <v>2.3734913742799599E-7</v>
      </c>
      <c r="G403" s="4">
        <v>2.2642916500539201E-6</v>
      </c>
      <c r="H403" s="3" t="str">
        <f>"S100A4"</f>
        <v>S100A4</v>
      </c>
      <c r="I403" s="3" t="str">
        <f t="shared" si="16"/>
        <v>protein_coding</v>
      </c>
    </row>
    <row r="404" spans="1:9" x14ac:dyDescent="0.2">
      <c r="A404" s="3" t="str">
        <f>"ENSG00000169418.10"</f>
        <v>ENSG00000169418.10</v>
      </c>
      <c r="B404" s="3">
        <v>13.3259733639747</v>
      </c>
      <c r="C404" s="3">
        <v>4.0246725366056104</v>
      </c>
      <c r="D404" s="3">
        <v>1.20365152645535</v>
      </c>
      <c r="E404" s="3">
        <v>3.34371904836769</v>
      </c>
      <c r="F404" s="3">
        <v>8.2663405980482095E-4</v>
      </c>
      <c r="G404" s="3">
        <v>3.73582654295936E-3</v>
      </c>
      <c r="H404" s="3" t="str">
        <f>"NPR1"</f>
        <v>NPR1</v>
      </c>
      <c r="I404" s="3" t="str">
        <f t="shared" si="16"/>
        <v>protein_coding</v>
      </c>
    </row>
    <row r="405" spans="1:9" x14ac:dyDescent="0.2">
      <c r="A405" s="3" t="str">
        <f>"ENSG00000231827.3"</f>
        <v>ENSG00000231827.3</v>
      </c>
      <c r="B405" s="3">
        <v>11.1242991642891</v>
      </c>
      <c r="C405" s="3">
        <v>5.3902009010934098</v>
      </c>
      <c r="D405" s="3">
        <v>1.72448547519177</v>
      </c>
      <c r="E405" s="3">
        <v>3.1256864604754102</v>
      </c>
      <c r="F405" s="3">
        <v>1.7739057245254599E-3</v>
      </c>
      <c r="G405" s="3">
        <v>7.2747756285588697E-3</v>
      </c>
      <c r="H405" s="3" t="str">
        <f>"AL513523.2"</f>
        <v>AL513523.2</v>
      </c>
      <c r="I405" s="3" t="str">
        <f>"transcribed_unprocessed_pseudogene"</f>
        <v>transcribed_unprocessed_pseudogene</v>
      </c>
    </row>
    <row r="406" spans="1:9" x14ac:dyDescent="0.2">
      <c r="A406" s="3" t="str">
        <f>"ENSG00000223599.1"</f>
        <v>ENSG00000223599.1</v>
      </c>
      <c r="B406" s="3">
        <v>78.060503970554606</v>
      </c>
      <c r="C406" s="3">
        <v>1.06712631693394</v>
      </c>
      <c r="D406" s="3">
        <v>0.42276792433695898</v>
      </c>
      <c r="E406" s="3">
        <v>2.5241421013847098</v>
      </c>
      <c r="F406" s="3">
        <v>1.15981035683998E-2</v>
      </c>
      <c r="G406" s="3">
        <v>3.5996528981454598E-2</v>
      </c>
      <c r="H406" s="3" t="str">
        <f>"AL513523.1"</f>
        <v>AL513523.1</v>
      </c>
      <c r="I406" s="3" t="str">
        <f>"processed_pseudogene"</f>
        <v>processed_pseudogene</v>
      </c>
    </row>
    <row r="407" spans="1:9" x14ac:dyDescent="0.2">
      <c r="A407" s="3" t="str">
        <f>"ENSG00000163239.12"</f>
        <v>ENSG00000163239.12</v>
      </c>
      <c r="B407" s="3">
        <v>4.2577243842941197</v>
      </c>
      <c r="C407" s="3">
        <v>5.4867669360524598</v>
      </c>
      <c r="D407" s="3">
        <v>2.11613036159978</v>
      </c>
      <c r="E407" s="3">
        <v>2.5928303074412198</v>
      </c>
      <c r="F407" s="3">
        <v>9.5189725018600003E-3</v>
      </c>
      <c r="G407" s="3">
        <v>3.0470329388883902E-2</v>
      </c>
      <c r="H407" s="3" t="str">
        <f>"TDRD10"</f>
        <v>TDRD10</v>
      </c>
      <c r="I407" s="3" t="str">
        <f>"protein_coding"</f>
        <v>protein_coding</v>
      </c>
    </row>
    <row r="408" spans="1:9" x14ac:dyDescent="0.2">
      <c r="A408" s="3" t="str">
        <f>"ENSG00000143603.19"</f>
        <v>ENSG00000143603.19</v>
      </c>
      <c r="B408" s="3">
        <v>6.9333318378777298</v>
      </c>
      <c r="C408" s="3">
        <v>4.6952116007282401</v>
      </c>
      <c r="D408" s="3">
        <v>1.8608493036999001</v>
      </c>
      <c r="E408" s="3">
        <v>2.5231552019783701</v>
      </c>
      <c r="F408" s="3">
        <v>1.16307056364115E-2</v>
      </c>
      <c r="G408" s="3">
        <v>3.6085383338112398E-2</v>
      </c>
      <c r="H408" s="3" t="str">
        <f>"KCNN3"</f>
        <v>KCNN3</v>
      </c>
      <c r="I408" s="3" t="str">
        <f>"protein_coding"</f>
        <v>protein_coding</v>
      </c>
    </row>
    <row r="409" spans="1:9" x14ac:dyDescent="0.2">
      <c r="A409" s="3" t="str">
        <f>"ENSG00000270361.1"</f>
        <v>ENSG00000270361.1</v>
      </c>
      <c r="B409" s="3">
        <v>14.1802846159451</v>
      </c>
      <c r="C409" s="3">
        <v>2.7726452916453801</v>
      </c>
      <c r="D409" s="3">
        <v>0.98309969486640303</v>
      </c>
      <c r="E409" s="3">
        <v>2.8203093807512198</v>
      </c>
      <c r="F409" s="3">
        <v>4.7977368541982099E-3</v>
      </c>
      <c r="G409" s="3">
        <v>1.7121668116088899E-2</v>
      </c>
      <c r="H409" s="3" t="str">
        <f>"AL451085.1"</f>
        <v>AL451085.1</v>
      </c>
      <c r="I409" s="3" t="str">
        <f>"lincRNA"</f>
        <v>lincRNA</v>
      </c>
    </row>
    <row r="410" spans="1:9" x14ac:dyDescent="0.2">
      <c r="A410" s="3" t="str">
        <f>"ENSG00000271380.1"</f>
        <v>ENSG00000271380.1</v>
      </c>
      <c r="B410" s="3">
        <v>39.9321873597601</v>
      </c>
      <c r="C410" s="3">
        <v>1.37706560847014</v>
      </c>
      <c r="D410" s="3">
        <v>0.56168918347015995</v>
      </c>
      <c r="E410" s="3">
        <v>2.4516505729423601</v>
      </c>
      <c r="F410" s="3">
        <v>1.42202677306109E-2</v>
      </c>
      <c r="G410" s="3">
        <v>4.2704688069652198E-2</v>
      </c>
      <c r="H410" s="3" t="str">
        <f>"AL451085.2"</f>
        <v>AL451085.2</v>
      </c>
      <c r="I410" s="3" t="str">
        <f>"antisense"</f>
        <v>antisense</v>
      </c>
    </row>
    <row r="411" spans="1:9" x14ac:dyDescent="0.2">
      <c r="A411" s="3" t="str">
        <f>"ENSG00000163354.15"</f>
        <v>ENSG00000163354.15</v>
      </c>
      <c r="B411" s="3">
        <v>20.8263816078167</v>
      </c>
      <c r="C411" s="3">
        <v>3.6332537502865199</v>
      </c>
      <c r="D411" s="3">
        <v>0.909560937787948</v>
      </c>
      <c r="E411" s="3">
        <v>3.99451383556839</v>
      </c>
      <c r="F411" s="4">
        <v>6.4827136022926004E-5</v>
      </c>
      <c r="G411" s="3">
        <v>3.8701686573546602E-4</v>
      </c>
      <c r="H411" s="3" t="str">
        <f>"DCST2"</f>
        <v>DCST2</v>
      </c>
      <c r="I411" s="3" t="str">
        <f t="shared" ref="I411:I419" si="17">"protein_coding"</f>
        <v>protein_coding</v>
      </c>
    </row>
    <row r="412" spans="1:9" x14ac:dyDescent="0.2">
      <c r="A412" s="3" t="str">
        <f>"ENSG00000143537.13"</f>
        <v>ENSG00000143537.13</v>
      </c>
      <c r="B412" s="3">
        <v>1383.7412611607001</v>
      </c>
      <c r="C412" s="3">
        <v>-1.05871189208175</v>
      </c>
      <c r="D412" s="3">
        <v>0.22083190273236</v>
      </c>
      <c r="E412" s="3">
        <v>-4.7941981162244902</v>
      </c>
      <c r="F412" s="4">
        <v>1.6332680721572899E-6</v>
      </c>
      <c r="G412" s="4">
        <v>1.34649486118214E-5</v>
      </c>
      <c r="H412" s="3" t="str">
        <f>"ADAM15"</f>
        <v>ADAM15</v>
      </c>
      <c r="I412" s="3" t="str">
        <f t="shared" si="17"/>
        <v>protein_coding</v>
      </c>
    </row>
    <row r="413" spans="1:9" x14ac:dyDescent="0.2">
      <c r="A413" s="3" t="str">
        <f>"ENSG00000143590.14"</f>
        <v>ENSG00000143590.14</v>
      </c>
      <c r="B413" s="3">
        <v>31.9670242535366</v>
      </c>
      <c r="C413" s="3">
        <v>-1.8098145051209</v>
      </c>
      <c r="D413" s="3">
        <v>0.637303471086624</v>
      </c>
      <c r="E413" s="3">
        <v>-2.8398001693527699</v>
      </c>
      <c r="F413" s="3">
        <v>4.5141802320673103E-3</v>
      </c>
      <c r="G413" s="3">
        <v>1.62496961855303E-2</v>
      </c>
      <c r="H413" s="3" t="str">
        <f>"EFNA3"</f>
        <v>EFNA3</v>
      </c>
      <c r="I413" s="3" t="str">
        <f t="shared" si="17"/>
        <v>protein_coding</v>
      </c>
    </row>
    <row r="414" spans="1:9" x14ac:dyDescent="0.2">
      <c r="A414" s="3" t="str">
        <f>"ENSG00000169242.12"</f>
        <v>ENSG00000169242.12</v>
      </c>
      <c r="B414" s="3">
        <v>1975.18725696806</v>
      </c>
      <c r="C414" s="3">
        <v>-2.2685888867950901</v>
      </c>
      <c r="D414" s="3">
        <v>0.24491364403803401</v>
      </c>
      <c r="E414" s="3">
        <v>-9.2628113705367596</v>
      </c>
      <c r="F414" s="4">
        <v>1.9911894012662E-20</v>
      </c>
      <c r="G414" s="4">
        <v>8.0257304166124697E-19</v>
      </c>
      <c r="H414" s="3" t="str">
        <f>"EFNA1"</f>
        <v>EFNA1</v>
      </c>
      <c r="I414" s="3" t="str">
        <f t="shared" si="17"/>
        <v>protein_coding</v>
      </c>
    </row>
    <row r="415" spans="1:9" x14ac:dyDescent="0.2">
      <c r="A415" s="3" t="str">
        <f>"ENSG00000169231.13"</f>
        <v>ENSG00000169231.13</v>
      </c>
      <c r="B415" s="3">
        <v>87.2409200223331</v>
      </c>
      <c r="C415" s="3">
        <v>1.2908795285010299</v>
      </c>
      <c r="D415" s="3">
        <v>0.41623742433713401</v>
      </c>
      <c r="E415" s="3">
        <v>3.10130577652113</v>
      </c>
      <c r="F415" s="3">
        <v>1.9266922016358101E-3</v>
      </c>
      <c r="G415" s="3">
        <v>7.7980663128299202E-3</v>
      </c>
      <c r="H415" s="3" t="str">
        <f>"THBS3"</f>
        <v>THBS3</v>
      </c>
      <c r="I415" s="3" t="str">
        <f t="shared" si="17"/>
        <v>protein_coding</v>
      </c>
    </row>
    <row r="416" spans="1:9" x14ac:dyDescent="0.2">
      <c r="A416" s="3" t="str">
        <f>"ENSG00000160767.21"</f>
        <v>ENSG00000160767.21</v>
      </c>
      <c r="B416" s="3">
        <v>983.82808490473894</v>
      </c>
      <c r="C416" s="3">
        <v>-1.6864492967681699</v>
      </c>
      <c r="D416" s="3">
        <v>0.21863772833945</v>
      </c>
      <c r="E416" s="3">
        <v>-7.7134413606321299</v>
      </c>
      <c r="F416" s="4">
        <v>1.2246963925108299E-14</v>
      </c>
      <c r="G416" s="4">
        <v>2.9271318076090002E-13</v>
      </c>
      <c r="H416" s="3" t="str">
        <f>"FAM189B"</f>
        <v>FAM189B</v>
      </c>
      <c r="I416" s="3" t="str">
        <f t="shared" si="17"/>
        <v>protein_coding</v>
      </c>
    </row>
    <row r="417" spans="1:9" x14ac:dyDescent="0.2">
      <c r="A417" s="3" t="str">
        <f>"ENSG00000143630.10"</f>
        <v>ENSG00000143630.10</v>
      </c>
      <c r="B417" s="3">
        <v>233.83228963397801</v>
      </c>
      <c r="C417" s="3">
        <v>-1.2846898486859299</v>
      </c>
      <c r="D417" s="3">
        <v>0.30252909560591701</v>
      </c>
      <c r="E417" s="3">
        <v>-4.2465001460864702</v>
      </c>
      <c r="F417" s="4">
        <v>2.17135638807872E-5</v>
      </c>
      <c r="G417" s="3">
        <v>1.4325168887646699E-4</v>
      </c>
      <c r="H417" s="3" t="str">
        <f>"HCN3"</f>
        <v>HCN3</v>
      </c>
      <c r="I417" s="3" t="str">
        <f t="shared" si="17"/>
        <v>protein_coding</v>
      </c>
    </row>
    <row r="418" spans="1:9" x14ac:dyDescent="0.2">
      <c r="A418" s="3" t="str">
        <f>"ENSG00000143627.19"</f>
        <v>ENSG00000143627.19</v>
      </c>
      <c r="B418" s="3">
        <v>209.91140387784299</v>
      </c>
      <c r="C418" s="3">
        <v>-2.7375140126713502</v>
      </c>
      <c r="D418" s="3">
        <v>0.33375974081537102</v>
      </c>
      <c r="E418" s="3">
        <v>-8.2020497918162096</v>
      </c>
      <c r="F418" s="4">
        <v>2.36322370422516E-16</v>
      </c>
      <c r="G418" s="4">
        <v>6.6795390320563196E-15</v>
      </c>
      <c r="H418" s="3" t="str">
        <f>"PKLR"</f>
        <v>PKLR</v>
      </c>
      <c r="I418" s="3" t="str">
        <f t="shared" si="17"/>
        <v>protein_coding</v>
      </c>
    </row>
    <row r="419" spans="1:9" x14ac:dyDescent="0.2">
      <c r="A419" s="3" t="str">
        <f>"ENSG00000160752.14"</f>
        <v>ENSG00000160752.14</v>
      </c>
      <c r="B419" s="3">
        <v>3863.0950439336202</v>
      </c>
      <c r="C419" s="3">
        <v>-2.0381184215712498</v>
      </c>
      <c r="D419" s="3">
        <v>0.23278658590557</v>
      </c>
      <c r="E419" s="3">
        <v>-8.7553087032171995</v>
      </c>
      <c r="F419" s="4">
        <v>2.0354558975434E-18</v>
      </c>
      <c r="G419" s="4">
        <v>6.8553852707496804E-17</v>
      </c>
      <c r="H419" s="3" t="str">
        <f>"FDPS"</f>
        <v>FDPS</v>
      </c>
      <c r="I419" s="3" t="str">
        <f t="shared" si="17"/>
        <v>protein_coding</v>
      </c>
    </row>
    <row r="420" spans="1:9" x14ac:dyDescent="0.2">
      <c r="A420" s="3" t="str">
        <f>"ENSG00000225855.6"</f>
        <v>ENSG00000225855.6</v>
      </c>
      <c r="B420" s="3">
        <v>145.96299386493601</v>
      </c>
      <c r="C420" s="3">
        <v>1.43672550775457</v>
      </c>
      <c r="D420" s="3">
        <v>0.34068187171425701</v>
      </c>
      <c r="E420" s="3">
        <v>4.2172056309459496</v>
      </c>
      <c r="F420" s="4">
        <v>2.47348399872464E-5</v>
      </c>
      <c r="G420" s="3">
        <v>1.61154994053683E-4</v>
      </c>
      <c r="H420" s="3" t="str">
        <f>"RUSC1-AS1"</f>
        <v>RUSC1-AS1</v>
      </c>
      <c r="I420" s="3" t="str">
        <f>"antisense"</f>
        <v>antisense</v>
      </c>
    </row>
    <row r="421" spans="1:9" x14ac:dyDescent="0.2">
      <c r="A421" s="3" t="str">
        <f>"ENSG00000203761.5"</f>
        <v>ENSG00000203761.5</v>
      </c>
      <c r="B421" s="3">
        <v>110.602172481235</v>
      </c>
      <c r="C421" s="3">
        <v>-1.35576102737277</v>
      </c>
      <c r="D421" s="3">
        <v>0.437390244551283</v>
      </c>
      <c r="E421" s="3">
        <v>-3.0996599587255198</v>
      </c>
      <c r="F421" s="3">
        <v>1.93742930441772E-3</v>
      </c>
      <c r="G421" s="3">
        <v>7.8298926516567197E-3</v>
      </c>
      <c r="H421" s="3" t="str">
        <f>"MSTO2P"</f>
        <v>MSTO2P</v>
      </c>
      <c r="I421" s="3" t="str">
        <f>"unprocessed_pseudogene"</f>
        <v>unprocessed_pseudogene</v>
      </c>
    </row>
    <row r="422" spans="1:9" x14ac:dyDescent="0.2">
      <c r="A422" s="3" t="str">
        <f>"ENSG00000132718.9"</f>
        <v>ENSG00000132718.9</v>
      </c>
      <c r="B422" s="3">
        <v>137.22492728341899</v>
      </c>
      <c r="C422" s="3">
        <v>3.9212315480943101</v>
      </c>
      <c r="D422" s="3">
        <v>0.41204260620806499</v>
      </c>
      <c r="E422" s="3">
        <v>9.5165681631337105</v>
      </c>
      <c r="F422" s="4">
        <v>1.7899256962194999E-21</v>
      </c>
      <c r="G422" s="4">
        <v>7.8157220264251402E-20</v>
      </c>
      <c r="H422" s="3" t="str">
        <f>"SYT11"</f>
        <v>SYT11</v>
      </c>
      <c r="I422" s="3" t="str">
        <f>"protein_coding"</f>
        <v>protein_coding</v>
      </c>
    </row>
    <row r="423" spans="1:9" x14ac:dyDescent="0.2">
      <c r="A423" s="3" t="str">
        <f>"ENSG00000254726.3"</f>
        <v>ENSG00000254726.3</v>
      </c>
      <c r="B423" s="3">
        <v>1260.35917222271</v>
      </c>
      <c r="C423" s="3">
        <v>-1.3427345830319</v>
      </c>
      <c r="D423" s="3">
        <v>0.25456519570833602</v>
      </c>
      <c r="E423" s="3">
        <v>-5.2746196482032701</v>
      </c>
      <c r="F423" s="4">
        <v>1.3303170308995101E-7</v>
      </c>
      <c r="G423" s="4">
        <v>1.3270238259299201E-6</v>
      </c>
      <c r="H423" s="3" t="str">
        <f>"MEX3A"</f>
        <v>MEX3A</v>
      </c>
      <c r="I423" s="3" t="str">
        <f>"protein_coding"</f>
        <v>protein_coding</v>
      </c>
    </row>
    <row r="424" spans="1:9" x14ac:dyDescent="0.2">
      <c r="A424" s="3" t="str">
        <f>"ENSG00000196189.13"</f>
        <v>ENSG00000196189.13</v>
      </c>
      <c r="B424" s="3">
        <v>31.8035242650862</v>
      </c>
      <c r="C424" s="3">
        <v>2.6445810332880701</v>
      </c>
      <c r="D424" s="3">
        <v>0.66188053798033597</v>
      </c>
      <c r="E424" s="3">
        <v>3.9955564207368202</v>
      </c>
      <c r="F424" s="4">
        <v>6.4542483160019595E-5</v>
      </c>
      <c r="G424" s="3">
        <v>3.8548641794411501E-4</v>
      </c>
      <c r="H424" s="3" t="str">
        <f>"SEMA4A"</f>
        <v>SEMA4A</v>
      </c>
      <c r="I424" s="3" t="str">
        <f>"protein_coding"</f>
        <v>protein_coding</v>
      </c>
    </row>
    <row r="425" spans="1:9" x14ac:dyDescent="0.2">
      <c r="A425" s="3" t="str">
        <f>"ENSG00000160783.19"</f>
        <v>ENSG00000160783.19</v>
      </c>
      <c r="B425" s="3">
        <v>675.06521778287595</v>
      </c>
      <c r="C425" s="3">
        <v>-1.6282735539917199</v>
      </c>
      <c r="D425" s="3">
        <v>0.26037446739504999</v>
      </c>
      <c r="E425" s="3">
        <v>-6.2535838105863002</v>
      </c>
      <c r="F425" s="4">
        <v>4.0113913348994699E-10</v>
      </c>
      <c r="G425" s="4">
        <v>5.71345424474677E-9</v>
      </c>
      <c r="H425" s="3" t="str">
        <f>"PMF1"</f>
        <v>PMF1</v>
      </c>
      <c r="I425" s="3" t="str">
        <f>"protein_coding"</f>
        <v>protein_coding</v>
      </c>
    </row>
    <row r="426" spans="1:9" x14ac:dyDescent="0.2">
      <c r="A426" s="3" t="str">
        <f>"ENSG00000237390.1"</f>
        <v>ENSG00000237390.1</v>
      </c>
      <c r="B426" s="3">
        <v>41.441150908329497</v>
      </c>
      <c r="C426" s="3">
        <v>2.0600755436759002</v>
      </c>
      <c r="D426" s="3">
        <v>0.58506507995972001</v>
      </c>
      <c r="E426" s="3">
        <v>3.5211049406977599</v>
      </c>
      <c r="F426" s="3">
        <v>4.29752505138004E-4</v>
      </c>
      <c r="G426" s="3">
        <v>2.09509152039635E-3</v>
      </c>
      <c r="H426" s="3" t="str">
        <f>"AL139130.1"</f>
        <v>AL139130.1</v>
      </c>
      <c r="I426" s="3" t="str">
        <f>"lincRNA"</f>
        <v>lincRNA</v>
      </c>
    </row>
    <row r="427" spans="1:9" x14ac:dyDescent="0.2">
      <c r="A427" s="3" t="str">
        <f>"ENSG00000187862.11"</f>
        <v>ENSG00000187862.11</v>
      </c>
      <c r="B427" s="3">
        <v>20.971756562788801</v>
      </c>
      <c r="C427" s="3">
        <v>2.5276364257966399</v>
      </c>
      <c r="D427" s="3">
        <v>0.79695984654713903</v>
      </c>
      <c r="E427" s="3">
        <v>3.1715982138218402</v>
      </c>
      <c r="F427" s="3">
        <v>1.5160259510185901E-3</v>
      </c>
      <c r="G427" s="3">
        <v>6.3393430152553099E-3</v>
      </c>
      <c r="H427" s="3" t="str">
        <f>"TTC24"</f>
        <v>TTC24</v>
      </c>
      <c r="I427" s="3" t="str">
        <f>"protein_coding"</f>
        <v>protein_coding</v>
      </c>
    </row>
    <row r="428" spans="1:9" x14ac:dyDescent="0.2">
      <c r="A428" s="3" t="str">
        <f>"ENSG00000272068.1"</f>
        <v>ENSG00000272068.1</v>
      </c>
      <c r="B428" s="3">
        <v>96.806527951888995</v>
      </c>
      <c r="C428" s="3">
        <v>2.9526963191546001</v>
      </c>
      <c r="D428" s="3">
        <v>0.42253748564764798</v>
      </c>
      <c r="E428" s="3">
        <v>6.9880103409732399</v>
      </c>
      <c r="F428" s="4">
        <v>2.7881184394006699E-12</v>
      </c>
      <c r="G428" s="4">
        <v>5.2319464957541402E-11</v>
      </c>
      <c r="H428" s="3" t="str">
        <f>"AL365181.2"</f>
        <v>AL365181.2</v>
      </c>
      <c r="I428" s="3" t="str">
        <f>"lincRNA"</f>
        <v>lincRNA</v>
      </c>
    </row>
    <row r="429" spans="1:9" x14ac:dyDescent="0.2">
      <c r="A429" s="3" t="str">
        <f>"ENSG00000272405.1"</f>
        <v>ENSG00000272405.1</v>
      </c>
      <c r="B429" s="3">
        <v>2172.2352459246099</v>
      </c>
      <c r="C429" s="3">
        <v>2.3769823806608499</v>
      </c>
      <c r="D429" s="3">
        <v>0.19029697771033999</v>
      </c>
      <c r="E429" s="3">
        <v>12.490909783543501</v>
      </c>
      <c r="F429" s="4">
        <v>8.3691095729743298E-36</v>
      </c>
      <c r="G429" s="4">
        <v>9.3074746340747595E-34</v>
      </c>
      <c r="H429" s="3" t="str">
        <f>"AL365181.3"</f>
        <v>AL365181.3</v>
      </c>
      <c r="I429" s="3" t="str">
        <f>"antisense"</f>
        <v>antisense</v>
      </c>
    </row>
    <row r="430" spans="1:9" x14ac:dyDescent="0.2">
      <c r="A430" s="3" t="str">
        <f>"ENSG00000229953.1"</f>
        <v>ENSG00000229953.1</v>
      </c>
      <c r="B430" s="3">
        <v>764.550106744358</v>
      </c>
      <c r="C430" s="3">
        <v>1.5380915306712799</v>
      </c>
      <c r="D430" s="3">
        <v>0.23237962593950401</v>
      </c>
      <c r="E430" s="3">
        <v>6.6188742857848197</v>
      </c>
      <c r="F430" s="4">
        <v>3.6194448503059902E-11</v>
      </c>
      <c r="G430" s="4">
        <v>5.9987234693605399E-10</v>
      </c>
      <c r="H430" s="3" t="str">
        <f>"AL590666.2"</f>
        <v>AL590666.2</v>
      </c>
      <c r="I430" s="3" t="str">
        <f>"antisense"</f>
        <v>antisense</v>
      </c>
    </row>
    <row r="431" spans="1:9" x14ac:dyDescent="0.2">
      <c r="A431" s="3" t="str">
        <f>"ENSG00000143320.9"</f>
        <v>ENSG00000143320.9</v>
      </c>
      <c r="B431" s="3">
        <v>34.1975726554844</v>
      </c>
      <c r="C431" s="3">
        <v>3.0789553585078702</v>
      </c>
      <c r="D431" s="3">
        <v>0.66921593057602302</v>
      </c>
      <c r="E431" s="3">
        <v>4.6008399050776996</v>
      </c>
      <c r="F431" s="4">
        <v>4.2079075657132799E-6</v>
      </c>
      <c r="G431" s="4">
        <v>3.22693097222037E-5</v>
      </c>
      <c r="H431" s="3" t="str">
        <f>"CRABP2"</f>
        <v>CRABP2</v>
      </c>
      <c r="I431" s="3" t="str">
        <f>"protein_coding"</f>
        <v>protein_coding</v>
      </c>
    </row>
    <row r="432" spans="1:9" x14ac:dyDescent="0.2">
      <c r="A432" s="3" t="str">
        <f>"ENSG00000143321.19"</f>
        <v>ENSG00000143321.19</v>
      </c>
      <c r="B432" s="3">
        <v>7341.3331631160199</v>
      </c>
      <c r="C432" s="3">
        <v>-1.0209316325698401</v>
      </c>
      <c r="D432" s="3">
        <v>0.180660627752012</v>
      </c>
      <c r="E432" s="3">
        <v>-5.6511019875965696</v>
      </c>
      <c r="F432" s="4">
        <v>1.59422462369625E-8</v>
      </c>
      <c r="G432" s="4">
        <v>1.8429290760225599E-7</v>
      </c>
      <c r="H432" s="3" t="str">
        <f>"HDGF"</f>
        <v>HDGF</v>
      </c>
      <c r="I432" s="3" t="str">
        <f>"protein_coding"</f>
        <v>protein_coding</v>
      </c>
    </row>
    <row r="433" spans="1:9" x14ac:dyDescent="0.2">
      <c r="A433" s="3" t="str">
        <f>"ENSG00000027869.11"</f>
        <v>ENSG00000027869.11</v>
      </c>
      <c r="B433" s="3">
        <v>512.78187624748898</v>
      </c>
      <c r="C433" s="3">
        <v>5.0050571954260299</v>
      </c>
      <c r="D433" s="3">
        <v>0.29033440560435603</v>
      </c>
      <c r="E433" s="3">
        <v>17.238939301759899</v>
      </c>
      <c r="F433" s="4">
        <v>1.3550018479474601E-66</v>
      </c>
      <c r="G433" s="4">
        <v>4.8578599146085001E-64</v>
      </c>
      <c r="H433" s="3" t="str">
        <f>"SH2D2A"</f>
        <v>SH2D2A</v>
      </c>
      <c r="I433" s="3" t="str">
        <f>"protein_coding"</f>
        <v>protein_coding</v>
      </c>
    </row>
    <row r="434" spans="1:9" x14ac:dyDescent="0.2">
      <c r="A434" s="3" t="str">
        <f>"ENSG00000187800.13"</f>
        <v>ENSG00000187800.13</v>
      </c>
      <c r="B434" s="3">
        <v>405.99534819373901</v>
      </c>
      <c r="C434" s="3">
        <v>3.6132092363251198</v>
      </c>
      <c r="D434" s="3">
        <v>0.26870217300518601</v>
      </c>
      <c r="E434" s="3">
        <v>13.4468925052399</v>
      </c>
      <c r="F434" s="4">
        <v>3.2108460144497902E-41</v>
      </c>
      <c r="G434" s="4">
        <v>4.7289687219304597E-39</v>
      </c>
      <c r="H434" s="3" t="str">
        <f>"PEAR1"</f>
        <v>PEAR1</v>
      </c>
      <c r="I434" s="3" t="str">
        <f>"protein_coding"</f>
        <v>protein_coding</v>
      </c>
    </row>
    <row r="435" spans="1:9" x14ac:dyDescent="0.2">
      <c r="A435" s="3" t="str">
        <f>"ENSG00000132694.18"</f>
        <v>ENSG00000132694.18</v>
      </c>
      <c r="B435" s="3">
        <v>2400.2056794632299</v>
      </c>
      <c r="C435" s="3">
        <v>-1.20725288203101</v>
      </c>
      <c r="D435" s="3">
        <v>0.186474212561582</v>
      </c>
      <c r="E435" s="3">
        <v>-6.4741009786129204</v>
      </c>
      <c r="F435" s="4">
        <v>9.5378103471251705E-11</v>
      </c>
      <c r="G435" s="4">
        <v>1.49011879889977E-9</v>
      </c>
      <c r="H435" s="3" t="str">
        <f>"ARHGEF11"</f>
        <v>ARHGEF11</v>
      </c>
      <c r="I435" s="3" t="str">
        <f>"protein_coding"</f>
        <v>protein_coding</v>
      </c>
    </row>
    <row r="436" spans="1:9" x14ac:dyDescent="0.2">
      <c r="A436" s="3" t="str">
        <f>"ENSG00000229961.3"</f>
        <v>ENSG00000229961.3</v>
      </c>
      <c r="B436" s="3">
        <v>6.4228246812479304</v>
      </c>
      <c r="C436" s="3">
        <v>6.0791384959959602</v>
      </c>
      <c r="D436" s="3">
        <v>1.91621201727102</v>
      </c>
      <c r="E436" s="3">
        <v>3.1724769708174501</v>
      </c>
      <c r="F436" s="3">
        <v>1.5114454604688099E-3</v>
      </c>
      <c r="G436" s="3">
        <v>6.3231006389365303E-3</v>
      </c>
      <c r="H436" s="3" t="str">
        <f>"AL357143.1"</f>
        <v>AL357143.1</v>
      </c>
      <c r="I436" s="3" t="str">
        <f>"transcribed_unprocessed_pseudogene"</f>
        <v>transcribed_unprocessed_pseudogene</v>
      </c>
    </row>
    <row r="437" spans="1:9" x14ac:dyDescent="0.2">
      <c r="A437" s="3" t="str">
        <f>"ENSG00000143297.19"</f>
        <v>ENSG00000143297.19</v>
      </c>
      <c r="B437" s="3">
        <v>5.9457177380145003</v>
      </c>
      <c r="C437" s="3">
        <v>5.9678110559896602</v>
      </c>
      <c r="D437" s="3">
        <v>1.9490680149737301</v>
      </c>
      <c r="E437" s="3">
        <v>3.0618793239342601</v>
      </c>
      <c r="F437" s="3">
        <v>2.1995210751093899E-3</v>
      </c>
      <c r="G437" s="3">
        <v>8.7349294175055308E-3</v>
      </c>
      <c r="H437" s="3" t="str">
        <f>"FCRL5"</f>
        <v>FCRL5</v>
      </c>
      <c r="I437" s="3" t="str">
        <f t="shared" ref="I437:I445" si="18">"protein_coding"</f>
        <v>protein_coding</v>
      </c>
    </row>
    <row r="438" spans="1:9" x14ac:dyDescent="0.2">
      <c r="A438" s="3" t="str">
        <f>"ENSG00000163564.14"</f>
        <v>ENSG00000163564.14</v>
      </c>
      <c r="B438" s="3">
        <v>24.876025677006002</v>
      </c>
      <c r="C438" s="3">
        <v>8.0298654184389502</v>
      </c>
      <c r="D438" s="3">
        <v>1.6018254979023701</v>
      </c>
      <c r="E438" s="3">
        <v>5.01294643452378</v>
      </c>
      <c r="F438" s="4">
        <v>5.3602822626938299E-7</v>
      </c>
      <c r="G438" s="4">
        <v>4.8185948799610297E-6</v>
      </c>
      <c r="H438" s="3" t="str">
        <f>"PYHIN1"</f>
        <v>PYHIN1</v>
      </c>
      <c r="I438" s="3" t="str">
        <f t="shared" si="18"/>
        <v>protein_coding</v>
      </c>
    </row>
    <row r="439" spans="1:9" x14ac:dyDescent="0.2">
      <c r="A439" s="3" t="str">
        <f>"ENSG00000163565.18"</f>
        <v>ENSG00000163565.18</v>
      </c>
      <c r="B439" s="3">
        <v>5.8702357380281196</v>
      </c>
      <c r="C439" s="3">
        <v>5.9458397538104899</v>
      </c>
      <c r="D439" s="3">
        <v>1.9746359248366601</v>
      </c>
      <c r="E439" s="3">
        <v>3.0111068471026199</v>
      </c>
      <c r="F439" s="3">
        <v>2.6029724114652701E-3</v>
      </c>
      <c r="G439" s="3">
        <v>1.0113102708568999E-2</v>
      </c>
      <c r="H439" s="3" t="str">
        <f>"IFI16"</f>
        <v>IFI16</v>
      </c>
      <c r="I439" s="3" t="str">
        <f t="shared" si="18"/>
        <v>protein_coding</v>
      </c>
    </row>
    <row r="440" spans="1:9" x14ac:dyDescent="0.2">
      <c r="A440" s="3" t="str">
        <f>"ENSG00000177807.9"</f>
        <v>ENSG00000177807.9</v>
      </c>
      <c r="B440" s="3">
        <v>722.70468776666598</v>
      </c>
      <c r="C440" s="3">
        <v>-1.4298155456438499</v>
      </c>
      <c r="D440" s="3">
        <v>0.21407388112616199</v>
      </c>
      <c r="E440" s="3">
        <v>-6.6790751777943598</v>
      </c>
      <c r="F440" s="4">
        <v>2.40454798580624E-11</v>
      </c>
      <c r="G440" s="4">
        <v>4.0643125911453297E-10</v>
      </c>
      <c r="H440" s="3" t="str">
        <f>"KCNJ10"</f>
        <v>KCNJ10</v>
      </c>
      <c r="I440" s="3" t="str">
        <f t="shared" si="18"/>
        <v>protein_coding</v>
      </c>
    </row>
    <row r="441" spans="1:9" x14ac:dyDescent="0.2">
      <c r="A441" s="3" t="str">
        <f>"ENSG00000162729.14"</f>
        <v>ENSG00000162729.14</v>
      </c>
      <c r="B441" s="3">
        <v>933.02496625734705</v>
      </c>
      <c r="C441" s="3">
        <v>-2.4265036018797699</v>
      </c>
      <c r="D441" s="3">
        <v>0.21659916773882501</v>
      </c>
      <c r="E441" s="3">
        <v>-11.2027374214367</v>
      </c>
      <c r="F441" s="4">
        <v>3.9532581602549099E-29</v>
      </c>
      <c r="G441" s="4">
        <v>2.8800648420445299E-27</v>
      </c>
      <c r="H441" s="3" t="str">
        <f>"IGSF8"</f>
        <v>IGSF8</v>
      </c>
      <c r="I441" s="3" t="str">
        <f t="shared" si="18"/>
        <v>protein_coding</v>
      </c>
    </row>
    <row r="442" spans="1:9" x14ac:dyDescent="0.2">
      <c r="A442" s="3" t="str">
        <f>"ENSG00000018625.14"</f>
        <v>ENSG00000018625.14</v>
      </c>
      <c r="B442" s="3">
        <v>143.996992959811</v>
      </c>
      <c r="C442" s="3">
        <v>-4.80541012992175</v>
      </c>
      <c r="D442" s="3">
        <v>0.44161474225108099</v>
      </c>
      <c r="E442" s="3">
        <v>-10.8814531540019</v>
      </c>
      <c r="F442" s="4">
        <v>1.41292324313206E-27</v>
      </c>
      <c r="G442" s="4">
        <v>9.3215301708521106E-26</v>
      </c>
      <c r="H442" s="3" t="str">
        <f>"ATP1A2"</f>
        <v>ATP1A2</v>
      </c>
      <c r="I442" s="3" t="str">
        <f t="shared" si="18"/>
        <v>protein_coding</v>
      </c>
    </row>
    <row r="443" spans="1:9" x14ac:dyDescent="0.2">
      <c r="A443" s="3" t="str">
        <f>"ENSG00000158764.7"</f>
        <v>ENSG00000158764.7</v>
      </c>
      <c r="B443" s="3">
        <v>9.5451446550414794</v>
      </c>
      <c r="C443" s="3">
        <v>6.6535304851587798</v>
      </c>
      <c r="D443" s="3">
        <v>1.7842009133732999</v>
      </c>
      <c r="E443" s="3">
        <v>3.7291374728529099</v>
      </c>
      <c r="F443" s="3">
        <v>1.9213631437786801E-4</v>
      </c>
      <c r="G443" s="3">
        <v>1.02750503588886E-3</v>
      </c>
      <c r="H443" s="3" t="str">
        <f>"ITLN2"</f>
        <v>ITLN2</v>
      </c>
      <c r="I443" s="3" t="str">
        <f t="shared" si="18"/>
        <v>protein_coding</v>
      </c>
    </row>
    <row r="444" spans="1:9" x14ac:dyDescent="0.2">
      <c r="A444" s="3" t="str">
        <f>"ENSG00000186517.14"</f>
        <v>ENSG00000186517.14</v>
      </c>
      <c r="B444" s="3">
        <v>75.394411824238702</v>
      </c>
      <c r="C444" s="3">
        <v>2.6194420498333</v>
      </c>
      <c r="D444" s="3">
        <v>0.46035593605828901</v>
      </c>
      <c r="E444" s="3">
        <v>5.6900364362883797</v>
      </c>
      <c r="F444" s="4">
        <v>1.2701226692947801E-8</v>
      </c>
      <c r="G444" s="4">
        <v>1.4878345816971201E-7</v>
      </c>
      <c r="H444" s="3" t="str">
        <f>"ARHGAP30"</f>
        <v>ARHGAP30</v>
      </c>
      <c r="I444" s="3" t="str">
        <f t="shared" si="18"/>
        <v>protein_coding</v>
      </c>
    </row>
    <row r="445" spans="1:9" x14ac:dyDescent="0.2">
      <c r="A445" s="3" t="str">
        <f>"ENSG00000143217.9"</f>
        <v>ENSG00000143217.9</v>
      </c>
      <c r="B445" s="3">
        <v>2916.77852855437</v>
      </c>
      <c r="C445" s="3">
        <v>3.3859448197929098</v>
      </c>
      <c r="D445" s="3">
        <v>0.21513578750288201</v>
      </c>
      <c r="E445" s="3">
        <v>15.7386405074402</v>
      </c>
      <c r="F445" s="4">
        <v>8.2190560672590096E-56</v>
      </c>
      <c r="G445" s="4">
        <v>2.03586018786006E-53</v>
      </c>
      <c r="H445" s="3" t="str">
        <f>"NECTIN4"</f>
        <v>NECTIN4</v>
      </c>
      <c r="I445" s="3" t="str">
        <f t="shared" si="18"/>
        <v>protein_coding</v>
      </c>
    </row>
    <row r="446" spans="1:9" x14ac:dyDescent="0.2">
      <c r="A446" s="3" t="str">
        <f>"ENSG00000228917.1"</f>
        <v>ENSG00000228917.1</v>
      </c>
      <c r="B446" s="3">
        <v>6.9361697292880997</v>
      </c>
      <c r="C446" s="3">
        <v>6.1893505386205003</v>
      </c>
      <c r="D446" s="3">
        <v>1.88667036612856</v>
      </c>
      <c r="E446" s="3">
        <v>3.2805680577476899</v>
      </c>
      <c r="F446" s="3">
        <v>1.0359826711025899E-3</v>
      </c>
      <c r="G446" s="3">
        <v>4.5520754458203902E-3</v>
      </c>
      <c r="H446" s="3" t="str">
        <f>"AL591806.1"</f>
        <v>AL591806.1</v>
      </c>
      <c r="I446" s="3" t="str">
        <f>"antisense"</f>
        <v>antisense</v>
      </c>
    </row>
    <row r="447" spans="1:9" x14ac:dyDescent="0.2">
      <c r="A447" s="3" t="str">
        <f>"ENSG00000158850.15"</f>
        <v>ENSG00000158850.15</v>
      </c>
      <c r="B447" s="3">
        <v>1344.80387130333</v>
      </c>
      <c r="C447" s="3">
        <v>-1.0879259433937301</v>
      </c>
      <c r="D447" s="3">
        <v>0.225231668141431</v>
      </c>
      <c r="E447" s="3">
        <v>-4.8302530118037801</v>
      </c>
      <c r="F447" s="4">
        <v>1.3635966642644301E-6</v>
      </c>
      <c r="G447" s="4">
        <v>1.1424944130139201E-5</v>
      </c>
      <c r="H447" s="3" t="str">
        <f>"B4GALT3"</f>
        <v>B4GALT3</v>
      </c>
      <c r="I447" s="3" t="str">
        <f>"protein_coding"</f>
        <v>protein_coding</v>
      </c>
    </row>
    <row r="448" spans="1:9" x14ac:dyDescent="0.2">
      <c r="A448" s="3" t="str">
        <f>"ENSG00000158859.10"</f>
        <v>ENSG00000158859.10</v>
      </c>
      <c r="B448" s="3">
        <v>187.13574100950899</v>
      </c>
      <c r="C448" s="3">
        <v>-1.02038901523659</v>
      </c>
      <c r="D448" s="3">
        <v>0.30142454916476702</v>
      </c>
      <c r="E448" s="3">
        <v>-3.38522200021213</v>
      </c>
      <c r="F448" s="3">
        <v>7.1120709420561504E-4</v>
      </c>
      <c r="G448" s="3">
        <v>3.28389420366385E-3</v>
      </c>
      <c r="H448" s="3" t="str">
        <f>"ADAMTS4"</f>
        <v>ADAMTS4</v>
      </c>
      <c r="I448" s="3" t="str">
        <f>"protein_coding"</f>
        <v>protein_coding</v>
      </c>
    </row>
    <row r="449" spans="1:9" x14ac:dyDescent="0.2">
      <c r="A449" s="3" t="str">
        <f>"ENSG00000158874.11"</f>
        <v>ENSG00000158874.11</v>
      </c>
      <c r="B449" s="3">
        <v>42742.780474279702</v>
      </c>
      <c r="C449" s="3">
        <v>-2.04709193525514</v>
      </c>
      <c r="D449" s="3">
        <v>0.22840944103257901</v>
      </c>
      <c r="E449" s="3">
        <v>-8.9623788141189795</v>
      </c>
      <c r="F449" s="4">
        <v>3.1774810751293398E-19</v>
      </c>
      <c r="G449" s="4">
        <v>1.13468973596395E-17</v>
      </c>
      <c r="H449" s="3" t="str">
        <f>"APOA2"</f>
        <v>APOA2</v>
      </c>
      <c r="I449" s="3" t="str">
        <f>"protein_coding"</f>
        <v>protein_coding</v>
      </c>
    </row>
    <row r="450" spans="1:9" x14ac:dyDescent="0.2">
      <c r="A450" s="3" t="str">
        <f>"ENSG00000248485.2"</f>
        <v>ENSG00000248485.2</v>
      </c>
      <c r="B450" s="3">
        <v>4.2214862794873804</v>
      </c>
      <c r="C450" s="3">
        <v>5.4755790109220799</v>
      </c>
      <c r="D450" s="3">
        <v>2.12353005238585</v>
      </c>
      <c r="E450" s="3">
        <v>2.5785267341849498</v>
      </c>
      <c r="F450" s="3">
        <v>9.9222621654522294E-3</v>
      </c>
      <c r="G450" s="3">
        <v>3.16053164860974E-2</v>
      </c>
      <c r="H450" s="3" t="str">
        <f>"PCP4L1"</f>
        <v>PCP4L1</v>
      </c>
      <c r="I450" s="3" t="str">
        <f>"protein_coding"</f>
        <v>protein_coding</v>
      </c>
    </row>
    <row r="451" spans="1:9" x14ac:dyDescent="0.2">
      <c r="A451" s="3" t="str">
        <f>"ENSG00000158887.16"</f>
        <v>ENSG00000158887.16</v>
      </c>
      <c r="B451" s="3">
        <v>510.25190801470001</v>
      </c>
      <c r="C451" s="3">
        <v>-2.4090354782088199</v>
      </c>
      <c r="D451" s="3">
        <v>0.23312957761651601</v>
      </c>
      <c r="E451" s="3">
        <v>-10.3334613429941</v>
      </c>
      <c r="F451" s="4">
        <v>4.9732907644059399E-25</v>
      </c>
      <c r="G451" s="4">
        <v>2.7767879806919802E-23</v>
      </c>
      <c r="H451" s="3" t="str">
        <f>"MPZ"</f>
        <v>MPZ</v>
      </c>
      <c r="I451" s="3" t="str">
        <f>"protein_coding"</f>
        <v>protein_coding</v>
      </c>
    </row>
    <row r="452" spans="1:9" x14ac:dyDescent="0.2">
      <c r="A452" s="3" t="str">
        <f>"ENSG00000283317.1"</f>
        <v>ENSG00000283317.1</v>
      </c>
      <c r="B452" s="3">
        <v>3.99804606990114</v>
      </c>
      <c r="C452" s="3">
        <v>5.3893862680552003</v>
      </c>
      <c r="D452" s="3">
        <v>2.2133155660063202</v>
      </c>
      <c r="E452" s="3">
        <v>2.4349832219269798</v>
      </c>
      <c r="F452" s="3">
        <v>1.4892480221028299E-2</v>
      </c>
      <c r="G452" s="3">
        <v>4.42744581104592E-2</v>
      </c>
      <c r="H452" s="3" t="str">
        <f>"AL831711.1"</f>
        <v>AL831711.1</v>
      </c>
      <c r="I452" s="3" t="str">
        <f>"lincRNA"</f>
        <v>lincRNA</v>
      </c>
    </row>
    <row r="453" spans="1:9" x14ac:dyDescent="0.2">
      <c r="A453" s="3" t="str">
        <f>"ENSG00000132185.16"</f>
        <v>ENSG00000132185.16</v>
      </c>
      <c r="B453" s="3">
        <v>147.30814515325901</v>
      </c>
      <c r="C453" s="3">
        <v>10.599883587687399</v>
      </c>
      <c r="D453" s="3">
        <v>1.4782547512166599</v>
      </c>
      <c r="E453" s="3">
        <v>7.17053916381004</v>
      </c>
      <c r="F453" s="4">
        <v>7.4702971156802204E-13</v>
      </c>
      <c r="G453" s="4">
        <v>1.5066112917167899E-11</v>
      </c>
      <c r="H453" s="3" t="str">
        <f>"FCRLA"</f>
        <v>FCRLA</v>
      </c>
      <c r="I453" s="3" t="str">
        <f>"protein_coding"</f>
        <v>protein_coding</v>
      </c>
    </row>
    <row r="454" spans="1:9" x14ac:dyDescent="0.2">
      <c r="A454" s="3" t="str">
        <f>"ENSG00000185630.18"</f>
        <v>ENSG00000185630.18</v>
      </c>
      <c r="B454" s="3">
        <v>12.223844636818001</v>
      </c>
      <c r="C454" s="3">
        <v>3.0847964002005899</v>
      </c>
      <c r="D454" s="3">
        <v>1.0908045099472099</v>
      </c>
      <c r="E454" s="3">
        <v>2.82800114234022</v>
      </c>
      <c r="F454" s="3">
        <v>4.6839639396013899E-3</v>
      </c>
      <c r="G454" s="3">
        <v>1.6790417769019801E-2</v>
      </c>
      <c r="H454" s="3" t="str">
        <f>"PBX1"</f>
        <v>PBX1</v>
      </c>
      <c r="I454" s="3" t="str">
        <f>"protein_coding"</f>
        <v>protein_coding</v>
      </c>
    </row>
    <row r="455" spans="1:9" x14ac:dyDescent="0.2">
      <c r="A455" s="3" t="str">
        <f>"ENSG00000143179.16"</f>
        <v>ENSG00000143179.16</v>
      </c>
      <c r="B455" s="3">
        <v>1819.30277535763</v>
      </c>
      <c r="C455" s="3">
        <v>-1.7445201490064799</v>
      </c>
      <c r="D455" s="3">
        <v>0.18955330512926499</v>
      </c>
      <c r="E455" s="3">
        <v>-9.2033222412915094</v>
      </c>
      <c r="F455" s="4">
        <v>3.4705023047087199E-20</v>
      </c>
      <c r="G455" s="4">
        <v>1.3645133664704E-18</v>
      </c>
      <c r="H455" s="3" t="str">
        <f>"UCK2"</f>
        <v>UCK2</v>
      </c>
      <c r="I455" s="3" t="str">
        <f>"protein_coding"</f>
        <v>protein_coding</v>
      </c>
    </row>
    <row r="456" spans="1:9" x14ac:dyDescent="0.2">
      <c r="A456" s="3" t="str">
        <f>"ENSG00000232148.1"</f>
        <v>ENSG00000232148.1</v>
      </c>
      <c r="B456" s="3">
        <v>3.8893317554809199</v>
      </c>
      <c r="C456" s="3">
        <v>5.35263968609567</v>
      </c>
      <c r="D456" s="3">
        <v>2.1805139762792298</v>
      </c>
      <c r="E456" s="3">
        <v>2.4547605492670499</v>
      </c>
      <c r="F456" s="3">
        <v>1.40978459500909E-2</v>
      </c>
      <c r="G456" s="3">
        <v>4.2402473628670397E-2</v>
      </c>
      <c r="H456" s="3" t="str">
        <f>"FMO11P"</f>
        <v>FMO11P</v>
      </c>
      <c r="I456" s="3" t="str">
        <f>"unprocessed_pseudogene"</f>
        <v>unprocessed_pseudogene</v>
      </c>
    </row>
    <row r="457" spans="1:9" x14ac:dyDescent="0.2">
      <c r="A457" s="3" t="str">
        <f>"ENSG00000232223.1"</f>
        <v>ENSG00000232223.1</v>
      </c>
      <c r="B457" s="3">
        <v>15.342904183456101</v>
      </c>
      <c r="C457" s="3">
        <v>7.3364615219517297</v>
      </c>
      <c r="D457" s="3">
        <v>1.6606974429969299</v>
      </c>
      <c r="E457" s="3">
        <v>4.4176990534243297</v>
      </c>
      <c r="F457" s="4">
        <v>9.9757186349944096E-6</v>
      </c>
      <c r="G457" s="4">
        <v>7.0968252127334895E-5</v>
      </c>
      <c r="H457" s="3" t="str">
        <f>"CNN2P10"</f>
        <v>CNN2P10</v>
      </c>
      <c r="I457" s="3" t="str">
        <f>"processed_pseudogene"</f>
        <v>processed_pseudogene</v>
      </c>
    </row>
    <row r="458" spans="1:9" x14ac:dyDescent="0.2">
      <c r="A458" s="3" t="str">
        <f>"ENSG00000143195.13"</f>
        <v>ENSG00000143195.13</v>
      </c>
      <c r="B458" s="3">
        <v>33.026342243936497</v>
      </c>
      <c r="C458" s="3">
        <v>4.6187809731652596</v>
      </c>
      <c r="D458" s="3">
        <v>0.873258839679383</v>
      </c>
      <c r="E458" s="3">
        <v>5.2891316563838604</v>
      </c>
      <c r="F458" s="4">
        <v>1.2289840871085701E-7</v>
      </c>
      <c r="G458" s="4">
        <v>1.2315604789057399E-6</v>
      </c>
      <c r="H458" s="3" t="str">
        <f>"ILDR2"</f>
        <v>ILDR2</v>
      </c>
      <c r="I458" s="3" t="str">
        <f t="shared" ref="I458:I468" si="19">"protein_coding"</f>
        <v>protein_coding</v>
      </c>
    </row>
    <row r="459" spans="1:9" x14ac:dyDescent="0.2">
      <c r="A459" s="3" t="str">
        <f>"ENSG00000143194.13"</f>
        <v>ENSG00000143194.13</v>
      </c>
      <c r="B459" s="3">
        <v>16.221636069936601</v>
      </c>
      <c r="C459" s="3">
        <v>7.4154196579656597</v>
      </c>
      <c r="D459" s="3">
        <v>1.6502374060516301</v>
      </c>
      <c r="E459" s="3">
        <v>4.4935471894967201</v>
      </c>
      <c r="F459" s="4">
        <v>7.0046490362251899E-6</v>
      </c>
      <c r="G459" s="4">
        <v>5.1263946357783398E-5</v>
      </c>
      <c r="H459" s="3" t="str">
        <f>"MAEL"</f>
        <v>MAEL</v>
      </c>
      <c r="I459" s="3" t="str">
        <f t="shared" si="19"/>
        <v>protein_coding</v>
      </c>
    </row>
    <row r="460" spans="1:9" x14ac:dyDescent="0.2">
      <c r="A460" s="3" t="str">
        <f>"ENSG00000143167.12"</f>
        <v>ENSG00000143167.12</v>
      </c>
      <c r="B460" s="3">
        <v>5.24817637556772</v>
      </c>
      <c r="C460" s="3">
        <v>5.7873700827091596</v>
      </c>
      <c r="D460" s="3">
        <v>2.00710138519183</v>
      </c>
      <c r="E460" s="3">
        <v>2.88344680812226</v>
      </c>
      <c r="F460" s="3">
        <v>3.9334907211268401E-3</v>
      </c>
      <c r="G460" s="3">
        <v>1.44441808192106E-2</v>
      </c>
      <c r="H460" s="3" t="str">
        <f>"GPA33"</f>
        <v>GPA33</v>
      </c>
      <c r="I460" s="3" t="str">
        <f t="shared" si="19"/>
        <v>protein_coding</v>
      </c>
    </row>
    <row r="461" spans="1:9" x14ac:dyDescent="0.2">
      <c r="A461" s="3" t="str">
        <f>"ENSG00000198771.11"</f>
        <v>ENSG00000198771.11</v>
      </c>
      <c r="B461" s="3">
        <v>5.83700342359427</v>
      </c>
      <c r="C461" s="3">
        <v>5.9436446019079803</v>
      </c>
      <c r="D461" s="3">
        <v>1.9625007119999101</v>
      </c>
      <c r="E461" s="3">
        <v>3.0286076155616</v>
      </c>
      <c r="F461" s="3">
        <v>2.4568355655680998E-3</v>
      </c>
      <c r="G461" s="3">
        <v>9.6138731373020102E-3</v>
      </c>
      <c r="H461" s="3" t="str">
        <f>"RCSD1"</f>
        <v>RCSD1</v>
      </c>
      <c r="I461" s="3" t="str">
        <f t="shared" si="19"/>
        <v>protein_coding</v>
      </c>
    </row>
    <row r="462" spans="1:9" x14ac:dyDescent="0.2">
      <c r="A462" s="3" t="str">
        <f>"ENSG00000197965.12"</f>
        <v>ENSG00000197965.12</v>
      </c>
      <c r="B462" s="3">
        <v>2139.2099499096798</v>
      </c>
      <c r="C462" s="3">
        <v>-1.51061267310224</v>
      </c>
      <c r="D462" s="3">
        <v>0.18347665213272399</v>
      </c>
      <c r="E462" s="3">
        <v>-8.23326922277551</v>
      </c>
      <c r="F462" s="4">
        <v>1.8217214877804999E-16</v>
      </c>
      <c r="G462" s="4">
        <v>5.1812573463001404E-15</v>
      </c>
      <c r="H462" s="3" t="str">
        <f>"MPZL1"</f>
        <v>MPZL1</v>
      </c>
      <c r="I462" s="3" t="str">
        <f t="shared" si="19"/>
        <v>protein_coding</v>
      </c>
    </row>
    <row r="463" spans="1:9" x14ac:dyDescent="0.2">
      <c r="A463" s="3" t="str">
        <f>"ENSG00000143158.11"</f>
        <v>ENSG00000143158.11</v>
      </c>
      <c r="B463" s="3">
        <v>879.980257466936</v>
      </c>
      <c r="C463" s="3">
        <v>-1.65399924906133</v>
      </c>
      <c r="D463" s="3">
        <v>0.21361690641171199</v>
      </c>
      <c r="E463" s="3">
        <v>-7.7428293333371103</v>
      </c>
      <c r="F463" s="4">
        <v>9.7228514023723599E-15</v>
      </c>
      <c r="G463" s="4">
        <v>2.3444117890304398E-13</v>
      </c>
      <c r="H463" s="3" t="str">
        <f>"MPC2"</f>
        <v>MPC2</v>
      </c>
      <c r="I463" s="3" t="str">
        <f t="shared" si="19"/>
        <v>protein_coding</v>
      </c>
    </row>
    <row r="464" spans="1:9" x14ac:dyDescent="0.2">
      <c r="A464" s="3" t="str">
        <f>"ENSG00000117479.14"</f>
        <v>ENSG00000117479.14</v>
      </c>
      <c r="B464" s="3">
        <v>1782.4458049325301</v>
      </c>
      <c r="C464" s="3">
        <v>-1.3497953833662399</v>
      </c>
      <c r="D464" s="3">
        <v>0.19834724725960801</v>
      </c>
      <c r="E464" s="3">
        <v>-6.8052135939126703</v>
      </c>
      <c r="F464" s="4">
        <v>1.00899422443144E-11</v>
      </c>
      <c r="G464" s="4">
        <v>1.78519906708335E-10</v>
      </c>
      <c r="H464" s="3" t="str">
        <f>"SLC19A2"</f>
        <v>SLC19A2</v>
      </c>
      <c r="I464" s="3" t="str">
        <f t="shared" si="19"/>
        <v>protein_coding</v>
      </c>
    </row>
    <row r="465" spans="1:9" x14ac:dyDescent="0.2">
      <c r="A465" s="3" t="str">
        <f>"ENSG00000198734.10"</f>
        <v>ENSG00000198734.10</v>
      </c>
      <c r="B465" s="3">
        <v>9440.0967815511103</v>
      </c>
      <c r="C465" s="3">
        <v>1.1762733421534699</v>
      </c>
      <c r="D465" s="3">
        <v>0.17396881691176999</v>
      </c>
      <c r="E465" s="3">
        <v>6.7614033539701897</v>
      </c>
      <c r="F465" s="4">
        <v>1.3666146658841599E-11</v>
      </c>
      <c r="G465" s="4">
        <v>2.3641999873870399E-10</v>
      </c>
      <c r="H465" s="3" t="str">
        <f>"F5"</f>
        <v>F5</v>
      </c>
      <c r="I465" s="3" t="str">
        <f t="shared" si="19"/>
        <v>protein_coding</v>
      </c>
    </row>
    <row r="466" spans="1:9" x14ac:dyDescent="0.2">
      <c r="A466" s="3" t="str">
        <f>"ENSG00000174175.17"</f>
        <v>ENSG00000174175.17</v>
      </c>
      <c r="B466" s="3">
        <v>17.55012963591</v>
      </c>
      <c r="C466" s="3">
        <v>6.0640887043370002</v>
      </c>
      <c r="D466" s="3">
        <v>1.6249464255333499</v>
      </c>
      <c r="E466" s="3">
        <v>3.7318699306326999</v>
      </c>
      <c r="F466" s="3">
        <v>1.9006363843152799E-4</v>
      </c>
      <c r="G466" s="3">
        <v>1.0176191700420199E-3</v>
      </c>
      <c r="H466" s="3" t="str">
        <f>"SELP"</f>
        <v>SELP</v>
      </c>
      <c r="I466" s="3" t="str">
        <f t="shared" si="19"/>
        <v>protein_coding</v>
      </c>
    </row>
    <row r="467" spans="1:9" x14ac:dyDescent="0.2">
      <c r="A467" s="3" t="str">
        <f>"ENSG00000197959.14"</f>
        <v>ENSG00000197959.14</v>
      </c>
      <c r="B467" s="3">
        <v>16.644058062366501</v>
      </c>
      <c r="C467" s="3">
        <v>2.6123031978350699</v>
      </c>
      <c r="D467" s="3">
        <v>0.96506306127837804</v>
      </c>
      <c r="E467" s="3">
        <v>2.7068730559168501</v>
      </c>
      <c r="F467" s="3">
        <v>6.7920223375905198E-3</v>
      </c>
      <c r="G467" s="3">
        <v>2.2989097221407299E-2</v>
      </c>
      <c r="H467" s="3" t="str">
        <f>"DNM3"</f>
        <v>DNM3</v>
      </c>
      <c r="I467" s="3" t="str">
        <f t="shared" si="19"/>
        <v>protein_coding</v>
      </c>
    </row>
    <row r="468" spans="1:9" x14ac:dyDescent="0.2">
      <c r="A468" s="3" t="str">
        <f>"ENSG00000117586.11"</f>
        <v>ENSG00000117586.11</v>
      </c>
      <c r="B468" s="3">
        <v>675.35798520002197</v>
      </c>
      <c r="C468" s="3">
        <v>3.4079809349454702</v>
      </c>
      <c r="D468" s="3">
        <v>0.233397805785829</v>
      </c>
      <c r="E468" s="3">
        <v>14.6015980033365</v>
      </c>
      <c r="F468" s="4">
        <v>2.7433875556617601E-48</v>
      </c>
      <c r="G468" s="4">
        <v>5.0506135627781001E-46</v>
      </c>
      <c r="H468" s="3" t="str">
        <f>"TNFSF4"</f>
        <v>TNFSF4</v>
      </c>
      <c r="I468" s="3" t="str">
        <f t="shared" si="19"/>
        <v>protein_coding</v>
      </c>
    </row>
    <row r="469" spans="1:9" x14ac:dyDescent="0.2">
      <c r="A469" s="3" t="str">
        <f>"ENSG00000203739.3"</f>
        <v>ENSG00000203739.3</v>
      </c>
      <c r="B469" s="3">
        <v>137.89887015311601</v>
      </c>
      <c r="C469" s="3">
        <v>-1.6502669450854499</v>
      </c>
      <c r="D469" s="3">
        <v>0.34229777084475099</v>
      </c>
      <c r="E469" s="3">
        <v>-4.8211442949592902</v>
      </c>
      <c r="F469" s="4">
        <v>1.4273705859203199E-6</v>
      </c>
      <c r="G469" s="4">
        <v>1.19007240987059E-5</v>
      </c>
      <c r="H469" s="3" t="str">
        <f>"AL645568.1"</f>
        <v>AL645568.1</v>
      </c>
      <c r="I469" s="3" t="str">
        <f>"antisense"</f>
        <v>antisense</v>
      </c>
    </row>
    <row r="470" spans="1:9" x14ac:dyDescent="0.2">
      <c r="A470" s="3" t="str">
        <f>"ENSG00000117601.13"</f>
        <v>ENSG00000117601.13</v>
      </c>
      <c r="B470" s="3">
        <v>408.98164575108802</v>
      </c>
      <c r="C470" s="3">
        <v>-1.5424990438417601</v>
      </c>
      <c r="D470" s="3">
        <v>0.26575908762904599</v>
      </c>
      <c r="E470" s="3">
        <v>-5.8041252986043501</v>
      </c>
      <c r="F470" s="4">
        <v>6.4702879703594098E-9</v>
      </c>
      <c r="G470" s="4">
        <v>7.8844336461709694E-8</v>
      </c>
      <c r="H470" s="3" t="str">
        <f>"SERPINC1"</f>
        <v>SERPINC1</v>
      </c>
      <c r="I470" s="3" t="str">
        <f>"protein_coding"</f>
        <v>protein_coding</v>
      </c>
    </row>
    <row r="471" spans="1:9" x14ac:dyDescent="0.2">
      <c r="A471" s="3" t="str">
        <f>"ENSG00000116183.11"</f>
        <v>ENSG00000116183.11</v>
      </c>
      <c r="B471" s="3">
        <v>16.423493536423099</v>
      </c>
      <c r="C471" s="3">
        <v>4.3281606374810604</v>
      </c>
      <c r="D471" s="3">
        <v>1.1588738393418001</v>
      </c>
      <c r="E471" s="3">
        <v>3.7347988111797199</v>
      </c>
      <c r="F471" s="3">
        <v>1.87865312627777E-4</v>
      </c>
      <c r="G471" s="3">
        <v>1.0078295280899899E-3</v>
      </c>
      <c r="H471" s="3" t="str">
        <f>"PAPPA2"</f>
        <v>PAPPA2</v>
      </c>
      <c r="I471" s="3" t="str">
        <f>"protein_coding"</f>
        <v>protein_coding</v>
      </c>
    </row>
    <row r="472" spans="1:9" x14ac:dyDescent="0.2">
      <c r="A472" s="3" t="str">
        <f>"ENSG00000152092.16"</f>
        <v>ENSG00000152092.16</v>
      </c>
      <c r="B472" s="3">
        <v>7.7758256195514699</v>
      </c>
      <c r="C472" s="3">
        <v>4.8641152818390303</v>
      </c>
      <c r="D472" s="3">
        <v>1.8314780453770101</v>
      </c>
      <c r="E472" s="3">
        <v>2.65584143589215</v>
      </c>
      <c r="F472" s="3">
        <v>7.9110802726616702E-3</v>
      </c>
      <c r="G472" s="3">
        <v>2.61403352157667E-2</v>
      </c>
      <c r="H472" s="3" t="str">
        <f>"ASTN1"</f>
        <v>ASTN1</v>
      </c>
      <c r="I472" s="3" t="str">
        <f>"protein_coding"</f>
        <v>protein_coding</v>
      </c>
    </row>
    <row r="473" spans="1:9" x14ac:dyDescent="0.2">
      <c r="A473" s="3" t="str">
        <f>"ENSG00000188585.9"</f>
        <v>ENSG00000188585.9</v>
      </c>
      <c r="B473" s="3">
        <v>4.8103133275139296</v>
      </c>
      <c r="C473" s="3">
        <v>5.6669478024759599</v>
      </c>
      <c r="D473" s="3">
        <v>2.07746699132823</v>
      </c>
      <c r="E473" s="3">
        <v>2.72781605008934</v>
      </c>
      <c r="F473" s="3">
        <v>6.3755150062626597E-3</v>
      </c>
      <c r="G473" s="3">
        <v>2.17877407971452E-2</v>
      </c>
      <c r="H473" s="3" t="str">
        <f>"CLEC20A"</f>
        <v>CLEC20A</v>
      </c>
      <c r="I473" s="3" t="str">
        <f>"protein_coding"</f>
        <v>protein_coding</v>
      </c>
    </row>
    <row r="474" spans="1:9" x14ac:dyDescent="0.2">
      <c r="A474" s="3" t="str">
        <f>"ENSG00000213057.5"</f>
        <v>ENSG00000213057.5</v>
      </c>
      <c r="B474" s="3">
        <v>94.851841032569297</v>
      </c>
      <c r="C474" s="3">
        <v>-1.38978298017603</v>
      </c>
      <c r="D474" s="3">
        <v>0.38076793293694999</v>
      </c>
      <c r="E474" s="3">
        <v>-3.6499475401100998</v>
      </c>
      <c r="F474" s="3">
        <v>2.62293871841572E-4</v>
      </c>
      <c r="G474" s="3">
        <v>1.3520092936184799E-3</v>
      </c>
      <c r="H474" s="3" t="str">
        <f>"C1orf220"</f>
        <v>C1orf220</v>
      </c>
      <c r="I474" s="3" t="str">
        <f>"lincRNA"</f>
        <v>lincRNA</v>
      </c>
    </row>
    <row r="475" spans="1:9" x14ac:dyDescent="0.2">
      <c r="A475" s="3" t="str">
        <f>"ENSG00000116191.17"</f>
        <v>ENSG00000116191.17</v>
      </c>
      <c r="B475" s="3">
        <v>1328.32044285593</v>
      </c>
      <c r="C475" s="3">
        <v>-1.0045888799189799</v>
      </c>
      <c r="D475" s="3">
        <v>0.20815333812599399</v>
      </c>
      <c r="E475" s="3">
        <v>-4.8261963462287101</v>
      </c>
      <c r="F475" s="4">
        <v>1.39165312901758E-6</v>
      </c>
      <c r="G475" s="4">
        <v>1.1649269679367701E-5</v>
      </c>
      <c r="H475" s="3" t="str">
        <f>"RALGPS2"</f>
        <v>RALGPS2</v>
      </c>
      <c r="I475" s="3" t="str">
        <f>"protein_coding"</f>
        <v>protein_coding</v>
      </c>
    </row>
    <row r="476" spans="1:9" x14ac:dyDescent="0.2">
      <c r="A476" s="3" t="str">
        <f>"ENSG00000116194.13"</f>
        <v>ENSG00000116194.13</v>
      </c>
      <c r="B476" s="3">
        <v>115.504501694067</v>
      </c>
      <c r="C476" s="3">
        <v>-2.2824535630523699</v>
      </c>
      <c r="D476" s="3">
        <v>0.37933176795412599</v>
      </c>
      <c r="E476" s="3">
        <v>-6.01703773813216</v>
      </c>
      <c r="F476" s="4">
        <v>1.7763768053875401E-9</v>
      </c>
      <c r="G476" s="4">
        <v>2.3258500152039601E-8</v>
      </c>
      <c r="H476" s="3" t="str">
        <f>"ANGPTL1"</f>
        <v>ANGPTL1</v>
      </c>
      <c r="I476" s="3" t="str">
        <f>"protein_coding"</f>
        <v>protein_coding</v>
      </c>
    </row>
    <row r="477" spans="1:9" x14ac:dyDescent="0.2">
      <c r="A477" s="3" t="str">
        <f>"ENSG00000162779.22"</f>
        <v>ENSG00000162779.22</v>
      </c>
      <c r="B477" s="3">
        <v>25.50089557063</v>
      </c>
      <c r="C477" s="3">
        <v>2.06179790216237</v>
      </c>
      <c r="D477" s="3">
        <v>0.75486580603120501</v>
      </c>
      <c r="E477" s="3">
        <v>2.7313436185466</v>
      </c>
      <c r="F477" s="3">
        <v>6.3076667934110903E-3</v>
      </c>
      <c r="G477" s="3">
        <v>2.15965062980739E-2</v>
      </c>
      <c r="H477" s="3" t="str">
        <f>"AXDND1"</f>
        <v>AXDND1</v>
      </c>
      <c r="I477" s="3" t="str">
        <f>"protein_coding"</f>
        <v>protein_coding</v>
      </c>
    </row>
    <row r="478" spans="1:9" x14ac:dyDescent="0.2">
      <c r="A478" s="3" t="str">
        <f>"ENSG00000143337.18"</f>
        <v>ENSG00000143337.18</v>
      </c>
      <c r="B478" s="3">
        <v>1211.3822206902901</v>
      </c>
      <c r="C478" s="3">
        <v>-1.14340406859774</v>
      </c>
      <c r="D478" s="3">
        <v>0.20520429033139401</v>
      </c>
      <c r="E478" s="3">
        <v>-5.5720280835805402</v>
      </c>
      <c r="F478" s="4">
        <v>2.51790819354546E-8</v>
      </c>
      <c r="G478" s="4">
        <v>2.8325947378007103E-7</v>
      </c>
      <c r="H478" s="3" t="str">
        <f>"TOR1AIP1"</f>
        <v>TOR1AIP1</v>
      </c>
      <c r="I478" s="3" t="str">
        <f>"protein_coding"</f>
        <v>protein_coding</v>
      </c>
    </row>
    <row r="479" spans="1:9" x14ac:dyDescent="0.2">
      <c r="A479" s="3" t="str">
        <f>"ENSG00000116260.17"</f>
        <v>ENSG00000116260.17</v>
      </c>
      <c r="B479" s="3">
        <v>308.31054445023602</v>
      </c>
      <c r="C479" s="3">
        <v>-1.1466023882674099</v>
      </c>
      <c r="D479" s="3">
        <v>0.26401685346734999</v>
      </c>
      <c r="E479" s="3">
        <v>-4.3429136178581498</v>
      </c>
      <c r="F479" s="4">
        <v>1.4060542972385199E-5</v>
      </c>
      <c r="G479" s="4">
        <v>9.6695510946133095E-5</v>
      </c>
      <c r="H479" s="3" t="str">
        <f>"QSOX1"</f>
        <v>QSOX1</v>
      </c>
      <c r="I479" s="3" t="str">
        <f>"protein_coding"</f>
        <v>protein_coding</v>
      </c>
    </row>
    <row r="480" spans="1:9" x14ac:dyDescent="0.2">
      <c r="A480" s="3" t="str">
        <f>"ENSG00000236719.3"</f>
        <v>ENSG00000236719.3</v>
      </c>
      <c r="B480" s="3">
        <v>9.2492282358417608</v>
      </c>
      <c r="C480" s="3">
        <v>6.6056718306533204</v>
      </c>
      <c r="D480" s="3">
        <v>1.78563747247767</v>
      </c>
      <c r="E480" s="3">
        <v>3.6993353536021001</v>
      </c>
      <c r="F480" s="3">
        <v>2.1616481913639101E-4</v>
      </c>
      <c r="G480" s="3">
        <v>1.14077916463476E-3</v>
      </c>
      <c r="H480" s="3" t="str">
        <f>"OVAAL"</f>
        <v>OVAAL</v>
      </c>
      <c r="I480" s="3" t="str">
        <f>"lincRNA"</f>
        <v>lincRNA</v>
      </c>
    </row>
    <row r="481" spans="1:9" x14ac:dyDescent="0.2">
      <c r="A481" s="3" t="str">
        <f>"ENSG00000135823.14"</f>
        <v>ENSG00000135823.14</v>
      </c>
      <c r="B481" s="3">
        <v>2447.2900060380398</v>
      </c>
      <c r="C481" s="3">
        <v>1.5210606633775099</v>
      </c>
      <c r="D481" s="3">
        <v>0.17907307276197501</v>
      </c>
      <c r="E481" s="3">
        <v>8.4940780873253399</v>
      </c>
      <c r="F481" s="4">
        <v>1.99510145683133E-17</v>
      </c>
      <c r="G481" s="4">
        <v>6.1843605681778596E-16</v>
      </c>
      <c r="H481" s="3" t="str">
        <f>"STX6"</f>
        <v>STX6</v>
      </c>
      <c r="I481" s="3" t="str">
        <f>"protein_coding"</f>
        <v>protein_coding</v>
      </c>
    </row>
    <row r="482" spans="1:9" x14ac:dyDescent="0.2">
      <c r="A482" s="3" t="str">
        <f>"ENSG00000153029.14"</f>
        <v>ENSG00000153029.14</v>
      </c>
      <c r="B482" s="3">
        <v>2883.4861559780102</v>
      </c>
      <c r="C482" s="3">
        <v>6.0331477837830301</v>
      </c>
      <c r="D482" s="3">
        <v>0.21421608439804701</v>
      </c>
      <c r="E482" s="3">
        <v>28.163841201450101</v>
      </c>
      <c r="F482" s="4">
        <v>1.6221355563694399E-174</v>
      </c>
      <c r="G482" s="4">
        <v>1.47327758347994E-170</v>
      </c>
      <c r="H482" s="3" t="str">
        <f>"MR1"</f>
        <v>MR1</v>
      </c>
      <c r="I482" s="3" t="str">
        <f>"protein_coding"</f>
        <v>protein_coding</v>
      </c>
    </row>
    <row r="483" spans="1:9" x14ac:dyDescent="0.2">
      <c r="A483" s="3" t="str">
        <f>"ENSG00000198216.12"</f>
        <v>ENSG00000198216.12</v>
      </c>
      <c r="B483" s="3">
        <v>17.5774748996505</v>
      </c>
      <c r="C483" s="3">
        <v>7.5300668427267397</v>
      </c>
      <c r="D483" s="3">
        <v>1.64039573160332</v>
      </c>
      <c r="E483" s="3">
        <v>4.5903965108265998</v>
      </c>
      <c r="F483" s="4">
        <v>4.4240476913213497E-6</v>
      </c>
      <c r="G483" s="4">
        <v>3.3774734504184097E-5</v>
      </c>
      <c r="H483" s="3" t="str">
        <f>"CACNA1E"</f>
        <v>CACNA1E</v>
      </c>
      <c r="I483" s="3" t="str">
        <f>"protein_coding"</f>
        <v>protein_coding</v>
      </c>
    </row>
    <row r="484" spans="1:9" x14ac:dyDescent="0.2">
      <c r="A484" s="3" t="str">
        <f>"ENSG00000228918.3"</f>
        <v>ENSG00000228918.3</v>
      </c>
      <c r="B484" s="3">
        <v>6.6736535234847496</v>
      </c>
      <c r="C484" s="3">
        <v>4.6337144138634097</v>
      </c>
      <c r="D484" s="3">
        <v>1.9083363322424101</v>
      </c>
      <c r="E484" s="3">
        <v>2.4281434753267499</v>
      </c>
      <c r="F484" s="3">
        <v>1.5176338196587501E-2</v>
      </c>
      <c r="G484" s="3">
        <v>4.4976037289799903E-2</v>
      </c>
      <c r="H484" s="3" t="str">
        <f>"LINC01344"</f>
        <v>LINC01344</v>
      </c>
      <c r="I484" s="3" t="str">
        <f>"lincRNA"</f>
        <v>lincRNA</v>
      </c>
    </row>
    <row r="485" spans="1:9" x14ac:dyDescent="0.2">
      <c r="A485" s="3" t="str">
        <f>"ENSG00000121446.20"</f>
        <v>ENSG00000121446.20</v>
      </c>
      <c r="B485" s="3">
        <v>8.03834182535482</v>
      </c>
      <c r="C485" s="3">
        <v>6.4036527535552104</v>
      </c>
      <c r="D485" s="3">
        <v>1.83147432600908</v>
      </c>
      <c r="E485" s="3">
        <v>3.4964469130775302</v>
      </c>
      <c r="F485" s="3">
        <v>4.7149830009777702E-4</v>
      </c>
      <c r="G485" s="3">
        <v>2.27419263281362E-3</v>
      </c>
      <c r="H485" s="3" t="str">
        <f>"RGSL1"</f>
        <v>RGSL1</v>
      </c>
      <c r="I485" s="3" t="str">
        <f t="shared" ref="I485:I494" si="20">"protein_coding"</f>
        <v>protein_coding</v>
      </c>
    </row>
    <row r="486" spans="1:9" x14ac:dyDescent="0.2">
      <c r="A486" s="3" t="str">
        <f>"ENSG00000135824.12"</f>
        <v>ENSG00000135824.12</v>
      </c>
      <c r="B486" s="3">
        <v>5.4293668996014297</v>
      </c>
      <c r="C486" s="3">
        <v>5.8322105786942098</v>
      </c>
      <c r="D486" s="3">
        <v>2.0243950943545901</v>
      </c>
      <c r="E486" s="3">
        <v>2.8809645878704302</v>
      </c>
      <c r="F486" s="3">
        <v>3.9646018122070003E-3</v>
      </c>
      <c r="G486" s="3">
        <v>1.45368733114257E-2</v>
      </c>
      <c r="H486" s="3" t="str">
        <f>"RGS8"</f>
        <v>RGS8</v>
      </c>
      <c r="I486" s="3" t="str">
        <f t="shared" si="20"/>
        <v>protein_coding</v>
      </c>
    </row>
    <row r="487" spans="1:9" x14ac:dyDescent="0.2">
      <c r="A487" s="3" t="str">
        <f>"ENSG00000135838.13"</f>
        <v>ENSG00000135838.13</v>
      </c>
      <c r="B487" s="3">
        <v>14.3977132447855</v>
      </c>
      <c r="C487" s="3">
        <v>2.7950698850193101</v>
      </c>
      <c r="D487" s="3">
        <v>0.99216603983030005</v>
      </c>
      <c r="E487" s="3">
        <v>2.8171392416307399</v>
      </c>
      <c r="F487" s="3">
        <v>4.8453514303882896E-3</v>
      </c>
      <c r="G487" s="3">
        <v>1.72757511677296E-2</v>
      </c>
      <c r="H487" s="3" t="str">
        <f>"NPL"</f>
        <v>NPL</v>
      </c>
      <c r="I487" s="3" t="str">
        <f t="shared" si="20"/>
        <v>protein_coding</v>
      </c>
    </row>
    <row r="488" spans="1:9" x14ac:dyDescent="0.2">
      <c r="A488" s="3" t="str">
        <f>"ENSG00000058085.14"</f>
        <v>ENSG00000058085.14</v>
      </c>
      <c r="B488" s="3">
        <v>12.081518841128901</v>
      </c>
      <c r="C488" s="3">
        <v>5.5151314596374297</v>
      </c>
      <c r="D488" s="3">
        <v>1.69852019046753</v>
      </c>
      <c r="E488" s="3">
        <v>3.2470214311196099</v>
      </c>
      <c r="F488" s="3">
        <v>1.1661960795502401E-3</v>
      </c>
      <c r="G488" s="3">
        <v>5.0501183374929096E-3</v>
      </c>
      <c r="H488" s="3" t="str">
        <f>"LAMC2"</f>
        <v>LAMC2</v>
      </c>
      <c r="I488" s="3" t="str">
        <f t="shared" si="20"/>
        <v>protein_coding</v>
      </c>
    </row>
    <row r="489" spans="1:9" x14ac:dyDescent="0.2">
      <c r="A489" s="3" t="str">
        <f>"ENSG00000157064.11"</f>
        <v>ENSG00000157064.11</v>
      </c>
      <c r="B489" s="3">
        <v>12.809411257689099</v>
      </c>
      <c r="C489" s="3">
        <v>7.0754431621666098</v>
      </c>
      <c r="D489" s="3">
        <v>1.69865950905401</v>
      </c>
      <c r="E489" s="3">
        <v>4.1653098366411001</v>
      </c>
      <c r="F489" s="4">
        <v>3.1093000257030598E-5</v>
      </c>
      <c r="G489" s="3">
        <v>1.9845185711016899E-4</v>
      </c>
      <c r="H489" s="3" t="str">
        <f>"NMNAT2"</f>
        <v>NMNAT2</v>
      </c>
      <c r="I489" s="3" t="str">
        <f t="shared" si="20"/>
        <v>protein_coding</v>
      </c>
    </row>
    <row r="490" spans="1:9" x14ac:dyDescent="0.2">
      <c r="A490" s="3" t="str">
        <f>"ENSG00000143344.15"</f>
        <v>ENSG00000143344.15</v>
      </c>
      <c r="B490" s="3">
        <v>2334.39320091226</v>
      </c>
      <c r="C490" s="3">
        <v>1.38195232844797</v>
      </c>
      <c r="D490" s="3">
        <v>0.192938053012156</v>
      </c>
      <c r="E490" s="3">
        <v>7.16267375394788</v>
      </c>
      <c r="F490" s="4">
        <v>7.9118488735047202E-13</v>
      </c>
      <c r="G490" s="4">
        <v>1.5862703918792E-11</v>
      </c>
      <c r="H490" s="3" t="str">
        <f>"RGL1"</f>
        <v>RGL1</v>
      </c>
      <c r="I490" s="3" t="str">
        <f t="shared" si="20"/>
        <v>protein_coding</v>
      </c>
    </row>
    <row r="491" spans="1:9" x14ac:dyDescent="0.2">
      <c r="A491" s="3" t="str">
        <f>"ENSG00000198756.12"</f>
        <v>ENSG00000198756.12</v>
      </c>
      <c r="B491" s="3">
        <v>730.55201962191597</v>
      </c>
      <c r="C491" s="3">
        <v>-1.62231033715502</v>
      </c>
      <c r="D491" s="3">
        <v>0.228140883714822</v>
      </c>
      <c r="E491" s="3">
        <v>-7.1110022488688198</v>
      </c>
      <c r="F491" s="4">
        <v>1.15203262572753E-12</v>
      </c>
      <c r="G491" s="4">
        <v>2.2598583839595499E-11</v>
      </c>
      <c r="H491" s="3" t="str">
        <f>"COLGALT2"</f>
        <v>COLGALT2</v>
      </c>
      <c r="I491" s="3" t="str">
        <f t="shared" si="20"/>
        <v>protein_coding</v>
      </c>
    </row>
    <row r="492" spans="1:9" x14ac:dyDescent="0.2">
      <c r="A492" s="3" t="str">
        <f>"ENSG00000198860.12"</f>
        <v>ENSG00000198860.12</v>
      </c>
      <c r="B492" s="3">
        <v>802.151587531313</v>
      </c>
      <c r="C492" s="3">
        <v>-1.83975169198958</v>
      </c>
      <c r="D492" s="3">
        <v>0.25280739934128499</v>
      </c>
      <c r="E492" s="3">
        <v>-7.2772857787519003</v>
      </c>
      <c r="F492" s="4">
        <v>3.4060324527238501E-13</v>
      </c>
      <c r="G492" s="4">
        <v>7.1608152962474401E-12</v>
      </c>
      <c r="H492" s="3" t="str">
        <f>"TSEN15"</f>
        <v>TSEN15</v>
      </c>
      <c r="I492" s="3" t="str">
        <f t="shared" si="20"/>
        <v>protein_coding</v>
      </c>
    </row>
    <row r="493" spans="1:9" x14ac:dyDescent="0.2">
      <c r="A493" s="3" t="str">
        <f>"ENSG00000135842.17"</f>
        <v>ENSG00000135842.17</v>
      </c>
      <c r="B493" s="3">
        <v>18.1987863604264</v>
      </c>
      <c r="C493" s="3">
        <v>3.1706874315906801</v>
      </c>
      <c r="D493" s="3">
        <v>0.94708602130876895</v>
      </c>
      <c r="E493" s="3">
        <v>3.3478346847619398</v>
      </c>
      <c r="F493" s="3">
        <v>8.1445579030315002E-4</v>
      </c>
      <c r="G493" s="3">
        <v>3.68812978533986E-3</v>
      </c>
      <c r="H493" s="3" t="str">
        <f>"FAM129A"</f>
        <v>FAM129A</v>
      </c>
      <c r="I493" s="3" t="str">
        <f t="shared" si="20"/>
        <v>protein_coding</v>
      </c>
    </row>
    <row r="494" spans="1:9" x14ac:dyDescent="0.2">
      <c r="A494" s="3" t="str">
        <f>"ENSG00000116668.13"</f>
        <v>ENSG00000116668.13</v>
      </c>
      <c r="B494" s="3">
        <v>259.63311035831498</v>
      </c>
      <c r="C494" s="3">
        <v>1.0224696586889901</v>
      </c>
      <c r="D494" s="3">
        <v>0.32591248044629201</v>
      </c>
      <c r="E494" s="3">
        <v>3.1372522380513401</v>
      </c>
      <c r="F494" s="3">
        <v>1.7053934175164901E-3</v>
      </c>
      <c r="G494" s="3">
        <v>7.04152936652719E-3</v>
      </c>
      <c r="H494" s="3" t="str">
        <f>"SWT1"</f>
        <v>SWT1</v>
      </c>
      <c r="I494" s="3" t="str">
        <f t="shared" si="20"/>
        <v>protein_coding</v>
      </c>
    </row>
    <row r="495" spans="1:9" x14ac:dyDescent="0.2">
      <c r="A495" s="3" t="str">
        <f>"ENSG00000273004.1"</f>
        <v>ENSG00000273004.1</v>
      </c>
      <c r="B495" s="3">
        <v>58.369199384042503</v>
      </c>
      <c r="C495" s="3">
        <v>-1.49175215774567</v>
      </c>
      <c r="D495" s="3">
        <v>0.50321104723695997</v>
      </c>
      <c r="E495" s="3">
        <v>-2.9644662332764899</v>
      </c>
      <c r="F495" s="3">
        <v>3.0320851701381699E-3</v>
      </c>
      <c r="G495" s="3">
        <v>1.1564281163319499E-2</v>
      </c>
      <c r="H495" s="3" t="str">
        <f>"AL078644.2"</f>
        <v>AL078644.2</v>
      </c>
      <c r="I495" s="3" t="str">
        <f>"lincRNA"</f>
        <v>lincRNA</v>
      </c>
    </row>
    <row r="496" spans="1:9" x14ac:dyDescent="0.2">
      <c r="A496" s="3" t="str">
        <f>"ENSG00000143341.12"</f>
        <v>ENSG00000143341.12</v>
      </c>
      <c r="B496" s="3">
        <v>36.268982734574401</v>
      </c>
      <c r="C496" s="3">
        <v>4.4808040259653303</v>
      </c>
      <c r="D496" s="3">
        <v>0.82248050185682897</v>
      </c>
      <c r="E496" s="3">
        <v>5.4479151978064904</v>
      </c>
      <c r="F496" s="4">
        <v>5.0963644835351997E-8</v>
      </c>
      <c r="G496" s="4">
        <v>5.4455154150150398E-7</v>
      </c>
      <c r="H496" s="3" t="str">
        <f>"HMCN1"</f>
        <v>HMCN1</v>
      </c>
      <c r="I496" s="3" t="str">
        <f>"protein_coding"</f>
        <v>protein_coding</v>
      </c>
    </row>
    <row r="497" spans="1:9" x14ac:dyDescent="0.2">
      <c r="A497" s="3" t="str">
        <f>"ENSG00000230426.3"</f>
        <v>ENSG00000230426.3</v>
      </c>
      <c r="B497" s="3">
        <v>323.23333731219202</v>
      </c>
      <c r="C497" s="3">
        <v>2.4286316082061798</v>
      </c>
      <c r="D497" s="3">
        <v>0.26461878165393599</v>
      </c>
      <c r="E497" s="3">
        <v>9.1778504648332095</v>
      </c>
      <c r="F497" s="4">
        <v>4.3978217625621999E-20</v>
      </c>
      <c r="G497" s="4">
        <v>1.7118207080647501E-18</v>
      </c>
      <c r="H497" s="3" t="str">
        <f>"ERVMER61-1"</f>
        <v>ERVMER61-1</v>
      </c>
      <c r="I497" s="3" t="str">
        <f>"lincRNA"</f>
        <v>lincRNA</v>
      </c>
    </row>
    <row r="498" spans="1:9" x14ac:dyDescent="0.2">
      <c r="A498" s="3" t="str">
        <f>"ENSG00000274702.1"</f>
        <v>ENSG00000274702.1</v>
      </c>
      <c r="B498" s="3">
        <v>10.798156221028499</v>
      </c>
      <c r="C498" s="3">
        <v>5.3503995829244904</v>
      </c>
      <c r="D498" s="3">
        <v>1.7289735803022701</v>
      </c>
      <c r="E498" s="3">
        <v>3.09455253907876</v>
      </c>
      <c r="F498" s="3">
        <v>1.9711002064015902E-3</v>
      </c>
      <c r="G498" s="3">
        <v>7.9529938284946099E-3</v>
      </c>
      <c r="H498" s="3" t="str">
        <f>"AL357559.1"</f>
        <v>AL357559.1</v>
      </c>
      <c r="I498" s="3" t="str">
        <f>"processed_pseudogene"</f>
        <v>processed_pseudogene</v>
      </c>
    </row>
    <row r="499" spans="1:9" x14ac:dyDescent="0.2">
      <c r="A499" s="3" t="str">
        <f>"ENSG00000162630.5"</f>
        <v>ENSG00000162630.5</v>
      </c>
      <c r="B499" s="3">
        <v>4.0372899650807801</v>
      </c>
      <c r="C499" s="3">
        <v>5.4095356733146298</v>
      </c>
      <c r="D499" s="3">
        <v>2.1467512296701501</v>
      </c>
      <c r="E499" s="3">
        <v>2.5198707696307201</v>
      </c>
      <c r="F499" s="3">
        <v>1.17397926988685E-2</v>
      </c>
      <c r="G499" s="3">
        <v>3.6345203007166198E-2</v>
      </c>
      <c r="H499" s="3" t="str">
        <f>"B3GALT2"</f>
        <v>B3GALT2</v>
      </c>
      <c r="I499" s="3" t="str">
        <f t="shared" ref="I499:I508" si="21">"protein_coding"</f>
        <v>protein_coding</v>
      </c>
    </row>
    <row r="500" spans="1:9" x14ac:dyDescent="0.2">
      <c r="A500" s="3" t="str">
        <f>"ENSG00000162687.17"</f>
        <v>ENSG00000162687.17</v>
      </c>
      <c r="B500" s="3">
        <v>4.6623551179140703</v>
      </c>
      <c r="C500" s="3">
        <v>5.61968301665675</v>
      </c>
      <c r="D500" s="3">
        <v>2.07268783865596</v>
      </c>
      <c r="E500" s="3">
        <v>2.7113021613041601</v>
      </c>
      <c r="F500" s="3">
        <v>6.7019521803354997E-3</v>
      </c>
      <c r="G500" s="3">
        <v>2.27181004052751E-2</v>
      </c>
      <c r="H500" s="3" t="str">
        <f>"KCNT2"</f>
        <v>KCNT2</v>
      </c>
      <c r="I500" s="3" t="str">
        <f t="shared" si="21"/>
        <v>protein_coding</v>
      </c>
    </row>
    <row r="501" spans="1:9" x14ac:dyDescent="0.2">
      <c r="A501" s="3" t="str">
        <f>"ENSG00000000971.15"</f>
        <v>ENSG00000000971.15</v>
      </c>
      <c r="B501" s="3">
        <v>4.6231112227344298</v>
      </c>
      <c r="C501" s="3">
        <v>5.6018746122246599</v>
      </c>
      <c r="D501" s="3">
        <v>2.0840292310307702</v>
      </c>
      <c r="E501" s="3">
        <v>2.68800193817528</v>
      </c>
      <c r="F501" s="3">
        <v>7.1880979433398204E-3</v>
      </c>
      <c r="G501" s="3">
        <v>2.4131851239795499E-2</v>
      </c>
      <c r="H501" s="3" t="str">
        <f>"CFH"</f>
        <v>CFH</v>
      </c>
      <c r="I501" s="3" t="str">
        <f t="shared" si="21"/>
        <v>protein_coding</v>
      </c>
    </row>
    <row r="502" spans="1:9" x14ac:dyDescent="0.2">
      <c r="A502" s="3" t="str">
        <f>"ENSG00000213047.13"</f>
        <v>ENSG00000213047.13</v>
      </c>
      <c r="B502" s="3">
        <v>329.71601206660802</v>
      </c>
      <c r="C502" s="3">
        <v>-1.1695096516091199</v>
      </c>
      <c r="D502" s="3">
        <v>0.25208690339156298</v>
      </c>
      <c r="E502" s="3">
        <v>-4.6393114274268203</v>
      </c>
      <c r="F502" s="4">
        <v>3.49571939114079E-6</v>
      </c>
      <c r="G502" s="4">
        <v>2.7213676071546601E-5</v>
      </c>
      <c r="H502" s="3" t="str">
        <f>"DENND1B"</f>
        <v>DENND1B</v>
      </c>
      <c r="I502" s="3" t="str">
        <f t="shared" si="21"/>
        <v>protein_coding</v>
      </c>
    </row>
    <row r="503" spans="1:9" x14ac:dyDescent="0.2">
      <c r="A503" s="3" t="str">
        <f>"ENSG00000116833.14"</f>
        <v>ENSG00000116833.14</v>
      </c>
      <c r="B503" s="3">
        <v>32.240408369103001</v>
      </c>
      <c r="C503" s="3">
        <v>-1.5827763265953301</v>
      </c>
      <c r="D503" s="3">
        <v>0.62717768231846904</v>
      </c>
      <c r="E503" s="3">
        <v>-2.5236489932874</v>
      </c>
      <c r="F503" s="3">
        <v>1.16143831677308E-2</v>
      </c>
      <c r="G503" s="3">
        <v>3.6038845025755897E-2</v>
      </c>
      <c r="H503" s="3" t="str">
        <f>"NR5A2"</f>
        <v>NR5A2</v>
      </c>
      <c r="I503" s="3" t="str">
        <f t="shared" si="21"/>
        <v>protein_coding</v>
      </c>
    </row>
    <row r="504" spans="1:9" x14ac:dyDescent="0.2">
      <c r="A504" s="3" t="str">
        <f>"ENSG00000163362.11"</f>
        <v>ENSG00000163362.11</v>
      </c>
      <c r="B504" s="3">
        <v>1317.0590288036201</v>
      </c>
      <c r="C504" s="3">
        <v>1.0219440758262399</v>
      </c>
      <c r="D504" s="3">
        <v>0.231757684496295</v>
      </c>
      <c r="E504" s="3">
        <v>4.4095369611900797</v>
      </c>
      <c r="F504" s="4">
        <v>1.03591877496229E-5</v>
      </c>
      <c r="G504" s="4">
        <v>7.3389700627658305E-5</v>
      </c>
      <c r="H504" s="3" t="str">
        <f>"INAVA"</f>
        <v>INAVA</v>
      </c>
      <c r="I504" s="3" t="str">
        <f t="shared" si="21"/>
        <v>protein_coding</v>
      </c>
    </row>
    <row r="505" spans="1:9" x14ac:dyDescent="0.2">
      <c r="A505" s="3" t="str">
        <f>"ENSG00000163395.16"</f>
        <v>ENSG00000163395.16</v>
      </c>
      <c r="B505" s="3">
        <v>19.225687724379299</v>
      </c>
      <c r="C505" s="3">
        <v>2.6815741766702499</v>
      </c>
      <c r="D505" s="3">
        <v>0.85738481443540604</v>
      </c>
      <c r="E505" s="3">
        <v>3.1276203304767898</v>
      </c>
      <c r="F505" s="3">
        <v>1.7622766574826401E-3</v>
      </c>
      <c r="G505" s="3">
        <v>7.2357974813787602E-3</v>
      </c>
      <c r="H505" s="3" t="str">
        <f>"IGFN1"</f>
        <v>IGFN1</v>
      </c>
      <c r="I505" s="3" t="str">
        <f t="shared" si="21"/>
        <v>protein_coding</v>
      </c>
    </row>
    <row r="506" spans="1:9" x14ac:dyDescent="0.2">
      <c r="A506" s="3" t="str">
        <f>"ENSG00000174307.6"</f>
        <v>ENSG00000174307.6</v>
      </c>
      <c r="B506" s="3">
        <v>2075.1414839297299</v>
      </c>
      <c r="C506" s="3">
        <v>1.0709852782990701</v>
      </c>
      <c r="D506" s="3">
        <v>0.20569573313099199</v>
      </c>
      <c r="E506" s="3">
        <v>5.2066480038117398</v>
      </c>
      <c r="F506" s="4">
        <v>1.92282340027169E-7</v>
      </c>
      <c r="G506" s="4">
        <v>1.8644544194734099E-6</v>
      </c>
      <c r="H506" s="3" t="str">
        <f>"PHLDA3"</f>
        <v>PHLDA3</v>
      </c>
      <c r="I506" s="3" t="str">
        <f t="shared" si="21"/>
        <v>protein_coding</v>
      </c>
    </row>
    <row r="507" spans="1:9" x14ac:dyDescent="0.2">
      <c r="A507" s="3" t="str">
        <f>"ENSG00000159176.14"</f>
        <v>ENSG00000159176.14</v>
      </c>
      <c r="B507" s="3">
        <v>1428.20112346156</v>
      </c>
      <c r="C507" s="3">
        <v>-1.0852462126709601</v>
      </c>
      <c r="D507" s="3">
        <v>0.229732994807963</v>
      </c>
      <c r="E507" s="3">
        <v>-4.7239457857506899</v>
      </c>
      <c r="F507" s="4">
        <v>2.3131210534490202E-6</v>
      </c>
      <c r="G507" s="4">
        <v>1.8571283946384101E-5</v>
      </c>
      <c r="H507" s="3" t="str">
        <f>"CSRP1"</f>
        <v>CSRP1</v>
      </c>
      <c r="I507" s="3" t="str">
        <f t="shared" si="21"/>
        <v>protein_coding</v>
      </c>
    </row>
    <row r="508" spans="1:9" x14ac:dyDescent="0.2">
      <c r="A508" s="3" t="str">
        <f>"ENSG00000134369.15"</f>
        <v>ENSG00000134369.15</v>
      </c>
      <c r="B508" s="3">
        <v>20.103044585894001</v>
      </c>
      <c r="C508" s="3">
        <v>2.77495635476062</v>
      </c>
      <c r="D508" s="3">
        <v>0.87133295032552005</v>
      </c>
      <c r="E508" s="3">
        <v>3.1847256019916701</v>
      </c>
      <c r="F508" s="3">
        <v>1.4489132398351201E-3</v>
      </c>
      <c r="G508" s="3">
        <v>6.1041282745951204E-3</v>
      </c>
      <c r="H508" s="3" t="str">
        <f>"NAV1"</f>
        <v>NAV1</v>
      </c>
      <c r="I508" s="3" t="str">
        <f t="shared" si="21"/>
        <v>protein_coding</v>
      </c>
    </row>
    <row r="509" spans="1:9" x14ac:dyDescent="0.2">
      <c r="A509" s="3" t="str">
        <f>"ENSG00000234678.2"</f>
        <v>ENSG00000234678.2</v>
      </c>
      <c r="B509" s="3">
        <v>124.412188394504</v>
      </c>
      <c r="C509" s="3">
        <v>-1.1324323200017801</v>
      </c>
      <c r="D509" s="3">
        <v>0.33991914679009599</v>
      </c>
      <c r="E509" s="3">
        <v>-3.33147553085931</v>
      </c>
      <c r="F509" s="3">
        <v>8.6386894279543499E-4</v>
      </c>
      <c r="G509" s="3">
        <v>3.88349069202231E-3</v>
      </c>
      <c r="H509" s="3" t="str">
        <f>"ELF3-AS1"</f>
        <v>ELF3-AS1</v>
      </c>
      <c r="I509" s="3" t="str">
        <f>"antisense"</f>
        <v>antisense</v>
      </c>
    </row>
    <row r="510" spans="1:9" x14ac:dyDescent="0.2">
      <c r="A510" s="3" t="str">
        <f>"ENSG00000143862.8"</f>
        <v>ENSG00000143862.8</v>
      </c>
      <c r="B510" s="3">
        <v>1105.34423116227</v>
      </c>
      <c r="C510" s="3">
        <v>1.5613192793130599</v>
      </c>
      <c r="D510" s="3">
        <v>0.23675960527906501</v>
      </c>
      <c r="E510" s="3">
        <v>6.5945340526850504</v>
      </c>
      <c r="F510" s="4">
        <v>4.2659349492048798E-11</v>
      </c>
      <c r="G510" s="4">
        <v>6.9852121130399905E-10</v>
      </c>
      <c r="H510" s="3" t="str">
        <f>"ARL8A"</f>
        <v>ARL8A</v>
      </c>
      <c r="I510" s="3" t="str">
        <f>"protein_coding"</f>
        <v>protein_coding</v>
      </c>
    </row>
    <row r="511" spans="1:9" x14ac:dyDescent="0.2">
      <c r="A511" s="3" t="str">
        <f>"ENSG00000143851.15"</f>
        <v>ENSG00000143851.15</v>
      </c>
      <c r="B511" s="3">
        <v>6.4953008908614098</v>
      </c>
      <c r="C511" s="3">
        <v>6.0938533645281696</v>
      </c>
      <c r="D511" s="3">
        <v>1.91564597028766</v>
      </c>
      <c r="E511" s="3">
        <v>3.1810958073913298</v>
      </c>
      <c r="F511" s="3">
        <v>1.4671909944337601E-3</v>
      </c>
      <c r="G511" s="3">
        <v>6.16731765278258E-3</v>
      </c>
      <c r="H511" s="3" t="str">
        <f>"PTPN7"</f>
        <v>PTPN7</v>
      </c>
      <c r="I511" s="3" t="str">
        <f>"protein_coding"</f>
        <v>protein_coding</v>
      </c>
    </row>
    <row r="512" spans="1:9" x14ac:dyDescent="0.2">
      <c r="A512" s="3" t="str">
        <f>"ENSG00000243323.7"</f>
        <v>ENSG00000243323.7</v>
      </c>
      <c r="B512" s="3">
        <v>17.3966635424519</v>
      </c>
      <c r="C512" s="3">
        <v>3.9931668384467902</v>
      </c>
      <c r="D512" s="3">
        <v>1.0540354865563899</v>
      </c>
      <c r="E512" s="3">
        <v>3.7884557867143198</v>
      </c>
      <c r="F512" s="3">
        <v>1.51586562385505E-4</v>
      </c>
      <c r="G512" s="3">
        <v>8.3305346214559604E-4</v>
      </c>
      <c r="H512" s="3" t="str">
        <f>"PTPRVP"</f>
        <v>PTPRVP</v>
      </c>
      <c r="I512" s="3" t="str">
        <f>"transcribed_unitary_pseudogene"</f>
        <v>transcribed_unitary_pseudogene</v>
      </c>
    </row>
    <row r="513" spans="1:9" x14ac:dyDescent="0.2">
      <c r="A513" s="3" t="str">
        <f>"ENSG00000117153.16"</f>
        <v>ENSG00000117153.16</v>
      </c>
      <c r="B513" s="3">
        <v>1646.04334101739</v>
      </c>
      <c r="C513" s="3">
        <v>1.11760835565394</v>
      </c>
      <c r="D513" s="3">
        <v>0.18881880907098</v>
      </c>
      <c r="E513" s="3">
        <v>5.9189461111038497</v>
      </c>
      <c r="F513" s="4">
        <v>3.24011098694873E-9</v>
      </c>
      <c r="G513" s="4">
        <v>4.1176914207738898E-8</v>
      </c>
      <c r="H513" s="3" t="str">
        <f>"KLHL12"</f>
        <v>KLHL12</v>
      </c>
      <c r="I513" s="3" t="str">
        <f>"protein_coding"</f>
        <v>protein_coding</v>
      </c>
    </row>
    <row r="514" spans="1:9" x14ac:dyDescent="0.2">
      <c r="A514" s="3" t="str">
        <f>"ENSG00000199471.1"</f>
        <v>ENSG00000199471.1</v>
      </c>
      <c r="B514" s="3">
        <v>13.1927138849919</v>
      </c>
      <c r="C514" s="3">
        <v>2.4219483665733001</v>
      </c>
      <c r="D514" s="3">
        <v>1.00273474047411</v>
      </c>
      <c r="E514" s="3">
        <v>2.4153430302296801</v>
      </c>
      <c r="F514" s="3">
        <v>1.5720396758214499E-2</v>
      </c>
      <c r="G514" s="3">
        <v>4.6361019280959197E-2</v>
      </c>
      <c r="H514" s="3" t="str">
        <f>"RF00019"</f>
        <v>RF00019</v>
      </c>
      <c r="I514" s="3" t="str">
        <f>"misc_RNA"</f>
        <v>misc_RNA</v>
      </c>
    </row>
    <row r="515" spans="1:9" x14ac:dyDescent="0.2">
      <c r="A515" s="3" t="str">
        <f>"ENSG00000133063.16"</f>
        <v>ENSG00000133063.16</v>
      </c>
      <c r="B515" s="3">
        <v>4.6231112227344298</v>
      </c>
      <c r="C515" s="3">
        <v>5.6018746122246599</v>
      </c>
      <c r="D515" s="3">
        <v>2.0840292310307702</v>
      </c>
      <c r="E515" s="3">
        <v>2.68800193817528</v>
      </c>
      <c r="F515" s="3">
        <v>7.1880979433398204E-3</v>
      </c>
      <c r="G515" s="3">
        <v>2.4131851239795499E-2</v>
      </c>
      <c r="H515" s="3" t="str">
        <f>"CHIT1"</f>
        <v>CHIT1</v>
      </c>
      <c r="I515" s="3" t="str">
        <f>"protein_coding"</f>
        <v>protein_coding</v>
      </c>
    </row>
    <row r="516" spans="1:9" x14ac:dyDescent="0.2">
      <c r="A516" s="3" t="str">
        <f>"ENSG00000233791.5"</f>
        <v>ENSG00000233791.5</v>
      </c>
      <c r="B516" s="3">
        <v>15.990061352954299</v>
      </c>
      <c r="C516" s="3">
        <v>2.9838379159187101</v>
      </c>
      <c r="D516" s="3">
        <v>0.98509499192405803</v>
      </c>
      <c r="E516" s="3">
        <v>3.0289849612277102</v>
      </c>
      <c r="F516" s="3">
        <v>2.4537689734948401E-3</v>
      </c>
      <c r="G516" s="3">
        <v>9.6032524017256593E-3</v>
      </c>
      <c r="H516" s="3" t="str">
        <f>"LINC01136"</f>
        <v>LINC01136</v>
      </c>
      <c r="I516" s="3" t="str">
        <f>"lincRNA"</f>
        <v>lincRNA</v>
      </c>
    </row>
    <row r="517" spans="1:9" x14ac:dyDescent="0.2">
      <c r="A517" s="3" t="str">
        <f>"ENSG00000159388.6"</f>
        <v>ENSG00000159388.6</v>
      </c>
      <c r="B517" s="3">
        <v>4016.1515743557502</v>
      </c>
      <c r="C517" s="3">
        <v>3.2930710223923398</v>
      </c>
      <c r="D517" s="3">
        <v>0.20051445561515499</v>
      </c>
      <c r="E517" s="3">
        <v>16.423110305387102</v>
      </c>
      <c r="F517" s="4">
        <v>1.3069221277325901E-60</v>
      </c>
      <c r="G517" s="4">
        <v>3.9131546389373499E-58</v>
      </c>
      <c r="H517" s="3" t="str">
        <f>"BTG2"</f>
        <v>BTG2</v>
      </c>
      <c r="I517" s="3" t="str">
        <f>"protein_coding"</f>
        <v>protein_coding</v>
      </c>
    </row>
    <row r="518" spans="1:9" x14ac:dyDescent="0.2">
      <c r="A518" s="3" t="str">
        <f>"ENSG00000143842.15"</f>
        <v>ENSG00000143842.15</v>
      </c>
      <c r="B518" s="3">
        <v>1003.0196459935401</v>
      </c>
      <c r="C518" s="3">
        <v>-2.06171292424234</v>
      </c>
      <c r="D518" s="3">
        <v>0.22118802493871301</v>
      </c>
      <c r="E518" s="3">
        <v>-9.3210874540500104</v>
      </c>
      <c r="F518" s="4">
        <v>1.1515392804859799E-20</v>
      </c>
      <c r="G518" s="4">
        <v>4.75393799627297E-19</v>
      </c>
      <c r="H518" s="3" t="str">
        <f>"SOX13"</f>
        <v>SOX13</v>
      </c>
      <c r="I518" s="3" t="str">
        <f>"protein_coding"</f>
        <v>protein_coding</v>
      </c>
    </row>
    <row r="519" spans="1:9" x14ac:dyDescent="0.2">
      <c r="A519" s="3" t="str">
        <f>"ENSG00000261065.1"</f>
        <v>ENSG00000261065.1</v>
      </c>
      <c r="B519" s="3">
        <v>4.6475478659078302</v>
      </c>
      <c r="C519" s="3">
        <v>-5.7308843471754702</v>
      </c>
      <c r="D519" s="3">
        <v>2.0706541667032798</v>
      </c>
      <c r="E519" s="3">
        <v>-2.7676685171912099</v>
      </c>
      <c r="F519" s="3">
        <v>5.6458848333099604E-3</v>
      </c>
      <c r="G519" s="3">
        <v>1.96954171585851E-2</v>
      </c>
      <c r="H519" s="3" t="str">
        <f>"AL592146.1"</f>
        <v>AL592146.1</v>
      </c>
      <c r="I519" s="3" t="str">
        <f>"antisense"</f>
        <v>antisense</v>
      </c>
    </row>
    <row r="520" spans="1:9" x14ac:dyDescent="0.2">
      <c r="A520" s="3" t="str">
        <f>"ENSG00000174567.8"</f>
        <v>ENSG00000174567.8</v>
      </c>
      <c r="B520" s="3">
        <v>559.48664140342498</v>
      </c>
      <c r="C520" s="3">
        <v>1.44865845024692</v>
      </c>
      <c r="D520" s="3">
        <v>0.23805011618539301</v>
      </c>
      <c r="E520" s="3">
        <v>6.0855187700001201</v>
      </c>
      <c r="F520" s="4">
        <v>1.1611471954262599E-9</v>
      </c>
      <c r="G520" s="4">
        <v>1.5662266155336201E-8</v>
      </c>
      <c r="H520" s="3" t="str">
        <f>"GOLT1A"</f>
        <v>GOLT1A</v>
      </c>
      <c r="I520" s="3" t="str">
        <f>"protein_coding"</f>
        <v>protein_coding</v>
      </c>
    </row>
    <row r="521" spans="1:9" x14ac:dyDescent="0.2">
      <c r="A521" s="3" t="str">
        <f>"ENSG00000219133.2"</f>
        <v>ENSG00000219133.2</v>
      </c>
      <c r="B521" s="3">
        <v>67.953563516871199</v>
      </c>
      <c r="C521" s="3">
        <v>1.5301870720056601</v>
      </c>
      <c r="D521" s="3">
        <v>0.47364439661142199</v>
      </c>
      <c r="E521" s="3">
        <v>3.2306664724697001</v>
      </c>
      <c r="F521" s="3">
        <v>1.2350196136877601E-3</v>
      </c>
      <c r="G521" s="3">
        <v>5.30515204385156E-3</v>
      </c>
      <c r="H521" s="3" t="str">
        <f>"AL592114.1"</f>
        <v>AL592114.1</v>
      </c>
      <c r="I521" s="3" t="str">
        <f>"processed_pseudogene"</f>
        <v>processed_pseudogene</v>
      </c>
    </row>
    <row r="522" spans="1:9" x14ac:dyDescent="0.2">
      <c r="A522" s="3" t="str">
        <f>"ENSG00000133056.13"</f>
        <v>ENSG00000133056.13</v>
      </c>
      <c r="B522" s="3">
        <v>719.92461068000296</v>
      </c>
      <c r="C522" s="3">
        <v>-1.09333974474664</v>
      </c>
      <c r="D522" s="3">
        <v>0.20678569045515499</v>
      </c>
      <c r="E522" s="3">
        <v>-5.2873085286515398</v>
      </c>
      <c r="F522" s="4">
        <v>1.2412917949470901E-7</v>
      </c>
      <c r="G522" s="4">
        <v>1.24206674759175E-6</v>
      </c>
      <c r="H522" s="3" t="str">
        <f>"PIK3C2B"</f>
        <v>PIK3C2B</v>
      </c>
      <c r="I522" s="3" t="str">
        <f t="shared" ref="I522:I529" si="22">"protein_coding"</f>
        <v>protein_coding</v>
      </c>
    </row>
    <row r="523" spans="1:9" x14ac:dyDescent="0.2">
      <c r="A523" s="3" t="str">
        <f>"ENSG00000163531.15"</f>
        <v>ENSG00000163531.15</v>
      </c>
      <c r="B523" s="3">
        <v>23.387133059504201</v>
      </c>
      <c r="C523" s="3">
        <v>6.4845902960535504</v>
      </c>
      <c r="D523" s="3">
        <v>1.5833335261884101</v>
      </c>
      <c r="E523" s="3">
        <v>4.0955302144482699</v>
      </c>
      <c r="F523" s="4">
        <v>4.2120328697392103E-5</v>
      </c>
      <c r="G523" s="3">
        <v>2.6148384507127898E-4</v>
      </c>
      <c r="H523" s="3" t="str">
        <f>"NFASC"</f>
        <v>NFASC</v>
      </c>
      <c r="I523" s="3" t="str">
        <f t="shared" si="22"/>
        <v>protein_coding</v>
      </c>
    </row>
    <row r="524" spans="1:9" x14ac:dyDescent="0.2">
      <c r="A524" s="3" t="str">
        <f>"ENSG00000163545.8"</f>
        <v>ENSG00000163545.8</v>
      </c>
      <c r="B524" s="3">
        <v>638.99245080666697</v>
      </c>
      <c r="C524" s="3">
        <v>1.6602142979194501</v>
      </c>
      <c r="D524" s="3">
        <v>0.236805761393658</v>
      </c>
      <c r="E524" s="3">
        <v>7.0108695335311904</v>
      </c>
      <c r="F524" s="4">
        <v>2.3684151318490701E-12</v>
      </c>
      <c r="G524" s="4">
        <v>4.4778129829227903E-11</v>
      </c>
      <c r="H524" s="3" t="str">
        <f>"NUAK2"</f>
        <v>NUAK2</v>
      </c>
      <c r="I524" s="3" t="str">
        <f t="shared" si="22"/>
        <v>protein_coding</v>
      </c>
    </row>
    <row r="525" spans="1:9" x14ac:dyDescent="0.2">
      <c r="A525" s="3" t="str">
        <f>"ENSG00000281406.2"</f>
        <v>ENSG00000281406.2</v>
      </c>
      <c r="B525" s="3">
        <v>252.18954148611201</v>
      </c>
      <c r="C525" s="3">
        <v>1.16453501337203</v>
      </c>
      <c r="D525" s="3">
        <v>0.27729265347684101</v>
      </c>
      <c r="E525" s="3">
        <v>4.1996605347111897</v>
      </c>
      <c r="F525" s="4">
        <v>2.67315448237399E-5</v>
      </c>
      <c r="G525" s="3">
        <v>1.7312916610706899E-4</v>
      </c>
      <c r="H525" s="3" t="str">
        <f>"BLACAT1"</f>
        <v>BLACAT1</v>
      </c>
      <c r="I525" s="3" t="str">
        <f t="shared" si="22"/>
        <v>protein_coding</v>
      </c>
    </row>
    <row r="526" spans="1:9" x14ac:dyDescent="0.2">
      <c r="A526" s="3" t="str">
        <f>"ENSG00000174514.13"</f>
        <v>ENSG00000174514.13</v>
      </c>
      <c r="B526" s="3">
        <v>73.508134540112707</v>
      </c>
      <c r="C526" s="3">
        <v>3.6520998661691699</v>
      </c>
      <c r="D526" s="3">
        <v>0.50694872216952802</v>
      </c>
      <c r="E526" s="3">
        <v>7.2040814119023899</v>
      </c>
      <c r="F526" s="4">
        <v>5.8436445686793996E-13</v>
      </c>
      <c r="G526" s="4">
        <v>1.1953587354565099E-11</v>
      </c>
      <c r="H526" s="3" t="str">
        <f>"MFSD4A"</f>
        <v>MFSD4A</v>
      </c>
      <c r="I526" s="3" t="str">
        <f t="shared" si="22"/>
        <v>protein_coding</v>
      </c>
    </row>
    <row r="527" spans="1:9" x14ac:dyDescent="0.2">
      <c r="A527" s="3" t="str">
        <f>"ENSG00000276600.5"</f>
        <v>ENSG00000276600.5</v>
      </c>
      <c r="B527" s="3">
        <v>12.5617183125553</v>
      </c>
      <c r="C527" s="3">
        <v>3.1217691383838102</v>
      </c>
      <c r="D527" s="3">
        <v>1.0853019198688001</v>
      </c>
      <c r="E527" s="3">
        <v>2.8764061697791798</v>
      </c>
      <c r="F527" s="3">
        <v>4.02231762187223E-3</v>
      </c>
      <c r="G527" s="3">
        <v>1.4718787032386899E-2</v>
      </c>
      <c r="H527" s="3" t="str">
        <f>"RAB7B"</f>
        <v>RAB7B</v>
      </c>
      <c r="I527" s="3" t="str">
        <f t="shared" si="22"/>
        <v>protein_coding</v>
      </c>
    </row>
    <row r="528" spans="1:9" x14ac:dyDescent="0.2">
      <c r="A528" s="3" t="str">
        <f>"ENSG00000263528.8"</f>
        <v>ENSG00000263528.8</v>
      </c>
      <c r="B528" s="3">
        <v>279.26917226046697</v>
      </c>
      <c r="C528" s="3">
        <v>-1.10547987487154</v>
      </c>
      <c r="D528" s="3">
        <v>0.26713947392996401</v>
      </c>
      <c r="E528" s="3">
        <v>-4.1382123675266396</v>
      </c>
      <c r="F528" s="4">
        <v>3.50022318711899E-5</v>
      </c>
      <c r="G528" s="3">
        <v>2.2107227904365101E-4</v>
      </c>
      <c r="H528" s="3" t="str">
        <f>"IKBKE"</f>
        <v>IKBKE</v>
      </c>
      <c r="I528" s="3" t="str">
        <f t="shared" si="22"/>
        <v>protein_coding</v>
      </c>
    </row>
    <row r="529" spans="1:9" x14ac:dyDescent="0.2">
      <c r="A529" s="3" t="str">
        <f>"ENSG00000266094.7"</f>
        <v>ENSG00000266094.7</v>
      </c>
      <c r="B529" s="3">
        <v>85.134843042209297</v>
      </c>
      <c r="C529" s="3">
        <v>3.3150247402240298</v>
      </c>
      <c r="D529" s="3">
        <v>0.479177736806151</v>
      </c>
      <c r="E529" s="3">
        <v>6.9181526719491604</v>
      </c>
      <c r="F529" s="4">
        <v>4.5757102944153998E-12</v>
      </c>
      <c r="G529" s="4">
        <v>8.3505946679126802E-11</v>
      </c>
      <c r="H529" s="3" t="str">
        <f>"RASSF5"</f>
        <v>RASSF5</v>
      </c>
      <c r="I529" s="3" t="str">
        <f t="shared" si="22"/>
        <v>protein_coding</v>
      </c>
    </row>
    <row r="530" spans="1:9" x14ac:dyDescent="0.2">
      <c r="A530" s="3" t="str">
        <f>"ENSG00000279946.1"</f>
        <v>ENSG00000279946.1</v>
      </c>
      <c r="B530" s="3">
        <v>16.626310172466599</v>
      </c>
      <c r="C530" s="3">
        <v>4.9617404096292699</v>
      </c>
      <c r="D530" s="3">
        <v>1.2826492365001101</v>
      </c>
      <c r="E530" s="3">
        <v>3.8683533022387802</v>
      </c>
      <c r="F530" s="3">
        <v>1.09572825716723E-4</v>
      </c>
      <c r="G530" s="3">
        <v>6.2146768990498503E-4</v>
      </c>
      <c r="H530" s="3" t="str">
        <f>"AC244034.3"</f>
        <v>AC244034.3</v>
      </c>
      <c r="I530" s="3" t="str">
        <f>"TEC"</f>
        <v>TEC</v>
      </c>
    </row>
    <row r="531" spans="1:9" x14ac:dyDescent="0.2">
      <c r="A531" s="3" t="str">
        <f>"ENSG00000224462.2"</f>
        <v>ENSG00000224462.2</v>
      </c>
      <c r="B531" s="3">
        <v>7.82078866646187</v>
      </c>
      <c r="C531" s="3">
        <v>4.8648117967296898</v>
      </c>
      <c r="D531" s="3">
        <v>1.8340041275379</v>
      </c>
      <c r="E531" s="3">
        <v>2.65256316694368</v>
      </c>
      <c r="F531" s="3">
        <v>7.9883179377808894E-3</v>
      </c>
      <c r="G531" s="3">
        <v>2.63412439611177E-2</v>
      </c>
      <c r="H531" s="3" t="str">
        <f>"C4BPAP1"</f>
        <v>C4BPAP1</v>
      </c>
      <c r="I531" s="3" t="str">
        <f>"unprocessed_pseudogene"</f>
        <v>unprocessed_pseudogene</v>
      </c>
    </row>
    <row r="532" spans="1:9" x14ac:dyDescent="0.2">
      <c r="A532" s="3" t="str">
        <f>"ENSG00000237074.2"</f>
        <v>ENSG00000237074.2</v>
      </c>
      <c r="B532" s="3">
        <v>3.8893317554809199</v>
      </c>
      <c r="C532" s="3">
        <v>5.35263968609567</v>
      </c>
      <c r="D532" s="3">
        <v>2.1805139762792298</v>
      </c>
      <c r="E532" s="3">
        <v>2.4547605492670499</v>
      </c>
      <c r="F532" s="3">
        <v>1.40978459500909E-2</v>
      </c>
      <c r="G532" s="3">
        <v>4.2402473628670397E-2</v>
      </c>
      <c r="H532" s="3" t="str">
        <f>"AL596218.1"</f>
        <v>AL596218.1</v>
      </c>
      <c r="I532" s="3" t="str">
        <f>"lincRNA"</f>
        <v>lincRNA</v>
      </c>
    </row>
    <row r="533" spans="1:9" x14ac:dyDescent="0.2">
      <c r="A533" s="3" t="str">
        <f>"ENSG00000196352.15"</f>
        <v>ENSG00000196352.15</v>
      </c>
      <c r="B533" s="3">
        <v>1172.7665101238499</v>
      </c>
      <c r="C533" s="3">
        <v>1.1658265214132999</v>
      </c>
      <c r="D533" s="3">
        <v>0.229142573579945</v>
      </c>
      <c r="E533" s="3">
        <v>5.0877778982723996</v>
      </c>
      <c r="F533" s="4">
        <v>3.6228329212567901E-7</v>
      </c>
      <c r="G533" s="4">
        <v>3.3529663249145302E-6</v>
      </c>
      <c r="H533" s="3" t="str">
        <f>"CD55"</f>
        <v>CD55</v>
      </c>
      <c r="I533" s="3" t="str">
        <f t="shared" ref="I533:I540" si="23">"protein_coding"</f>
        <v>protein_coding</v>
      </c>
    </row>
    <row r="534" spans="1:9" x14ac:dyDescent="0.2">
      <c r="A534" s="3" t="str">
        <f>"ENSG00000117322.17"</f>
        <v>ENSG00000117322.17</v>
      </c>
      <c r="B534" s="3">
        <v>6.7912173100611302</v>
      </c>
      <c r="C534" s="3">
        <v>6.1616918281536197</v>
      </c>
      <c r="D534" s="3">
        <v>1.89712559481322</v>
      </c>
      <c r="E534" s="3">
        <v>3.2479092818102302</v>
      </c>
      <c r="F534" s="3">
        <v>1.16256330415498E-3</v>
      </c>
      <c r="G534" s="3">
        <v>5.0359876547394098E-3</v>
      </c>
      <c r="H534" s="3" t="str">
        <f>"CR2"</f>
        <v>CR2</v>
      </c>
      <c r="I534" s="3" t="str">
        <f t="shared" si="23"/>
        <v>protein_coding</v>
      </c>
    </row>
    <row r="535" spans="1:9" x14ac:dyDescent="0.2">
      <c r="A535" s="3" t="str">
        <f>"ENSG00000203710.11"</f>
        <v>ENSG00000203710.11</v>
      </c>
      <c r="B535" s="3">
        <v>7.7061873013483497</v>
      </c>
      <c r="C535" s="3">
        <v>6.3403469558320502</v>
      </c>
      <c r="D535" s="3">
        <v>1.85101305643342</v>
      </c>
      <c r="E535" s="3">
        <v>3.4253388617629699</v>
      </c>
      <c r="F535" s="3">
        <v>6.1403305189254695E-4</v>
      </c>
      <c r="G535" s="3">
        <v>2.8725555306060601E-3</v>
      </c>
      <c r="H535" s="3" t="str">
        <f>"CR1"</f>
        <v>CR1</v>
      </c>
      <c r="I535" s="3" t="str">
        <f t="shared" si="23"/>
        <v>protein_coding</v>
      </c>
    </row>
    <row r="536" spans="1:9" x14ac:dyDescent="0.2">
      <c r="A536" s="3" t="str">
        <f>"ENSG00000008118.10"</f>
        <v>ENSG00000008118.10</v>
      </c>
      <c r="B536" s="3">
        <v>54.175644160090897</v>
      </c>
      <c r="C536" s="3">
        <v>7.7050266985574796</v>
      </c>
      <c r="D536" s="3">
        <v>1.5082609660464501</v>
      </c>
      <c r="E536" s="3">
        <v>5.1085500931277101</v>
      </c>
      <c r="F536" s="4">
        <v>3.2464034144154599E-7</v>
      </c>
      <c r="G536" s="4">
        <v>3.0220278043244899E-6</v>
      </c>
      <c r="H536" s="3" t="str">
        <f>"CAMK1G"</f>
        <v>CAMK1G</v>
      </c>
      <c r="I536" s="3" t="str">
        <f t="shared" si="23"/>
        <v>protein_coding</v>
      </c>
    </row>
    <row r="537" spans="1:9" x14ac:dyDescent="0.2">
      <c r="A537" s="3" t="str">
        <f>"ENSG00000196878.15"</f>
        <v>ENSG00000196878.15</v>
      </c>
      <c r="B537" s="3">
        <v>34.487179488245701</v>
      </c>
      <c r="C537" s="3">
        <v>4.17291618558406</v>
      </c>
      <c r="D537" s="3">
        <v>0.77929062600335797</v>
      </c>
      <c r="E537" s="3">
        <v>5.35476245490739</v>
      </c>
      <c r="F537" s="4">
        <v>8.5668888694370401E-8</v>
      </c>
      <c r="G537" s="4">
        <v>8.7620878763344997E-7</v>
      </c>
      <c r="H537" s="3" t="str">
        <f>"LAMB3"</f>
        <v>LAMB3</v>
      </c>
      <c r="I537" s="3" t="str">
        <f t="shared" si="23"/>
        <v>protein_coding</v>
      </c>
    </row>
    <row r="538" spans="1:9" x14ac:dyDescent="0.2">
      <c r="A538" s="3" t="str">
        <f>"ENSG00000162757.4"</f>
        <v>ENSG00000162757.4</v>
      </c>
      <c r="B538" s="3">
        <v>53.011470317068103</v>
      </c>
      <c r="C538" s="3">
        <v>1.6749979312905301</v>
      </c>
      <c r="D538" s="3">
        <v>0.492209479936771</v>
      </c>
      <c r="E538" s="3">
        <v>3.40301842927872</v>
      </c>
      <c r="F538" s="3">
        <v>6.66457850079264E-4</v>
      </c>
      <c r="G538" s="3">
        <v>3.0956319538202699E-3</v>
      </c>
      <c r="H538" s="3" t="str">
        <f>"C1orf74"</f>
        <v>C1orf74</v>
      </c>
      <c r="I538" s="3" t="str">
        <f t="shared" si="23"/>
        <v>protein_coding</v>
      </c>
    </row>
    <row r="539" spans="1:9" x14ac:dyDescent="0.2">
      <c r="A539" s="3" t="str">
        <f>"ENSG00000143469.19"</f>
        <v>ENSG00000143469.19</v>
      </c>
      <c r="B539" s="3">
        <v>14.3856845066164</v>
      </c>
      <c r="C539" s="3">
        <v>7.2414812533329496</v>
      </c>
      <c r="D539" s="3">
        <v>1.67591487692759</v>
      </c>
      <c r="E539" s="3">
        <v>4.3209123285596496</v>
      </c>
      <c r="F539" s="4">
        <v>1.5538540657719399E-5</v>
      </c>
      <c r="G539" s="3">
        <v>1.05897603126784E-4</v>
      </c>
      <c r="H539" s="3" t="str">
        <f>"SYT14"</f>
        <v>SYT14</v>
      </c>
      <c r="I539" s="3" t="str">
        <f t="shared" si="23"/>
        <v>protein_coding</v>
      </c>
    </row>
    <row r="540" spans="1:9" x14ac:dyDescent="0.2">
      <c r="A540" s="3" t="str">
        <f>"ENSG00000054392.13"</f>
        <v>ENSG00000054392.13</v>
      </c>
      <c r="B540" s="3">
        <v>1163.56458489596</v>
      </c>
      <c r="C540" s="3">
        <v>3.2646661198231901</v>
      </c>
      <c r="D540" s="3">
        <v>0.20197371879492201</v>
      </c>
      <c r="E540" s="3">
        <v>16.1638164574175</v>
      </c>
      <c r="F540" s="4">
        <v>9.0764321882614305E-59</v>
      </c>
      <c r="G540" s="4">
        <v>2.5235259983016199E-56</v>
      </c>
      <c r="H540" s="3" t="str">
        <f>"HHAT"</f>
        <v>HHAT</v>
      </c>
      <c r="I540" s="3" t="str">
        <f t="shared" si="23"/>
        <v>protein_coding</v>
      </c>
    </row>
    <row r="541" spans="1:9" x14ac:dyDescent="0.2">
      <c r="A541" s="3" t="str">
        <f>"ENSG00000279333.1"</f>
        <v>ENSG00000279333.1</v>
      </c>
      <c r="B541" s="3">
        <v>98.985227271187</v>
      </c>
      <c r="C541" s="3">
        <v>3.5072102628216699</v>
      </c>
      <c r="D541" s="3">
        <v>0.435015523100718</v>
      </c>
      <c r="E541" s="3">
        <v>8.0622646240825198</v>
      </c>
      <c r="F541" s="4">
        <v>7.4893856427547303E-16</v>
      </c>
      <c r="G541" s="4">
        <v>2.02443740682677E-14</v>
      </c>
      <c r="H541" s="3" t="str">
        <f>"AC096636.1"</f>
        <v>AC096636.1</v>
      </c>
      <c r="I541" s="3" t="str">
        <f>"TEC"</f>
        <v>TEC</v>
      </c>
    </row>
    <row r="542" spans="1:9" x14ac:dyDescent="0.2">
      <c r="A542" s="3" t="str">
        <f>"ENSG00000226986.4"</f>
        <v>ENSG00000226986.4</v>
      </c>
      <c r="B542" s="3">
        <v>87.710627890445394</v>
      </c>
      <c r="C542" s="3">
        <v>-1.54370530963776</v>
      </c>
      <c r="D542" s="3">
        <v>0.41926036483760398</v>
      </c>
      <c r="E542" s="3">
        <v>-3.6819729197051401</v>
      </c>
      <c r="F542" s="3">
        <v>2.3143599876679E-4</v>
      </c>
      <c r="G542" s="3">
        <v>1.2108173307217201E-3</v>
      </c>
      <c r="H542" s="3" t="str">
        <f>"AC092017.1"</f>
        <v>AC092017.1</v>
      </c>
      <c r="I542" s="3" t="str">
        <f>"processed_pseudogene"</f>
        <v>processed_pseudogene</v>
      </c>
    </row>
    <row r="543" spans="1:9" x14ac:dyDescent="0.2">
      <c r="A543" s="3" t="str">
        <f>"ENSG00000153363.12"</f>
        <v>ENSG00000153363.12</v>
      </c>
      <c r="B543" s="3">
        <v>128.11754758702801</v>
      </c>
      <c r="C543" s="3">
        <v>2.5842996361100798</v>
      </c>
      <c r="D543" s="3">
        <v>0.36053714782110902</v>
      </c>
      <c r="E543" s="3">
        <v>7.1679150171575499</v>
      </c>
      <c r="F543" s="4">
        <v>7.6148544978943903E-13</v>
      </c>
      <c r="G543" s="4">
        <v>1.5334954952263699E-11</v>
      </c>
      <c r="H543" s="3" t="str">
        <f>"LINC00467"</f>
        <v>LINC00467</v>
      </c>
      <c r="I543" s="3" t="str">
        <f>"lincRNA"</f>
        <v>lincRNA</v>
      </c>
    </row>
    <row r="544" spans="1:9" x14ac:dyDescent="0.2">
      <c r="A544" s="3" t="str">
        <f>"ENSG00000170385.10"</f>
        <v>ENSG00000170385.10</v>
      </c>
      <c r="B544" s="3">
        <v>4558.7572400372801</v>
      </c>
      <c r="C544" s="3">
        <v>1.5716351527732599</v>
      </c>
      <c r="D544" s="3">
        <v>0.200457954699581</v>
      </c>
      <c r="E544" s="3">
        <v>7.8402234280430898</v>
      </c>
      <c r="F544" s="4">
        <v>4.4974546828670799E-15</v>
      </c>
      <c r="G544" s="4">
        <v>1.1283807342917101E-13</v>
      </c>
      <c r="H544" s="3" t="str">
        <f>"SLC30A1"</f>
        <v>SLC30A1</v>
      </c>
      <c r="I544" s="3" t="str">
        <f>"protein_coding"</f>
        <v>protein_coding</v>
      </c>
    </row>
    <row r="545" spans="1:9" x14ac:dyDescent="0.2">
      <c r="A545" s="3" t="str">
        <f>"ENSG00000261314.1"</f>
        <v>ENSG00000261314.1</v>
      </c>
      <c r="B545" s="3">
        <v>3.9648137554673002</v>
      </c>
      <c r="C545" s="3">
        <v>5.38581965917892</v>
      </c>
      <c r="D545" s="3">
        <v>2.16320773319238</v>
      </c>
      <c r="E545" s="3">
        <v>2.4897376135165499</v>
      </c>
      <c r="F545" s="3">
        <v>1.2783743375967001E-2</v>
      </c>
      <c r="G545" s="3">
        <v>3.9066695352733702E-2</v>
      </c>
      <c r="H545" s="3" t="str">
        <f>"AC105275.2"</f>
        <v>AC105275.2</v>
      </c>
      <c r="I545" s="3" t="str">
        <f>"sense_overlapping"</f>
        <v>sense_overlapping</v>
      </c>
    </row>
    <row r="546" spans="1:9" x14ac:dyDescent="0.2">
      <c r="A546" s="3" t="str">
        <f>"ENSG00000228792.2"</f>
        <v>ENSG00000228792.2</v>
      </c>
      <c r="B546" s="3">
        <v>15.853833875831</v>
      </c>
      <c r="C546" s="3">
        <v>2.9668737665938298</v>
      </c>
      <c r="D546" s="3">
        <v>0.96599069227629697</v>
      </c>
      <c r="E546" s="3">
        <v>3.0713274882624102</v>
      </c>
      <c r="F546" s="3">
        <v>2.13109271013228E-3</v>
      </c>
      <c r="G546" s="3">
        <v>8.5190556151664293E-3</v>
      </c>
      <c r="H546" s="3" t="str">
        <f>"AL356310.1"</f>
        <v>AL356310.1</v>
      </c>
      <c r="I546" s="3" t="str">
        <f>"lincRNA"</f>
        <v>lincRNA</v>
      </c>
    </row>
    <row r="547" spans="1:9" x14ac:dyDescent="0.2">
      <c r="A547" s="3" t="str">
        <f>"ENSG00000227764.1"</f>
        <v>ENSG00000227764.1</v>
      </c>
      <c r="B547" s="3">
        <v>9.4668681325547599</v>
      </c>
      <c r="C547" s="3">
        <v>3.4897163053517701</v>
      </c>
      <c r="D547" s="3">
        <v>1.3088587607970099</v>
      </c>
      <c r="E547" s="3">
        <v>2.66622832797235</v>
      </c>
      <c r="F547" s="3">
        <v>7.6707575794272903E-3</v>
      </c>
      <c r="G547" s="3">
        <v>2.54387940319688E-2</v>
      </c>
      <c r="H547" s="3" t="str">
        <f>"LINC01693"</f>
        <v>LINC01693</v>
      </c>
      <c r="I547" s="3" t="str">
        <f>"lincRNA"</f>
        <v>lincRNA</v>
      </c>
    </row>
    <row r="548" spans="1:9" x14ac:dyDescent="0.2">
      <c r="A548" s="3" t="str">
        <f>"ENSG00000143493.13"</f>
        <v>ENSG00000143493.13</v>
      </c>
      <c r="B548" s="3">
        <v>1099.29597136034</v>
      </c>
      <c r="C548" s="3">
        <v>-1.59133517191711</v>
      </c>
      <c r="D548" s="3">
        <v>0.21333502654325401</v>
      </c>
      <c r="E548" s="3">
        <v>-7.4593244142891102</v>
      </c>
      <c r="F548" s="4">
        <v>8.6967238291333501E-14</v>
      </c>
      <c r="G548" s="4">
        <v>1.94707998498272E-12</v>
      </c>
      <c r="H548" s="3" t="str">
        <f>"INTS7"</f>
        <v>INTS7</v>
      </c>
      <c r="I548" s="3" t="str">
        <f>"protein_coding"</f>
        <v>protein_coding</v>
      </c>
    </row>
    <row r="549" spans="1:9" x14ac:dyDescent="0.2">
      <c r="A549" s="3" t="str">
        <f>"ENSG00000143476.18"</f>
        <v>ENSG00000143476.18</v>
      </c>
      <c r="B549" s="3">
        <v>1309.6343525028201</v>
      </c>
      <c r="C549" s="3">
        <v>-1.20836455005558</v>
      </c>
      <c r="D549" s="3">
        <v>0.18855703900599499</v>
      </c>
      <c r="E549" s="3">
        <v>-6.4084828464937802</v>
      </c>
      <c r="F549" s="4">
        <v>1.46974811793676E-10</v>
      </c>
      <c r="G549" s="4">
        <v>2.2334761276867199E-9</v>
      </c>
      <c r="H549" s="3" t="str">
        <f>"DTL"</f>
        <v>DTL</v>
      </c>
      <c r="I549" s="3" t="str">
        <f>"protein_coding"</f>
        <v>protein_coding</v>
      </c>
    </row>
    <row r="550" spans="1:9" x14ac:dyDescent="0.2">
      <c r="A550" s="3" t="str">
        <f>"ENSG00000162769.13"</f>
        <v>ENSG00000162769.13</v>
      </c>
      <c r="B550" s="3">
        <v>1443.0796164962001</v>
      </c>
      <c r="C550" s="3">
        <v>-1.30004393718267</v>
      </c>
      <c r="D550" s="3">
        <v>0.199836629200764</v>
      </c>
      <c r="E550" s="3">
        <v>-6.5055337571601699</v>
      </c>
      <c r="F550" s="4">
        <v>7.74179958093835E-11</v>
      </c>
      <c r="G550" s="4">
        <v>1.2264000766385301E-9</v>
      </c>
      <c r="H550" s="3" t="str">
        <f>"FLVCR1"</f>
        <v>FLVCR1</v>
      </c>
      <c r="I550" s="3" t="str">
        <f>"protein_coding"</f>
        <v>protein_coding</v>
      </c>
    </row>
    <row r="551" spans="1:9" x14ac:dyDescent="0.2">
      <c r="A551" s="3" t="str">
        <f>"ENSG00000143494.15"</f>
        <v>ENSG00000143494.15</v>
      </c>
      <c r="B551" s="3">
        <v>102.02076524459601</v>
      </c>
      <c r="C551" s="3">
        <v>-1.2572029520036601</v>
      </c>
      <c r="D551" s="3">
        <v>0.38972301147155503</v>
      </c>
      <c r="E551" s="3">
        <v>-3.22588842587608</v>
      </c>
      <c r="F551" s="3">
        <v>1.2558230263761199E-3</v>
      </c>
      <c r="G551" s="3">
        <v>5.3800959118978E-3</v>
      </c>
      <c r="H551" s="3" t="str">
        <f>"VASH2"</f>
        <v>VASH2</v>
      </c>
      <c r="I551" s="3" t="str">
        <f>"protein_coding"</f>
        <v>protein_coding</v>
      </c>
    </row>
    <row r="552" spans="1:9" x14ac:dyDescent="0.2">
      <c r="A552" s="3" t="str">
        <f>"ENSG00000230461.8"</f>
        <v>ENSG00000230461.8</v>
      </c>
      <c r="B552" s="3">
        <v>189.317019235386</v>
      </c>
      <c r="C552" s="3">
        <v>1.8657238101684599</v>
      </c>
      <c r="D552" s="3">
        <v>0.313877602885129</v>
      </c>
      <c r="E552" s="3">
        <v>5.9441125872598901</v>
      </c>
      <c r="F552" s="4">
        <v>2.7795851508835501E-9</v>
      </c>
      <c r="G552" s="4">
        <v>3.5556505448884597E-8</v>
      </c>
      <c r="H552" s="3" t="str">
        <f>"PROX1-AS1"</f>
        <v>PROX1-AS1</v>
      </c>
      <c r="I552" s="3" t="str">
        <f>"processed_transcript"</f>
        <v>processed_transcript</v>
      </c>
    </row>
    <row r="553" spans="1:9" x14ac:dyDescent="0.2">
      <c r="A553" s="3" t="str">
        <f>"ENSG00000281664.1"</f>
        <v>ENSG00000281664.1</v>
      </c>
      <c r="B553" s="3">
        <v>19.7215828882122</v>
      </c>
      <c r="C553" s="3">
        <v>2.73039254904395</v>
      </c>
      <c r="D553" s="3">
        <v>0.83504158914297799</v>
      </c>
      <c r="E553" s="3">
        <v>3.2697683379413598</v>
      </c>
      <c r="F553" s="3">
        <v>1.0763559447588601E-3</v>
      </c>
      <c r="G553" s="3">
        <v>4.7006684447578996E-3</v>
      </c>
      <c r="H553" s="3" t="str">
        <f>"LINC00538"</f>
        <v>LINC00538</v>
      </c>
      <c r="I553" s="3" t="str">
        <f>"lincRNA"</f>
        <v>lincRNA</v>
      </c>
    </row>
    <row r="554" spans="1:9" x14ac:dyDescent="0.2">
      <c r="A554" s="3" t="str">
        <f>"ENSG00000143499.14"</f>
        <v>ENSG00000143499.14</v>
      </c>
      <c r="B554" s="3">
        <v>1578.3913648887899</v>
      </c>
      <c r="C554" s="3">
        <v>-1.1367989714246001</v>
      </c>
      <c r="D554" s="3">
        <v>0.18761548516882001</v>
      </c>
      <c r="E554" s="3">
        <v>-6.0591958622268898</v>
      </c>
      <c r="F554" s="4">
        <v>1.3680373123132501E-9</v>
      </c>
      <c r="G554" s="4">
        <v>1.8280977267581701E-8</v>
      </c>
      <c r="H554" s="3" t="str">
        <f>"SMYD2"</f>
        <v>SMYD2</v>
      </c>
      <c r="I554" s="3" t="str">
        <f t="shared" ref="I554:I563" si="24">"protein_coding"</f>
        <v>protein_coding</v>
      </c>
    </row>
    <row r="555" spans="1:9" x14ac:dyDescent="0.2">
      <c r="A555" s="3" t="str">
        <f>"ENSG00000136636.13"</f>
        <v>ENSG00000136636.13</v>
      </c>
      <c r="B555" s="3">
        <v>1997.66069896009</v>
      </c>
      <c r="C555" s="3">
        <v>-1.62262204377676</v>
      </c>
      <c r="D555" s="3">
        <v>0.19237447233002899</v>
      </c>
      <c r="E555" s="3">
        <v>-8.4347056245231204</v>
      </c>
      <c r="F555" s="4">
        <v>3.3203749361503402E-17</v>
      </c>
      <c r="G555" s="4">
        <v>1.0074638740009799E-15</v>
      </c>
      <c r="H555" s="3" t="str">
        <f>"KCTD3"</f>
        <v>KCTD3</v>
      </c>
      <c r="I555" s="3" t="str">
        <f t="shared" si="24"/>
        <v>protein_coding</v>
      </c>
    </row>
    <row r="556" spans="1:9" x14ac:dyDescent="0.2">
      <c r="A556" s="3" t="str">
        <f>"ENSG00000042781.13"</f>
        <v>ENSG00000042781.13</v>
      </c>
      <c r="B556" s="3">
        <v>19.310810467116401</v>
      </c>
      <c r="C556" s="3">
        <v>4.1456484081533302</v>
      </c>
      <c r="D556" s="3">
        <v>1.0141072496106001</v>
      </c>
      <c r="E556" s="3">
        <v>4.0879782781803504</v>
      </c>
      <c r="F556" s="4">
        <v>4.3514888649073202E-5</v>
      </c>
      <c r="G556" s="3">
        <v>2.6946594795938599E-4</v>
      </c>
      <c r="H556" s="3" t="str">
        <f>"USH2A"</f>
        <v>USH2A</v>
      </c>
      <c r="I556" s="3" t="str">
        <f t="shared" si="24"/>
        <v>protein_coding</v>
      </c>
    </row>
    <row r="557" spans="1:9" x14ac:dyDescent="0.2">
      <c r="A557" s="3" t="str">
        <f>"ENSG00000196482.17"</f>
        <v>ENSG00000196482.17</v>
      </c>
      <c r="B557" s="3">
        <v>5.9819558428212396</v>
      </c>
      <c r="C557" s="3">
        <v>5.9757714752725404</v>
      </c>
      <c r="D557" s="3">
        <v>1.9478131524890001</v>
      </c>
      <c r="E557" s="3">
        <v>3.0679387638575299</v>
      </c>
      <c r="F557" s="3">
        <v>2.15540781510168E-3</v>
      </c>
      <c r="G557" s="3">
        <v>8.5973351980786605E-3</v>
      </c>
      <c r="H557" s="3" t="str">
        <f>"ESRRG"</f>
        <v>ESRRG</v>
      </c>
      <c r="I557" s="3" t="str">
        <f t="shared" si="24"/>
        <v>protein_coding</v>
      </c>
    </row>
    <row r="558" spans="1:9" x14ac:dyDescent="0.2">
      <c r="A558" s="3" t="str">
        <f>"ENSG00000162814.11"</f>
        <v>ENSG00000162814.11</v>
      </c>
      <c r="B558" s="3">
        <v>12.5560425297345</v>
      </c>
      <c r="C558" s="3">
        <v>2.5735999209435199</v>
      </c>
      <c r="D558" s="3">
        <v>1.02377092498417</v>
      </c>
      <c r="E558" s="3">
        <v>2.51384353485455</v>
      </c>
      <c r="F558" s="3">
        <v>1.19423403891507E-2</v>
      </c>
      <c r="G558" s="3">
        <v>3.6862560376547102E-2</v>
      </c>
      <c r="H558" s="3" t="str">
        <f>"SPATA17"</f>
        <v>SPATA17</v>
      </c>
      <c r="I558" s="3" t="str">
        <f t="shared" si="24"/>
        <v>protein_coding</v>
      </c>
    </row>
    <row r="559" spans="1:9" x14ac:dyDescent="0.2">
      <c r="A559" s="3" t="str">
        <f>"ENSG00000196660.10"</f>
        <v>ENSG00000196660.10</v>
      </c>
      <c r="B559" s="3">
        <v>119.10066818393901</v>
      </c>
      <c r="C559" s="3">
        <v>-1.9410009888085</v>
      </c>
      <c r="D559" s="3">
        <v>0.35894527402250298</v>
      </c>
      <c r="E559" s="3">
        <v>-5.4075123125505202</v>
      </c>
      <c r="F559" s="4">
        <v>6.3906150957669405E-8</v>
      </c>
      <c r="G559" s="4">
        <v>6.7151982072642398E-7</v>
      </c>
      <c r="H559" s="3" t="str">
        <f>"SLC30A10"</f>
        <v>SLC30A10</v>
      </c>
      <c r="I559" s="3" t="str">
        <f t="shared" si="24"/>
        <v>protein_coding</v>
      </c>
    </row>
    <row r="560" spans="1:9" x14ac:dyDescent="0.2">
      <c r="A560" s="3" t="str">
        <f>"ENSG00000136628.18"</f>
        <v>ENSG00000136628.18</v>
      </c>
      <c r="B560" s="3">
        <v>3379.2863620376602</v>
      </c>
      <c r="C560" s="3">
        <v>-1.0383989285497901</v>
      </c>
      <c r="D560" s="3">
        <v>0.22808350628489299</v>
      </c>
      <c r="E560" s="3">
        <v>-4.55271380848008</v>
      </c>
      <c r="F560" s="4">
        <v>5.2958294117850702E-6</v>
      </c>
      <c r="G560" s="4">
        <v>3.9783695611499298E-5</v>
      </c>
      <c r="H560" s="3" t="str">
        <f>"EPRS"</f>
        <v>EPRS</v>
      </c>
      <c r="I560" s="3" t="str">
        <f t="shared" si="24"/>
        <v>protein_coding</v>
      </c>
    </row>
    <row r="561" spans="1:9" x14ac:dyDescent="0.2">
      <c r="A561" s="3" t="str">
        <f>"ENSG00000116141.15"</f>
        <v>ENSG00000116141.15</v>
      </c>
      <c r="B561" s="3">
        <v>5.7222775284282497</v>
      </c>
      <c r="C561" s="3">
        <v>5.90725639071547</v>
      </c>
      <c r="D561" s="3">
        <v>2.0180605920329699</v>
      </c>
      <c r="E561" s="3">
        <v>2.9271947601754502</v>
      </c>
      <c r="F561" s="3">
        <v>3.42034619021497E-3</v>
      </c>
      <c r="G561" s="3">
        <v>1.2824297873233401E-2</v>
      </c>
      <c r="H561" s="3" t="str">
        <f>"MARK1"</f>
        <v>MARK1</v>
      </c>
      <c r="I561" s="3" t="str">
        <f t="shared" si="24"/>
        <v>protein_coding</v>
      </c>
    </row>
    <row r="562" spans="1:9" x14ac:dyDescent="0.2">
      <c r="A562" s="3" t="str">
        <f>"ENSG00000117791.16"</f>
        <v>ENSG00000117791.16</v>
      </c>
      <c r="B562" s="3">
        <v>253.095420264376</v>
      </c>
      <c r="C562" s="3">
        <v>1.3274569914340799</v>
      </c>
      <c r="D562" s="3">
        <v>0.27737808111395001</v>
      </c>
      <c r="E562" s="3">
        <v>4.7857313963057804</v>
      </c>
      <c r="F562" s="4">
        <v>1.70365775765609E-6</v>
      </c>
      <c r="G562" s="4">
        <v>1.40028847429428E-5</v>
      </c>
      <c r="H562" s="3" t="str">
        <f>"MARC2"</f>
        <v>MARC2</v>
      </c>
      <c r="I562" s="3" t="str">
        <f t="shared" si="24"/>
        <v>protein_coding</v>
      </c>
    </row>
    <row r="563" spans="1:9" x14ac:dyDescent="0.2">
      <c r="A563" s="3" t="str">
        <f>"ENSG00000186205.13"</f>
        <v>ENSG00000186205.13</v>
      </c>
      <c r="B563" s="3">
        <v>606.31366210456497</v>
      </c>
      <c r="C563" s="3">
        <v>-2.1058984487176202</v>
      </c>
      <c r="D563" s="3">
        <v>0.23033440790599599</v>
      </c>
      <c r="E563" s="3">
        <v>-9.1427870801529707</v>
      </c>
      <c r="F563" s="4">
        <v>6.0863141490504104E-20</v>
      </c>
      <c r="G563" s="4">
        <v>2.3226022635738999E-18</v>
      </c>
      <c r="H563" s="3" t="str">
        <f>"MARC1"</f>
        <v>MARC1</v>
      </c>
      <c r="I563" s="3" t="str">
        <f t="shared" si="24"/>
        <v>protein_coding</v>
      </c>
    </row>
    <row r="564" spans="1:9" x14ac:dyDescent="0.2">
      <c r="A564" s="3" t="str">
        <f>"ENSG00000238078.1"</f>
        <v>ENSG00000238078.1</v>
      </c>
      <c r="B564" s="3">
        <v>12.4015587945766</v>
      </c>
      <c r="C564" s="3">
        <v>-2.4844698611582299</v>
      </c>
      <c r="D564" s="3">
        <v>1.02953562339548</v>
      </c>
      <c r="E564" s="3">
        <v>-2.41319465271564</v>
      </c>
      <c r="F564" s="3">
        <v>1.58133717682853E-2</v>
      </c>
      <c r="G564" s="3">
        <v>4.6544986558330899E-2</v>
      </c>
      <c r="H564" s="3" t="str">
        <f>"LINC01352"</f>
        <v>LINC01352</v>
      </c>
      <c r="I564" s="3" t="str">
        <f>"lincRNA"</f>
        <v>lincRNA</v>
      </c>
    </row>
    <row r="565" spans="1:9" x14ac:dyDescent="0.2">
      <c r="A565" s="3" t="str">
        <f>"ENSG00000225265.1"</f>
        <v>ENSG00000225265.1</v>
      </c>
      <c r="B565" s="3">
        <v>23.192094453021301</v>
      </c>
      <c r="C565" s="3">
        <v>2.3241214914406401</v>
      </c>
      <c r="D565" s="3">
        <v>0.76143805823975896</v>
      </c>
      <c r="E565" s="3">
        <v>3.0522791267005802</v>
      </c>
      <c r="F565" s="3">
        <v>2.2711080343174699E-3</v>
      </c>
      <c r="G565" s="3">
        <v>8.9825635957393006E-3</v>
      </c>
      <c r="H565" s="3" t="str">
        <f>"TAF1A-AS1"</f>
        <v>TAF1A-AS1</v>
      </c>
      <c r="I565" s="3" t="str">
        <f>"antisense"</f>
        <v>antisense</v>
      </c>
    </row>
    <row r="566" spans="1:9" x14ac:dyDescent="0.2">
      <c r="A566" s="3" t="str">
        <f>"ENSG00000162909.18"</f>
        <v>ENSG00000162909.18</v>
      </c>
      <c r="B566" s="3">
        <v>543.48954445671995</v>
      </c>
      <c r="C566" s="3">
        <v>2.2892664396894</v>
      </c>
      <c r="D566" s="3">
        <v>0.23141753825629699</v>
      </c>
      <c r="E566" s="3">
        <v>9.8923636338833507</v>
      </c>
      <c r="F566" s="4">
        <v>4.4929231469568901E-23</v>
      </c>
      <c r="G566" s="4">
        <v>2.1782682737568401E-21</v>
      </c>
      <c r="H566" s="3" t="str">
        <f>"CAPN2"</f>
        <v>CAPN2</v>
      </c>
      <c r="I566" s="3" t="str">
        <f>"protein_coding"</f>
        <v>protein_coding</v>
      </c>
    </row>
    <row r="567" spans="1:9" x14ac:dyDescent="0.2">
      <c r="A567" s="3" t="str">
        <f>"ENSG00000272645.3"</f>
        <v>ENSG00000272645.3</v>
      </c>
      <c r="B567" s="3">
        <v>352.65825970837898</v>
      </c>
      <c r="C567" s="3">
        <v>1.2530001199557499</v>
      </c>
      <c r="D567" s="3">
        <v>0.25783136778322202</v>
      </c>
      <c r="E567" s="3">
        <v>4.8597660196615102</v>
      </c>
      <c r="F567" s="4">
        <v>1.1752456757490901E-6</v>
      </c>
      <c r="G567" s="4">
        <v>9.9292771867086693E-6</v>
      </c>
      <c r="H567" s="3" t="str">
        <f>"GTF2IP20"</f>
        <v>GTF2IP20</v>
      </c>
      <c r="I567" s="3" t="str">
        <f>"transcribed_unprocessed_pseudogene"</f>
        <v>transcribed_unprocessed_pseudogene</v>
      </c>
    </row>
    <row r="568" spans="1:9" x14ac:dyDescent="0.2">
      <c r="A568" s="3" t="str">
        <f>"ENSG00000237101.1"</f>
        <v>ENSG00000237101.1</v>
      </c>
      <c r="B568" s="3">
        <v>10.381626855969399</v>
      </c>
      <c r="C568" s="3">
        <v>6.7675213946713999</v>
      </c>
      <c r="D568" s="3">
        <v>1.79180394394081</v>
      </c>
      <c r="E568" s="3">
        <v>3.7769318554948699</v>
      </c>
      <c r="F568" s="3">
        <v>1.5877214887982199E-4</v>
      </c>
      <c r="G568" s="3">
        <v>8.6764234667639599E-4</v>
      </c>
      <c r="H568" s="3" t="str">
        <f>"AC092809.4"</f>
        <v>AC092809.4</v>
      </c>
      <c r="I568" s="3" t="str">
        <f>"antisense"</f>
        <v>antisense</v>
      </c>
    </row>
    <row r="569" spans="1:9" x14ac:dyDescent="0.2">
      <c r="A569" s="3" t="str">
        <f>"ENSG00000143815.15"</f>
        <v>ENSG00000143815.15</v>
      </c>
      <c r="B569" s="3">
        <v>4618.3159589035904</v>
      </c>
      <c r="C569" s="3">
        <v>-1.2034548593503001</v>
      </c>
      <c r="D569" s="3">
        <v>0.17588201459923</v>
      </c>
      <c r="E569" s="3">
        <v>-6.84239865055289</v>
      </c>
      <c r="F569" s="4">
        <v>7.7878001528625406E-12</v>
      </c>
      <c r="G569" s="4">
        <v>1.3850795741843699E-10</v>
      </c>
      <c r="H569" s="3" t="str">
        <f>"LBR"</f>
        <v>LBR</v>
      </c>
      <c r="I569" s="3" t="str">
        <f>"protein_coding"</f>
        <v>protein_coding</v>
      </c>
    </row>
    <row r="570" spans="1:9" x14ac:dyDescent="0.2">
      <c r="A570" s="3" t="str">
        <f>"ENSG00000234476.2"</f>
        <v>ENSG00000234476.2</v>
      </c>
      <c r="B570" s="3">
        <v>27.092268500578498</v>
      </c>
      <c r="C570" s="3">
        <v>6.6983188305574197</v>
      </c>
      <c r="D570" s="3">
        <v>1.56500413747324</v>
      </c>
      <c r="E570" s="3">
        <v>4.2800646146355303</v>
      </c>
      <c r="F570" s="4">
        <v>1.8683906076213401E-5</v>
      </c>
      <c r="G570" s="3">
        <v>1.24866418655527E-4</v>
      </c>
      <c r="H570" s="3" t="str">
        <f>"AC092811.1"</f>
        <v>AC092811.1</v>
      </c>
      <c r="I570" s="3" t="str">
        <f>"lincRNA"</f>
        <v>lincRNA</v>
      </c>
    </row>
    <row r="571" spans="1:9" x14ac:dyDescent="0.2">
      <c r="A571" s="3" t="str">
        <f>"ENSG00000282418.1"</f>
        <v>ENSG00000282418.1</v>
      </c>
      <c r="B571" s="3">
        <v>21.464304561646099</v>
      </c>
      <c r="C571" s="3">
        <v>4.7478964439198501</v>
      </c>
      <c r="D571" s="3">
        <v>1.09709484531806</v>
      </c>
      <c r="E571" s="3">
        <v>4.3276991630959598</v>
      </c>
      <c r="F571" s="4">
        <v>1.5067507862466701E-5</v>
      </c>
      <c r="G571" s="3">
        <v>1.02944931476588E-4</v>
      </c>
      <c r="H571" s="3" t="str">
        <f>"AC092811.2"</f>
        <v>AC092811.2</v>
      </c>
      <c r="I571" s="3" t="str">
        <f>"lincRNA"</f>
        <v>lincRNA</v>
      </c>
    </row>
    <row r="572" spans="1:9" x14ac:dyDescent="0.2">
      <c r="A572" s="3" t="str">
        <f>"ENSG00000143819.12"</f>
        <v>ENSG00000143819.12</v>
      </c>
      <c r="B572" s="3">
        <v>4850.963325447</v>
      </c>
      <c r="C572" s="3">
        <v>1.0750429101718</v>
      </c>
      <c r="D572" s="3">
        <v>0.22242629073089701</v>
      </c>
      <c r="E572" s="3">
        <v>4.8332546779393297</v>
      </c>
      <c r="F572" s="4">
        <v>1.34318773531668E-6</v>
      </c>
      <c r="G572" s="4">
        <v>1.12678067192652E-5</v>
      </c>
      <c r="H572" s="3" t="str">
        <f>"EPHX1"</f>
        <v>EPHX1</v>
      </c>
      <c r="I572" s="3" t="str">
        <f>"protein_coding"</f>
        <v>protein_coding</v>
      </c>
    </row>
    <row r="573" spans="1:9" x14ac:dyDescent="0.2">
      <c r="A573" s="3" t="str">
        <f>"ENSG00000242861.1"</f>
        <v>ENSG00000242861.1</v>
      </c>
      <c r="B573" s="3">
        <v>39.051945486275699</v>
      </c>
      <c r="C573" s="3">
        <v>2.07862304450803</v>
      </c>
      <c r="D573" s="3">
        <v>0.601472626857948</v>
      </c>
      <c r="E573" s="3">
        <v>3.4558896809097002</v>
      </c>
      <c r="F573" s="3">
        <v>5.4847975095696799E-4</v>
      </c>
      <c r="G573" s="3">
        <v>2.60084019741116E-3</v>
      </c>
      <c r="H573" s="3" t="str">
        <f>"AL591895.1"</f>
        <v>AL591895.1</v>
      </c>
      <c r="I573" s="3" t="str">
        <f>"antisense"</f>
        <v>antisense</v>
      </c>
    </row>
    <row r="574" spans="1:9" x14ac:dyDescent="0.2">
      <c r="A574" s="3" t="str">
        <f>"ENSG00000203685.10"</f>
        <v>ENSG00000203685.10</v>
      </c>
      <c r="B574" s="3">
        <v>21.5483002358636</v>
      </c>
      <c r="C574" s="3">
        <v>7.8274345354112098</v>
      </c>
      <c r="D574" s="3">
        <v>1.60665116147451</v>
      </c>
      <c r="E574" s="3">
        <v>4.87189423759391</v>
      </c>
      <c r="F574" s="4">
        <v>1.10533337857259E-6</v>
      </c>
      <c r="G574" s="4">
        <v>9.4027532207204E-6</v>
      </c>
      <c r="H574" s="3" t="str">
        <f>"STUM"</f>
        <v>STUM</v>
      </c>
      <c r="I574" s="3" t="str">
        <f>"protein_coding"</f>
        <v>protein_coding</v>
      </c>
    </row>
    <row r="575" spans="1:9" x14ac:dyDescent="0.2">
      <c r="A575" s="3" t="str">
        <f>"ENSG00000143772.9"</f>
        <v>ENSG00000143772.9</v>
      </c>
      <c r="B575" s="3">
        <v>20.002253510997299</v>
      </c>
      <c r="C575" s="3">
        <v>7.7179034215605098</v>
      </c>
      <c r="D575" s="3">
        <v>1.61419742694605</v>
      </c>
      <c r="E575" s="3">
        <v>4.7812636129412303</v>
      </c>
      <c r="F575" s="4">
        <v>1.7419675527586301E-6</v>
      </c>
      <c r="G575" s="4">
        <v>1.4304819141053199E-5</v>
      </c>
      <c r="H575" s="3" t="str">
        <f>"ITPKB"</f>
        <v>ITPKB</v>
      </c>
      <c r="I575" s="3" t="str">
        <f>"protein_coding"</f>
        <v>protein_coding</v>
      </c>
    </row>
    <row r="576" spans="1:9" x14ac:dyDescent="0.2">
      <c r="A576" s="3" t="str">
        <f>"ENSG00000143816.8"</f>
        <v>ENSG00000143816.8</v>
      </c>
      <c r="B576" s="3">
        <v>115.323782170727</v>
      </c>
      <c r="C576" s="3">
        <v>5.9740943991529196</v>
      </c>
      <c r="D576" s="3">
        <v>0.65759723049443797</v>
      </c>
      <c r="E576" s="3">
        <v>9.0847316900362909</v>
      </c>
      <c r="F576" s="4">
        <v>1.03954762461526E-19</v>
      </c>
      <c r="G576" s="4">
        <v>3.9068350521230504E-18</v>
      </c>
      <c r="H576" s="3" t="str">
        <f>"WNT9A"</f>
        <v>WNT9A</v>
      </c>
      <c r="I576" s="3" t="str">
        <f>"protein_coding"</f>
        <v>protein_coding</v>
      </c>
    </row>
    <row r="577" spans="1:9" x14ac:dyDescent="0.2">
      <c r="A577" s="3" t="str">
        <f>"ENSG00000198835.4"</f>
        <v>ENSG00000198835.4</v>
      </c>
      <c r="B577" s="3">
        <v>90.389371241131897</v>
      </c>
      <c r="C577" s="3">
        <v>-1.53341297662998</v>
      </c>
      <c r="D577" s="3">
        <v>0.39039264455390499</v>
      </c>
      <c r="E577" s="3">
        <v>-3.9278736370204599</v>
      </c>
      <c r="F577" s="4">
        <v>8.5700216262613594E-5</v>
      </c>
      <c r="G577" s="3">
        <v>4.9931487858992797E-4</v>
      </c>
      <c r="H577" s="3" t="str">
        <f>"GJC2"</f>
        <v>GJC2</v>
      </c>
      <c r="I577" s="3" t="str">
        <f>"protein_coding"</f>
        <v>protein_coding</v>
      </c>
    </row>
    <row r="578" spans="1:9" x14ac:dyDescent="0.2">
      <c r="A578" s="3" t="str">
        <f>"ENSG00000154358.20"</f>
        <v>ENSG00000154358.20</v>
      </c>
      <c r="B578" s="3">
        <v>57.249751997234704</v>
      </c>
      <c r="C578" s="3">
        <v>1.3715408576666801</v>
      </c>
      <c r="D578" s="3">
        <v>0.48006638764239701</v>
      </c>
      <c r="E578" s="3">
        <v>2.8569816445644198</v>
      </c>
      <c r="F578" s="3">
        <v>4.2769057033648699E-3</v>
      </c>
      <c r="G578" s="3">
        <v>1.5504636734909901E-2</v>
      </c>
      <c r="H578" s="3" t="str">
        <f>"OBSCN"</f>
        <v>OBSCN</v>
      </c>
      <c r="I578" s="3" t="str">
        <f>"protein_coding"</f>
        <v>protein_coding</v>
      </c>
    </row>
    <row r="579" spans="1:9" x14ac:dyDescent="0.2">
      <c r="A579" s="3" t="str">
        <f>"ENSG00000183929.7"</f>
        <v>ENSG00000183929.7</v>
      </c>
      <c r="B579" s="3">
        <v>26.148765681631801</v>
      </c>
      <c r="C579" s="3">
        <v>-3.71467229277027</v>
      </c>
      <c r="D579" s="3">
        <v>0.84696497504958701</v>
      </c>
      <c r="E579" s="3">
        <v>-4.3858629367203603</v>
      </c>
      <c r="F579" s="4">
        <v>1.1552685365114E-5</v>
      </c>
      <c r="G579" s="4">
        <v>8.0960910016271198E-5</v>
      </c>
      <c r="H579" s="3" t="str">
        <f>"DUSP5P1"</f>
        <v>DUSP5P1</v>
      </c>
      <c r="I579" s="3" t="str">
        <f>"processed_pseudogene"</f>
        <v>processed_pseudogene</v>
      </c>
    </row>
    <row r="580" spans="1:9" x14ac:dyDescent="0.2">
      <c r="A580" s="3" t="str">
        <f>"ENSG00000282111.1"</f>
        <v>ENSG00000282111.1</v>
      </c>
      <c r="B580" s="3">
        <v>5.5410870043945497</v>
      </c>
      <c r="C580" s="3">
        <v>5.8644343548867397</v>
      </c>
      <c r="D580" s="3">
        <v>1.9857427620116099</v>
      </c>
      <c r="E580" s="3">
        <v>2.95326991344333</v>
      </c>
      <c r="F580" s="3">
        <v>3.1442690636943002E-3</v>
      </c>
      <c r="G580" s="3">
        <v>1.1922056662744001E-2</v>
      </c>
      <c r="H580" s="3" t="str">
        <f>"AL137793.2"</f>
        <v>AL137793.2</v>
      </c>
      <c r="I580" s="3" t="str">
        <f>"lincRNA"</f>
        <v>lincRNA</v>
      </c>
    </row>
    <row r="581" spans="1:9" x14ac:dyDescent="0.2">
      <c r="A581" s="3" t="str">
        <f>"ENSG00000168118.11"</f>
        <v>ENSG00000168118.11</v>
      </c>
      <c r="B581" s="3">
        <v>2401.5670578784302</v>
      </c>
      <c r="C581" s="3">
        <v>-1.0000489054634001</v>
      </c>
      <c r="D581" s="3">
        <v>0.181085121266122</v>
      </c>
      <c r="E581" s="3">
        <v>-5.52253491877853</v>
      </c>
      <c r="F581" s="4">
        <v>3.3414336380488998E-8</v>
      </c>
      <c r="G581" s="4">
        <v>3.6845019156583701E-7</v>
      </c>
      <c r="H581" s="3" t="str">
        <f>"RAB4A"</f>
        <v>RAB4A</v>
      </c>
      <c r="I581" s="3" t="str">
        <f t="shared" ref="I581:I589" si="25">"protein_coding"</f>
        <v>protein_coding</v>
      </c>
    </row>
    <row r="582" spans="1:9" x14ac:dyDescent="0.2">
      <c r="A582" s="3" t="str">
        <f>"ENSG00000143632.14"</f>
        <v>ENSG00000143632.14</v>
      </c>
      <c r="B582" s="3">
        <v>97.522325065110806</v>
      </c>
      <c r="C582" s="3">
        <v>-2.2277825699375802</v>
      </c>
      <c r="D582" s="3">
        <v>0.41811088540018498</v>
      </c>
      <c r="E582" s="3">
        <v>-5.3282099264297003</v>
      </c>
      <c r="F582" s="4">
        <v>9.9185446525854704E-8</v>
      </c>
      <c r="G582" s="4">
        <v>1.00802158205519E-6</v>
      </c>
      <c r="H582" s="3" t="str">
        <f>"ACTA1"</f>
        <v>ACTA1</v>
      </c>
      <c r="I582" s="3" t="str">
        <f t="shared" si="25"/>
        <v>protein_coding</v>
      </c>
    </row>
    <row r="583" spans="1:9" x14ac:dyDescent="0.2">
      <c r="A583" s="3" t="str">
        <f>"ENSG00000135776.5"</f>
        <v>ENSG00000135776.5</v>
      </c>
      <c r="B583" s="3">
        <v>1232.56571434947</v>
      </c>
      <c r="C583" s="3">
        <v>-2.3253478224233599</v>
      </c>
      <c r="D583" s="3">
        <v>0.19543557413715101</v>
      </c>
      <c r="E583" s="3">
        <v>-11.8982832715578</v>
      </c>
      <c r="F583" s="4">
        <v>1.20806753431019E-32</v>
      </c>
      <c r="G583" s="4">
        <v>1.1082901046245701E-30</v>
      </c>
      <c r="H583" s="3" t="str">
        <f>"ABCB10"</f>
        <v>ABCB10</v>
      </c>
      <c r="I583" s="3" t="str">
        <f t="shared" si="25"/>
        <v>protein_coding</v>
      </c>
    </row>
    <row r="584" spans="1:9" x14ac:dyDescent="0.2">
      <c r="A584" s="3" t="str">
        <f>"ENSG00000135763.10"</f>
        <v>ENSG00000135763.10</v>
      </c>
      <c r="B584" s="3">
        <v>1185.9959154871499</v>
      </c>
      <c r="C584" s="3">
        <v>-1.6167448963886999</v>
      </c>
      <c r="D584" s="3">
        <v>0.20867386788190101</v>
      </c>
      <c r="E584" s="3">
        <v>-7.7477113583944099</v>
      </c>
      <c r="F584" s="4">
        <v>9.3563518271179199E-15</v>
      </c>
      <c r="G584" s="4">
        <v>2.27212583095795E-13</v>
      </c>
      <c r="H584" s="3" t="str">
        <f>"URB2"</f>
        <v>URB2</v>
      </c>
      <c r="I584" s="3" t="str">
        <f t="shared" si="25"/>
        <v>protein_coding</v>
      </c>
    </row>
    <row r="585" spans="1:9" x14ac:dyDescent="0.2">
      <c r="A585" s="3" t="str">
        <f>"ENSG00000135744.8"</f>
        <v>ENSG00000135744.8</v>
      </c>
      <c r="B585" s="3">
        <v>11631.596331405701</v>
      </c>
      <c r="C585" s="3">
        <v>-1.77153460543921</v>
      </c>
      <c r="D585" s="3">
        <v>0.23573466918118899</v>
      </c>
      <c r="E585" s="3">
        <v>-7.5149514986172097</v>
      </c>
      <c r="F585" s="4">
        <v>5.6932036712943497E-14</v>
      </c>
      <c r="G585" s="4">
        <v>1.2926893369313099E-12</v>
      </c>
      <c r="H585" s="3" t="str">
        <f>"AGT"</f>
        <v>AGT</v>
      </c>
      <c r="I585" s="3" t="str">
        <f t="shared" si="25"/>
        <v>protein_coding</v>
      </c>
    </row>
    <row r="586" spans="1:9" x14ac:dyDescent="0.2">
      <c r="A586" s="3" t="str">
        <f>"ENSG00000135773.13"</f>
        <v>ENSG00000135773.13</v>
      </c>
      <c r="B586" s="3">
        <v>82.332151837701801</v>
      </c>
      <c r="C586" s="3">
        <v>3.7562295967247299</v>
      </c>
      <c r="D586" s="3">
        <v>0.48949099453794098</v>
      </c>
      <c r="E586" s="3">
        <v>7.6737460722243904</v>
      </c>
      <c r="F586" s="4">
        <v>1.67044611793005E-14</v>
      </c>
      <c r="G586" s="4">
        <v>3.94407672229116E-13</v>
      </c>
      <c r="H586" s="3" t="str">
        <f>"CAPN9"</f>
        <v>CAPN9</v>
      </c>
      <c r="I586" s="3" t="str">
        <f t="shared" si="25"/>
        <v>protein_coding</v>
      </c>
    </row>
    <row r="587" spans="1:9" x14ac:dyDescent="0.2">
      <c r="A587" s="3" t="str">
        <f>"ENSG00000182118.8"</f>
        <v>ENSG00000182118.8</v>
      </c>
      <c r="B587" s="3">
        <v>71.739953910558398</v>
      </c>
      <c r="C587" s="3">
        <v>1.19057043506996</v>
      </c>
      <c r="D587" s="3">
        <v>0.44581499881322501</v>
      </c>
      <c r="E587" s="3">
        <v>2.6705481830788398</v>
      </c>
      <c r="F587" s="3">
        <v>7.5727502167147603E-3</v>
      </c>
      <c r="G587" s="3">
        <v>2.51597031038687E-2</v>
      </c>
      <c r="H587" s="3" t="str">
        <f>"FAM89A"</f>
        <v>FAM89A</v>
      </c>
      <c r="I587" s="3" t="str">
        <f t="shared" si="25"/>
        <v>protein_coding</v>
      </c>
    </row>
    <row r="588" spans="1:9" x14ac:dyDescent="0.2">
      <c r="A588" s="3" t="str">
        <f>"ENSG00000119283.15"</f>
        <v>ENSG00000119283.15</v>
      </c>
      <c r="B588" s="3">
        <v>14.4980384150271</v>
      </c>
      <c r="C588" s="3">
        <v>2.3976788817981398</v>
      </c>
      <c r="D588" s="3">
        <v>0.95346283450093505</v>
      </c>
      <c r="E588" s="3">
        <v>2.51470617945286</v>
      </c>
      <c r="F588" s="3">
        <v>1.19131621683271E-2</v>
      </c>
      <c r="G588" s="3">
        <v>3.6802486349252601E-2</v>
      </c>
      <c r="H588" s="3" t="str">
        <f>"TRIM67"</f>
        <v>TRIM67</v>
      </c>
      <c r="I588" s="3" t="str">
        <f t="shared" si="25"/>
        <v>protein_coding</v>
      </c>
    </row>
    <row r="589" spans="1:9" x14ac:dyDescent="0.2">
      <c r="A589" s="3" t="str">
        <f>"ENSG00000116906.13"</f>
        <v>ENSG00000116906.13</v>
      </c>
      <c r="B589" s="3">
        <v>2350.60127057111</v>
      </c>
      <c r="C589" s="3">
        <v>-1.14912251648568</v>
      </c>
      <c r="D589" s="3">
        <v>0.18300934452659701</v>
      </c>
      <c r="E589" s="3">
        <v>-6.2790373871792999</v>
      </c>
      <c r="F589" s="4">
        <v>3.4067567087242098E-10</v>
      </c>
      <c r="G589" s="4">
        <v>4.9009450920067902E-9</v>
      </c>
      <c r="H589" s="3" t="str">
        <f>"GNPAT"</f>
        <v>GNPAT</v>
      </c>
      <c r="I589" s="3" t="str">
        <f t="shared" si="25"/>
        <v>protein_coding</v>
      </c>
    </row>
    <row r="590" spans="1:9" x14ac:dyDescent="0.2">
      <c r="A590" s="3" t="str">
        <f>"ENSG00000233461.5"</f>
        <v>ENSG00000233461.5</v>
      </c>
      <c r="B590" s="3">
        <v>137.705075559438</v>
      </c>
      <c r="C590" s="3">
        <v>-1.07873415142602</v>
      </c>
      <c r="D590" s="3">
        <v>0.32574617803030598</v>
      </c>
      <c r="E590" s="3">
        <v>-3.3115788432233302</v>
      </c>
      <c r="F590" s="3">
        <v>9.2771094041917905E-4</v>
      </c>
      <c r="G590" s="3">
        <v>4.1316345200394502E-3</v>
      </c>
      <c r="H590" s="3" t="str">
        <f>"AL445524.1"</f>
        <v>AL445524.1</v>
      </c>
      <c r="I590" s="3" t="str">
        <f>"antisense"</f>
        <v>antisense</v>
      </c>
    </row>
    <row r="591" spans="1:9" x14ac:dyDescent="0.2">
      <c r="A591" s="3" t="str">
        <f>"ENSG00000286071.1"</f>
        <v>ENSG00000286071.1</v>
      </c>
      <c r="B591" s="3">
        <v>14.1986503007994</v>
      </c>
      <c r="C591" s="3">
        <v>5.7551271923192999</v>
      </c>
      <c r="D591" s="3">
        <v>1.6682619832568399</v>
      </c>
      <c r="E591" s="3">
        <v>3.4497742261583699</v>
      </c>
      <c r="F591" s="3">
        <v>5.6105556978125796E-4</v>
      </c>
      <c r="G591" s="3">
        <v>2.6526255613100701E-3</v>
      </c>
      <c r="H591" s="3" t="str">
        <f>"AL136171.1"</f>
        <v>AL136171.1</v>
      </c>
      <c r="I591" s="3" t="str">
        <f>"processed_transcript"</f>
        <v>processed_transcript</v>
      </c>
    </row>
    <row r="592" spans="1:9" x14ac:dyDescent="0.2">
      <c r="A592" s="3" t="str">
        <f>"ENSG00000116991.10"</f>
        <v>ENSG00000116991.10</v>
      </c>
      <c r="B592" s="3">
        <v>75.631944321071003</v>
      </c>
      <c r="C592" s="3">
        <v>4.02489438505512</v>
      </c>
      <c r="D592" s="3">
        <v>0.53724626406715703</v>
      </c>
      <c r="E592" s="3">
        <v>7.4917121890902498</v>
      </c>
      <c r="F592" s="4">
        <v>6.7980868061206101E-14</v>
      </c>
      <c r="G592" s="4">
        <v>1.53650247521526E-12</v>
      </c>
      <c r="H592" s="3" t="str">
        <f>"SIPA1L2"</f>
        <v>SIPA1L2</v>
      </c>
      <c r="I592" s="3" t="str">
        <f>"protein_coding"</f>
        <v>protein_coding</v>
      </c>
    </row>
    <row r="593" spans="1:9" x14ac:dyDescent="0.2">
      <c r="A593" s="3" t="str">
        <f>"ENSG00000135778.12"</f>
        <v>ENSG00000135778.12</v>
      </c>
      <c r="B593" s="3">
        <v>2809.0579567958498</v>
      </c>
      <c r="C593" s="3">
        <v>2.0111340004501801</v>
      </c>
      <c r="D593" s="3">
        <v>0.18900088457813999</v>
      </c>
      <c r="E593" s="3">
        <v>10.6408708347537</v>
      </c>
      <c r="F593" s="4">
        <v>1.9232336273544201E-26</v>
      </c>
      <c r="G593" s="4">
        <v>1.18289721545205E-24</v>
      </c>
      <c r="H593" s="3" t="str">
        <f>"NTPCR"</f>
        <v>NTPCR</v>
      </c>
      <c r="I593" s="3" t="str">
        <f>"protein_coding"</f>
        <v>protein_coding</v>
      </c>
    </row>
    <row r="594" spans="1:9" x14ac:dyDescent="0.2">
      <c r="A594" s="3" t="str">
        <f>"ENSG00000135749.19"</f>
        <v>ENSG00000135749.19</v>
      </c>
      <c r="B594" s="3">
        <v>38.815208931284999</v>
      </c>
      <c r="C594" s="3">
        <v>5.1936101791152298</v>
      </c>
      <c r="D594" s="3">
        <v>0.92408792892505398</v>
      </c>
      <c r="E594" s="3">
        <v>5.62025540703329</v>
      </c>
      <c r="F594" s="4">
        <v>1.90675363596542E-8</v>
      </c>
      <c r="G594" s="4">
        <v>2.1819956454913801E-7</v>
      </c>
      <c r="H594" s="3" t="str">
        <f>"PCNX2"</f>
        <v>PCNX2</v>
      </c>
      <c r="I594" s="3" t="str">
        <f>"protein_coding"</f>
        <v>protein_coding</v>
      </c>
    </row>
    <row r="595" spans="1:9" x14ac:dyDescent="0.2">
      <c r="A595" s="3" t="str">
        <f>"ENSG00000236358.1"</f>
        <v>ENSG00000236358.1</v>
      </c>
      <c r="B595" s="3">
        <v>21.0865691957748</v>
      </c>
      <c r="C595" s="3">
        <v>2.0361018747199999</v>
      </c>
      <c r="D595" s="3">
        <v>0.76771972244620001</v>
      </c>
      <c r="E595" s="3">
        <v>2.6521422013652698</v>
      </c>
      <c r="F595" s="3">
        <v>7.9982848654625606E-3</v>
      </c>
      <c r="G595" s="3">
        <v>2.6361348461262701E-2</v>
      </c>
      <c r="H595" s="3" t="str">
        <f>"AL355472.2"</f>
        <v>AL355472.2</v>
      </c>
      <c r="I595" s="3" t="str">
        <f>"antisense"</f>
        <v>antisense</v>
      </c>
    </row>
    <row r="596" spans="1:9" x14ac:dyDescent="0.2">
      <c r="A596" s="3" t="str">
        <f>"ENSG00000273367.1"</f>
        <v>ENSG00000273367.1</v>
      </c>
      <c r="B596" s="3">
        <v>13.8031670450282</v>
      </c>
      <c r="C596" s="3">
        <v>2.73118149288721</v>
      </c>
      <c r="D596" s="3">
        <v>0.99563573155014096</v>
      </c>
      <c r="E596" s="3">
        <v>2.7431533505079599</v>
      </c>
      <c r="F596" s="3">
        <v>6.0852260028310904E-3</v>
      </c>
      <c r="G596" s="3">
        <v>2.0950739562691299E-2</v>
      </c>
      <c r="H596" s="3" t="str">
        <f>"AL355472.3"</f>
        <v>AL355472.3</v>
      </c>
      <c r="I596" s="3" t="str">
        <f>"antisense"</f>
        <v>antisense</v>
      </c>
    </row>
    <row r="597" spans="1:9" x14ac:dyDescent="0.2">
      <c r="A597" s="3" t="str">
        <f>"ENSG00000168264.10"</f>
        <v>ENSG00000168264.10</v>
      </c>
      <c r="B597" s="3">
        <v>11002.481926116499</v>
      </c>
      <c r="C597" s="3">
        <v>-1.15352832727904</v>
      </c>
      <c r="D597" s="3">
        <v>0.17503548677761599</v>
      </c>
      <c r="E597" s="3">
        <v>-6.5902540594217003</v>
      </c>
      <c r="F597" s="4">
        <v>4.3907457277129202E-11</v>
      </c>
      <c r="G597" s="4">
        <v>7.1723410577334501E-10</v>
      </c>
      <c r="H597" s="3" t="str">
        <f>"IRF2BP2"</f>
        <v>IRF2BP2</v>
      </c>
      <c r="I597" s="3" t="str">
        <f>"protein_coding"</f>
        <v>protein_coding</v>
      </c>
    </row>
    <row r="598" spans="1:9" x14ac:dyDescent="0.2">
      <c r="A598" s="3" t="str">
        <f>"ENSG00000230628.1"</f>
        <v>ENSG00000230628.1</v>
      </c>
      <c r="B598" s="3">
        <v>14.5526855735982</v>
      </c>
      <c r="C598" s="3">
        <v>3.3727996659017001</v>
      </c>
      <c r="D598" s="3">
        <v>1.11140519740515</v>
      </c>
      <c r="E598" s="3">
        <v>3.0347164776414099</v>
      </c>
      <c r="F598" s="3">
        <v>2.4076190230473398E-3</v>
      </c>
      <c r="G598" s="3">
        <v>9.4457012989158807E-3</v>
      </c>
      <c r="H598" s="3" t="str">
        <f>"AL160408.3"</f>
        <v>AL160408.3</v>
      </c>
      <c r="I598" s="3" t="str">
        <f>"lincRNA"</f>
        <v>lincRNA</v>
      </c>
    </row>
    <row r="599" spans="1:9" x14ac:dyDescent="0.2">
      <c r="A599" s="3" t="str">
        <f>"ENSG00000258082.1"</f>
        <v>ENSG00000258082.1</v>
      </c>
      <c r="B599" s="3">
        <v>21.657604984991501</v>
      </c>
      <c r="C599" s="3">
        <v>3.4666460365274099</v>
      </c>
      <c r="D599" s="3">
        <v>0.90541762689898797</v>
      </c>
      <c r="E599" s="3">
        <v>3.8287812535752201</v>
      </c>
      <c r="F599" s="3">
        <v>1.2877940400940599E-4</v>
      </c>
      <c r="G599" s="3">
        <v>7.1961698544796505E-4</v>
      </c>
      <c r="H599" s="3" t="str">
        <f>"AL391832.3"</f>
        <v>AL391832.3</v>
      </c>
      <c r="I599" s="3" t="str">
        <f>"lincRNA"</f>
        <v>lincRNA</v>
      </c>
    </row>
    <row r="600" spans="1:9" x14ac:dyDescent="0.2">
      <c r="A600" s="3" t="str">
        <f>"ENSG00000280587.1"</f>
        <v>ENSG00000280587.1</v>
      </c>
      <c r="B600" s="3">
        <v>441.835733790056</v>
      </c>
      <c r="C600" s="3">
        <v>1.1466183600737101</v>
      </c>
      <c r="D600" s="3">
        <v>0.243839458255772</v>
      </c>
      <c r="E600" s="3">
        <v>4.7023495224098797</v>
      </c>
      <c r="F600" s="4">
        <v>2.5718475008755801E-6</v>
      </c>
      <c r="G600" s="4">
        <v>2.04360247466774E-5</v>
      </c>
      <c r="H600" s="3" t="str">
        <f>"LINC01348"</f>
        <v>LINC01348</v>
      </c>
      <c r="I600" s="3" t="str">
        <f>"lincRNA"</f>
        <v>lincRNA</v>
      </c>
    </row>
    <row r="601" spans="1:9" x14ac:dyDescent="0.2">
      <c r="A601" s="3" t="str">
        <f>"ENSG00000168243.11"</f>
        <v>ENSG00000168243.11</v>
      </c>
      <c r="B601" s="3">
        <v>452.79182671549398</v>
      </c>
      <c r="C601" s="3">
        <v>-2.3795557494508701</v>
      </c>
      <c r="D601" s="3">
        <v>0.25269467156396602</v>
      </c>
      <c r="E601" s="3">
        <v>-9.4167230940147597</v>
      </c>
      <c r="F601" s="4">
        <v>4.6538549185703198E-21</v>
      </c>
      <c r="G601" s="4">
        <v>1.9751337222162901E-19</v>
      </c>
      <c r="H601" s="3" t="str">
        <f>"GNG4"</f>
        <v>GNG4</v>
      </c>
      <c r="I601" s="3" t="str">
        <f t="shared" ref="I601:I610" si="26">"protein_coding"</f>
        <v>protein_coding</v>
      </c>
    </row>
    <row r="602" spans="1:9" x14ac:dyDescent="0.2">
      <c r="A602" s="3" t="str">
        <f>"ENSG00000116962.15"</f>
        <v>ENSG00000116962.15</v>
      </c>
      <c r="B602" s="3">
        <v>9560.0774540796301</v>
      </c>
      <c r="C602" s="3">
        <v>-1.8936644545849799</v>
      </c>
      <c r="D602" s="3">
        <v>0.181126431689309</v>
      </c>
      <c r="E602" s="3">
        <v>-10.4549316017732</v>
      </c>
      <c r="F602" s="4">
        <v>1.39099106842207E-25</v>
      </c>
      <c r="G602" s="4">
        <v>8.1681753537275897E-24</v>
      </c>
      <c r="H602" s="3" t="str">
        <f>"NID1"</f>
        <v>NID1</v>
      </c>
      <c r="I602" s="3" t="str">
        <f t="shared" si="26"/>
        <v>protein_coding</v>
      </c>
    </row>
    <row r="603" spans="1:9" x14ac:dyDescent="0.2">
      <c r="A603" s="3" t="str">
        <f>"ENSG00000086619.13"</f>
        <v>ENSG00000086619.13</v>
      </c>
      <c r="B603" s="3">
        <v>351.88007952818202</v>
      </c>
      <c r="C603" s="3">
        <v>1.1077289078516701</v>
      </c>
      <c r="D603" s="3">
        <v>0.26889740633175102</v>
      </c>
      <c r="E603" s="3">
        <v>4.1195224712767002</v>
      </c>
      <c r="F603" s="4">
        <v>3.7965839930263402E-5</v>
      </c>
      <c r="G603" s="3">
        <v>2.3807945698041101E-4</v>
      </c>
      <c r="H603" s="3" t="str">
        <f>"ERO1B"</f>
        <v>ERO1B</v>
      </c>
      <c r="I603" s="3" t="str">
        <f t="shared" si="26"/>
        <v>protein_coding</v>
      </c>
    </row>
    <row r="604" spans="1:9" x14ac:dyDescent="0.2">
      <c r="A604" s="3" t="str">
        <f>"ENSG00000186197.14"</f>
        <v>ENSG00000186197.14</v>
      </c>
      <c r="B604" s="3">
        <v>55.217605375408603</v>
      </c>
      <c r="C604" s="3">
        <v>-1.61067827905288</v>
      </c>
      <c r="D604" s="3">
        <v>0.49151548297499498</v>
      </c>
      <c r="E604" s="3">
        <v>-3.2769634626847002</v>
      </c>
      <c r="F604" s="3">
        <v>1.04929946832849E-3</v>
      </c>
      <c r="G604" s="3">
        <v>4.6002031558401201E-3</v>
      </c>
      <c r="H604" s="3" t="str">
        <f>"EDARADD"</f>
        <v>EDARADD</v>
      </c>
      <c r="I604" s="3" t="str">
        <f t="shared" si="26"/>
        <v>protein_coding</v>
      </c>
    </row>
    <row r="605" spans="1:9" x14ac:dyDescent="0.2">
      <c r="A605" s="3" t="str">
        <f>"ENSG00000198626.16"</f>
        <v>ENSG00000198626.16</v>
      </c>
      <c r="B605" s="3">
        <v>29.366294379825099</v>
      </c>
      <c r="C605" s="3">
        <v>4.7776690044710604</v>
      </c>
      <c r="D605" s="3">
        <v>0.93261421505723097</v>
      </c>
      <c r="E605" s="3">
        <v>5.1228781712038103</v>
      </c>
      <c r="F605" s="4">
        <v>3.00906781610349E-7</v>
      </c>
      <c r="G605" s="4">
        <v>2.8155244088383102E-6</v>
      </c>
      <c r="H605" s="3" t="str">
        <f>"RYR2"</f>
        <v>RYR2</v>
      </c>
      <c r="I605" s="3" t="str">
        <f t="shared" si="26"/>
        <v>protein_coding</v>
      </c>
    </row>
    <row r="606" spans="1:9" x14ac:dyDescent="0.2">
      <c r="A606" s="3" t="str">
        <f>"ENSG00000117009.12"</f>
        <v>ENSG00000117009.12</v>
      </c>
      <c r="B606" s="3">
        <v>3.7806174410606901</v>
      </c>
      <c r="C606" s="3">
        <v>5.3154478000652503</v>
      </c>
      <c r="D606" s="3">
        <v>2.1865395084011801</v>
      </c>
      <c r="E606" s="3">
        <v>2.43098639637752</v>
      </c>
      <c r="F606" s="3">
        <v>1.5057779905063901E-2</v>
      </c>
      <c r="G606" s="3">
        <v>4.4683002512881202E-2</v>
      </c>
      <c r="H606" s="3" t="str">
        <f>"KMO"</f>
        <v>KMO</v>
      </c>
      <c r="I606" s="3" t="str">
        <f t="shared" si="26"/>
        <v>protein_coding</v>
      </c>
    </row>
    <row r="607" spans="1:9" x14ac:dyDescent="0.2">
      <c r="A607" s="3" t="str">
        <f>"ENSG00000054277.14"</f>
        <v>ENSG00000054277.14</v>
      </c>
      <c r="B607" s="3">
        <v>155.64486278708901</v>
      </c>
      <c r="C607" s="3">
        <v>-1.2603412134008001</v>
      </c>
      <c r="D607" s="3">
        <v>0.322657290113678</v>
      </c>
      <c r="E607" s="3">
        <v>-3.9061296676630302</v>
      </c>
      <c r="F607" s="4">
        <v>9.3786198178075499E-5</v>
      </c>
      <c r="G607" s="3">
        <v>5.4025212299323904E-4</v>
      </c>
      <c r="H607" s="3" t="str">
        <f>"OPN3"</f>
        <v>OPN3</v>
      </c>
      <c r="I607" s="3" t="str">
        <f t="shared" si="26"/>
        <v>protein_coding</v>
      </c>
    </row>
    <row r="608" spans="1:9" x14ac:dyDescent="0.2">
      <c r="A608" s="3" t="str">
        <f>"ENSG00000203668.2"</f>
        <v>ENSG00000203668.2</v>
      </c>
      <c r="B608" s="3">
        <v>1764.6869767175599</v>
      </c>
      <c r="C608" s="3">
        <v>-1.4849947622080399</v>
      </c>
      <c r="D608" s="3">
        <v>0.19189798318196</v>
      </c>
      <c r="E608" s="3">
        <v>-7.7384594542609104</v>
      </c>
      <c r="F608" s="4">
        <v>1.00628629028236E-14</v>
      </c>
      <c r="G608" s="4">
        <v>2.4242513307978301E-13</v>
      </c>
      <c r="H608" s="3" t="str">
        <f>"CHML"</f>
        <v>CHML</v>
      </c>
      <c r="I608" s="3" t="str">
        <f t="shared" si="26"/>
        <v>protein_coding</v>
      </c>
    </row>
    <row r="609" spans="1:9" x14ac:dyDescent="0.2">
      <c r="A609" s="3" t="str">
        <f>"ENSG00000174371.17"</f>
        <v>ENSG00000174371.17</v>
      </c>
      <c r="B609" s="3">
        <v>574.96252839232898</v>
      </c>
      <c r="C609" s="3">
        <v>-1.19830033584944</v>
      </c>
      <c r="D609" s="3">
        <v>0.21777852827399699</v>
      </c>
      <c r="E609" s="3">
        <v>-5.5023805392871701</v>
      </c>
      <c r="F609" s="4">
        <v>3.7469710824609197E-8</v>
      </c>
      <c r="G609" s="4">
        <v>4.0886552296280598E-7</v>
      </c>
      <c r="H609" s="3" t="str">
        <f>"EXO1"</f>
        <v>EXO1</v>
      </c>
      <c r="I609" s="3" t="str">
        <f t="shared" si="26"/>
        <v>protein_coding</v>
      </c>
    </row>
    <row r="610" spans="1:9" x14ac:dyDescent="0.2">
      <c r="A610" s="3" t="str">
        <f>"ENSG00000180287.16"</f>
        <v>ENSG00000180287.16</v>
      </c>
      <c r="B610" s="3">
        <v>68.510354039051094</v>
      </c>
      <c r="C610" s="3">
        <v>8.0456755833218896</v>
      </c>
      <c r="D610" s="3">
        <v>1.4996024855928201</v>
      </c>
      <c r="E610" s="3">
        <v>5.3652055532178498</v>
      </c>
      <c r="F610" s="4">
        <v>8.0857083778181494E-8</v>
      </c>
      <c r="G610" s="4">
        <v>8.3293495716601599E-7</v>
      </c>
      <c r="H610" s="3" t="str">
        <f>"PLD5"</f>
        <v>PLD5</v>
      </c>
      <c r="I610" s="3" t="str">
        <f t="shared" si="26"/>
        <v>protein_coding</v>
      </c>
    </row>
    <row r="611" spans="1:9" x14ac:dyDescent="0.2">
      <c r="A611" s="3" t="str">
        <f>"ENSG00000213690.3"</f>
        <v>ENSG00000213690.3</v>
      </c>
      <c r="B611" s="3">
        <v>8.1470561397750405</v>
      </c>
      <c r="C611" s="3">
        <v>6.4212521273935499</v>
      </c>
      <c r="D611" s="3">
        <v>1.82884781928941</v>
      </c>
      <c r="E611" s="3">
        <v>3.5110915515586698</v>
      </c>
      <c r="F611" s="3">
        <v>4.4627067652758701E-4</v>
      </c>
      <c r="G611" s="3">
        <v>2.16708913265856E-3</v>
      </c>
      <c r="H611" s="3" t="str">
        <f>"AL360271.1"</f>
        <v>AL360271.1</v>
      </c>
      <c r="I611" s="3" t="str">
        <f>"processed_pseudogene"</f>
        <v>processed_pseudogene</v>
      </c>
    </row>
    <row r="612" spans="1:9" x14ac:dyDescent="0.2">
      <c r="A612" s="3" t="str">
        <f>"ENSG00000253326.2"</f>
        <v>ENSG00000253326.2</v>
      </c>
      <c r="B612" s="3">
        <v>12.413673365135301</v>
      </c>
      <c r="C612" s="3">
        <v>5.5567056532999999</v>
      </c>
      <c r="D612" s="3">
        <v>1.6971400125418401</v>
      </c>
      <c r="E612" s="3">
        <v>3.2741586505745102</v>
      </c>
      <c r="F612" s="3">
        <v>1.05977092926357E-3</v>
      </c>
      <c r="G612" s="3">
        <v>4.6364127343680901E-3</v>
      </c>
      <c r="H612" s="3" t="str">
        <f>"AL606534.4"</f>
        <v>AL606534.4</v>
      </c>
      <c r="I612" s="3" t="str">
        <f>"processed_pseudogene"</f>
        <v>processed_pseudogene</v>
      </c>
    </row>
    <row r="613" spans="1:9" x14ac:dyDescent="0.2">
      <c r="A613" s="3" t="str">
        <f>"ENSG00000214837.8"</f>
        <v>ENSG00000214837.8</v>
      </c>
      <c r="B613" s="3">
        <v>42.7605837342741</v>
      </c>
      <c r="C613" s="3">
        <v>2.1715497419616101</v>
      </c>
      <c r="D613" s="3">
        <v>0.57181981227325895</v>
      </c>
      <c r="E613" s="3">
        <v>3.7976119318577899</v>
      </c>
      <c r="F613" s="3">
        <v>1.46096810756243E-4</v>
      </c>
      <c r="G613" s="3">
        <v>8.0499490448440096E-4</v>
      </c>
      <c r="H613" s="3" t="str">
        <f>"LINC01347"</f>
        <v>LINC01347</v>
      </c>
      <c r="I613" s="3" t="str">
        <f>"transcribed_unprocessed_pseudogene"</f>
        <v>transcribed_unprocessed_pseudogene</v>
      </c>
    </row>
    <row r="614" spans="1:9" x14ac:dyDescent="0.2">
      <c r="A614" s="3" t="str">
        <f>"ENSG00000227230.1"</f>
        <v>ENSG00000227230.1</v>
      </c>
      <c r="B614" s="3">
        <v>7.18983646293528</v>
      </c>
      <c r="C614" s="3">
        <v>6.2370562923111796</v>
      </c>
      <c r="D614" s="3">
        <v>1.9164099516404101</v>
      </c>
      <c r="E614" s="3">
        <v>3.2545522355341401</v>
      </c>
      <c r="F614" s="3">
        <v>1.13571272198639E-3</v>
      </c>
      <c r="G614" s="3">
        <v>4.9322225910046298E-3</v>
      </c>
      <c r="H614" s="3" t="str">
        <f>"AL606534.1"</f>
        <v>AL606534.1</v>
      </c>
      <c r="I614" s="3" t="str">
        <f>"antisense"</f>
        <v>antisense</v>
      </c>
    </row>
    <row r="615" spans="1:9" x14ac:dyDescent="0.2">
      <c r="A615" s="3" t="str">
        <f>"ENSG00000054282.16"</f>
        <v>ENSG00000054282.16</v>
      </c>
      <c r="B615" s="3">
        <v>559.80441648802696</v>
      </c>
      <c r="C615" s="3">
        <v>1.24728579215029</v>
      </c>
      <c r="D615" s="3">
        <v>0.22660213150706099</v>
      </c>
      <c r="E615" s="3">
        <v>5.5042985864915499</v>
      </c>
      <c r="F615" s="4">
        <v>3.70640921923386E-8</v>
      </c>
      <c r="G615" s="4">
        <v>4.0505108812438098E-7</v>
      </c>
      <c r="H615" s="3" t="str">
        <f>"SDCCAG8"</f>
        <v>SDCCAG8</v>
      </c>
      <c r="I615" s="3" t="str">
        <f t="shared" ref="I615:I624" si="27">"protein_coding"</f>
        <v>protein_coding</v>
      </c>
    </row>
    <row r="616" spans="1:9" x14ac:dyDescent="0.2">
      <c r="A616" s="3" t="str">
        <f>"ENSG00000179456.10"</f>
        <v>ENSG00000179456.10</v>
      </c>
      <c r="B616" s="3">
        <v>240.15697951390001</v>
      </c>
      <c r="C616" s="3">
        <v>-1.0240334523857899</v>
      </c>
      <c r="D616" s="3">
        <v>0.27458631142804102</v>
      </c>
      <c r="E616" s="3">
        <v>-3.7293681795720302</v>
      </c>
      <c r="F616" s="3">
        <v>1.9196049663199101E-4</v>
      </c>
      <c r="G616" s="3">
        <v>1.02676632346523E-3</v>
      </c>
      <c r="H616" s="3" t="str">
        <f>"ZBTB18"</f>
        <v>ZBTB18</v>
      </c>
      <c r="I616" s="3" t="str">
        <f t="shared" si="27"/>
        <v>protein_coding</v>
      </c>
    </row>
    <row r="617" spans="1:9" x14ac:dyDescent="0.2">
      <c r="A617" s="3" t="str">
        <f>"ENSG00000179397.18"</f>
        <v>ENSG00000179397.18</v>
      </c>
      <c r="B617" s="3">
        <v>60.553647238574598</v>
      </c>
      <c r="C617" s="3">
        <v>1.1491939002395899</v>
      </c>
      <c r="D617" s="3">
        <v>0.47255181603875501</v>
      </c>
      <c r="E617" s="3">
        <v>2.4318897129057699</v>
      </c>
      <c r="F617" s="3">
        <v>1.5020280077705001E-2</v>
      </c>
      <c r="G617" s="3">
        <v>4.4605729839480003E-2</v>
      </c>
      <c r="H617" s="3" t="str">
        <f>"CATSPERE"</f>
        <v>CATSPERE</v>
      </c>
      <c r="I617" s="3" t="str">
        <f t="shared" si="27"/>
        <v>protein_coding</v>
      </c>
    </row>
    <row r="618" spans="1:9" x14ac:dyDescent="0.2">
      <c r="A618" s="3" t="str">
        <f>"ENSG00000162849.16"</f>
        <v>ENSG00000162849.16</v>
      </c>
      <c r="B618" s="3">
        <v>110.711053817522</v>
      </c>
      <c r="C618" s="3">
        <v>3.16752063404518</v>
      </c>
      <c r="D618" s="3">
        <v>0.40477000445251998</v>
      </c>
      <c r="E618" s="3">
        <v>7.8254826177880403</v>
      </c>
      <c r="F618" s="4">
        <v>5.0571306702751398E-15</v>
      </c>
      <c r="G618" s="4">
        <v>1.2526512670271501E-13</v>
      </c>
      <c r="H618" s="3" t="str">
        <f>"KIF26B"</f>
        <v>KIF26B</v>
      </c>
      <c r="I618" s="3" t="str">
        <f t="shared" si="27"/>
        <v>protein_coding</v>
      </c>
    </row>
    <row r="619" spans="1:9" x14ac:dyDescent="0.2">
      <c r="A619" s="3" t="str">
        <f>"ENSG00000162714.12"</f>
        <v>ENSG00000162714.12</v>
      </c>
      <c r="B619" s="3">
        <v>1794.5020800802199</v>
      </c>
      <c r="C619" s="3">
        <v>-1.70327990989669</v>
      </c>
      <c r="D619" s="3">
        <v>0.19736169933646899</v>
      </c>
      <c r="E619" s="3">
        <v>-8.6302454611159405</v>
      </c>
      <c r="F619" s="4">
        <v>6.1220448219474098E-18</v>
      </c>
      <c r="G619" s="4">
        <v>1.9670678686745401E-16</v>
      </c>
      <c r="H619" s="3" t="str">
        <f>"ZNF496"</f>
        <v>ZNF496</v>
      </c>
      <c r="I619" s="3" t="str">
        <f t="shared" si="27"/>
        <v>protein_coding</v>
      </c>
    </row>
    <row r="620" spans="1:9" x14ac:dyDescent="0.2">
      <c r="A620" s="3" t="str">
        <f>"ENSG00000184731.6"</f>
        <v>ENSG00000184731.6</v>
      </c>
      <c r="B620" s="3">
        <v>225.210357881535</v>
      </c>
      <c r="C620" s="3">
        <v>1.48717769711376</v>
      </c>
      <c r="D620" s="3">
        <v>0.29873255592377501</v>
      </c>
      <c r="E620" s="3">
        <v>4.9782913432884204</v>
      </c>
      <c r="F620" s="4">
        <v>6.4148047534065201E-7</v>
      </c>
      <c r="G620" s="4">
        <v>5.6766542746368097E-6</v>
      </c>
      <c r="H620" s="3" t="str">
        <f>"FAM110C"</f>
        <v>FAM110C</v>
      </c>
      <c r="I620" s="3" t="str">
        <f t="shared" si="27"/>
        <v>protein_coding</v>
      </c>
    </row>
    <row r="621" spans="1:9" x14ac:dyDescent="0.2">
      <c r="A621" s="3" t="str">
        <f>"ENSG00000172554.12"</f>
        <v>ENSG00000172554.12</v>
      </c>
      <c r="B621" s="3">
        <v>5.06698585153402</v>
      </c>
      <c r="C621" s="3">
        <v>5.7412832508036598</v>
      </c>
      <c r="D621" s="3">
        <v>2.0428499322073099</v>
      </c>
      <c r="E621" s="3">
        <v>2.8104282944563499</v>
      </c>
      <c r="F621" s="3">
        <v>4.9475612197975001E-3</v>
      </c>
      <c r="G621" s="3">
        <v>1.7564725257654502E-2</v>
      </c>
      <c r="H621" s="3" t="str">
        <f>"SNTG2"</f>
        <v>SNTG2</v>
      </c>
      <c r="I621" s="3" t="str">
        <f t="shared" si="27"/>
        <v>protein_coding</v>
      </c>
    </row>
    <row r="622" spans="1:9" x14ac:dyDescent="0.2">
      <c r="A622" s="3" t="str">
        <f>"ENSG00000130508.11"</f>
        <v>ENSG00000130508.11</v>
      </c>
      <c r="B622" s="3">
        <v>518.45869424976399</v>
      </c>
      <c r="C622" s="3">
        <v>8.3828728564162809</v>
      </c>
      <c r="D622" s="3">
        <v>0.63272044635854696</v>
      </c>
      <c r="E622" s="3">
        <v>13.248936247693001</v>
      </c>
      <c r="F622" s="4">
        <v>4.5764395544972496E-40</v>
      </c>
      <c r="G622" s="4">
        <v>6.36195145619319E-38</v>
      </c>
      <c r="H622" s="3" t="str">
        <f>"PXDN"</f>
        <v>PXDN</v>
      </c>
      <c r="I622" s="3" t="str">
        <f t="shared" si="27"/>
        <v>protein_coding</v>
      </c>
    </row>
    <row r="623" spans="1:9" x14ac:dyDescent="0.2">
      <c r="A623" s="3" t="str">
        <f>"ENSG00000186487.19"</f>
        <v>ENSG00000186487.19</v>
      </c>
      <c r="B623" s="3">
        <v>11.4505666376023</v>
      </c>
      <c r="C623" s="3">
        <v>6.91291091471654</v>
      </c>
      <c r="D623" s="3">
        <v>1.72661133309107</v>
      </c>
      <c r="E623" s="3">
        <v>4.0037446657671802</v>
      </c>
      <c r="F623" s="4">
        <v>6.2347656262021103E-5</v>
      </c>
      <c r="G623" s="3">
        <v>3.7396594317121997E-4</v>
      </c>
      <c r="H623" s="3" t="str">
        <f>"MYT1L"</f>
        <v>MYT1L</v>
      </c>
      <c r="I623" s="3" t="str">
        <f t="shared" si="27"/>
        <v>protein_coding</v>
      </c>
    </row>
    <row r="624" spans="1:9" x14ac:dyDescent="0.2">
      <c r="A624" s="3" t="str">
        <f>"ENSG00000151360.10"</f>
        <v>ENSG00000151360.10</v>
      </c>
      <c r="B624" s="3">
        <v>41.898522718420402</v>
      </c>
      <c r="C624" s="3">
        <v>1.42701245743307</v>
      </c>
      <c r="D624" s="3">
        <v>0.54044810740105298</v>
      </c>
      <c r="E624" s="3">
        <v>2.6404245623051499</v>
      </c>
      <c r="F624" s="3">
        <v>8.2802224507592097E-3</v>
      </c>
      <c r="G624" s="3">
        <v>2.71493647552149E-2</v>
      </c>
      <c r="H624" s="3" t="str">
        <f>"ALLC"</f>
        <v>ALLC</v>
      </c>
      <c r="I624" s="3" t="str">
        <f t="shared" si="27"/>
        <v>protein_coding</v>
      </c>
    </row>
    <row r="625" spans="1:9" x14ac:dyDescent="0.2">
      <c r="A625" s="3" t="str">
        <f>"ENSG00000236790.5"</f>
        <v>ENSG00000236790.5</v>
      </c>
      <c r="B625" s="3">
        <v>17.9552696430951</v>
      </c>
      <c r="C625" s="3">
        <v>2.4118652917580299</v>
      </c>
      <c r="D625" s="3">
        <v>0.85475650880901899</v>
      </c>
      <c r="E625" s="3">
        <v>2.8216986555839401</v>
      </c>
      <c r="F625" s="3">
        <v>4.7770041045518798E-3</v>
      </c>
      <c r="G625" s="3">
        <v>1.70767555545428E-2</v>
      </c>
      <c r="H625" s="3" t="str">
        <f>"LINC00299"</f>
        <v>LINC00299</v>
      </c>
      <c r="I625" s="3" t="str">
        <f>"lincRNA"</f>
        <v>lincRNA</v>
      </c>
    </row>
    <row r="626" spans="1:9" x14ac:dyDescent="0.2">
      <c r="A626" s="3" t="str">
        <f>"ENSG00000236008.2"</f>
        <v>ENSG00000236008.2</v>
      </c>
      <c r="B626" s="3">
        <v>101.642367198863</v>
      </c>
      <c r="C626" s="3">
        <v>2.3965295804691902</v>
      </c>
      <c r="D626" s="3">
        <v>0.40235380744203603</v>
      </c>
      <c r="E626" s="3">
        <v>5.9562741451488499</v>
      </c>
      <c r="F626" s="4">
        <v>2.58053318317418E-9</v>
      </c>
      <c r="G626" s="4">
        <v>3.3103478174174699E-8</v>
      </c>
      <c r="H626" s="3" t="str">
        <f>"LINC01814"</f>
        <v>LINC01814</v>
      </c>
      <c r="I626" s="3" t="str">
        <f>"lincRNA"</f>
        <v>lincRNA</v>
      </c>
    </row>
    <row r="627" spans="1:9" x14ac:dyDescent="0.2">
      <c r="A627" s="3" t="str">
        <f>"ENSG00000231083.1"</f>
        <v>ENSG00000231083.1</v>
      </c>
      <c r="B627" s="3">
        <v>91.883042990553506</v>
      </c>
      <c r="C627" s="3">
        <v>1.16375003354076</v>
      </c>
      <c r="D627" s="3">
        <v>0.38517066000773498</v>
      </c>
      <c r="E627" s="3">
        <v>3.0213880608595498</v>
      </c>
      <c r="F627" s="3">
        <v>2.5161865639057599E-3</v>
      </c>
      <c r="G627" s="3">
        <v>9.8179199923729196E-3</v>
      </c>
      <c r="H627" s="3" t="str">
        <f>"AC011747.1"</f>
        <v>AC011747.1</v>
      </c>
      <c r="I627" s="3" t="str">
        <f>"lincRNA"</f>
        <v>lincRNA</v>
      </c>
    </row>
    <row r="628" spans="1:9" x14ac:dyDescent="0.2">
      <c r="A628" s="3" t="str">
        <f>"ENSG00000115738.10"</f>
        <v>ENSG00000115738.10</v>
      </c>
      <c r="B628" s="3">
        <v>11433.772904576899</v>
      </c>
      <c r="C628" s="3">
        <v>1.46369637547673</v>
      </c>
      <c r="D628" s="3">
        <v>0.16846995168034401</v>
      </c>
      <c r="E628" s="3">
        <v>8.6881747212343399</v>
      </c>
      <c r="F628" s="4">
        <v>3.6830904331972202E-18</v>
      </c>
      <c r="G628" s="4">
        <v>1.2061678489582299E-16</v>
      </c>
      <c r="H628" s="3" t="str">
        <f>"ID2"</f>
        <v>ID2</v>
      </c>
      <c r="I628" s="3" t="str">
        <f>"protein_coding"</f>
        <v>protein_coding</v>
      </c>
    </row>
    <row r="629" spans="1:9" x14ac:dyDescent="0.2">
      <c r="A629" s="3" t="str">
        <f>"ENSG00000143797.12"</f>
        <v>ENSG00000143797.12</v>
      </c>
      <c r="B629" s="3">
        <v>26.134387659874399</v>
      </c>
      <c r="C629" s="3">
        <v>2.8848485415432701</v>
      </c>
      <c r="D629" s="3">
        <v>0.77297522054349599</v>
      </c>
      <c r="E629" s="3">
        <v>3.7321358626669401</v>
      </c>
      <c r="F629" s="3">
        <v>1.89863044641128E-4</v>
      </c>
      <c r="G629" s="3">
        <v>1.0167449640992199E-3</v>
      </c>
      <c r="H629" s="3" t="str">
        <f>"MBOAT2"</f>
        <v>MBOAT2</v>
      </c>
      <c r="I629" s="3" t="str">
        <f>"protein_coding"</f>
        <v>protein_coding</v>
      </c>
    </row>
    <row r="630" spans="1:9" x14ac:dyDescent="0.2">
      <c r="A630" s="3" t="str">
        <f>"ENSG00000172059.11"</f>
        <v>ENSG00000172059.11</v>
      </c>
      <c r="B630" s="3">
        <v>820.61923688984405</v>
      </c>
      <c r="C630" s="3">
        <v>1.3384821683696699</v>
      </c>
      <c r="D630" s="3">
        <v>0.20423685568505001</v>
      </c>
      <c r="E630" s="3">
        <v>6.5535780203829699</v>
      </c>
      <c r="F630" s="4">
        <v>5.6174562127246598E-11</v>
      </c>
      <c r="G630" s="4">
        <v>9.0728411042151004E-10</v>
      </c>
      <c r="H630" s="3" t="str">
        <f>"KLF11"</f>
        <v>KLF11</v>
      </c>
      <c r="I630" s="3" t="str">
        <f>"protein_coding"</f>
        <v>protein_coding</v>
      </c>
    </row>
    <row r="631" spans="1:9" x14ac:dyDescent="0.2">
      <c r="A631" s="3" t="str">
        <f>"ENSG00000205795.4"</f>
        <v>ENSG00000205795.4</v>
      </c>
      <c r="B631" s="3">
        <v>11.6377687423818</v>
      </c>
      <c r="C631" s="3">
        <v>6.9395150305460804</v>
      </c>
      <c r="D631" s="3">
        <v>1.73020727560748</v>
      </c>
      <c r="E631" s="3">
        <v>4.01079982056463</v>
      </c>
      <c r="F631" s="4">
        <v>6.0513401513346498E-5</v>
      </c>
      <c r="G631" s="3">
        <v>3.6387132610487502E-4</v>
      </c>
      <c r="H631" s="3" t="str">
        <f>"CYS1"</f>
        <v>CYS1</v>
      </c>
      <c r="I631" s="3" t="str">
        <f>"protein_coding"</f>
        <v>protein_coding</v>
      </c>
    </row>
    <row r="632" spans="1:9" x14ac:dyDescent="0.2">
      <c r="A632" s="3" t="str">
        <f>"ENSG00000143882.12"</f>
        <v>ENSG00000143882.12</v>
      </c>
      <c r="B632" s="3">
        <v>40.003764696987702</v>
      </c>
      <c r="C632" s="3">
        <v>3.32283927260726</v>
      </c>
      <c r="D632" s="3">
        <v>0.68047530790277599</v>
      </c>
      <c r="E632" s="3">
        <v>4.8831151314634003</v>
      </c>
      <c r="F632" s="4">
        <v>1.0442285828289901E-6</v>
      </c>
      <c r="G632" s="4">
        <v>8.9247478658536294E-6</v>
      </c>
      <c r="H632" s="3" t="str">
        <f>"ATP6V1C2"</f>
        <v>ATP6V1C2</v>
      </c>
      <c r="I632" s="3" t="str">
        <f>"protein_coding"</f>
        <v>protein_coding</v>
      </c>
    </row>
    <row r="633" spans="1:9" x14ac:dyDescent="0.2">
      <c r="A633" s="3" t="str">
        <f>"ENSG00000145063.14"</f>
        <v>ENSG00000145063.14</v>
      </c>
      <c r="B633" s="3">
        <v>4.9552657467409</v>
      </c>
      <c r="C633" s="3">
        <v>5.7059742842858201</v>
      </c>
      <c r="D633" s="3">
        <v>2.0354097879191899</v>
      </c>
      <c r="E633" s="3">
        <v>2.8033540558528398</v>
      </c>
      <c r="F633" s="3">
        <v>5.0574115774759702E-3</v>
      </c>
      <c r="G633" s="3">
        <v>1.7900661633084899E-2</v>
      </c>
      <c r="H633" s="3" t="str">
        <f>"AC062028.1"</f>
        <v>AC062028.1</v>
      </c>
      <c r="I633" s="3" t="str">
        <f>"lincRNA"</f>
        <v>lincRNA</v>
      </c>
    </row>
    <row r="634" spans="1:9" x14ac:dyDescent="0.2">
      <c r="A634" s="3" t="str">
        <f>"ENSG00000150873.11"</f>
        <v>ENSG00000150873.11</v>
      </c>
      <c r="B634" s="3">
        <v>20.460951400466399</v>
      </c>
      <c r="C634" s="3">
        <v>4.2311678693854899</v>
      </c>
      <c r="D634" s="3">
        <v>1.01467252614561</v>
      </c>
      <c r="E634" s="3">
        <v>4.1699836748889103</v>
      </c>
      <c r="F634" s="4">
        <v>3.0462145918990701E-5</v>
      </c>
      <c r="G634" s="3">
        <v>1.9520274926028701E-4</v>
      </c>
      <c r="H634" s="3" t="str">
        <f>"C2orf50"</f>
        <v>C2orf50</v>
      </c>
      <c r="I634" s="3" t="str">
        <f>"protein_coding"</f>
        <v>protein_coding</v>
      </c>
    </row>
    <row r="635" spans="1:9" x14ac:dyDescent="0.2">
      <c r="A635" s="3" t="str">
        <f>"ENSG00000162976.13"</f>
        <v>ENSG00000162976.13</v>
      </c>
      <c r="B635" s="3">
        <v>113.65261493312499</v>
      </c>
      <c r="C635" s="3">
        <v>1.3280452938462699</v>
      </c>
      <c r="D635" s="3">
        <v>0.37707261871041697</v>
      </c>
      <c r="E635" s="3">
        <v>3.52198814750369</v>
      </c>
      <c r="F635" s="3">
        <v>4.2832329295959499E-4</v>
      </c>
      <c r="G635" s="3">
        <v>2.0892453926369598E-3</v>
      </c>
      <c r="H635" s="3" t="str">
        <f>"PQLC3"</f>
        <v>PQLC3</v>
      </c>
      <c r="I635" s="3" t="str">
        <f>"protein_coding"</f>
        <v>protein_coding</v>
      </c>
    </row>
    <row r="636" spans="1:9" x14ac:dyDescent="0.2">
      <c r="A636" s="3" t="str">
        <f>"ENSG00000230952.1"</f>
        <v>ENSG00000230952.1</v>
      </c>
      <c r="B636" s="3">
        <v>1297.31981573691</v>
      </c>
      <c r="C636" s="3">
        <v>2.3680715989783101</v>
      </c>
      <c r="D636" s="3">
        <v>0.204438502304118</v>
      </c>
      <c r="E636" s="3">
        <v>11.58329557441</v>
      </c>
      <c r="F636" s="4">
        <v>5.0082936357170603E-31</v>
      </c>
      <c r="G636" s="4">
        <v>4.26440552163696E-29</v>
      </c>
      <c r="H636" s="3" t="str">
        <f>"AC099344.1"</f>
        <v>AC099344.1</v>
      </c>
      <c r="I636" s="3" t="str">
        <f>"lincRNA"</f>
        <v>lincRNA</v>
      </c>
    </row>
    <row r="637" spans="1:9" x14ac:dyDescent="0.2">
      <c r="A637" s="3" t="str">
        <f>"ENSG00000196208.14"</f>
        <v>ENSG00000196208.14</v>
      </c>
      <c r="B637" s="3">
        <v>6402.0160443286004</v>
      </c>
      <c r="C637" s="3">
        <v>-2.4687064210425498</v>
      </c>
      <c r="D637" s="3">
        <v>0.18640940421794799</v>
      </c>
      <c r="E637" s="3">
        <v>-13.243465003279301</v>
      </c>
      <c r="F637" s="4">
        <v>4.9224332458374503E-40</v>
      </c>
      <c r="G637" s="4">
        <v>6.8081999314382299E-38</v>
      </c>
      <c r="H637" s="3" t="str">
        <f>"GREB1"</f>
        <v>GREB1</v>
      </c>
      <c r="I637" s="3" t="str">
        <f>"protein_coding"</f>
        <v>protein_coding</v>
      </c>
    </row>
    <row r="638" spans="1:9" x14ac:dyDescent="0.2">
      <c r="A638" s="3" t="str">
        <f>"ENSG00000239899.3"</f>
        <v>ENSG00000239899.3</v>
      </c>
      <c r="B638" s="3">
        <v>60.063493901304803</v>
      </c>
      <c r="C638" s="3">
        <v>-2.8539145251684501</v>
      </c>
      <c r="D638" s="3">
        <v>0.50990469444234499</v>
      </c>
      <c r="E638" s="3">
        <v>-5.5969567573595702</v>
      </c>
      <c r="F638" s="4">
        <v>2.1814709026924901E-8</v>
      </c>
      <c r="G638" s="4">
        <v>2.4817761037854803E-7</v>
      </c>
      <c r="H638" s="3" t="str">
        <f>"RN7SL674P"</f>
        <v>RN7SL674P</v>
      </c>
      <c r="I638" s="3" t="str">
        <f>"misc_RNA"</f>
        <v>misc_RNA</v>
      </c>
    </row>
    <row r="639" spans="1:9" x14ac:dyDescent="0.2">
      <c r="A639" s="3" t="str">
        <f>"ENSG00000134324.11"</f>
        <v>ENSG00000134324.11</v>
      </c>
      <c r="B639" s="3">
        <v>695.343719135892</v>
      </c>
      <c r="C639" s="3">
        <v>-1.0409521405069699</v>
      </c>
      <c r="D639" s="3">
        <v>0.215205239107187</v>
      </c>
      <c r="E639" s="3">
        <v>-4.8370204406989403</v>
      </c>
      <c r="F639" s="4">
        <v>1.3179987891946E-6</v>
      </c>
      <c r="G639" s="4">
        <v>1.10701334800202E-5</v>
      </c>
      <c r="H639" s="3" t="str">
        <f>"LPIN1"</f>
        <v>LPIN1</v>
      </c>
      <c r="I639" s="3" t="str">
        <f>"protein_coding"</f>
        <v>protein_coding</v>
      </c>
    </row>
    <row r="640" spans="1:9" x14ac:dyDescent="0.2">
      <c r="A640" s="3" t="str">
        <f>"ENSG00000265172.1"</f>
        <v>ENSG00000265172.1</v>
      </c>
      <c r="B640" s="3">
        <v>17.215093851583099</v>
      </c>
      <c r="C640" s="3">
        <v>7.5026841578852901</v>
      </c>
      <c r="D640" s="3">
        <v>1.6394431540204399</v>
      </c>
      <c r="E640" s="3">
        <v>4.5763612721101703</v>
      </c>
      <c r="F640" s="4">
        <v>4.7313320603223102E-6</v>
      </c>
      <c r="G640" s="4">
        <v>3.5879377859059898E-5</v>
      </c>
      <c r="H640" s="3" t="str">
        <f>"MIR4262"</f>
        <v>MIR4262</v>
      </c>
      <c r="I640" s="3" t="str">
        <f>"miRNA"</f>
        <v>miRNA</v>
      </c>
    </row>
    <row r="641" spans="1:9" x14ac:dyDescent="0.2">
      <c r="A641" s="3" t="str">
        <f>"ENSG00000224184.5"</f>
        <v>ENSG00000224184.5</v>
      </c>
      <c r="B641" s="3">
        <v>10.2425614874358</v>
      </c>
      <c r="C641" s="3">
        <v>5.2667491387669196</v>
      </c>
      <c r="D641" s="3">
        <v>1.7533528901214099</v>
      </c>
      <c r="E641" s="3">
        <v>3.0038158139416198</v>
      </c>
      <c r="F641" s="3">
        <v>2.6661667790672701E-3</v>
      </c>
      <c r="G641" s="3">
        <v>1.03262325841146E-2</v>
      </c>
      <c r="H641" s="3" t="str">
        <f>"MIR3681HG"</f>
        <v>MIR3681HG</v>
      </c>
      <c r="I641" s="3" t="str">
        <f>"lincRNA"</f>
        <v>lincRNA</v>
      </c>
    </row>
    <row r="642" spans="1:9" x14ac:dyDescent="0.2">
      <c r="A642" s="3" t="str">
        <f>"ENSG00000162981.14"</f>
        <v>ENSG00000162981.14</v>
      </c>
      <c r="B642" s="3">
        <v>177.92160813865701</v>
      </c>
      <c r="C642" s="3">
        <v>7.0949934826671504</v>
      </c>
      <c r="D642" s="3">
        <v>0.71471310505410501</v>
      </c>
      <c r="E642" s="3">
        <v>9.9270510537651901</v>
      </c>
      <c r="F642" s="4">
        <v>3.1750675354330603E-23</v>
      </c>
      <c r="G642" s="4">
        <v>1.55595440895584E-21</v>
      </c>
      <c r="H642" s="3" t="str">
        <f>"FAM84A"</f>
        <v>FAM84A</v>
      </c>
      <c r="I642" s="3" t="str">
        <f>"protein_coding"</f>
        <v>protein_coding</v>
      </c>
    </row>
    <row r="643" spans="1:9" x14ac:dyDescent="0.2">
      <c r="A643" s="3" t="str">
        <f>"ENSG00000134323.12"</f>
        <v>ENSG00000134323.12</v>
      </c>
      <c r="B643" s="3">
        <v>65.978142691758705</v>
      </c>
      <c r="C643" s="3">
        <v>-2.25431609055354</v>
      </c>
      <c r="D643" s="3">
        <v>0.46153172129773801</v>
      </c>
      <c r="E643" s="3">
        <v>-4.8844228609354099</v>
      </c>
      <c r="F643" s="4">
        <v>1.0373224251183601E-6</v>
      </c>
      <c r="G643" s="4">
        <v>8.8685045865077092E-6</v>
      </c>
      <c r="H643" s="3" t="str">
        <f>"MYCN"</f>
        <v>MYCN</v>
      </c>
      <c r="I643" s="3" t="str">
        <f>"protein_coding"</f>
        <v>protein_coding</v>
      </c>
    </row>
    <row r="644" spans="1:9" x14ac:dyDescent="0.2">
      <c r="A644" s="3" t="str">
        <f>"ENSG00000197872.11"</f>
        <v>ENSG00000197872.11</v>
      </c>
      <c r="B644" s="3">
        <v>56.612950351186299</v>
      </c>
      <c r="C644" s="3">
        <v>6.1706682375068098</v>
      </c>
      <c r="D644" s="3">
        <v>0.97360366506182805</v>
      </c>
      <c r="E644" s="3">
        <v>6.33796734640985</v>
      </c>
      <c r="F644" s="4">
        <v>2.3281615299465499E-10</v>
      </c>
      <c r="G644" s="4">
        <v>3.4160794315042902E-9</v>
      </c>
      <c r="H644" s="3" t="str">
        <f>"FAM49A"</f>
        <v>FAM49A</v>
      </c>
      <c r="I644" s="3" t="str">
        <f>"protein_coding"</f>
        <v>protein_coding</v>
      </c>
    </row>
    <row r="645" spans="1:9" x14ac:dyDescent="0.2">
      <c r="A645" s="3" t="str">
        <f>"ENSG00000236204.6"</f>
        <v>ENSG00000236204.6</v>
      </c>
      <c r="B645" s="3">
        <v>78.465957086665099</v>
      </c>
      <c r="C645" s="3">
        <v>1.3449955093530901</v>
      </c>
      <c r="D645" s="3">
        <v>0.41370166304037198</v>
      </c>
      <c r="E645" s="3">
        <v>3.2511242509117899</v>
      </c>
      <c r="F645" s="3">
        <v>1.14949609227535E-3</v>
      </c>
      <c r="G645" s="3">
        <v>4.9857242958017498E-3</v>
      </c>
      <c r="H645" s="3" t="str">
        <f>"LINC01376"</f>
        <v>LINC01376</v>
      </c>
      <c r="I645" s="3" t="str">
        <f>"lincRNA"</f>
        <v>lincRNA</v>
      </c>
    </row>
    <row r="646" spans="1:9" x14ac:dyDescent="0.2">
      <c r="A646" s="3" t="str">
        <f>"ENSG00000227210.1"</f>
        <v>ENSG00000227210.1</v>
      </c>
      <c r="B646" s="3">
        <v>23.5320581184844</v>
      </c>
      <c r="C646" s="3">
        <v>1.7382275172987001</v>
      </c>
      <c r="D646" s="3">
        <v>0.72262559912045998</v>
      </c>
      <c r="E646" s="3">
        <v>2.4054330754603499</v>
      </c>
      <c r="F646" s="3">
        <v>1.61533103322163E-2</v>
      </c>
      <c r="G646" s="3">
        <v>4.7356277880556998E-2</v>
      </c>
      <c r="H646" s="3" t="str">
        <f>"AC079145.1"</f>
        <v>AC079145.1</v>
      </c>
      <c r="I646" s="3" t="str">
        <f>"antisense"</f>
        <v>antisense</v>
      </c>
    </row>
    <row r="647" spans="1:9" x14ac:dyDescent="0.2">
      <c r="A647" s="3" t="str">
        <f>"ENSG00000132031.13"</f>
        <v>ENSG00000132031.13</v>
      </c>
      <c r="B647" s="3">
        <v>2746.4258501172699</v>
      </c>
      <c r="C647" s="3">
        <v>1.1985672027946399</v>
      </c>
      <c r="D647" s="3">
        <v>0.17907541660926099</v>
      </c>
      <c r="E647" s="3">
        <v>6.6930862174671804</v>
      </c>
      <c r="F647" s="4">
        <v>2.1851230629380599E-11</v>
      </c>
      <c r="G647" s="4">
        <v>3.7095357069080001E-10</v>
      </c>
      <c r="H647" s="3" t="str">
        <f>"MATN3"</f>
        <v>MATN3</v>
      </c>
      <c r="I647" s="3" t="str">
        <f>"protein_coding"</f>
        <v>protein_coding</v>
      </c>
    </row>
    <row r="648" spans="1:9" x14ac:dyDescent="0.2">
      <c r="A648" s="3" t="str">
        <f>"ENSG00000115884.11"</f>
        <v>ENSG00000115884.11</v>
      </c>
      <c r="B648" s="3">
        <v>12235.976597892801</v>
      </c>
      <c r="C648" s="3">
        <v>1.17361492604968</v>
      </c>
      <c r="D648" s="3">
        <v>0.204237604981683</v>
      </c>
      <c r="E648" s="3">
        <v>5.7463214286856603</v>
      </c>
      <c r="F648" s="4">
        <v>9.1205854569125305E-9</v>
      </c>
      <c r="G648" s="4">
        <v>1.0880411205976199E-7</v>
      </c>
      <c r="H648" s="3" t="str">
        <f>"SDC1"</f>
        <v>SDC1</v>
      </c>
      <c r="I648" s="3" t="str">
        <f>"protein_coding"</f>
        <v>protein_coding</v>
      </c>
    </row>
    <row r="649" spans="1:9" x14ac:dyDescent="0.2">
      <c r="A649" s="3" t="str">
        <f>"ENSG00000269976.1"</f>
        <v>ENSG00000269976.1</v>
      </c>
      <c r="B649" s="3">
        <v>298.77475211547801</v>
      </c>
      <c r="C649" s="3">
        <v>1.2493657968023499</v>
      </c>
      <c r="D649" s="3">
        <v>0.25510864323939297</v>
      </c>
      <c r="E649" s="3">
        <v>4.8973871717468498</v>
      </c>
      <c r="F649" s="4">
        <v>9.7119364624097891E-7</v>
      </c>
      <c r="G649" s="4">
        <v>8.3555772905361402E-6</v>
      </c>
      <c r="H649" s="3" t="str">
        <f>"AC012065.3"</f>
        <v>AC012065.3</v>
      </c>
      <c r="I649" s="3" t="str">
        <f>"lincRNA"</f>
        <v>lincRNA</v>
      </c>
    </row>
    <row r="650" spans="1:9" x14ac:dyDescent="0.2">
      <c r="A650" s="3" t="str">
        <f>"ENSG00000218819.4"</f>
        <v>ENSG00000218819.4</v>
      </c>
      <c r="B650" s="3">
        <v>86.347686489473205</v>
      </c>
      <c r="C650" s="3">
        <v>1.97437700924682</v>
      </c>
      <c r="D650" s="3">
        <v>0.41679682304709498</v>
      </c>
      <c r="E650" s="3">
        <v>4.73702509249628</v>
      </c>
      <c r="F650" s="4">
        <v>2.1687832119248E-6</v>
      </c>
      <c r="G650" s="4">
        <v>1.7518816125422201E-5</v>
      </c>
      <c r="H650" s="3" t="str">
        <f>"TDRD15"</f>
        <v>TDRD15</v>
      </c>
      <c r="I650" s="3" t="str">
        <f>"protein_coding"</f>
        <v>protein_coding</v>
      </c>
    </row>
    <row r="651" spans="1:9" x14ac:dyDescent="0.2">
      <c r="A651" s="3" t="str">
        <f>"ENSG00000228999.3"</f>
        <v>ENSG00000228999.3</v>
      </c>
      <c r="B651" s="3">
        <v>4.8465514323206698</v>
      </c>
      <c r="C651" s="3">
        <v>5.6768670601366198</v>
      </c>
      <c r="D651" s="3">
        <v>2.0625215872145701</v>
      </c>
      <c r="E651" s="3">
        <v>2.75239158480916</v>
      </c>
      <c r="F651" s="3">
        <v>5.9161731801165201E-3</v>
      </c>
      <c r="G651" s="3">
        <v>2.0448810178692701E-2</v>
      </c>
      <c r="H651" s="3" t="str">
        <f>"AC096570.1"</f>
        <v>AC096570.1</v>
      </c>
      <c r="I651" s="3" t="str">
        <f>"lincRNA"</f>
        <v>lincRNA</v>
      </c>
    </row>
    <row r="652" spans="1:9" x14ac:dyDescent="0.2">
      <c r="A652" s="3" t="str">
        <f>"ENSG00000119771.15"</f>
        <v>ENSG00000119771.15</v>
      </c>
      <c r="B652" s="3">
        <v>23.841580240364699</v>
      </c>
      <c r="C652" s="3">
        <v>2.8976421939896602</v>
      </c>
      <c r="D652" s="3">
        <v>0.81407217255254805</v>
      </c>
      <c r="E652" s="3">
        <v>3.5594414005136898</v>
      </c>
      <c r="F652" s="3">
        <v>3.71644444870012E-4</v>
      </c>
      <c r="G652" s="3">
        <v>1.84616156597506E-3</v>
      </c>
      <c r="H652" s="3" t="str">
        <f>"KLHL29"</f>
        <v>KLHL29</v>
      </c>
      <c r="I652" s="3" t="str">
        <f t="shared" ref="I652:I663" si="28">"protein_coding"</f>
        <v>protein_coding</v>
      </c>
    </row>
    <row r="653" spans="1:9" x14ac:dyDescent="0.2">
      <c r="A653" s="3" t="str">
        <f>"ENSG00000115129.14"</f>
        <v>ENSG00000115129.14</v>
      </c>
      <c r="B653" s="3">
        <v>15154.5796340868</v>
      </c>
      <c r="C653" s="3">
        <v>5.2634856642543104</v>
      </c>
      <c r="D653" s="3">
        <v>0.19699727564077299</v>
      </c>
      <c r="E653" s="3">
        <v>26.718570838778099</v>
      </c>
      <c r="F653" s="4">
        <v>2.8642302306309702E-157</v>
      </c>
      <c r="G653" s="4">
        <v>1.9510420273500501E-153</v>
      </c>
      <c r="H653" s="3" t="str">
        <f>"TP53I3"</f>
        <v>TP53I3</v>
      </c>
      <c r="I653" s="3" t="str">
        <f t="shared" si="28"/>
        <v>protein_coding</v>
      </c>
    </row>
    <row r="654" spans="1:9" x14ac:dyDescent="0.2">
      <c r="A654" s="3" t="str">
        <f>"ENSG00000176732.6"</f>
        <v>ENSG00000176732.6</v>
      </c>
      <c r="B654" s="3">
        <v>14.364524299261699</v>
      </c>
      <c r="C654" s="3">
        <v>2.3690041802474902</v>
      </c>
      <c r="D654" s="3">
        <v>0.95022134694058302</v>
      </c>
      <c r="E654" s="3">
        <v>2.4931077247158799</v>
      </c>
      <c r="F654" s="3">
        <v>1.26630421031768E-2</v>
      </c>
      <c r="G654" s="3">
        <v>3.8767405414074002E-2</v>
      </c>
      <c r="H654" s="3" t="str">
        <f>"PFN4"</f>
        <v>PFN4</v>
      </c>
      <c r="I654" s="3" t="str">
        <f t="shared" si="28"/>
        <v>protein_coding</v>
      </c>
    </row>
    <row r="655" spans="1:9" x14ac:dyDescent="0.2">
      <c r="A655" s="3" t="str">
        <f>"ENSG00000184924.5"</f>
        <v>ENSG00000184924.5</v>
      </c>
      <c r="B655" s="3">
        <v>740.29466015039998</v>
      </c>
      <c r="C655" s="3">
        <v>-1.2691429320162699</v>
      </c>
      <c r="D655" s="3">
        <v>0.26318957193135101</v>
      </c>
      <c r="E655" s="3">
        <v>-4.8221626818379697</v>
      </c>
      <c r="F655" s="4">
        <v>1.42010049447751E-6</v>
      </c>
      <c r="G655" s="4">
        <v>1.18437337536054E-5</v>
      </c>
      <c r="H655" s="3" t="str">
        <f>"PTRHD1"</f>
        <v>PTRHD1</v>
      </c>
      <c r="I655" s="3" t="str">
        <f t="shared" si="28"/>
        <v>protein_coding</v>
      </c>
    </row>
    <row r="656" spans="1:9" x14ac:dyDescent="0.2">
      <c r="A656" s="3" t="str">
        <f>"ENSG00000138092.11"</f>
        <v>ENSG00000138092.11</v>
      </c>
      <c r="B656" s="3">
        <v>2107.06889062049</v>
      </c>
      <c r="C656" s="3">
        <v>-1.0592520427529299</v>
      </c>
      <c r="D656" s="3">
        <v>0.20702775485488101</v>
      </c>
      <c r="E656" s="3">
        <v>-5.1164736027564501</v>
      </c>
      <c r="F656" s="4">
        <v>3.1130082878244602E-7</v>
      </c>
      <c r="G656" s="4">
        <v>2.9047992061079802E-6</v>
      </c>
      <c r="H656" s="3" t="str">
        <f>"CENPO"</f>
        <v>CENPO</v>
      </c>
      <c r="I656" s="3" t="str">
        <f t="shared" si="28"/>
        <v>protein_coding</v>
      </c>
    </row>
    <row r="657" spans="1:9" x14ac:dyDescent="0.2">
      <c r="A657" s="3" t="str">
        <f>"ENSG00000138031.14"</f>
        <v>ENSG00000138031.14</v>
      </c>
      <c r="B657" s="3">
        <v>45.5988481280746</v>
      </c>
      <c r="C657" s="3">
        <v>1.9585728107884199</v>
      </c>
      <c r="D657" s="3">
        <v>0.55344617529714402</v>
      </c>
      <c r="E657" s="3">
        <v>3.5388677313324401</v>
      </c>
      <c r="F657" s="3">
        <v>4.0184714811346099E-4</v>
      </c>
      <c r="G657" s="3">
        <v>1.9781624651576302E-3</v>
      </c>
      <c r="H657" s="3" t="str">
        <f>"ADCY3"</f>
        <v>ADCY3</v>
      </c>
      <c r="I657" s="3" t="str">
        <f t="shared" si="28"/>
        <v>protein_coding</v>
      </c>
    </row>
    <row r="658" spans="1:9" x14ac:dyDescent="0.2">
      <c r="A658" s="3" t="str">
        <f>"ENSG00000084710.14"</f>
        <v>ENSG00000084710.14</v>
      </c>
      <c r="B658" s="3">
        <v>228.302419952842</v>
      </c>
      <c r="C658" s="3">
        <v>2.1969947447770801</v>
      </c>
      <c r="D658" s="3">
        <v>0.30555091844138899</v>
      </c>
      <c r="E658" s="3">
        <v>7.1902737389365896</v>
      </c>
      <c r="F658" s="4">
        <v>6.4661549373910302E-13</v>
      </c>
      <c r="G658" s="4">
        <v>1.31186391347054E-11</v>
      </c>
      <c r="H658" s="3" t="str">
        <f>"EFR3B"</f>
        <v>EFR3B</v>
      </c>
      <c r="I658" s="3" t="str">
        <f t="shared" si="28"/>
        <v>protein_coding</v>
      </c>
    </row>
    <row r="659" spans="1:9" x14ac:dyDescent="0.2">
      <c r="A659" s="3" t="str">
        <f>"ENSG00000157833.13"</f>
        <v>ENSG00000157833.13</v>
      </c>
      <c r="B659" s="3">
        <v>350.19051621844199</v>
      </c>
      <c r="C659" s="3">
        <v>2.4926451759945798</v>
      </c>
      <c r="D659" s="3">
        <v>0.27615478365620499</v>
      </c>
      <c r="E659" s="3">
        <v>9.0262610808066306</v>
      </c>
      <c r="F659" s="4">
        <v>1.77637418831407E-19</v>
      </c>
      <c r="G659" s="4">
        <v>6.4793664670674197E-18</v>
      </c>
      <c r="H659" s="3" t="str">
        <f>"GAREM2"</f>
        <v>GAREM2</v>
      </c>
      <c r="I659" s="3" t="str">
        <f t="shared" si="28"/>
        <v>protein_coding</v>
      </c>
    </row>
    <row r="660" spans="1:9" x14ac:dyDescent="0.2">
      <c r="A660" s="3" t="str">
        <f>"ENSG00000115155.17"</f>
        <v>ENSG00000115155.17</v>
      </c>
      <c r="B660" s="3">
        <v>182.20396928064201</v>
      </c>
      <c r="C660" s="3">
        <v>5.8544232773187304</v>
      </c>
      <c r="D660" s="3">
        <v>0.50600437206133897</v>
      </c>
      <c r="E660" s="3">
        <v>11.5699065078612</v>
      </c>
      <c r="F660" s="4">
        <v>5.8546432301582804E-31</v>
      </c>
      <c r="G660" s="4">
        <v>4.9083527412960799E-29</v>
      </c>
      <c r="H660" s="3" t="str">
        <f>"OTOF"</f>
        <v>OTOF</v>
      </c>
      <c r="I660" s="3" t="str">
        <f t="shared" si="28"/>
        <v>protein_coding</v>
      </c>
    </row>
    <row r="661" spans="1:9" x14ac:dyDescent="0.2">
      <c r="A661" s="3" t="str">
        <f>"ENSG00000171303.7"</f>
        <v>ENSG00000171303.7</v>
      </c>
      <c r="B661" s="3">
        <v>6.8940879426980901</v>
      </c>
      <c r="C661" s="3">
        <v>4.6828026687353104</v>
      </c>
      <c r="D661" s="3">
        <v>1.88971457844805</v>
      </c>
      <c r="E661" s="3">
        <v>2.4780475962571602</v>
      </c>
      <c r="F661" s="3">
        <v>1.32103521520789E-2</v>
      </c>
      <c r="G661" s="3">
        <v>4.0154224128479903E-2</v>
      </c>
      <c r="H661" s="3" t="str">
        <f>"KCNK3"</f>
        <v>KCNK3</v>
      </c>
      <c r="I661" s="3" t="str">
        <f t="shared" si="28"/>
        <v>protein_coding</v>
      </c>
    </row>
    <row r="662" spans="1:9" x14ac:dyDescent="0.2">
      <c r="A662" s="3" t="str">
        <f>"ENSG00000157851.17"</f>
        <v>ENSG00000157851.17</v>
      </c>
      <c r="B662" s="3">
        <v>48.247982749654597</v>
      </c>
      <c r="C662" s="3">
        <v>2.3843502459773198</v>
      </c>
      <c r="D662" s="3">
        <v>0.53893701488873902</v>
      </c>
      <c r="E662" s="3">
        <v>4.4241723617175603</v>
      </c>
      <c r="F662" s="4">
        <v>9.6812705738861598E-6</v>
      </c>
      <c r="G662" s="4">
        <v>6.9035744393267803E-5</v>
      </c>
      <c r="H662" s="3" t="str">
        <f>"DPYSL5"</f>
        <v>DPYSL5</v>
      </c>
      <c r="I662" s="3" t="str">
        <f t="shared" si="28"/>
        <v>protein_coding</v>
      </c>
    </row>
    <row r="663" spans="1:9" x14ac:dyDescent="0.2">
      <c r="A663" s="3" t="str">
        <f>"ENSG00000084764.11"</f>
        <v>ENSG00000084764.11</v>
      </c>
      <c r="B663" s="3">
        <v>180.29455588333499</v>
      </c>
      <c r="C663" s="3">
        <v>2.8144648995003299</v>
      </c>
      <c r="D663" s="3">
        <v>0.321836278541133</v>
      </c>
      <c r="E663" s="3">
        <v>8.7450206429745805</v>
      </c>
      <c r="F663" s="4">
        <v>2.2297487702327302E-18</v>
      </c>
      <c r="G663" s="4">
        <v>7.4820153623806794E-17</v>
      </c>
      <c r="H663" s="3" t="str">
        <f>"MAPRE3"</f>
        <v>MAPRE3</v>
      </c>
      <c r="I663" s="3" t="str">
        <f t="shared" si="28"/>
        <v>protein_coding</v>
      </c>
    </row>
    <row r="664" spans="1:9" x14ac:dyDescent="0.2">
      <c r="A664" s="3" t="str">
        <f>"ENSG00000231636.1"</f>
        <v>ENSG00000231636.1</v>
      </c>
      <c r="B664" s="3">
        <v>9.7204914972919205</v>
      </c>
      <c r="C664" s="3">
        <v>5.1955513996920804</v>
      </c>
      <c r="D664" s="3">
        <v>1.7650279892871401</v>
      </c>
      <c r="E664" s="3">
        <v>2.94360850435605</v>
      </c>
      <c r="F664" s="3">
        <v>3.24410083365749E-3</v>
      </c>
      <c r="G664" s="3">
        <v>1.22596415276929E-2</v>
      </c>
      <c r="H664" s="3" t="str">
        <f>"AGBL5-AS1"</f>
        <v>AGBL5-AS1</v>
      </c>
      <c r="I664" s="3" t="str">
        <f>"antisense"</f>
        <v>antisense</v>
      </c>
    </row>
    <row r="665" spans="1:9" x14ac:dyDescent="0.2">
      <c r="A665" s="3" t="str">
        <f>"ENSG00000143994.14"</f>
        <v>ENSG00000143994.14</v>
      </c>
      <c r="B665" s="3">
        <v>24.855157898666398</v>
      </c>
      <c r="C665" s="3">
        <v>3.2790879045848298</v>
      </c>
      <c r="D665" s="3">
        <v>0.79332345878463995</v>
      </c>
      <c r="E665" s="3">
        <v>4.1333555289142101</v>
      </c>
      <c r="F665" s="4">
        <v>3.5750505208840401E-5</v>
      </c>
      <c r="G665" s="3">
        <v>2.2529383921333801E-4</v>
      </c>
      <c r="H665" s="3" t="str">
        <f>"ABHD1"</f>
        <v>ABHD1</v>
      </c>
      <c r="I665" s="3" t="str">
        <f t="shared" ref="I665:I671" si="29">"protein_coding"</f>
        <v>protein_coding</v>
      </c>
    </row>
    <row r="666" spans="1:9" x14ac:dyDescent="0.2">
      <c r="A666" s="3" t="str">
        <f>"ENSG00000084774.14"</f>
        <v>ENSG00000084774.14</v>
      </c>
      <c r="B666" s="3">
        <v>4383.9512706122396</v>
      </c>
      <c r="C666" s="3">
        <v>-1.19003686368231</v>
      </c>
      <c r="D666" s="3">
        <v>0.19779664140543199</v>
      </c>
      <c r="E666" s="3">
        <v>-6.0164664840948303</v>
      </c>
      <c r="F666" s="4">
        <v>1.7826538590626799E-9</v>
      </c>
      <c r="G666" s="4">
        <v>2.3318276379203398E-8</v>
      </c>
      <c r="H666" s="3" t="str">
        <f>"CAD"</f>
        <v>CAD</v>
      </c>
      <c r="I666" s="3" t="str">
        <f t="shared" si="29"/>
        <v>protein_coding</v>
      </c>
    </row>
    <row r="667" spans="1:9" x14ac:dyDescent="0.2">
      <c r="A667" s="3" t="str">
        <f>"ENSG00000163794.6"</f>
        <v>ENSG00000163794.6</v>
      </c>
      <c r="B667" s="3">
        <v>36.616362375084996</v>
      </c>
      <c r="C667" s="3">
        <v>1.4594815182894401</v>
      </c>
      <c r="D667" s="3">
        <v>0.60317398158614499</v>
      </c>
      <c r="E667" s="3">
        <v>2.4196692212278301</v>
      </c>
      <c r="F667" s="3">
        <v>1.55346308639666E-2</v>
      </c>
      <c r="G667" s="3">
        <v>4.5917996002440599E-2</v>
      </c>
      <c r="H667" s="3" t="str">
        <f>"UCN"</f>
        <v>UCN</v>
      </c>
      <c r="I667" s="3" t="str">
        <f t="shared" si="29"/>
        <v>protein_coding</v>
      </c>
    </row>
    <row r="668" spans="1:9" x14ac:dyDescent="0.2">
      <c r="A668" s="3" t="str">
        <f>"ENSG00000115216.14"</f>
        <v>ENSG00000115216.14</v>
      </c>
      <c r="B668" s="3">
        <v>3676.5491292228198</v>
      </c>
      <c r="C668" s="3">
        <v>-1.1584428598713901</v>
      </c>
      <c r="D668" s="3">
        <v>0.20759658868978101</v>
      </c>
      <c r="E668" s="3">
        <v>-5.5802596140078702</v>
      </c>
      <c r="F668" s="4">
        <v>2.4015985245865901E-8</v>
      </c>
      <c r="G668" s="4">
        <v>2.71182573557442E-7</v>
      </c>
      <c r="H668" s="3" t="str">
        <f>"NRBP1"</f>
        <v>NRBP1</v>
      </c>
      <c r="I668" s="3" t="str">
        <f t="shared" si="29"/>
        <v>protein_coding</v>
      </c>
    </row>
    <row r="669" spans="1:9" x14ac:dyDescent="0.2">
      <c r="A669" s="3" t="str">
        <f>"ENSG00000138002.15"</f>
        <v>ENSG00000138002.15</v>
      </c>
      <c r="B669" s="3">
        <v>604.24903091001295</v>
      </c>
      <c r="C669" s="3">
        <v>-2.2649126703798399</v>
      </c>
      <c r="D669" s="3">
        <v>0.24105132861810599</v>
      </c>
      <c r="E669" s="3">
        <v>-9.3959767131925105</v>
      </c>
      <c r="F669" s="4">
        <v>5.66893874487867E-21</v>
      </c>
      <c r="G669" s="4">
        <v>2.3984716456787102E-19</v>
      </c>
      <c r="H669" s="3" t="str">
        <f>"IFT172"</f>
        <v>IFT172</v>
      </c>
      <c r="I669" s="3" t="str">
        <f t="shared" si="29"/>
        <v>protein_coding</v>
      </c>
    </row>
    <row r="670" spans="1:9" x14ac:dyDescent="0.2">
      <c r="A670" s="3" t="str">
        <f>"ENSG00000084734.9"</f>
        <v>ENSG00000084734.9</v>
      </c>
      <c r="B670" s="3">
        <v>347.100041023919</v>
      </c>
      <c r="C670" s="3">
        <v>-2.5519946110840199</v>
      </c>
      <c r="D670" s="3">
        <v>0.25431697655551999</v>
      </c>
      <c r="E670" s="3">
        <v>-10.034700182616</v>
      </c>
      <c r="F670" s="4">
        <v>1.07284834090879E-23</v>
      </c>
      <c r="G670" s="4">
        <v>5.4233578376144298E-22</v>
      </c>
      <c r="H670" s="3" t="str">
        <f>"GCKR"</f>
        <v>GCKR</v>
      </c>
      <c r="I670" s="3" t="str">
        <f t="shared" si="29"/>
        <v>protein_coding</v>
      </c>
    </row>
    <row r="671" spans="1:9" x14ac:dyDescent="0.2">
      <c r="A671" s="3" t="str">
        <f>"ENSG00000221843.4"</f>
        <v>ENSG00000221843.4</v>
      </c>
      <c r="B671" s="3">
        <v>70.621592673122294</v>
      </c>
      <c r="C671" s="3">
        <v>2.19214833050636</v>
      </c>
      <c r="D671" s="3">
        <v>0.52862596961442898</v>
      </c>
      <c r="E671" s="3">
        <v>4.1468797533826702</v>
      </c>
      <c r="F671" s="4">
        <v>3.3703695439085698E-5</v>
      </c>
      <c r="G671" s="3">
        <v>2.1376270708304599E-4</v>
      </c>
      <c r="H671" s="3" t="str">
        <f>"C2orf16"</f>
        <v>C2orf16</v>
      </c>
      <c r="I671" s="3" t="str">
        <f t="shared" si="29"/>
        <v>protein_coding</v>
      </c>
    </row>
    <row r="672" spans="1:9" x14ac:dyDescent="0.2">
      <c r="A672" s="3" t="str">
        <f>"ENSG00000205334.2"</f>
        <v>ENSG00000205334.2</v>
      </c>
      <c r="B672" s="3">
        <v>67.350778054145394</v>
      </c>
      <c r="C672" s="3">
        <v>6.4268677497271796</v>
      </c>
      <c r="D672" s="3">
        <v>0.93103504905018297</v>
      </c>
      <c r="E672" s="3">
        <v>6.9029278288542404</v>
      </c>
      <c r="F672" s="4">
        <v>5.09415144483517E-12</v>
      </c>
      <c r="G672" s="4">
        <v>9.2471915001614894E-11</v>
      </c>
      <c r="H672" s="3" t="str">
        <f>"LINC01460"</f>
        <v>LINC01460</v>
      </c>
      <c r="I672" s="3" t="str">
        <f>"lincRNA"</f>
        <v>lincRNA</v>
      </c>
    </row>
    <row r="673" spans="1:9" x14ac:dyDescent="0.2">
      <c r="A673" s="3" t="str">
        <f>"ENSG00000243147.8"</f>
        <v>ENSG00000243147.8</v>
      </c>
      <c r="B673" s="3">
        <v>1809.1644874245801</v>
      </c>
      <c r="C673" s="3">
        <v>1.0355196362249</v>
      </c>
      <c r="D673" s="3">
        <v>0.18760477351028901</v>
      </c>
      <c r="E673" s="3">
        <v>5.5196870359384</v>
      </c>
      <c r="F673" s="4">
        <v>3.3960395414309501E-8</v>
      </c>
      <c r="G673" s="4">
        <v>3.7416857818588403E-7</v>
      </c>
      <c r="H673" s="3" t="str">
        <f>"MRPL33"</f>
        <v>MRPL33</v>
      </c>
      <c r="I673" s="3" t="str">
        <f>"protein_coding"</f>
        <v>protein_coding</v>
      </c>
    </row>
    <row r="674" spans="1:9" x14ac:dyDescent="0.2">
      <c r="A674" s="3" t="str">
        <f>"ENSG00000171174.15"</f>
        <v>ENSG00000171174.15</v>
      </c>
      <c r="B674" s="3">
        <v>207.10229064225101</v>
      </c>
      <c r="C674" s="3">
        <v>3.2323501535234298</v>
      </c>
      <c r="D674" s="3">
        <v>0.32801505996617403</v>
      </c>
      <c r="E674" s="3">
        <v>9.8542736234633708</v>
      </c>
      <c r="F674" s="4">
        <v>6.5689949169409499E-23</v>
      </c>
      <c r="G674" s="4">
        <v>3.1456134358855902E-21</v>
      </c>
      <c r="H674" s="3" t="str">
        <f>"RBKS"</f>
        <v>RBKS</v>
      </c>
      <c r="I674" s="3" t="str">
        <f>"protein_coding"</f>
        <v>protein_coding</v>
      </c>
    </row>
    <row r="675" spans="1:9" x14ac:dyDescent="0.2">
      <c r="A675" s="3" t="str">
        <f>"ENSG00000265321.1"</f>
        <v>ENSG00000265321.1</v>
      </c>
      <c r="B675" s="3">
        <v>15.5088215508285</v>
      </c>
      <c r="C675" s="3">
        <v>2.3187383735209601</v>
      </c>
      <c r="D675" s="3">
        <v>0.91093626370920899</v>
      </c>
      <c r="E675" s="3">
        <v>2.5454452368372902</v>
      </c>
      <c r="F675" s="3">
        <v>1.0913848125896301E-2</v>
      </c>
      <c r="G675" s="3">
        <v>3.4245284816414E-2</v>
      </c>
      <c r="H675" s="3" t="str">
        <f>"MIR4263"</f>
        <v>MIR4263</v>
      </c>
      <c r="I675" s="3" t="str">
        <f>"miRNA"</f>
        <v>miRNA</v>
      </c>
    </row>
    <row r="676" spans="1:9" x14ac:dyDescent="0.2">
      <c r="A676" s="3" t="str">
        <f>"ENSG00000225991.1"</f>
        <v>ENSG00000225991.1</v>
      </c>
      <c r="B676" s="3">
        <v>40.250732429436702</v>
      </c>
      <c r="C676" s="3">
        <v>1.53826827159424</v>
      </c>
      <c r="D676" s="3">
        <v>0.55687077874774404</v>
      </c>
      <c r="E676" s="3">
        <v>2.7623433124887602</v>
      </c>
      <c r="F676" s="3">
        <v>5.7388099596957501E-3</v>
      </c>
      <c r="G676" s="3">
        <v>1.9979122250218799E-2</v>
      </c>
      <c r="H676" s="3" t="str">
        <f>"RPL23AP34"</f>
        <v>RPL23AP34</v>
      </c>
      <c r="I676" s="3" t="str">
        <f>"processed_pseudogene"</f>
        <v>processed_pseudogene</v>
      </c>
    </row>
    <row r="677" spans="1:9" x14ac:dyDescent="0.2">
      <c r="A677" s="3" t="str">
        <f>"ENSG00000229951.5"</f>
        <v>ENSG00000229951.5</v>
      </c>
      <c r="B677" s="3">
        <v>5.1002181659678598</v>
      </c>
      <c r="C677" s="3">
        <v>5.7438055377337802</v>
      </c>
      <c r="D677" s="3">
        <v>2.03182000205382</v>
      </c>
      <c r="E677" s="3">
        <v>2.8269263674576499</v>
      </c>
      <c r="F677" s="3">
        <v>4.69971330147441E-3</v>
      </c>
      <c r="G677" s="3">
        <v>1.6840227291592999E-2</v>
      </c>
      <c r="H677" s="3" t="str">
        <f>"AC104695.2"</f>
        <v>AC104695.2</v>
      </c>
      <c r="I677" s="3" t="str">
        <f>"antisense"</f>
        <v>antisense</v>
      </c>
    </row>
    <row r="678" spans="1:9" x14ac:dyDescent="0.2">
      <c r="A678" s="3" t="str">
        <f>"ENSG00000075426.12"</f>
        <v>ENSG00000075426.12</v>
      </c>
      <c r="B678" s="3">
        <v>2307.0184613951301</v>
      </c>
      <c r="C678" s="3">
        <v>1.53671009581466</v>
      </c>
      <c r="D678" s="3">
        <v>0.214965802081684</v>
      </c>
      <c r="E678" s="3">
        <v>7.1486258787838999</v>
      </c>
      <c r="F678" s="4">
        <v>8.7650852525180402E-13</v>
      </c>
      <c r="G678" s="4">
        <v>1.74961375732864E-11</v>
      </c>
      <c r="H678" s="3" t="str">
        <f>"FOSL2"</f>
        <v>FOSL2</v>
      </c>
      <c r="I678" s="3" t="str">
        <f>"protein_coding"</f>
        <v>protein_coding</v>
      </c>
    </row>
    <row r="679" spans="1:9" x14ac:dyDescent="0.2">
      <c r="A679" s="3" t="str">
        <f>"ENSG00000270640.1"</f>
        <v>ENSG00000270640.1</v>
      </c>
      <c r="B679" s="3">
        <v>32.175264058874902</v>
      </c>
      <c r="C679" s="3">
        <v>1.92452787240991</v>
      </c>
      <c r="D679" s="3">
        <v>0.62556383024909601</v>
      </c>
      <c r="E679" s="3">
        <v>3.07646922560017</v>
      </c>
      <c r="F679" s="3">
        <v>2.0946792421883301E-3</v>
      </c>
      <c r="G679" s="3">
        <v>8.3919607869292097E-3</v>
      </c>
      <c r="H679" s="3" t="str">
        <f>"AC104695.4"</f>
        <v>AC104695.4</v>
      </c>
      <c r="I679" s="3" t="str">
        <f>"sense_intronic"</f>
        <v>sense_intronic</v>
      </c>
    </row>
    <row r="680" spans="1:9" x14ac:dyDescent="0.2">
      <c r="A680" s="3" t="str">
        <f>"ENSG00000163803.13"</f>
        <v>ENSG00000163803.13</v>
      </c>
      <c r="B680" s="3">
        <v>221.49823084035401</v>
      </c>
      <c r="C680" s="3">
        <v>2.99323929495351</v>
      </c>
      <c r="D680" s="3">
        <v>0.326381471884442</v>
      </c>
      <c r="E680" s="3">
        <v>9.1709841176685707</v>
      </c>
      <c r="F680" s="4">
        <v>4.68720150811967E-20</v>
      </c>
      <c r="G680" s="4">
        <v>1.81667396147563E-18</v>
      </c>
      <c r="H680" s="3" t="str">
        <f>"PLB1"</f>
        <v>PLB1</v>
      </c>
      <c r="I680" s="3" t="str">
        <f t="shared" ref="I680:I690" si="30">"protein_coding"</f>
        <v>protein_coding</v>
      </c>
    </row>
    <row r="681" spans="1:9" x14ac:dyDescent="0.2">
      <c r="A681" s="3" t="str">
        <f>"ENSG00000179270.7"</f>
        <v>ENSG00000179270.7</v>
      </c>
      <c r="B681" s="3">
        <v>4.21848048911448</v>
      </c>
      <c r="C681" s="3">
        <v>5.4675059121987797</v>
      </c>
      <c r="D681" s="3">
        <v>2.1651366155771901</v>
      </c>
      <c r="E681" s="3">
        <v>2.52524753997624</v>
      </c>
      <c r="F681" s="3">
        <v>1.15616818810764E-2</v>
      </c>
      <c r="G681" s="3">
        <v>3.5899845722357597E-2</v>
      </c>
      <c r="H681" s="3" t="str">
        <f>"PCARE"</f>
        <v>PCARE</v>
      </c>
      <c r="I681" s="3" t="str">
        <f t="shared" si="30"/>
        <v>protein_coding</v>
      </c>
    </row>
    <row r="682" spans="1:9" x14ac:dyDescent="0.2">
      <c r="A682" s="3" t="str">
        <f>"ENSG00000171094.18"</f>
        <v>ENSG00000171094.18</v>
      </c>
      <c r="B682" s="3">
        <v>11.6797693678293</v>
      </c>
      <c r="C682" s="3">
        <v>4.4231831521922897</v>
      </c>
      <c r="D682" s="3">
        <v>1.3951901266628699</v>
      </c>
      <c r="E682" s="3">
        <v>3.1703085247399501</v>
      </c>
      <c r="F682" s="3">
        <v>1.5227715688664999E-3</v>
      </c>
      <c r="G682" s="3">
        <v>6.3646198706711803E-3</v>
      </c>
      <c r="H682" s="3" t="str">
        <f>"ALK"</f>
        <v>ALK</v>
      </c>
      <c r="I682" s="3" t="str">
        <f t="shared" si="30"/>
        <v>protein_coding</v>
      </c>
    </row>
    <row r="683" spans="1:9" x14ac:dyDescent="0.2">
      <c r="A683" s="3" t="str">
        <f>"ENSG00000119801.13"</f>
        <v>ENSG00000119801.13</v>
      </c>
      <c r="B683" s="3">
        <v>1484.39846998398</v>
      </c>
      <c r="C683" s="3">
        <v>2.1513896605375402</v>
      </c>
      <c r="D683" s="3">
        <v>0.19039923692255001</v>
      </c>
      <c r="E683" s="3">
        <v>11.2993607291224</v>
      </c>
      <c r="F683" s="4">
        <v>1.3217665597545499E-29</v>
      </c>
      <c r="G683" s="4">
        <v>1.0059824987048101E-27</v>
      </c>
      <c r="H683" s="3" t="str">
        <f>"YPEL5"</f>
        <v>YPEL5</v>
      </c>
      <c r="I683" s="3" t="str">
        <f t="shared" si="30"/>
        <v>protein_coding</v>
      </c>
    </row>
    <row r="684" spans="1:9" x14ac:dyDescent="0.2">
      <c r="A684" s="3" t="str">
        <f>"ENSG00000213626.13"</f>
        <v>ENSG00000213626.13</v>
      </c>
      <c r="B684" s="3">
        <v>32.714935823525302</v>
      </c>
      <c r="C684" s="3">
        <v>4.6046625068620699</v>
      </c>
      <c r="D684" s="3">
        <v>0.85676270819136402</v>
      </c>
      <c r="E684" s="3">
        <v>5.3744898824816598</v>
      </c>
      <c r="F684" s="4">
        <v>7.6799795358699193E-8</v>
      </c>
      <c r="G684" s="4">
        <v>7.9565172020474401E-7</v>
      </c>
      <c r="H684" s="3" t="str">
        <f>"LBH"</f>
        <v>LBH</v>
      </c>
      <c r="I684" s="3" t="str">
        <f t="shared" si="30"/>
        <v>protein_coding</v>
      </c>
    </row>
    <row r="685" spans="1:9" x14ac:dyDescent="0.2">
      <c r="A685" s="3" t="str">
        <f>"ENSG00000158125.10"</f>
        <v>ENSG00000158125.10</v>
      </c>
      <c r="B685" s="3">
        <v>14.5034595610653</v>
      </c>
      <c r="C685" s="3">
        <v>4.7622256261078304</v>
      </c>
      <c r="D685" s="3">
        <v>1.3164916043039001</v>
      </c>
      <c r="E685" s="3">
        <v>3.6173611822050802</v>
      </c>
      <c r="F685" s="3">
        <v>2.9762185939406202E-4</v>
      </c>
      <c r="G685" s="3">
        <v>1.51208331212195E-3</v>
      </c>
      <c r="H685" s="3" t="str">
        <f>"XDH"</f>
        <v>XDH</v>
      </c>
      <c r="I685" s="3" t="str">
        <f t="shared" si="30"/>
        <v>protein_coding</v>
      </c>
    </row>
    <row r="686" spans="1:9" x14ac:dyDescent="0.2">
      <c r="A686" s="3" t="str">
        <f>"ENSG00000091106.19"</f>
        <v>ENSG00000091106.19</v>
      </c>
      <c r="B686" s="3">
        <v>7.5582290917484896</v>
      </c>
      <c r="C686" s="3">
        <v>6.3108766697947098</v>
      </c>
      <c r="D686" s="3">
        <v>1.86957021130238</v>
      </c>
      <c r="E686" s="3">
        <v>3.3755761787616598</v>
      </c>
      <c r="F686" s="3">
        <v>7.3661296188052097E-4</v>
      </c>
      <c r="G686" s="3">
        <v>3.3828574704801201E-3</v>
      </c>
      <c r="H686" s="3" t="str">
        <f>"NLRC4"</f>
        <v>NLRC4</v>
      </c>
      <c r="I686" s="3" t="str">
        <f t="shared" si="30"/>
        <v>protein_coding</v>
      </c>
    </row>
    <row r="687" spans="1:9" x14ac:dyDescent="0.2">
      <c r="A687" s="3" t="str">
        <f>"ENSG00000018699.13"</f>
        <v>ENSG00000018699.13</v>
      </c>
      <c r="B687" s="3">
        <v>1198.87402733727</v>
      </c>
      <c r="C687" s="3">
        <v>-1.0395434828699399</v>
      </c>
      <c r="D687" s="3">
        <v>0.19616640860319401</v>
      </c>
      <c r="E687" s="3">
        <v>-5.2992940548385699</v>
      </c>
      <c r="F687" s="4">
        <v>1.16251279183216E-7</v>
      </c>
      <c r="G687" s="4">
        <v>1.1679567123543799E-6</v>
      </c>
      <c r="H687" s="3" t="str">
        <f>"TTC27"</f>
        <v>TTC27</v>
      </c>
      <c r="I687" s="3" t="str">
        <f t="shared" si="30"/>
        <v>protein_coding</v>
      </c>
    </row>
    <row r="688" spans="1:9" x14ac:dyDescent="0.2">
      <c r="A688" s="3" t="str">
        <f>"ENSG00000049323.16"</f>
        <v>ENSG00000049323.16</v>
      </c>
      <c r="B688" s="3">
        <v>47.034301816667302</v>
      </c>
      <c r="C688" s="3">
        <v>2.17432319100309</v>
      </c>
      <c r="D688" s="3">
        <v>0.535620799871242</v>
      </c>
      <c r="E688" s="3">
        <v>4.0594450244011799</v>
      </c>
      <c r="F688" s="4">
        <v>4.9189486942369103E-5</v>
      </c>
      <c r="G688" s="3">
        <v>3.0220201820038998E-4</v>
      </c>
      <c r="H688" s="3" t="str">
        <f>"LTBP1"</f>
        <v>LTBP1</v>
      </c>
      <c r="I688" s="3" t="str">
        <f t="shared" si="30"/>
        <v>protein_coding</v>
      </c>
    </row>
    <row r="689" spans="1:9" x14ac:dyDescent="0.2">
      <c r="A689" s="3" t="str">
        <f>"ENSG00000152689.18"</f>
        <v>ENSG00000152689.18</v>
      </c>
      <c r="B689" s="3">
        <v>8.3677018268609409</v>
      </c>
      <c r="C689" s="3">
        <v>3.2975766106148101</v>
      </c>
      <c r="D689" s="3">
        <v>1.3454458937831699</v>
      </c>
      <c r="E689" s="3">
        <v>2.45091729504081</v>
      </c>
      <c r="F689" s="3">
        <v>1.42492689261919E-2</v>
      </c>
      <c r="G689" s="3">
        <v>4.2728280938466097E-2</v>
      </c>
      <c r="H689" s="3" t="str">
        <f>"RASGRP3"</f>
        <v>RASGRP3</v>
      </c>
      <c r="I689" s="3" t="str">
        <f t="shared" si="30"/>
        <v>protein_coding</v>
      </c>
    </row>
    <row r="690" spans="1:9" x14ac:dyDescent="0.2">
      <c r="A690" s="3" t="str">
        <f>"ENSG00000119812.19"</f>
        <v>ENSG00000119812.19</v>
      </c>
      <c r="B690" s="3">
        <v>1138.1410679524699</v>
      </c>
      <c r="C690" s="3">
        <v>-1.0056288032599801</v>
      </c>
      <c r="D690" s="3">
        <v>0.19275927389154901</v>
      </c>
      <c r="E690" s="3">
        <v>-5.2170190463872297</v>
      </c>
      <c r="F690" s="4">
        <v>1.81825569528086E-7</v>
      </c>
      <c r="G690" s="4">
        <v>1.7718888744391201E-6</v>
      </c>
      <c r="H690" s="3" t="str">
        <f>"FAM98A"</f>
        <v>FAM98A</v>
      </c>
      <c r="I690" s="3" t="str">
        <f t="shared" si="30"/>
        <v>protein_coding</v>
      </c>
    </row>
    <row r="691" spans="1:9" x14ac:dyDescent="0.2">
      <c r="A691" s="3" t="str">
        <f>"ENSG00000260025.1"</f>
        <v>ENSG00000260025.1</v>
      </c>
      <c r="B691" s="3">
        <v>37.369963713301097</v>
      </c>
      <c r="C691" s="3">
        <v>2.00197574932205</v>
      </c>
      <c r="D691" s="3">
        <v>0.59470153086757205</v>
      </c>
      <c r="E691" s="3">
        <v>3.3663537849003</v>
      </c>
      <c r="F691" s="3">
        <v>7.6168950418756297E-4</v>
      </c>
      <c r="G691" s="3">
        <v>3.4839271312067399E-3</v>
      </c>
      <c r="H691" s="3" t="str">
        <f>"CRIM1-DT"</f>
        <v>CRIM1-DT</v>
      </c>
      <c r="I691" s="3" t="str">
        <f>"lincRNA"</f>
        <v>lincRNA</v>
      </c>
    </row>
    <row r="692" spans="1:9" x14ac:dyDescent="0.2">
      <c r="A692" s="3" t="str">
        <f>"ENSG00000218739.10"</f>
        <v>ENSG00000218739.10</v>
      </c>
      <c r="B692" s="3">
        <v>2222.38369775713</v>
      </c>
      <c r="C692" s="3">
        <v>1.5717749831063099</v>
      </c>
      <c r="D692" s="3">
        <v>0.21170268782454599</v>
      </c>
      <c r="E692" s="3">
        <v>7.4244450991994899</v>
      </c>
      <c r="F692" s="4">
        <v>1.1325370658529499E-13</v>
      </c>
      <c r="G692" s="4">
        <v>2.51698510875167E-12</v>
      </c>
      <c r="H692" s="3" t="str">
        <f>"CEBPZOS"</f>
        <v>CEBPZOS</v>
      </c>
      <c r="I692" s="3" t="str">
        <f>"protein_coding"</f>
        <v>protein_coding</v>
      </c>
    </row>
    <row r="693" spans="1:9" x14ac:dyDescent="0.2">
      <c r="A693" s="3" t="str">
        <f>"ENSG00000272054.1"</f>
        <v>ENSG00000272054.1</v>
      </c>
      <c r="B693" s="3">
        <v>75.436645302899606</v>
      </c>
      <c r="C693" s="3">
        <v>1.53338929254819</v>
      </c>
      <c r="D693" s="3">
        <v>0.46301696988924002</v>
      </c>
      <c r="E693" s="3">
        <v>3.3117345416410999</v>
      </c>
      <c r="F693" s="3">
        <v>9.2719481498322403E-4</v>
      </c>
      <c r="G693" s="3">
        <v>4.1306862530817402E-3</v>
      </c>
      <c r="H693" s="3" t="str">
        <f>"AC007390.2"</f>
        <v>AC007390.2</v>
      </c>
      <c r="I693" s="3" t="str">
        <f>"sense_intronic"</f>
        <v>sense_intronic</v>
      </c>
    </row>
    <row r="694" spans="1:9" x14ac:dyDescent="0.2">
      <c r="A694" s="3" t="str">
        <f>"ENSG00000115828.17"</f>
        <v>ENSG00000115828.17</v>
      </c>
      <c r="B694" s="3">
        <v>66.316623942860303</v>
      </c>
      <c r="C694" s="3">
        <v>3.6404838306533001</v>
      </c>
      <c r="D694" s="3">
        <v>0.55145968371870902</v>
      </c>
      <c r="E694" s="3">
        <v>6.6015412153144002</v>
      </c>
      <c r="F694" s="4">
        <v>4.0690510451196303E-11</v>
      </c>
      <c r="G694" s="4">
        <v>6.6990594457023898E-10</v>
      </c>
      <c r="H694" s="3" t="str">
        <f>"QPCT"</f>
        <v>QPCT</v>
      </c>
      <c r="I694" s="3" t="str">
        <f>"protein_coding"</f>
        <v>protein_coding</v>
      </c>
    </row>
    <row r="695" spans="1:9" x14ac:dyDescent="0.2">
      <c r="A695" s="3" t="str">
        <f>"ENSG00000236213.1"</f>
        <v>ENSG00000236213.1</v>
      </c>
      <c r="B695" s="3">
        <v>11.520204955805401</v>
      </c>
      <c r="C695" s="3">
        <v>5.4480404596744698</v>
      </c>
      <c r="D695" s="3">
        <v>1.7124211523375099</v>
      </c>
      <c r="E695" s="3">
        <v>3.1814839779558501</v>
      </c>
      <c r="F695" s="3">
        <v>1.4652262722435201E-3</v>
      </c>
      <c r="G695" s="3">
        <v>6.1609599135523403E-3</v>
      </c>
      <c r="H695" s="3" t="str">
        <f>"AC006369.1"</f>
        <v>AC006369.1</v>
      </c>
      <c r="I695" s="3" t="str">
        <f>"antisense"</f>
        <v>antisense</v>
      </c>
    </row>
    <row r="696" spans="1:9" x14ac:dyDescent="0.2">
      <c r="A696" s="3" t="str">
        <f>"ENSG00000163171.7"</f>
        <v>ENSG00000163171.7</v>
      </c>
      <c r="B696" s="3">
        <v>69.503020550103102</v>
      </c>
      <c r="C696" s="3">
        <v>5.4515848087961203</v>
      </c>
      <c r="D696" s="3">
        <v>0.72226959666463697</v>
      </c>
      <c r="E696" s="3">
        <v>7.5478530924892198</v>
      </c>
      <c r="F696" s="4">
        <v>4.4249163369088302E-14</v>
      </c>
      <c r="G696" s="4">
        <v>1.0182913465519801E-12</v>
      </c>
      <c r="H696" s="3" t="str">
        <f>"CDC42EP3"</f>
        <v>CDC42EP3</v>
      </c>
      <c r="I696" s="3" t="str">
        <f>"protein_coding"</f>
        <v>protein_coding</v>
      </c>
    </row>
    <row r="697" spans="1:9" x14ac:dyDescent="0.2">
      <c r="A697" s="3" t="str">
        <f>"ENSG00000115841.20"</f>
        <v>ENSG00000115841.20</v>
      </c>
      <c r="B697" s="3">
        <v>355.78427764671301</v>
      </c>
      <c r="C697" s="3">
        <v>1.49816390592082</v>
      </c>
      <c r="D697" s="3">
        <v>0.25803154972720599</v>
      </c>
      <c r="E697" s="3">
        <v>5.8061268379959596</v>
      </c>
      <c r="F697" s="4">
        <v>6.3934535909556903E-9</v>
      </c>
      <c r="G697" s="4">
        <v>7.7977811097927399E-8</v>
      </c>
      <c r="H697" s="3" t="str">
        <f>"RMDN2"</f>
        <v>RMDN2</v>
      </c>
      <c r="I697" s="3" t="str">
        <f>"protein_coding"</f>
        <v>protein_coding</v>
      </c>
    </row>
    <row r="698" spans="1:9" x14ac:dyDescent="0.2">
      <c r="A698" s="3" t="str">
        <f>"ENSG00000143891.17"</f>
        <v>ENSG00000143891.17</v>
      </c>
      <c r="B698" s="3">
        <v>1443.84096504694</v>
      </c>
      <c r="C698" s="3">
        <v>-1.28157489836218</v>
      </c>
      <c r="D698" s="3">
        <v>0.21921832257611301</v>
      </c>
      <c r="E698" s="3">
        <v>-5.8461121465666599</v>
      </c>
      <c r="F698" s="4">
        <v>5.0319486961655002E-9</v>
      </c>
      <c r="G698" s="4">
        <v>6.2434201331703703E-8</v>
      </c>
      <c r="H698" s="3" t="str">
        <f>"GALM"</f>
        <v>GALM</v>
      </c>
      <c r="I698" s="3" t="str">
        <f>"protein_coding"</f>
        <v>protein_coding</v>
      </c>
    </row>
    <row r="699" spans="1:9" x14ac:dyDescent="0.2">
      <c r="A699" s="3" t="str">
        <f>"ENSG00000214694.11"</f>
        <v>ENSG00000214694.11</v>
      </c>
      <c r="B699" s="3">
        <v>17.3181757520926</v>
      </c>
      <c r="C699" s="3">
        <v>3.9827739889995799</v>
      </c>
      <c r="D699" s="3">
        <v>1.0519049812430801</v>
      </c>
      <c r="E699" s="3">
        <v>3.7862488152617999</v>
      </c>
      <c r="F699" s="3">
        <v>1.52938540920194E-4</v>
      </c>
      <c r="G699" s="3">
        <v>8.3963659569867295E-4</v>
      </c>
      <c r="H699" s="3" t="str">
        <f>"ARHGEF33"</f>
        <v>ARHGEF33</v>
      </c>
      <c r="I699" s="3" t="str">
        <f>"protein_coding"</f>
        <v>protein_coding</v>
      </c>
    </row>
    <row r="700" spans="1:9" x14ac:dyDescent="0.2">
      <c r="A700" s="3" t="str">
        <f>"ENSG00000231312.6"</f>
        <v>ENSG00000231312.6</v>
      </c>
      <c r="B700" s="3">
        <v>748.880371500911</v>
      </c>
      <c r="C700" s="3">
        <v>1.09009033804809</v>
      </c>
      <c r="D700" s="3">
        <v>0.22249791017385501</v>
      </c>
      <c r="E700" s="3">
        <v>4.89932843502356</v>
      </c>
      <c r="F700" s="4">
        <v>9.6164778993602399E-7</v>
      </c>
      <c r="G700" s="4">
        <v>8.2891544866772702E-6</v>
      </c>
      <c r="H700" s="3" t="str">
        <f>"MAP4K3-DT"</f>
        <v>MAP4K3-DT</v>
      </c>
      <c r="I700" s="3" t="str">
        <f>"antisense"</f>
        <v>antisense</v>
      </c>
    </row>
    <row r="701" spans="1:9" x14ac:dyDescent="0.2">
      <c r="A701" s="3" t="str">
        <f>"ENSG00000227028.6"</f>
        <v>ENSG00000227028.6</v>
      </c>
      <c r="B701" s="3">
        <v>21.3188484455316</v>
      </c>
      <c r="C701" s="3">
        <v>7.8078176687617802</v>
      </c>
      <c r="D701" s="3">
        <v>1.6149242700926201</v>
      </c>
      <c r="E701" s="3">
        <v>4.8347887349008598</v>
      </c>
      <c r="F701" s="4">
        <v>1.3328711347382901E-6</v>
      </c>
      <c r="G701" s="4">
        <v>1.1191599324565201E-5</v>
      </c>
      <c r="H701" s="3" t="str">
        <f>"SLC8A1-AS1"</f>
        <v>SLC8A1-AS1</v>
      </c>
      <c r="I701" s="3" t="str">
        <f>"antisense"</f>
        <v>antisense</v>
      </c>
    </row>
    <row r="702" spans="1:9" x14ac:dyDescent="0.2">
      <c r="A702" s="3" t="str">
        <f>"ENSG00000183023.18"</f>
        <v>ENSG00000183023.18</v>
      </c>
      <c r="B702" s="3">
        <v>25.637529574835199</v>
      </c>
      <c r="C702" s="3">
        <v>5.0084121360403602</v>
      </c>
      <c r="D702" s="3">
        <v>1.08604455139262</v>
      </c>
      <c r="E702" s="3">
        <v>4.6116083632279699</v>
      </c>
      <c r="F702" s="4">
        <v>3.9956526853937203E-6</v>
      </c>
      <c r="G702" s="4">
        <v>3.0762799864064097E-5</v>
      </c>
      <c r="H702" s="3" t="str">
        <f>"SLC8A1"</f>
        <v>SLC8A1</v>
      </c>
      <c r="I702" s="3" t="str">
        <f>"protein_coding"</f>
        <v>protein_coding</v>
      </c>
    </row>
    <row r="703" spans="1:9" x14ac:dyDescent="0.2">
      <c r="A703" s="3" t="str">
        <f>"ENSG00000162878.13"</f>
        <v>ENSG00000162878.13</v>
      </c>
      <c r="B703" s="3">
        <v>1699.11550950279</v>
      </c>
      <c r="C703" s="3">
        <v>-1.8776309853703601</v>
      </c>
      <c r="D703" s="3">
        <v>0.21985718348420299</v>
      </c>
      <c r="E703" s="3">
        <v>-8.5402303241334696</v>
      </c>
      <c r="F703" s="4">
        <v>1.33954561878873E-17</v>
      </c>
      <c r="G703" s="4">
        <v>4.2049077736332301E-16</v>
      </c>
      <c r="H703" s="3" t="str">
        <f>"PKDCC"</f>
        <v>PKDCC</v>
      </c>
      <c r="I703" s="3" t="str">
        <f>"protein_coding"</f>
        <v>protein_coding</v>
      </c>
    </row>
    <row r="704" spans="1:9" x14ac:dyDescent="0.2">
      <c r="A704" s="3" t="str">
        <f>"ENSG00000143924.19"</f>
        <v>ENSG00000143924.19</v>
      </c>
      <c r="B704" s="3">
        <v>22426.444169305301</v>
      </c>
      <c r="C704" s="3">
        <v>-1.6518145071054799</v>
      </c>
      <c r="D704" s="3">
        <v>0.18925795007013699</v>
      </c>
      <c r="E704" s="3">
        <v>-8.7278473981850606</v>
      </c>
      <c r="F704" s="4">
        <v>2.59565558578597E-18</v>
      </c>
      <c r="G704" s="4">
        <v>8.6353880031636396E-17</v>
      </c>
      <c r="H704" s="3" t="str">
        <f>"EML4"</f>
        <v>EML4</v>
      </c>
      <c r="I704" s="3" t="str">
        <f>"protein_coding"</f>
        <v>protein_coding</v>
      </c>
    </row>
    <row r="705" spans="1:9" x14ac:dyDescent="0.2">
      <c r="A705" s="3" t="str">
        <f>"ENSG00000162882.15"</f>
        <v>ENSG00000162882.15</v>
      </c>
      <c r="B705" s="3">
        <v>924.22570487737005</v>
      </c>
      <c r="C705" s="3">
        <v>1.04278842830322</v>
      </c>
      <c r="D705" s="3">
        <v>0.23628050201742001</v>
      </c>
      <c r="E705" s="3">
        <v>4.4133494698023803</v>
      </c>
      <c r="F705" s="4">
        <v>1.01783496479825E-5</v>
      </c>
      <c r="G705" s="4">
        <v>7.2183626459807501E-5</v>
      </c>
      <c r="H705" s="3" t="str">
        <f>"HAAO"</f>
        <v>HAAO</v>
      </c>
      <c r="I705" s="3" t="str">
        <f>"protein_coding"</f>
        <v>protein_coding</v>
      </c>
    </row>
    <row r="706" spans="1:9" x14ac:dyDescent="0.2">
      <c r="A706" s="3" t="str">
        <f>"ENSG00000231826.5"</f>
        <v>ENSG00000231826.5</v>
      </c>
      <c r="B706" s="3">
        <v>14.310792941337599</v>
      </c>
      <c r="C706" s="3">
        <v>2.7981800504185101</v>
      </c>
      <c r="D706" s="3">
        <v>0.992842918961229</v>
      </c>
      <c r="E706" s="3">
        <v>2.81835121848493</v>
      </c>
      <c r="F706" s="3">
        <v>4.8270976345311202E-3</v>
      </c>
      <c r="G706" s="3">
        <v>1.7212920985220499E-2</v>
      </c>
      <c r="H706" s="3" t="str">
        <f>"LINC01819"</f>
        <v>LINC01819</v>
      </c>
      <c r="I706" s="3" t="str">
        <f>"lincRNA"</f>
        <v>lincRNA</v>
      </c>
    </row>
    <row r="707" spans="1:9" x14ac:dyDescent="0.2">
      <c r="A707" s="3" t="str">
        <f>"ENSG00000231336.1"</f>
        <v>ENSG00000231336.1</v>
      </c>
      <c r="B707" s="3">
        <v>6.6794972052680102</v>
      </c>
      <c r="C707" s="3">
        <v>6.1352958256241097</v>
      </c>
      <c r="D707" s="3">
        <v>1.90077386166819</v>
      </c>
      <c r="E707" s="3">
        <v>3.2277884020561798</v>
      </c>
      <c r="F707" s="3">
        <v>1.24751216202795E-3</v>
      </c>
      <c r="G707" s="3">
        <v>5.3520648525863098E-3</v>
      </c>
      <c r="H707" s="3" t="str">
        <f>"AC017006.1"</f>
        <v>AC017006.1</v>
      </c>
      <c r="I707" s="3" t="str">
        <f>"antisense"</f>
        <v>antisense</v>
      </c>
    </row>
    <row r="708" spans="1:9" x14ac:dyDescent="0.2">
      <c r="A708" s="3" t="str">
        <f>"ENSG00000228100.1"</f>
        <v>ENSG00000228100.1</v>
      </c>
      <c r="B708" s="3">
        <v>540.93280137637498</v>
      </c>
      <c r="C708" s="3">
        <v>5.8002447096154297</v>
      </c>
      <c r="D708" s="3">
        <v>0.32705531442742197</v>
      </c>
      <c r="E708" s="3">
        <v>17.734751443406299</v>
      </c>
      <c r="F708" s="4">
        <v>2.26093886655962E-70</v>
      </c>
      <c r="G708" s="4">
        <v>1.02673002161917E-67</v>
      </c>
      <c r="H708" s="3" t="str">
        <f>"LINC01820"</f>
        <v>LINC01820</v>
      </c>
      <c r="I708" s="3" t="str">
        <f>"lincRNA"</f>
        <v>lincRNA</v>
      </c>
    </row>
    <row r="709" spans="1:9" x14ac:dyDescent="0.2">
      <c r="A709" s="3" t="str">
        <f>"ENSG00000095002.14"</f>
        <v>ENSG00000095002.14</v>
      </c>
      <c r="B709" s="3">
        <v>2153.1376020320699</v>
      </c>
      <c r="C709" s="3">
        <v>-1.2368278004663</v>
      </c>
      <c r="D709" s="3">
        <v>0.18369925723205199</v>
      </c>
      <c r="E709" s="3">
        <v>-6.7328949452632596</v>
      </c>
      <c r="F709" s="4">
        <v>1.6632015374623199E-11</v>
      </c>
      <c r="G709" s="4">
        <v>2.8573299048698499E-10</v>
      </c>
      <c r="H709" s="3" t="str">
        <f>"MSH2"</f>
        <v>MSH2</v>
      </c>
      <c r="I709" s="3" t="str">
        <f>"protein_coding"</f>
        <v>protein_coding</v>
      </c>
    </row>
    <row r="710" spans="1:9" x14ac:dyDescent="0.2">
      <c r="A710" s="3" t="str">
        <f>"ENSG00000116062.15"</f>
        <v>ENSG00000116062.15</v>
      </c>
      <c r="B710" s="3">
        <v>2797.6025929244202</v>
      </c>
      <c r="C710" s="3">
        <v>-2.0187951314315402</v>
      </c>
      <c r="D710" s="3">
        <v>0.18021140105838701</v>
      </c>
      <c r="E710" s="3">
        <v>-11.202371878666399</v>
      </c>
      <c r="F710" s="4">
        <v>3.9696075358323799E-29</v>
      </c>
      <c r="G710" s="4">
        <v>2.8842639074353299E-27</v>
      </c>
      <c r="H710" s="3" t="str">
        <f>"MSH6"</f>
        <v>MSH6</v>
      </c>
      <c r="I710" s="3" t="str">
        <f>"protein_coding"</f>
        <v>protein_coding</v>
      </c>
    </row>
    <row r="711" spans="1:9" x14ac:dyDescent="0.2">
      <c r="A711" s="3" t="str">
        <f>"ENSG00000230773.8"</f>
        <v>ENSG00000230773.8</v>
      </c>
      <c r="B711" s="3">
        <v>34.6958558147358</v>
      </c>
      <c r="C711" s="3">
        <v>1.9896203992364301</v>
      </c>
      <c r="D711" s="3">
        <v>0.60817836272202397</v>
      </c>
      <c r="E711" s="3">
        <v>3.2714422629760902</v>
      </c>
      <c r="F711" s="3">
        <v>1.0700043448729499E-3</v>
      </c>
      <c r="G711" s="3">
        <v>4.6761506072212503E-3</v>
      </c>
      <c r="H711" s="3" t="str">
        <f>"AC092650.1"</f>
        <v>AC092650.1</v>
      </c>
      <c r="I711" s="3" t="str">
        <f>"lincRNA"</f>
        <v>lincRNA</v>
      </c>
    </row>
    <row r="712" spans="1:9" x14ac:dyDescent="0.2">
      <c r="A712" s="3" t="str">
        <f>"ENSG00000282890.1"</f>
        <v>ENSG00000282890.1</v>
      </c>
      <c r="B712" s="3">
        <v>4.4389149083278303</v>
      </c>
      <c r="C712" s="3">
        <v>5.5416549708147302</v>
      </c>
      <c r="D712" s="3">
        <v>2.1243404820932601</v>
      </c>
      <c r="E712" s="3">
        <v>2.6086472566554701</v>
      </c>
      <c r="F712" s="3">
        <v>9.0900891388015007E-3</v>
      </c>
      <c r="G712" s="3">
        <v>2.93596086729403E-2</v>
      </c>
      <c r="H712" s="3" t="str">
        <f>"AC009975.1"</f>
        <v>AC009975.1</v>
      </c>
      <c r="I712" s="3" t="str">
        <f>"lincRNA"</f>
        <v>lincRNA</v>
      </c>
    </row>
    <row r="713" spans="1:9" x14ac:dyDescent="0.2">
      <c r="A713" s="3" t="str">
        <f>"ENSG00000179915.23"</f>
        <v>ENSG00000179915.23</v>
      </c>
      <c r="B713" s="3">
        <v>27.847549549789299</v>
      </c>
      <c r="C713" s="3">
        <v>6.7385220922948896</v>
      </c>
      <c r="D713" s="3">
        <v>1.5719634389722199</v>
      </c>
      <c r="E713" s="3">
        <v>4.2866913601379197</v>
      </c>
      <c r="F713" s="4">
        <v>1.8135398405804598E-5</v>
      </c>
      <c r="G713" s="3">
        <v>1.21409140138319E-4</v>
      </c>
      <c r="H713" s="3" t="str">
        <f>"NRXN1"</f>
        <v>NRXN1</v>
      </c>
      <c r="I713" s="3" t="str">
        <f>"protein_coding"</f>
        <v>protein_coding</v>
      </c>
    </row>
    <row r="714" spans="1:9" x14ac:dyDescent="0.2">
      <c r="A714" s="3" t="str">
        <f>"ENSG00000204993.3"</f>
        <v>ENSG00000204993.3</v>
      </c>
      <c r="B714" s="3">
        <v>32.373888458452697</v>
      </c>
      <c r="C714" s="3">
        <v>4.9225925374663699</v>
      </c>
      <c r="D714" s="3">
        <v>0.91936959344852898</v>
      </c>
      <c r="E714" s="3">
        <v>5.3543129689572</v>
      </c>
      <c r="F714" s="4">
        <v>8.5882100695439494E-8</v>
      </c>
      <c r="G714" s="4">
        <v>8.7805988654733202E-7</v>
      </c>
      <c r="H714" s="3" t="str">
        <f>"AC139712.1"</f>
        <v>AC139712.1</v>
      </c>
      <c r="I714" s="3" t="str">
        <f>"processed_pseudogene"</f>
        <v>processed_pseudogene</v>
      </c>
    </row>
    <row r="715" spans="1:9" x14ac:dyDescent="0.2">
      <c r="A715" s="3" t="str">
        <f>"ENSG00000233266.1"</f>
        <v>ENSG00000233266.1</v>
      </c>
      <c r="B715" s="3">
        <v>17.980112813350299</v>
      </c>
      <c r="C715" s="3">
        <v>2.1320414668455099</v>
      </c>
      <c r="D715" s="3">
        <v>0.848255136896786</v>
      </c>
      <c r="E715" s="3">
        <v>2.5134436257530499</v>
      </c>
      <c r="F715" s="3">
        <v>1.19558884568701E-2</v>
      </c>
      <c r="G715" s="3">
        <v>3.6896827815646099E-2</v>
      </c>
      <c r="H715" s="3" t="str">
        <f>"HMGB1P31"</f>
        <v>HMGB1P31</v>
      </c>
      <c r="I715" s="3" t="str">
        <f>"processed_pseudogene"</f>
        <v>processed_pseudogene</v>
      </c>
    </row>
    <row r="716" spans="1:9" x14ac:dyDescent="0.2">
      <c r="A716" s="3" t="str">
        <f>"ENSG00000178021.11"</f>
        <v>ENSG00000178021.11</v>
      </c>
      <c r="B716" s="3">
        <v>10.940227379934999</v>
      </c>
      <c r="C716" s="3">
        <v>6.8503417420184904</v>
      </c>
      <c r="D716" s="3">
        <v>1.74606308453004</v>
      </c>
      <c r="E716" s="3">
        <v>3.9233071260207599</v>
      </c>
      <c r="F716" s="4">
        <v>8.7341692499193002E-5</v>
      </c>
      <c r="G716" s="3">
        <v>5.0785298666784296E-4</v>
      </c>
      <c r="H716" s="3" t="str">
        <f>"TSPYL6"</f>
        <v>TSPYL6</v>
      </c>
      <c r="I716" s="3" t="str">
        <f>"protein_coding"</f>
        <v>protein_coding</v>
      </c>
    </row>
    <row r="717" spans="1:9" x14ac:dyDescent="0.2">
      <c r="A717" s="3" t="str">
        <f>"ENSG00000285519.1"</f>
        <v>ENSG00000285519.1</v>
      </c>
      <c r="B717" s="3">
        <v>6.6825029956409097</v>
      </c>
      <c r="C717" s="3">
        <v>6.14044663877171</v>
      </c>
      <c r="D717" s="3">
        <v>1.91906634477752</v>
      </c>
      <c r="E717" s="3">
        <v>3.19970523972875</v>
      </c>
      <c r="F717" s="3">
        <v>1.3756820078319599E-3</v>
      </c>
      <c r="G717" s="3">
        <v>5.8312395251085098E-3</v>
      </c>
      <c r="H717" s="3" t="str">
        <f>"AC104781.2"</f>
        <v>AC104781.2</v>
      </c>
      <c r="I717" s="3" t="str">
        <f>"antisense"</f>
        <v>antisense</v>
      </c>
    </row>
    <row r="718" spans="1:9" x14ac:dyDescent="0.2">
      <c r="A718" s="3" t="str">
        <f>"ENSG00000240401.8"</f>
        <v>ENSG00000240401.8</v>
      </c>
      <c r="B718" s="3">
        <v>32.779320894652798</v>
      </c>
      <c r="C718" s="3">
        <v>3.0179662509952299</v>
      </c>
      <c r="D718" s="3">
        <v>0.68582894186481402</v>
      </c>
      <c r="E718" s="3">
        <v>4.4004649946518599</v>
      </c>
      <c r="F718" s="4">
        <v>1.08019152980314E-5</v>
      </c>
      <c r="G718" s="4">
        <v>7.6127266009770795E-5</v>
      </c>
      <c r="H718" s="3" t="str">
        <f>"AC012358.3"</f>
        <v>AC012358.3</v>
      </c>
      <c r="I718" s="3" t="str">
        <f>"antisense"</f>
        <v>antisense</v>
      </c>
    </row>
    <row r="719" spans="1:9" x14ac:dyDescent="0.2">
      <c r="A719" s="3" t="str">
        <f>"ENSG00000119866.21"</f>
        <v>ENSG00000119866.21</v>
      </c>
      <c r="B719" s="3">
        <v>8.2195757182985503</v>
      </c>
      <c r="C719" s="3">
        <v>3.89291474651748</v>
      </c>
      <c r="D719" s="3">
        <v>1.5299083855215501</v>
      </c>
      <c r="E719" s="3">
        <v>2.5445410871386001</v>
      </c>
      <c r="F719" s="3">
        <v>1.09421437927781E-2</v>
      </c>
      <c r="G719" s="3">
        <v>3.4319692802109301E-2</v>
      </c>
      <c r="H719" s="3" t="str">
        <f>"BCL11A"</f>
        <v>BCL11A</v>
      </c>
      <c r="I719" s="3" t="str">
        <f>"protein_coding"</f>
        <v>protein_coding</v>
      </c>
    </row>
    <row r="720" spans="1:9" x14ac:dyDescent="0.2">
      <c r="A720" s="3" t="str">
        <f>"ENSG00000237522.1"</f>
        <v>ENSG00000237522.1</v>
      </c>
      <c r="B720" s="3">
        <v>81.876573808337696</v>
      </c>
      <c r="C720" s="3">
        <v>-1.1269810038829999</v>
      </c>
      <c r="D720" s="3">
        <v>0.40531929034664599</v>
      </c>
      <c r="E720" s="3">
        <v>-2.7804770972513002</v>
      </c>
      <c r="F720" s="3">
        <v>5.42790882822818E-3</v>
      </c>
      <c r="G720" s="3">
        <v>1.9048716105452501E-2</v>
      </c>
      <c r="H720" s="3" t="str">
        <f>"NONOP2"</f>
        <v>NONOP2</v>
      </c>
      <c r="I720" s="3" t="str">
        <f>"processed_pseudogene"</f>
        <v>processed_pseudogene</v>
      </c>
    </row>
    <row r="721" spans="1:9" x14ac:dyDescent="0.2">
      <c r="A721" s="3" t="str">
        <f>"ENSG00000162927.14"</f>
        <v>ENSG00000162927.14</v>
      </c>
      <c r="B721" s="3">
        <v>995.29835497214799</v>
      </c>
      <c r="C721" s="3">
        <v>-1.0458384802759699</v>
      </c>
      <c r="D721" s="3">
        <v>0.198323827066371</v>
      </c>
      <c r="E721" s="3">
        <v>-5.2733879521494602</v>
      </c>
      <c r="F721" s="4">
        <v>1.3392803453622699E-7</v>
      </c>
      <c r="G721" s="4">
        <v>1.3322881186595799E-6</v>
      </c>
      <c r="H721" s="3" t="str">
        <f>"PUS10"</f>
        <v>PUS10</v>
      </c>
      <c r="I721" s="3" t="str">
        <f>"protein_coding"</f>
        <v>protein_coding</v>
      </c>
    </row>
    <row r="722" spans="1:9" x14ac:dyDescent="0.2">
      <c r="A722" s="3" t="str">
        <f>"ENSG00000212978.6"</f>
        <v>ENSG00000212978.6</v>
      </c>
      <c r="B722" s="3">
        <v>314.08947904367898</v>
      </c>
      <c r="C722" s="3">
        <v>1.22085991059699</v>
      </c>
      <c r="D722" s="3">
        <v>0.25649459907620598</v>
      </c>
      <c r="E722" s="3">
        <v>4.7597879838174002</v>
      </c>
      <c r="F722" s="4">
        <v>1.9379642570215E-6</v>
      </c>
      <c r="G722" s="4">
        <v>1.5762302122705901E-5</v>
      </c>
      <c r="H722" s="3" t="str">
        <f>"AC016747.1"</f>
        <v>AC016747.1</v>
      </c>
      <c r="I722" s="3" t="str">
        <f>"processed_transcript"</f>
        <v>processed_transcript</v>
      </c>
    </row>
    <row r="723" spans="1:9" x14ac:dyDescent="0.2">
      <c r="A723" s="3" t="str">
        <f>"ENSG00000237651.6"</f>
        <v>ENSG00000237651.6</v>
      </c>
      <c r="B723" s="3">
        <v>57.509634899163899</v>
      </c>
      <c r="C723" s="3">
        <v>1.3413711738304499</v>
      </c>
      <c r="D723" s="3">
        <v>0.473917132982835</v>
      </c>
      <c r="E723" s="3">
        <v>2.83039181425635</v>
      </c>
      <c r="F723" s="3">
        <v>4.6491031147787099E-3</v>
      </c>
      <c r="G723" s="3">
        <v>1.6678619166343101E-2</v>
      </c>
      <c r="H723" s="3" t="str">
        <f>"C2orf74"</f>
        <v>C2orf74</v>
      </c>
      <c r="I723" s="3" t="str">
        <f>"protein_coding"</f>
        <v>protein_coding</v>
      </c>
    </row>
    <row r="724" spans="1:9" x14ac:dyDescent="0.2">
      <c r="A724" s="3" t="str">
        <f>"ENSG00000273302.1"</f>
        <v>ENSG00000273302.1</v>
      </c>
      <c r="B724" s="3">
        <v>11.0823852766617</v>
      </c>
      <c r="C724" s="3">
        <v>3.7363666039919701</v>
      </c>
      <c r="D724" s="3">
        <v>1.2503734070986801</v>
      </c>
      <c r="E724" s="3">
        <v>2.9882006309312801</v>
      </c>
      <c r="F724" s="3">
        <v>2.8062527111860501E-3</v>
      </c>
      <c r="G724" s="3">
        <v>1.07997129409161E-2</v>
      </c>
      <c r="H724" s="3" t="str">
        <f>"AC016747.3"</f>
        <v>AC016747.3</v>
      </c>
      <c r="I724" s="3" t="str">
        <f>"sense_intronic"</f>
        <v>sense_intronic</v>
      </c>
    </row>
    <row r="725" spans="1:9" x14ac:dyDescent="0.2">
      <c r="A725" s="3" t="str">
        <f>"ENSG00000270820.5"</f>
        <v>ENSG00000270820.5</v>
      </c>
      <c r="B725" s="3">
        <v>109.408410617351</v>
      </c>
      <c r="C725" s="3">
        <v>1.5866748403290301</v>
      </c>
      <c r="D725" s="3">
        <v>0.36564746122631903</v>
      </c>
      <c r="E725" s="3">
        <v>4.3393569177469304</v>
      </c>
      <c r="F725" s="4">
        <v>1.4290027150096199E-5</v>
      </c>
      <c r="G725" s="4">
        <v>9.8136710000460995E-5</v>
      </c>
      <c r="H725" s="3" t="str">
        <f>"AC016727.1"</f>
        <v>AC016727.1</v>
      </c>
      <c r="I725" s="3" t="str">
        <f>"antisense"</f>
        <v>antisense</v>
      </c>
    </row>
    <row r="726" spans="1:9" x14ac:dyDescent="0.2">
      <c r="A726" s="3" t="str">
        <f>"ENSG00000229503.1"</f>
        <v>ENSG00000229503.1</v>
      </c>
      <c r="B726" s="3">
        <v>12.4017747336963</v>
      </c>
      <c r="C726" s="3">
        <v>7.0256946660755304</v>
      </c>
      <c r="D726" s="3">
        <v>1.7204689785323799</v>
      </c>
      <c r="E726" s="3">
        <v>4.0835927608928397</v>
      </c>
      <c r="F726" s="4">
        <v>4.4344716036457402E-5</v>
      </c>
      <c r="G726" s="3">
        <v>2.7404410928676701E-4</v>
      </c>
      <c r="H726" s="3" t="str">
        <f>"AC092155.2"</f>
        <v>AC092155.2</v>
      </c>
      <c r="I726" s="3" t="str">
        <f>"processed_pseudogene"</f>
        <v>processed_pseudogene</v>
      </c>
    </row>
    <row r="727" spans="1:9" x14ac:dyDescent="0.2">
      <c r="A727" s="3" t="str">
        <f>"ENSG00000226622.5"</f>
        <v>ENSG00000226622.5</v>
      </c>
      <c r="B727" s="3">
        <v>7.1928422533081804</v>
      </c>
      <c r="C727" s="3">
        <v>6.2414551952811497</v>
      </c>
      <c r="D727" s="3">
        <v>1.87374509142644</v>
      </c>
      <c r="E727" s="3">
        <v>3.3310054947387</v>
      </c>
      <c r="F727" s="3">
        <v>8.6532894304605201E-4</v>
      </c>
      <c r="G727" s="3">
        <v>3.88837573048573E-3</v>
      </c>
      <c r="H727" s="3" t="str">
        <f>"AC092155.1"</f>
        <v>AC092155.1</v>
      </c>
      <c r="I727" s="3" t="str">
        <f>"antisense"</f>
        <v>antisense</v>
      </c>
    </row>
    <row r="728" spans="1:9" x14ac:dyDescent="0.2">
      <c r="A728" s="3" t="str">
        <f>"ENSG00000226605.1"</f>
        <v>ENSG00000226605.1</v>
      </c>
      <c r="B728" s="3">
        <v>3.7806174410606901</v>
      </c>
      <c r="C728" s="3">
        <v>5.3154478000652503</v>
      </c>
      <c r="D728" s="3">
        <v>2.1865395084011801</v>
      </c>
      <c r="E728" s="3">
        <v>2.43098639637752</v>
      </c>
      <c r="F728" s="3">
        <v>1.5057779905063901E-2</v>
      </c>
      <c r="G728" s="3">
        <v>4.4683002512881202E-2</v>
      </c>
      <c r="H728" s="3" t="str">
        <f>"AC092567.1"</f>
        <v>AC092567.1</v>
      </c>
      <c r="I728" s="3" t="str">
        <f>"antisense"</f>
        <v>antisense</v>
      </c>
    </row>
    <row r="729" spans="1:9" x14ac:dyDescent="0.2">
      <c r="A729" s="3" t="str">
        <f>"ENSG00000115507.10"</f>
        <v>ENSG00000115507.10</v>
      </c>
      <c r="B729" s="3">
        <v>616.00487246938201</v>
      </c>
      <c r="C729" s="3">
        <v>-1.1964297488965401</v>
      </c>
      <c r="D729" s="3">
        <v>0.26020824634547901</v>
      </c>
      <c r="E729" s="3">
        <v>-4.5979701477563397</v>
      </c>
      <c r="F729" s="4">
        <v>4.2662710422207604E-6</v>
      </c>
      <c r="G729" s="4">
        <v>3.26617271951079E-5</v>
      </c>
      <c r="H729" s="3" t="str">
        <f>"OTX1"</f>
        <v>OTX1</v>
      </c>
      <c r="I729" s="3" t="str">
        <f>"protein_coding"</f>
        <v>protein_coding</v>
      </c>
    </row>
    <row r="730" spans="1:9" x14ac:dyDescent="0.2">
      <c r="A730" s="3" t="str">
        <f>"ENSG00000228305.2"</f>
        <v>ENSG00000228305.2</v>
      </c>
      <c r="B730" s="3">
        <v>477.68708083176699</v>
      </c>
      <c r="C730" s="3">
        <v>-1.3664468239516601</v>
      </c>
      <c r="D730" s="3">
        <v>0.26887110176136197</v>
      </c>
      <c r="E730" s="3">
        <v>-5.0821632187324397</v>
      </c>
      <c r="F730" s="4">
        <v>3.7316054350878998E-7</v>
      </c>
      <c r="G730" s="4">
        <v>3.44311050761395E-6</v>
      </c>
      <c r="H730" s="3" t="str">
        <f>"AC016734.1"</f>
        <v>AC016734.1</v>
      </c>
      <c r="I730" s="3" t="str">
        <f>"processed_pseudogene"</f>
        <v>processed_pseudogene</v>
      </c>
    </row>
    <row r="731" spans="1:9" x14ac:dyDescent="0.2">
      <c r="A731" s="3" t="str">
        <f>"ENSG00000225889.7"</f>
        <v>ENSG00000225889.7</v>
      </c>
      <c r="B731" s="3">
        <v>29.215411540994801</v>
      </c>
      <c r="C731" s="3">
        <v>6.8116433935982403</v>
      </c>
      <c r="D731" s="3">
        <v>1.5584203852949201</v>
      </c>
      <c r="E731" s="3">
        <v>4.3708638938967699</v>
      </c>
      <c r="F731" s="4">
        <v>1.23755920492441E-5</v>
      </c>
      <c r="G731" s="4">
        <v>8.6063745933066094E-5</v>
      </c>
      <c r="H731" s="3" t="str">
        <f>"AC012368.1"</f>
        <v>AC012368.1</v>
      </c>
      <c r="I731" s="3" t="str">
        <f>"antisense"</f>
        <v>antisense</v>
      </c>
    </row>
    <row r="732" spans="1:9" x14ac:dyDescent="0.2">
      <c r="A732" s="3" t="str">
        <f>"ENSG00000179833.4"</f>
        <v>ENSG00000179833.4</v>
      </c>
      <c r="B732" s="3">
        <v>7264.7258386286603</v>
      </c>
      <c r="C732" s="3">
        <v>1.52688317562706</v>
      </c>
      <c r="D732" s="3">
        <v>0.18112414317900499</v>
      </c>
      <c r="E732" s="3">
        <v>8.4300367075748905</v>
      </c>
      <c r="F732" s="4">
        <v>3.4555680581238997E-17</v>
      </c>
      <c r="G732" s="4">
        <v>1.04499292874253E-15</v>
      </c>
      <c r="H732" s="3" t="str">
        <f>"SERTAD2"</f>
        <v>SERTAD2</v>
      </c>
      <c r="I732" s="3" t="str">
        <f>"protein_coding"</f>
        <v>protein_coding</v>
      </c>
    </row>
    <row r="733" spans="1:9" x14ac:dyDescent="0.2">
      <c r="A733" s="3" t="str">
        <f>"ENSG00000115902.11"</f>
        <v>ENSG00000115902.11</v>
      </c>
      <c r="B733" s="3">
        <v>3039.2363866023402</v>
      </c>
      <c r="C733" s="3">
        <v>-1.03472623277084</v>
      </c>
      <c r="D733" s="3">
        <v>0.18166723418325301</v>
      </c>
      <c r="E733" s="3">
        <v>-5.69572293772623</v>
      </c>
      <c r="F733" s="4">
        <v>1.2285023979039999E-8</v>
      </c>
      <c r="G733" s="4">
        <v>1.44280193257286E-7</v>
      </c>
      <c r="H733" s="3" t="str">
        <f>"SLC1A4"</f>
        <v>SLC1A4</v>
      </c>
      <c r="I733" s="3" t="str">
        <f>"protein_coding"</f>
        <v>protein_coding</v>
      </c>
    </row>
    <row r="734" spans="1:9" x14ac:dyDescent="0.2">
      <c r="A734" s="3" t="str">
        <f>"ENSG00000138069.18"</f>
        <v>ENSG00000138069.18</v>
      </c>
      <c r="B734" s="3">
        <v>5592.3091574628997</v>
      </c>
      <c r="C734" s="3">
        <v>1.0183588241592301</v>
      </c>
      <c r="D734" s="3">
        <v>0.20518610553119801</v>
      </c>
      <c r="E734" s="3">
        <v>4.9630983614745103</v>
      </c>
      <c r="F734" s="4">
        <v>6.9377424041882103E-7</v>
      </c>
      <c r="G734" s="4">
        <v>6.10373481714292E-6</v>
      </c>
      <c r="H734" s="3" t="str">
        <f>"RAB1A"</f>
        <v>RAB1A</v>
      </c>
      <c r="I734" s="3" t="str">
        <f>"protein_coding"</f>
        <v>protein_coding</v>
      </c>
    </row>
    <row r="735" spans="1:9" x14ac:dyDescent="0.2">
      <c r="A735" s="3" t="str">
        <f>"ENSG00000232693.2"</f>
        <v>ENSG00000232693.2</v>
      </c>
      <c r="B735" s="3">
        <v>160.76719459756401</v>
      </c>
      <c r="C735" s="3">
        <v>1.81150436523361</v>
      </c>
      <c r="D735" s="3">
        <v>0.357135042322139</v>
      </c>
      <c r="E735" s="3">
        <v>5.0723232126843998</v>
      </c>
      <c r="F735" s="4">
        <v>3.9298816834153199E-7</v>
      </c>
      <c r="G735" s="4">
        <v>3.6128885917563602E-6</v>
      </c>
      <c r="H735" s="3" t="str">
        <f>"AC012370.1"</f>
        <v>AC012370.1</v>
      </c>
      <c r="I735" s="3" t="str">
        <f>"sense_intronic"</f>
        <v>sense_intronic</v>
      </c>
    </row>
    <row r="736" spans="1:9" x14ac:dyDescent="0.2">
      <c r="A736" s="3" t="str">
        <f>"ENSG00000204929.12"</f>
        <v>ENSG00000204929.12</v>
      </c>
      <c r="B736" s="3">
        <v>111.99787212398699</v>
      </c>
      <c r="C736" s="3">
        <v>3.8070500252723001</v>
      </c>
      <c r="D736" s="3">
        <v>0.43849066125385999</v>
      </c>
      <c r="E736" s="3">
        <v>8.6821689985051904</v>
      </c>
      <c r="F736" s="4">
        <v>3.8829190064079698E-18</v>
      </c>
      <c r="G736" s="4">
        <v>1.2700827631164199E-16</v>
      </c>
      <c r="H736" s="3" t="str">
        <f>"AC007389.1"</f>
        <v>AC007389.1</v>
      </c>
      <c r="I736" s="3" t="str">
        <f>"processed_transcript"</f>
        <v>processed_transcript</v>
      </c>
    </row>
    <row r="737" spans="1:9" x14ac:dyDescent="0.2">
      <c r="A737" s="3" t="str">
        <f>"ENSG00000281920.1"</f>
        <v>ENSG00000281920.1</v>
      </c>
      <c r="B737" s="3">
        <v>18.205545842856701</v>
      </c>
      <c r="C737" s="3">
        <v>7.5830475471528196</v>
      </c>
      <c r="D737" s="3">
        <v>1.6292411990248501</v>
      </c>
      <c r="E737" s="3">
        <v>4.6543431087376703</v>
      </c>
      <c r="F737" s="4">
        <v>3.25015202760389E-6</v>
      </c>
      <c r="G737" s="4">
        <v>2.5418166560310899E-5</v>
      </c>
      <c r="H737" s="3" t="str">
        <f>"AC007389.5"</f>
        <v>AC007389.5</v>
      </c>
      <c r="I737" s="3" t="str">
        <f>"lincRNA"</f>
        <v>lincRNA</v>
      </c>
    </row>
    <row r="738" spans="1:9" x14ac:dyDescent="0.2">
      <c r="A738" s="3" t="str">
        <f>"ENSG00000280257.1"</f>
        <v>ENSG00000280257.1</v>
      </c>
      <c r="B738" s="3">
        <v>4.47815880350747</v>
      </c>
      <c r="C738" s="3">
        <v>5.56007165364207</v>
      </c>
      <c r="D738" s="3">
        <v>2.0887876854237399</v>
      </c>
      <c r="E738" s="3">
        <v>2.6618653932336498</v>
      </c>
      <c r="F738" s="3">
        <v>7.7708947408654102E-3</v>
      </c>
      <c r="G738" s="3">
        <v>2.57364250643442E-2</v>
      </c>
      <c r="H738" s="3" t="str">
        <f>"AC007741.1"</f>
        <v>AC007741.1</v>
      </c>
      <c r="I738" s="3" t="str">
        <f>"TEC"</f>
        <v>TEC</v>
      </c>
    </row>
    <row r="739" spans="1:9" x14ac:dyDescent="0.2">
      <c r="A739" s="3" t="str">
        <f>"ENSG00000236780.6"</f>
        <v>ENSG00000236780.6</v>
      </c>
      <c r="B739" s="3">
        <v>24.8468554923078</v>
      </c>
      <c r="C739" s="3">
        <v>2.4443458866184802</v>
      </c>
      <c r="D739" s="3">
        <v>0.74324767426405203</v>
      </c>
      <c r="E739" s="3">
        <v>3.2887366772305402</v>
      </c>
      <c r="F739" s="3">
        <v>1.0063813061077201E-3</v>
      </c>
      <c r="G739" s="3">
        <v>4.4449459308667696E-3</v>
      </c>
      <c r="H739" s="3" t="str">
        <f>"LINC01829"</f>
        <v>LINC01829</v>
      </c>
      <c r="I739" s="3" t="str">
        <f>"antisense"</f>
        <v>antisense</v>
      </c>
    </row>
    <row r="740" spans="1:9" x14ac:dyDescent="0.2">
      <c r="A740" s="3" t="str">
        <f>"ENSG00000119865.8"</f>
        <v>ENSG00000119865.8</v>
      </c>
      <c r="B740" s="3">
        <v>3.8530936506741802</v>
      </c>
      <c r="C740" s="3">
        <v>5.3403250580865702</v>
      </c>
      <c r="D740" s="3">
        <v>2.1789621139591802</v>
      </c>
      <c r="E740" s="3">
        <v>2.4508572333014098</v>
      </c>
      <c r="F740" s="3">
        <v>1.4251646682892799E-2</v>
      </c>
      <c r="G740" s="3">
        <v>4.2728280938466097E-2</v>
      </c>
      <c r="H740" s="3" t="str">
        <f>"CNRIP1"</f>
        <v>CNRIP1</v>
      </c>
      <c r="I740" s="3" t="str">
        <f>"protein_coding"</f>
        <v>protein_coding</v>
      </c>
    </row>
    <row r="741" spans="1:9" x14ac:dyDescent="0.2">
      <c r="A741" s="3" t="str">
        <f>"ENSG00000115956.10"</f>
        <v>ENSG00000115956.10</v>
      </c>
      <c r="B741" s="3">
        <v>12.6341077843487</v>
      </c>
      <c r="C741" s="3">
        <v>5.5828064410411704</v>
      </c>
      <c r="D741" s="3">
        <v>1.6939855943069799</v>
      </c>
      <c r="E741" s="3">
        <v>3.2956634695144098</v>
      </c>
      <c r="F741" s="3">
        <v>9.8189559405419103E-4</v>
      </c>
      <c r="G741" s="3">
        <v>4.3494893921629902E-3</v>
      </c>
      <c r="H741" s="3" t="str">
        <f>"PLEK"</f>
        <v>PLEK</v>
      </c>
      <c r="I741" s="3" t="str">
        <f>"protein_coding"</f>
        <v>protein_coding</v>
      </c>
    </row>
    <row r="742" spans="1:9" x14ac:dyDescent="0.2">
      <c r="A742" s="3" t="str">
        <f>"ENSG00000169621.10"</f>
        <v>ENSG00000169621.10</v>
      </c>
      <c r="B742" s="3">
        <v>265.02245831320101</v>
      </c>
      <c r="C742" s="3">
        <v>2.0946285348900102</v>
      </c>
      <c r="D742" s="3">
        <v>0.29415382724220701</v>
      </c>
      <c r="E742" s="3">
        <v>7.1208610628250604</v>
      </c>
      <c r="F742" s="4">
        <v>1.0725486862767901E-12</v>
      </c>
      <c r="G742" s="4">
        <v>2.11612846162083E-11</v>
      </c>
      <c r="H742" s="3" t="str">
        <f>"APLF"</f>
        <v>APLF</v>
      </c>
      <c r="I742" s="3" t="str">
        <f>"protein_coding"</f>
        <v>protein_coding</v>
      </c>
    </row>
    <row r="743" spans="1:9" x14ac:dyDescent="0.2">
      <c r="A743" s="3" t="str">
        <f>"ENSG00000163219.11"</f>
        <v>ENSG00000163219.11</v>
      </c>
      <c r="B743" s="3">
        <v>6.6070209956545298</v>
      </c>
      <c r="C743" s="3">
        <v>6.1210130461908303</v>
      </c>
      <c r="D743" s="3">
        <v>1.90507111739157</v>
      </c>
      <c r="E743" s="3">
        <v>3.2130102599905701</v>
      </c>
      <c r="F743" s="3">
        <v>1.3135159723961501E-3</v>
      </c>
      <c r="G743" s="3">
        <v>5.59646125095822E-3</v>
      </c>
      <c r="H743" s="3" t="str">
        <f>"ARHGAP25"</f>
        <v>ARHGAP25</v>
      </c>
      <c r="I743" s="3" t="str">
        <f>"protein_coding"</f>
        <v>protein_coding</v>
      </c>
    </row>
    <row r="744" spans="1:9" x14ac:dyDescent="0.2">
      <c r="A744" s="3" t="str">
        <f>"ENSG00000169599.12"</f>
        <v>ENSG00000169599.12</v>
      </c>
      <c r="B744" s="3">
        <v>891.66128405829897</v>
      </c>
      <c r="C744" s="3">
        <v>1.0552529157577</v>
      </c>
      <c r="D744" s="3">
        <v>0.198716130423197</v>
      </c>
      <c r="E744" s="3">
        <v>5.3103535858431599</v>
      </c>
      <c r="F744" s="4">
        <v>1.09412753052064E-7</v>
      </c>
      <c r="G744" s="4">
        <v>1.10536495454563E-6</v>
      </c>
      <c r="H744" s="3" t="str">
        <f>"NFU1"</f>
        <v>NFU1</v>
      </c>
      <c r="I744" s="3" t="str">
        <f>"protein_coding"</f>
        <v>protein_coding</v>
      </c>
    </row>
    <row r="745" spans="1:9" x14ac:dyDescent="0.2">
      <c r="A745" s="3" t="str">
        <f>"ENSG00000232228.1"</f>
        <v>ENSG00000232228.1</v>
      </c>
      <c r="B745" s="3">
        <v>21.234570774284698</v>
      </c>
      <c r="C745" s="3">
        <v>1.8333162801821199</v>
      </c>
      <c r="D745" s="3">
        <v>0.76180259542388296</v>
      </c>
      <c r="E745" s="3">
        <v>2.40655032050925</v>
      </c>
      <c r="F745" s="3">
        <v>1.6103985284103398E-2</v>
      </c>
      <c r="G745" s="3">
        <v>4.7233508821712303E-2</v>
      </c>
      <c r="H745" s="3" t="str">
        <f>"AC092431.2"</f>
        <v>AC092431.2</v>
      </c>
      <c r="I745" s="3" t="str">
        <f>"processed_pseudogene"</f>
        <v>processed_pseudogene</v>
      </c>
    </row>
    <row r="746" spans="1:9" x14ac:dyDescent="0.2">
      <c r="A746" s="3" t="str">
        <f>"ENSG00000075340.23"</f>
        <v>ENSG00000075340.23</v>
      </c>
      <c r="B746" s="3">
        <v>13.171960204718999</v>
      </c>
      <c r="C746" s="3">
        <v>5.6455286154806004</v>
      </c>
      <c r="D746" s="3">
        <v>1.68132636654667</v>
      </c>
      <c r="E746" s="3">
        <v>3.35778271715095</v>
      </c>
      <c r="F746" s="3">
        <v>7.8570348798250597E-4</v>
      </c>
      <c r="G746" s="3">
        <v>3.5775506245085799E-3</v>
      </c>
      <c r="H746" s="3" t="str">
        <f>"ADD2"</f>
        <v>ADD2</v>
      </c>
      <c r="I746" s="3" t="str">
        <f>"protein_coding"</f>
        <v>protein_coding</v>
      </c>
    </row>
    <row r="747" spans="1:9" x14ac:dyDescent="0.2">
      <c r="A747" s="3" t="str">
        <f>"ENSG00000124370.11"</f>
        <v>ENSG00000124370.11</v>
      </c>
      <c r="B747" s="3">
        <v>1096.6739838521501</v>
      </c>
      <c r="C747" s="3">
        <v>-1.13199626953979</v>
      </c>
      <c r="D747" s="3">
        <v>0.20540963749815899</v>
      </c>
      <c r="E747" s="3">
        <v>-5.5109209252654203</v>
      </c>
      <c r="F747" s="4">
        <v>3.5696107278067101E-8</v>
      </c>
      <c r="G747" s="4">
        <v>3.9060716265280898E-7</v>
      </c>
      <c r="H747" s="3" t="str">
        <f>"MCEE"</f>
        <v>MCEE</v>
      </c>
      <c r="I747" s="3" t="str">
        <f>"protein_coding"</f>
        <v>protein_coding</v>
      </c>
    </row>
    <row r="748" spans="1:9" x14ac:dyDescent="0.2">
      <c r="A748" s="3" t="str">
        <f>"ENSG00000124374.9"</f>
        <v>ENSG00000124374.9</v>
      </c>
      <c r="B748" s="3">
        <v>23.612836734456501</v>
      </c>
      <c r="C748" s="3">
        <v>2.3404287921824101</v>
      </c>
      <c r="D748" s="3">
        <v>0.77157299177870198</v>
      </c>
      <c r="E748" s="3">
        <v>3.03332130222319</v>
      </c>
      <c r="F748" s="3">
        <v>2.4187791734609498E-3</v>
      </c>
      <c r="G748" s="3">
        <v>9.4826584373079795E-3</v>
      </c>
      <c r="H748" s="3" t="str">
        <f>"PAIP2B"</f>
        <v>PAIP2B</v>
      </c>
      <c r="I748" s="3" t="str">
        <f>"protein_coding"</f>
        <v>protein_coding</v>
      </c>
    </row>
    <row r="749" spans="1:9" x14ac:dyDescent="0.2">
      <c r="A749" s="3" t="str">
        <f>"ENSG00000135636.14"</f>
        <v>ENSG00000135636.14</v>
      </c>
      <c r="B749" s="3">
        <v>75.359282756031604</v>
      </c>
      <c r="C749" s="3">
        <v>1.45409791301443</v>
      </c>
      <c r="D749" s="3">
        <v>0.42005211780201501</v>
      </c>
      <c r="E749" s="3">
        <v>3.4617083247269602</v>
      </c>
      <c r="F749" s="3">
        <v>5.3675852556111505E-4</v>
      </c>
      <c r="G749" s="3">
        <v>2.5505858991914398E-3</v>
      </c>
      <c r="H749" s="3" t="str">
        <f>"DYSF"</f>
        <v>DYSF</v>
      </c>
      <c r="I749" s="3" t="str">
        <f>"protein_coding"</f>
        <v>protein_coding</v>
      </c>
    </row>
    <row r="750" spans="1:9" x14ac:dyDescent="0.2">
      <c r="A750" s="3" t="str">
        <f>"ENSG00000116096.6"</f>
        <v>ENSG00000116096.6</v>
      </c>
      <c r="B750" s="3">
        <v>653.11690355968597</v>
      </c>
      <c r="C750" s="3">
        <v>-1.01141274983785</v>
      </c>
      <c r="D750" s="3">
        <v>0.220276400355715</v>
      </c>
      <c r="E750" s="3">
        <v>-4.5915620021235002</v>
      </c>
      <c r="F750" s="4">
        <v>4.3994090058672501E-6</v>
      </c>
      <c r="G750" s="4">
        <v>3.3596047416722297E-5</v>
      </c>
      <c r="H750" s="3" t="str">
        <f>"SPR"</f>
        <v>SPR</v>
      </c>
      <c r="I750" s="3" t="str">
        <f>"protein_coding"</f>
        <v>protein_coding</v>
      </c>
    </row>
    <row r="751" spans="1:9" x14ac:dyDescent="0.2">
      <c r="A751" s="3" t="str">
        <f>"ENSG00000278060.1"</f>
        <v>ENSG00000278060.1</v>
      </c>
      <c r="B751" s="3">
        <v>17.167758817917498</v>
      </c>
      <c r="C751" s="3">
        <v>2.6859104589059002</v>
      </c>
      <c r="D751" s="3">
        <v>0.91618355406817797</v>
      </c>
      <c r="E751" s="3">
        <v>2.9316291991703101</v>
      </c>
      <c r="F751" s="3">
        <v>3.37189078098997E-3</v>
      </c>
      <c r="G751" s="3">
        <v>1.26617844693542E-2</v>
      </c>
      <c r="H751" s="3" t="str">
        <f>"AC012366.1"</f>
        <v>AC012366.1</v>
      </c>
      <c r="I751" s="3" t="str">
        <f>"antisense"</f>
        <v>antisense</v>
      </c>
    </row>
    <row r="752" spans="1:9" x14ac:dyDescent="0.2">
      <c r="A752" s="3" t="str">
        <f>"ENSG00000135632.12"</f>
        <v>ENSG00000135632.12</v>
      </c>
      <c r="B752" s="3">
        <v>1934.31995954687</v>
      </c>
      <c r="C752" s="3">
        <v>-1.5139332511177599</v>
      </c>
      <c r="D752" s="3">
        <v>0.21214336057135799</v>
      </c>
      <c r="E752" s="3">
        <v>-7.1363687604473496</v>
      </c>
      <c r="F752" s="4">
        <v>9.58287134362064E-13</v>
      </c>
      <c r="G752" s="4">
        <v>1.9044820970067998E-11</v>
      </c>
      <c r="H752" s="3" t="str">
        <f>"SMYD5"</f>
        <v>SMYD5</v>
      </c>
      <c r="I752" s="3" t="str">
        <f>"protein_coding"</f>
        <v>protein_coding</v>
      </c>
    </row>
    <row r="753" spans="1:9" x14ac:dyDescent="0.2">
      <c r="A753" s="3" t="str">
        <f>"ENSG00000135617.4"</f>
        <v>ENSG00000135617.4</v>
      </c>
      <c r="B753" s="3">
        <v>277.06637648647097</v>
      </c>
      <c r="C753" s="3">
        <v>-1.03157694340741</v>
      </c>
      <c r="D753" s="3">
        <v>0.30360671917277698</v>
      </c>
      <c r="E753" s="3">
        <v>-3.3977408214748999</v>
      </c>
      <c r="F753" s="3">
        <v>6.79447570579572E-4</v>
      </c>
      <c r="G753" s="3">
        <v>3.1495250009495701E-3</v>
      </c>
      <c r="H753" s="3" t="str">
        <f>"PRADC1"</f>
        <v>PRADC1</v>
      </c>
      <c r="I753" s="3" t="str">
        <f>"protein_coding"</f>
        <v>protein_coding</v>
      </c>
    </row>
    <row r="754" spans="1:9" x14ac:dyDescent="0.2">
      <c r="A754" s="3" t="str">
        <f>"ENSG00000144035.3"</f>
        <v>ENSG00000144035.3</v>
      </c>
      <c r="B754" s="3">
        <v>359.96722425305001</v>
      </c>
      <c r="C754" s="3">
        <v>3.25841435954207</v>
      </c>
      <c r="D754" s="3">
        <v>0.27750917261601998</v>
      </c>
      <c r="E754" s="3">
        <v>11.7416456141816</v>
      </c>
      <c r="F754" s="4">
        <v>7.79546712968697E-32</v>
      </c>
      <c r="G754" s="4">
        <v>6.8077914385442596E-30</v>
      </c>
      <c r="H754" s="3" t="str">
        <f>"NAT8"</f>
        <v>NAT8</v>
      </c>
      <c r="I754" s="3" t="str">
        <f>"protein_coding"</f>
        <v>protein_coding</v>
      </c>
    </row>
    <row r="755" spans="1:9" x14ac:dyDescent="0.2">
      <c r="A755" s="3" t="str">
        <f>"ENSG00000163016.10"</f>
        <v>ENSG00000163016.10</v>
      </c>
      <c r="B755" s="3">
        <v>227.99202459042999</v>
      </c>
      <c r="C755" s="3">
        <v>4.2540714883334196</v>
      </c>
      <c r="D755" s="3">
        <v>0.34440768193039101</v>
      </c>
      <c r="E755" s="3">
        <v>12.3518484387152</v>
      </c>
      <c r="F755" s="4">
        <v>4.7604913506646799E-35</v>
      </c>
      <c r="G755" s="4">
        <v>4.96969761806746E-33</v>
      </c>
      <c r="H755" s="3" t="str">
        <f>"ALMS1P1"</f>
        <v>ALMS1P1</v>
      </c>
      <c r="I755" s="3" t="str">
        <f>"transcribed_unprocessed_pseudogene"</f>
        <v>transcribed_unprocessed_pseudogene</v>
      </c>
    </row>
    <row r="756" spans="1:9" x14ac:dyDescent="0.2">
      <c r="A756" s="3" t="str">
        <f>"ENSG00000273245.1"</f>
        <v>ENSG00000273245.1</v>
      </c>
      <c r="B756" s="3">
        <v>45.715465002107898</v>
      </c>
      <c r="C756" s="3">
        <v>1.42517374490108</v>
      </c>
      <c r="D756" s="3">
        <v>0.52676359905204195</v>
      </c>
      <c r="E756" s="3">
        <v>2.70552814861508</v>
      </c>
      <c r="F756" s="3">
        <v>6.81958683566626E-3</v>
      </c>
      <c r="G756" s="3">
        <v>2.3076662010854301E-2</v>
      </c>
      <c r="H756" s="3" t="str">
        <f>"AC092653.1"</f>
        <v>AC092653.1</v>
      </c>
      <c r="I756" s="3" t="str">
        <f>"lincRNA"</f>
        <v>lincRNA</v>
      </c>
    </row>
    <row r="757" spans="1:9" x14ac:dyDescent="0.2">
      <c r="A757" s="3" t="str">
        <f>"ENSG00000187833.7"</f>
        <v>ENSG00000187833.7</v>
      </c>
      <c r="B757" s="3">
        <v>5.3206525851812003</v>
      </c>
      <c r="C757" s="3">
        <v>5.8053769265941</v>
      </c>
      <c r="D757" s="3">
        <v>2.0076052546962599</v>
      </c>
      <c r="E757" s="3">
        <v>2.89169243456301</v>
      </c>
      <c r="F757" s="3">
        <v>3.8317285447488402E-3</v>
      </c>
      <c r="G757" s="3">
        <v>1.41314439169967E-2</v>
      </c>
      <c r="H757" s="3" t="str">
        <f>"C2orf78"</f>
        <v>C2orf78</v>
      </c>
      <c r="I757" s="3" t="str">
        <f>"protein_coding"</f>
        <v>protein_coding</v>
      </c>
    </row>
    <row r="758" spans="1:9" x14ac:dyDescent="0.2">
      <c r="A758" s="3" t="str">
        <f>"ENSG00000187605.15"</f>
        <v>ENSG00000187605.15</v>
      </c>
      <c r="B758" s="3">
        <v>2488.9357949548598</v>
      </c>
      <c r="C758" s="3">
        <v>-1.18762125375776</v>
      </c>
      <c r="D758" s="3">
        <v>0.18461164851935</v>
      </c>
      <c r="E758" s="3">
        <v>-6.4330786452691102</v>
      </c>
      <c r="F758" s="4">
        <v>1.25044908247931E-10</v>
      </c>
      <c r="G758" s="4">
        <v>1.9216574252856E-9</v>
      </c>
      <c r="H758" s="3" t="str">
        <f>"TET3"</f>
        <v>TET3</v>
      </c>
      <c r="I758" s="3" t="str">
        <f>"protein_coding"</f>
        <v>protein_coding</v>
      </c>
    </row>
    <row r="759" spans="1:9" x14ac:dyDescent="0.2">
      <c r="A759" s="3" t="str">
        <f>"ENSG00000225439.2"</f>
        <v>ENSG00000225439.2</v>
      </c>
      <c r="B759" s="3">
        <v>329.02079611262297</v>
      </c>
      <c r="C759" s="3">
        <v>-1.34553602205076</v>
      </c>
      <c r="D759" s="3">
        <v>0.26026873514526599</v>
      </c>
      <c r="E759" s="3">
        <v>-5.1697950631671699</v>
      </c>
      <c r="F759" s="4">
        <v>2.3435084694108799E-7</v>
      </c>
      <c r="G759" s="4">
        <v>2.2365525487228801E-6</v>
      </c>
      <c r="H759" s="3" t="str">
        <f>"BOLA3-AS1"</f>
        <v>BOLA3-AS1</v>
      </c>
      <c r="I759" s="3" t="str">
        <f>"antisense"</f>
        <v>antisense</v>
      </c>
    </row>
    <row r="760" spans="1:9" x14ac:dyDescent="0.2">
      <c r="A760" s="3" t="str">
        <f>"ENSG00000005448.16"</f>
        <v>ENSG00000005448.16</v>
      </c>
      <c r="B760" s="3">
        <v>156.55868790449901</v>
      </c>
      <c r="C760" s="3">
        <v>1.0548686069584701</v>
      </c>
      <c r="D760" s="3">
        <v>0.32456909734487699</v>
      </c>
      <c r="E760" s="3">
        <v>3.25005866420363</v>
      </c>
      <c r="F760" s="3">
        <v>1.1538120424979799E-3</v>
      </c>
      <c r="G760" s="3">
        <v>5.0020551665779503E-3</v>
      </c>
      <c r="H760" s="3" t="str">
        <f>"WDR54"</f>
        <v>WDR54</v>
      </c>
      <c r="I760" s="3" t="str">
        <f>"protein_coding"</f>
        <v>protein_coding</v>
      </c>
    </row>
    <row r="761" spans="1:9" x14ac:dyDescent="0.2">
      <c r="A761" s="3" t="str">
        <f>"ENSG00000114993.16"</f>
        <v>ENSG00000114993.16</v>
      </c>
      <c r="B761" s="3">
        <v>3728.87573192743</v>
      </c>
      <c r="C761" s="3">
        <v>-1.3408517591957601</v>
      </c>
      <c r="D761" s="3">
        <v>0.20958555908007601</v>
      </c>
      <c r="E761" s="3">
        <v>-6.3976342887415596</v>
      </c>
      <c r="F761" s="4">
        <v>1.5780268062937201E-10</v>
      </c>
      <c r="G761" s="4">
        <v>2.3926820473614401E-9</v>
      </c>
      <c r="H761" s="3" t="str">
        <f>"RTKN"</f>
        <v>RTKN</v>
      </c>
      <c r="I761" s="3" t="str">
        <f>"protein_coding"</f>
        <v>protein_coding</v>
      </c>
    </row>
    <row r="762" spans="1:9" x14ac:dyDescent="0.2">
      <c r="A762" s="3" t="str">
        <f>"ENSG00000239779.7"</f>
        <v>ENSG00000239779.7</v>
      </c>
      <c r="B762" s="3">
        <v>166.67905390488701</v>
      </c>
      <c r="C762" s="3">
        <v>1.0817180560731401</v>
      </c>
      <c r="D762" s="3">
        <v>0.33332157337028701</v>
      </c>
      <c r="E762" s="3">
        <v>3.2452686609380099</v>
      </c>
      <c r="F762" s="3">
        <v>1.17339862007587E-3</v>
      </c>
      <c r="G762" s="3">
        <v>5.0740505001122599E-3</v>
      </c>
      <c r="H762" s="3" t="str">
        <f>"WBP1"</f>
        <v>WBP1</v>
      </c>
      <c r="I762" s="3" t="str">
        <f>"protein_coding"</f>
        <v>protein_coding</v>
      </c>
    </row>
    <row r="763" spans="1:9" x14ac:dyDescent="0.2">
      <c r="A763" s="3" t="str">
        <f>"ENSG00000115275.12"</f>
        <v>ENSG00000115275.12</v>
      </c>
      <c r="B763" s="3">
        <v>3611.9212440364299</v>
      </c>
      <c r="C763" s="3">
        <v>-1.07366241179304</v>
      </c>
      <c r="D763" s="3">
        <v>0.20584750253104001</v>
      </c>
      <c r="E763" s="3">
        <v>-5.2158146132044596</v>
      </c>
      <c r="F763" s="4">
        <v>1.8301114417016099E-7</v>
      </c>
      <c r="G763" s="4">
        <v>1.78153077713626E-6</v>
      </c>
      <c r="H763" s="3" t="str">
        <f>"MOGS"</f>
        <v>MOGS</v>
      </c>
      <c r="I763" s="3" t="str">
        <f>"protein_coding"</f>
        <v>protein_coding</v>
      </c>
    </row>
    <row r="764" spans="1:9" x14ac:dyDescent="0.2">
      <c r="A764" s="3" t="str">
        <f>"ENSG00000272183.1"</f>
        <v>ENSG00000272183.1</v>
      </c>
      <c r="B764" s="3">
        <v>67.225587010481505</v>
      </c>
      <c r="C764" s="3">
        <v>1.0894940141590601</v>
      </c>
      <c r="D764" s="3">
        <v>0.448075499385925</v>
      </c>
      <c r="E764" s="3">
        <v>2.4314965126461501</v>
      </c>
      <c r="F764" s="3">
        <v>1.5036593072717401E-2</v>
      </c>
      <c r="G764" s="3">
        <v>4.4649308135607101E-2</v>
      </c>
      <c r="H764" s="3" t="str">
        <f>"AC005041.3"</f>
        <v>AC005041.3</v>
      </c>
      <c r="I764" s="3" t="str">
        <f>"antisense"</f>
        <v>antisense</v>
      </c>
    </row>
    <row r="765" spans="1:9" x14ac:dyDescent="0.2">
      <c r="A765" s="3" t="str">
        <f>"ENSG00000144045.14"</f>
        <v>ENSG00000144045.14</v>
      </c>
      <c r="B765" s="3">
        <v>1772.4283554450101</v>
      </c>
      <c r="C765" s="3">
        <v>1.44379474559531</v>
      </c>
      <c r="D765" s="3">
        <v>0.20645432705134301</v>
      </c>
      <c r="E765" s="3">
        <v>6.9932888606216901</v>
      </c>
      <c r="F765" s="4">
        <v>2.68515848663891E-12</v>
      </c>
      <c r="G765" s="4">
        <v>5.04917275952038E-11</v>
      </c>
      <c r="H765" s="3" t="str">
        <f>"DQX1"</f>
        <v>DQX1</v>
      </c>
      <c r="I765" s="3" t="str">
        <f>"protein_coding"</f>
        <v>protein_coding</v>
      </c>
    </row>
    <row r="766" spans="1:9" x14ac:dyDescent="0.2">
      <c r="A766" s="3" t="str">
        <f>"ENSG00000159374.17"</f>
        <v>ENSG00000159374.17</v>
      </c>
      <c r="B766" s="3">
        <v>7.3076115173842204</v>
      </c>
      <c r="C766" s="3">
        <v>3.7193782300559701</v>
      </c>
      <c r="D766" s="3">
        <v>1.5214415123688301</v>
      </c>
      <c r="E766" s="3">
        <v>2.44464095387081</v>
      </c>
      <c r="F766" s="3">
        <v>1.44996409714648E-2</v>
      </c>
      <c r="G766" s="3">
        <v>4.3366818611361199E-2</v>
      </c>
      <c r="H766" s="3" t="str">
        <f>"M1AP"</f>
        <v>M1AP</v>
      </c>
      <c r="I766" s="3" t="str">
        <f>"protein_coding"</f>
        <v>protein_coding</v>
      </c>
    </row>
    <row r="767" spans="1:9" x14ac:dyDescent="0.2">
      <c r="A767" s="3" t="str">
        <f>"ENSG00000159399.9"</f>
        <v>ENSG00000159399.9</v>
      </c>
      <c r="B767" s="3">
        <v>11702.5112250606</v>
      </c>
      <c r="C767" s="3">
        <v>-2.11746535788193</v>
      </c>
      <c r="D767" s="3">
        <v>0.187814746780925</v>
      </c>
      <c r="E767" s="3">
        <v>-11.2742231064094</v>
      </c>
      <c r="F767" s="4">
        <v>1.75924680623398E-29</v>
      </c>
      <c r="G767" s="4">
        <v>1.32050131486108E-27</v>
      </c>
      <c r="H767" s="3" t="str">
        <f>"HK2"</f>
        <v>HK2</v>
      </c>
      <c r="I767" s="3" t="str">
        <f>"protein_coding"</f>
        <v>protein_coding</v>
      </c>
    </row>
    <row r="768" spans="1:9" x14ac:dyDescent="0.2">
      <c r="A768" s="3" t="str">
        <f>"ENSG00000204792.2"</f>
        <v>ENSG00000204792.2</v>
      </c>
      <c r="B768" s="3">
        <v>16.235414328659498</v>
      </c>
      <c r="C768" s="3">
        <v>-2.7616049601947501</v>
      </c>
      <c r="D768" s="3">
        <v>0.93212454005913403</v>
      </c>
      <c r="E768" s="3">
        <v>-2.9626995551684101</v>
      </c>
      <c r="F768" s="3">
        <v>3.0495406592445698E-3</v>
      </c>
      <c r="G768" s="3">
        <v>1.16243472779011E-2</v>
      </c>
      <c r="H768" s="3" t="str">
        <f>"LINC01291"</f>
        <v>LINC01291</v>
      </c>
      <c r="I768" s="3" t="str">
        <f>"lincRNA"</f>
        <v>lincRNA</v>
      </c>
    </row>
    <row r="769" spans="1:9" x14ac:dyDescent="0.2">
      <c r="A769" s="3" t="str">
        <f>"ENSG00000230836.1"</f>
        <v>ENSG00000230836.1</v>
      </c>
      <c r="B769" s="3">
        <v>21.1407617871069</v>
      </c>
      <c r="C769" s="3">
        <v>-2.5378714382283101</v>
      </c>
      <c r="D769" s="3">
        <v>0.794481701469685</v>
      </c>
      <c r="E769" s="3">
        <v>-3.1943736822806499</v>
      </c>
      <c r="F769" s="3">
        <v>1.4013459656925199E-3</v>
      </c>
      <c r="G769" s="3">
        <v>5.92803501431828E-3</v>
      </c>
      <c r="H769" s="3" t="str">
        <f>"LINC01293"</f>
        <v>LINC01293</v>
      </c>
      <c r="I769" s="3" t="str">
        <f>"lincRNA"</f>
        <v>lincRNA</v>
      </c>
    </row>
    <row r="770" spans="1:9" x14ac:dyDescent="0.2">
      <c r="A770" s="3" t="str">
        <f>"ENSG00000115350.11"</f>
        <v>ENSG00000115350.11</v>
      </c>
      <c r="B770" s="3">
        <v>967.20555246267804</v>
      </c>
      <c r="C770" s="3">
        <v>-1.0552032790899699</v>
      </c>
      <c r="D770" s="3">
        <v>0.199601765763052</v>
      </c>
      <c r="E770" s="3">
        <v>-5.2865428071543397</v>
      </c>
      <c r="F770" s="4">
        <v>1.24649657108325E-7</v>
      </c>
      <c r="G770" s="4">
        <v>1.245902130312E-6</v>
      </c>
      <c r="H770" s="3" t="str">
        <f>"POLE4"</f>
        <v>POLE4</v>
      </c>
      <c r="I770" s="3" t="str">
        <f>"protein_coding"</f>
        <v>protein_coding</v>
      </c>
    </row>
    <row r="771" spans="1:9" x14ac:dyDescent="0.2">
      <c r="A771" s="3" t="str">
        <f>"ENSG00000115353.11"</f>
        <v>ENSG00000115353.11</v>
      </c>
      <c r="B771" s="3">
        <v>12.552738733669001</v>
      </c>
      <c r="C771" s="3">
        <v>7.0464468100420401</v>
      </c>
      <c r="D771" s="3">
        <v>1.70342541894748</v>
      </c>
      <c r="E771" s="3">
        <v>4.1366335923271196</v>
      </c>
      <c r="F771" s="4">
        <v>3.5243820350058603E-5</v>
      </c>
      <c r="G771" s="3">
        <v>2.2249498912837E-4</v>
      </c>
      <c r="H771" s="3" t="str">
        <f>"TACR1"</f>
        <v>TACR1</v>
      </c>
      <c r="I771" s="3" t="str">
        <f>"protein_coding"</f>
        <v>protein_coding</v>
      </c>
    </row>
    <row r="772" spans="1:9" x14ac:dyDescent="0.2">
      <c r="A772" s="3" t="str">
        <f>"ENSG00000270571.2"</f>
        <v>ENSG00000270571.2</v>
      </c>
      <c r="B772" s="3">
        <v>95.582356321017997</v>
      </c>
      <c r="C772" s="3">
        <v>-1.02224010434524</v>
      </c>
      <c r="D772" s="3">
        <v>0.41897474840241899</v>
      </c>
      <c r="E772" s="3">
        <v>-2.4398608943453399</v>
      </c>
      <c r="F772" s="3">
        <v>1.46929184490551E-2</v>
      </c>
      <c r="G772" s="3">
        <v>4.3791068582520798E-2</v>
      </c>
      <c r="H772" s="3" t="str">
        <f>"AC007681.1"</f>
        <v>AC007681.1</v>
      </c>
      <c r="I772" s="3" t="str">
        <f>"antisense"</f>
        <v>antisense</v>
      </c>
    </row>
    <row r="773" spans="1:9" x14ac:dyDescent="0.2">
      <c r="A773" s="3" t="str">
        <f>"ENSG00000176204.13"</f>
        <v>ENSG00000176204.13</v>
      </c>
      <c r="B773" s="3">
        <v>85.776232807423895</v>
      </c>
      <c r="C773" s="3">
        <v>-1.44636007502699</v>
      </c>
      <c r="D773" s="3">
        <v>0.40661649880737499</v>
      </c>
      <c r="E773" s="3">
        <v>-3.55706194723833</v>
      </c>
      <c r="F773" s="3">
        <v>3.7502574380186198E-4</v>
      </c>
      <c r="G773" s="3">
        <v>1.8609226809997001E-3</v>
      </c>
      <c r="H773" s="3" t="str">
        <f>"LRRTM4"</f>
        <v>LRRTM4</v>
      </c>
      <c r="I773" s="3" t="str">
        <f t="shared" ref="I773:I780" si="31">"protein_coding"</f>
        <v>protein_coding</v>
      </c>
    </row>
    <row r="774" spans="1:9" x14ac:dyDescent="0.2">
      <c r="A774" s="3" t="str">
        <f>"ENSG00000066032.18"</f>
        <v>ENSG00000066032.18</v>
      </c>
      <c r="B774" s="3">
        <v>9.5844752880411708</v>
      </c>
      <c r="C774" s="3">
        <v>3.0496262136197698</v>
      </c>
      <c r="D774" s="3">
        <v>1.21923590343412</v>
      </c>
      <c r="E774" s="3">
        <v>2.5012601786333102</v>
      </c>
      <c r="F774" s="3">
        <v>1.23752226002273E-2</v>
      </c>
      <c r="G774" s="3">
        <v>3.7997260557628303E-2</v>
      </c>
      <c r="H774" s="3" t="str">
        <f>"CTNNA2"</f>
        <v>CTNNA2</v>
      </c>
      <c r="I774" s="3" t="str">
        <f t="shared" si="31"/>
        <v>protein_coding</v>
      </c>
    </row>
    <row r="775" spans="1:9" x14ac:dyDescent="0.2">
      <c r="A775" s="3" t="str">
        <f>"ENSG00000115423.18"</f>
        <v>ENSG00000115423.18</v>
      </c>
      <c r="B775" s="3">
        <v>34.859455915846397</v>
      </c>
      <c r="C775" s="3">
        <v>4.4273080151036597</v>
      </c>
      <c r="D775" s="3">
        <v>0.81953898144319703</v>
      </c>
      <c r="E775" s="3">
        <v>5.4021933249681799</v>
      </c>
      <c r="F775" s="4">
        <v>6.5830943991986404E-8</v>
      </c>
      <c r="G775" s="4">
        <v>6.9015137316382197E-7</v>
      </c>
      <c r="H775" s="3" t="str">
        <f>"DNAH6"</f>
        <v>DNAH6</v>
      </c>
      <c r="I775" s="3" t="str">
        <f t="shared" si="31"/>
        <v>protein_coding</v>
      </c>
    </row>
    <row r="776" spans="1:9" x14ac:dyDescent="0.2">
      <c r="A776" s="3" t="str">
        <f>"ENSG00000042445.14"</f>
        <v>ENSG00000042445.14</v>
      </c>
      <c r="B776" s="3">
        <v>7856.5134512591603</v>
      </c>
      <c r="C776" s="3">
        <v>2.64936367631159</v>
      </c>
      <c r="D776" s="3">
        <v>0.20981897020144799</v>
      </c>
      <c r="E776" s="3">
        <v>12.6269024853564</v>
      </c>
      <c r="F776" s="4">
        <v>1.50070137033841E-36</v>
      </c>
      <c r="G776" s="4">
        <v>1.73261060328859E-34</v>
      </c>
      <c r="H776" s="3" t="str">
        <f>"RETSAT"</f>
        <v>RETSAT</v>
      </c>
      <c r="I776" s="3" t="str">
        <f t="shared" si="31"/>
        <v>protein_coding</v>
      </c>
    </row>
    <row r="777" spans="1:9" x14ac:dyDescent="0.2">
      <c r="A777" s="3" t="str">
        <f>"ENSG00000152292.17"</f>
        <v>ENSG00000152292.17</v>
      </c>
      <c r="B777" s="3">
        <v>16.6468092159568</v>
      </c>
      <c r="C777" s="3">
        <v>3.90599395753084</v>
      </c>
      <c r="D777" s="3">
        <v>1.0949221789330501</v>
      </c>
      <c r="E777" s="3">
        <v>3.5673713006133698</v>
      </c>
      <c r="F777" s="3">
        <v>3.6058037837641797E-4</v>
      </c>
      <c r="G777" s="3">
        <v>1.7947997021597101E-3</v>
      </c>
      <c r="H777" s="3" t="str">
        <f>"SH2D6"</f>
        <v>SH2D6</v>
      </c>
      <c r="I777" s="3" t="str">
        <f t="shared" si="31"/>
        <v>protein_coding</v>
      </c>
    </row>
    <row r="778" spans="1:9" x14ac:dyDescent="0.2">
      <c r="A778" s="3" t="str">
        <f>"ENSG00000118640.11"</f>
        <v>ENSG00000118640.11</v>
      </c>
      <c r="B778" s="3">
        <v>1578.53093733271</v>
      </c>
      <c r="C778" s="3">
        <v>1.7783224236605999</v>
      </c>
      <c r="D778" s="3">
        <v>0.20941927319452699</v>
      </c>
      <c r="E778" s="3">
        <v>8.4916846311883099</v>
      </c>
      <c r="F778" s="4">
        <v>2.0366305291095801E-17</v>
      </c>
      <c r="G778" s="4">
        <v>6.30591727575553E-16</v>
      </c>
      <c r="H778" s="3" t="str">
        <f>"VAMP8"</f>
        <v>VAMP8</v>
      </c>
      <c r="I778" s="3" t="str">
        <f t="shared" si="31"/>
        <v>protein_coding</v>
      </c>
    </row>
    <row r="779" spans="1:9" x14ac:dyDescent="0.2">
      <c r="A779" s="3" t="str">
        <f>"ENSG00000168899.5"</f>
        <v>ENSG00000168899.5</v>
      </c>
      <c r="B779" s="3">
        <v>339.50996888129299</v>
      </c>
      <c r="C779" s="3">
        <v>1.88492823317937</v>
      </c>
      <c r="D779" s="3">
        <v>0.28991993063473698</v>
      </c>
      <c r="E779" s="3">
        <v>6.5015476136897403</v>
      </c>
      <c r="F779" s="4">
        <v>7.9497865651092199E-11</v>
      </c>
      <c r="G779" s="4">
        <v>1.25497007265082E-9</v>
      </c>
      <c r="H779" s="3" t="str">
        <f>"VAMP5"</f>
        <v>VAMP5</v>
      </c>
      <c r="I779" s="3" t="str">
        <f t="shared" si="31"/>
        <v>protein_coding</v>
      </c>
    </row>
    <row r="780" spans="1:9" x14ac:dyDescent="0.2">
      <c r="A780" s="3" t="str">
        <f>"ENSG00000115561.16"</f>
        <v>ENSG00000115561.16</v>
      </c>
      <c r="B780" s="3">
        <v>1808.9602413280199</v>
      </c>
      <c r="C780" s="3">
        <v>1.2239624817696899</v>
      </c>
      <c r="D780" s="3">
        <v>0.19808504281221501</v>
      </c>
      <c r="E780" s="3">
        <v>6.1789747695892698</v>
      </c>
      <c r="F780" s="4">
        <v>6.4519204747442098E-10</v>
      </c>
      <c r="G780" s="4">
        <v>8.9737354351891498E-9</v>
      </c>
      <c r="H780" s="3" t="str">
        <f>"CHMP3"</f>
        <v>CHMP3</v>
      </c>
      <c r="I780" s="3" t="str">
        <f t="shared" si="31"/>
        <v>protein_coding</v>
      </c>
    </row>
    <row r="781" spans="1:9" x14ac:dyDescent="0.2">
      <c r="A781" s="3" t="str">
        <f>"ENSG00000225933.1"</f>
        <v>ENSG00000225933.1</v>
      </c>
      <c r="B781" s="3">
        <v>31.31541846823</v>
      </c>
      <c r="C781" s="3">
        <v>-1.90102161394061</v>
      </c>
      <c r="D781" s="3">
        <v>0.63684589537928804</v>
      </c>
      <c r="E781" s="3">
        <v>-2.9850574962227099</v>
      </c>
      <c r="F781" s="3">
        <v>2.8352502576451102E-3</v>
      </c>
      <c r="G781" s="3">
        <v>1.089438214216E-2</v>
      </c>
      <c r="H781" s="3" t="str">
        <f>"AC133965.1"</f>
        <v>AC133965.1</v>
      </c>
      <c r="I781" s="3" t="str">
        <f>"processed_pseudogene"</f>
        <v>processed_pseudogene</v>
      </c>
    </row>
    <row r="782" spans="1:9" x14ac:dyDescent="0.2">
      <c r="A782" s="3" t="str">
        <f>"ENSG00000172086.8"</f>
        <v>ENSG00000172086.8</v>
      </c>
      <c r="B782" s="3">
        <v>145.00074245681799</v>
      </c>
      <c r="C782" s="3">
        <v>1.77821170707986</v>
      </c>
      <c r="D782" s="3">
        <v>0.34148502137924702</v>
      </c>
      <c r="E782" s="3">
        <v>5.2072904981241104</v>
      </c>
      <c r="F782" s="4">
        <v>1.9161798729699E-7</v>
      </c>
      <c r="G782" s="4">
        <v>1.85867401206162E-6</v>
      </c>
      <c r="H782" s="3" t="str">
        <f>"KRCC1"</f>
        <v>KRCC1</v>
      </c>
      <c r="I782" s="3" t="str">
        <f>"protein_coding"</f>
        <v>protein_coding</v>
      </c>
    </row>
    <row r="783" spans="1:9" x14ac:dyDescent="0.2">
      <c r="A783" s="3" t="str">
        <f>"ENSG00000115593.15"</f>
        <v>ENSG00000115593.15</v>
      </c>
      <c r="B783" s="3">
        <v>6.1299140524210998</v>
      </c>
      <c r="C783" s="3">
        <v>6.0129926677642098</v>
      </c>
      <c r="D783" s="3">
        <v>1.93646501795776</v>
      </c>
      <c r="E783" s="3">
        <v>3.1051388029233098</v>
      </c>
      <c r="F783" s="3">
        <v>1.9018975097317601E-3</v>
      </c>
      <c r="G783" s="3">
        <v>7.7114585487591302E-3</v>
      </c>
      <c r="H783" s="3" t="str">
        <f>"SMYD1"</f>
        <v>SMYD1</v>
      </c>
      <c r="I783" s="3" t="str">
        <f>"protein_coding"</f>
        <v>protein_coding</v>
      </c>
    </row>
    <row r="784" spans="1:9" x14ac:dyDescent="0.2">
      <c r="A784" s="3" t="str">
        <f>"ENSG00000163586.9"</f>
        <v>ENSG00000163586.9</v>
      </c>
      <c r="B784" s="3">
        <v>1601.3881760957099</v>
      </c>
      <c r="C784" s="3">
        <v>-4.3992837388685704</v>
      </c>
      <c r="D784" s="3">
        <v>0.23777885554231701</v>
      </c>
      <c r="E784" s="3">
        <v>-18.501576722769801</v>
      </c>
      <c r="F784" s="4">
        <v>2.00521008441863E-76</v>
      </c>
      <c r="G784" s="4">
        <v>1.2141324260034301E-73</v>
      </c>
      <c r="H784" s="3" t="str">
        <f>"FABP1"</f>
        <v>FABP1</v>
      </c>
      <c r="I784" s="3" t="str">
        <f>"protein_coding"</f>
        <v>protein_coding</v>
      </c>
    </row>
    <row r="785" spans="1:9" x14ac:dyDescent="0.2">
      <c r="A785" s="3" t="str">
        <f>"ENSG00000172073.4"</f>
        <v>ENSG00000172073.4</v>
      </c>
      <c r="B785" s="3">
        <v>343.04052526708398</v>
      </c>
      <c r="C785" s="3">
        <v>7.0447642386778497</v>
      </c>
      <c r="D785" s="3">
        <v>0.51839309424170599</v>
      </c>
      <c r="E785" s="3">
        <v>13.589618220093699</v>
      </c>
      <c r="F785" s="4">
        <v>4.6148128343910298E-42</v>
      </c>
      <c r="G785" s="4">
        <v>6.98554473881403E-40</v>
      </c>
      <c r="H785" s="3" t="str">
        <f>"TEX37"</f>
        <v>TEX37</v>
      </c>
      <c r="I785" s="3" t="str">
        <f>"protein_coding"</f>
        <v>protein_coding</v>
      </c>
    </row>
    <row r="786" spans="1:9" x14ac:dyDescent="0.2">
      <c r="A786" s="3" t="str">
        <f>"ENSG00000225420.1"</f>
        <v>ENSG00000225420.1</v>
      </c>
      <c r="B786" s="3">
        <v>258.45962513085999</v>
      </c>
      <c r="C786" s="3">
        <v>7.3740045468943398</v>
      </c>
      <c r="D786" s="3">
        <v>0.65288631150014997</v>
      </c>
      <c r="E786" s="3">
        <v>11.2944695224976</v>
      </c>
      <c r="F786" s="4">
        <v>1.39745276437765E-29</v>
      </c>
      <c r="G786" s="4">
        <v>1.0576776519721601E-27</v>
      </c>
      <c r="H786" s="3" t="str">
        <f>"AC104134.1"</f>
        <v>AC104134.1</v>
      </c>
      <c r="I786" s="3" t="str">
        <f>"antisense"</f>
        <v>antisense</v>
      </c>
    </row>
    <row r="787" spans="1:9" x14ac:dyDescent="0.2">
      <c r="A787" s="3" t="str">
        <f>"ENSG00000153574.9"</f>
        <v>ENSG00000153574.9</v>
      </c>
      <c r="B787" s="3">
        <v>1123.05244179638</v>
      </c>
      <c r="C787" s="3">
        <v>-1.13187868743746</v>
      </c>
      <c r="D787" s="3">
        <v>0.21040014658055001</v>
      </c>
      <c r="E787" s="3">
        <v>-5.3796478083922503</v>
      </c>
      <c r="F787" s="4">
        <v>7.4631697965075302E-8</v>
      </c>
      <c r="G787" s="4">
        <v>7.7525347863301803E-7</v>
      </c>
      <c r="H787" s="3" t="str">
        <f>"RPIA"</f>
        <v>RPIA</v>
      </c>
      <c r="I787" s="3" t="str">
        <f>"protein_coding"</f>
        <v>protein_coding</v>
      </c>
    </row>
    <row r="788" spans="1:9" x14ac:dyDescent="0.2">
      <c r="A788" s="3" t="str">
        <f>"ENSG00000230006.7"</f>
        <v>ENSG00000230006.7</v>
      </c>
      <c r="B788" s="3">
        <v>6.41981889087503</v>
      </c>
      <c r="C788" s="3">
        <v>6.0739636339821104</v>
      </c>
      <c r="D788" s="3">
        <v>1.9521301013271699</v>
      </c>
      <c r="E788" s="3">
        <v>3.1114543184661101</v>
      </c>
      <c r="F788" s="3">
        <v>1.8616827551957199E-3</v>
      </c>
      <c r="G788" s="3">
        <v>7.5765899971348399E-3</v>
      </c>
      <c r="H788" s="3" t="str">
        <f>"ANKRD36BP2"</f>
        <v>ANKRD36BP2</v>
      </c>
      <c r="I788" s="3" t="str">
        <f>"transcribed_unprocessed_pseudogene"</f>
        <v>transcribed_unprocessed_pseudogene</v>
      </c>
    </row>
    <row r="789" spans="1:9" x14ac:dyDescent="0.2">
      <c r="A789" s="3" t="str">
        <f>"ENSG00000283132.1"</f>
        <v>ENSG00000283132.1</v>
      </c>
      <c r="B789" s="3">
        <v>5.6165690043809304</v>
      </c>
      <c r="C789" s="3">
        <v>5.8878010113370598</v>
      </c>
      <c r="D789" s="3">
        <v>1.97841862588365</v>
      </c>
      <c r="E789" s="3">
        <v>2.9760137386026102</v>
      </c>
      <c r="F789" s="3">
        <v>2.9202177944163302E-3</v>
      </c>
      <c r="G789" s="3">
        <v>1.1178304895260199E-2</v>
      </c>
      <c r="H789" s="3" t="str">
        <f>"AC006453.1"</f>
        <v>AC006453.1</v>
      </c>
      <c r="I789" s="3" t="str">
        <f>"unprocessed_pseudogene"</f>
        <v>unprocessed_pseudogene</v>
      </c>
    </row>
    <row r="790" spans="1:9" x14ac:dyDescent="0.2">
      <c r="A790" s="3" t="str">
        <f>"ENSG00000230964.1"</f>
        <v>ENSG00000230964.1</v>
      </c>
      <c r="B790" s="3">
        <v>20.111135724379999</v>
      </c>
      <c r="C790" s="3">
        <v>6.2669711626162199</v>
      </c>
      <c r="D790" s="3">
        <v>1.6042638624060801</v>
      </c>
      <c r="E790" s="3">
        <v>3.9064466322996401</v>
      </c>
      <c r="F790" s="4">
        <v>9.3663317886544698E-5</v>
      </c>
      <c r="G790" s="3">
        <v>5.4000093577119795E-4</v>
      </c>
      <c r="H790" s="3" t="str">
        <f>"AC233266.1"</f>
        <v>AC233266.1</v>
      </c>
      <c r="I790" s="3" t="str">
        <f>"processed_pseudogene"</f>
        <v>processed_pseudogene</v>
      </c>
    </row>
    <row r="791" spans="1:9" x14ac:dyDescent="0.2">
      <c r="A791" s="3" t="str">
        <f>"ENSG00000261600.1"</f>
        <v>ENSG00000261600.1</v>
      </c>
      <c r="B791" s="3">
        <v>60.0722386320558</v>
      </c>
      <c r="C791" s="3">
        <v>3.1144969667925002</v>
      </c>
      <c r="D791" s="3">
        <v>0.53462095354133499</v>
      </c>
      <c r="E791" s="3">
        <v>5.82561709592943</v>
      </c>
      <c r="F791" s="4">
        <v>5.6901945231779101E-9</v>
      </c>
      <c r="G791" s="4">
        <v>6.9837149089604694E-8</v>
      </c>
      <c r="H791" s="3" t="str">
        <f>"AC233266.2"</f>
        <v>AC233266.2</v>
      </c>
      <c r="I791" s="3" t="str">
        <f>"lincRNA"</f>
        <v>lincRNA</v>
      </c>
    </row>
    <row r="792" spans="1:9" x14ac:dyDescent="0.2">
      <c r="A792" s="3" t="str">
        <f>"ENSG00000286156.1"</f>
        <v>ENSG00000286156.1</v>
      </c>
      <c r="B792" s="3">
        <v>584.91011392683095</v>
      </c>
      <c r="C792" s="3">
        <v>1.52259035461523</v>
      </c>
      <c r="D792" s="3">
        <v>0.23223625387156799</v>
      </c>
      <c r="E792" s="3">
        <v>6.5562130340651201</v>
      </c>
      <c r="F792" s="4">
        <v>5.5191371925613001E-11</v>
      </c>
      <c r="G792" s="4">
        <v>8.9193316183699697E-10</v>
      </c>
      <c r="H792" s="3" t="str">
        <f>"AC026273.1"</f>
        <v>AC026273.1</v>
      </c>
      <c r="I792" s="3" t="str">
        <f>"transcribed_unprocessed_pseudogene"</f>
        <v>transcribed_unprocessed_pseudogene</v>
      </c>
    </row>
    <row r="793" spans="1:9" x14ac:dyDescent="0.2">
      <c r="A793" s="3" t="str">
        <f>"ENSG00000229089.8"</f>
        <v>ENSG00000229089.8</v>
      </c>
      <c r="B793" s="3">
        <v>21.744314020566801</v>
      </c>
      <c r="C793" s="3">
        <v>4.3229371220650803</v>
      </c>
      <c r="D793" s="3">
        <v>0.99687544618913204</v>
      </c>
      <c r="E793" s="3">
        <v>4.3364867081347596</v>
      </c>
      <c r="F793" s="4">
        <v>1.44778177583778E-5</v>
      </c>
      <c r="G793" s="4">
        <v>9.9264494328766699E-5</v>
      </c>
      <c r="H793" s="3" t="str">
        <f>"ANKRD20A8P"</f>
        <v>ANKRD20A8P</v>
      </c>
      <c r="I793" s="3" t="str">
        <f>"transcribed_unprocessed_pseudogene"</f>
        <v>transcribed_unprocessed_pseudogene</v>
      </c>
    </row>
    <row r="794" spans="1:9" x14ac:dyDescent="0.2">
      <c r="A794" s="3" t="str">
        <f>"ENSG00000259848.9"</f>
        <v>ENSG00000259848.9</v>
      </c>
      <c r="B794" s="3">
        <v>16.453844590536502</v>
      </c>
      <c r="C794" s="3">
        <v>4.9415559478988902</v>
      </c>
      <c r="D794" s="3">
        <v>1.2906877890438899</v>
      </c>
      <c r="E794" s="3">
        <v>3.8286222197542301</v>
      </c>
      <c r="F794" s="3">
        <v>1.2886263354972799E-4</v>
      </c>
      <c r="G794" s="3">
        <v>7.1983077786824895E-4</v>
      </c>
      <c r="H794" s="3" t="str">
        <f>"AC097374.1"</f>
        <v>AC097374.1</v>
      </c>
      <c r="I794" s="3" t="str">
        <f>"transcribed_unprocessed_pseudogene"</f>
        <v>transcribed_unprocessed_pseudogene</v>
      </c>
    </row>
    <row r="795" spans="1:9" x14ac:dyDescent="0.2">
      <c r="A795" s="3" t="str">
        <f>"ENSG00000155066.16"</f>
        <v>ENSG00000155066.16</v>
      </c>
      <c r="B795" s="3">
        <v>15.5212568160795</v>
      </c>
      <c r="C795" s="3">
        <v>5.8867856478403198</v>
      </c>
      <c r="D795" s="3">
        <v>1.6477589815531899</v>
      </c>
      <c r="E795" s="3">
        <v>3.5726011593585101</v>
      </c>
      <c r="F795" s="3">
        <v>3.5345287696985099E-4</v>
      </c>
      <c r="G795" s="3">
        <v>1.76318757575934E-3</v>
      </c>
      <c r="H795" s="3" t="str">
        <f>"PROM2"</f>
        <v>PROM2</v>
      </c>
      <c r="I795" s="3" t="str">
        <f t="shared" ref="I795:I812" si="32">"protein_coding"</f>
        <v>protein_coding</v>
      </c>
    </row>
    <row r="796" spans="1:9" x14ac:dyDescent="0.2">
      <c r="A796" s="3" t="str">
        <f>"ENSG00000174501.14"</f>
        <v>ENSG00000174501.14</v>
      </c>
      <c r="B796" s="3">
        <v>1253.3478709206299</v>
      </c>
      <c r="C796" s="3">
        <v>-1.28010902429388</v>
      </c>
      <c r="D796" s="3">
        <v>0.21419100692040599</v>
      </c>
      <c r="E796" s="3">
        <v>-5.9764835260780496</v>
      </c>
      <c r="F796" s="4">
        <v>2.2800559880162499E-9</v>
      </c>
      <c r="G796" s="4">
        <v>2.9429031504253399E-8</v>
      </c>
      <c r="H796" s="3" t="str">
        <f>"ANKRD36C"</f>
        <v>ANKRD36C</v>
      </c>
      <c r="I796" s="3" t="str">
        <f t="shared" si="32"/>
        <v>protein_coding</v>
      </c>
    </row>
    <row r="797" spans="1:9" x14ac:dyDescent="0.2">
      <c r="A797" s="3" t="str">
        <f>"ENSG00000198885.9"</f>
        <v>ENSG00000198885.9</v>
      </c>
      <c r="B797" s="3">
        <v>541.30427245718795</v>
      </c>
      <c r="C797" s="3">
        <v>-2.3305728133013202</v>
      </c>
      <c r="D797" s="3">
        <v>0.26340309283152902</v>
      </c>
      <c r="E797" s="3">
        <v>-8.8479326049217502</v>
      </c>
      <c r="F797" s="4">
        <v>8.9155462612227206E-19</v>
      </c>
      <c r="G797" s="4">
        <v>3.0906092745487998E-17</v>
      </c>
      <c r="H797" s="3" t="str">
        <f>"ITPRIPL1"</f>
        <v>ITPRIPL1</v>
      </c>
      <c r="I797" s="3" t="str">
        <f t="shared" si="32"/>
        <v>protein_coding</v>
      </c>
    </row>
    <row r="798" spans="1:9" x14ac:dyDescent="0.2">
      <c r="A798" s="3" t="str">
        <f>"ENSG00000196843.16"</f>
        <v>ENSG00000196843.16</v>
      </c>
      <c r="B798" s="3">
        <v>391.25116566151701</v>
      </c>
      <c r="C798" s="3">
        <v>-1.0191631943033399</v>
      </c>
      <c r="D798" s="3">
        <v>0.25317316839342202</v>
      </c>
      <c r="E798" s="3">
        <v>-4.02555768753344</v>
      </c>
      <c r="F798" s="4">
        <v>5.6840443226474597E-5</v>
      </c>
      <c r="G798" s="3">
        <v>3.4416256813150101E-4</v>
      </c>
      <c r="H798" s="3" t="str">
        <f>"ARID5A"</f>
        <v>ARID5A</v>
      </c>
      <c r="I798" s="3" t="str">
        <f t="shared" si="32"/>
        <v>protein_coding</v>
      </c>
    </row>
    <row r="799" spans="1:9" x14ac:dyDescent="0.2">
      <c r="A799" s="3" t="str">
        <f>"ENSG00000168758.11"</f>
        <v>ENSG00000168758.11</v>
      </c>
      <c r="B799" s="3">
        <v>1985.56211833003</v>
      </c>
      <c r="C799" s="3">
        <v>-1.0282522365361499</v>
      </c>
      <c r="D799" s="3">
        <v>0.23845750570436</v>
      </c>
      <c r="E799" s="3">
        <v>-4.3120984323763496</v>
      </c>
      <c r="F799" s="4">
        <v>1.6171240745876801E-5</v>
      </c>
      <c r="G799" s="3">
        <v>1.09824974228042E-4</v>
      </c>
      <c r="H799" s="3" t="str">
        <f>"SEMA4C"</f>
        <v>SEMA4C</v>
      </c>
      <c r="I799" s="3" t="str">
        <f t="shared" si="32"/>
        <v>protein_coding</v>
      </c>
    </row>
    <row r="800" spans="1:9" x14ac:dyDescent="0.2">
      <c r="A800" s="3" t="str">
        <f>"ENSG00000168754.15"</f>
        <v>ENSG00000168754.15</v>
      </c>
      <c r="B800" s="3">
        <v>6.2748664716480604</v>
      </c>
      <c r="C800" s="3">
        <v>6.0436307079929099</v>
      </c>
      <c r="D800" s="3">
        <v>1.9320769159683999</v>
      </c>
      <c r="E800" s="3">
        <v>3.1280487117479501</v>
      </c>
      <c r="F800" s="3">
        <v>1.7597101450729099E-3</v>
      </c>
      <c r="G800" s="3">
        <v>7.2285274118500898E-3</v>
      </c>
      <c r="H800" s="3" t="str">
        <f>"FAM178B"</f>
        <v>FAM178B</v>
      </c>
      <c r="I800" s="3" t="str">
        <f t="shared" si="32"/>
        <v>protein_coding</v>
      </c>
    </row>
    <row r="801" spans="1:9" x14ac:dyDescent="0.2">
      <c r="A801" s="3" t="str">
        <f>"ENSG00000135976.19"</f>
        <v>ENSG00000135976.19</v>
      </c>
      <c r="B801" s="3">
        <v>2192.3293355390001</v>
      </c>
      <c r="C801" s="3">
        <v>-1.1486883513546899</v>
      </c>
      <c r="D801" s="3">
        <v>0.202550313995012</v>
      </c>
      <c r="E801" s="3">
        <v>-5.6711259967880299</v>
      </c>
      <c r="F801" s="4">
        <v>1.4186201360161E-8</v>
      </c>
      <c r="G801" s="4">
        <v>1.6525499292873301E-7</v>
      </c>
      <c r="H801" s="3" t="str">
        <f>"ANKRD36"</f>
        <v>ANKRD36</v>
      </c>
      <c r="I801" s="3" t="str">
        <f t="shared" si="32"/>
        <v>protein_coding</v>
      </c>
    </row>
    <row r="802" spans="1:9" x14ac:dyDescent="0.2">
      <c r="A802" s="3" t="str">
        <f>"ENSG00000196912.12"</f>
        <v>ENSG00000196912.12</v>
      </c>
      <c r="B802" s="3">
        <v>725.86032002495199</v>
      </c>
      <c r="C802" s="3">
        <v>-1.0859168193601501</v>
      </c>
      <c r="D802" s="3">
        <v>0.25738591134515298</v>
      </c>
      <c r="E802" s="3">
        <v>-4.2190219879748598</v>
      </c>
      <c r="F802" s="4">
        <v>2.45364346052278E-5</v>
      </c>
      <c r="G802" s="3">
        <v>1.60015374267267E-4</v>
      </c>
      <c r="H802" s="3" t="str">
        <f>"ANKRD36B"</f>
        <v>ANKRD36B</v>
      </c>
      <c r="I802" s="3" t="str">
        <f t="shared" si="32"/>
        <v>protein_coding</v>
      </c>
    </row>
    <row r="803" spans="1:9" x14ac:dyDescent="0.2">
      <c r="A803" s="3" t="str">
        <f>"ENSG00000115085.13"</f>
        <v>ENSG00000115085.13</v>
      </c>
      <c r="B803" s="3">
        <v>449.15111252101201</v>
      </c>
      <c r="C803" s="3">
        <v>4.5364991858783803</v>
      </c>
      <c r="D803" s="3">
        <v>0.28798759221632297</v>
      </c>
      <c r="E803" s="3">
        <v>15.7524119388823</v>
      </c>
      <c r="F803" s="4">
        <v>6.6110945242120304E-56</v>
      </c>
      <c r="G803" s="4">
        <v>1.6525916743229799E-53</v>
      </c>
      <c r="H803" s="3" t="str">
        <f>"ZAP70"</f>
        <v>ZAP70</v>
      </c>
      <c r="I803" s="3" t="str">
        <f t="shared" si="32"/>
        <v>protein_coding</v>
      </c>
    </row>
    <row r="804" spans="1:9" x14ac:dyDescent="0.2">
      <c r="A804" s="3" t="str">
        <f>"ENSG00000168658.18"</f>
        <v>ENSG00000168658.18</v>
      </c>
      <c r="B804" s="3">
        <v>13.6549541986458</v>
      </c>
      <c r="C804" s="3">
        <v>4.6684545666992801</v>
      </c>
      <c r="D804" s="3">
        <v>1.3240197604264501</v>
      </c>
      <c r="E804" s="3">
        <v>3.5259704622502301</v>
      </c>
      <c r="F804" s="3">
        <v>4.2193402535669499E-4</v>
      </c>
      <c r="G804" s="3">
        <v>2.0632513260757102E-3</v>
      </c>
      <c r="H804" s="3" t="str">
        <f>"VWA3B"</f>
        <v>VWA3B</v>
      </c>
      <c r="I804" s="3" t="str">
        <f t="shared" si="32"/>
        <v>protein_coding</v>
      </c>
    </row>
    <row r="805" spans="1:9" x14ac:dyDescent="0.2">
      <c r="A805" s="3" t="str">
        <f>"ENSG00000144191.11"</f>
        <v>ENSG00000144191.11</v>
      </c>
      <c r="B805" s="3">
        <v>5.72528331880115</v>
      </c>
      <c r="C805" s="3">
        <v>5.91290183596508</v>
      </c>
      <c r="D805" s="3">
        <v>1.9664132806819701</v>
      </c>
      <c r="E805" s="3">
        <v>3.0069476717093999</v>
      </c>
      <c r="F805" s="3">
        <v>2.6388518374758801E-3</v>
      </c>
      <c r="G805" s="3">
        <v>1.0232075710218501E-2</v>
      </c>
      <c r="H805" s="3" t="str">
        <f>"CNGA3"</f>
        <v>CNGA3</v>
      </c>
      <c r="I805" s="3" t="str">
        <f t="shared" si="32"/>
        <v>protein_coding</v>
      </c>
    </row>
    <row r="806" spans="1:9" x14ac:dyDescent="0.2">
      <c r="A806" s="3" t="str">
        <f>"ENSG00000071073.13"</f>
        <v>ENSG00000071073.13</v>
      </c>
      <c r="B806" s="3">
        <v>4882.9519094891402</v>
      </c>
      <c r="C806" s="3">
        <v>-1.05906117646774</v>
      </c>
      <c r="D806" s="3">
        <v>0.18635603677826501</v>
      </c>
      <c r="E806" s="3">
        <v>-5.6829990311924501</v>
      </c>
      <c r="F806" s="4">
        <v>1.32353019112883E-8</v>
      </c>
      <c r="G806" s="4">
        <v>1.5490647387322701E-7</v>
      </c>
      <c r="H806" s="3" t="str">
        <f>"MGAT4A"</f>
        <v>MGAT4A</v>
      </c>
      <c r="I806" s="3" t="str">
        <f t="shared" si="32"/>
        <v>protein_coding</v>
      </c>
    </row>
    <row r="807" spans="1:9" x14ac:dyDescent="0.2">
      <c r="A807" s="3" t="str">
        <f>"ENSG00000144218.18"</f>
        <v>ENSG00000144218.18</v>
      </c>
      <c r="B807" s="3">
        <v>56.0781848823313</v>
      </c>
      <c r="C807" s="3">
        <v>9.2049790897770194</v>
      </c>
      <c r="D807" s="3">
        <v>1.51299540790461</v>
      </c>
      <c r="E807" s="3">
        <v>6.08394383861698</v>
      </c>
      <c r="F807" s="4">
        <v>1.1726169368781199E-9</v>
      </c>
      <c r="G807" s="4">
        <v>1.58091507566146E-8</v>
      </c>
      <c r="H807" s="3" t="str">
        <f>"AFF3"</f>
        <v>AFF3</v>
      </c>
      <c r="I807" s="3" t="str">
        <f t="shared" si="32"/>
        <v>protein_coding</v>
      </c>
    </row>
    <row r="808" spans="1:9" x14ac:dyDescent="0.2">
      <c r="A808" s="3" t="str">
        <f>"ENSG00000170500.12"</f>
        <v>ENSG00000170500.12</v>
      </c>
      <c r="B808" s="3">
        <v>14.364437561441701</v>
      </c>
      <c r="C808" s="3">
        <v>3.34017005600368</v>
      </c>
      <c r="D808" s="3">
        <v>1.0494281767351199</v>
      </c>
      <c r="E808" s="3">
        <v>3.18284769749111</v>
      </c>
      <c r="F808" s="3">
        <v>1.4583430228012799E-3</v>
      </c>
      <c r="G808" s="3">
        <v>6.1414949524368698E-3</v>
      </c>
      <c r="H808" s="3" t="str">
        <f>"LONRF2"</f>
        <v>LONRF2</v>
      </c>
      <c r="I808" s="3" t="str">
        <f t="shared" si="32"/>
        <v>protein_coding</v>
      </c>
    </row>
    <row r="809" spans="1:9" x14ac:dyDescent="0.2">
      <c r="A809" s="3" t="str">
        <f>"ENSG00000115526.11"</f>
        <v>ENSG00000115526.11</v>
      </c>
      <c r="B809" s="3">
        <v>482.92833859783599</v>
      </c>
      <c r="C809" s="3">
        <v>-1.6254663079706599</v>
      </c>
      <c r="D809" s="3">
        <v>0.229112836584181</v>
      </c>
      <c r="E809" s="3">
        <v>-7.0946103771598299</v>
      </c>
      <c r="F809" s="4">
        <v>1.29716411262927E-12</v>
      </c>
      <c r="G809" s="4">
        <v>2.5354254359260801E-11</v>
      </c>
      <c r="H809" s="3" t="str">
        <f>"CHST10"</f>
        <v>CHST10</v>
      </c>
      <c r="I809" s="3" t="str">
        <f t="shared" si="32"/>
        <v>protein_coding</v>
      </c>
    </row>
    <row r="810" spans="1:9" x14ac:dyDescent="0.2">
      <c r="A810" s="3" t="str">
        <f>"ENSG00000163162.8"</f>
        <v>ENSG00000163162.8</v>
      </c>
      <c r="B810" s="3">
        <v>2999.4531830527299</v>
      </c>
      <c r="C810" s="3">
        <v>-1.0700638437112899</v>
      </c>
      <c r="D810" s="3">
        <v>0.18774704459608499</v>
      </c>
      <c r="E810" s="3">
        <v>-5.6994976725913196</v>
      </c>
      <c r="F810" s="4">
        <v>1.20160965091657E-8</v>
      </c>
      <c r="G810" s="4">
        <v>1.4118265700096501E-7</v>
      </c>
      <c r="H810" s="3" t="str">
        <f>"RNF149"</f>
        <v>RNF149</v>
      </c>
      <c r="I810" s="3" t="str">
        <f t="shared" si="32"/>
        <v>protein_coding</v>
      </c>
    </row>
    <row r="811" spans="1:9" x14ac:dyDescent="0.2">
      <c r="A811" s="3" t="str">
        <f>"ENSG00000175874.10"</f>
        <v>ENSG00000175874.10</v>
      </c>
      <c r="B811" s="3">
        <v>15.5422217642248</v>
      </c>
      <c r="C811" s="3">
        <v>2.15761209625808</v>
      </c>
      <c r="D811" s="3">
        <v>0.89699007603692804</v>
      </c>
      <c r="E811" s="3">
        <v>2.4053912678619902</v>
      </c>
      <c r="F811" s="3">
        <v>1.6155158662887501E-2</v>
      </c>
      <c r="G811" s="3">
        <v>4.7356601192866797E-2</v>
      </c>
      <c r="H811" s="3" t="str">
        <f>"CREG2"</f>
        <v>CREG2</v>
      </c>
      <c r="I811" s="3" t="str">
        <f t="shared" si="32"/>
        <v>protein_coding</v>
      </c>
    </row>
    <row r="812" spans="1:9" x14ac:dyDescent="0.2">
      <c r="A812" s="3" t="str">
        <f>"ENSG00000196460.14"</f>
        <v>ENSG00000196460.14</v>
      </c>
      <c r="B812" s="3">
        <v>9.0680810807180805</v>
      </c>
      <c r="C812" s="3">
        <v>4.0496977695423402</v>
      </c>
      <c r="D812" s="3">
        <v>1.4406693081975299</v>
      </c>
      <c r="E812" s="3">
        <v>2.8109835799924601</v>
      </c>
      <c r="F812" s="3">
        <v>4.9390306405681997E-3</v>
      </c>
      <c r="G812" s="3">
        <v>1.7547759533649999E-2</v>
      </c>
      <c r="H812" s="3" t="str">
        <f>"RFX8"</f>
        <v>RFX8</v>
      </c>
      <c r="I812" s="3" t="str">
        <f t="shared" si="32"/>
        <v>protein_coding</v>
      </c>
    </row>
    <row r="813" spans="1:9" x14ac:dyDescent="0.2">
      <c r="A813" s="3" t="str">
        <f>"ENSG00000286101.1"</f>
        <v>ENSG00000286101.1</v>
      </c>
      <c r="B813" s="3">
        <v>235.61939243743299</v>
      </c>
      <c r="C813" s="3">
        <v>4.0804969283537798</v>
      </c>
      <c r="D813" s="3">
        <v>0.35378176439608</v>
      </c>
      <c r="E813" s="3">
        <v>11.533937978175199</v>
      </c>
      <c r="F813" s="4">
        <v>8.8978471538335508E-31</v>
      </c>
      <c r="G813" s="4">
        <v>7.3914524817226401E-29</v>
      </c>
      <c r="H813" s="3" t="str">
        <f>"AC093894.2"</f>
        <v>AC093894.2</v>
      </c>
      <c r="I813" s="3" t="str">
        <f>"lincRNA"</f>
        <v>lincRNA</v>
      </c>
    </row>
    <row r="814" spans="1:9" x14ac:dyDescent="0.2">
      <c r="A814" s="3" t="str">
        <f>"ENSG00000115594.12"</f>
        <v>ENSG00000115594.12</v>
      </c>
      <c r="B814" s="3">
        <v>1865.02618150126</v>
      </c>
      <c r="C814" s="3">
        <v>-1.80381262113039</v>
      </c>
      <c r="D814" s="3">
        <v>0.189073985526031</v>
      </c>
      <c r="E814" s="3">
        <v>-9.54024751798576</v>
      </c>
      <c r="F814" s="4">
        <v>1.42491815468157E-21</v>
      </c>
      <c r="G814" s="4">
        <v>6.2620556388078699E-20</v>
      </c>
      <c r="H814" s="3" t="str">
        <f>"IL1R1"</f>
        <v>IL1R1</v>
      </c>
      <c r="I814" s="3" t="str">
        <f>"protein_coding"</f>
        <v>protein_coding</v>
      </c>
    </row>
    <row r="815" spans="1:9" x14ac:dyDescent="0.2">
      <c r="A815" s="3" t="str">
        <f>"ENSG00000115598.10"</f>
        <v>ENSG00000115598.10</v>
      </c>
      <c r="B815" s="3">
        <v>3.8893317554809199</v>
      </c>
      <c r="C815" s="3">
        <v>5.35263968609567</v>
      </c>
      <c r="D815" s="3">
        <v>2.1805139762792298</v>
      </c>
      <c r="E815" s="3">
        <v>2.4547605492670499</v>
      </c>
      <c r="F815" s="3">
        <v>1.40978459500909E-2</v>
      </c>
      <c r="G815" s="3">
        <v>4.2402473628670397E-2</v>
      </c>
      <c r="H815" s="3" t="str">
        <f>"IL1RL2"</f>
        <v>IL1RL2</v>
      </c>
      <c r="I815" s="3" t="str">
        <f>"protein_coding"</f>
        <v>protein_coding</v>
      </c>
    </row>
    <row r="816" spans="1:9" x14ac:dyDescent="0.2">
      <c r="A816" s="3" t="str">
        <f>"ENSG00000115616.2"</f>
        <v>ENSG00000115616.2</v>
      </c>
      <c r="B816" s="3">
        <v>10.701091477942301</v>
      </c>
      <c r="C816" s="3">
        <v>3.21006300710722</v>
      </c>
      <c r="D816" s="3">
        <v>1.25380192638946</v>
      </c>
      <c r="E816" s="3">
        <v>2.5602632597248798</v>
      </c>
      <c r="F816" s="3">
        <v>1.0459289817616299E-2</v>
      </c>
      <c r="G816" s="3">
        <v>3.3041654453401903E-2</v>
      </c>
      <c r="H816" s="3" t="str">
        <f>"SLC9A2"</f>
        <v>SLC9A2</v>
      </c>
      <c r="I816" s="3" t="str">
        <f>"protein_coding"</f>
        <v>protein_coding</v>
      </c>
    </row>
    <row r="817" spans="1:9" x14ac:dyDescent="0.2">
      <c r="A817" s="3" t="str">
        <f>"ENSG00000228528.1"</f>
        <v>ENSG00000228528.1</v>
      </c>
      <c r="B817" s="3">
        <v>6.4590627860546697</v>
      </c>
      <c r="C817" s="3">
        <v>6.0865096776838099</v>
      </c>
      <c r="D817" s="3">
        <v>1.91521344744196</v>
      </c>
      <c r="E817" s="3">
        <v>3.1779798151549201</v>
      </c>
      <c r="F817" s="3">
        <v>1.48305075154384E-3</v>
      </c>
      <c r="G817" s="3">
        <v>6.2213916031566502E-3</v>
      </c>
      <c r="H817" s="3" t="str">
        <f>"AC068057.1"</f>
        <v>AC068057.1</v>
      </c>
      <c r="I817" s="3" t="str">
        <f>"lincRNA"</f>
        <v>lincRNA</v>
      </c>
    </row>
    <row r="818" spans="1:9" x14ac:dyDescent="0.2">
      <c r="A818" s="3" t="str">
        <f>"ENSG00000071051.14"</f>
        <v>ENSG00000071051.14</v>
      </c>
      <c r="B818" s="3">
        <v>1093.8076834681301</v>
      </c>
      <c r="C818" s="3">
        <v>-1.3797065617850099</v>
      </c>
      <c r="D818" s="3">
        <v>0.21745789036198701</v>
      </c>
      <c r="E818" s="3">
        <v>-6.3447068280130603</v>
      </c>
      <c r="F818" s="4">
        <v>2.2284941173977899E-10</v>
      </c>
      <c r="G818" s="4">
        <v>3.2821502279317601E-9</v>
      </c>
      <c r="H818" s="3" t="str">
        <f>"NCK2"</f>
        <v>NCK2</v>
      </c>
      <c r="I818" s="3" t="str">
        <f>"protein_coding"</f>
        <v>protein_coding</v>
      </c>
    </row>
    <row r="819" spans="1:9" x14ac:dyDescent="0.2">
      <c r="A819" s="3" t="str">
        <f>"ENSG00000153165.18"</f>
        <v>ENSG00000153165.18</v>
      </c>
      <c r="B819" s="3">
        <v>54.397877045445497</v>
      </c>
      <c r="C819" s="3">
        <v>1.3942544683493201</v>
      </c>
      <c r="D819" s="3">
        <v>0.54712554531825897</v>
      </c>
      <c r="E819" s="3">
        <v>2.5483263947003101</v>
      </c>
      <c r="F819" s="3">
        <v>1.08241146054887E-2</v>
      </c>
      <c r="G819" s="3">
        <v>3.4036312828130397E-2</v>
      </c>
      <c r="H819" s="3" t="str">
        <f>"RGPD3"</f>
        <v>RGPD3</v>
      </c>
      <c r="I819" s="3" t="str">
        <f>"protein_coding"</f>
        <v>protein_coding</v>
      </c>
    </row>
    <row r="820" spans="1:9" x14ac:dyDescent="0.2">
      <c r="A820" s="3" t="str">
        <f>"ENSG00000225328.1"</f>
        <v>ENSG00000225328.1</v>
      </c>
      <c r="B820" s="3">
        <v>13.132716309539401</v>
      </c>
      <c r="C820" s="3">
        <v>5.6392196880398497</v>
      </c>
      <c r="D820" s="3">
        <v>1.6933548956717901</v>
      </c>
      <c r="E820" s="3">
        <v>3.3302054415490101</v>
      </c>
      <c r="F820" s="3">
        <v>8.6781928675551997E-4</v>
      </c>
      <c r="G820" s="3">
        <v>3.8984114642793199E-3</v>
      </c>
      <c r="H820" s="3" t="str">
        <f>"LINC01594"</f>
        <v>LINC01594</v>
      </c>
      <c r="I820" s="3" t="str">
        <f>"antisense"</f>
        <v>antisense</v>
      </c>
    </row>
    <row r="821" spans="1:9" x14ac:dyDescent="0.2">
      <c r="A821" s="3" t="str">
        <f>"ENSG00000236877.2"</f>
        <v>ENSG00000236877.2</v>
      </c>
      <c r="B821" s="3">
        <v>14.9832798656566</v>
      </c>
      <c r="C821" s="3">
        <v>4.7995041919953403</v>
      </c>
      <c r="D821" s="3">
        <v>1.3201835905766</v>
      </c>
      <c r="E821" s="3">
        <v>3.6354823876420999</v>
      </c>
      <c r="F821" s="3">
        <v>2.7746095073207601E-4</v>
      </c>
      <c r="G821" s="3">
        <v>1.4213157594654799E-3</v>
      </c>
      <c r="H821" s="3" t="str">
        <f>"SETD6P1"</f>
        <v>SETD6P1</v>
      </c>
      <c r="I821" s="3" t="str">
        <f>"processed_pseudogene"</f>
        <v>processed_pseudogene</v>
      </c>
    </row>
    <row r="822" spans="1:9" x14ac:dyDescent="0.2">
      <c r="A822" s="3" t="str">
        <f>"ENSG00000198075.10"</f>
        <v>ENSG00000198075.10</v>
      </c>
      <c r="B822" s="3">
        <v>342.93840304510502</v>
      </c>
      <c r="C822" s="3">
        <v>2.8180355246864401</v>
      </c>
      <c r="D822" s="3">
        <v>0.27534569624780098</v>
      </c>
      <c r="E822" s="3">
        <v>10.2345363050465</v>
      </c>
      <c r="F822" s="4">
        <v>1.3885876486260899E-24</v>
      </c>
      <c r="G822" s="4">
        <v>7.4920490420029696E-23</v>
      </c>
      <c r="H822" s="3" t="str">
        <f>"SULT1C4"</f>
        <v>SULT1C4</v>
      </c>
      <c r="I822" s="3" t="str">
        <f>"protein_coding"</f>
        <v>protein_coding</v>
      </c>
    </row>
    <row r="823" spans="1:9" x14ac:dyDescent="0.2">
      <c r="A823" s="3" t="str">
        <f>"ENSG00000135968.20"</f>
        <v>ENSG00000135968.20</v>
      </c>
      <c r="B823" s="3">
        <v>5694.0033361346404</v>
      </c>
      <c r="C823" s="3">
        <v>1.66449482502636</v>
      </c>
      <c r="D823" s="3">
        <v>0.20198106326176701</v>
      </c>
      <c r="E823" s="3">
        <v>8.2408459394491391</v>
      </c>
      <c r="F823" s="4">
        <v>1.7099729463876601E-16</v>
      </c>
      <c r="G823" s="4">
        <v>4.8736017646678397E-15</v>
      </c>
      <c r="H823" s="3" t="str">
        <f>"GCC2"</f>
        <v>GCC2</v>
      </c>
      <c r="I823" s="3" t="str">
        <f>"protein_coding"</f>
        <v>protein_coding</v>
      </c>
    </row>
    <row r="824" spans="1:9" x14ac:dyDescent="0.2">
      <c r="A824" s="3" t="str">
        <f>"ENSG00000214184.3"</f>
        <v>ENSG00000214184.3</v>
      </c>
      <c r="B824" s="3">
        <v>119.834848629931</v>
      </c>
      <c r="C824" s="3">
        <v>1.4087625227565801</v>
      </c>
      <c r="D824" s="3">
        <v>0.347319313841632</v>
      </c>
      <c r="E824" s="3">
        <v>4.0561018826581297</v>
      </c>
      <c r="F824" s="4">
        <v>4.9898500546326402E-5</v>
      </c>
      <c r="G824" s="3">
        <v>3.0579947017223398E-4</v>
      </c>
      <c r="H824" s="3" t="str">
        <f>"GCC2-AS1"</f>
        <v>GCC2-AS1</v>
      </c>
      <c r="I824" s="3" t="str">
        <f>"antisense"</f>
        <v>antisense</v>
      </c>
    </row>
    <row r="825" spans="1:9" x14ac:dyDescent="0.2">
      <c r="A825" s="3" t="str">
        <f>"ENSG00000169756.16"</f>
        <v>ENSG00000169756.16</v>
      </c>
      <c r="B825" s="3">
        <v>2746.7460838039701</v>
      </c>
      <c r="C825" s="3">
        <v>-1.0788711744232999</v>
      </c>
      <c r="D825" s="3">
        <v>0.179369047988061</v>
      </c>
      <c r="E825" s="3">
        <v>-6.0148124022774896</v>
      </c>
      <c r="F825" s="4">
        <v>1.80095138035599E-9</v>
      </c>
      <c r="G825" s="4">
        <v>2.3514983822138401E-8</v>
      </c>
      <c r="H825" s="3" t="str">
        <f>"LIMS1"</f>
        <v>LIMS1</v>
      </c>
      <c r="I825" s="3" t="str">
        <f>"protein_coding"</f>
        <v>protein_coding</v>
      </c>
    </row>
    <row r="826" spans="1:9" x14ac:dyDescent="0.2">
      <c r="A826" s="3" t="str">
        <f>"ENSG00000163006.12"</f>
        <v>ENSG00000163006.12</v>
      </c>
      <c r="B826" s="3">
        <v>828.84422997337401</v>
      </c>
      <c r="C826" s="3">
        <v>-1.20018134808318</v>
      </c>
      <c r="D826" s="3">
        <v>0.207507233517814</v>
      </c>
      <c r="E826" s="3">
        <v>-5.7838048714583801</v>
      </c>
      <c r="F826" s="4">
        <v>7.3029648913686603E-9</v>
      </c>
      <c r="G826" s="4">
        <v>8.8515962809217894E-8</v>
      </c>
      <c r="H826" s="3" t="str">
        <f>"CCDC138"</f>
        <v>CCDC138</v>
      </c>
      <c r="I826" s="3" t="str">
        <f>"protein_coding"</f>
        <v>protein_coding</v>
      </c>
    </row>
    <row r="827" spans="1:9" x14ac:dyDescent="0.2">
      <c r="A827" s="3" t="str">
        <f>"ENSG00000135960.10"</f>
        <v>ENSG00000135960.10</v>
      </c>
      <c r="B827" s="3">
        <v>5.35989648036084</v>
      </c>
      <c r="C827" s="3">
        <v>5.82087034832609</v>
      </c>
      <c r="D827" s="3">
        <v>2.0030830883710302</v>
      </c>
      <c r="E827" s="3">
        <v>2.9059555153350201</v>
      </c>
      <c r="F827" s="3">
        <v>3.66133497227402E-3</v>
      </c>
      <c r="G827" s="3">
        <v>1.3608019914002199E-2</v>
      </c>
      <c r="H827" s="3" t="str">
        <f>"EDAR"</f>
        <v>EDAR</v>
      </c>
      <c r="I827" s="3" t="str">
        <f>"protein_coding"</f>
        <v>protein_coding</v>
      </c>
    </row>
    <row r="828" spans="1:9" x14ac:dyDescent="0.2">
      <c r="A828" s="3" t="str">
        <f>"ENSG00000153093.18"</f>
        <v>ENSG00000153093.18</v>
      </c>
      <c r="B828" s="3">
        <v>13.214041991309101</v>
      </c>
      <c r="C828" s="3">
        <v>7.1210089062058097</v>
      </c>
      <c r="D828" s="3">
        <v>1.6921903964879801</v>
      </c>
      <c r="E828" s="3">
        <v>4.2081605716383503</v>
      </c>
      <c r="F828" s="4">
        <v>2.5745789734411199E-5</v>
      </c>
      <c r="G828" s="3">
        <v>1.67142133164999E-4</v>
      </c>
      <c r="H828" s="3" t="str">
        <f>"ACOXL"</f>
        <v>ACOXL</v>
      </c>
      <c r="I828" s="3" t="str">
        <f>"protein_coding"</f>
        <v>protein_coding</v>
      </c>
    </row>
    <row r="829" spans="1:9" x14ac:dyDescent="0.2">
      <c r="A829" s="3" t="str">
        <f>"ENSG00000227992.1"</f>
        <v>ENSG00000227992.1</v>
      </c>
      <c r="B829" s="3">
        <v>101.170280422929</v>
      </c>
      <c r="C829" s="3">
        <v>-1.60254126184515</v>
      </c>
      <c r="D829" s="3">
        <v>0.37731542685671399</v>
      </c>
      <c r="E829" s="3">
        <v>-4.2472190315550398</v>
      </c>
      <c r="F829" s="4">
        <v>2.16440338913658E-5</v>
      </c>
      <c r="G829" s="3">
        <v>1.42896775245468E-4</v>
      </c>
      <c r="H829" s="3" t="str">
        <f>"AC108463.1"</f>
        <v>AC108463.1</v>
      </c>
      <c r="I829" s="3" t="str">
        <f>"processed_pseudogene"</f>
        <v>processed_pseudogene</v>
      </c>
    </row>
    <row r="830" spans="1:9" x14ac:dyDescent="0.2">
      <c r="A830" s="3" t="str">
        <f>"ENSG00000271590.1"</f>
        <v>ENSG00000271590.1</v>
      </c>
      <c r="B830" s="3">
        <v>114.623986527146</v>
      </c>
      <c r="C830" s="3">
        <v>-1.23028629226776</v>
      </c>
      <c r="D830" s="3">
        <v>0.394071664207296</v>
      </c>
      <c r="E830" s="3">
        <v>-3.12198618680836</v>
      </c>
      <c r="F830" s="3">
        <v>1.79635366822926E-3</v>
      </c>
      <c r="G830" s="3">
        <v>7.3546579110807999E-3</v>
      </c>
      <c r="H830" s="3" t="str">
        <f>"AC108463.3"</f>
        <v>AC108463.3</v>
      </c>
      <c r="I830" s="3" t="str">
        <f>"lincRNA"</f>
        <v>lincRNA</v>
      </c>
    </row>
    <row r="831" spans="1:9" x14ac:dyDescent="0.2">
      <c r="A831" s="3" t="str">
        <f>"ENSG00000270190.1"</f>
        <v>ENSG00000270190.1</v>
      </c>
      <c r="B831" s="3">
        <v>127.81607411181901</v>
      </c>
      <c r="C831" s="3">
        <v>-1.0838920190877701</v>
      </c>
      <c r="D831" s="3">
        <v>0.35301448557552301</v>
      </c>
      <c r="E831" s="3">
        <v>-3.07038963945257</v>
      </c>
      <c r="F831" s="3">
        <v>2.1377967583073401E-3</v>
      </c>
      <c r="G831" s="3">
        <v>8.5395907159653995E-3</v>
      </c>
      <c r="H831" s="3" t="str">
        <f>"AC068491.3"</f>
        <v>AC068491.3</v>
      </c>
      <c r="I831" s="3" t="str">
        <f>"lincRNA"</f>
        <v>lincRNA</v>
      </c>
    </row>
    <row r="832" spans="1:9" x14ac:dyDescent="0.2">
      <c r="A832" s="3" t="str">
        <f>"ENSG00000226928.1"</f>
        <v>ENSG00000226928.1</v>
      </c>
      <c r="B832" s="3">
        <v>80.644933717577999</v>
      </c>
      <c r="C832" s="3">
        <v>-1.04556332247752</v>
      </c>
      <c r="D832" s="3">
        <v>0.413568190279759</v>
      </c>
      <c r="E832" s="3">
        <v>-2.5281521815549799</v>
      </c>
      <c r="F832" s="3">
        <v>1.14664638117361E-2</v>
      </c>
      <c r="G832" s="3">
        <v>3.5643681717484797E-2</v>
      </c>
      <c r="H832" s="3" t="str">
        <f>"RPS14P4"</f>
        <v>RPS14P4</v>
      </c>
      <c r="I832" s="3" t="str">
        <f>"processed_pseudogene"</f>
        <v>processed_pseudogene</v>
      </c>
    </row>
    <row r="833" spans="1:9" x14ac:dyDescent="0.2">
      <c r="A833" s="3" t="str">
        <f>"ENSG00000153214.11"</f>
        <v>ENSG00000153214.11</v>
      </c>
      <c r="B833" s="3">
        <v>2071.3356877579799</v>
      </c>
      <c r="C833" s="3">
        <v>1.1853123975589399</v>
      </c>
      <c r="D833" s="3">
        <v>0.19580379932577799</v>
      </c>
      <c r="E833" s="3">
        <v>6.0535720023839801</v>
      </c>
      <c r="F833" s="4">
        <v>1.4166870573915101E-9</v>
      </c>
      <c r="G833" s="4">
        <v>1.8874105795532899E-8</v>
      </c>
      <c r="H833" s="3" t="str">
        <f>"TMEM87B"</f>
        <v>TMEM87B</v>
      </c>
      <c r="I833" s="3" t="str">
        <f>"protein_coding"</f>
        <v>protein_coding</v>
      </c>
    </row>
    <row r="834" spans="1:9" x14ac:dyDescent="0.2">
      <c r="A834" s="3" t="str">
        <f>"ENSG00000188177.14"</f>
        <v>ENSG00000188177.14</v>
      </c>
      <c r="B834" s="3">
        <v>233.45392593785999</v>
      </c>
      <c r="C834" s="3">
        <v>2.18843361361195</v>
      </c>
      <c r="D834" s="3">
        <v>0.29093896066957198</v>
      </c>
      <c r="E834" s="3">
        <v>7.5219682113920001</v>
      </c>
      <c r="F834" s="4">
        <v>5.39577054816725E-14</v>
      </c>
      <c r="G834" s="4">
        <v>1.22925217496583E-12</v>
      </c>
      <c r="H834" s="3" t="str">
        <f>"ZC3H6"</f>
        <v>ZC3H6</v>
      </c>
      <c r="I834" s="3" t="str">
        <f>"protein_coding"</f>
        <v>protein_coding</v>
      </c>
    </row>
    <row r="835" spans="1:9" x14ac:dyDescent="0.2">
      <c r="A835" s="3" t="str">
        <f>"ENSG00000144130.11"</f>
        <v>ENSG00000144130.11</v>
      </c>
      <c r="B835" s="3">
        <v>221.679380841696</v>
      </c>
      <c r="C835" s="3">
        <v>3.8400350714709202</v>
      </c>
      <c r="D835" s="3">
        <v>0.330951711615596</v>
      </c>
      <c r="E835" s="3">
        <v>11.6030071357696</v>
      </c>
      <c r="F835" s="4">
        <v>3.9784817753904399E-31</v>
      </c>
      <c r="G835" s="4">
        <v>3.3981721922903902E-29</v>
      </c>
      <c r="H835" s="3" t="str">
        <f>"NT5DC4"</f>
        <v>NT5DC4</v>
      </c>
      <c r="I835" s="3" t="str">
        <f>"protein_coding"</f>
        <v>protein_coding</v>
      </c>
    </row>
    <row r="836" spans="1:9" x14ac:dyDescent="0.2">
      <c r="A836" s="3" t="str">
        <f>"ENSG00000280228.1"</f>
        <v>ENSG00000280228.1</v>
      </c>
      <c r="B836" s="3">
        <v>111.831483077054</v>
      </c>
      <c r="C836" s="3">
        <v>2.6376510669097302</v>
      </c>
      <c r="D836" s="3">
        <v>0.38055579051087302</v>
      </c>
      <c r="E836" s="3">
        <v>6.9310496192131303</v>
      </c>
      <c r="F836" s="4">
        <v>4.1772948663403296E-12</v>
      </c>
      <c r="G836" s="4">
        <v>7.6594046583563295E-11</v>
      </c>
      <c r="H836" s="3" t="str">
        <f>"AC079753.1"</f>
        <v>AC079753.1</v>
      </c>
      <c r="I836" s="3" t="str">
        <f>"TEC"</f>
        <v>TEC</v>
      </c>
    </row>
    <row r="837" spans="1:9" x14ac:dyDescent="0.2">
      <c r="A837" s="3" t="str">
        <f>"ENSG00000180152.3"</f>
        <v>ENSG00000180152.3</v>
      </c>
      <c r="B837" s="3">
        <v>25.286965997064399</v>
      </c>
      <c r="C837" s="3">
        <v>3.6985544128046302</v>
      </c>
      <c r="D837" s="3">
        <v>0.84924464200868299</v>
      </c>
      <c r="E837" s="3">
        <v>4.3551106828964903</v>
      </c>
      <c r="F837" s="4">
        <v>1.32999698520868E-5</v>
      </c>
      <c r="G837" s="4">
        <v>9.20016739893156E-5</v>
      </c>
      <c r="H837" s="3" t="str">
        <f>"XIAPP3"</f>
        <v>XIAPP3</v>
      </c>
      <c r="I837" s="3" t="str">
        <f>"processed_pseudogene"</f>
        <v>processed_pseudogene</v>
      </c>
    </row>
    <row r="838" spans="1:9" x14ac:dyDescent="0.2">
      <c r="A838" s="3" t="str">
        <f>"ENSG00000136689.18"</f>
        <v>ENSG00000136689.18</v>
      </c>
      <c r="B838" s="3">
        <v>1108.18700885464</v>
      </c>
      <c r="C838" s="3">
        <v>1.85623748686309</v>
      </c>
      <c r="D838" s="3">
        <v>0.205360525797675</v>
      </c>
      <c r="E838" s="3">
        <v>9.0389205990438892</v>
      </c>
      <c r="F838" s="4">
        <v>1.5822643435243199E-19</v>
      </c>
      <c r="G838" s="4">
        <v>5.7946178182805299E-18</v>
      </c>
      <c r="H838" s="3" t="str">
        <f>"IL1RN"</f>
        <v>IL1RN</v>
      </c>
      <c r="I838" s="3" t="str">
        <f>"protein_coding"</f>
        <v>protein_coding</v>
      </c>
    </row>
    <row r="839" spans="1:9" x14ac:dyDescent="0.2">
      <c r="A839" s="3" t="str">
        <f>"ENSG00000272563.1"</f>
        <v>ENSG00000272563.1</v>
      </c>
      <c r="B839" s="3">
        <v>8.1832942445817807</v>
      </c>
      <c r="C839" s="3">
        <v>6.4270843652397902</v>
      </c>
      <c r="D839" s="3">
        <v>1.8297971749098501</v>
      </c>
      <c r="E839" s="3">
        <v>3.5124572566664098</v>
      </c>
      <c r="F839" s="3">
        <v>4.4398341346852998E-4</v>
      </c>
      <c r="G839" s="3">
        <v>2.1563665003167601E-3</v>
      </c>
      <c r="H839" s="3" t="str">
        <f>"AC016745.2"</f>
        <v>AC016745.2</v>
      </c>
      <c r="I839" s="3" t="str">
        <f>"lincRNA"</f>
        <v>lincRNA</v>
      </c>
    </row>
    <row r="840" spans="1:9" x14ac:dyDescent="0.2">
      <c r="A840" s="3" t="str">
        <f>"ENSG00000144134.18"</f>
        <v>ENSG00000144134.18</v>
      </c>
      <c r="B840" s="3">
        <v>648.83331871325595</v>
      </c>
      <c r="C840" s="3">
        <v>1.41512854219055</v>
      </c>
      <c r="D840" s="3">
        <v>0.21888602893061199</v>
      </c>
      <c r="E840" s="3">
        <v>6.4651387258669999</v>
      </c>
      <c r="F840" s="4">
        <v>1.01205919472877E-10</v>
      </c>
      <c r="G840" s="4">
        <v>1.5730505920578899E-9</v>
      </c>
      <c r="H840" s="3" t="str">
        <f>"RABL2A"</f>
        <v>RABL2A</v>
      </c>
      <c r="I840" s="3" t="str">
        <f>"protein_coding"</f>
        <v>protein_coding</v>
      </c>
    </row>
    <row r="841" spans="1:9" x14ac:dyDescent="0.2">
      <c r="A841" s="3" t="str">
        <f>"ENSG00000243179.1"</f>
        <v>ENSG00000243179.1</v>
      </c>
      <c r="B841" s="3">
        <v>38.217092947096098</v>
      </c>
      <c r="C841" s="3">
        <v>1.7416251934989799</v>
      </c>
      <c r="D841" s="3">
        <v>0.58869158624165596</v>
      </c>
      <c r="E841" s="3">
        <v>2.9584679553820701</v>
      </c>
      <c r="F841" s="3">
        <v>3.09172384734772E-3</v>
      </c>
      <c r="G841" s="3">
        <v>1.17621055108466E-2</v>
      </c>
      <c r="H841" s="3" t="str">
        <f>"AC110769.1"</f>
        <v>AC110769.1</v>
      </c>
      <c r="I841" s="3" t="str">
        <f>"lincRNA"</f>
        <v>lincRNA</v>
      </c>
    </row>
    <row r="842" spans="1:9" x14ac:dyDescent="0.2">
      <c r="A842" s="3" t="str">
        <f>"ENSG00000019169.10"</f>
        <v>ENSG00000019169.10</v>
      </c>
      <c r="B842" s="3">
        <v>7.0509389933641398</v>
      </c>
      <c r="C842" s="3">
        <v>3.6643351664009902</v>
      </c>
      <c r="D842" s="3">
        <v>1.53766828890081</v>
      </c>
      <c r="E842" s="3">
        <v>2.3830465860880898</v>
      </c>
      <c r="F842" s="3">
        <v>1.7170021326532298E-2</v>
      </c>
      <c r="G842" s="3">
        <v>4.98754340174868E-2</v>
      </c>
      <c r="H842" s="3" t="str">
        <f>"MARCO"</f>
        <v>MARCO</v>
      </c>
      <c r="I842" s="3" t="str">
        <f t="shared" ref="I842:I850" si="33">"protein_coding"</f>
        <v>protein_coding</v>
      </c>
    </row>
    <row r="843" spans="1:9" x14ac:dyDescent="0.2">
      <c r="A843" s="3" t="str">
        <f>"ENSG00000155368.16"</f>
        <v>ENSG00000155368.16</v>
      </c>
      <c r="B843" s="3">
        <v>3993.5478798794502</v>
      </c>
      <c r="C843" s="3">
        <v>-1.5305969810861799</v>
      </c>
      <c r="D843" s="3">
        <v>0.214619981081802</v>
      </c>
      <c r="E843" s="3">
        <v>-7.1316611499597196</v>
      </c>
      <c r="F843" s="4">
        <v>9.9164760203512598E-13</v>
      </c>
      <c r="G843" s="4">
        <v>1.9664790547780999E-11</v>
      </c>
      <c r="H843" s="3" t="str">
        <f>"DBI"</f>
        <v>DBI</v>
      </c>
      <c r="I843" s="3" t="str">
        <f t="shared" si="33"/>
        <v>protein_coding</v>
      </c>
    </row>
    <row r="844" spans="1:9" x14ac:dyDescent="0.2">
      <c r="A844" s="3" t="str">
        <f>"ENSG00000171227.7"</f>
        <v>ENSG00000171227.7</v>
      </c>
      <c r="B844" s="3">
        <v>987.6068772932</v>
      </c>
      <c r="C844" s="3">
        <v>-1.1653893702715199</v>
      </c>
      <c r="D844" s="3">
        <v>0.22169749621806301</v>
      </c>
      <c r="E844" s="3">
        <v>-5.2566645548636997</v>
      </c>
      <c r="F844" s="4">
        <v>1.4669152265915899E-7</v>
      </c>
      <c r="G844" s="4">
        <v>1.4460578574146501E-6</v>
      </c>
      <c r="H844" s="3" t="str">
        <f>"TMEM37"</f>
        <v>TMEM37</v>
      </c>
      <c r="I844" s="3" t="str">
        <f t="shared" si="33"/>
        <v>protein_coding</v>
      </c>
    </row>
    <row r="845" spans="1:9" x14ac:dyDescent="0.2">
      <c r="A845" s="3" t="str">
        <f>"ENSG00000163075.13"</f>
        <v>ENSG00000163075.13</v>
      </c>
      <c r="B845" s="3">
        <v>26.950197341671998</v>
      </c>
      <c r="C845" s="3">
        <v>5.6734019193896801</v>
      </c>
      <c r="D845" s="3">
        <v>1.1974494688925701</v>
      </c>
      <c r="E845" s="3">
        <v>4.7379050780627896</v>
      </c>
      <c r="F845" s="4">
        <v>2.1593891065316001E-6</v>
      </c>
      <c r="G845" s="4">
        <v>1.74590133488624E-5</v>
      </c>
      <c r="H845" s="3" t="str">
        <f>"CFAP221"</f>
        <v>CFAP221</v>
      </c>
      <c r="I845" s="3" t="str">
        <f t="shared" si="33"/>
        <v>protein_coding</v>
      </c>
    </row>
    <row r="846" spans="1:9" x14ac:dyDescent="0.2">
      <c r="A846" s="3" t="str">
        <f>"ENSG00000144120.13"</f>
        <v>ENSG00000144120.13</v>
      </c>
      <c r="B846" s="3">
        <v>881.93604923053294</v>
      </c>
      <c r="C846" s="3">
        <v>-1.15562742053323</v>
      </c>
      <c r="D846" s="3">
        <v>0.22325201747310799</v>
      </c>
      <c r="E846" s="3">
        <v>-5.1763358450833801</v>
      </c>
      <c r="F846" s="4">
        <v>2.2628596763688299E-7</v>
      </c>
      <c r="G846" s="4">
        <v>2.1656528838082699E-6</v>
      </c>
      <c r="H846" s="3" t="str">
        <f>"TMEM177"</f>
        <v>TMEM177</v>
      </c>
      <c r="I846" s="3" t="str">
        <f t="shared" si="33"/>
        <v>protein_coding</v>
      </c>
    </row>
    <row r="847" spans="1:9" x14ac:dyDescent="0.2">
      <c r="A847" s="3" t="str">
        <f>"ENSG00000163083.6"</f>
        <v>ENSG00000163083.6</v>
      </c>
      <c r="B847" s="3">
        <v>347.94581375775999</v>
      </c>
      <c r="C847" s="3">
        <v>-1.0979027821730201</v>
      </c>
      <c r="D847" s="3">
        <v>0.25467718564779601</v>
      </c>
      <c r="E847" s="3">
        <v>-4.3109585155042502</v>
      </c>
      <c r="F847" s="4">
        <v>1.62548401679764E-5</v>
      </c>
      <c r="G847" s="3">
        <v>1.10255322394038E-4</v>
      </c>
      <c r="H847" s="3" t="str">
        <f>"INHBB"</f>
        <v>INHBB</v>
      </c>
      <c r="I847" s="3" t="str">
        <f t="shared" si="33"/>
        <v>protein_coding</v>
      </c>
    </row>
    <row r="848" spans="1:9" x14ac:dyDescent="0.2">
      <c r="A848" s="3" t="str">
        <f>"ENSG00000115112.8"</f>
        <v>ENSG00000115112.8</v>
      </c>
      <c r="B848" s="3">
        <v>19.778813301410999</v>
      </c>
      <c r="C848" s="3">
        <v>7.70010863145637</v>
      </c>
      <c r="D848" s="3">
        <v>1.62229930251313</v>
      </c>
      <c r="E848" s="3">
        <v>4.7464167798925798</v>
      </c>
      <c r="F848" s="4">
        <v>2.0705185548911101E-6</v>
      </c>
      <c r="G848" s="4">
        <v>1.67853076659083E-5</v>
      </c>
      <c r="H848" s="3" t="str">
        <f>"TFCP2L1"</f>
        <v>TFCP2L1</v>
      </c>
      <c r="I848" s="3" t="str">
        <f t="shared" si="33"/>
        <v>protein_coding</v>
      </c>
    </row>
    <row r="849" spans="1:9" x14ac:dyDescent="0.2">
      <c r="A849" s="3" t="str">
        <f>"ENSG00000155052.14"</f>
        <v>ENSG00000155052.14</v>
      </c>
      <c r="B849" s="3">
        <v>4.2214862794873804</v>
      </c>
      <c r="C849" s="3">
        <v>5.4755790109220799</v>
      </c>
      <c r="D849" s="3">
        <v>2.12353005238585</v>
      </c>
      <c r="E849" s="3">
        <v>2.5785267341849498</v>
      </c>
      <c r="F849" s="3">
        <v>9.9222621654522294E-3</v>
      </c>
      <c r="G849" s="3">
        <v>3.16053164860974E-2</v>
      </c>
      <c r="H849" s="3" t="str">
        <f>"CNTNAP5"</f>
        <v>CNTNAP5</v>
      </c>
      <c r="I849" s="3" t="str">
        <f t="shared" si="33"/>
        <v>protein_coding</v>
      </c>
    </row>
    <row r="850" spans="1:9" x14ac:dyDescent="0.2">
      <c r="A850" s="3" t="str">
        <f>"ENSG00000136717.15"</f>
        <v>ENSG00000136717.15</v>
      </c>
      <c r="B850" s="3">
        <v>419.41094949425099</v>
      </c>
      <c r="C850" s="3">
        <v>-1.0397134114378499</v>
      </c>
      <c r="D850" s="3">
        <v>0.26054057957817001</v>
      </c>
      <c r="E850" s="3">
        <v>-3.99060067004226</v>
      </c>
      <c r="F850" s="4">
        <v>6.5906166999393794E-5</v>
      </c>
      <c r="G850" s="3">
        <v>3.9259845479503298E-4</v>
      </c>
      <c r="H850" s="3" t="str">
        <f>"BIN1"</f>
        <v>BIN1</v>
      </c>
      <c r="I850" s="3" t="str">
        <f t="shared" si="33"/>
        <v>protein_coding</v>
      </c>
    </row>
    <row r="851" spans="1:9" x14ac:dyDescent="0.2">
      <c r="A851" s="3" t="str">
        <f>"ENSG00000236682.1"</f>
        <v>ENSG00000236682.1</v>
      </c>
      <c r="B851" s="3">
        <v>134.96204988410699</v>
      </c>
      <c r="C851" s="3">
        <v>-1.3054610059891001</v>
      </c>
      <c r="D851" s="3">
        <v>0.33022067416436601</v>
      </c>
      <c r="E851" s="3">
        <v>-3.9532988335530899</v>
      </c>
      <c r="F851" s="4">
        <v>7.7081070902959694E-5</v>
      </c>
      <c r="G851" s="3">
        <v>4.5331921840987302E-4</v>
      </c>
      <c r="H851" s="3" t="str">
        <f>"MAP3K2-DT"</f>
        <v>MAP3K2-DT</v>
      </c>
      <c r="I851" s="3" t="str">
        <f>"lincRNA"</f>
        <v>lincRNA</v>
      </c>
    </row>
    <row r="852" spans="1:9" x14ac:dyDescent="0.2">
      <c r="A852" s="3" t="str">
        <f>"ENSG00000169994.18"</f>
        <v>ENSG00000169994.18</v>
      </c>
      <c r="B852" s="3">
        <v>71.867844954907397</v>
      </c>
      <c r="C852" s="3">
        <v>8.1149274647195302</v>
      </c>
      <c r="D852" s="3">
        <v>1.49310454300895</v>
      </c>
      <c r="E852" s="3">
        <v>5.4349358875876597</v>
      </c>
      <c r="F852" s="4">
        <v>5.48161383711664E-8</v>
      </c>
      <c r="G852" s="4">
        <v>5.82517676364731E-7</v>
      </c>
      <c r="H852" s="3" t="str">
        <f>"MYO7B"</f>
        <v>MYO7B</v>
      </c>
      <c r="I852" s="3" t="str">
        <f>"protein_coding"</f>
        <v>protein_coding</v>
      </c>
    </row>
    <row r="853" spans="1:9" x14ac:dyDescent="0.2">
      <c r="A853" s="3" t="str">
        <f>"ENSG00000180178.11"</f>
        <v>ENSG00000180178.11</v>
      </c>
      <c r="B853" s="3">
        <v>322.16165396273601</v>
      </c>
      <c r="C853" s="3">
        <v>1.9700416036036199</v>
      </c>
      <c r="D853" s="3">
        <v>0.27554786080906601</v>
      </c>
      <c r="E853" s="3">
        <v>7.1495441765331096</v>
      </c>
      <c r="F853" s="4">
        <v>8.7066526115030504E-13</v>
      </c>
      <c r="G853" s="4">
        <v>1.73922407408815E-11</v>
      </c>
      <c r="H853" s="3" t="str">
        <f>"FAR2P1"</f>
        <v>FAR2P1</v>
      </c>
      <c r="I853" s="3" t="str">
        <f>"transcribed_unprocessed_pseudogene"</f>
        <v>transcribed_unprocessed_pseudogene</v>
      </c>
    </row>
    <row r="854" spans="1:9" x14ac:dyDescent="0.2">
      <c r="A854" s="3" t="str">
        <f>"ENSG00000286058.1"</f>
        <v>ENSG00000286058.1</v>
      </c>
      <c r="B854" s="3">
        <v>836.30030655331802</v>
      </c>
      <c r="C854" s="3">
        <v>1.5614874405842101</v>
      </c>
      <c r="D854" s="3">
        <v>0.212230448157085</v>
      </c>
      <c r="E854" s="3">
        <v>7.3575090386109698</v>
      </c>
      <c r="F854" s="4">
        <v>1.8737372382731201E-13</v>
      </c>
      <c r="G854" s="4">
        <v>4.0615527868916299E-12</v>
      </c>
      <c r="H854" s="3" t="str">
        <f>"AC018865.3"</f>
        <v>AC018865.3</v>
      </c>
      <c r="I854" s="3" t="str">
        <f>"processed_transcript"</f>
        <v>processed_transcript</v>
      </c>
    </row>
    <row r="855" spans="1:9" x14ac:dyDescent="0.2">
      <c r="A855" s="3" t="str">
        <f>"ENSG00000196604.12"</f>
        <v>ENSG00000196604.12</v>
      </c>
      <c r="B855" s="3">
        <v>1631.13748462375</v>
      </c>
      <c r="C855" s="3">
        <v>1.4456038875716699</v>
      </c>
      <c r="D855" s="3">
        <v>0.18871702673843499</v>
      </c>
      <c r="E855" s="3">
        <v>7.6601667192187302</v>
      </c>
      <c r="F855" s="4">
        <v>1.8569186885493499E-14</v>
      </c>
      <c r="G855" s="4">
        <v>4.3692110109589001E-13</v>
      </c>
      <c r="H855" s="3" t="str">
        <f>"POTEF"</f>
        <v>POTEF</v>
      </c>
      <c r="I855" s="3" t="str">
        <f>"protein_coding"</f>
        <v>protein_coding</v>
      </c>
    </row>
    <row r="856" spans="1:9" x14ac:dyDescent="0.2">
      <c r="A856" s="3" t="str">
        <f>"ENSG00000223760.4"</f>
        <v>ENSG00000223760.4</v>
      </c>
      <c r="B856" s="3">
        <v>43.711543873921897</v>
      </c>
      <c r="C856" s="3">
        <v>2.40539966493249</v>
      </c>
      <c r="D856" s="3">
        <v>0.578990005918118</v>
      </c>
      <c r="E856" s="3">
        <v>4.15447527650878</v>
      </c>
      <c r="F856" s="4">
        <v>3.2603486583564198E-5</v>
      </c>
      <c r="G856" s="3">
        <v>2.0726719527353599E-4</v>
      </c>
      <c r="H856" s="3" t="str">
        <f>"MED15P9"</f>
        <v>MED15P9</v>
      </c>
      <c r="I856" s="3" t="str">
        <f>"transcribed_unprocessed_pseudogene"</f>
        <v>transcribed_unprocessed_pseudogene</v>
      </c>
    </row>
    <row r="857" spans="1:9" x14ac:dyDescent="0.2">
      <c r="A857" s="3" t="str">
        <f>"ENSG00000152076.18"</f>
        <v>ENSG00000152076.18</v>
      </c>
      <c r="B857" s="3">
        <v>40.377091887273501</v>
      </c>
      <c r="C857" s="3">
        <v>2.6924022945133799</v>
      </c>
      <c r="D857" s="3">
        <v>0.601696168268814</v>
      </c>
      <c r="E857" s="3">
        <v>4.4746874527386504</v>
      </c>
      <c r="F857" s="4">
        <v>7.6523166394589702E-6</v>
      </c>
      <c r="G857" s="4">
        <v>5.56303819304532E-5</v>
      </c>
      <c r="H857" s="3" t="str">
        <f>"CCDC74B"</f>
        <v>CCDC74B</v>
      </c>
      <c r="I857" s="3" t="str">
        <f>"protein_coding"</f>
        <v>protein_coding</v>
      </c>
    </row>
    <row r="858" spans="1:9" x14ac:dyDescent="0.2">
      <c r="A858" s="3" t="str">
        <f>"ENSG00000136718.9"</f>
        <v>ENSG00000136718.9</v>
      </c>
      <c r="B858" s="3">
        <v>2289.1278277818101</v>
      </c>
      <c r="C858" s="3">
        <v>-1.5992780405882501</v>
      </c>
      <c r="D858" s="3">
        <v>0.195490606825902</v>
      </c>
      <c r="E858" s="3">
        <v>-8.1808433998699499</v>
      </c>
      <c r="F858" s="4">
        <v>2.8186401896350202E-16</v>
      </c>
      <c r="G858" s="4">
        <v>7.8849578282325799E-15</v>
      </c>
      <c r="H858" s="3" t="str">
        <f>"IMP4"</f>
        <v>IMP4</v>
      </c>
      <c r="I858" s="3" t="str">
        <f>"protein_coding"</f>
        <v>protein_coding</v>
      </c>
    </row>
    <row r="859" spans="1:9" x14ac:dyDescent="0.2">
      <c r="A859" s="3" t="str">
        <f>"ENSG00000072135.13"</f>
        <v>ENSG00000072135.13</v>
      </c>
      <c r="B859" s="3">
        <v>901.56136273273296</v>
      </c>
      <c r="C859" s="3">
        <v>-1.52267222965219</v>
      </c>
      <c r="D859" s="3">
        <v>0.20805115809904001</v>
      </c>
      <c r="E859" s="3">
        <v>-7.3187395040951797</v>
      </c>
      <c r="F859" s="4">
        <v>2.50310957464021E-13</v>
      </c>
      <c r="G859" s="4">
        <v>5.3408164902287996E-12</v>
      </c>
      <c r="H859" s="3" t="str">
        <f>"PTPN18"</f>
        <v>PTPN18</v>
      </c>
      <c r="I859" s="3" t="str">
        <f>"protein_coding"</f>
        <v>protein_coding</v>
      </c>
    </row>
    <row r="860" spans="1:9" x14ac:dyDescent="0.2">
      <c r="A860" s="3" t="str">
        <f>"ENSG00000178162.8"</f>
        <v>ENSG00000178162.8</v>
      </c>
      <c r="B860" s="3">
        <v>26.111050724973801</v>
      </c>
      <c r="C860" s="3">
        <v>3.0316396916582899</v>
      </c>
      <c r="D860" s="3">
        <v>0.75983347066964102</v>
      </c>
      <c r="E860" s="3">
        <v>3.9898738456289702</v>
      </c>
      <c r="F860" s="4">
        <v>6.6108446922068497E-5</v>
      </c>
      <c r="G860" s="3">
        <v>3.9354530331780601E-4</v>
      </c>
      <c r="H860" s="3" t="str">
        <f>"FAR2P2"</f>
        <v>FAR2P2</v>
      </c>
      <c r="I860" s="3" t="str">
        <f>"transcribed_unprocessed_pseudogene"</f>
        <v>transcribed_unprocessed_pseudogene</v>
      </c>
    </row>
    <row r="861" spans="1:9" x14ac:dyDescent="0.2">
      <c r="A861" s="3" t="str">
        <f>"ENSG00000196834.12"</f>
        <v>ENSG00000196834.12</v>
      </c>
      <c r="B861" s="3">
        <v>90.099613650064896</v>
      </c>
      <c r="C861" s="3">
        <v>2.0687181955948</v>
      </c>
      <c r="D861" s="3">
        <v>0.41282105106665601</v>
      </c>
      <c r="E861" s="3">
        <v>5.0111741885487699</v>
      </c>
      <c r="F861" s="4">
        <v>5.4098916872237E-7</v>
      </c>
      <c r="G861" s="4">
        <v>4.8583822940601202E-6</v>
      </c>
      <c r="H861" s="3" t="str">
        <f>"POTEI"</f>
        <v>POTEI</v>
      </c>
      <c r="I861" s="3" t="str">
        <f>"protein_coding"</f>
        <v>protein_coding</v>
      </c>
    </row>
    <row r="862" spans="1:9" x14ac:dyDescent="0.2">
      <c r="A862" s="3" t="str">
        <f>"ENSG00000240253.6"</f>
        <v>ENSG00000240253.6</v>
      </c>
      <c r="B862" s="3">
        <v>8.3430265555682208</v>
      </c>
      <c r="C862" s="3">
        <v>3.9119903423198901</v>
      </c>
      <c r="D862" s="3">
        <v>1.49828307324483</v>
      </c>
      <c r="E862" s="3">
        <v>2.6109821382735801</v>
      </c>
      <c r="F862" s="3">
        <v>9.0282609085866692E-3</v>
      </c>
      <c r="G862" s="3">
        <v>2.92257366016705E-2</v>
      </c>
      <c r="H862" s="3" t="str">
        <f>"FAR2P3"</f>
        <v>FAR2P3</v>
      </c>
      <c r="I862" s="3" t="str">
        <f>"transcribed_unprocessed_pseudogene"</f>
        <v>transcribed_unprocessed_pseudogene</v>
      </c>
    </row>
    <row r="863" spans="1:9" x14ac:dyDescent="0.2">
      <c r="A863" s="3" t="str">
        <f>"ENSG00000136002.18"</f>
        <v>ENSG00000136002.18</v>
      </c>
      <c r="B863" s="3">
        <v>89.173834501854003</v>
      </c>
      <c r="C863" s="3">
        <v>4.7969885722575096</v>
      </c>
      <c r="D863" s="3">
        <v>0.55740280733102099</v>
      </c>
      <c r="E863" s="3">
        <v>8.6059641414915902</v>
      </c>
      <c r="F863" s="4">
        <v>7.5677922829781501E-18</v>
      </c>
      <c r="G863" s="4">
        <v>2.4060634344726402E-16</v>
      </c>
      <c r="H863" s="3" t="str">
        <f>"ARHGEF4"</f>
        <v>ARHGEF4</v>
      </c>
      <c r="I863" s="3" t="str">
        <f>"protein_coding"</f>
        <v>protein_coding</v>
      </c>
    </row>
    <row r="864" spans="1:9" x14ac:dyDescent="0.2">
      <c r="A864" s="3" t="str">
        <f>"ENSG00000188219.14"</f>
        <v>ENSG00000188219.14</v>
      </c>
      <c r="B864" s="3">
        <v>324.08288967148002</v>
      </c>
      <c r="C864" s="3">
        <v>1.6797106668870601</v>
      </c>
      <c r="D864" s="3">
        <v>0.25453202912445799</v>
      </c>
      <c r="E864" s="3">
        <v>6.59921139459321</v>
      </c>
      <c r="F864" s="4">
        <v>4.1335056989128397E-11</v>
      </c>
      <c r="G864" s="4">
        <v>6.7928606621398204E-10</v>
      </c>
      <c r="H864" s="3" t="str">
        <f>"POTEE"</f>
        <v>POTEE</v>
      </c>
      <c r="I864" s="3" t="str">
        <f>"protein_coding"</f>
        <v>protein_coding</v>
      </c>
    </row>
    <row r="865" spans="1:9" x14ac:dyDescent="0.2">
      <c r="A865" s="3" t="str">
        <f>"ENSG00000231431.7"</f>
        <v>ENSG00000231431.7</v>
      </c>
      <c r="B865" s="3">
        <v>80.375868405953796</v>
      </c>
      <c r="C865" s="3">
        <v>1.9802041446058001</v>
      </c>
      <c r="D865" s="3">
        <v>0.41801075144436101</v>
      </c>
      <c r="E865" s="3">
        <v>4.7372086429919804</v>
      </c>
      <c r="F865" s="4">
        <v>2.1668205225600199E-6</v>
      </c>
      <c r="G865" s="4">
        <v>1.7508706636474699E-5</v>
      </c>
      <c r="H865" s="3" t="str">
        <f>"FAR2P4"</f>
        <v>FAR2P4</v>
      </c>
      <c r="I865" s="3" t="str">
        <f>"transcribed_unprocessed_pseudogene"</f>
        <v>transcribed_unprocessed_pseudogene</v>
      </c>
    </row>
    <row r="866" spans="1:9" x14ac:dyDescent="0.2">
      <c r="A866" s="3" t="str">
        <f>"ENSG00000163040.14"</f>
        <v>ENSG00000163040.14</v>
      </c>
      <c r="B866" s="3">
        <v>67.903296268208393</v>
      </c>
      <c r="C866" s="3">
        <v>3.5273338840598898</v>
      </c>
      <c r="D866" s="3">
        <v>0.52056259606532296</v>
      </c>
      <c r="E866" s="3">
        <v>6.7760033293234496</v>
      </c>
      <c r="F866" s="4">
        <v>1.2354583261251701E-11</v>
      </c>
      <c r="G866" s="4">
        <v>2.15509174212115E-10</v>
      </c>
      <c r="H866" s="3" t="str">
        <f>"CCDC74A"</f>
        <v>CCDC74A</v>
      </c>
      <c r="I866" s="3" t="str">
        <f>"protein_coding"</f>
        <v>protein_coding</v>
      </c>
    </row>
    <row r="867" spans="1:9" x14ac:dyDescent="0.2">
      <c r="A867" s="3" t="str">
        <f>"ENSG00000286208.1"</f>
        <v>ENSG00000286208.1</v>
      </c>
      <c r="B867" s="3">
        <v>74.534478406282304</v>
      </c>
      <c r="C867" s="3">
        <v>6.1518232011306599</v>
      </c>
      <c r="D867" s="3">
        <v>0.83457851039346798</v>
      </c>
      <c r="E867" s="3">
        <v>7.3711737416176</v>
      </c>
      <c r="F867" s="4">
        <v>1.6913224748470301E-13</v>
      </c>
      <c r="G867" s="4">
        <v>3.6902908047614201E-12</v>
      </c>
      <c r="H867" s="3" t="str">
        <f>"AC093838.2"</f>
        <v>AC093838.2</v>
      </c>
      <c r="I867" s="3" t="str">
        <f>"lincRNA"</f>
        <v>lincRNA</v>
      </c>
    </row>
    <row r="868" spans="1:9" x14ac:dyDescent="0.2">
      <c r="A868" s="3" t="str">
        <f>"ENSG00000204434.5"</f>
        <v>ENSG00000204434.5</v>
      </c>
      <c r="B868" s="3">
        <v>33.811052969936199</v>
      </c>
      <c r="C868" s="3">
        <v>5.4129338389542099</v>
      </c>
      <c r="D868" s="3">
        <v>1.00227097323294</v>
      </c>
      <c r="E868" s="3">
        <v>5.4006690640697403</v>
      </c>
      <c r="F868" s="4">
        <v>6.6392806612841098E-8</v>
      </c>
      <c r="G868" s="4">
        <v>6.9550357623224903E-7</v>
      </c>
      <c r="H868" s="3" t="str">
        <f>"POTEKP"</f>
        <v>POTEKP</v>
      </c>
      <c r="I868" s="3" t="str">
        <f>"unprocessed_pseudogene"</f>
        <v>unprocessed_pseudogene</v>
      </c>
    </row>
    <row r="869" spans="1:9" x14ac:dyDescent="0.2">
      <c r="A869" s="3" t="str">
        <f>"ENSG00000273588.1"</f>
        <v>ENSG00000273588.1</v>
      </c>
      <c r="B869" s="3">
        <v>8.3254087723983794</v>
      </c>
      <c r="C869" s="3">
        <v>4.9648295555705397</v>
      </c>
      <c r="D869" s="3">
        <v>1.81899341455278</v>
      </c>
      <c r="E869" s="3">
        <v>2.7294378945243198</v>
      </c>
      <c r="F869" s="3">
        <v>6.3442397860513904E-3</v>
      </c>
      <c r="G869" s="3">
        <v>2.17026367169545E-2</v>
      </c>
      <c r="H869" s="3" t="str">
        <f>"AC093838.1"</f>
        <v>AC093838.1</v>
      </c>
      <c r="I869" s="3" t="str">
        <f>"unprocessed_pseudogene"</f>
        <v>unprocessed_pseudogene</v>
      </c>
    </row>
    <row r="870" spans="1:9" x14ac:dyDescent="0.2">
      <c r="A870" s="3" t="str">
        <f>"ENSG00000224559.2"</f>
        <v>ENSG00000224559.2</v>
      </c>
      <c r="B870" s="3">
        <v>31.0061076283896</v>
      </c>
      <c r="C870" s="3">
        <v>6.8956128718235004</v>
      </c>
      <c r="D870" s="3">
        <v>1.55495774546127</v>
      </c>
      <c r="E870" s="3">
        <v>4.4345982339076198</v>
      </c>
      <c r="F870" s="4">
        <v>9.2244151862535601E-6</v>
      </c>
      <c r="G870" s="4">
        <v>6.6158894598539303E-5</v>
      </c>
      <c r="H870" s="3" t="str">
        <f>"LINC01087"</f>
        <v>LINC01087</v>
      </c>
      <c r="I870" s="3" t="str">
        <f>"lincRNA"</f>
        <v>lincRNA</v>
      </c>
    </row>
    <row r="871" spans="1:9" x14ac:dyDescent="0.2">
      <c r="A871" s="3" t="str">
        <f>"ENSG00000183840.7"</f>
        <v>ENSG00000183840.7</v>
      </c>
      <c r="B871" s="3">
        <v>73.413446440861605</v>
      </c>
      <c r="C871" s="3">
        <v>1.3754848701476601</v>
      </c>
      <c r="D871" s="3">
        <v>0.43402367251686103</v>
      </c>
      <c r="E871" s="3">
        <v>3.16914711626525</v>
      </c>
      <c r="F871" s="3">
        <v>1.5288698727320201E-3</v>
      </c>
      <c r="G871" s="3">
        <v>6.3844440909560504E-3</v>
      </c>
      <c r="H871" s="3" t="str">
        <f>"GPR39"</f>
        <v>GPR39</v>
      </c>
      <c r="I871" s="3" t="str">
        <f t="shared" ref="I871:I877" si="34">"protein_coding"</f>
        <v>protein_coding</v>
      </c>
    </row>
    <row r="872" spans="1:9" x14ac:dyDescent="0.2">
      <c r="A872" s="3" t="str">
        <f>"ENSG00000176771.17"</f>
        <v>ENSG00000176771.17</v>
      </c>
      <c r="B872" s="3">
        <v>17.4749834338486</v>
      </c>
      <c r="C872" s="3">
        <v>4.4363547931021099</v>
      </c>
      <c r="D872" s="3">
        <v>1.1383159391691799</v>
      </c>
      <c r="E872" s="3">
        <v>3.8972965592839302</v>
      </c>
      <c r="F872" s="4">
        <v>9.7272475626702397E-5</v>
      </c>
      <c r="G872" s="3">
        <v>5.5856336004230997E-4</v>
      </c>
      <c r="H872" s="3" t="str">
        <f>"NCKAP5"</f>
        <v>NCKAP5</v>
      </c>
      <c r="I872" s="3" t="str">
        <f t="shared" si="34"/>
        <v>protein_coding</v>
      </c>
    </row>
    <row r="873" spans="1:9" x14ac:dyDescent="0.2">
      <c r="A873" s="3" t="str">
        <f>"ENSG00000152127.9"</f>
        <v>ENSG00000152127.9</v>
      </c>
      <c r="B873" s="3">
        <v>6363.86450698096</v>
      </c>
      <c r="C873" s="3">
        <v>-1.3911349046513699</v>
      </c>
      <c r="D873" s="3">
        <v>0.176231858400791</v>
      </c>
      <c r="E873" s="3">
        <v>-7.8937765128006196</v>
      </c>
      <c r="F873" s="4">
        <v>2.9317696683055701E-15</v>
      </c>
      <c r="G873" s="4">
        <v>7.5077000143159603E-14</v>
      </c>
      <c r="H873" s="3" t="str">
        <f>"MGAT5"</f>
        <v>MGAT5</v>
      </c>
      <c r="I873" s="3" t="str">
        <f t="shared" si="34"/>
        <v>protein_coding</v>
      </c>
    </row>
    <row r="874" spans="1:9" x14ac:dyDescent="0.2">
      <c r="A874" s="3" t="str">
        <f>"ENSG00000152128.13"</f>
        <v>ENSG00000152128.13</v>
      </c>
      <c r="B874" s="3">
        <v>7.92967087984462</v>
      </c>
      <c r="C874" s="3">
        <v>3.8425499193354402</v>
      </c>
      <c r="D874" s="3">
        <v>1.48861607842969</v>
      </c>
      <c r="E874" s="3">
        <v>2.5812900821203399</v>
      </c>
      <c r="F874" s="3">
        <v>9.8431833520355103E-3</v>
      </c>
      <c r="G874" s="3">
        <v>3.1379105743876402E-2</v>
      </c>
      <c r="H874" s="3" t="str">
        <f>"TMEM163"</f>
        <v>TMEM163</v>
      </c>
      <c r="I874" s="3" t="str">
        <f t="shared" si="34"/>
        <v>protein_coding</v>
      </c>
    </row>
    <row r="875" spans="1:9" x14ac:dyDescent="0.2">
      <c r="A875" s="3" t="str">
        <f>"ENSG00000176601.12"</f>
        <v>ENSG00000176601.12</v>
      </c>
      <c r="B875" s="3">
        <v>9.2551152865350499</v>
      </c>
      <c r="C875" s="3">
        <v>5.12013698084019</v>
      </c>
      <c r="D875" s="3">
        <v>1.76679203542103</v>
      </c>
      <c r="E875" s="3">
        <v>2.8979850928635398</v>
      </c>
      <c r="F875" s="3">
        <v>3.7556844038140699E-3</v>
      </c>
      <c r="G875" s="3">
        <v>1.38980215877661E-2</v>
      </c>
      <c r="H875" s="3" t="str">
        <f>"MAP3K19"</f>
        <v>MAP3K19</v>
      </c>
      <c r="I875" s="3" t="str">
        <f t="shared" si="34"/>
        <v>protein_coding</v>
      </c>
    </row>
    <row r="876" spans="1:9" x14ac:dyDescent="0.2">
      <c r="A876" s="3" t="str">
        <f>"ENSG00000115850.10"</f>
        <v>ENSG00000115850.10</v>
      </c>
      <c r="B876" s="3">
        <v>15.3041261929316</v>
      </c>
      <c r="C876" s="3">
        <v>2.6821107594044502</v>
      </c>
      <c r="D876" s="3">
        <v>0.950656382913735</v>
      </c>
      <c r="E876" s="3">
        <v>2.8213251471408198</v>
      </c>
      <c r="F876" s="3">
        <v>4.7825701486887201E-3</v>
      </c>
      <c r="G876" s="3">
        <v>1.7077316805142299E-2</v>
      </c>
      <c r="H876" s="3" t="str">
        <f>"LCT"</f>
        <v>LCT</v>
      </c>
      <c r="I876" s="3" t="str">
        <f t="shared" si="34"/>
        <v>protein_coding</v>
      </c>
    </row>
    <row r="877" spans="1:9" x14ac:dyDescent="0.2">
      <c r="A877" s="3" t="str">
        <f>"ENSG00000076003.5"</f>
        <v>ENSG00000076003.5</v>
      </c>
      <c r="B877" s="3">
        <v>1182.8796003188399</v>
      </c>
      <c r="C877" s="3">
        <v>-2.81004993321022</v>
      </c>
      <c r="D877" s="3">
        <v>0.20252624271894501</v>
      </c>
      <c r="E877" s="3">
        <v>-13.8749916824846</v>
      </c>
      <c r="F877" s="4">
        <v>8.9803511184293791E-44</v>
      </c>
      <c r="G877" s="4">
        <v>1.43092179487629E-41</v>
      </c>
      <c r="H877" s="3" t="str">
        <f>"MCM6"</f>
        <v>MCM6</v>
      </c>
      <c r="I877" s="3" t="str">
        <f t="shared" si="34"/>
        <v>protein_coding</v>
      </c>
    </row>
    <row r="878" spans="1:9" x14ac:dyDescent="0.2">
      <c r="A878" s="3" t="str">
        <f>"ENSG00000231890.7"</f>
        <v>ENSG00000231890.7</v>
      </c>
      <c r="B878" s="3">
        <v>157.93775231567301</v>
      </c>
      <c r="C878" s="3">
        <v>1.60867880356459</v>
      </c>
      <c r="D878" s="3">
        <v>0.33354425774942797</v>
      </c>
      <c r="E878" s="3">
        <v>4.8229845550904198</v>
      </c>
      <c r="F878" s="4">
        <v>1.41425925747988E-6</v>
      </c>
      <c r="G878" s="4">
        <v>1.18167194077136E-5</v>
      </c>
      <c r="H878" s="3" t="str">
        <f>"DARS-AS1"</f>
        <v>DARS-AS1</v>
      </c>
      <c r="I878" s="3" t="str">
        <f>"antisense"</f>
        <v>antisense</v>
      </c>
    </row>
    <row r="879" spans="1:9" x14ac:dyDescent="0.2">
      <c r="A879" s="3" t="str">
        <f>"ENSG00000144229.12"</f>
        <v>ENSG00000144229.12</v>
      </c>
      <c r="B879" s="3">
        <v>15.1194639738699</v>
      </c>
      <c r="C879" s="3">
        <v>7.3131367624703296</v>
      </c>
      <c r="D879" s="3">
        <v>1.66629322784528</v>
      </c>
      <c r="E879" s="3">
        <v>4.3888654411247296</v>
      </c>
      <c r="F879" s="4">
        <v>1.13943539280509E-5</v>
      </c>
      <c r="G879" s="4">
        <v>7.9933563717199705E-5</v>
      </c>
      <c r="H879" s="3" t="str">
        <f>"THSD7B"</f>
        <v>THSD7B</v>
      </c>
      <c r="I879" s="3" t="str">
        <f>"protein_coding"</f>
        <v>protein_coding</v>
      </c>
    </row>
    <row r="880" spans="1:9" x14ac:dyDescent="0.2">
      <c r="A880" s="3" t="str">
        <f>"ENSG00000230569.1"</f>
        <v>ENSG00000230569.1</v>
      </c>
      <c r="B880" s="3">
        <v>4.1490100698739001</v>
      </c>
      <c r="C880" s="3">
        <v>5.4528452321004099</v>
      </c>
      <c r="D880" s="3">
        <v>2.14831681779456</v>
      </c>
      <c r="E880" s="3">
        <v>2.5381941745902501</v>
      </c>
      <c r="F880" s="3">
        <v>1.11426142424134E-2</v>
      </c>
      <c r="G880" s="3">
        <v>3.48648151427466E-2</v>
      </c>
      <c r="H880" s="3" t="str">
        <f>"AC114763.2"</f>
        <v>AC114763.2</v>
      </c>
      <c r="I880" s="3" t="str">
        <f>"lincRNA"</f>
        <v>lincRNA</v>
      </c>
    </row>
    <row r="881" spans="1:9" x14ac:dyDescent="0.2">
      <c r="A881" s="3" t="str">
        <f>"ENSG00000241772.2"</f>
        <v>ENSG00000241772.2</v>
      </c>
      <c r="B881" s="3">
        <v>68.719370820545905</v>
      </c>
      <c r="C881" s="3">
        <v>1.0402473265877199</v>
      </c>
      <c r="D881" s="3">
        <v>0.43217231893179398</v>
      </c>
      <c r="E881" s="3">
        <v>2.4070197951569701</v>
      </c>
      <c r="F881" s="3">
        <v>1.6083298070010001E-2</v>
      </c>
      <c r="G881" s="3">
        <v>4.71814839054224E-2</v>
      </c>
      <c r="H881" s="3" t="str">
        <f>"AC092620.1"</f>
        <v>AC092620.1</v>
      </c>
      <c r="I881" s="3" t="str">
        <f>"3prime_overlapping_ncRNA"</f>
        <v>3prime_overlapping_ncRNA</v>
      </c>
    </row>
    <row r="882" spans="1:9" x14ac:dyDescent="0.2">
      <c r="A882" s="3" t="str">
        <f>"ENSG00000168702.17"</f>
        <v>ENSG00000168702.17</v>
      </c>
      <c r="B882" s="3">
        <v>31.029081405118401</v>
      </c>
      <c r="C882" s="3">
        <v>2.3128263237448401</v>
      </c>
      <c r="D882" s="3">
        <v>0.71243172789706499</v>
      </c>
      <c r="E882" s="3">
        <v>3.2463831033631401</v>
      </c>
      <c r="F882" s="3">
        <v>1.1688143733379901E-3</v>
      </c>
      <c r="G882" s="3">
        <v>5.0574377053104903E-3</v>
      </c>
      <c r="H882" s="3" t="str">
        <f>"LRP1B"</f>
        <v>LRP1B</v>
      </c>
      <c r="I882" s="3" t="str">
        <f>"protein_coding"</f>
        <v>protein_coding</v>
      </c>
    </row>
    <row r="883" spans="1:9" x14ac:dyDescent="0.2">
      <c r="A883" s="3" t="str">
        <f>"ENSG00000226674.10"</f>
        <v>ENSG00000226674.10</v>
      </c>
      <c r="B883" s="3">
        <v>14.4280209299889</v>
      </c>
      <c r="C883" s="3">
        <v>3.6960712755779301</v>
      </c>
      <c r="D883" s="3">
        <v>1.09012870513547</v>
      </c>
      <c r="E883" s="3">
        <v>3.3904907357876</v>
      </c>
      <c r="F883" s="3">
        <v>6.9767612511316196E-4</v>
      </c>
      <c r="G883" s="3">
        <v>3.2290778632509498E-3</v>
      </c>
      <c r="H883" s="3" t="str">
        <f>"TEX41"</f>
        <v>TEX41</v>
      </c>
      <c r="I883" s="3" t="str">
        <f>"lincRNA"</f>
        <v>lincRNA</v>
      </c>
    </row>
    <row r="884" spans="1:9" x14ac:dyDescent="0.2">
      <c r="A884" s="3" t="str">
        <f>"ENSG00000281469.1"</f>
        <v>ENSG00000281469.1</v>
      </c>
      <c r="B884" s="3">
        <v>98.178613093227995</v>
      </c>
      <c r="C884" s="3">
        <v>1.23923480934541</v>
      </c>
      <c r="D884" s="3">
        <v>0.37689581616364898</v>
      </c>
      <c r="E884" s="3">
        <v>3.2880036238113401</v>
      </c>
      <c r="F884" s="3">
        <v>1.00900540700061E-3</v>
      </c>
      <c r="G884" s="3">
        <v>4.4550916098761301E-3</v>
      </c>
      <c r="H884" s="3" t="str">
        <f>"AC019226.1"</f>
        <v>AC019226.1</v>
      </c>
      <c r="I884" s="3" t="str">
        <f>"TEC"</f>
        <v>TEC</v>
      </c>
    </row>
    <row r="885" spans="1:9" x14ac:dyDescent="0.2">
      <c r="A885" s="3" t="str">
        <f>"ENSG00000168280.17"</f>
        <v>ENSG00000168280.17</v>
      </c>
      <c r="B885" s="3">
        <v>79.896655464331204</v>
      </c>
      <c r="C885" s="3">
        <v>2.9761095106019102</v>
      </c>
      <c r="D885" s="3">
        <v>0.46601456628578197</v>
      </c>
      <c r="E885" s="3">
        <v>6.3863014719089701</v>
      </c>
      <c r="F885" s="4">
        <v>1.69945812529525E-10</v>
      </c>
      <c r="G885" s="4">
        <v>2.55970898507018E-9</v>
      </c>
      <c r="H885" s="3" t="str">
        <f>"KIF5C"</f>
        <v>KIF5C</v>
      </c>
      <c r="I885" s="3" t="str">
        <f>"protein_coding"</f>
        <v>protein_coding</v>
      </c>
    </row>
    <row r="886" spans="1:9" x14ac:dyDescent="0.2">
      <c r="A886" s="3" t="str">
        <f>"ENSG00000115963.13"</f>
        <v>ENSG00000115963.13</v>
      </c>
      <c r="B886" s="3">
        <v>48.762075699379203</v>
      </c>
      <c r="C886" s="3">
        <v>2.8498788231888899</v>
      </c>
      <c r="D886" s="3">
        <v>0.55838850529881701</v>
      </c>
      <c r="E886" s="3">
        <v>5.1037562488214299</v>
      </c>
      <c r="F886" s="4">
        <v>3.3297711075920601E-7</v>
      </c>
      <c r="G886" s="4">
        <v>3.0936502380317301E-6</v>
      </c>
      <c r="H886" s="3" t="str">
        <f>"RND3"</f>
        <v>RND3</v>
      </c>
      <c r="I886" s="3" t="str">
        <f>"protein_coding"</f>
        <v>protein_coding</v>
      </c>
    </row>
    <row r="887" spans="1:9" x14ac:dyDescent="0.2">
      <c r="A887" s="3" t="str">
        <f>"ENSG00000184898.7"</f>
        <v>ENSG00000184898.7</v>
      </c>
      <c r="B887" s="3">
        <v>36.181655904044597</v>
      </c>
      <c r="C887" s="3">
        <v>2.4203352770353099</v>
      </c>
      <c r="D887" s="3">
        <v>0.635054611873755</v>
      </c>
      <c r="E887" s="3">
        <v>3.8112238408819801</v>
      </c>
      <c r="F887" s="3">
        <v>1.3828047956245199E-4</v>
      </c>
      <c r="G887" s="3">
        <v>7.6657746218476805E-4</v>
      </c>
      <c r="H887" s="3" t="str">
        <f>"RBM43"</f>
        <v>RBM43</v>
      </c>
      <c r="I887" s="3" t="str">
        <f>"protein_coding"</f>
        <v>protein_coding</v>
      </c>
    </row>
    <row r="888" spans="1:9" x14ac:dyDescent="0.2">
      <c r="A888" s="3" t="str">
        <f>"ENSG00000183091.19"</f>
        <v>ENSG00000183091.19</v>
      </c>
      <c r="B888" s="3">
        <v>220.88003725892801</v>
      </c>
      <c r="C888" s="3">
        <v>4.9391400216020296</v>
      </c>
      <c r="D888" s="3">
        <v>0.39741892088477598</v>
      </c>
      <c r="E888" s="3">
        <v>12.428044469060501</v>
      </c>
      <c r="F888" s="4">
        <v>1.8408251789507099E-35</v>
      </c>
      <c r="G888" s="4">
        <v>1.98248868185257E-33</v>
      </c>
      <c r="H888" s="3" t="str">
        <f>"NEB"</f>
        <v>NEB</v>
      </c>
      <c r="I888" s="3" t="str">
        <f>"protein_coding"</f>
        <v>protein_coding</v>
      </c>
    </row>
    <row r="889" spans="1:9" x14ac:dyDescent="0.2">
      <c r="A889" s="3" t="str">
        <f>"ENSG00000286207.1"</f>
        <v>ENSG00000286207.1</v>
      </c>
      <c r="B889" s="3">
        <v>44.300494348342099</v>
      </c>
      <c r="C889" s="3">
        <v>2.1732487945480101</v>
      </c>
      <c r="D889" s="3">
        <v>0.57418278850646198</v>
      </c>
      <c r="E889" s="3">
        <v>3.7849424226054702</v>
      </c>
      <c r="F889" s="3">
        <v>1.5374416940525099E-4</v>
      </c>
      <c r="G889" s="3">
        <v>8.4337978332693305E-4</v>
      </c>
      <c r="H889" s="3" t="str">
        <f>"AC012443.2"</f>
        <v>AC012443.2</v>
      </c>
      <c r="I889" s="3" t="str">
        <f>"antisense"</f>
        <v>antisense</v>
      </c>
    </row>
    <row r="890" spans="1:9" x14ac:dyDescent="0.2">
      <c r="A890" s="3" t="str">
        <f>"ENSG00000177917.10"</f>
        <v>ENSG00000177917.10</v>
      </c>
      <c r="B890" s="3">
        <v>963.06393436279802</v>
      </c>
      <c r="C890" s="3">
        <v>-1.3916932267566</v>
      </c>
      <c r="D890" s="3">
        <v>0.20074702478374201</v>
      </c>
      <c r="E890" s="3">
        <v>-6.93257211784747</v>
      </c>
      <c r="F890" s="4">
        <v>4.1325674715559901E-12</v>
      </c>
      <c r="G890" s="4">
        <v>7.5824960200327296E-11</v>
      </c>
      <c r="H890" s="3" t="str">
        <f>"ARL6IP6"</f>
        <v>ARL6IP6</v>
      </c>
      <c r="I890" s="3" t="str">
        <f>"protein_coding"</f>
        <v>protein_coding</v>
      </c>
    </row>
    <row r="891" spans="1:9" x14ac:dyDescent="0.2">
      <c r="A891" s="3" t="str">
        <f>"ENSG00000227708.1"</f>
        <v>ENSG00000227708.1</v>
      </c>
      <c r="B891" s="3">
        <v>3.99804606990114</v>
      </c>
      <c r="C891" s="3">
        <v>5.3893862680552003</v>
      </c>
      <c r="D891" s="3">
        <v>2.2133155660063202</v>
      </c>
      <c r="E891" s="3">
        <v>2.4349832219269798</v>
      </c>
      <c r="F891" s="3">
        <v>1.4892480221028299E-2</v>
      </c>
      <c r="G891" s="3">
        <v>4.42744581104592E-2</v>
      </c>
      <c r="H891" s="3" t="str">
        <f>"LINC01850"</f>
        <v>LINC01850</v>
      </c>
      <c r="I891" s="3" t="str">
        <f>"lincRNA"</f>
        <v>lincRNA</v>
      </c>
    </row>
    <row r="892" spans="1:9" x14ac:dyDescent="0.2">
      <c r="A892" s="3" t="str">
        <f>"ENSG00000144278.15"</f>
        <v>ENSG00000144278.15</v>
      </c>
      <c r="B892" s="3">
        <v>122.424384390811</v>
      </c>
      <c r="C892" s="3">
        <v>-1.0150598328761899</v>
      </c>
      <c r="D892" s="3">
        <v>0.34229775267969398</v>
      </c>
      <c r="E892" s="3">
        <v>-2.9654294395149998</v>
      </c>
      <c r="F892" s="3">
        <v>3.0226067403949898E-3</v>
      </c>
      <c r="G892" s="3">
        <v>1.1531358982853899E-2</v>
      </c>
      <c r="H892" s="3" t="str">
        <f>"GALNT13"</f>
        <v>GALNT13</v>
      </c>
      <c r="I892" s="3" t="str">
        <f>"protein_coding"</f>
        <v>protein_coding</v>
      </c>
    </row>
    <row r="893" spans="1:9" x14ac:dyDescent="0.2">
      <c r="A893" s="3" t="str">
        <f>"ENSG00000162989.5"</f>
        <v>ENSG00000162989.5</v>
      </c>
      <c r="B893" s="3">
        <v>5.0277419563543804</v>
      </c>
      <c r="C893" s="3">
        <v>5.7249864720364698</v>
      </c>
      <c r="D893" s="3">
        <v>2.0292551541625601</v>
      </c>
      <c r="E893" s="3">
        <v>2.82122554193983</v>
      </c>
      <c r="F893" s="3">
        <v>4.7840554620197E-3</v>
      </c>
      <c r="G893" s="3">
        <v>1.7077316805142299E-2</v>
      </c>
      <c r="H893" s="3" t="str">
        <f>"KCNJ3"</f>
        <v>KCNJ3</v>
      </c>
      <c r="I893" s="3" t="str">
        <f>"protein_coding"</f>
        <v>protein_coding</v>
      </c>
    </row>
    <row r="894" spans="1:9" x14ac:dyDescent="0.2">
      <c r="A894" s="3" t="str">
        <f>"ENSG00000115159.16"</f>
        <v>ENSG00000115159.16</v>
      </c>
      <c r="B894" s="3">
        <v>8.5517302423050108</v>
      </c>
      <c r="C894" s="3">
        <v>3.9562146361555302</v>
      </c>
      <c r="D894" s="3">
        <v>1.4769578512629999</v>
      </c>
      <c r="E894" s="3">
        <v>2.6786239246925301</v>
      </c>
      <c r="F894" s="3">
        <v>7.3925371106341202E-3</v>
      </c>
      <c r="G894" s="3">
        <v>2.46571745199471E-2</v>
      </c>
      <c r="H894" s="3" t="str">
        <f>"GPD2"</f>
        <v>GPD2</v>
      </c>
      <c r="I894" s="3" t="str">
        <f>"protein_coding"</f>
        <v>protein_coding</v>
      </c>
    </row>
    <row r="895" spans="1:9" x14ac:dyDescent="0.2">
      <c r="A895" s="3" t="str">
        <f>"ENSG00000283436.1"</f>
        <v>ENSG00000283436.1</v>
      </c>
      <c r="B895" s="3">
        <v>7.0086459389015801</v>
      </c>
      <c r="C895" s="3">
        <v>6.2030126340395801</v>
      </c>
      <c r="D895" s="3">
        <v>1.8887047567333499</v>
      </c>
      <c r="E895" s="3">
        <v>3.28426802120631</v>
      </c>
      <c r="F895" s="3">
        <v>1.02247634261809E-3</v>
      </c>
      <c r="G895" s="3">
        <v>4.5056187300167401E-3</v>
      </c>
      <c r="H895" s="3" t="str">
        <f>"LINC01958"</f>
        <v>LINC01958</v>
      </c>
      <c r="I895" s="3" t="str">
        <f>"lincRNA"</f>
        <v>lincRNA</v>
      </c>
    </row>
    <row r="896" spans="1:9" x14ac:dyDescent="0.2">
      <c r="A896" s="3" t="str">
        <f>"ENSG00000007001.12"</f>
        <v>ENSG00000007001.12</v>
      </c>
      <c r="B896" s="3">
        <v>5.8702357380281196</v>
      </c>
      <c r="C896" s="3">
        <v>5.9458397538104899</v>
      </c>
      <c r="D896" s="3">
        <v>1.9746359248366601</v>
      </c>
      <c r="E896" s="3">
        <v>3.0111068471026199</v>
      </c>
      <c r="F896" s="3">
        <v>2.6029724114652701E-3</v>
      </c>
      <c r="G896" s="3">
        <v>1.0113102708568999E-2</v>
      </c>
      <c r="H896" s="3" t="str">
        <f>"UPP2"</f>
        <v>UPP2</v>
      </c>
      <c r="I896" s="3" t="str">
        <f>"protein_coding"</f>
        <v>protein_coding</v>
      </c>
    </row>
    <row r="897" spans="1:9" x14ac:dyDescent="0.2">
      <c r="A897" s="3" t="str">
        <f>"ENSG00000144283.21"</f>
        <v>ENSG00000144283.21</v>
      </c>
      <c r="B897" s="3">
        <v>5453.8549982462901</v>
      </c>
      <c r="C897" s="3">
        <v>-1.19367849869603</v>
      </c>
      <c r="D897" s="3">
        <v>0.171754780782609</v>
      </c>
      <c r="E897" s="3">
        <v>-6.9498996956997701</v>
      </c>
      <c r="F897" s="4">
        <v>3.6554602271220204E-12</v>
      </c>
      <c r="G897" s="4">
        <v>6.7434207724030995E-11</v>
      </c>
      <c r="H897" s="3" t="str">
        <f>"PKP4"</f>
        <v>PKP4</v>
      </c>
      <c r="I897" s="3" t="str">
        <f>"protein_coding"</f>
        <v>protein_coding</v>
      </c>
    </row>
    <row r="898" spans="1:9" x14ac:dyDescent="0.2">
      <c r="A898" s="3" t="str">
        <f>"ENSG00000204380.4"</f>
        <v>ENSG00000204380.4</v>
      </c>
      <c r="B898" s="3">
        <v>22.746583482137002</v>
      </c>
      <c r="C898" s="3">
        <v>3.3169245817487298</v>
      </c>
      <c r="D898" s="3">
        <v>0.84890651873362399</v>
      </c>
      <c r="E898" s="3">
        <v>3.90729074232677</v>
      </c>
      <c r="F898" s="4">
        <v>9.3336815999000997E-5</v>
      </c>
      <c r="G898" s="3">
        <v>5.3846034840668701E-4</v>
      </c>
      <c r="H898" s="3" t="str">
        <f>"PKP4-AS1"</f>
        <v>PKP4-AS1</v>
      </c>
      <c r="I898" s="3" t="str">
        <f>"antisense"</f>
        <v>antisense</v>
      </c>
    </row>
    <row r="899" spans="1:9" x14ac:dyDescent="0.2">
      <c r="A899" s="3" t="str">
        <f>"ENSG00000228586.1"</f>
        <v>ENSG00000228586.1</v>
      </c>
      <c r="B899" s="3">
        <v>23.559430742471701</v>
      </c>
      <c r="C899" s="3">
        <v>7.9528719774355299</v>
      </c>
      <c r="D899" s="3">
        <v>1.59480172946457</v>
      </c>
      <c r="E899" s="3">
        <v>4.9867465218423099</v>
      </c>
      <c r="F899" s="4">
        <v>6.1404541368420405E-7</v>
      </c>
      <c r="G899" s="4">
        <v>5.4480284554391101E-6</v>
      </c>
      <c r="H899" s="3" t="str">
        <f>"AC005042.2"</f>
        <v>AC005042.2</v>
      </c>
      <c r="I899" s="3" t="str">
        <f>"lincRNA"</f>
        <v>lincRNA</v>
      </c>
    </row>
    <row r="900" spans="1:9" x14ac:dyDescent="0.2">
      <c r="A900" s="3" t="str">
        <f>"ENSG00000231675.1"</f>
        <v>ENSG00000231675.1</v>
      </c>
      <c r="B900" s="3">
        <v>9.6508531790888092</v>
      </c>
      <c r="C900" s="3">
        <v>6.6647636720749102</v>
      </c>
      <c r="D900" s="3">
        <v>1.7793306056818099</v>
      </c>
      <c r="E900" s="3">
        <v>3.7456578618907401</v>
      </c>
      <c r="F900" s="3">
        <v>1.79921664435083E-4</v>
      </c>
      <c r="G900" s="3">
        <v>9.6960553616746504E-4</v>
      </c>
      <c r="H900" s="3" t="str">
        <f>"AC005042.3"</f>
        <v>AC005042.3</v>
      </c>
      <c r="I900" s="3" t="str">
        <f>"processed_pseudogene"</f>
        <v>processed_pseudogene</v>
      </c>
    </row>
    <row r="901" spans="1:9" x14ac:dyDescent="0.2">
      <c r="A901" s="3" t="str">
        <f>"ENSG00000054219.11"</f>
        <v>ENSG00000054219.11</v>
      </c>
      <c r="B901" s="3">
        <v>4.6985932227208096</v>
      </c>
      <c r="C901" s="3">
        <v>5.62982837124685</v>
      </c>
      <c r="D901" s="3">
        <v>2.0642529017708502</v>
      </c>
      <c r="E901" s="3">
        <v>2.7272958494655399</v>
      </c>
      <c r="F901" s="3">
        <v>6.3855757645927104E-3</v>
      </c>
      <c r="G901" s="3">
        <v>2.1811179999731398E-2</v>
      </c>
      <c r="H901" s="3" t="str">
        <f>"LY75"</f>
        <v>LY75</v>
      </c>
      <c r="I901" s="3" t="str">
        <f>"protein_coding"</f>
        <v>protein_coding</v>
      </c>
    </row>
    <row r="902" spans="1:9" x14ac:dyDescent="0.2">
      <c r="A902" s="3" t="str">
        <f>"ENSG00000153246.13"</f>
        <v>ENSG00000153246.13</v>
      </c>
      <c r="B902" s="3">
        <v>15.7445724956132</v>
      </c>
      <c r="C902" s="3">
        <v>4.87983055252288</v>
      </c>
      <c r="D902" s="3">
        <v>1.2991747924727</v>
      </c>
      <c r="E902" s="3">
        <v>3.7561000881453301</v>
      </c>
      <c r="F902" s="3">
        <v>1.7258169585134499E-4</v>
      </c>
      <c r="G902" s="3">
        <v>9.3337305813052799E-4</v>
      </c>
      <c r="H902" s="3" t="str">
        <f>"PLA2R1"</f>
        <v>PLA2R1</v>
      </c>
      <c r="I902" s="3" t="str">
        <f>"protein_coding"</f>
        <v>protein_coding</v>
      </c>
    </row>
    <row r="903" spans="1:9" x14ac:dyDescent="0.2">
      <c r="A903" s="3" t="str">
        <f>"ENSG00000144290.17"</f>
        <v>ENSG00000144290.17</v>
      </c>
      <c r="B903" s="3">
        <v>13.944815668189699</v>
      </c>
      <c r="C903" s="3">
        <v>7.1962260949161596</v>
      </c>
      <c r="D903" s="3">
        <v>1.68401263833697</v>
      </c>
      <c r="E903" s="3">
        <v>4.2732613349165396</v>
      </c>
      <c r="F903" s="4">
        <v>1.9263445827662299E-5</v>
      </c>
      <c r="G903" s="3">
        <v>1.28424543299808E-4</v>
      </c>
      <c r="H903" s="3" t="str">
        <f>"SLC4A10"</f>
        <v>SLC4A10</v>
      </c>
      <c r="I903" s="3" t="str">
        <f>"protein_coding"</f>
        <v>protein_coding</v>
      </c>
    </row>
    <row r="904" spans="1:9" x14ac:dyDescent="0.2">
      <c r="A904" s="3" t="str">
        <f>"ENSG00000184611.11"</f>
        <v>ENSG00000184611.11</v>
      </c>
      <c r="B904" s="3">
        <v>7.3377946725351499</v>
      </c>
      <c r="C904" s="3">
        <v>6.2678095163654897</v>
      </c>
      <c r="D904" s="3">
        <v>1.8845290122337099</v>
      </c>
      <c r="E904" s="3">
        <v>3.3259289062025901</v>
      </c>
      <c r="F904" s="3">
        <v>8.8124402618598502E-4</v>
      </c>
      <c r="G904" s="3">
        <v>3.9485702978933604E-3</v>
      </c>
      <c r="H904" s="3" t="str">
        <f>"KCNH7"</f>
        <v>KCNH7</v>
      </c>
      <c r="I904" s="3" t="str">
        <f>"protein_coding"</f>
        <v>protein_coding</v>
      </c>
    </row>
    <row r="905" spans="1:9" x14ac:dyDescent="0.2">
      <c r="A905" s="3" t="str">
        <f>"ENSG00000212312.1"</f>
        <v>ENSG00000212312.1</v>
      </c>
      <c r="B905" s="3">
        <v>18.930307938991501</v>
      </c>
      <c r="C905" s="3">
        <v>7.6350019099473201</v>
      </c>
      <c r="D905" s="3">
        <v>1.6531463874724099</v>
      </c>
      <c r="E905" s="3">
        <v>4.6184669233200397</v>
      </c>
      <c r="F905" s="4">
        <v>3.8658558678064099E-6</v>
      </c>
      <c r="G905" s="4">
        <v>2.98478251147978E-5</v>
      </c>
      <c r="H905" s="3" t="str">
        <f>"RNA5SP109"</f>
        <v>RNA5SP109</v>
      </c>
      <c r="I905" s="3" t="str">
        <f>"rRNA_pseudogene"</f>
        <v>rRNA_pseudogene</v>
      </c>
    </row>
    <row r="906" spans="1:9" x14ac:dyDescent="0.2">
      <c r="A906" s="3" t="str">
        <f>"ENSG00000182263.14"</f>
        <v>ENSG00000182263.14</v>
      </c>
      <c r="B906" s="3">
        <v>894.82413044536099</v>
      </c>
      <c r="C906" s="3">
        <v>-2.29486301043812</v>
      </c>
      <c r="D906" s="3">
        <v>0.22108083613797999</v>
      </c>
      <c r="E906" s="3">
        <v>-10.3801987115964</v>
      </c>
      <c r="F906" s="4">
        <v>3.0513939413994399E-25</v>
      </c>
      <c r="G906" s="4">
        <v>1.7213526029256899E-23</v>
      </c>
      <c r="H906" s="3" t="str">
        <f>"FIGN"</f>
        <v>FIGN</v>
      </c>
      <c r="I906" s="3" t="str">
        <f>"protein_coding"</f>
        <v>protein_coding</v>
      </c>
    </row>
    <row r="907" spans="1:9" x14ac:dyDescent="0.2">
      <c r="A907" s="3" t="str">
        <f>"ENSG00000115290.9"</f>
        <v>ENSG00000115290.9</v>
      </c>
      <c r="B907" s="3">
        <v>204.06929325922599</v>
      </c>
      <c r="C907" s="3">
        <v>-1.6755842391250799</v>
      </c>
      <c r="D907" s="3">
        <v>0.312052585892515</v>
      </c>
      <c r="E907" s="3">
        <v>-5.3695572953919699</v>
      </c>
      <c r="F907" s="4">
        <v>7.8930158261925203E-8</v>
      </c>
      <c r="G907" s="4">
        <v>8.1617078639949698E-7</v>
      </c>
      <c r="H907" s="3" t="str">
        <f>"GRB14"</f>
        <v>GRB14</v>
      </c>
      <c r="I907" s="3" t="str">
        <f>"protein_coding"</f>
        <v>protein_coding</v>
      </c>
    </row>
    <row r="908" spans="1:9" x14ac:dyDescent="0.2">
      <c r="A908" s="3" t="str">
        <f>"ENSG00000236283.4"</f>
        <v>ENSG00000236283.4</v>
      </c>
      <c r="B908" s="3">
        <v>519.20339204586298</v>
      </c>
      <c r="C908" s="3">
        <v>1.3142648202068501</v>
      </c>
      <c r="D908" s="3">
        <v>0.23936620836745301</v>
      </c>
      <c r="E908" s="3">
        <v>5.4906029935073803</v>
      </c>
      <c r="F908" s="4">
        <v>4.00563824914678E-8</v>
      </c>
      <c r="G908" s="4">
        <v>4.3604324959849099E-7</v>
      </c>
      <c r="H908" s="3" t="str">
        <f>"AC019197.1"</f>
        <v>AC019197.1</v>
      </c>
      <c r="I908" s="3" t="str">
        <f>"antisense"</f>
        <v>antisense</v>
      </c>
    </row>
    <row r="909" spans="1:9" x14ac:dyDescent="0.2">
      <c r="A909" s="3" t="str">
        <f>"ENSG00000223318.1"</f>
        <v>ENSG00000223318.1</v>
      </c>
      <c r="B909" s="3">
        <v>10.996362741940899</v>
      </c>
      <c r="C909" s="3">
        <v>-2.76885339084098</v>
      </c>
      <c r="D909" s="3">
        <v>1.1183178386027499</v>
      </c>
      <c r="E909" s="3">
        <v>-2.4759091693470898</v>
      </c>
      <c r="F909" s="3">
        <v>1.3289738341817001E-2</v>
      </c>
      <c r="G909" s="3">
        <v>4.0337028027123599E-2</v>
      </c>
      <c r="H909" s="3" t="str">
        <f>"RNA5SP111"</f>
        <v>RNA5SP111</v>
      </c>
      <c r="I909" s="3" t="str">
        <f>"rRNA_pseudogene"</f>
        <v>rRNA_pseudogene</v>
      </c>
    </row>
    <row r="910" spans="1:9" x14ac:dyDescent="0.2">
      <c r="A910" s="3" t="str">
        <f>"ENSG00000169507.9"</f>
        <v>ENSG00000169507.9</v>
      </c>
      <c r="B910" s="3">
        <v>499.40451123929898</v>
      </c>
      <c r="C910" s="3">
        <v>-2.4099786167531199</v>
      </c>
      <c r="D910" s="3">
        <v>0.23284716477010001</v>
      </c>
      <c r="E910" s="3">
        <v>-10.350044928108099</v>
      </c>
      <c r="F910" s="4">
        <v>4.1828947062782802E-25</v>
      </c>
      <c r="G910" s="4">
        <v>2.34508913707746E-23</v>
      </c>
      <c r="H910" s="3" t="str">
        <f>"SLC38A11"</f>
        <v>SLC38A11</v>
      </c>
      <c r="I910" s="3" t="str">
        <f t="shared" ref="I910:I919" si="35">"protein_coding"</f>
        <v>protein_coding</v>
      </c>
    </row>
    <row r="911" spans="1:9" x14ac:dyDescent="0.2">
      <c r="A911" s="3" t="str">
        <f>"ENSG00000153253.17"</f>
        <v>ENSG00000153253.17</v>
      </c>
      <c r="B911" s="3">
        <v>18.090819947690701</v>
      </c>
      <c r="C911" s="3">
        <v>7.5713933089514498</v>
      </c>
      <c r="D911" s="3">
        <v>1.63677619837084</v>
      </c>
      <c r="E911" s="3">
        <v>4.6257963162511899</v>
      </c>
      <c r="F911" s="4">
        <v>3.7316188370144E-6</v>
      </c>
      <c r="G911" s="4">
        <v>2.8860465072986502E-5</v>
      </c>
      <c r="H911" s="3" t="str">
        <f>"SCN3A"</f>
        <v>SCN3A</v>
      </c>
      <c r="I911" s="3" t="str">
        <f t="shared" si="35"/>
        <v>protein_coding</v>
      </c>
    </row>
    <row r="912" spans="1:9" x14ac:dyDescent="0.2">
      <c r="A912" s="3" t="str">
        <f>"ENSG00000178662.16"</f>
        <v>ENSG00000178662.16</v>
      </c>
      <c r="B912" s="3">
        <v>8.0324981435715497</v>
      </c>
      <c r="C912" s="3">
        <v>4.9122608650429997</v>
      </c>
      <c r="D912" s="3">
        <v>1.8228119692409399</v>
      </c>
      <c r="E912" s="3">
        <v>2.6948807380766602</v>
      </c>
      <c r="F912" s="3">
        <v>7.0413829033417596E-3</v>
      </c>
      <c r="G912" s="3">
        <v>2.3735810957237799E-2</v>
      </c>
      <c r="H912" s="3" t="str">
        <f>"CSRNP3"</f>
        <v>CSRNP3</v>
      </c>
      <c r="I912" s="3" t="str">
        <f t="shared" si="35"/>
        <v>protein_coding</v>
      </c>
    </row>
    <row r="913" spans="1:9" x14ac:dyDescent="0.2">
      <c r="A913" s="3" t="str">
        <f>"ENSG00000136546.15"</f>
        <v>ENSG00000136546.15</v>
      </c>
      <c r="B913" s="3">
        <v>22.6473420115049</v>
      </c>
      <c r="C913" s="3">
        <v>6.4350271627564801</v>
      </c>
      <c r="D913" s="3">
        <v>1.59188722223579</v>
      </c>
      <c r="E913" s="3">
        <v>4.0423888532245096</v>
      </c>
      <c r="F913" s="4">
        <v>5.2909394312838801E-5</v>
      </c>
      <c r="G913" s="3">
        <v>3.2207825443295799E-4</v>
      </c>
      <c r="H913" s="3" t="str">
        <f>"SCN7A"</f>
        <v>SCN7A</v>
      </c>
      <c r="I913" s="3" t="str">
        <f t="shared" si="35"/>
        <v>protein_coding</v>
      </c>
    </row>
    <row r="914" spans="1:9" x14ac:dyDescent="0.2">
      <c r="A914" s="3" t="str">
        <f>"ENSG00000073734.9"</f>
        <v>ENSG00000073734.9</v>
      </c>
      <c r="B914" s="3">
        <v>32.995736553040501</v>
      </c>
      <c r="C914" s="3">
        <v>6.9836963478184702</v>
      </c>
      <c r="D914" s="3">
        <v>1.54975338945914</v>
      </c>
      <c r="E914" s="3">
        <v>4.5063275197970496</v>
      </c>
      <c r="F914" s="4">
        <v>6.5959253260412797E-6</v>
      </c>
      <c r="G914" s="4">
        <v>4.8572750637472097E-5</v>
      </c>
      <c r="H914" s="3" t="str">
        <f>"ABCB11"</f>
        <v>ABCB11</v>
      </c>
      <c r="I914" s="3" t="str">
        <f t="shared" si="35"/>
        <v>protein_coding</v>
      </c>
    </row>
    <row r="915" spans="1:9" x14ac:dyDescent="0.2">
      <c r="A915" s="3" t="str">
        <f>"ENSG00000081479.14"</f>
        <v>ENSG00000081479.14</v>
      </c>
      <c r="B915" s="3">
        <v>89.783086112564703</v>
      </c>
      <c r="C915" s="3">
        <v>4.1214867970975604</v>
      </c>
      <c r="D915" s="3">
        <v>0.53216615985945503</v>
      </c>
      <c r="E915" s="3">
        <v>7.7447367156642297</v>
      </c>
      <c r="F915" s="4">
        <v>9.5780101968171501E-15</v>
      </c>
      <c r="G915" s="4">
        <v>2.3218153365896502E-13</v>
      </c>
      <c r="H915" s="3" t="str">
        <f>"LRP2"</f>
        <v>LRP2</v>
      </c>
      <c r="I915" s="3" t="str">
        <f t="shared" si="35"/>
        <v>protein_coding</v>
      </c>
    </row>
    <row r="916" spans="1:9" x14ac:dyDescent="0.2">
      <c r="A916" s="3" t="str">
        <f>"ENSG00000163093.12"</f>
        <v>ENSG00000163093.12</v>
      </c>
      <c r="B916" s="3">
        <v>101.109696164418</v>
      </c>
      <c r="C916" s="3">
        <v>-1.58716828220962</v>
      </c>
      <c r="D916" s="3">
        <v>0.37383337704026698</v>
      </c>
      <c r="E916" s="3">
        <v>-4.2456569682879302</v>
      </c>
      <c r="F916" s="4">
        <v>2.1795386254323099E-5</v>
      </c>
      <c r="G916" s="3">
        <v>1.43687125398389E-4</v>
      </c>
      <c r="H916" s="3" t="str">
        <f>"BBS5"</f>
        <v>BBS5</v>
      </c>
      <c r="I916" s="3" t="str">
        <f t="shared" si="35"/>
        <v>protein_coding</v>
      </c>
    </row>
    <row r="917" spans="1:9" x14ac:dyDescent="0.2">
      <c r="A917" s="3" t="str">
        <f>"ENSG00000071909.18"</f>
        <v>ENSG00000071909.18</v>
      </c>
      <c r="B917" s="3">
        <v>37.471014096227599</v>
      </c>
      <c r="C917" s="3">
        <v>8.6232580268444892</v>
      </c>
      <c r="D917" s="3">
        <v>1.5415698674573299</v>
      </c>
      <c r="E917" s="3">
        <v>5.5938158943569203</v>
      </c>
      <c r="F917" s="4">
        <v>2.2213250066576001E-8</v>
      </c>
      <c r="G917" s="4">
        <v>2.5229029785910598E-7</v>
      </c>
      <c r="H917" s="3" t="str">
        <f>"MYO3B"</f>
        <v>MYO3B</v>
      </c>
      <c r="I917" s="3" t="str">
        <f t="shared" si="35"/>
        <v>protein_coding</v>
      </c>
    </row>
    <row r="918" spans="1:9" x14ac:dyDescent="0.2">
      <c r="A918" s="3" t="str">
        <f>"ENSG00000204335.3"</f>
        <v>ENSG00000204335.3</v>
      </c>
      <c r="B918" s="3">
        <v>4287.1838611540597</v>
      </c>
      <c r="C918" s="3">
        <v>-1.2019025617183701</v>
      </c>
      <c r="D918" s="3">
        <v>0.181298034428967</v>
      </c>
      <c r="E918" s="3">
        <v>-6.6294296322847304</v>
      </c>
      <c r="F918" s="4">
        <v>3.3698643172008702E-11</v>
      </c>
      <c r="G918" s="4">
        <v>5.6021167206084302E-10</v>
      </c>
      <c r="H918" s="3" t="str">
        <f>"SP5"</f>
        <v>SP5</v>
      </c>
      <c r="I918" s="3" t="str">
        <f t="shared" si="35"/>
        <v>protein_coding</v>
      </c>
    </row>
    <row r="919" spans="1:9" x14ac:dyDescent="0.2">
      <c r="A919" s="3" t="str">
        <f>"ENSG00000128683.14"</f>
        <v>ENSG00000128683.14</v>
      </c>
      <c r="B919" s="3">
        <v>185.33209514398601</v>
      </c>
      <c r="C919" s="3">
        <v>5.4550955484402701</v>
      </c>
      <c r="D919" s="3">
        <v>0.45926460543025599</v>
      </c>
      <c r="E919" s="3">
        <v>11.8778923608313</v>
      </c>
      <c r="F919" s="4">
        <v>1.5420654570818701E-32</v>
      </c>
      <c r="G919" s="4">
        <v>1.39590224282757E-30</v>
      </c>
      <c r="H919" s="3" t="str">
        <f>"GAD1"</f>
        <v>GAD1</v>
      </c>
      <c r="I919" s="3" t="str">
        <f t="shared" si="35"/>
        <v>protein_coding</v>
      </c>
    </row>
    <row r="920" spans="1:9" x14ac:dyDescent="0.2">
      <c r="A920" s="3" t="str">
        <f>"ENSG00000235934.1"</f>
        <v>ENSG00000235934.1</v>
      </c>
      <c r="B920" s="3">
        <v>6.6825029956409097</v>
      </c>
      <c r="C920" s="3">
        <v>6.14044663877171</v>
      </c>
      <c r="D920" s="3">
        <v>1.91906634477752</v>
      </c>
      <c r="E920" s="3">
        <v>3.19970523972875</v>
      </c>
      <c r="F920" s="3">
        <v>1.3756820078319599E-3</v>
      </c>
      <c r="G920" s="3">
        <v>5.8312395251085098E-3</v>
      </c>
      <c r="H920" s="3" t="str">
        <f>"AC007405.2"</f>
        <v>AC007405.2</v>
      </c>
      <c r="I920" s="3" t="str">
        <f>"antisense"</f>
        <v>antisense</v>
      </c>
    </row>
    <row r="921" spans="1:9" x14ac:dyDescent="0.2">
      <c r="A921" s="3" t="str">
        <f>"ENSG00000123600.19"</f>
        <v>ENSG00000123600.19</v>
      </c>
      <c r="B921" s="3">
        <v>3884.8351040262601</v>
      </c>
      <c r="C921" s="3">
        <v>1.24275876336936</v>
      </c>
      <c r="D921" s="3">
        <v>0.18911442131491699</v>
      </c>
      <c r="E921" s="3">
        <v>6.57146480278145</v>
      </c>
      <c r="F921" s="4">
        <v>4.9822664679662601E-11</v>
      </c>
      <c r="G921" s="4">
        <v>8.0756582065839795E-10</v>
      </c>
      <c r="H921" s="3" t="str">
        <f>"METTL8"</f>
        <v>METTL8</v>
      </c>
      <c r="I921" s="3" t="str">
        <f>"protein_coding"</f>
        <v>protein_coding</v>
      </c>
    </row>
    <row r="922" spans="1:9" x14ac:dyDescent="0.2">
      <c r="A922" s="3" t="str">
        <f>"ENSG00000224553.1"</f>
        <v>ENSG00000224553.1</v>
      </c>
      <c r="B922" s="3">
        <v>80.272966661420796</v>
      </c>
      <c r="C922" s="3">
        <v>1.81619725257897</v>
      </c>
      <c r="D922" s="3">
        <v>0.43418237885168598</v>
      </c>
      <c r="E922" s="3">
        <v>4.1830284715432198</v>
      </c>
      <c r="F922" s="4">
        <v>2.8765135119414901E-5</v>
      </c>
      <c r="G922" s="3">
        <v>1.85418414146841E-4</v>
      </c>
      <c r="H922" s="3" t="str">
        <f>"AC008065.1"</f>
        <v>AC008065.1</v>
      </c>
      <c r="I922" s="3" t="str">
        <f>"processed_pseudogene"</f>
        <v>processed_pseudogene</v>
      </c>
    </row>
    <row r="923" spans="1:9" x14ac:dyDescent="0.2">
      <c r="A923" s="3" t="str">
        <f>"ENSG00000115844.11"</f>
        <v>ENSG00000115844.11</v>
      </c>
      <c r="B923" s="3">
        <v>101.595756458285</v>
      </c>
      <c r="C923" s="3">
        <v>1.59396536711509</v>
      </c>
      <c r="D923" s="3">
        <v>0.37384417098985101</v>
      </c>
      <c r="E923" s="3">
        <v>4.2637159833056799</v>
      </c>
      <c r="F923" s="4">
        <v>2.0105497310128501E-5</v>
      </c>
      <c r="G923" s="3">
        <v>1.3354814363946099E-4</v>
      </c>
      <c r="H923" s="3" t="str">
        <f>"DLX2"</f>
        <v>DLX2</v>
      </c>
      <c r="I923" s="3" t="str">
        <f>"protein_coding"</f>
        <v>protein_coding</v>
      </c>
    </row>
    <row r="924" spans="1:9" x14ac:dyDescent="0.2">
      <c r="A924" s="3" t="str">
        <f>"ENSG00000152256.13"</f>
        <v>ENSG00000152256.13</v>
      </c>
      <c r="B924" s="3">
        <v>2954.8801802999601</v>
      </c>
      <c r="C924" s="3">
        <v>-1.45778640749719</v>
      </c>
      <c r="D924" s="3">
        <v>0.20506462339204201</v>
      </c>
      <c r="E924" s="3">
        <v>-7.1089122218325898</v>
      </c>
      <c r="F924" s="4">
        <v>1.1696110075182E-12</v>
      </c>
      <c r="G924" s="4">
        <v>2.2926900087660801E-11</v>
      </c>
      <c r="H924" s="3" t="str">
        <f>"PDK1"</f>
        <v>PDK1</v>
      </c>
      <c r="I924" s="3" t="str">
        <f>"protein_coding"</f>
        <v>protein_coding</v>
      </c>
    </row>
    <row r="925" spans="1:9" x14ac:dyDescent="0.2">
      <c r="A925" s="3" t="str">
        <f>"ENSG00000091436.17"</f>
        <v>ENSG00000091436.17</v>
      </c>
      <c r="B925" s="3">
        <v>1100.3356364824001</v>
      </c>
      <c r="C925" s="3">
        <v>-1.43272616341826</v>
      </c>
      <c r="D925" s="3">
        <v>0.20865675316535201</v>
      </c>
      <c r="E925" s="3">
        <v>-6.8664260402963597</v>
      </c>
      <c r="F925" s="4">
        <v>6.5830280323554303E-12</v>
      </c>
      <c r="G925" s="4">
        <v>1.1792752452175401E-10</v>
      </c>
      <c r="H925" s="3" t="str">
        <f>"MAP3K20"</f>
        <v>MAP3K20</v>
      </c>
      <c r="I925" s="3" t="str">
        <f>"protein_coding"</f>
        <v>protein_coding</v>
      </c>
    </row>
    <row r="926" spans="1:9" x14ac:dyDescent="0.2">
      <c r="A926" s="3" t="str">
        <f>"ENSG00000238133.6"</f>
        <v>ENSG00000238133.6</v>
      </c>
      <c r="B926" s="3">
        <v>6.3473426812615497</v>
      </c>
      <c r="C926" s="3">
        <v>6.0588050892948804</v>
      </c>
      <c r="D926" s="3">
        <v>1.9387374818076699</v>
      </c>
      <c r="E926" s="3">
        <v>3.1251291864670998</v>
      </c>
      <c r="F926" s="3">
        <v>1.7772698861429101E-3</v>
      </c>
      <c r="G926" s="3">
        <v>7.2830910795211199E-3</v>
      </c>
      <c r="H926" s="3" t="str">
        <f>"MAP3K20-AS1"</f>
        <v>MAP3K20-AS1</v>
      </c>
      <c r="I926" s="3" t="str">
        <f>"antisense"</f>
        <v>antisense</v>
      </c>
    </row>
    <row r="927" spans="1:9" x14ac:dyDescent="0.2">
      <c r="A927" s="3" t="str">
        <f>"ENSG00000271151.1"</f>
        <v>ENSG00000271151.1</v>
      </c>
      <c r="B927" s="3">
        <v>39.558574420795601</v>
      </c>
      <c r="C927" s="3">
        <v>1.59758325994738</v>
      </c>
      <c r="D927" s="3">
        <v>0.60325821804275703</v>
      </c>
      <c r="E927" s="3">
        <v>2.6482577645285299</v>
      </c>
      <c r="F927" s="3">
        <v>8.0907808981278001E-3</v>
      </c>
      <c r="G927" s="3">
        <v>2.6633986605205801E-2</v>
      </c>
      <c r="H927" s="3" t="str">
        <f>"AC016737.1"</f>
        <v>AC016737.1</v>
      </c>
      <c r="I927" s="3" t="str">
        <f>"lincRNA"</f>
        <v>lincRNA</v>
      </c>
    </row>
    <row r="928" spans="1:9" x14ac:dyDescent="0.2">
      <c r="A928" s="3" t="str">
        <f>"ENSG00000260868.1"</f>
        <v>ENSG00000260868.1</v>
      </c>
      <c r="B928" s="3">
        <v>14.9050845043124</v>
      </c>
      <c r="C928" s="3">
        <v>4.8014200642936897</v>
      </c>
      <c r="D928" s="3">
        <v>1.30255183875104</v>
      </c>
      <c r="E928" s="3">
        <v>3.6861642826419398</v>
      </c>
      <c r="F928" s="3">
        <v>2.27659420556667E-4</v>
      </c>
      <c r="G928" s="3">
        <v>1.1933505640453099E-3</v>
      </c>
      <c r="H928" s="3" t="str">
        <f>"LINC01960"</f>
        <v>LINC01960</v>
      </c>
      <c r="I928" s="3" t="str">
        <f>"lincRNA"</f>
        <v>lincRNA</v>
      </c>
    </row>
    <row r="929" spans="1:9" x14ac:dyDescent="0.2">
      <c r="A929" s="3" t="str">
        <f>"ENSG00000231453.1"</f>
        <v>ENSG00000231453.1</v>
      </c>
      <c r="B929" s="3">
        <v>6.3865865764411804</v>
      </c>
      <c r="C929" s="3">
        <v>6.0717322058502603</v>
      </c>
      <c r="D929" s="3">
        <v>1.91855259725409</v>
      </c>
      <c r="E929" s="3">
        <v>3.1647462855802702</v>
      </c>
      <c r="F929" s="3">
        <v>1.55218235238969E-3</v>
      </c>
      <c r="G929" s="3">
        <v>6.4686926515084096E-3</v>
      </c>
      <c r="H929" s="3" t="str">
        <f>"LINC01305"</f>
        <v>LINC01305</v>
      </c>
      <c r="I929" s="3" t="str">
        <f>"lincRNA"</f>
        <v>lincRNA</v>
      </c>
    </row>
    <row r="930" spans="1:9" x14ac:dyDescent="0.2">
      <c r="A930" s="3" t="str">
        <f>"ENSG00000144306.14"</f>
        <v>ENSG00000144306.14</v>
      </c>
      <c r="B930" s="3">
        <v>294.32489489904901</v>
      </c>
      <c r="C930" s="3">
        <v>1.0272913638225001</v>
      </c>
      <c r="D930" s="3">
        <v>0.27855347994215202</v>
      </c>
      <c r="E930" s="3">
        <v>3.68795020631527</v>
      </c>
      <c r="F930" s="3">
        <v>2.2606787469572599E-4</v>
      </c>
      <c r="G930" s="3">
        <v>1.1852359788020899E-3</v>
      </c>
      <c r="H930" s="3" t="str">
        <f>"SCRN3"</f>
        <v>SCRN3</v>
      </c>
      <c r="I930" s="3" t="str">
        <f>"protein_coding"</f>
        <v>protein_coding</v>
      </c>
    </row>
    <row r="931" spans="1:9" x14ac:dyDescent="0.2">
      <c r="A931" s="3" t="str">
        <f>"ENSG00000163328.13"</f>
        <v>ENSG00000163328.13</v>
      </c>
      <c r="B931" s="3">
        <v>34.176039961630998</v>
      </c>
      <c r="C931" s="3">
        <v>2.4189998536973198</v>
      </c>
      <c r="D931" s="3">
        <v>0.68636914078778499</v>
      </c>
      <c r="E931" s="3">
        <v>3.5243423836346901</v>
      </c>
      <c r="F931" s="3">
        <v>4.24535300699672E-4</v>
      </c>
      <c r="G931" s="3">
        <v>2.0733667930030401E-3</v>
      </c>
      <c r="H931" s="3" t="str">
        <f>"GPR155"</f>
        <v>GPR155</v>
      </c>
      <c r="I931" s="3" t="str">
        <f>"protein_coding"</f>
        <v>protein_coding</v>
      </c>
    </row>
    <row r="932" spans="1:9" x14ac:dyDescent="0.2">
      <c r="A932" s="3" t="str">
        <f>"ENSG00000115935.17"</f>
        <v>ENSG00000115935.17</v>
      </c>
      <c r="B932" s="3">
        <v>11.8973658956323</v>
      </c>
      <c r="C932" s="3">
        <v>3.8379257447151098</v>
      </c>
      <c r="D932" s="3">
        <v>1.2344276621918999</v>
      </c>
      <c r="E932" s="3">
        <v>3.10907302409306</v>
      </c>
      <c r="F932" s="3">
        <v>1.8767532691623E-3</v>
      </c>
      <c r="G932" s="3">
        <v>7.6276694995324199E-3</v>
      </c>
      <c r="H932" s="3" t="str">
        <f>"WIPF1"</f>
        <v>WIPF1</v>
      </c>
      <c r="I932" s="3" t="str">
        <f>"protein_coding"</f>
        <v>protein_coding</v>
      </c>
    </row>
    <row r="933" spans="1:9" x14ac:dyDescent="0.2">
      <c r="A933" s="3" t="str">
        <f>"ENSG00000138435.15"</f>
        <v>ENSG00000138435.15</v>
      </c>
      <c r="B933" s="3">
        <v>5.9094796332077504</v>
      </c>
      <c r="C933" s="3">
        <v>5.9598090719970296</v>
      </c>
      <c r="D933" s="3">
        <v>1.95187301083798</v>
      </c>
      <c r="E933" s="3">
        <v>3.0533795174709502</v>
      </c>
      <c r="F933" s="3">
        <v>2.2627956517912002E-3</v>
      </c>
      <c r="G933" s="3">
        <v>8.9561872638516601E-3</v>
      </c>
      <c r="H933" s="3" t="str">
        <f>"CHRNA1"</f>
        <v>CHRNA1</v>
      </c>
      <c r="I933" s="3" t="str">
        <f>"protein_coding"</f>
        <v>protein_coding</v>
      </c>
    </row>
    <row r="934" spans="1:9" x14ac:dyDescent="0.2">
      <c r="A934" s="3" t="str">
        <f>"ENSG00000272729.1"</f>
        <v>ENSG00000272729.1</v>
      </c>
      <c r="B934" s="3">
        <v>13.3258054650122</v>
      </c>
      <c r="C934" s="3">
        <v>4.6328681829883003</v>
      </c>
      <c r="D934" s="3">
        <v>1.32874708590962</v>
      </c>
      <c r="E934" s="3">
        <v>3.48664409662037</v>
      </c>
      <c r="F934" s="3">
        <v>4.8912180409359804E-4</v>
      </c>
      <c r="G934" s="3">
        <v>2.3512882491422498E-3</v>
      </c>
      <c r="H934" s="3" t="str">
        <f>"AC009336.1"</f>
        <v>AC009336.1</v>
      </c>
      <c r="I934" s="3" t="str">
        <f>"antisense"</f>
        <v>antisense</v>
      </c>
    </row>
    <row r="935" spans="1:9" x14ac:dyDescent="0.2">
      <c r="A935" s="3" t="str">
        <f>"ENSG00000213963.6"</f>
        <v>ENSG00000213963.6</v>
      </c>
      <c r="B935" s="3">
        <v>197.771563317301</v>
      </c>
      <c r="C935" s="3">
        <v>1.46087929166524</v>
      </c>
      <c r="D935" s="3">
        <v>0.33348959250766202</v>
      </c>
      <c r="E935" s="3">
        <v>4.3805843555123101</v>
      </c>
      <c r="F935" s="4">
        <v>1.18361459079357E-5</v>
      </c>
      <c r="G935" s="4">
        <v>8.2787583184699105E-5</v>
      </c>
      <c r="H935" s="3" t="str">
        <f>"AC019080.1"</f>
        <v>AC019080.1</v>
      </c>
      <c r="I935" s="3" t="str">
        <f>"sense_overlapping"</f>
        <v>sense_overlapping</v>
      </c>
    </row>
    <row r="936" spans="1:9" x14ac:dyDescent="0.2">
      <c r="A936" s="3" t="str">
        <f>"ENSG00000196659.9"</f>
        <v>ENSG00000196659.9</v>
      </c>
      <c r="B936" s="3">
        <v>172.80092293235799</v>
      </c>
      <c r="C936" s="3">
        <v>1.73025002123008</v>
      </c>
      <c r="D936" s="3">
        <v>0.31938877078226402</v>
      </c>
      <c r="E936" s="3">
        <v>5.4173790048794102</v>
      </c>
      <c r="F936" s="4">
        <v>6.0479050201494995E-8</v>
      </c>
      <c r="G936" s="4">
        <v>6.37968517553285E-7</v>
      </c>
      <c r="H936" s="3" t="str">
        <f>"TTC30B"</f>
        <v>TTC30B</v>
      </c>
      <c r="I936" s="3" t="str">
        <f t="shared" ref="I936:I941" si="36">"protein_coding"</f>
        <v>protein_coding</v>
      </c>
    </row>
    <row r="937" spans="1:9" x14ac:dyDescent="0.2">
      <c r="A937" s="3" t="str">
        <f>"ENSG00000197557.7"</f>
        <v>ENSG00000197557.7</v>
      </c>
      <c r="B937" s="3">
        <v>197.444501460645</v>
      </c>
      <c r="C937" s="3">
        <v>1.80626575217181</v>
      </c>
      <c r="D937" s="3">
        <v>0.31350938960973901</v>
      </c>
      <c r="E937" s="3">
        <v>5.7614406841858203</v>
      </c>
      <c r="F937" s="4">
        <v>8.3398972899124407E-9</v>
      </c>
      <c r="G937" s="4">
        <v>1.0014860355145199E-7</v>
      </c>
      <c r="H937" s="3" t="str">
        <f>"TTC30A"</f>
        <v>TTC30A</v>
      </c>
      <c r="I937" s="3" t="str">
        <f t="shared" si="36"/>
        <v>protein_coding</v>
      </c>
    </row>
    <row r="938" spans="1:9" x14ac:dyDescent="0.2">
      <c r="A938" s="3" t="str">
        <f>"ENSG00000079156.17"</f>
        <v>ENSG00000079156.17</v>
      </c>
      <c r="B938" s="3">
        <v>20.379501188644198</v>
      </c>
      <c r="C938" s="3">
        <v>3.5956219806683198</v>
      </c>
      <c r="D938" s="3">
        <v>0.94896557626021305</v>
      </c>
      <c r="E938" s="3">
        <v>3.78899095037603</v>
      </c>
      <c r="F938" s="3">
        <v>1.5126042317579501E-4</v>
      </c>
      <c r="G938" s="3">
        <v>8.3159660013536803E-4</v>
      </c>
      <c r="H938" s="3" t="str">
        <f>"OSBPL6"</f>
        <v>OSBPL6</v>
      </c>
      <c r="I938" s="3" t="str">
        <f t="shared" si="36"/>
        <v>protein_coding</v>
      </c>
    </row>
    <row r="939" spans="1:9" x14ac:dyDescent="0.2">
      <c r="A939" s="3" t="str">
        <f>"ENSG00000079150.18"</f>
        <v>ENSG00000079150.18</v>
      </c>
      <c r="B939" s="3">
        <v>103.94352969363401</v>
      </c>
      <c r="C939" s="3">
        <v>-1.47521914017289</v>
      </c>
      <c r="D939" s="3">
        <v>0.36648872875949501</v>
      </c>
      <c r="E939" s="3">
        <v>-4.0252783357520201</v>
      </c>
      <c r="F939" s="4">
        <v>5.6907964367180102E-5</v>
      </c>
      <c r="G939" s="3">
        <v>3.4449484672574002E-4</v>
      </c>
      <c r="H939" s="3" t="str">
        <f>"FKBP7"</f>
        <v>FKBP7</v>
      </c>
      <c r="I939" s="3" t="str">
        <f t="shared" si="36"/>
        <v>protein_coding</v>
      </c>
    </row>
    <row r="940" spans="1:9" x14ac:dyDescent="0.2">
      <c r="A940" s="3" t="str">
        <f>"ENSG00000155657.26"</f>
        <v>ENSG00000155657.26</v>
      </c>
      <c r="B940" s="3">
        <v>619.204050431052</v>
      </c>
      <c r="C940" s="3">
        <v>6.4565963766635601</v>
      </c>
      <c r="D940" s="3">
        <v>0.36167461162553999</v>
      </c>
      <c r="E940" s="3">
        <v>17.851948047015298</v>
      </c>
      <c r="F940" s="4">
        <v>2.7912778269633202E-71</v>
      </c>
      <c r="G940" s="4">
        <v>1.35810619555839E-68</v>
      </c>
      <c r="H940" s="3" t="str">
        <f>"TTN"</f>
        <v>TTN</v>
      </c>
      <c r="I940" s="3" t="str">
        <f t="shared" si="36"/>
        <v>protein_coding</v>
      </c>
    </row>
    <row r="941" spans="1:9" x14ac:dyDescent="0.2">
      <c r="A941" s="3" t="str">
        <f>"ENSG00000163492.15"</f>
        <v>ENSG00000163492.15</v>
      </c>
      <c r="B941" s="3">
        <v>25.108569995530999</v>
      </c>
      <c r="C941" s="3">
        <v>4.5425573197421603</v>
      </c>
      <c r="D941" s="3">
        <v>0.96064377704249904</v>
      </c>
      <c r="E941" s="3">
        <v>4.7286594972042302</v>
      </c>
      <c r="F941" s="4">
        <v>2.2600704509355902E-6</v>
      </c>
      <c r="G941" s="4">
        <v>1.8186692137224499E-5</v>
      </c>
      <c r="H941" s="3" t="str">
        <f>"CCDC141"</f>
        <v>CCDC141</v>
      </c>
      <c r="I941" s="3" t="str">
        <f t="shared" si="36"/>
        <v>protein_coding</v>
      </c>
    </row>
    <row r="942" spans="1:9" x14ac:dyDescent="0.2">
      <c r="A942" s="3" t="str">
        <f>"ENSG00000234663.6"</f>
        <v>ENSG00000234663.6</v>
      </c>
      <c r="B942" s="3">
        <v>165.67711256804901</v>
      </c>
      <c r="C942" s="3">
        <v>5.0330052283598397</v>
      </c>
      <c r="D942" s="3">
        <v>0.45959461857732298</v>
      </c>
      <c r="E942" s="3">
        <v>10.9509664058721</v>
      </c>
      <c r="F942" s="4">
        <v>6.5742425594501802E-28</v>
      </c>
      <c r="G942" s="4">
        <v>4.39040164258184E-26</v>
      </c>
      <c r="H942" s="3" t="str">
        <f>"LINC01934"</f>
        <v>LINC01934</v>
      </c>
      <c r="I942" s="3" t="str">
        <f>"lincRNA"</f>
        <v>lincRNA</v>
      </c>
    </row>
    <row r="943" spans="1:9" x14ac:dyDescent="0.2">
      <c r="A943" s="3" t="str">
        <f>"ENSG00000115232.14"</f>
        <v>ENSG00000115232.14</v>
      </c>
      <c r="B943" s="3">
        <v>10.4933469607625</v>
      </c>
      <c r="C943" s="3">
        <v>6.7841994739702898</v>
      </c>
      <c r="D943" s="3">
        <v>1.7673223630908199</v>
      </c>
      <c r="E943" s="3">
        <v>3.8386881848230501</v>
      </c>
      <c r="F943" s="3">
        <v>1.23693394022282E-4</v>
      </c>
      <c r="G943" s="3">
        <v>6.9368054761543695E-4</v>
      </c>
      <c r="H943" s="3" t="str">
        <f>"ITGA4"</f>
        <v>ITGA4</v>
      </c>
      <c r="I943" s="3" t="str">
        <f>"protein_coding"</f>
        <v>protein_coding</v>
      </c>
    </row>
    <row r="944" spans="1:9" x14ac:dyDescent="0.2">
      <c r="A944" s="3" t="str">
        <f>"ENSG00000188452.14"</f>
        <v>ENSG00000188452.14</v>
      </c>
      <c r="B944" s="3">
        <v>4.2939624891008599</v>
      </c>
      <c r="C944" s="3">
        <v>5.4978614945687996</v>
      </c>
      <c r="D944" s="3">
        <v>2.1119244238519399</v>
      </c>
      <c r="E944" s="3">
        <v>2.6032472717661199</v>
      </c>
      <c r="F944" s="3">
        <v>9.2345323669644607E-3</v>
      </c>
      <c r="G944" s="3">
        <v>2.9695893237658502E-2</v>
      </c>
      <c r="H944" s="3" t="str">
        <f>"CERKL"</f>
        <v>CERKL</v>
      </c>
      <c r="I944" s="3" t="str">
        <f>"protein_coding"</f>
        <v>protein_coding</v>
      </c>
    </row>
    <row r="945" spans="1:9" x14ac:dyDescent="0.2">
      <c r="A945" s="3" t="str">
        <f>"ENSG00000077232.18"</f>
        <v>ENSG00000077232.18</v>
      </c>
      <c r="B945" s="3">
        <v>5154.8676042529596</v>
      </c>
      <c r="C945" s="3">
        <v>-1.2030266999032799</v>
      </c>
      <c r="D945" s="3">
        <v>0.18027755001095699</v>
      </c>
      <c r="E945" s="3">
        <v>-6.6731919744314299</v>
      </c>
      <c r="F945" s="4">
        <v>2.50298620607075E-11</v>
      </c>
      <c r="G945" s="4">
        <v>4.2254563294182E-10</v>
      </c>
      <c r="H945" s="3" t="str">
        <f>"DNAJC10"</f>
        <v>DNAJC10</v>
      </c>
      <c r="I945" s="3" t="str">
        <f>"protein_coding"</f>
        <v>protein_coding</v>
      </c>
    </row>
    <row r="946" spans="1:9" x14ac:dyDescent="0.2">
      <c r="A946" s="3" t="str">
        <f>"ENSG00000188738.15"</f>
        <v>ENSG00000188738.15</v>
      </c>
      <c r="B946" s="3">
        <v>41.571014998118699</v>
      </c>
      <c r="C946" s="3">
        <v>4.4515217195387402</v>
      </c>
      <c r="D946" s="3">
        <v>0.77171776744026199</v>
      </c>
      <c r="E946" s="3">
        <v>5.7683286654188999</v>
      </c>
      <c r="F946" s="4">
        <v>8.0061551727617801E-9</v>
      </c>
      <c r="G946" s="4">
        <v>9.6523765483292097E-8</v>
      </c>
      <c r="H946" s="3" t="str">
        <f>"FSIP2"</f>
        <v>FSIP2</v>
      </c>
      <c r="I946" s="3" t="str">
        <f>"protein_coding"</f>
        <v>protein_coding</v>
      </c>
    </row>
    <row r="947" spans="1:9" x14ac:dyDescent="0.2">
      <c r="A947" s="3" t="str">
        <f>"ENSG00000231646.5"</f>
        <v>ENSG00000231646.5</v>
      </c>
      <c r="B947" s="3">
        <v>32.621413490456597</v>
      </c>
      <c r="C947" s="3">
        <v>-2.3536680127234102</v>
      </c>
      <c r="D947" s="3">
        <v>0.66111564088258901</v>
      </c>
      <c r="E947" s="3">
        <v>-3.5601457100323102</v>
      </c>
      <c r="F947" s="3">
        <v>3.7064907240264401E-4</v>
      </c>
      <c r="G947" s="3">
        <v>1.84155274904355E-3</v>
      </c>
      <c r="H947" s="3" t="str">
        <f>"FSIP2-AS1"</f>
        <v>FSIP2-AS1</v>
      </c>
      <c r="I947" s="3" t="str">
        <f>"antisense"</f>
        <v>antisense</v>
      </c>
    </row>
    <row r="948" spans="1:9" x14ac:dyDescent="0.2">
      <c r="A948" s="3" t="str">
        <f>"ENSG00000224019.1"</f>
        <v>ENSG00000224019.1</v>
      </c>
      <c r="B948" s="3">
        <v>33.330101831008697</v>
      </c>
      <c r="C948" s="3">
        <v>-1.8101508756775599</v>
      </c>
      <c r="D948" s="3">
        <v>0.65620949091995895</v>
      </c>
      <c r="E948" s="3">
        <v>-2.7584954206313799</v>
      </c>
      <c r="F948" s="3">
        <v>5.8068118769379201E-3</v>
      </c>
      <c r="G948" s="3">
        <v>2.0165460516304801E-2</v>
      </c>
      <c r="H948" s="3" t="str">
        <f>"RPL21P32"</f>
        <v>RPL21P32</v>
      </c>
      <c r="I948" s="3" t="str">
        <f>"processed_pseudogene"</f>
        <v>processed_pseudogene</v>
      </c>
    </row>
    <row r="949" spans="1:9" x14ac:dyDescent="0.2">
      <c r="A949" s="3" t="str">
        <f>"ENSG00000237877.6"</f>
        <v>ENSG00000237877.6</v>
      </c>
      <c r="B949" s="3">
        <v>127.326246154656</v>
      </c>
      <c r="C949" s="3">
        <v>-1.2530840273355199</v>
      </c>
      <c r="D949" s="3">
        <v>0.34010321703976598</v>
      </c>
      <c r="E949" s="3">
        <v>-3.6844227415496902</v>
      </c>
      <c r="F949" s="3">
        <v>2.2922153729892399E-4</v>
      </c>
      <c r="G949" s="3">
        <v>1.2003842450093801E-3</v>
      </c>
      <c r="H949" s="3" t="str">
        <f>"LINC01473"</f>
        <v>LINC01473</v>
      </c>
      <c r="I949" s="3" t="str">
        <f>"lincRNA"</f>
        <v>lincRNA</v>
      </c>
    </row>
    <row r="950" spans="1:9" x14ac:dyDescent="0.2">
      <c r="A950" s="3" t="str">
        <f>"ENSG00000144369.13"</f>
        <v>ENSG00000144369.13</v>
      </c>
      <c r="B950" s="3">
        <v>29.243688614045698</v>
      </c>
      <c r="C950" s="3">
        <v>2.60931734337596</v>
      </c>
      <c r="D950" s="3">
        <v>0.70534702991339104</v>
      </c>
      <c r="E950" s="3">
        <v>3.6993383862357101</v>
      </c>
      <c r="F950" s="3">
        <v>2.16162236401919E-4</v>
      </c>
      <c r="G950" s="3">
        <v>1.14077916463476E-3</v>
      </c>
      <c r="H950" s="3" t="str">
        <f>"FAM171B"</f>
        <v>FAM171B</v>
      </c>
      <c r="I950" s="3" t="str">
        <f>"protein_coding"</f>
        <v>protein_coding</v>
      </c>
    </row>
    <row r="951" spans="1:9" x14ac:dyDescent="0.2">
      <c r="A951" s="3" t="str">
        <f>"ENSG00000224063.5"</f>
        <v>ENSG00000224063.5</v>
      </c>
      <c r="B951" s="3">
        <v>1605.89621168245</v>
      </c>
      <c r="C951" s="3">
        <v>-2.9643590280911098</v>
      </c>
      <c r="D951" s="3">
        <v>0.198738665893891</v>
      </c>
      <c r="E951" s="3">
        <v>-14.915864584065501</v>
      </c>
      <c r="F951" s="4">
        <v>2.5988900868229702E-50</v>
      </c>
      <c r="G951" s="4">
        <v>5.3242073831327399E-48</v>
      </c>
      <c r="H951" s="3" t="str">
        <f>"AC007319.1"</f>
        <v>AC007319.1</v>
      </c>
      <c r="I951" s="3" t="str">
        <f>"antisense"</f>
        <v>antisense</v>
      </c>
    </row>
    <row r="952" spans="1:9" x14ac:dyDescent="0.2">
      <c r="A952" s="3" t="str">
        <f>"ENSG00000064989.13"</f>
        <v>ENSG00000064989.13</v>
      </c>
      <c r="B952" s="3">
        <v>6.7186165703951497</v>
      </c>
      <c r="C952" s="3">
        <v>4.6346258604105204</v>
      </c>
      <c r="D952" s="3">
        <v>1.91667348627798</v>
      </c>
      <c r="E952" s="3">
        <v>2.4180570627136801</v>
      </c>
      <c r="F952" s="3">
        <v>1.5603629654432301E-2</v>
      </c>
      <c r="G952" s="3">
        <v>4.6066973365946E-2</v>
      </c>
      <c r="H952" s="3" t="str">
        <f>"CALCRL"</f>
        <v>CALCRL</v>
      </c>
      <c r="I952" s="3" t="str">
        <f t="shared" ref="I952:I959" si="37">"protein_coding"</f>
        <v>protein_coding</v>
      </c>
    </row>
    <row r="953" spans="1:9" x14ac:dyDescent="0.2">
      <c r="A953" s="3" t="str">
        <f>"ENSG00000204262.13"</f>
        <v>ENSG00000204262.13</v>
      </c>
      <c r="B953" s="3">
        <v>162.339111660941</v>
      </c>
      <c r="C953" s="3">
        <v>2.92526953309289</v>
      </c>
      <c r="D953" s="3">
        <v>0.34645039037383202</v>
      </c>
      <c r="E953" s="3">
        <v>8.4435452069671992</v>
      </c>
      <c r="F953" s="4">
        <v>3.0785522920425301E-17</v>
      </c>
      <c r="G953" s="4">
        <v>9.3722138884114994E-16</v>
      </c>
      <c r="H953" s="3" t="str">
        <f>"COL5A2"</f>
        <v>COL5A2</v>
      </c>
      <c r="I953" s="3" t="str">
        <f t="shared" si="37"/>
        <v>protein_coding</v>
      </c>
    </row>
    <row r="954" spans="1:9" x14ac:dyDescent="0.2">
      <c r="A954" s="3" t="str">
        <f>"ENSG00000138449.10"</f>
        <v>ENSG00000138449.10</v>
      </c>
      <c r="B954" s="3">
        <v>4711.2566807864096</v>
      </c>
      <c r="C954" s="3">
        <v>3.1008573601169598</v>
      </c>
      <c r="D954" s="3">
        <v>0.19228728177898199</v>
      </c>
      <c r="E954" s="3">
        <v>16.126169819599099</v>
      </c>
      <c r="F954" s="4">
        <v>1.6706537692312499E-58</v>
      </c>
      <c r="G954" s="4">
        <v>4.5980104293175699E-56</v>
      </c>
      <c r="H954" s="3" t="str">
        <f>"SLC40A1"</f>
        <v>SLC40A1</v>
      </c>
      <c r="I954" s="3" t="str">
        <f t="shared" si="37"/>
        <v>protein_coding</v>
      </c>
    </row>
    <row r="955" spans="1:9" x14ac:dyDescent="0.2">
      <c r="A955" s="3" t="str">
        <f>"ENSG00000187699.10"</f>
        <v>ENSG00000187699.10</v>
      </c>
      <c r="B955" s="3">
        <v>132.66198599395099</v>
      </c>
      <c r="C955" s="3">
        <v>1.1292233306508399</v>
      </c>
      <c r="D955" s="3">
        <v>0.35533366486119899</v>
      </c>
      <c r="E955" s="3">
        <v>3.1779238566994201</v>
      </c>
      <c r="F955" s="3">
        <v>1.4833370069787201E-3</v>
      </c>
      <c r="G955" s="3">
        <v>6.2213916031566502E-3</v>
      </c>
      <c r="H955" s="3" t="str">
        <f>"C2orf88"</f>
        <v>C2orf88</v>
      </c>
      <c r="I955" s="3" t="str">
        <f t="shared" si="37"/>
        <v>protein_coding</v>
      </c>
    </row>
    <row r="956" spans="1:9" x14ac:dyDescent="0.2">
      <c r="A956" s="3" t="str">
        <f>"ENSG00000138379.4"</f>
        <v>ENSG00000138379.4</v>
      </c>
      <c r="B956" s="3">
        <v>4.0735280698875203</v>
      </c>
      <c r="C956" s="3">
        <v>5.4212402584095702</v>
      </c>
      <c r="D956" s="3">
        <v>2.1434463209324499</v>
      </c>
      <c r="E956" s="3">
        <v>2.52921671304146</v>
      </c>
      <c r="F956" s="3">
        <v>1.1431741709104999E-2</v>
      </c>
      <c r="G956" s="3">
        <v>3.5553095120189997E-2</v>
      </c>
      <c r="H956" s="3" t="str">
        <f>"MSTN"</f>
        <v>MSTN</v>
      </c>
      <c r="I956" s="3" t="str">
        <f t="shared" si="37"/>
        <v>protein_coding</v>
      </c>
    </row>
    <row r="957" spans="1:9" x14ac:dyDescent="0.2">
      <c r="A957" s="3" t="str">
        <f>"ENSG00000151689.13"</f>
        <v>ENSG00000151689.13</v>
      </c>
      <c r="B957" s="3">
        <v>1509.32560732807</v>
      </c>
      <c r="C957" s="3">
        <v>1.87885410518673</v>
      </c>
      <c r="D957" s="3">
        <v>0.190756720305743</v>
      </c>
      <c r="E957" s="3">
        <v>9.8494779223259705</v>
      </c>
      <c r="F957" s="4">
        <v>6.8900939643263896E-23</v>
      </c>
      <c r="G957" s="4">
        <v>3.2878176925744501E-21</v>
      </c>
      <c r="H957" s="3" t="str">
        <f>"INPP1"</f>
        <v>INPP1</v>
      </c>
      <c r="I957" s="3" t="str">
        <f t="shared" si="37"/>
        <v>protein_coding</v>
      </c>
    </row>
    <row r="958" spans="1:9" x14ac:dyDescent="0.2">
      <c r="A958" s="3" t="str">
        <f>"ENSG00000151690.15"</f>
        <v>ENSG00000151690.15</v>
      </c>
      <c r="B958" s="3">
        <v>62.316287952776797</v>
      </c>
      <c r="C958" s="3">
        <v>1.12645192767723</v>
      </c>
      <c r="D958" s="3">
        <v>0.45891122343883201</v>
      </c>
      <c r="E958" s="3">
        <v>2.4546183883588899</v>
      </c>
      <c r="F958" s="3">
        <v>1.41034216509805E-2</v>
      </c>
      <c r="G958" s="3">
        <v>4.2414561779720299E-2</v>
      </c>
      <c r="H958" s="3" t="str">
        <f>"MFSD6"</f>
        <v>MFSD6</v>
      </c>
      <c r="I958" s="3" t="str">
        <f t="shared" si="37"/>
        <v>protein_coding</v>
      </c>
    </row>
    <row r="959" spans="1:9" x14ac:dyDescent="0.2">
      <c r="A959" s="3" t="str">
        <f>"ENSG00000138386.17"</f>
        <v>ENSG00000138386.17</v>
      </c>
      <c r="B959" s="3">
        <v>1057.9076301069899</v>
      </c>
      <c r="C959" s="3">
        <v>-1.20017181862406</v>
      </c>
      <c r="D959" s="3">
        <v>0.200453836691181</v>
      </c>
      <c r="E959" s="3">
        <v>-5.9872728725718796</v>
      </c>
      <c r="F959" s="4">
        <v>2.1338861814207599E-9</v>
      </c>
      <c r="G959" s="4">
        <v>2.7673487284707999E-8</v>
      </c>
      <c r="H959" s="3" t="str">
        <f>"NAB1"</f>
        <v>NAB1</v>
      </c>
      <c r="I959" s="3" t="str">
        <f t="shared" si="37"/>
        <v>protein_coding</v>
      </c>
    </row>
    <row r="960" spans="1:9" x14ac:dyDescent="0.2">
      <c r="A960" s="3" t="str">
        <f>"ENSG00000228509.5"</f>
        <v>ENSG00000228509.5</v>
      </c>
      <c r="B960" s="3">
        <v>4.0372899650807801</v>
      </c>
      <c r="C960" s="3">
        <v>5.4095356733146298</v>
      </c>
      <c r="D960" s="3">
        <v>2.1467512296701501</v>
      </c>
      <c r="E960" s="3">
        <v>2.5198707696307201</v>
      </c>
      <c r="F960" s="3">
        <v>1.17397926988685E-2</v>
      </c>
      <c r="G960" s="3">
        <v>3.6345203007166198E-2</v>
      </c>
      <c r="H960" s="3" t="str">
        <f>"AC006460.1"</f>
        <v>AC006460.1</v>
      </c>
      <c r="I960" s="3" t="str">
        <f>"antisense"</f>
        <v>antisense</v>
      </c>
    </row>
    <row r="961" spans="1:9" x14ac:dyDescent="0.2">
      <c r="A961" s="3" t="str">
        <f>"ENSG00000115415.18"</f>
        <v>ENSG00000115415.18</v>
      </c>
      <c r="B961" s="3">
        <v>9177.01862276047</v>
      </c>
      <c r="C961" s="3">
        <v>1.81115260259136</v>
      </c>
      <c r="D961" s="3">
        <v>0.17445678958504299</v>
      </c>
      <c r="E961" s="3">
        <v>10.3816687610686</v>
      </c>
      <c r="F961" s="4">
        <v>3.0047637124235598E-25</v>
      </c>
      <c r="G961" s="4">
        <v>1.70209556907286E-23</v>
      </c>
      <c r="H961" s="3" t="str">
        <f>"STAT1"</f>
        <v>STAT1</v>
      </c>
      <c r="I961" s="3" t="str">
        <f>"protein_coding"</f>
        <v>protein_coding</v>
      </c>
    </row>
    <row r="962" spans="1:9" x14ac:dyDescent="0.2">
      <c r="A962" s="3" t="str">
        <f>"ENSG00000229023.1"</f>
        <v>ENSG00000229023.1</v>
      </c>
      <c r="B962" s="3">
        <v>50.393543172675201</v>
      </c>
      <c r="C962" s="3">
        <v>2.8376651098760299</v>
      </c>
      <c r="D962" s="3">
        <v>0.55609588805938504</v>
      </c>
      <c r="E962" s="3">
        <v>5.1028341888638398</v>
      </c>
      <c r="F962" s="4">
        <v>3.3460415337300702E-7</v>
      </c>
      <c r="G962" s="4">
        <v>3.1073481141630201E-6</v>
      </c>
      <c r="H962" s="3" t="str">
        <f>"AC067945.1"</f>
        <v>AC067945.1</v>
      </c>
      <c r="I962" s="3" t="str">
        <f>"processed_pseudogene"</f>
        <v>processed_pseudogene</v>
      </c>
    </row>
    <row r="963" spans="1:9" x14ac:dyDescent="0.2">
      <c r="A963" s="3" t="str">
        <f>"ENSG00000138378.19"</f>
        <v>ENSG00000138378.19</v>
      </c>
      <c r="B963" s="3">
        <v>34.691464567411401</v>
      </c>
      <c r="C963" s="3">
        <v>3.3574943879855801</v>
      </c>
      <c r="D963" s="3">
        <v>0.75330908441070099</v>
      </c>
      <c r="E963" s="3">
        <v>4.4569944229626302</v>
      </c>
      <c r="F963" s="4">
        <v>8.3116764657673001E-6</v>
      </c>
      <c r="G963" s="4">
        <v>6.0087091712061999E-5</v>
      </c>
      <c r="H963" s="3" t="str">
        <f>"STAT4"</f>
        <v>STAT4</v>
      </c>
      <c r="I963" s="3" t="str">
        <f>"protein_coding"</f>
        <v>protein_coding</v>
      </c>
    </row>
    <row r="964" spans="1:9" x14ac:dyDescent="0.2">
      <c r="A964" s="3" t="str">
        <f>"ENSG00000128641.19"</f>
        <v>ENSG00000128641.19</v>
      </c>
      <c r="B964" s="3">
        <v>5154.2118046128899</v>
      </c>
      <c r="C964" s="3">
        <v>-1.0785412667396099</v>
      </c>
      <c r="D964" s="3">
        <v>0.17634773830719899</v>
      </c>
      <c r="E964" s="3">
        <v>-6.1159914898414298</v>
      </c>
      <c r="F964" s="4">
        <v>9.5958446267298196E-10</v>
      </c>
      <c r="G964" s="4">
        <v>1.31096241918883E-8</v>
      </c>
      <c r="H964" s="3" t="str">
        <f>"MYO1B"</f>
        <v>MYO1B</v>
      </c>
      <c r="I964" s="3" t="str">
        <f>"protein_coding"</f>
        <v>protein_coding</v>
      </c>
    </row>
    <row r="965" spans="1:9" x14ac:dyDescent="0.2">
      <c r="A965" s="3" t="str">
        <f>"ENSG00000252130.1"</f>
        <v>ENSG00000252130.1</v>
      </c>
      <c r="B965" s="3">
        <v>30.974656851835999</v>
      </c>
      <c r="C965" s="3">
        <v>-1.7737685778996</v>
      </c>
      <c r="D965" s="3">
        <v>0.63981361084101496</v>
      </c>
      <c r="E965" s="3">
        <v>-2.7723207944389201</v>
      </c>
      <c r="F965" s="3">
        <v>5.5658156079228397E-3</v>
      </c>
      <c r="G965" s="3">
        <v>1.9474993947485999E-2</v>
      </c>
      <c r="H965" s="3" t="str">
        <f>"RNU6-1045P"</f>
        <v>RNU6-1045P</v>
      </c>
      <c r="I965" s="3" t="str">
        <f>"snRNA"</f>
        <v>snRNA</v>
      </c>
    </row>
    <row r="966" spans="1:9" x14ac:dyDescent="0.2">
      <c r="A966" s="3" t="str">
        <f>"ENSG00000173559.12"</f>
        <v>ENSG00000173559.12</v>
      </c>
      <c r="B966" s="3">
        <v>3962.4125765406402</v>
      </c>
      <c r="C966" s="3">
        <v>1.9128395575086501</v>
      </c>
      <c r="D966" s="3">
        <v>0.21569840611521399</v>
      </c>
      <c r="E966" s="3">
        <v>8.8681209655620492</v>
      </c>
      <c r="F966" s="4">
        <v>7.43904948120276E-19</v>
      </c>
      <c r="G966" s="4">
        <v>2.5919665116922199E-17</v>
      </c>
      <c r="H966" s="3" t="str">
        <f>"NABP1"</f>
        <v>NABP1</v>
      </c>
      <c r="I966" s="3" t="str">
        <f>"protein_coding"</f>
        <v>protein_coding</v>
      </c>
    </row>
    <row r="967" spans="1:9" x14ac:dyDescent="0.2">
      <c r="A967" s="3" t="str">
        <f>"ENSG00000224099.1"</f>
        <v>ENSG00000224099.1</v>
      </c>
      <c r="B967" s="3">
        <v>3.8168555458674298</v>
      </c>
      <c r="C967" s="3">
        <v>5.3279350919035302</v>
      </c>
      <c r="D967" s="3">
        <v>2.1809774924298599</v>
      </c>
      <c r="E967" s="3">
        <v>2.4429115432858599</v>
      </c>
      <c r="F967" s="3">
        <v>1.4569307781241599E-2</v>
      </c>
      <c r="G967" s="3">
        <v>4.3474967595607303E-2</v>
      </c>
      <c r="H967" s="3" t="str">
        <f>"AC104823.1"</f>
        <v>AC104823.1</v>
      </c>
      <c r="I967" s="3" t="str">
        <f>"lincRNA"</f>
        <v>lincRNA</v>
      </c>
    </row>
    <row r="968" spans="1:9" x14ac:dyDescent="0.2">
      <c r="A968" s="3" t="str">
        <f>"ENSG00000196950.14"</f>
        <v>ENSG00000196950.14</v>
      </c>
      <c r="B968" s="3">
        <v>2505.59614538506</v>
      </c>
      <c r="C968" s="3">
        <v>1.50992510461468</v>
      </c>
      <c r="D968" s="3">
        <v>0.20463013410436601</v>
      </c>
      <c r="E968" s="3">
        <v>7.3788013247579096</v>
      </c>
      <c r="F968" s="4">
        <v>1.5972096092156501E-13</v>
      </c>
      <c r="G968" s="4">
        <v>3.4998720592296999E-12</v>
      </c>
      <c r="H968" s="3" t="str">
        <f>"SLC39A10"</f>
        <v>SLC39A10</v>
      </c>
      <c r="I968" s="3" t="str">
        <f t="shared" ref="I968:I975" si="38">"protein_coding"</f>
        <v>protein_coding</v>
      </c>
    </row>
    <row r="969" spans="1:9" x14ac:dyDescent="0.2">
      <c r="A969" s="3" t="str">
        <f>"ENSG00000118997.14"</f>
        <v>ENSG00000118997.14</v>
      </c>
      <c r="B969" s="3">
        <v>28.838380707898001</v>
      </c>
      <c r="C969" s="3">
        <v>4.4193799326496199</v>
      </c>
      <c r="D969" s="3">
        <v>0.89123686385019696</v>
      </c>
      <c r="E969" s="3">
        <v>4.9587041469061797</v>
      </c>
      <c r="F969" s="4">
        <v>7.0964941241285004E-7</v>
      </c>
      <c r="G969" s="4">
        <v>6.2273164380073897E-6</v>
      </c>
      <c r="H969" s="3" t="str">
        <f>"DNAH7"</f>
        <v>DNAH7</v>
      </c>
      <c r="I969" s="3" t="str">
        <f t="shared" si="38"/>
        <v>protein_coding</v>
      </c>
    </row>
    <row r="970" spans="1:9" x14ac:dyDescent="0.2">
      <c r="A970" s="3" t="str">
        <f>"ENSG00000138411.13"</f>
        <v>ENSG00000138411.13</v>
      </c>
      <c r="B970" s="3">
        <v>32.171369828101803</v>
      </c>
      <c r="C970" s="3">
        <v>3.2261637015818598</v>
      </c>
      <c r="D970" s="3">
        <v>0.70830817145889302</v>
      </c>
      <c r="E970" s="3">
        <v>4.5547458459175703</v>
      </c>
      <c r="F970" s="4">
        <v>5.2448952483926304E-6</v>
      </c>
      <c r="G970" s="4">
        <v>3.94573172302474E-5</v>
      </c>
      <c r="H970" s="3" t="str">
        <f>"HECW2"</f>
        <v>HECW2</v>
      </c>
      <c r="I970" s="3" t="str">
        <f t="shared" si="38"/>
        <v>protein_coding</v>
      </c>
    </row>
    <row r="971" spans="1:9" x14ac:dyDescent="0.2">
      <c r="A971" s="3" t="str">
        <f>"ENSG00000187944.2"</f>
        <v>ENSG00000187944.2</v>
      </c>
      <c r="B971" s="3">
        <v>4.3694444890872397</v>
      </c>
      <c r="C971" s="3">
        <v>5.5278073040699196</v>
      </c>
      <c r="D971" s="3">
        <v>2.1223585767351398</v>
      </c>
      <c r="E971" s="3">
        <v>2.6045586097771598</v>
      </c>
      <c r="F971" s="3">
        <v>9.1992685622235906E-3</v>
      </c>
      <c r="G971" s="3">
        <v>2.9634957497624299E-2</v>
      </c>
      <c r="H971" s="3" t="str">
        <f>"C2orf66"</f>
        <v>C2orf66</v>
      </c>
      <c r="I971" s="3" t="str">
        <f t="shared" si="38"/>
        <v>protein_coding</v>
      </c>
    </row>
    <row r="972" spans="1:9" x14ac:dyDescent="0.2">
      <c r="A972" s="3" t="str">
        <f>"ENSG00000197121.15"</f>
        <v>ENSG00000197121.15</v>
      </c>
      <c r="B972" s="3">
        <v>3645.3129960996998</v>
      </c>
      <c r="C972" s="3">
        <v>2.2898453650972401</v>
      </c>
      <c r="D972" s="3">
        <v>0.20289939119450501</v>
      </c>
      <c r="E972" s="3">
        <v>11.285619693664501</v>
      </c>
      <c r="F972" s="4">
        <v>1.5454855087759399E-29</v>
      </c>
      <c r="G972" s="4">
        <v>1.16325534965796E-27</v>
      </c>
      <c r="H972" s="3" t="str">
        <f>"PGAP1"</f>
        <v>PGAP1</v>
      </c>
      <c r="I972" s="3" t="str">
        <f t="shared" si="38"/>
        <v>protein_coding</v>
      </c>
    </row>
    <row r="973" spans="1:9" x14ac:dyDescent="0.2">
      <c r="A973" s="3" t="str">
        <f>"ENSG00000065413.20"</f>
        <v>ENSG00000065413.20</v>
      </c>
      <c r="B973" s="3">
        <v>26.6991732402259</v>
      </c>
      <c r="C973" s="3">
        <v>2.0544457705936399</v>
      </c>
      <c r="D973" s="3">
        <v>0.70188043699207903</v>
      </c>
      <c r="E973" s="3">
        <v>2.9270594567331201</v>
      </c>
      <c r="F973" s="3">
        <v>3.4218345758641202E-3</v>
      </c>
      <c r="G973" s="3">
        <v>1.28262780725015E-2</v>
      </c>
      <c r="H973" s="3" t="str">
        <f>"ANKRD44"</f>
        <v>ANKRD44</v>
      </c>
      <c r="I973" s="3" t="str">
        <f t="shared" si="38"/>
        <v>protein_coding</v>
      </c>
    </row>
    <row r="974" spans="1:9" x14ac:dyDescent="0.2">
      <c r="A974" s="3" t="str">
        <f>"ENSG00000115896.16"</f>
        <v>ENSG00000115896.16</v>
      </c>
      <c r="B974" s="3">
        <v>11.7742074873777</v>
      </c>
      <c r="C974" s="3">
        <v>3.8408448883616102</v>
      </c>
      <c r="D974" s="3">
        <v>1.2673253212051601</v>
      </c>
      <c r="E974" s="3">
        <v>3.0306700450908499</v>
      </c>
      <c r="F974" s="3">
        <v>2.4401174260976102E-3</v>
      </c>
      <c r="G974" s="3">
        <v>9.5566881570909104E-3</v>
      </c>
      <c r="H974" s="3" t="str">
        <f>"PLCL1"</f>
        <v>PLCL1</v>
      </c>
      <c r="I974" s="3" t="str">
        <f t="shared" si="38"/>
        <v>protein_coding</v>
      </c>
    </row>
    <row r="975" spans="1:9" x14ac:dyDescent="0.2">
      <c r="A975" s="3" t="str">
        <f>"ENSG00000138356.14"</f>
        <v>ENSG00000138356.14</v>
      </c>
      <c r="B975" s="3">
        <v>1457.3691966978099</v>
      </c>
      <c r="C975" s="3">
        <v>1.77224880894243</v>
      </c>
      <c r="D975" s="3">
        <v>0.19340244014678001</v>
      </c>
      <c r="E975" s="3">
        <v>9.1635286896970403</v>
      </c>
      <c r="F975" s="4">
        <v>5.0227445309227897E-20</v>
      </c>
      <c r="G975" s="4">
        <v>1.9357103286287601E-18</v>
      </c>
      <c r="H975" s="3" t="str">
        <f>"AOX1"</f>
        <v>AOX1</v>
      </c>
      <c r="I975" s="3" t="str">
        <f t="shared" si="38"/>
        <v>protein_coding</v>
      </c>
    </row>
    <row r="976" spans="1:9" x14ac:dyDescent="0.2">
      <c r="A976" s="3" t="str">
        <f>"ENSG00000243478.9"</f>
        <v>ENSG00000243478.9</v>
      </c>
      <c r="B976" s="3">
        <v>9.4668247636447305</v>
      </c>
      <c r="C976" s="3">
        <v>5.1600674645694999</v>
      </c>
      <c r="D976" s="3">
        <v>1.76129511519364</v>
      </c>
      <c r="E976" s="3">
        <v>2.92970066177819</v>
      </c>
      <c r="F976" s="3">
        <v>3.3928867091695598E-3</v>
      </c>
      <c r="G976" s="3">
        <v>1.27318821942868E-2</v>
      </c>
      <c r="H976" s="3" t="str">
        <f>"AOX2P"</f>
        <v>AOX2P</v>
      </c>
      <c r="I976" s="3" t="str">
        <f>"transcribed_unprocessed_pseudogene"</f>
        <v>transcribed_unprocessed_pseudogene</v>
      </c>
    </row>
    <row r="977" spans="1:9" x14ac:dyDescent="0.2">
      <c r="A977" s="3" t="str">
        <f>"ENSG00000224672.4"</f>
        <v>ENSG00000224672.4</v>
      </c>
      <c r="B977" s="3">
        <v>18.198954259389001</v>
      </c>
      <c r="C977" s="3">
        <v>2.9600327734421201</v>
      </c>
      <c r="D977" s="3">
        <v>0.917378748376527</v>
      </c>
      <c r="E977" s="3">
        <v>3.22662017043718</v>
      </c>
      <c r="F977" s="3">
        <v>1.2526161994494401E-3</v>
      </c>
      <c r="G977" s="3">
        <v>5.3705877880787997E-3</v>
      </c>
      <c r="H977" s="3" t="str">
        <f>"RPL17P10"</f>
        <v>RPL17P10</v>
      </c>
      <c r="I977" s="3" t="str">
        <f>"processed_pseudogene"</f>
        <v>processed_pseudogene</v>
      </c>
    </row>
    <row r="978" spans="1:9" x14ac:dyDescent="0.2">
      <c r="A978" s="3" t="str">
        <f>"ENSG00000003400.14"</f>
        <v>ENSG00000003400.14</v>
      </c>
      <c r="B978" s="3">
        <v>1896.0701914241399</v>
      </c>
      <c r="C978" s="3">
        <v>1.0793512612493601</v>
      </c>
      <c r="D978" s="3">
        <v>0.18208786089346801</v>
      </c>
      <c r="E978" s="3">
        <v>5.9276398544812698</v>
      </c>
      <c r="F978" s="4">
        <v>3.0731958437391899E-9</v>
      </c>
      <c r="G978" s="4">
        <v>3.9165279305127102E-8</v>
      </c>
      <c r="H978" s="3" t="str">
        <f>"CASP10"</f>
        <v>CASP10</v>
      </c>
      <c r="I978" s="3" t="str">
        <f>"protein_coding"</f>
        <v>protein_coding</v>
      </c>
    </row>
    <row r="979" spans="1:9" x14ac:dyDescent="0.2">
      <c r="A979" s="3" t="str">
        <f>"ENSG00000213090.2"</f>
        <v>ENSG00000213090.2</v>
      </c>
      <c r="B979" s="3">
        <v>94.167376353092706</v>
      </c>
      <c r="C979" s="3">
        <v>1.3488952831200001</v>
      </c>
      <c r="D979" s="3">
        <v>0.42104844019081</v>
      </c>
      <c r="E979" s="3">
        <v>3.20365818837544</v>
      </c>
      <c r="F979" s="3">
        <v>1.3569347246776601E-3</v>
      </c>
      <c r="G979" s="3">
        <v>5.7643281015422702E-3</v>
      </c>
      <c r="H979" s="3" t="str">
        <f>"AC007256.1"</f>
        <v>AC007256.1</v>
      </c>
      <c r="I979" s="3" t="str">
        <f>"processed_pseudogene"</f>
        <v>processed_pseudogene</v>
      </c>
    </row>
    <row r="980" spans="1:9" x14ac:dyDescent="0.2">
      <c r="A980" s="3" t="str">
        <f>"ENSG00000155754.15"</f>
        <v>ENSG00000155754.15</v>
      </c>
      <c r="B980" s="3">
        <v>17.242482484233701</v>
      </c>
      <c r="C980" s="3">
        <v>6.0387176711752701</v>
      </c>
      <c r="D980" s="3">
        <v>1.6403539930058799</v>
      </c>
      <c r="E980" s="3">
        <v>3.6813503042166902</v>
      </c>
      <c r="F980" s="3">
        <v>2.3200198918628401E-4</v>
      </c>
      <c r="G980" s="3">
        <v>1.2130796774819999E-3</v>
      </c>
      <c r="H980" s="3" t="str">
        <f>"C2CD6"</f>
        <v>C2CD6</v>
      </c>
      <c r="I980" s="3" t="str">
        <f t="shared" ref="I980:I991" si="39">"protein_coding"</f>
        <v>protein_coding</v>
      </c>
    </row>
    <row r="981" spans="1:9" x14ac:dyDescent="0.2">
      <c r="A981" s="3" t="str">
        <f>"ENSG00000082126.18"</f>
        <v>ENSG00000082126.18</v>
      </c>
      <c r="B981" s="3">
        <v>13.217091150591999</v>
      </c>
      <c r="C981" s="3">
        <v>4.6218153510090003</v>
      </c>
      <c r="D981" s="3">
        <v>1.33274451425642</v>
      </c>
      <c r="E981" s="3">
        <v>3.4678929844161801</v>
      </c>
      <c r="F981" s="3">
        <v>5.2455613769112404E-4</v>
      </c>
      <c r="G981" s="3">
        <v>2.4995769646152599E-3</v>
      </c>
      <c r="H981" s="3" t="str">
        <f>"MPP4"</f>
        <v>MPP4</v>
      </c>
      <c r="I981" s="3" t="str">
        <f t="shared" si="39"/>
        <v>protein_coding</v>
      </c>
    </row>
    <row r="982" spans="1:9" x14ac:dyDescent="0.2">
      <c r="A982" s="3" t="str">
        <f>"ENSG00000138395.15"</f>
        <v>ENSG00000138395.15</v>
      </c>
      <c r="B982" s="3">
        <v>13.6911489345425</v>
      </c>
      <c r="C982" s="3">
        <v>7.1721300879490997</v>
      </c>
      <c r="D982" s="3">
        <v>1.6842598683910399</v>
      </c>
      <c r="E982" s="3">
        <v>4.2583274841076602</v>
      </c>
      <c r="F982" s="4">
        <v>2.0596207524148599E-5</v>
      </c>
      <c r="G982" s="3">
        <v>1.3657455984679399E-4</v>
      </c>
      <c r="H982" s="3" t="str">
        <f>"CDK15"</f>
        <v>CDK15</v>
      </c>
      <c r="I982" s="3" t="str">
        <f t="shared" si="39"/>
        <v>protein_coding</v>
      </c>
    </row>
    <row r="983" spans="1:9" x14ac:dyDescent="0.2">
      <c r="A983" s="3" t="str">
        <f>"ENSG00000155760.2"</f>
        <v>ENSG00000155760.2</v>
      </c>
      <c r="B983" s="3">
        <v>108.801843875758</v>
      </c>
      <c r="C983" s="3">
        <v>-2.0595705959886002</v>
      </c>
      <c r="D983" s="3">
        <v>0.388395942123829</v>
      </c>
      <c r="E983" s="3">
        <v>-5.3027603345350096</v>
      </c>
      <c r="F983" s="4">
        <v>1.14064630700155E-7</v>
      </c>
      <c r="G983" s="4">
        <v>1.14852882213123E-6</v>
      </c>
      <c r="H983" s="3" t="str">
        <f>"FZD7"</f>
        <v>FZD7</v>
      </c>
      <c r="I983" s="3" t="str">
        <f t="shared" si="39"/>
        <v>protein_coding</v>
      </c>
    </row>
    <row r="984" spans="1:9" x14ac:dyDescent="0.2">
      <c r="A984" s="3" t="str">
        <f>"ENSG00000182329.13"</f>
        <v>ENSG00000182329.13</v>
      </c>
      <c r="B984" s="3">
        <v>7.3770385677147798</v>
      </c>
      <c r="C984" s="3">
        <v>6.2789249680386803</v>
      </c>
      <c r="D984" s="3">
        <v>1.86209762343444</v>
      </c>
      <c r="E984" s="3">
        <v>3.3719633648733698</v>
      </c>
      <c r="F984" s="3">
        <v>7.4634375373145204E-4</v>
      </c>
      <c r="G984" s="3">
        <v>3.4209261222604799E-3</v>
      </c>
      <c r="H984" s="3" t="str">
        <f>"KIAA2012"</f>
        <v>KIAA2012</v>
      </c>
      <c r="I984" s="3" t="str">
        <f t="shared" si="39"/>
        <v>protein_coding</v>
      </c>
    </row>
    <row r="985" spans="1:9" x14ac:dyDescent="0.2">
      <c r="A985" s="3" t="str">
        <f>"ENSG00000138380.18"</f>
        <v>ENSG00000138380.18</v>
      </c>
      <c r="B985" s="3">
        <v>181.36385752125199</v>
      </c>
      <c r="C985" s="3">
        <v>2.1346085672286601</v>
      </c>
      <c r="D985" s="3">
        <v>0.33951730608835501</v>
      </c>
      <c r="E985" s="3">
        <v>6.2871863346876102</v>
      </c>
      <c r="F985" s="4">
        <v>3.2327128223472601E-10</v>
      </c>
      <c r="G985" s="4">
        <v>4.6702930154027504E-9</v>
      </c>
      <c r="H985" s="3" t="str">
        <f>"CARF"</f>
        <v>CARF</v>
      </c>
      <c r="I985" s="3" t="str">
        <f t="shared" si="39"/>
        <v>protein_coding</v>
      </c>
    </row>
    <row r="986" spans="1:9" x14ac:dyDescent="0.2">
      <c r="A986" s="3" t="str">
        <f>"ENSG00000173166.18"</f>
        <v>ENSG00000173166.18</v>
      </c>
      <c r="B986" s="3">
        <v>1469.85448962128</v>
      </c>
      <c r="C986" s="3">
        <v>-1.07219806118131</v>
      </c>
      <c r="D986" s="3">
        <v>0.19185858784231399</v>
      </c>
      <c r="E986" s="3">
        <v>-5.5884809392141497</v>
      </c>
      <c r="F986" s="4">
        <v>2.2906451439209001E-8</v>
      </c>
      <c r="G986" s="4">
        <v>2.5973037135419401E-7</v>
      </c>
      <c r="H986" s="3" t="str">
        <f>"RAPH1"</f>
        <v>RAPH1</v>
      </c>
      <c r="I986" s="3" t="str">
        <f t="shared" si="39"/>
        <v>protein_coding</v>
      </c>
    </row>
    <row r="987" spans="1:9" x14ac:dyDescent="0.2">
      <c r="A987" s="3" t="str">
        <f>"ENSG00000178562.18"</f>
        <v>ENSG00000178562.18</v>
      </c>
      <c r="B987" s="3">
        <v>4.7710694323342899</v>
      </c>
      <c r="C987" s="3">
        <v>5.6498655801083801</v>
      </c>
      <c r="D987" s="3">
        <v>2.0548781453748601</v>
      </c>
      <c r="E987" s="3">
        <v>2.7494893518747898</v>
      </c>
      <c r="F987" s="3">
        <v>5.9688202149847996E-3</v>
      </c>
      <c r="G987" s="3">
        <v>2.05942059513348E-2</v>
      </c>
      <c r="H987" s="3" t="str">
        <f>"CD28"</f>
        <v>CD28</v>
      </c>
      <c r="I987" s="3" t="str">
        <f t="shared" si="39"/>
        <v>protein_coding</v>
      </c>
    </row>
    <row r="988" spans="1:9" x14ac:dyDescent="0.2">
      <c r="A988" s="3" t="str">
        <f>"ENSG00000118257.16"</f>
        <v>ENSG00000118257.16</v>
      </c>
      <c r="B988" s="3">
        <v>5536.4935046970104</v>
      </c>
      <c r="C988" s="3">
        <v>1.80588430776447</v>
      </c>
      <c r="D988" s="3">
        <v>0.19284735049405199</v>
      </c>
      <c r="E988" s="3">
        <v>9.3643200341513992</v>
      </c>
      <c r="F988" s="4">
        <v>7.6541535921326494E-21</v>
      </c>
      <c r="G988" s="4">
        <v>3.2184062179759002E-19</v>
      </c>
      <c r="H988" s="3" t="str">
        <f>"NRP2"</f>
        <v>NRP2</v>
      </c>
      <c r="I988" s="3" t="str">
        <f t="shared" si="39"/>
        <v>protein_coding</v>
      </c>
    </row>
    <row r="989" spans="1:9" x14ac:dyDescent="0.2">
      <c r="A989" s="3" t="str">
        <f>"ENSG00000204186.9"</f>
        <v>ENSG00000204186.9</v>
      </c>
      <c r="B989" s="3">
        <v>191.56056953046701</v>
      </c>
      <c r="C989" s="3">
        <v>1.82954479571634</v>
      </c>
      <c r="D989" s="3">
        <v>0.319730725020686</v>
      </c>
      <c r="E989" s="3">
        <v>5.7221425798161096</v>
      </c>
      <c r="F989" s="4">
        <v>1.0518897128672701E-8</v>
      </c>
      <c r="G989" s="4">
        <v>1.2445001739685001E-7</v>
      </c>
      <c r="H989" s="3" t="str">
        <f>"ZDBF2"</f>
        <v>ZDBF2</v>
      </c>
      <c r="I989" s="3" t="str">
        <f t="shared" si="39"/>
        <v>protein_coding</v>
      </c>
    </row>
    <row r="990" spans="1:9" x14ac:dyDescent="0.2">
      <c r="A990" s="3" t="str">
        <f>"ENSG00000114948.13"</f>
        <v>ENSG00000114948.13</v>
      </c>
      <c r="B990" s="3">
        <v>168.12609496935599</v>
      </c>
      <c r="C990" s="3">
        <v>7.0140980092605796</v>
      </c>
      <c r="D990" s="3">
        <v>0.71199338022630598</v>
      </c>
      <c r="E990" s="3">
        <v>9.8513528412738207</v>
      </c>
      <c r="F990" s="4">
        <v>6.7627484871824395E-23</v>
      </c>
      <c r="G990" s="4">
        <v>3.23271242158351E-21</v>
      </c>
      <c r="H990" s="3" t="str">
        <f>"ADAM23"</f>
        <v>ADAM23</v>
      </c>
      <c r="I990" s="3" t="str">
        <f t="shared" si="39"/>
        <v>protein_coding</v>
      </c>
    </row>
    <row r="991" spans="1:9" x14ac:dyDescent="0.2">
      <c r="A991" s="3" t="str">
        <f>"ENSG00000118263.15"</f>
        <v>ENSG00000118263.15</v>
      </c>
      <c r="B991" s="3">
        <v>372.39830789847701</v>
      </c>
      <c r="C991" s="3">
        <v>-2.13184944684363</v>
      </c>
      <c r="D991" s="3">
        <v>0.246759386772748</v>
      </c>
      <c r="E991" s="3">
        <v>-8.6393854139658508</v>
      </c>
      <c r="F991" s="4">
        <v>5.65162160081112E-18</v>
      </c>
      <c r="G991" s="4">
        <v>1.82452291181636E-16</v>
      </c>
      <c r="H991" s="3" t="str">
        <f>"KLF7"</f>
        <v>KLF7</v>
      </c>
      <c r="I991" s="3" t="str">
        <f t="shared" si="39"/>
        <v>protein_coding</v>
      </c>
    </row>
    <row r="992" spans="1:9" x14ac:dyDescent="0.2">
      <c r="A992" s="3" t="str">
        <f>"ENSG00000223725.6"</f>
        <v>ENSG00000223725.6</v>
      </c>
      <c r="B992" s="3">
        <v>30.432992281432799</v>
      </c>
      <c r="C992" s="3">
        <v>2.38030239317813</v>
      </c>
      <c r="D992" s="3">
        <v>0.67560069305633796</v>
      </c>
      <c r="E992" s="3">
        <v>3.5232385307509499</v>
      </c>
      <c r="F992" s="3">
        <v>4.26307500490118E-4</v>
      </c>
      <c r="G992" s="3">
        <v>2.08127584050425E-3</v>
      </c>
      <c r="H992" s="3" t="str">
        <f>"AC009226.1"</f>
        <v>AC009226.1</v>
      </c>
      <c r="I992" s="3" t="str">
        <f>"antisense"</f>
        <v>antisense</v>
      </c>
    </row>
    <row r="993" spans="1:9" x14ac:dyDescent="0.2">
      <c r="A993" s="3" t="str">
        <f>"ENSG00000178385.15"</f>
        <v>ENSG00000178385.15</v>
      </c>
      <c r="B993" s="3">
        <v>1582.31551171819</v>
      </c>
      <c r="C993" s="3">
        <v>1.5705251998321701</v>
      </c>
      <c r="D993" s="3">
        <v>0.18747696054235499</v>
      </c>
      <c r="E993" s="3">
        <v>8.37716376075638</v>
      </c>
      <c r="F993" s="4">
        <v>5.4218384314216903E-17</v>
      </c>
      <c r="G993" s="4">
        <v>1.60924653312578E-15</v>
      </c>
      <c r="H993" s="3" t="str">
        <f>"PLEKHM3"</f>
        <v>PLEKHM3</v>
      </c>
      <c r="I993" s="3" t="str">
        <f>"protein_coding"</f>
        <v>protein_coding</v>
      </c>
    </row>
    <row r="994" spans="1:9" x14ac:dyDescent="0.2">
      <c r="A994" s="3" t="str">
        <f>"ENSG00000225111.1"</f>
        <v>ENSG00000225111.1</v>
      </c>
      <c r="B994" s="3">
        <v>143.77696046726899</v>
      </c>
      <c r="C994" s="3">
        <v>4.2963554906285504</v>
      </c>
      <c r="D994" s="3">
        <v>0.44363965784728698</v>
      </c>
      <c r="E994" s="3">
        <v>9.6843359574212506</v>
      </c>
      <c r="F994" s="4">
        <v>3.5148515002464601E-22</v>
      </c>
      <c r="G994" s="4">
        <v>1.6068650809935399E-20</v>
      </c>
      <c r="H994" s="3" t="str">
        <f>"AC083900.1"</f>
        <v>AC083900.1</v>
      </c>
      <c r="I994" s="3" t="str">
        <f>"sense_intronic"</f>
        <v>sense_intronic</v>
      </c>
    </row>
    <row r="995" spans="1:9" x14ac:dyDescent="0.2">
      <c r="A995" s="3" t="str">
        <f>"ENSG00000138413.13"</f>
        <v>ENSG00000138413.13</v>
      </c>
      <c r="B995" s="3">
        <v>8404.2243534127992</v>
      </c>
      <c r="C995" s="3">
        <v>-1.7358179152272999</v>
      </c>
      <c r="D995" s="3">
        <v>0.17975649807140101</v>
      </c>
      <c r="E995" s="3">
        <v>-9.6564960591178099</v>
      </c>
      <c r="F995" s="4">
        <v>4.6137502790910903E-22</v>
      </c>
      <c r="G995" s="4">
        <v>2.09169473967379E-20</v>
      </c>
      <c r="H995" s="3" t="str">
        <f>"IDH1"</f>
        <v>IDH1</v>
      </c>
      <c r="I995" s="3" t="str">
        <f>"protein_coding"</f>
        <v>protein_coding</v>
      </c>
    </row>
    <row r="996" spans="1:9" x14ac:dyDescent="0.2">
      <c r="A996" s="3" t="str">
        <f>"ENSG00000078018.19"</f>
        <v>ENSG00000078018.19</v>
      </c>
      <c r="B996" s="3">
        <v>15.9259742875195</v>
      </c>
      <c r="C996" s="3">
        <v>3.5016904182327799</v>
      </c>
      <c r="D996" s="3">
        <v>1.03847967460142</v>
      </c>
      <c r="E996" s="3">
        <v>3.37193929151936</v>
      </c>
      <c r="F996" s="3">
        <v>7.4640899169958405E-4</v>
      </c>
      <c r="G996" s="3">
        <v>3.4209261222604799E-3</v>
      </c>
      <c r="H996" s="3" t="str">
        <f>"MAP2"</f>
        <v>MAP2</v>
      </c>
      <c r="I996" s="3" t="str">
        <f>"protein_coding"</f>
        <v>protein_coding</v>
      </c>
    </row>
    <row r="997" spans="1:9" x14ac:dyDescent="0.2">
      <c r="A997" s="3" t="str">
        <f>"ENSG00000144406.18"</f>
        <v>ENSG00000144406.18</v>
      </c>
      <c r="B997" s="3">
        <v>31.232385729386198</v>
      </c>
      <c r="C997" s="3">
        <v>8.3606444468709</v>
      </c>
      <c r="D997" s="3">
        <v>1.5582639916951</v>
      </c>
      <c r="E997" s="3">
        <v>5.36535817514212</v>
      </c>
      <c r="F997" s="4">
        <v>8.0788739470943399E-8</v>
      </c>
      <c r="G997" s="4">
        <v>8.32545682437516E-7</v>
      </c>
      <c r="H997" s="3" t="str">
        <f>"UNC80"</f>
        <v>UNC80</v>
      </c>
      <c r="I997" s="3" t="str">
        <f>"protein_coding"</f>
        <v>protein_coding</v>
      </c>
    </row>
    <row r="998" spans="1:9" x14ac:dyDescent="0.2">
      <c r="A998" s="3" t="str">
        <f>"ENSG00000115361.8"</f>
        <v>ENSG00000115361.8</v>
      </c>
      <c r="B998" s="3">
        <v>5.1032239563407602</v>
      </c>
      <c r="C998" s="3">
        <v>5.7506729751476504</v>
      </c>
      <c r="D998" s="3">
        <v>2.0308236987250701</v>
      </c>
      <c r="E998" s="3">
        <v>2.8316948333613898</v>
      </c>
      <c r="F998" s="3">
        <v>4.6302015401490301E-3</v>
      </c>
      <c r="G998" s="3">
        <v>1.6623942728217201E-2</v>
      </c>
      <c r="H998" s="3" t="str">
        <f>"ACADL"</f>
        <v>ACADL</v>
      </c>
      <c r="I998" s="3" t="str">
        <f>"protein_coding"</f>
        <v>protein_coding</v>
      </c>
    </row>
    <row r="999" spans="1:9" x14ac:dyDescent="0.2">
      <c r="A999" s="3" t="str">
        <f>"ENSG00000178568.15"</f>
        <v>ENSG00000178568.15</v>
      </c>
      <c r="B999" s="3">
        <v>34.988414636974298</v>
      </c>
      <c r="C999" s="3">
        <v>5.4583583226117902</v>
      </c>
      <c r="D999" s="3">
        <v>1.0138773257109801</v>
      </c>
      <c r="E999" s="3">
        <v>5.3836476901030501</v>
      </c>
      <c r="F999" s="4">
        <v>7.2991304082264699E-8</v>
      </c>
      <c r="G999" s="4">
        <v>7.5995187708424405E-7</v>
      </c>
      <c r="H999" s="3" t="str">
        <f>"ERBB4"</f>
        <v>ERBB4</v>
      </c>
      <c r="I999" s="3" t="str">
        <f>"protein_coding"</f>
        <v>protein_coding</v>
      </c>
    </row>
    <row r="1000" spans="1:9" x14ac:dyDescent="0.2">
      <c r="A1000" s="3" t="str">
        <f>"ENSG00000197585.9"</f>
        <v>ENSG00000197585.9</v>
      </c>
      <c r="B1000" s="3">
        <v>9.9828831730427705</v>
      </c>
      <c r="C1000" s="3">
        <v>5.2259919999068396</v>
      </c>
      <c r="D1000" s="3">
        <v>1.8029372945147699</v>
      </c>
      <c r="E1000" s="3">
        <v>2.89859886741836</v>
      </c>
      <c r="F1000" s="3">
        <v>3.7483411044329602E-3</v>
      </c>
      <c r="G1000" s="3">
        <v>1.3878387018954301E-2</v>
      </c>
      <c r="H1000" s="3" t="str">
        <f>"AC068051.1"</f>
        <v>AC068051.1</v>
      </c>
      <c r="I1000" s="3" t="str">
        <f>"antisense"</f>
        <v>antisense</v>
      </c>
    </row>
    <row r="1001" spans="1:9" x14ac:dyDescent="0.2">
      <c r="A1001" s="3" t="str">
        <f>"ENSG00000174453.9"</f>
        <v>ENSG00000174453.9</v>
      </c>
      <c r="B1001" s="3">
        <v>4.9552657467409</v>
      </c>
      <c r="C1001" s="3">
        <v>5.7059742842858201</v>
      </c>
      <c r="D1001" s="3">
        <v>2.0354097879191899</v>
      </c>
      <c r="E1001" s="3">
        <v>2.8033540558528398</v>
      </c>
      <c r="F1001" s="3">
        <v>5.0574115774759702E-3</v>
      </c>
      <c r="G1001" s="3">
        <v>1.7900661633084899E-2</v>
      </c>
      <c r="H1001" s="3" t="str">
        <f>"VWC2L"</f>
        <v>VWC2L</v>
      </c>
      <c r="I1001" s="3" t="str">
        <f>"protein_coding"</f>
        <v>protein_coding</v>
      </c>
    </row>
    <row r="1002" spans="1:9" x14ac:dyDescent="0.2">
      <c r="A1002" s="3" t="str">
        <f>"ENSG00000138376.11"</f>
        <v>ENSG00000138376.11</v>
      </c>
      <c r="B1002" s="3">
        <v>869.23407551663797</v>
      </c>
      <c r="C1002" s="3">
        <v>-1.25381067441853</v>
      </c>
      <c r="D1002" s="3">
        <v>0.205219570992239</v>
      </c>
      <c r="E1002" s="3">
        <v>-6.1096057669175901</v>
      </c>
      <c r="F1002" s="4">
        <v>9.9877547494394501E-10</v>
      </c>
      <c r="G1002" s="4">
        <v>1.35661193249241E-8</v>
      </c>
      <c r="H1002" s="3" t="str">
        <f>"BARD1"</f>
        <v>BARD1</v>
      </c>
      <c r="I1002" s="3" t="str">
        <f>"protein_coding"</f>
        <v>protein_coding</v>
      </c>
    </row>
    <row r="1003" spans="1:9" x14ac:dyDescent="0.2">
      <c r="A1003" s="3" t="str">
        <f>"ENSG00000144452.15"</f>
        <v>ENSG00000144452.15</v>
      </c>
      <c r="B1003" s="3">
        <v>4957.5180080302998</v>
      </c>
      <c r="C1003" s="3">
        <v>10.7536242055556</v>
      </c>
      <c r="D1003" s="3">
        <v>1.1671903647408901</v>
      </c>
      <c r="E1003" s="3">
        <v>9.2132564921771891</v>
      </c>
      <c r="F1003" s="4">
        <v>3.1637787150901797E-20</v>
      </c>
      <c r="G1003" s="4">
        <v>1.24932577753713E-18</v>
      </c>
      <c r="H1003" s="3" t="str">
        <f>"ABCA12"</f>
        <v>ABCA12</v>
      </c>
      <c r="I1003" s="3" t="str">
        <f>"protein_coding"</f>
        <v>protein_coding</v>
      </c>
    </row>
    <row r="1004" spans="1:9" x14ac:dyDescent="0.2">
      <c r="A1004" s="3" t="str">
        <f>"ENSG00000115425.14"</f>
        <v>ENSG00000115425.14</v>
      </c>
      <c r="B1004" s="3">
        <v>1029.0442301052001</v>
      </c>
      <c r="C1004" s="3">
        <v>-1.27654273691748</v>
      </c>
      <c r="D1004" s="3">
        <v>0.20317359182109401</v>
      </c>
      <c r="E1004" s="3">
        <v>-6.28301505857881</v>
      </c>
      <c r="F1004" s="4">
        <v>3.3206888282911398E-10</v>
      </c>
      <c r="G1004" s="4">
        <v>4.78217803934718E-9</v>
      </c>
      <c r="H1004" s="3" t="str">
        <f>"PECR"</f>
        <v>PECR</v>
      </c>
      <c r="I1004" s="3" t="str">
        <f>"protein_coding"</f>
        <v>protein_coding</v>
      </c>
    </row>
    <row r="1005" spans="1:9" x14ac:dyDescent="0.2">
      <c r="A1005" s="3" t="str">
        <f>"ENSG00000115457.10"</f>
        <v>ENSG00000115457.10</v>
      </c>
      <c r="B1005" s="3">
        <v>98.206132030836997</v>
      </c>
      <c r="C1005" s="3">
        <v>2.3059151874297599</v>
      </c>
      <c r="D1005" s="3">
        <v>0.39742879872134801</v>
      </c>
      <c r="E1005" s="3">
        <v>5.8020837816700999</v>
      </c>
      <c r="F1005" s="4">
        <v>6.5495819441827604E-9</v>
      </c>
      <c r="G1005" s="4">
        <v>7.9754250366252806E-8</v>
      </c>
      <c r="H1005" s="3" t="str">
        <f>"IGFBP2"</f>
        <v>IGFBP2</v>
      </c>
      <c r="I1005" s="3" t="str">
        <f>"protein_coding"</f>
        <v>protein_coding</v>
      </c>
    </row>
    <row r="1006" spans="1:9" x14ac:dyDescent="0.2">
      <c r="A1006" s="3" t="str">
        <f>"ENSG00000231672.6"</f>
        <v>ENSG00000231672.6</v>
      </c>
      <c r="B1006" s="3">
        <v>33.195010764899202</v>
      </c>
      <c r="C1006" s="3">
        <v>3.5631871916487099</v>
      </c>
      <c r="D1006" s="3">
        <v>0.73216599569787699</v>
      </c>
      <c r="E1006" s="3">
        <v>4.8666384571061503</v>
      </c>
      <c r="F1006" s="4">
        <v>1.1351240849639801E-6</v>
      </c>
      <c r="G1006" s="4">
        <v>9.6213220468566792E-6</v>
      </c>
      <c r="H1006" s="3" t="str">
        <f>"DIRC3"</f>
        <v>DIRC3</v>
      </c>
      <c r="I1006" s="3" t="str">
        <f>"lincRNA"</f>
        <v>lincRNA</v>
      </c>
    </row>
    <row r="1007" spans="1:9" x14ac:dyDescent="0.2">
      <c r="A1007" s="3" t="str">
        <f>"ENSG00000231035.1"</f>
        <v>ENSG00000231035.1</v>
      </c>
      <c r="B1007" s="3">
        <v>9.8714554972646802</v>
      </c>
      <c r="C1007" s="3">
        <v>5.2230211759610503</v>
      </c>
      <c r="D1007" s="3">
        <v>1.7520413444862299</v>
      </c>
      <c r="E1007" s="3">
        <v>2.98110612081055</v>
      </c>
      <c r="F1007" s="3">
        <v>2.8720924695595901E-3</v>
      </c>
      <c r="G1007" s="3">
        <v>1.10095531117178E-2</v>
      </c>
      <c r="H1007" s="3" t="str">
        <f>"RPL7L1P9"</f>
        <v>RPL7L1P9</v>
      </c>
      <c r="I1007" s="3" t="str">
        <f>"processed_pseudogene"</f>
        <v>processed_pseudogene</v>
      </c>
    </row>
    <row r="1008" spans="1:9" x14ac:dyDescent="0.2">
      <c r="A1008" s="3" t="str">
        <f>"ENSG00000180871.8"</f>
        <v>ENSG00000180871.8</v>
      </c>
      <c r="B1008" s="3">
        <v>103.640920996074</v>
      </c>
      <c r="C1008" s="3">
        <v>10.091071353695099</v>
      </c>
      <c r="D1008" s="3">
        <v>1.4865260708122101</v>
      </c>
      <c r="E1008" s="3">
        <v>6.7883581403866504</v>
      </c>
      <c r="F1008" s="4">
        <v>1.1341682310603601E-11</v>
      </c>
      <c r="G1008" s="4">
        <v>1.9911521773003601E-10</v>
      </c>
      <c r="H1008" s="3" t="str">
        <f>"CXCR2"</f>
        <v>CXCR2</v>
      </c>
      <c r="I1008" s="3" t="str">
        <f>"protein_coding"</f>
        <v>protein_coding</v>
      </c>
    </row>
    <row r="1009" spans="1:9" x14ac:dyDescent="0.2">
      <c r="A1009" s="3" t="str">
        <f>"ENSG00000261338.2"</f>
        <v>ENSG00000261338.2</v>
      </c>
      <c r="B1009" s="3">
        <v>64.697565279999097</v>
      </c>
      <c r="C1009" s="3">
        <v>1.0917607224314501</v>
      </c>
      <c r="D1009" s="3">
        <v>0.44228846346060802</v>
      </c>
      <c r="E1009" s="3">
        <v>2.4684359024179798</v>
      </c>
      <c r="F1009" s="3">
        <v>1.3570495345960099E-2</v>
      </c>
      <c r="G1009" s="3">
        <v>4.1065669334892897E-2</v>
      </c>
      <c r="H1009" s="3" t="str">
        <f>"AC021016.2"</f>
        <v>AC021016.2</v>
      </c>
      <c r="I1009" s="3" t="str">
        <f>"sense_overlapping"</f>
        <v>sense_overlapping</v>
      </c>
    </row>
    <row r="1010" spans="1:9" x14ac:dyDescent="0.2">
      <c r="A1010" s="3" t="str">
        <f>"ENSG00000127838.14"</f>
        <v>ENSG00000127838.14</v>
      </c>
      <c r="B1010" s="3">
        <v>1569.6105172155901</v>
      </c>
      <c r="C1010" s="3">
        <v>-1.0626809250993099</v>
      </c>
      <c r="D1010" s="3">
        <v>0.231097393428083</v>
      </c>
      <c r="E1010" s="3">
        <v>-4.5984115585882499</v>
      </c>
      <c r="F1010" s="4">
        <v>4.2572436768376403E-6</v>
      </c>
      <c r="G1010" s="4">
        <v>3.26017758467665E-5</v>
      </c>
      <c r="H1010" s="3" t="str">
        <f>"PNKD"</f>
        <v>PNKD</v>
      </c>
      <c r="I1010" s="3" t="str">
        <f>"protein_coding"</f>
        <v>protein_coding</v>
      </c>
    </row>
    <row r="1011" spans="1:9" x14ac:dyDescent="0.2">
      <c r="A1011" s="3" t="str">
        <f>"ENSG00000135926.15"</f>
        <v>ENSG00000135926.15</v>
      </c>
      <c r="B1011" s="3">
        <v>8898.1783628856701</v>
      </c>
      <c r="C1011" s="3">
        <v>1.33975782677574</v>
      </c>
      <c r="D1011" s="3">
        <v>0.190499637771741</v>
      </c>
      <c r="E1011" s="3">
        <v>7.0328628570992802</v>
      </c>
      <c r="F1011" s="4">
        <v>2.02338227743692E-12</v>
      </c>
      <c r="G1011" s="4">
        <v>3.8634265531411198E-11</v>
      </c>
      <c r="H1011" s="3" t="str">
        <f>"TMBIM1"</f>
        <v>TMBIM1</v>
      </c>
      <c r="I1011" s="3" t="str">
        <f>"protein_coding"</f>
        <v>protein_coding</v>
      </c>
    </row>
    <row r="1012" spans="1:9" x14ac:dyDescent="0.2">
      <c r="A1012" s="3" t="str">
        <f>"ENSG00000237281.1"</f>
        <v>ENSG00000237281.1</v>
      </c>
      <c r="B1012" s="3">
        <v>15.9436354395993</v>
      </c>
      <c r="C1012" s="3">
        <v>2.7403558115553701</v>
      </c>
      <c r="D1012" s="3">
        <v>0.95430784028100502</v>
      </c>
      <c r="E1012" s="3">
        <v>2.8715637615933698</v>
      </c>
      <c r="F1012" s="3">
        <v>4.0844637417200499E-3</v>
      </c>
      <c r="G1012" s="3">
        <v>1.49121510881209E-2</v>
      </c>
      <c r="H1012" s="3" t="str">
        <f>"CATIP-AS2"</f>
        <v>CATIP-AS2</v>
      </c>
      <c r="I1012" s="3" t="str">
        <f>"antisense"</f>
        <v>antisense</v>
      </c>
    </row>
    <row r="1013" spans="1:9" x14ac:dyDescent="0.2">
      <c r="A1013" s="3" t="str">
        <f>"ENSG00000158428.4"</f>
        <v>ENSG00000158428.4</v>
      </c>
      <c r="B1013" s="3">
        <v>223.55012009862099</v>
      </c>
      <c r="C1013" s="3">
        <v>6.43268569902951</v>
      </c>
      <c r="D1013" s="3">
        <v>1.0267709729424199</v>
      </c>
      <c r="E1013" s="3">
        <v>6.2649664516667798</v>
      </c>
      <c r="F1013" s="4">
        <v>3.7290568247579401E-10</v>
      </c>
      <c r="G1013" s="4">
        <v>5.3364291651354796E-9</v>
      </c>
      <c r="H1013" s="3" t="str">
        <f>"CATIP"</f>
        <v>CATIP</v>
      </c>
      <c r="I1013" s="3" t="str">
        <f t="shared" ref="I1013:I1033" si="40">"protein_coding"</f>
        <v>protein_coding</v>
      </c>
    </row>
    <row r="1014" spans="1:9" x14ac:dyDescent="0.2">
      <c r="A1014" s="3" t="str">
        <f>"ENSG00000018280.17"</f>
        <v>ENSG00000018280.17</v>
      </c>
      <c r="B1014" s="3">
        <v>41.791882385062799</v>
      </c>
      <c r="C1014" s="3">
        <v>2.25682015605152</v>
      </c>
      <c r="D1014" s="3">
        <v>0.58515982552244195</v>
      </c>
      <c r="E1014" s="3">
        <v>3.8567585429102</v>
      </c>
      <c r="F1014" s="3">
        <v>1.14900559581417E-4</v>
      </c>
      <c r="G1014" s="3">
        <v>6.49387170071533E-4</v>
      </c>
      <c r="H1014" s="3" t="str">
        <f>"SLC11A1"</f>
        <v>SLC11A1</v>
      </c>
      <c r="I1014" s="3" t="str">
        <f t="shared" si="40"/>
        <v>protein_coding</v>
      </c>
    </row>
    <row r="1015" spans="1:9" x14ac:dyDescent="0.2">
      <c r="A1015" s="3" t="str">
        <f>"ENSG00000144579.7"</f>
        <v>ENSG00000144579.7</v>
      </c>
      <c r="B1015" s="3">
        <v>3754.9882798910098</v>
      </c>
      <c r="C1015" s="3">
        <v>-1.65066148249963</v>
      </c>
      <c r="D1015" s="3">
        <v>0.20050545565639699</v>
      </c>
      <c r="E1015" s="3">
        <v>-8.2325015900232597</v>
      </c>
      <c r="F1015" s="4">
        <v>1.83343715318908E-16</v>
      </c>
      <c r="G1015" s="4">
        <v>5.2091409919648497E-15</v>
      </c>
      <c r="H1015" s="3" t="str">
        <f>"CTDSP1"</f>
        <v>CTDSP1</v>
      </c>
      <c r="I1015" s="3" t="str">
        <f t="shared" si="40"/>
        <v>protein_coding</v>
      </c>
    </row>
    <row r="1016" spans="1:9" x14ac:dyDescent="0.2">
      <c r="A1016" s="3" t="str">
        <f>"ENSG00000127831.10"</f>
        <v>ENSG00000127831.10</v>
      </c>
      <c r="B1016" s="3">
        <v>6782.1185085691004</v>
      </c>
      <c r="C1016" s="3">
        <v>-2.1121935958368501</v>
      </c>
      <c r="D1016" s="3">
        <v>0.197049350905453</v>
      </c>
      <c r="E1016" s="3">
        <v>-10.7191096348768</v>
      </c>
      <c r="F1016" s="4">
        <v>8.2796509663601006E-27</v>
      </c>
      <c r="G1016" s="4">
        <v>5.22212152500958E-25</v>
      </c>
      <c r="H1016" s="3" t="str">
        <f>"VIL1"</f>
        <v>VIL1</v>
      </c>
      <c r="I1016" s="3" t="str">
        <f t="shared" si="40"/>
        <v>protein_coding</v>
      </c>
    </row>
    <row r="1017" spans="1:9" x14ac:dyDescent="0.2">
      <c r="A1017" s="3" t="str">
        <f>"ENSG00000144580.13"</f>
        <v>ENSG00000144580.13</v>
      </c>
      <c r="B1017" s="3">
        <v>3228.8435723482598</v>
      </c>
      <c r="C1017" s="3">
        <v>-1.11280481919989</v>
      </c>
      <c r="D1017" s="3">
        <v>0.17870280217019199</v>
      </c>
      <c r="E1017" s="3">
        <v>-6.2271257399762696</v>
      </c>
      <c r="F1017" s="4">
        <v>4.75069840847013E-10</v>
      </c>
      <c r="G1017" s="4">
        <v>6.6999109490468797E-9</v>
      </c>
      <c r="H1017" s="3" t="str">
        <f>"CNOT9"</f>
        <v>CNOT9</v>
      </c>
      <c r="I1017" s="3" t="str">
        <f t="shared" si="40"/>
        <v>protein_coding</v>
      </c>
    </row>
    <row r="1018" spans="1:9" x14ac:dyDescent="0.2">
      <c r="A1018" s="3" t="str">
        <f>"ENSG00000115556.14"</f>
        <v>ENSG00000115556.14</v>
      </c>
      <c r="B1018" s="3">
        <v>5.6920510043673103</v>
      </c>
      <c r="C1018" s="3">
        <v>5.91039109063734</v>
      </c>
      <c r="D1018" s="3">
        <v>2.0086123258178499</v>
      </c>
      <c r="E1018" s="3">
        <v>2.94252455522038</v>
      </c>
      <c r="F1018" s="3">
        <v>3.2554796678640899E-3</v>
      </c>
      <c r="G1018" s="3">
        <v>1.22924133190539E-2</v>
      </c>
      <c r="H1018" s="3" t="str">
        <f>"PLCD4"</f>
        <v>PLCD4</v>
      </c>
      <c r="I1018" s="3" t="str">
        <f t="shared" si="40"/>
        <v>protein_coding</v>
      </c>
    </row>
    <row r="1019" spans="1:9" x14ac:dyDescent="0.2">
      <c r="A1019" s="3" t="str">
        <f>"ENSG00000074582.14"</f>
        <v>ENSG00000074582.14</v>
      </c>
      <c r="B1019" s="3">
        <v>856.25522901471197</v>
      </c>
      <c r="C1019" s="3">
        <v>-1.13881723913165</v>
      </c>
      <c r="D1019" s="3">
        <v>0.227394223556174</v>
      </c>
      <c r="E1019" s="3">
        <v>-5.0081185938759196</v>
      </c>
      <c r="F1019" s="4">
        <v>5.4964665425579499E-7</v>
      </c>
      <c r="G1019" s="4">
        <v>4.9231500290952103E-6</v>
      </c>
      <c r="H1019" s="3" t="str">
        <f>"BCS1L"</f>
        <v>BCS1L</v>
      </c>
      <c r="I1019" s="3" t="str">
        <f t="shared" si="40"/>
        <v>protein_coding</v>
      </c>
    </row>
    <row r="1020" spans="1:9" x14ac:dyDescent="0.2">
      <c r="A1020" s="3" t="str">
        <f>"ENSG00000135912.11"</f>
        <v>ENSG00000135912.11</v>
      </c>
      <c r="B1020" s="3">
        <v>3885.9659383401399</v>
      </c>
      <c r="C1020" s="3">
        <v>-1.14813778393366</v>
      </c>
      <c r="D1020" s="3">
        <v>0.19978697101093301</v>
      </c>
      <c r="E1020" s="3">
        <v>-5.7468101054038803</v>
      </c>
      <c r="F1020" s="4">
        <v>9.0942764426159107E-9</v>
      </c>
      <c r="G1020" s="4">
        <v>1.08537779339446E-7</v>
      </c>
      <c r="H1020" s="3" t="str">
        <f>"TTLL4"</f>
        <v>TTLL4</v>
      </c>
      <c r="I1020" s="3" t="str">
        <f t="shared" si="40"/>
        <v>protein_coding</v>
      </c>
    </row>
    <row r="1021" spans="1:9" x14ac:dyDescent="0.2">
      <c r="A1021" s="3" t="str">
        <f>"ENSG00000115592.11"</f>
        <v>ENSG00000115592.11</v>
      </c>
      <c r="B1021" s="3">
        <v>4.5536408034938498</v>
      </c>
      <c r="C1021" s="3">
        <v>5.5885371783693403</v>
      </c>
      <c r="D1021" s="3">
        <v>2.11786677543365</v>
      </c>
      <c r="E1021" s="3">
        <v>2.6387576608661001</v>
      </c>
      <c r="F1021" s="3">
        <v>8.3210440149675807E-3</v>
      </c>
      <c r="G1021" s="3">
        <v>2.7260248440041102E-2</v>
      </c>
      <c r="H1021" s="3" t="str">
        <f>"PRKAG3"</f>
        <v>PRKAG3</v>
      </c>
      <c r="I1021" s="3" t="str">
        <f t="shared" si="40"/>
        <v>protein_coding</v>
      </c>
    </row>
    <row r="1022" spans="1:9" x14ac:dyDescent="0.2">
      <c r="A1022" s="3" t="str">
        <f>"ENSG00000135925.9"</f>
        <v>ENSG00000135925.9</v>
      </c>
      <c r="B1022" s="3">
        <v>10.423876541522</v>
      </c>
      <c r="C1022" s="3">
        <v>6.77830170909938</v>
      </c>
      <c r="D1022" s="3">
        <v>1.7508608067593401</v>
      </c>
      <c r="E1022" s="3">
        <v>3.8714109556460299</v>
      </c>
      <c r="F1022" s="3">
        <v>1.08207185576163E-4</v>
      </c>
      <c r="G1022" s="3">
        <v>6.1461771636308097E-4</v>
      </c>
      <c r="H1022" s="3" t="str">
        <f>"WNT10A"</f>
        <v>WNT10A</v>
      </c>
      <c r="I1022" s="3" t="str">
        <f t="shared" si="40"/>
        <v>protein_coding</v>
      </c>
    </row>
    <row r="1023" spans="1:9" x14ac:dyDescent="0.2">
      <c r="A1023" s="3" t="str">
        <f>"ENSG00000163501.7"</f>
        <v>ENSG00000163501.7</v>
      </c>
      <c r="B1023" s="3">
        <v>15.990720493562099</v>
      </c>
      <c r="C1023" s="3">
        <v>-3.9826399754369701</v>
      </c>
      <c r="D1023" s="3">
        <v>1.0741400822567799</v>
      </c>
      <c r="E1023" s="3">
        <v>-3.7077472866196399</v>
      </c>
      <c r="F1023" s="3">
        <v>2.0911118081194199E-4</v>
      </c>
      <c r="G1023" s="3">
        <v>1.1102206437223199E-3</v>
      </c>
      <c r="H1023" s="3" t="str">
        <f>"IHH"</f>
        <v>IHH</v>
      </c>
      <c r="I1023" s="3" t="str">
        <f t="shared" si="40"/>
        <v>protein_coding</v>
      </c>
    </row>
    <row r="1024" spans="1:9" x14ac:dyDescent="0.2">
      <c r="A1024" s="3" t="str">
        <f>"ENSG00000163521.16"</f>
        <v>ENSG00000163521.16</v>
      </c>
      <c r="B1024" s="3">
        <v>220.96417161849899</v>
      </c>
      <c r="C1024" s="3">
        <v>1.14139864406483</v>
      </c>
      <c r="D1024" s="3">
        <v>0.28556537073580501</v>
      </c>
      <c r="E1024" s="3">
        <v>3.9969784891068301</v>
      </c>
      <c r="F1024" s="4">
        <v>6.41561283703631E-5</v>
      </c>
      <c r="G1024" s="3">
        <v>3.8354659842408E-4</v>
      </c>
      <c r="H1024" s="3" t="str">
        <f>"GLB1L"</f>
        <v>GLB1L</v>
      </c>
      <c r="I1024" s="3" t="str">
        <f t="shared" si="40"/>
        <v>protein_coding</v>
      </c>
    </row>
    <row r="1025" spans="1:9" x14ac:dyDescent="0.2">
      <c r="A1025" s="3" t="str">
        <f>"ENSG00000127824.14"</f>
        <v>ENSG00000127824.14</v>
      </c>
      <c r="B1025" s="3">
        <v>358.433204400536</v>
      </c>
      <c r="C1025" s="3">
        <v>-1.0375375358912999</v>
      </c>
      <c r="D1025" s="3">
        <v>0.265280085979469</v>
      </c>
      <c r="E1025" s="3">
        <v>-3.9111022301598402</v>
      </c>
      <c r="F1025" s="4">
        <v>9.1875870822400094E-5</v>
      </c>
      <c r="G1025" s="3">
        <v>5.3093146390200102E-4</v>
      </c>
      <c r="H1025" s="3" t="str">
        <f>"TUBA4A"</f>
        <v>TUBA4A</v>
      </c>
      <c r="I1025" s="3" t="str">
        <f t="shared" si="40"/>
        <v>protein_coding</v>
      </c>
    </row>
    <row r="1026" spans="1:9" x14ac:dyDescent="0.2">
      <c r="A1026" s="3" t="str">
        <f>"ENSG00000243910.7"</f>
        <v>ENSG00000243910.7</v>
      </c>
      <c r="B1026" s="3">
        <v>129.504435521522</v>
      </c>
      <c r="C1026" s="3">
        <v>7.3786325812890503</v>
      </c>
      <c r="D1026" s="3">
        <v>0.89771593326396204</v>
      </c>
      <c r="E1026" s="3">
        <v>8.2193401140396798</v>
      </c>
      <c r="F1026" s="4">
        <v>2.0462596354951999E-16</v>
      </c>
      <c r="G1026" s="4">
        <v>5.7896610891316496E-15</v>
      </c>
      <c r="H1026" s="3" t="str">
        <f>"TUBA4B"</f>
        <v>TUBA4B</v>
      </c>
      <c r="I1026" s="3" t="str">
        <f t="shared" si="40"/>
        <v>protein_coding</v>
      </c>
    </row>
    <row r="1027" spans="1:9" x14ac:dyDescent="0.2">
      <c r="A1027" s="3" t="str">
        <f>"ENSG00000123992.19"</f>
        <v>ENSG00000123992.19</v>
      </c>
      <c r="B1027" s="3">
        <v>1322.8663856851001</v>
      </c>
      <c r="C1027" s="3">
        <v>-1.9441171219976501</v>
      </c>
      <c r="D1027" s="3">
        <v>0.22898500134292701</v>
      </c>
      <c r="E1027" s="3">
        <v>-8.4901504928095495</v>
      </c>
      <c r="F1027" s="4">
        <v>2.06369686085929E-17</v>
      </c>
      <c r="G1027" s="4">
        <v>6.3824686002080595E-16</v>
      </c>
      <c r="H1027" s="3" t="str">
        <f>"DNPEP"</f>
        <v>DNPEP</v>
      </c>
      <c r="I1027" s="3" t="str">
        <f t="shared" si="40"/>
        <v>protein_coding</v>
      </c>
    </row>
    <row r="1028" spans="1:9" x14ac:dyDescent="0.2">
      <c r="A1028" s="3" t="str">
        <f>"ENSG00000175084.11"</f>
        <v>ENSG00000175084.11</v>
      </c>
      <c r="B1028" s="3">
        <v>18.308584374456199</v>
      </c>
      <c r="C1028" s="3">
        <v>5.1125607759611604</v>
      </c>
      <c r="D1028" s="3">
        <v>1.2689776159715001</v>
      </c>
      <c r="E1028" s="3">
        <v>4.0288817640389301</v>
      </c>
      <c r="F1028" s="4">
        <v>5.60427941517319E-5</v>
      </c>
      <c r="G1028" s="3">
        <v>3.3940831568176E-4</v>
      </c>
      <c r="H1028" s="3" t="str">
        <f>"DES"</f>
        <v>DES</v>
      </c>
      <c r="I1028" s="3" t="str">
        <f t="shared" si="40"/>
        <v>protein_coding</v>
      </c>
    </row>
    <row r="1029" spans="1:9" x14ac:dyDescent="0.2">
      <c r="A1029" s="3" t="str">
        <f>"ENSG00000072195.15"</f>
        <v>ENSG00000072195.15</v>
      </c>
      <c r="B1029" s="3">
        <v>78.393214902852904</v>
      </c>
      <c r="C1029" s="3">
        <v>4.2644190028065303</v>
      </c>
      <c r="D1029" s="3">
        <v>0.53813969808952899</v>
      </c>
      <c r="E1029" s="3">
        <v>7.9243717160168901</v>
      </c>
      <c r="F1029" s="4">
        <v>2.2930273610334502E-15</v>
      </c>
      <c r="G1029" s="4">
        <v>5.9389844587526995E-14</v>
      </c>
      <c r="H1029" s="3" t="str">
        <f>"SPEG"</f>
        <v>SPEG</v>
      </c>
      <c r="I1029" s="3" t="str">
        <f t="shared" si="40"/>
        <v>protein_coding</v>
      </c>
    </row>
    <row r="1030" spans="1:9" x14ac:dyDescent="0.2">
      <c r="A1030" s="3" t="str">
        <f>"ENSG00000072182.12"</f>
        <v>ENSG00000072182.12</v>
      </c>
      <c r="B1030" s="3">
        <v>12.277657155884601</v>
      </c>
      <c r="C1030" s="3">
        <v>3.4429838481494799</v>
      </c>
      <c r="D1030" s="3">
        <v>1.18500565458459</v>
      </c>
      <c r="E1030" s="3">
        <v>2.90545773754679</v>
      </c>
      <c r="F1030" s="3">
        <v>3.66716368977685E-3</v>
      </c>
      <c r="G1030" s="3">
        <v>1.3624108134080999E-2</v>
      </c>
      <c r="H1030" s="3" t="str">
        <f>"ASIC4"</f>
        <v>ASIC4</v>
      </c>
      <c r="I1030" s="3" t="str">
        <f t="shared" si="40"/>
        <v>protein_coding</v>
      </c>
    </row>
    <row r="1031" spans="1:9" x14ac:dyDescent="0.2">
      <c r="A1031" s="3" t="str">
        <f>"ENSG00000188760.10"</f>
        <v>ENSG00000188760.10</v>
      </c>
      <c r="B1031" s="3">
        <v>392.50015211621297</v>
      </c>
      <c r="C1031" s="3">
        <v>-2.0244376154688801</v>
      </c>
      <c r="D1031" s="3">
        <v>0.272928842315034</v>
      </c>
      <c r="E1031" s="3">
        <v>-7.4174557672147001</v>
      </c>
      <c r="F1031" s="4">
        <v>1.1939154196921599E-13</v>
      </c>
      <c r="G1031" s="4">
        <v>2.64476532035384E-12</v>
      </c>
      <c r="H1031" s="3" t="str">
        <f>"TMEM198"</f>
        <v>TMEM198</v>
      </c>
      <c r="I1031" s="3" t="str">
        <f t="shared" si="40"/>
        <v>protein_coding</v>
      </c>
    </row>
    <row r="1032" spans="1:9" x14ac:dyDescent="0.2">
      <c r="A1032" s="3" t="str">
        <f>"ENSG00000123999.5"</f>
        <v>ENSG00000123999.5</v>
      </c>
      <c r="B1032" s="3">
        <v>59.589090710405799</v>
      </c>
      <c r="C1032" s="3">
        <v>-3.7038189384287401</v>
      </c>
      <c r="D1032" s="3">
        <v>0.55760351663541396</v>
      </c>
      <c r="E1032" s="3">
        <v>-6.64238805518593</v>
      </c>
      <c r="F1032" s="4">
        <v>3.0864106560527099E-11</v>
      </c>
      <c r="G1032" s="4">
        <v>5.1592289046299498E-10</v>
      </c>
      <c r="H1032" s="3" t="str">
        <f>"INHA"</f>
        <v>INHA</v>
      </c>
      <c r="I1032" s="3" t="str">
        <f t="shared" si="40"/>
        <v>protein_coding</v>
      </c>
    </row>
    <row r="1033" spans="1:9" x14ac:dyDescent="0.2">
      <c r="A1033" s="3" t="str">
        <f>"ENSG00000144589.22"</f>
        <v>ENSG00000144589.22</v>
      </c>
      <c r="B1033" s="3">
        <v>544.86926776027497</v>
      </c>
      <c r="C1033" s="3">
        <v>-1.04861509879168</v>
      </c>
      <c r="D1033" s="3">
        <v>0.25073807533168901</v>
      </c>
      <c r="E1033" s="3">
        <v>-4.1821135358262298</v>
      </c>
      <c r="F1033" s="4">
        <v>2.8881167374015001E-5</v>
      </c>
      <c r="G1033" s="3">
        <v>1.85946400623768E-4</v>
      </c>
      <c r="H1033" s="3" t="str">
        <f>"STK11IP"</f>
        <v>STK11IP</v>
      </c>
      <c r="I1033" s="3" t="str">
        <f t="shared" si="40"/>
        <v>protein_coding</v>
      </c>
    </row>
    <row r="1034" spans="1:9" x14ac:dyDescent="0.2">
      <c r="A1034" s="3" t="str">
        <f>"ENSG00000231802.1"</f>
        <v>ENSG00000231802.1</v>
      </c>
      <c r="B1034" s="3">
        <v>6.2023902620345801</v>
      </c>
      <c r="C1034" s="3">
        <v>6.0283798576101697</v>
      </c>
      <c r="D1034" s="3">
        <v>1.9313346894476899</v>
      </c>
      <c r="E1034" s="3">
        <v>3.1213543103366201</v>
      </c>
      <c r="F1034" s="3">
        <v>1.8002129849072001E-3</v>
      </c>
      <c r="G1034" s="3">
        <v>7.3648740103651996E-3</v>
      </c>
      <c r="H1034" s="3" t="str">
        <f>"AC009502.2"</f>
        <v>AC009502.2</v>
      </c>
      <c r="I1034" s="3" t="str">
        <f>"processed_pseudogene"</f>
        <v>processed_pseudogene</v>
      </c>
    </row>
    <row r="1035" spans="1:9" x14ac:dyDescent="0.2">
      <c r="A1035" s="3" t="str">
        <f>"ENSG00000135903.19"</f>
        <v>ENSG00000135903.19</v>
      </c>
      <c r="B1035" s="3">
        <v>21.222244030422999</v>
      </c>
      <c r="C1035" s="3">
        <v>4.2907323702138997</v>
      </c>
      <c r="D1035" s="3">
        <v>0.997127623791489</v>
      </c>
      <c r="E1035" s="3">
        <v>4.3030924706496103</v>
      </c>
      <c r="F1035" s="4">
        <v>1.6843051051559601E-5</v>
      </c>
      <c r="G1035" s="3">
        <v>1.1379187007236401E-4</v>
      </c>
      <c r="H1035" s="3" t="str">
        <f>"PAX3"</f>
        <v>PAX3</v>
      </c>
      <c r="I1035" s="3" t="str">
        <f t="shared" ref="I1035:I1040" si="41">"protein_coding"</f>
        <v>protein_coding</v>
      </c>
    </row>
    <row r="1036" spans="1:9" x14ac:dyDescent="0.2">
      <c r="A1036" s="3" t="str">
        <f>"ENSG00000163082.10"</f>
        <v>ENSG00000163082.10</v>
      </c>
      <c r="B1036" s="3">
        <v>7.0841279388879599</v>
      </c>
      <c r="C1036" s="3">
        <v>6.2215057564940697</v>
      </c>
      <c r="D1036" s="3">
        <v>1.87753123217466</v>
      </c>
      <c r="E1036" s="3">
        <v>3.3136629899295902</v>
      </c>
      <c r="F1036" s="3">
        <v>9.2082420897765603E-4</v>
      </c>
      <c r="G1036" s="3">
        <v>4.1056614665380799E-3</v>
      </c>
      <c r="H1036" s="3" t="str">
        <f>"SGPP2"</f>
        <v>SGPP2</v>
      </c>
      <c r="I1036" s="3" t="str">
        <f t="shared" si="41"/>
        <v>protein_coding</v>
      </c>
    </row>
    <row r="1037" spans="1:9" x14ac:dyDescent="0.2">
      <c r="A1037" s="3" t="str">
        <f>"ENSG00000152049.6"</f>
        <v>ENSG00000152049.6</v>
      </c>
      <c r="B1037" s="3">
        <v>20.150211720597099</v>
      </c>
      <c r="C1037" s="3">
        <v>7.7291175843928102</v>
      </c>
      <c r="D1037" s="3">
        <v>1.61270648663426</v>
      </c>
      <c r="E1037" s="3">
        <v>4.7926375000348598</v>
      </c>
      <c r="F1037" s="4">
        <v>1.64602883462317E-6</v>
      </c>
      <c r="G1037" s="4">
        <v>1.35537466476209E-5</v>
      </c>
      <c r="H1037" s="3" t="str">
        <f>"KCNE4"</f>
        <v>KCNE4</v>
      </c>
      <c r="I1037" s="3" t="str">
        <f t="shared" si="41"/>
        <v>protein_coding</v>
      </c>
    </row>
    <row r="1038" spans="1:9" x14ac:dyDescent="0.2">
      <c r="A1038" s="3" t="str">
        <f>"ENSG00000171951.5"</f>
        <v>ENSG00000171951.5</v>
      </c>
      <c r="B1038" s="3">
        <v>11.8855917942457</v>
      </c>
      <c r="C1038" s="3">
        <v>5.49268473759924</v>
      </c>
      <c r="D1038" s="3">
        <v>1.7127170604841799</v>
      </c>
      <c r="E1038" s="3">
        <v>3.2070006566329501</v>
      </c>
      <c r="F1038" s="3">
        <v>1.34126689690551E-3</v>
      </c>
      <c r="G1038" s="3">
        <v>5.7039954955493098E-3</v>
      </c>
      <c r="H1038" s="3" t="str">
        <f>"SCG2"</f>
        <v>SCG2</v>
      </c>
      <c r="I1038" s="3" t="str">
        <f t="shared" si="41"/>
        <v>protein_coding</v>
      </c>
    </row>
    <row r="1039" spans="1:9" x14ac:dyDescent="0.2">
      <c r="A1039" s="3" t="str">
        <f>"ENSG00000152056.17"</f>
        <v>ENSG00000152056.17</v>
      </c>
      <c r="B1039" s="3">
        <v>466.75206599965099</v>
      </c>
      <c r="C1039" s="3">
        <v>1.17944877452326</v>
      </c>
      <c r="D1039" s="3">
        <v>0.23661596271558599</v>
      </c>
      <c r="E1039" s="3">
        <v>4.9846542937636196</v>
      </c>
      <c r="F1039" s="4">
        <v>6.2072695597660304E-7</v>
      </c>
      <c r="G1039" s="4">
        <v>5.5037251446451402E-6</v>
      </c>
      <c r="H1039" s="3" t="str">
        <f>"AP1S3"</f>
        <v>AP1S3</v>
      </c>
      <c r="I1039" s="3" t="str">
        <f t="shared" si="41"/>
        <v>protein_coding</v>
      </c>
    </row>
    <row r="1040" spans="1:9" x14ac:dyDescent="0.2">
      <c r="A1040" s="3" t="str">
        <f>"ENSG00000135919.13"</f>
        <v>ENSG00000135919.13</v>
      </c>
      <c r="B1040" s="3">
        <v>5063.4099295586802</v>
      </c>
      <c r="C1040" s="3">
        <v>3.2518672773362698</v>
      </c>
      <c r="D1040" s="3">
        <v>0.197740839171336</v>
      </c>
      <c r="E1040" s="3">
        <v>16.445096981300001</v>
      </c>
      <c r="F1040" s="4">
        <v>9.0938693964495394E-61</v>
      </c>
      <c r="G1040" s="4">
        <v>2.7840523533152901E-58</v>
      </c>
      <c r="H1040" s="3" t="str">
        <f>"SERPINE2"</f>
        <v>SERPINE2</v>
      </c>
      <c r="I1040" s="3" t="str">
        <f t="shared" si="41"/>
        <v>protein_coding</v>
      </c>
    </row>
    <row r="1041" spans="1:9" x14ac:dyDescent="0.2">
      <c r="A1041" s="3" t="str">
        <f>"ENSG00000224826.1"</f>
        <v>ENSG00000224826.1</v>
      </c>
      <c r="B1041" s="3">
        <v>8.2225381397614203</v>
      </c>
      <c r="C1041" s="3">
        <v>6.4371814262856004</v>
      </c>
      <c r="D1041" s="3">
        <v>1.8255320743139201</v>
      </c>
      <c r="E1041" s="3">
        <v>3.5261946458567999</v>
      </c>
      <c r="F1041" s="3">
        <v>4.2157700234094397E-4</v>
      </c>
      <c r="G1041" s="3">
        <v>2.0618755309250998E-3</v>
      </c>
      <c r="H1041" s="3" t="str">
        <f>"AC019109.1"</f>
        <v>AC019109.1</v>
      </c>
      <c r="I1041" s="3" t="str">
        <f>"processed_pseudogene"</f>
        <v>processed_pseudogene</v>
      </c>
    </row>
    <row r="1042" spans="1:9" x14ac:dyDescent="0.2">
      <c r="A1042" s="3" t="str">
        <f>"ENSG00000124019.10"</f>
        <v>ENSG00000124019.10</v>
      </c>
      <c r="B1042" s="3">
        <v>5.5410870043945497</v>
      </c>
      <c r="C1042" s="3">
        <v>5.8644343548867397</v>
      </c>
      <c r="D1042" s="3">
        <v>1.9857427620116099</v>
      </c>
      <c r="E1042" s="3">
        <v>2.95326991344333</v>
      </c>
      <c r="F1042" s="3">
        <v>3.1442690636943002E-3</v>
      </c>
      <c r="G1042" s="3">
        <v>1.1922056662744001E-2</v>
      </c>
      <c r="H1042" s="3" t="str">
        <f>"FAM124B"</f>
        <v>FAM124B</v>
      </c>
      <c r="I1042" s="3" t="str">
        <f>"protein_coding"</f>
        <v>protein_coding</v>
      </c>
    </row>
    <row r="1043" spans="1:9" x14ac:dyDescent="0.2">
      <c r="A1043" s="3" t="str">
        <f>"ENSG00000135905.19"</f>
        <v>ENSG00000135905.19</v>
      </c>
      <c r="B1043" s="3">
        <v>56.519097089668001</v>
      </c>
      <c r="C1043" s="3">
        <v>6.7601743016445797</v>
      </c>
      <c r="D1043" s="3">
        <v>1.1163173686254</v>
      </c>
      <c r="E1043" s="3">
        <v>6.05578170835848</v>
      </c>
      <c r="F1043" s="4">
        <v>1.3973739251582499E-9</v>
      </c>
      <c r="G1043" s="4">
        <v>1.8636440204986199E-8</v>
      </c>
      <c r="H1043" s="3" t="str">
        <f>"DOCK10"</f>
        <v>DOCK10</v>
      </c>
      <c r="I1043" s="3" t="str">
        <f>"protein_coding"</f>
        <v>protein_coding</v>
      </c>
    </row>
    <row r="1044" spans="1:9" x14ac:dyDescent="0.2">
      <c r="A1044" s="3" t="str">
        <f>"ENSG00000235070.3"</f>
        <v>ENSG00000235070.3</v>
      </c>
      <c r="B1044" s="3">
        <v>6.2386283668413203</v>
      </c>
      <c r="C1044" s="3">
        <v>6.0360181644107502</v>
      </c>
      <c r="D1044" s="3">
        <v>1.9309295819082299</v>
      </c>
      <c r="E1044" s="3">
        <v>3.1259649346951801</v>
      </c>
      <c r="F1044" s="3">
        <v>1.7722268208323301E-3</v>
      </c>
      <c r="G1044" s="3">
        <v>7.2711736466222702E-3</v>
      </c>
      <c r="H1044" s="3" t="str">
        <f>"AC062015.1"</f>
        <v>AC062015.1</v>
      </c>
      <c r="I1044" s="3" t="str">
        <f>"lincRNA"</f>
        <v>lincRNA</v>
      </c>
    </row>
    <row r="1045" spans="1:9" x14ac:dyDescent="0.2">
      <c r="A1045" s="3" t="str">
        <f>"ENSG00000144468.17"</f>
        <v>ENSG00000144468.17</v>
      </c>
      <c r="B1045" s="3">
        <v>480.572771956493</v>
      </c>
      <c r="C1045" s="3">
        <v>1.14311479245758</v>
      </c>
      <c r="D1045" s="3">
        <v>0.23787918093551799</v>
      </c>
      <c r="E1045" s="3">
        <v>4.8054427796581303</v>
      </c>
      <c r="F1045" s="4">
        <v>1.54409395799218E-6</v>
      </c>
      <c r="G1045" s="4">
        <v>1.28150862240064E-5</v>
      </c>
      <c r="H1045" s="3" t="str">
        <f>"RHBDD1"</f>
        <v>RHBDD1</v>
      </c>
      <c r="I1045" s="3" t="str">
        <f t="shared" ref="I1045:I1053" si="42">"protein_coding"</f>
        <v>protein_coding</v>
      </c>
    </row>
    <row r="1046" spans="1:9" x14ac:dyDescent="0.2">
      <c r="A1046" s="3" t="str">
        <f>"ENSG00000081052.12"</f>
        <v>ENSG00000081052.12</v>
      </c>
      <c r="B1046" s="3">
        <v>19.536920669150401</v>
      </c>
      <c r="C1046" s="3">
        <v>5.1975468695421503</v>
      </c>
      <c r="D1046" s="3">
        <v>1.2535854929563</v>
      </c>
      <c r="E1046" s="3">
        <v>4.1461447174894399</v>
      </c>
      <c r="F1046" s="4">
        <v>3.3812016734031798E-5</v>
      </c>
      <c r="G1046" s="3">
        <v>2.14399818466876E-4</v>
      </c>
      <c r="H1046" s="3" t="str">
        <f>"COL4A4"</f>
        <v>COL4A4</v>
      </c>
      <c r="I1046" s="3" t="str">
        <f t="shared" si="42"/>
        <v>protein_coding</v>
      </c>
    </row>
    <row r="1047" spans="1:9" x14ac:dyDescent="0.2">
      <c r="A1047" s="3" t="str">
        <f>"ENSG00000169031.19"</f>
        <v>ENSG00000169031.19</v>
      </c>
      <c r="B1047" s="3">
        <v>42.3566848936754</v>
      </c>
      <c r="C1047" s="3">
        <v>7.3475351032980898</v>
      </c>
      <c r="D1047" s="3">
        <v>1.5254408482989199</v>
      </c>
      <c r="E1047" s="3">
        <v>4.8166634002830104</v>
      </c>
      <c r="F1047" s="4">
        <v>1.4597863023682701E-6</v>
      </c>
      <c r="G1047" s="4">
        <v>1.2159827997746299E-5</v>
      </c>
      <c r="H1047" s="3" t="str">
        <f>"COL4A3"</f>
        <v>COL4A3</v>
      </c>
      <c r="I1047" s="3" t="str">
        <f t="shared" si="42"/>
        <v>protein_coding</v>
      </c>
    </row>
    <row r="1048" spans="1:9" x14ac:dyDescent="0.2">
      <c r="A1048" s="3" t="str">
        <f>"ENSG00000135917.15"</f>
        <v>ENSG00000135917.15</v>
      </c>
      <c r="B1048" s="3">
        <v>332.57202432197403</v>
      </c>
      <c r="C1048" s="3">
        <v>-2.6662966980332001</v>
      </c>
      <c r="D1048" s="3">
        <v>0.26042779009919098</v>
      </c>
      <c r="E1048" s="3">
        <v>-10.238142008645401</v>
      </c>
      <c r="F1048" s="4">
        <v>1.3378075582193199E-24</v>
      </c>
      <c r="G1048" s="4">
        <v>7.2323893926194002E-23</v>
      </c>
      <c r="H1048" s="3" t="str">
        <f>"SLC19A3"</f>
        <v>SLC19A3</v>
      </c>
      <c r="I1048" s="3" t="str">
        <f t="shared" si="42"/>
        <v>protein_coding</v>
      </c>
    </row>
    <row r="1049" spans="1:9" x14ac:dyDescent="0.2">
      <c r="A1049" s="3" t="str">
        <f>"ENSG00000123977.10"</f>
        <v>ENSG00000123977.10</v>
      </c>
      <c r="B1049" s="3">
        <v>5.3206525851812003</v>
      </c>
      <c r="C1049" s="3">
        <v>5.8053769265941</v>
      </c>
      <c r="D1049" s="3">
        <v>2.0076052546962599</v>
      </c>
      <c r="E1049" s="3">
        <v>2.89169243456301</v>
      </c>
      <c r="F1049" s="3">
        <v>3.8317285447488402E-3</v>
      </c>
      <c r="G1049" s="3">
        <v>1.41314439169967E-2</v>
      </c>
      <c r="H1049" s="3" t="str">
        <f>"DAW1"</f>
        <v>DAW1</v>
      </c>
      <c r="I1049" s="3" t="str">
        <f t="shared" si="42"/>
        <v>protein_coding</v>
      </c>
    </row>
    <row r="1050" spans="1:9" x14ac:dyDescent="0.2">
      <c r="A1050" s="3" t="str">
        <f>"ENSG00000153820.13"</f>
        <v>ENSG00000153820.13</v>
      </c>
      <c r="B1050" s="3">
        <v>8.8083593974150691</v>
      </c>
      <c r="C1050" s="3">
        <v>6.5347051393384996</v>
      </c>
      <c r="D1050" s="3">
        <v>1.8011923100001801</v>
      </c>
      <c r="E1050" s="3">
        <v>3.6279885845936302</v>
      </c>
      <c r="F1050" s="3">
        <v>2.85637887042486E-4</v>
      </c>
      <c r="G1050" s="3">
        <v>1.45936161789736E-3</v>
      </c>
      <c r="H1050" s="3" t="str">
        <f>"SPHKAP"</f>
        <v>SPHKAP</v>
      </c>
      <c r="I1050" s="3" t="str">
        <f t="shared" si="42"/>
        <v>protein_coding</v>
      </c>
    </row>
    <row r="1051" spans="1:9" x14ac:dyDescent="0.2">
      <c r="A1051" s="3" t="str">
        <f>"ENSG00000187957.8"</f>
        <v>ENSG00000187957.8</v>
      </c>
      <c r="B1051" s="3">
        <v>11.963911685642501</v>
      </c>
      <c r="C1051" s="3">
        <v>6.9757864163661001</v>
      </c>
      <c r="D1051" s="3">
        <v>1.71663427221734</v>
      </c>
      <c r="E1051" s="3">
        <v>4.0636415859014896</v>
      </c>
      <c r="F1051" s="4">
        <v>4.83129936373076E-5</v>
      </c>
      <c r="G1051" s="3">
        <v>2.9715217553853799E-4</v>
      </c>
      <c r="H1051" s="3" t="str">
        <f>"DNER"</f>
        <v>DNER</v>
      </c>
      <c r="I1051" s="3" t="str">
        <f t="shared" si="42"/>
        <v>protein_coding</v>
      </c>
    </row>
    <row r="1052" spans="1:9" x14ac:dyDescent="0.2">
      <c r="A1052" s="3" t="str">
        <f>"ENSG00000163053.11"</f>
        <v>ENSG00000163053.11</v>
      </c>
      <c r="B1052" s="3">
        <v>4.0372899650807801</v>
      </c>
      <c r="C1052" s="3">
        <v>5.4095356733146298</v>
      </c>
      <c r="D1052" s="3">
        <v>2.1467512296701501</v>
      </c>
      <c r="E1052" s="3">
        <v>2.5198707696307201</v>
      </c>
      <c r="F1052" s="3">
        <v>1.17397926988685E-2</v>
      </c>
      <c r="G1052" s="3">
        <v>3.6345203007166198E-2</v>
      </c>
      <c r="H1052" s="3" t="str">
        <f>"SLC16A14"</f>
        <v>SLC16A14</v>
      </c>
      <c r="I1052" s="3" t="str">
        <f t="shared" si="42"/>
        <v>protein_coding</v>
      </c>
    </row>
    <row r="1053" spans="1:9" x14ac:dyDescent="0.2">
      <c r="A1053" s="3" t="str">
        <f>"ENSG00000079263.19"</f>
        <v>ENSG00000079263.19</v>
      </c>
      <c r="B1053" s="3">
        <v>20.690495505295999</v>
      </c>
      <c r="C1053" s="3">
        <v>2.1103063040524401</v>
      </c>
      <c r="D1053" s="3">
        <v>0.81213331214038498</v>
      </c>
      <c r="E1053" s="3">
        <v>2.59847277842933</v>
      </c>
      <c r="F1053" s="3">
        <v>9.3639469181973096E-3</v>
      </c>
      <c r="G1053" s="3">
        <v>3.00623850218124E-2</v>
      </c>
      <c r="H1053" s="3" t="str">
        <f>"SP140"</f>
        <v>SP140</v>
      </c>
      <c r="I1053" s="3" t="str">
        <f t="shared" si="42"/>
        <v>protein_coding</v>
      </c>
    </row>
    <row r="1054" spans="1:9" x14ac:dyDescent="0.2">
      <c r="A1054" s="3" t="str">
        <f>"ENSG00000235419.5"</f>
        <v>ENSG00000235419.5</v>
      </c>
      <c r="B1054" s="3">
        <v>31.503838145165801</v>
      </c>
      <c r="C1054" s="3">
        <v>5.9040802100415002</v>
      </c>
      <c r="D1054" s="3">
        <v>1.1751260639635299</v>
      </c>
      <c r="E1054" s="3">
        <v>5.0242100750687797</v>
      </c>
      <c r="F1054" s="4">
        <v>5.0550880963450904E-7</v>
      </c>
      <c r="G1054" s="4">
        <v>4.5638166123629798E-6</v>
      </c>
      <c r="H1054" s="3" t="str">
        <f>"AC010149.1"</f>
        <v>AC010149.1</v>
      </c>
      <c r="I1054" s="3" t="str">
        <f>"antisense"</f>
        <v>antisense</v>
      </c>
    </row>
    <row r="1055" spans="1:9" x14ac:dyDescent="0.2">
      <c r="A1055" s="3" t="str">
        <f>"ENSG00000204128.6"</f>
        <v>ENSG00000204128.6</v>
      </c>
      <c r="B1055" s="3">
        <v>2310.2562587409998</v>
      </c>
      <c r="C1055" s="3">
        <v>-2.0038556043362101</v>
      </c>
      <c r="D1055" s="3">
        <v>0.19521400672917399</v>
      </c>
      <c r="E1055" s="3">
        <v>-10.2649171435542</v>
      </c>
      <c r="F1055" s="4">
        <v>1.0140799099660199E-24</v>
      </c>
      <c r="G1055" s="4">
        <v>5.5483203427397904E-23</v>
      </c>
      <c r="H1055" s="3" t="str">
        <f>"C2orf72"</f>
        <v>C2orf72</v>
      </c>
      <c r="I1055" s="3" t="str">
        <f>"protein_coding"</f>
        <v>protein_coding</v>
      </c>
    </row>
    <row r="1056" spans="1:9" x14ac:dyDescent="0.2">
      <c r="A1056" s="3" t="str">
        <f>"ENSG00000261829.1"</f>
        <v>ENSG00000261829.1</v>
      </c>
      <c r="B1056" s="3">
        <v>15.414751246531701</v>
      </c>
      <c r="C1056" s="3">
        <v>-3.5911340176823501</v>
      </c>
      <c r="D1056" s="3">
        <v>1.0281858532441499</v>
      </c>
      <c r="E1056" s="3">
        <v>-3.4926895817050201</v>
      </c>
      <c r="F1056" s="3">
        <v>4.7818202777753598E-4</v>
      </c>
      <c r="G1056" s="3">
        <v>2.3043908225777402E-3</v>
      </c>
      <c r="H1056" s="3" t="str">
        <f>"AC009407.1"</f>
        <v>AC009407.1</v>
      </c>
      <c r="I1056" s="3" t="str">
        <f>"sense_overlapping"</f>
        <v>sense_overlapping</v>
      </c>
    </row>
    <row r="1057" spans="1:9" x14ac:dyDescent="0.2">
      <c r="A1057" s="3" t="str">
        <f>"ENSG00000156966.7"</f>
        <v>ENSG00000156966.7</v>
      </c>
      <c r="B1057" s="3">
        <v>106.230193909671</v>
      </c>
      <c r="C1057" s="3">
        <v>2.7976971646019702</v>
      </c>
      <c r="D1057" s="3">
        <v>0.43224472182423102</v>
      </c>
      <c r="E1057" s="3">
        <v>6.4724842741738096</v>
      </c>
      <c r="F1057" s="4">
        <v>9.6404557329459496E-11</v>
      </c>
      <c r="G1057" s="4">
        <v>1.5044301108566901E-9</v>
      </c>
      <c r="H1057" s="3" t="str">
        <f>"B3GNT7"</f>
        <v>B3GNT7</v>
      </c>
      <c r="I1057" s="3" t="str">
        <f>"protein_coding"</f>
        <v>protein_coding</v>
      </c>
    </row>
    <row r="1058" spans="1:9" x14ac:dyDescent="0.2">
      <c r="A1058" s="3" t="str">
        <f>"ENSG00000207280.1"</f>
        <v>ENSG00000207280.1</v>
      </c>
      <c r="B1058" s="3">
        <v>66.293160440483206</v>
      </c>
      <c r="C1058" s="3">
        <v>-1.48244232774929</v>
      </c>
      <c r="D1058" s="3">
        <v>0.47303477528266002</v>
      </c>
      <c r="E1058" s="3">
        <v>-3.1338971365550399</v>
      </c>
      <c r="F1058" s="3">
        <v>1.7250131492534801E-3</v>
      </c>
      <c r="G1058" s="3">
        <v>7.1117314688620998E-3</v>
      </c>
      <c r="H1058" s="3" t="str">
        <f>"SNORD20"</f>
        <v>SNORD20</v>
      </c>
      <c r="I1058" s="3" t="str">
        <f>"snoRNA"</f>
        <v>snoRNA</v>
      </c>
    </row>
    <row r="1059" spans="1:9" x14ac:dyDescent="0.2">
      <c r="A1059" s="3" t="str">
        <f>"ENSG00000156973.14"</f>
        <v>ENSG00000156973.14</v>
      </c>
      <c r="B1059" s="3">
        <v>332.12024120121498</v>
      </c>
      <c r="C1059" s="3">
        <v>1.0584714845820999</v>
      </c>
      <c r="D1059" s="3">
        <v>0.25172960688019902</v>
      </c>
      <c r="E1059" s="3">
        <v>4.2047953663465503</v>
      </c>
      <c r="F1059" s="4">
        <v>2.6131847727798899E-5</v>
      </c>
      <c r="G1059" s="3">
        <v>1.69458567674684E-4</v>
      </c>
      <c r="H1059" s="3" t="str">
        <f>"PDE6D"</f>
        <v>PDE6D</v>
      </c>
      <c r="I1059" s="3" t="str">
        <f>"protein_coding"</f>
        <v>protein_coding</v>
      </c>
    </row>
    <row r="1060" spans="1:9" x14ac:dyDescent="0.2">
      <c r="A1060" s="3" t="str">
        <f>"ENSG00000163273.4"</f>
        <v>ENSG00000163273.4</v>
      </c>
      <c r="B1060" s="3">
        <v>30.869880151266301</v>
      </c>
      <c r="C1060" s="3">
        <v>6.8875580798481497</v>
      </c>
      <c r="D1060" s="3">
        <v>1.5526883880870801</v>
      </c>
      <c r="E1060" s="3">
        <v>4.4358920519355802</v>
      </c>
      <c r="F1060" s="4">
        <v>9.1691789977470307E-6</v>
      </c>
      <c r="G1060" s="4">
        <v>6.5832047470780903E-5</v>
      </c>
      <c r="H1060" s="3" t="str">
        <f>"NPPC"</f>
        <v>NPPC</v>
      </c>
      <c r="I1060" s="3" t="str">
        <f>"protein_coding"</f>
        <v>protein_coding</v>
      </c>
    </row>
    <row r="1061" spans="1:9" x14ac:dyDescent="0.2">
      <c r="A1061" s="3" t="str">
        <f>"ENSG00000251485.1"</f>
        <v>ENSG00000251485.1</v>
      </c>
      <c r="B1061" s="3">
        <v>13.222848999985599</v>
      </c>
      <c r="C1061" s="3">
        <v>-3.7461178971204401</v>
      </c>
      <c r="D1061" s="3">
        <v>1.17781866563394</v>
      </c>
      <c r="E1061" s="3">
        <v>-3.1805557225603698</v>
      </c>
      <c r="F1061" s="3">
        <v>1.46992866857454E-3</v>
      </c>
      <c r="G1061" s="3">
        <v>6.1731113490521702E-3</v>
      </c>
      <c r="H1061" s="3" t="str">
        <f>"AC068134.3"</f>
        <v>AC068134.3</v>
      </c>
      <c r="I1061" s="3" t="str">
        <f>"processed_pseudogene"</f>
        <v>processed_pseudogene</v>
      </c>
    </row>
    <row r="1062" spans="1:9" x14ac:dyDescent="0.2">
      <c r="A1062" s="3" t="str">
        <f>"ENSG00000163286.9"</f>
        <v>ENSG00000163286.9</v>
      </c>
      <c r="B1062" s="3">
        <v>4.0372899650807801</v>
      </c>
      <c r="C1062" s="3">
        <v>5.4095356733146298</v>
      </c>
      <c r="D1062" s="3">
        <v>2.1467512296701501</v>
      </c>
      <c r="E1062" s="3">
        <v>2.5198707696307201</v>
      </c>
      <c r="F1062" s="3">
        <v>1.17397926988685E-2</v>
      </c>
      <c r="G1062" s="3">
        <v>3.6345203007166198E-2</v>
      </c>
      <c r="H1062" s="3" t="str">
        <f>"ALPG"</f>
        <v>ALPG</v>
      </c>
      <c r="I1062" s="3" t="str">
        <f>"protein_coding"</f>
        <v>protein_coding</v>
      </c>
    </row>
    <row r="1063" spans="1:9" x14ac:dyDescent="0.2">
      <c r="A1063" s="3" t="str">
        <f>"ENSG00000237412.6"</f>
        <v>ENSG00000237412.6</v>
      </c>
      <c r="B1063" s="3">
        <v>14.8776147105193</v>
      </c>
      <c r="C1063" s="3">
        <v>3.73861151785816</v>
      </c>
      <c r="D1063" s="3">
        <v>1.0899720504783601</v>
      </c>
      <c r="E1063" s="3">
        <v>3.4300067751437999</v>
      </c>
      <c r="F1063" s="3">
        <v>6.0356617835997299E-4</v>
      </c>
      <c r="G1063" s="3">
        <v>2.8266358992392899E-3</v>
      </c>
      <c r="H1063" s="3" t="str">
        <f>"PRSS56"</f>
        <v>PRSS56</v>
      </c>
      <c r="I1063" s="3" t="str">
        <f>"protein_coding"</f>
        <v>protein_coding</v>
      </c>
    </row>
    <row r="1064" spans="1:9" x14ac:dyDescent="0.2">
      <c r="A1064" s="3" t="str">
        <f>"ENSG00000115474.6"</f>
        <v>ENSG00000115474.6</v>
      </c>
      <c r="B1064" s="3">
        <v>4.9160218515612604</v>
      </c>
      <c r="C1064" s="3">
        <v>5.6893237459326498</v>
      </c>
      <c r="D1064" s="3">
        <v>2.0655895965157098</v>
      </c>
      <c r="E1064" s="3">
        <v>2.7543340436694499</v>
      </c>
      <c r="F1064" s="3">
        <v>5.8811707954730102E-3</v>
      </c>
      <c r="G1064" s="3">
        <v>2.0353646724787601E-2</v>
      </c>
      <c r="H1064" s="3" t="str">
        <f>"KCNJ13"</f>
        <v>KCNJ13</v>
      </c>
      <c r="I1064" s="3" t="str">
        <f>"protein_coding"</f>
        <v>protein_coding</v>
      </c>
    </row>
    <row r="1065" spans="1:9" x14ac:dyDescent="0.2">
      <c r="A1065" s="3" t="str">
        <f>"ENSG00000066248.15"</f>
        <v>ENSG00000066248.15</v>
      </c>
      <c r="B1065" s="3">
        <v>386.02692110024202</v>
      </c>
      <c r="C1065" s="3">
        <v>-2.3553158453794598</v>
      </c>
      <c r="D1065" s="3">
        <v>0.26202634637835598</v>
      </c>
      <c r="E1065" s="3">
        <v>-8.9888512278779409</v>
      </c>
      <c r="F1065" s="4">
        <v>2.4982793906602E-19</v>
      </c>
      <c r="G1065" s="4">
        <v>8.9921556878888196E-18</v>
      </c>
      <c r="H1065" s="3" t="str">
        <f>"NGEF"</f>
        <v>NGEF</v>
      </c>
      <c r="I1065" s="3" t="str">
        <f>"protein_coding"</f>
        <v>protein_coding</v>
      </c>
    </row>
    <row r="1066" spans="1:9" x14ac:dyDescent="0.2">
      <c r="A1066" s="3" t="str">
        <f>"ENSG00000222001.2"</f>
        <v>ENSG00000222001.2</v>
      </c>
      <c r="B1066" s="3">
        <v>30.094207462128399</v>
      </c>
      <c r="C1066" s="3">
        <v>-1.69732861303112</v>
      </c>
      <c r="D1066" s="3">
        <v>0.63587449294135501</v>
      </c>
      <c r="E1066" s="3">
        <v>-2.6692824321035702</v>
      </c>
      <c r="F1066" s="3">
        <v>7.6013501979857899E-3</v>
      </c>
      <c r="G1066" s="3">
        <v>2.5239335711006401E-2</v>
      </c>
      <c r="H1066" s="3" t="str">
        <f>"AC106876.1"</f>
        <v>AC106876.1</v>
      </c>
      <c r="I1066" s="3" t="str">
        <f>"processed_transcript"</f>
        <v>processed_transcript</v>
      </c>
    </row>
    <row r="1067" spans="1:9" x14ac:dyDescent="0.2">
      <c r="A1067" s="3" t="str">
        <f>"ENSG00000167165.19"</f>
        <v>ENSG00000167165.19</v>
      </c>
      <c r="B1067" s="3">
        <v>19.2650570550419</v>
      </c>
      <c r="C1067" s="3">
        <v>-2.0204092258842499</v>
      </c>
      <c r="D1067" s="3">
        <v>0.79865856242699396</v>
      </c>
      <c r="E1067" s="3">
        <v>-2.5297534152073098</v>
      </c>
      <c r="F1067" s="3">
        <v>1.1414271367425901E-2</v>
      </c>
      <c r="G1067" s="3">
        <v>3.55393271566967E-2</v>
      </c>
      <c r="H1067" s="3" t="str">
        <f>"UGT1A6"</f>
        <v>UGT1A6</v>
      </c>
      <c r="I1067" s="3" t="str">
        <f>"protein_coding"</f>
        <v>protein_coding</v>
      </c>
    </row>
    <row r="1068" spans="1:9" x14ac:dyDescent="0.2">
      <c r="A1068" s="3" t="str">
        <f>"ENSG00000185038.14"</f>
        <v>ENSG00000185038.14</v>
      </c>
      <c r="B1068" s="3">
        <v>7.93839582194828</v>
      </c>
      <c r="C1068" s="3">
        <v>3.8336759828679901</v>
      </c>
      <c r="D1068" s="3">
        <v>1.5196156452071601</v>
      </c>
      <c r="E1068" s="3">
        <v>2.5227931779718999</v>
      </c>
      <c r="F1068" s="3">
        <v>1.1642685411527199E-2</v>
      </c>
      <c r="G1068" s="3">
        <v>3.6114327118383603E-2</v>
      </c>
      <c r="H1068" s="3" t="str">
        <f>"MROH2A"</f>
        <v>MROH2A</v>
      </c>
      <c r="I1068" s="3" t="str">
        <f>"protein_coding"</f>
        <v>protein_coding</v>
      </c>
    </row>
    <row r="1069" spans="1:9" x14ac:dyDescent="0.2">
      <c r="A1069" s="3" t="str">
        <f>"ENSG00000144481.17"</f>
        <v>ENSG00000144481.17</v>
      </c>
      <c r="B1069" s="3">
        <v>15.686708278796701</v>
      </c>
      <c r="C1069" s="3">
        <v>4.2563060539652904</v>
      </c>
      <c r="D1069" s="3">
        <v>1.17714440331558</v>
      </c>
      <c r="E1069" s="3">
        <v>3.6157892285575599</v>
      </c>
      <c r="F1069" s="3">
        <v>2.9943394104752798E-4</v>
      </c>
      <c r="G1069" s="3">
        <v>1.5201558769744701E-3</v>
      </c>
      <c r="H1069" s="3" t="str">
        <f>"TRPM8"</f>
        <v>TRPM8</v>
      </c>
      <c r="I1069" s="3" t="str">
        <f>"protein_coding"</f>
        <v>protein_coding</v>
      </c>
    </row>
    <row r="1070" spans="1:9" x14ac:dyDescent="0.2">
      <c r="A1070" s="3" t="str">
        <f>"ENSG00000280744.1"</f>
        <v>ENSG00000280744.1</v>
      </c>
      <c r="B1070" s="3">
        <v>170.05929032808001</v>
      </c>
      <c r="C1070" s="3">
        <v>5.2385708236510302</v>
      </c>
      <c r="D1070" s="3">
        <v>0.47449615173498499</v>
      </c>
      <c r="E1070" s="3">
        <v>11.040280947477299</v>
      </c>
      <c r="F1070" s="4">
        <v>2.4426820409797898E-28</v>
      </c>
      <c r="G1070" s="4">
        <v>1.68070094875193E-26</v>
      </c>
      <c r="H1070" s="3" t="str">
        <f>"LINC01173"</f>
        <v>LINC01173</v>
      </c>
      <c r="I1070" s="3" t="str">
        <f>"lincRNA"</f>
        <v>lincRNA</v>
      </c>
    </row>
    <row r="1071" spans="1:9" x14ac:dyDescent="0.2">
      <c r="A1071" s="3" t="str">
        <f>"ENSG00000168505.7"</f>
        <v>ENSG00000168505.7</v>
      </c>
      <c r="B1071" s="3">
        <v>13.144447042015999</v>
      </c>
      <c r="C1071" s="3">
        <v>5.63824171208653</v>
      </c>
      <c r="D1071" s="3">
        <v>1.6803036899295001</v>
      </c>
      <c r="E1071" s="3">
        <v>3.3554896926537601</v>
      </c>
      <c r="F1071" s="3">
        <v>7.92246087438954E-4</v>
      </c>
      <c r="G1071" s="3">
        <v>3.6019237684714101E-3</v>
      </c>
      <c r="H1071" s="3" t="str">
        <f>"GBX2"</f>
        <v>GBX2</v>
      </c>
      <c r="I1071" s="3" t="str">
        <f>"protein_coding"</f>
        <v>protein_coding</v>
      </c>
    </row>
    <row r="1072" spans="1:9" x14ac:dyDescent="0.2">
      <c r="A1072" s="3" t="str">
        <f>"ENSG00000233611.3"</f>
        <v>ENSG00000233611.3</v>
      </c>
      <c r="B1072" s="3">
        <v>8.9201228711182203</v>
      </c>
      <c r="C1072" s="3">
        <v>4.0228934882487497</v>
      </c>
      <c r="D1072" s="3">
        <v>1.44953531280327</v>
      </c>
      <c r="E1072" s="3">
        <v>2.7752987131226399</v>
      </c>
      <c r="F1072" s="3">
        <v>5.5151026857709704E-3</v>
      </c>
      <c r="G1072" s="3">
        <v>1.9327328025654601E-2</v>
      </c>
      <c r="H1072" s="3" t="str">
        <f>"AC019068.1"</f>
        <v>AC019068.1</v>
      </c>
      <c r="I1072" s="3" t="str">
        <f>"antisense"</f>
        <v>antisense</v>
      </c>
    </row>
    <row r="1073" spans="1:9" x14ac:dyDescent="0.2">
      <c r="A1073" s="3" t="str">
        <f>"ENSG00000132321.17"</f>
        <v>ENSG00000132321.17</v>
      </c>
      <c r="B1073" s="3">
        <v>6.7882115196882298</v>
      </c>
      <c r="C1073" s="3">
        <v>6.1565191295862496</v>
      </c>
      <c r="D1073" s="3">
        <v>1.90393892797984</v>
      </c>
      <c r="E1073" s="3">
        <v>3.2335696482232099</v>
      </c>
      <c r="F1073" s="3">
        <v>1.22253522584566E-3</v>
      </c>
      <c r="G1073" s="3">
        <v>5.2598164059082103E-3</v>
      </c>
      <c r="H1073" s="3" t="str">
        <f>"IQCA1"</f>
        <v>IQCA1</v>
      </c>
      <c r="I1073" s="3" t="str">
        <f>"protein_coding"</f>
        <v>protein_coding</v>
      </c>
    </row>
    <row r="1074" spans="1:9" x14ac:dyDescent="0.2">
      <c r="A1074" s="3" t="str">
        <f>"ENSG00000124835.2"</f>
        <v>ENSG00000124835.2</v>
      </c>
      <c r="B1074" s="3">
        <v>70.322708255782203</v>
      </c>
      <c r="C1074" s="3">
        <v>2.37285039838312</v>
      </c>
      <c r="D1074" s="3">
        <v>0.50300417625272198</v>
      </c>
      <c r="E1074" s="3">
        <v>4.7173572515050903</v>
      </c>
      <c r="F1074" s="4">
        <v>2.3892792891788001E-6</v>
      </c>
      <c r="G1074" s="4">
        <v>1.9107922745011699E-5</v>
      </c>
      <c r="H1074" s="3" t="str">
        <f>"AC105760.1"</f>
        <v>AC105760.1</v>
      </c>
      <c r="I1074" s="3" t="str">
        <f>"antisense"</f>
        <v>antisense</v>
      </c>
    </row>
    <row r="1075" spans="1:9" x14ac:dyDescent="0.2">
      <c r="A1075" s="3" t="str">
        <f>"ENSG00000227252.1"</f>
        <v>ENSG00000227252.1</v>
      </c>
      <c r="B1075" s="3">
        <v>182.448874171216</v>
      </c>
      <c r="C1075" s="3">
        <v>1.5950604163814299</v>
      </c>
      <c r="D1075" s="3">
        <v>0.311547878790844</v>
      </c>
      <c r="E1075" s="3">
        <v>5.1197922533514202</v>
      </c>
      <c r="F1075" s="4">
        <v>3.0587241654463202E-7</v>
      </c>
      <c r="G1075" s="4">
        <v>2.85806095116309E-6</v>
      </c>
      <c r="H1075" s="3" t="str">
        <f>"AC105760.2"</f>
        <v>AC105760.2</v>
      </c>
      <c r="I1075" s="3" t="str">
        <f>"antisense"</f>
        <v>antisense</v>
      </c>
    </row>
    <row r="1076" spans="1:9" x14ac:dyDescent="0.2">
      <c r="A1076" s="3" t="str">
        <f>"ENSG00000163359.15"</f>
        <v>ENSG00000163359.15</v>
      </c>
      <c r="B1076" s="3">
        <v>26.610628851707201</v>
      </c>
      <c r="C1076" s="3">
        <v>1.8871690950897999</v>
      </c>
      <c r="D1076" s="3">
        <v>0.69175577590163895</v>
      </c>
      <c r="E1076" s="3">
        <v>2.7280857794502</v>
      </c>
      <c r="F1076" s="3">
        <v>6.3703040172924802E-3</v>
      </c>
      <c r="G1076" s="3">
        <v>2.1775395001777501E-2</v>
      </c>
      <c r="H1076" s="3" t="str">
        <f>"COL6A3"</f>
        <v>COL6A3</v>
      </c>
      <c r="I1076" s="3" t="str">
        <f>"protein_coding"</f>
        <v>protein_coding</v>
      </c>
    </row>
    <row r="1077" spans="1:9" x14ac:dyDescent="0.2">
      <c r="A1077" s="3" t="str">
        <f>"ENSG00000132330.17"</f>
        <v>ENSG00000132330.17</v>
      </c>
      <c r="B1077" s="3">
        <v>543.36484101799101</v>
      </c>
      <c r="C1077" s="3">
        <v>-1.4149269301317899</v>
      </c>
      <c r="D1077" s="3">
        <v>0.23019974933749701</v>
      </c>
      <c r="E1077" s="3">
        <v>-6.14651811830322</v>
      </c>
      <c r="F1077" s="4">
        <v>7.9202279404169695E-10</v>
      </c>
      <c r="G1077" s="4">
        <v>1.0932241676420499E-8</v>
      </c>
      <c r="H1077" s="3" t="str">
        <f>"SCLY"</f>
        <v>SCLY</v>
      </c>
      <c r="I1077" s="3" t="str">
        <f>"protein_coding"</f>
        <v>protein_coding</v>
      </c>
    </row>
    <row r="1078" spans="1:9" x14ac:dyDescent="0.2">
      <c r="A1078" s="3" t="str">
        <f>"ENSG00000144488.15"</f>
        <v>ENSG00000144488.15</v>
      </c>
      <c r="B1078" s="3">
        <v>437.63456226242897</v>
      </c>
      <c r="C1078" s="3">
        <v>5.0113786478097602</v>
      </c>
      <c r="D1078" s="3">
        <v>0.30735435443465298</v>
      </c>
      <c r="E1078" s="3">
        <v>16.304889049083702</v>
      </c>
      <c r="F1078" s="4">
        <v>9.1104214849802804E-60</v>
      </c>
      <c r="G1078" s="4">
        <v>2.61296478106587E-57</v>
      </c>
      <c r="H1078" s="3" t="str">
        <f>"ESPNL"</f>
        <v>ESPNL</v>
      </c>
      <c r="I1078" s="3" t="str">
        <f>"protein_coding"</f>
        <v>protein_coding</v>
      </c>
    </row>
    <row r="1079" spans="1:9" x14ac:dyDescent="0.2">
      <c r="A1079" s="3" t="str">
        <f>"ENSG00000168427.9"</f>
        <v>ENSG00000168427.9</v>
      </c>
      <c r="B1079" s="3">
        <v>237.33979553903501</v>
      </c>
      <c r="C1079" s="3">
        <v>6.36837261964377</v>
      </c>
      <c r="D1079" s="3">
        <v>0.50986273386841197</v>
      </c>
      <c r="E1079" s="3">
        <v>12.490366909787401</v>
      </c>
      <c r="F1079" s="4">
        <v>8.4264136782001993E-36</v>
      </c>
      <c r="G1079" s="4">
        <v>9.3331094914601894E-34</v>
      </c>
      <c r="H1079" s="3" t="str">
        <f>"KLHL30"</f>
        <v>KLHL30</v>
      </c>
      <c r="I1079" s="3" t="str">
        <f>"protein_coding"</f>
        <v>protein_coding</v>
      </c>
    </row>
    <row r="1080" spans="1:9" x14ac:dyDescent="0.2">
      <c r="A1080" s="3" t="str">
        <f>"ENSG00000186235.10"</f>
        <v>ENSG00000186235.10</v>
      </c>
      <c r="B1080" s="3">
        <v>20.624524141330198</v>
      </c>
      <c r="C1080" s="3">
        <v>4.6810253519401304</v>
      </c>
      <c r="D1080" s="3">
        <v>1.08862588351669</v>
      </c>
      <c r="E1080" s="3">
        <v>4.2999394216299196</v>
      </c>
      <c r="F1080" s="4">
        <v>1.7084480348933201E-5</v>
      </c>
      <c r="G1080" s="3">
        <v>1.1522297922459901E-4</v>
      </c>
      <c r="H1080" s="3" t="str">
        <f>"LINC02610"</f>
        <v>LINC02610</v>
      </c>
      <c r="I1080" s="3" t="str">
        <f>"processed_transcript"</f>
        <v>processed_transcript</v>
      </c>
    </row>
    <row r="1081" spans="1:9" x14ac:dyDescent="0.2">
      <c r="A1081" s="3" t="str">
        <f>"ENSG00000068024.16"</f>
        <v>ENSG00000068024.16</v>
      </c>
      <c r="B1081" s="3">
        <v>2197.0599981802702</v>
      </c>
      <c r="C1081" s="3">
        <v>-1.1597048977279001</v>
      </c>
      <c r="D1081" s="3">
        <v>0.20544177358212301</v>
      </c>
      <c r="E1081" s="3">
        <v>-5.6449322720839898</v>
      </c>
      <c r="F1081" s="4">
        <v>1.6524628750889501E-8</v>
      </c>
      <c r="G1081" s="4">
        <v>1.9054022834341399E-7</v>
      </c>
      <c r="H1081" s="3" t="str">
        <f>"HDAC4"</f>
        <v>HDAC4</v>
      </c>
      <c r="I1081" s="3" t="str">
        <f t="shared" ref="I1081:I1088" si="43">"protein_coding"</f>
        <v>protein_coding</v>
      </c>
    </row>
    <row r="1082" spans="1:9" x14ac:dyDescent="0.2">
      <c r="A1082" s="3" t="str">
        <f>"ENSG00000182083.7"</f>
        <v>ENSG00000182083.7</v>
      </c>
      <c r="B1082" s="3">
        <v>15.9257196507369</v>
      </c>
      <c r="C1082" s="3">
        <v>7.3874326880881798</v>
      </c>
      <c r="D1082" s="3">
        <v>1.6598800041223101</v>
      </c>
      <c r="E1082" s="3">
        <v>4.4505823732688397</v>
      </c>
      <c r="F1082" s="4">
        <v>8.5637737119496104E-6</v>
      </c>
      <c r="G1082" s="4">
        <v>6.1827541687729505E-5</v>
      </c>
      <c r="H1082" s="3" t="str">
        <f>"OR6B2"</f>
        <v>OR6B2</v>
      </c>
      <c r="I1082" s="3" t="str">
        <f t="shared" si="43"/>
        <v>protein_coding</v>
      </c>
    </row>
    <row r="1083" spans="1:9" x14ac:dyDescent="0.2">
      <c r="A1083" s="3" t="str">
        <f>"ENSG00000178602.8"</f>
        <v>ENSG00000178602.8</v>
      </c>
      <c r="B1083" s="3">
        <v>26.947440611404101</v>
      </c>
      <c r="C1083" s="3">
        <v>8.1508923901166206</v>
      </c>
      <c r="D1083" s="3">
        <v>1.5843993838395101</v>
      </c>
      <c r="E1083" s="3">
        <v>5.1444682907944399</v>
      </c>
      <c r="F1083" s="4">
        <v>2.68279560279713E-7</v>
      </c>
      <c r="G1083" s="4">
        <v>2.52847221685968E-6</v>
      </c>
      <c r="H1083" s="3" t="str">
        <f>"OTOS"</f>
        <v>OTOS</v>
      </c>
      <c r="I1083" s="3" t="str">
        <f t="shared" si="43"/>
        <v>protein_coding</v>
      </c>
    </row>
    <row r="1084" spans="1:9" x14ac:dyDescent="0.2">
      <c r="A1084" s="3" t="str">
        <f>"ENSG00000063660.9"</f>
        <v>ENSG00000063660.9</v>
      </c>
      <c r="B1084" s="3">
        <v>4807.4101865293496</v>
      </c>
      <c r="C1084" s="3">
        <v>2.6524175415403501</v>
      </c>
      <c r="D1084" s="3">
        <v>0.213992093837056</v>
      </c>
      <c r="E1084" s="3">
        <v>12.3949324200735</v>
      </c>
      <c r="F1084" s="4">
        <v>2.7838031812614401E-35</v>
      </c>
      <c r="G1084" s="4">
        <v>2.93993353797793E-33</v>
      </c>
      <c r="H1084" s="3" t="str">
        <f>"GPC1"</f>
        <v>GPC1</v>
      </c>
      <c r="I1084" s="3" t="str">
        <f t="shared" si="43"/>
        <v>protein_coding</v>
      </c>
    </row>
    <row r="1085" spans="1:9" x14ac:dyDescent="0.2">
      <c r="A1085" s="3" t="str">
        <f>"ENSG00000142327.13"</f>
        <v>ENSG00000142327.13</v>
      </c>
      <c r="B1085" s="3">
        <v>1756.1954093158399</v>
      </c>
      <c r="C1085" s="3">
        <v>-1.5050632271333599</v>
      </c>
      <c r="D1085" s="3">
        <v>0.21895667796842899</v>
      </c>
      <c r="E1085" s="3">
        <v>-6.8737945839239103</v>
      </c>
      <c r="F1085" s="4">
        <v>6.2516212720117203E-12</v>
      </c>
      <c r="G1085" s="4">
        <v>1.12286041396509E-10</v>
      </c>
      <c r="H1085" s="3" t="str">
        <f>"RNPEPL1"</f>
        <v>RNPEPL1</v>
      </c>
      <c r="I1085" s="3" t="str">
        <f t="shared" si="43"/>
        <v>protein_coding</v>
      </c>
    </row>
    <row r="1086" spans="1:9" x14ac:dyDescent="0.2">
      <c r="A1086" s="3" t="str">
        <f>"ENSG00000178623.12"</f>
        <v>ENSG00000178623.12</v>
      </c>
      <c r="B1086" s="3">
        <v>1765.5321494709401</v>
      </c>
      <c r="C1086" s="3">
        <v>1.0677939656333399</v>
      </c>
      <c r="D1086" s="3">
        <v>0.20177987961374599</v>
      </c>
      <c r="E1086" s="3">
        <v>5.29187532313603</v>
      </c>
      <c r="F1086" s="4">
        <v>1.2106842083875899E-7</v>
      </c>
      <c r="G1086" s="4">
        <v>1.2141152972372701E-6</v>
      </c>
      <c r="H1086" s="3" t="str">
        <f>"GPR35"</f>
        <v>GPR35</v>
      </c>
      <c r="I1086" s="3" t="str">
        <f t="shared" si="43"/>
        <v>protein_coding</v>
      </c>
    </row>
    <row r="1087" spans="1:9" x14ac:dyDescent="0.2">
      <c r="A1087" s="3" t="str">
        <f>"ENSG00000130294.16"</f>
        <v>ENSG00000130294.16</v>
      </c>
      <c r="B1087" s="3">
        <v>7.23797319918111</v>
      </c>
      <c r="C1087" s="3">
        <v>4.7555340719592403</v>
      </c>
      <c r="D1087" s="3">
        <v>1.8527099862123999</v>
      </c>
      <c r="E1087" s="3">
        <v>2.5667989633289898</v>
      </c>
      <c r="F1087" s="3">
        <v>1.0264210160871199E-2</v>
      </c>
      <c r="G1087" s="3">
        <v>3.2522247703915402E-2</v>
      </c>
      <c r="H1087" s="3" t="str">
        <f>"KIF1A"</f>
        <v>KIF1A</v>
      </c>
      <c r="I1087" s="3" t="str">
        <f t="shared" si="43"/>
        <v>protein_coding</v>
      </c>
    </row>
    <row r="1088" spans="1:9" x14ac:dyDescent="0.2">
      <c r="A1088" s="3" t="str">
        <f>"ENSG00000172482.5"</f>
        <v>ENSG00000172482.5</v>
      </c>
      <c r="B1088" s="3">
        <v>249.705158835558</v>
      </c>
      <c r="C1088" s="3">
        <v>-2.76490664064251</v>
      </c>
      <c r="D1088" s="3">
        <v>0.29162395420731502</v>
      </c>
      <c r="E1088" s="3">
        <v>-9.4810683441900494</v>
      </c>
      <c r="F1088" s="4">
        <v>2.5169280663596501E-21</v>
      </c>
      <c r="G1088" s="4">
        <v>1.0885514130809699E-19</v>
      </c>
      <c r="H1088" s="3" t="str">
        <f>"AGXT"</f>
        <v>AGXT</v>
      </c>
      <c r="I1088" s="3" t="str">
        <f t="shared" si="43"/>
        <v>protein_coding</v>
      </c>
    </row>
    <row r="1089" spans="1:9" x14ac:dyDescent="0.2">
      <c r="A1089" s="3" t="str">
        <f>"ENSG00000233392.5"</f>
        <v>ENSG00000233392.5</v>
      </c>
      <c r="B1089" s="3">
        <v>156.75896374939501</v>
      </c>
      <c r="C1089" s="3">
        <v>1.56749356557077</v>
      </c>
      <c r="D1089" s="3">
        <v>0.33459106504229202</v>
      </c>
      <c r="E1089" s="3">
        <v>4.6848040170248897</v>
      </c>
      <c r="F1089" s="4">
        <v>2.8022793833957801E-6</v>
      </c>
      <c r="G1089" s="4">
        <v>2.2131509089676799E-5</v>
      </c>
      <c r="H1089" s="3" t="str">
        <f>"AC104809.2"</f>
        <v>AC104809.2</v>
      </c>
      <c r="I1089" s="3" t="str">
        <f>"processed_transcript"</f>
        <v>processed_transcript</v>
      </c>
    </row>
    <row r="1090" spans="1:9" x14ac:dyDescent="0.2">
      <c r="A1090" s="3" t="str">
        <f>"ENSG00000162804.14"</f>
        <v>ENSG00000162804.14</v>
      </c>
      <c r="B1090" s="3">
        <v>94.745006571995901</v>
      </c>
      <c r="C1090" s="3">
        <v>2.7319216798820798</v>
      </c>
      <c r="D1090" s="3">
        <v>0.41782669195980798</v>
      </c>
      <c r="E1090" s="3">
        <v>6.5384087049778001</v>
      </c>
      <c r="F1090" s="4">
        <v>6.2176820601498895E-11</v>
      </c>
      <c r="G1090" s="4">
        <v>1.00066853569347E-9</v>
      </c>
      <c r="H1090" s="3" t="str">
        <f>"SNED1"</f>
        <v>SNED1</v>
      </c>
      <c r="I1090" s="3" t="str">
        <f t="shared" ref="I1090:I1095" si="44">"protein_coding"</f>
        <v>protein_coding</v>
      </c>
    </row>
    <row r="1091" spans="1:9" x14ac:dyDescent="0.2">
      <c r="A1091" s="3" t="str">
        <f>"ENSG00000115687.13"</f>
        <v>ENSG00000115687.13</v>
      </c>
      <c r="B1091" s="3">
        <v>1434.8923951430099</v>
      </c>
      <c r="C1091" s="3">
        <v>-1.8069926674071299</v>
      </c>
      <c r="D1091" s="3">
        <v>0.22123123376963</v>
      </c>
      <c r="E1091" s="3">
        <v>-8.1678912901094698</v>
      </c>
      <c r="F1091" s="4">
        <v>3.1382650863020501E-16</v>
      </c>
      <c r="G1091" s="4">
        <v>8.7342501334496393E-15</v>
      </c>
      <c r="H1091" s="3" t="str">
        <f>"PASK"</f>
        <v>PASK</v>
      </c>
      <c r="I1091" s="3" t="str">
        <f t="shared" si="44"/>
        <v>protein_coding</v>
      </c>
    </row>
    <row r="1092" spans="1:9" x14ac:dyDescent="0.2">
      <c r="A1092" s="3" t="str">
        <f>"ENSG00000146205.13"</f>
        <v>ENSG00000146205.13</v>
      </c>
      <c r="B1092" s="3">
        <v>669.86328132643996</v>
      </c>
      <c r="C1092" s="3">
        <v>-1.3742538394050801</v>
      </c>
      <c r="D1092" s="3">
        <v>0.23974656526465901</v>
      </c>
      <c r="E1092" s="3">
        <v>-5.7321106472913401</v>
      </c>
      <c r="F1092" s="4">
        <v>9.9188529746222002E-9</v>
      </c>
      <c r="G1092" s="4">
        <v>1.17708618031155E-7</v>
      </c>
      <c r="H1092" s="3" t="str">
        <f>"ANO7"</f>
        <v>ANO7</v>
      </c>
      <c r="I1092" s="3" t="str">
        <f t="shared" si="44"/>
        <v>protein_coding</v>
      </c>
    </row>
    <row r="1093" spans="1:9" x14ac:dyDescent="0.2">
      <c r="A1093" s="3" t="str">
        <f>"ENSG00000176720.6"</f>
        <v>ENSG00000176720.6</v>
      </c>
      <c r="B1093" s="3">
        <v>1444.05790437989</v>
      </c>
      <c r="C1093" s="3">
        <v>-1.1023538015210801</v>
      </c>
      <c r="D1093" s="3">
        <v>0.208998360926479</v>
      </c>
      <c r="E1093" s="3">
        <v>-5.2744614677091297</v>
      </c>
      <c r="F1093" s="4">
        <v>1.33146488792454E-7</v>
      </c>
      <c r="G1093" s="4">
        <v>1.3274212880087801E-6</v>
      </c>
      <c r="H1093" s="3" t="str">
        <f>"BOK"</f>
        <v>BOK</v>
      </c>
      <c r="I1093" s="3" t="str">
        <f t="shared" si="44"/>
        <v>protein_coding</v>
      </c>
    </row>
    <row r="1094" spans="1:9" x14ac:dyDescent="0.2">
      <c r="A1094" s="3" t="str">
        <f>"ENSG00000176946.12"</f>
        <v>ENSG00000176946.12</v>
      </c>
      <c r="B1094" s="3">
        <v>2314.27306329982</v>
      </c>
      <c r="C1094" s="3">
        <v>-1.01978453878658</v>
      </c>
      <c r="D1094" s="3">
        <v>0.21258750567047499</v>
      </c>
      <c r="E1094" s="3">
        <v>-4.7970106971729596</v>
      </c>
      <c r="F1094" s="4">
        <v>1.6105100389290099E-6</v>
      </c>
      <c r="G1094" s="4">
        <v>1.32974445547572E-5</v>
      </c>
      <c r="H1094" s="3" t="str">
        <f>"THAP4"</f>
        <v>THAP4</v>
      </c>
      <c r="I1094" s="3" t="str">
        <f t="shared" si="44"/>
        <v>protein_coding</v>
      </c>
    </row>
    <row r="1095" spans="1:9" x14ac:dyDescent="0.2">
      <c r="A1095" s="3" t="str">
        <f>"ENSG00000168395.15"</f>
        <v>ENSG00000168395.15</v>
      </c>
      <c r="B1095" s="3">
        <v>2577.6840853376598</v>
      </c>
      <c r="C1095" s="3">
        <v>-1.6864273928532501</v>
      </c>
      <c r="D1095" s="3">
        <v>0.19453658462757101</v>
      </c>
      <c r="E1095" s="3">
        <v>-8.6689472629624902</v>
      </c>
      <c r="F1095" s="4">
        <v>4.3613389398827503E-18</v>
      </c>
      <c r="G1095" s="4">
        <v>1.41805969087095E-16</v>
      </c>
      <c r="H1095" s="3" t="str">
        <f>"ING5"</f>
        <v>ING5</v>
      </c>
      <c r="I1095" s="3" t="str">
        <f t="shared" si="44"/>
        <v>protein_coding</v>
      </c>
    </row>
    <row r="1096" spans="1:9" x14ac:dyDescent="0.2">
      <c r="A1096" s="3" t="str">
        <f>"ENSG00000224272.2"</f>
        <v>ENSG00000224272.2</v>
      </c>
      <c r="B1096" s="3">
        <v>70.208885875914504</v>
      </c>
      <c r="C1096" s="3">
        <v>-3.1904151989688998</v>
      </c>
      <c r="D1096" s="3">
        <v>0.48547996585056002</v>
      </c>
      <c r="E1096" s="3">
        <v>-6.5716722076868699</v>
      </c>
      <c r="F1096" s="4">
        <v>4.9753299070607899E-11</v>
      </c>
      <c r="G1096" s="4">
        <v>8.0692151177193704E-10</v>
      </c>
      <c r="H1096" s="3" t="str">
        <f>"AC131097.3"</f>
        <v>AC131097.3</v>
      </c>
      <c r="I1096" s="3" t="str">
        <f>"antisense"</f>
        <v>antisense</v>
      </c>
    </row>
    <row r="1097" spans="1:9" x14ac:dyDescent="0.2">
      <c r="A1097" s="3" t="str">
        <f>"ENSG00000204099.11"</f>
        <v>ENSG00000204099.11</v>
      </c>
      <c r="B1097" s="3">
        <v>1304.2231173329101</v>
      </c>
      <c r="C1097" s="3">
        <v>-2.0845597294015201</v>
      </c>
      <c r="D1097" s="3">
        <v>0.24159557615275601</v>
      </c>
      <c r="E1097" s="3">
        <v>-8.6283025649587994</v>
      </c>
      <c r="F1097" s="4">
        <v>6.2269174559536004E-18</v>
      </c>
      <c r="G1097" s="4">
        <v>1.9960567049690301E-16</v>
      </c>
      <c r="H1097" s="3" t="str">
        <f>"NEU4"</f>
        <v>NEU4</v>
      </c>
      <c r="I1097" s="3" t="str">
        <f>"protein_coding"</f>
        <v>protein_coding</v>
      </c>
    </row>
    <row r="1098" spans="1:9" x14ac:dyDescent="0.2">
      <c r="A1098" s="3" t="str">
        <f>"ENSG00000237940.3"</f>
        <v>ENSG00000237940.3</v>
      </c>
      <c r="B1098" s="3">
        <v>26.5263785407071</v>
      </c>
      <c r="C1098" s="3">
        <v>2.0569487339297901</v>
      </c>
      <c r="D1098" s="3">
        <v>0.71138484469496999</v>
      </c>
      <c r="E1098" s="3">
        <v>2.8914711204056802</v>
      </c>
      <c r="F1098" s="3">
        <v>3.8344283220617002E-3</v>
      </c>
      <c r="G1098" s="3">
        <v>1.41391180005526E-2</v>
      </c>
      <c r="H1098" s="3" t="str">
        <f>"LINC01238"</f>
        <v>LINC01238</v>
      </c>
      <c r="I1098" s="3" t="str">
        <f>"lincRNA"</f>
        <v>lincRNA</v>
      </c>
    </row>
    <row r="1099" spans="1:9" x14ac:dyDescent="0.2">
      <c r="A1099" s="3" t="str">
        <f>"ENSG00000134121.10"</f>
        <v>ENSG00000134121.10</v>
      </c>
      <c r="B1099" s="3">
        <v>7.2349674088082097</v>
      </c>
      <c r="C1099" s="3">
        <v>4.7501499219081396</v>
      </c>
      <c r="D1099" s="3">
        <v>1.8481518715646901</v>
      </c>
      <c r="E1099" s="3">
        <v>2.57021622248313</v>
      </c>
      <c r="F1099" s="3">
        <v>1.0163505726399199E-2</v>
      </c>
      <c r="G1099" s="3">
        <v>3.2256848052090802E-2</v>
      </c>
      <c r="H1099" s="3" t="str">
        <f>"CHL1"</f>
        <v>CHL1</v>
      </c>
      <c r="I1099" s="3" t="str">
        <f>"protein_coding"</f>
        <v>protein_coding</v>
      </c>
    </row>
    <row r="1100" spans="1:9" x14ac:dyDescent="0.2">
      <c r="A1100" s="3" t="str">
        <f>"ENSG00000231249.1"</f>
        <v>ENSG00000231249.1</v>
      </c>
      <c r="B1100" s="3">
        <v>30.479927468353001</v>
      </c>
      <c r="C1100" s="3">
        <v>1.69407143413616</v>
      </c>
      <c r="D1100" s="3">
        <v>0.67298957865966602</v>
      </c>
      <c r="E1100" s="3">
        <v>2.5172327891170201</v>
      </c>
      <c r="F1100" s="3">
        <v>1.1828065109676499E-2</v>
      </c>
      <c r="G1100" s="3">
        <v>3.6581077189938298E-2</v>
      </c>
      <c r="H1100" s="3" t="str">
        <f>"ITPR1-DT"</f>
        <v>ITPR1-DT</v>
      </c>
      <c r="I1100" s="3" t="str">
        <f>"antisense"</f>
        <v>antisense</v>
      </c>
    </row>
    <row r="1101" spans="1:9" x14ac:dyDescent="0.2">
      <c r="A1101" s="3" t="str">
        <f>"ENSG00000150995.19"</f>
        <v>ENSG00000150995.19</v>
      </c>
      <c r="B1101" s="3">
        <v>2474.8600719441702</v>
      </c>
      <c r="C1101" s="3">
        <v>-1.5933134792324499</v>
      </c>
      <c r="D1101" s="3">
        <v>0.17857336959616801</v>
      </c>
      <c r="E1101" s="3">
        <v>-8.9224584989107001</v>
      </c>
      <c r="F1101" s="4">
        <v>4.56049810205331E-19</v>
      </c>
      <c r="G1101" s="4">
        <v>1.61167174820553E-17</v>
      </c>
      <c r="H1101" s="3" t="str">
        <f>"ITPR1"</f>
        <v>ITPR1</v>
      </c>
      <c r="I1101" s="3" t="str">
        <f>"protein_coding"</f>
        <v>protein_coding</v>
      </c>
    </row>
    <row r="1102" spans="1:9" x14ac:dyDescent="0.2">
      <c r="A1102" s="3" t="str">
        <f>"ENSG00000233912.1"</f>
        <v>ENSG00000233912.1</v>
      </c>
      <c r="B1102" s="3">
        <v>29.163987017346798</v>
      </c>
      <c r="C1102" s="3">
        <v>2.7052834936693499</v>
      </c>
      <c r="D1102" s="3">
        <v>0.69457494993872804</v>
      </c>
      <c r="E1102" s="3">
        <v>3.8948762749189298</v>
      </c>
      <c r="F1102" s="4">
        <v>9.8248866528988306E-5</v>
      </c>
      <c r="G1102" s="3">
        <v>5.6323884524062898E-4</v>
      </c>
      <c r="H1102" s="3" t="str">
        <f>"AC026202.2"</f>
        <v>AC026202.2</v>
      </c>
      <c r="I1102" s="3" t="str">
        <f>"antisense"</f>
        <v>antisense</v>
      </c>
    </row>
    <row r="1103" spans="1:9" x14ac:dyDescent="0.2">
      <c r="A1103" s="3" t="str">
        <f>"ENSG00000215160.3"</f>
        <v>ENSG00000215160.3</v>
      </c>
      <c r="B1103" s="3">
        <v>9.7568975010611894</v>
      </c>
      <c r="C1103" s="3">
        <v>4.1708760799674396</v>
      </c>
      <c r="D1103" s="3">
        <v>1.4428209863558901</v>
      </c>
      <c r="E1103" s="3">
        <v>2.8907786339466499</v>
      </c>
      <c r="F1103" s="3">
        <v>3.8428870258960099E-3</v>
      </c>
      <c r="G1103" s="3">
        <v>1.4163011334314701E-2</v>
      </c>
      <c r="H1103" s="3" t="str">
        <f>"OR7E122P"</f>
        <v>OR7E122P</v>
      </c>
      <c r="I1103" s="3" t="str">
        <f>"transcribed_unprocessed_pseudogene"</f>
        <v>transcribed_unprocessed_pseudogene</v>
      </c>
    </row>
    <row r="1104" spans="1:9" x14ac:dyDescent="0.2">
      <c r="A1104" s="3" t="str">
        <f>"ENSG00000196220.16"</f>
        <v>ENSG00000196220.16</v>
      </c>
      <c r="B1104" s="3">
        <v>506.28698078005101</v>
      </c>
      <c r="C1104" s="3">
        <v>5.2833328453466999</v>
      </c>
      <c r="D1104" s="3">
        <v>0.31412533007219701</v>
      </c>
      <c r="E1104" s="3">
        <v>16.8191875648245</v>
      </c>
      <c r="F1104" s="4">
        <v>1.76563374564091E-63</v>
      </c>
      <c r="G1104" s="4">
        <v>5.7961714057202199E-61</v>
      </c>
      <c r="H1104" s="3" t="str">
        <f>"SRGAP3"</f>
        <v>SRGAP3</v>
      </c>
      <c r="I1104" s="3" t="str">
        <f t="shared" ref="I1104:I1109" si="45">"protein_coding"</f>
        <v>protein_coding</v>
      </c>
    </row>
    <row r="1105" spans="1:9" x14ac:dyDescent="0.2">
      <c r="A1105" s="3" t="str">
        <f>"ENSG00000114026.21"</f>
        <v>ENSG00000114026.21</v>
      </c>
      <c r="B1105" s="3">
        <v>813.00340542567403</v>
      </c>
      <c r="C1105" s="3">
        <v>-1.2338018477922501</v>
      </c>
      <c r="D1105" s="3">
        <v>0.206517896471718</v>
      </c>
      <c r="E1105" s="3">
        <v>-5.9743095822265397</v>
      </c>
      <c r="F1105" s="4">
        <v>2.3106664636030401E-9</v>
      </c>
      <c r="G1105" s="4">
        <v>2.9795896419210599E-8</v>
      </c>
      <c r="H1105" s="3" t="str">
        <f>"OGG1"</f>
        <v>OGG1</v>
      </c>
      <c r="I1105" s="3" t="str">
        <f t="shared" si="45"/>
        <v>protein_coding</v>
      </c>
    </row>
    <row r="1106" spans="1:9" x14ac:dyDescent="0.2">
      <c r="A1106" s="3" t="str">
        <f>"ENSG00000214021.16"</f>
        <v>ENSG00000214021.16</v>
      </c>
      <c r="B1106" s="3">
        <v>1462.9583101412099</v>
      </c>
      <c r="C1106" s="3">
        <v>1.54988894863316</v>
      </c>
      <c r="D1106" s="3">
        <v>0.19642690844190999</v>
      </c>
      <c r="E1106" s="3">
        <v>7.89041053961052</v>
      </c>
      <c r="F1106" s="4">
        <v>3.0119405991472801E-15</v>
      </c>
      <c r="G1106" s="4">
        <v>7.6913163547296994E-14</v>
      </c>
      <c r="H1106" s="3" t="str">
        <f>"TTLL3"</f>
        <v>TTLL3</v>
      </c>
      <c r="I1106" s="3" t="str">
        <f t="shared" si="45"/>
        <v>protein_coding</v>
      </c>
    </row>
    <row r="1107" spans="1:9" x14ac:dyDescent="0.2">
      <c r="A1107" s="3" t="str">
        <f>"ENSG00000187288.10"</f>
        <v>ENSG00000187288.10</v>
      </c>
      <c r="B1107" s="3">
        <v>29.2319351784021</v>
      </c>
      <c r="C1107" s="3">
        <v>-2.9377537403771101</v>
      </c>
      <c r="D1107" s="3">
        <v>0.712839671490336</v>
      </c>
      <c r="E1107" s="3">
        <v>-4.1211984375605004</v>
      </c>
      <c r="F1107" s="4">
        <v>3.7690659821878098E-5</v>
      </c>
      <c r="G1107" s="3">
        <v>2.3652879684032699E-4</v>
      </c>
      <c r="H1107" s="3" t="str">
        <f>"CIDEC"</f>
        <v>CIDEC</v>
      </c>
      <c r="I1107" s="3" t="str">
        <f t="shared" si="45"/>
        <v>protein_coding</v>
      </c>
    </row>
    <row r="1108" spans="1:9" x14ac:dyDescent="0.2">
      <c r="A1108" s="3" t="str">
        <f>"ENSG00000163701.19"</f>
        <v>ENSG00000163701.19</v>
      </c>
      <c r="B1108" s="3">
        <v>270.858732977361</v>
      </c>
      <c r="C1108" s="3">
        <v>-1.1840811412412799</v>
      </c>
      <c r="D1108" s="3">
        <v>0.31501277046526799</v>
      </c>
      <c r="E1108" s="3">
        <v>-3.7588353624280599</v>
      </c>
      <c r="F1108" s="3">
        <v>1.7070611597377899E-4</v>
      </c>
      <c r="G1108" s="3">
        <v>9.2451392207067596E-4</v>
      </c>
      <c r="H1108" s="3" t="str">
        <f>"IL17RE"</f>
        <v>IL17RE</v>
      </c>
      <c r="I1108" s="3" t="str">
        <f t="shared" si="45"/>
        <v>protein_coding</v>
      </c>
    </row>
    <row r="1109" spans="1:9" x14ac:dyDescent="0.2">
      <c r="A1109" s="3" t="str">
        <f>"ENSG00000163702.20"</f>
        <v>ENSG00000163702.20</v>
      </c>
      <c r="B1109" s="3">
        <v>323.69580142393301</v>
      </c>
      <c r="C1109" s="3">
        <v>-1.0860370780042501</v>
      </c>
      <c r="D1109" s="3">
        <v>0.25727643978491999</v>
      </c>
      <c r="E1109" s="3">
        <v>-4.2212846186466502</v>
      </c>
      <c r="F1109" s="4">
        <v>2.4291398886726701E-5</v>
      </c>
      <c r="G1109" s="3">
        <v>1.5856917716019201E-4</v>
      </c>
      <c r="H1109" s="3" t="str">
        <f>"IL17RC"</f>
        <v>IL17RC</v>
      </c>
      <c r="I1109" s="3" t="str">
        <f t="shared" si="45"/>
        <v>protein_coding</v>
      </c>
    </row>
    <row r="1110" spans="1:9" x14ac:dyDescent="0.2">
      <c r="A1110" s="3" t="str">
        <f>"ENSG00000230082.1"</f>
        <v>ENSG00000230082.1</v>
      </c>
      <c r="B1110" s="3">
        <v>117.362769902598</v>
      </c>
      <c r="C1110" s="3">
        <v>-2.4441139084518899</v>
      </c>
      <c r="D1110" s="3">
        <v>0.37482955642379201</v>
      </c>
      <c r="E1110" s="3">
        <v>-6.5206008079269804</v>
      </c>
      <c r="F1110" s="4">
        <v>7.0026324858740397E-11</v>
      </c>
      <c r="G1110" s="4">
        <v>1.1157937271497699E-9</v>
      </c>
      <c r="H1110" s="3" t="str">
        <f>"PRRT3-AS1"</f>
        <v>PRRT3-AS1</v>
      </c>
      <c r="I1110" s="3" t="str">
        <f>"antisense"</f>
        <v>antisense</v>
      </c>
    </row>
    <row r="1111" spans="1:9" x14ac:dyDescent="0.2">
      <c r="A1111" s="3" t="str">
        <f>"ENSG00000269982.1"</f>
        <v>ENSG00000269982.1</v>
      </c>
      <c r="B1111" s="3">
        <v>171.26581278065299</v>
      </c>
      <c r="C1111" s="3">
        <v>-1.8789145746478499</v>
      </c>
      <c r="D1111" s="3">
        <v>0.33860948324878498</v>
      </c>
      <c r="E1111" s="3">
        <v>-5.5489130328560998</v>
      </c>
      <c r="F1111" s="4">
        <v>2.8745111146514501E-8</v>
      </c>
      <c r="G1111" s="4">
        <v>3.2033457808142299E-7</v>
      </c>
      <c r="H1111" s="3" t="str">
        <f>"AC018809.2"</f>
        <v>AC018809.2</v>
      </c>
      <c r="I1111" s="3" t="str">
        <f>"antisense"</f>
        <v>antisense</v>
      </c>
    </row>
    <row r="1112" spans="1:9" x14ac:dyDescent="0.2">
      <c r="A1112" s="3" t="str">
        <f>"ENSG00000206567.9"</f>
        <v>ENSG00000206567.9</v>
      </c>
      <c r="B1112" s="3">
        <v>30.2601419559901</v>
      </c>
      <c r="C1112" s="3">
        <v>3.7734700055100299</v>
      </c>
      <c r="D1112" s="3">
        <v>0.785270279327689</v>
      </c>
      <c r="E1112" s="3">
        <v>4.80531366695896</v>
      </c>
      <c r="F1112" s="4">
        <v>1.54509078271116E-6</v>
      </c>
      <c r="G1112" s="4">
        <v>1.28194544934626E-5</v>
      </c>
      <c r="H1112" s="3" t="str">
        <f>"AC022007.1"</f>
        <v>AC022007.1</v>
      </c>
      <c r="I1112" s="3" t="str">
        <f>"lincRNA"</f>
        <v>lincRNA</v>
      </c>
    </row>
    <row r="1113" spans="1:9" x14ac:dyDescent="0.2">
      <c r="A1113" s="3" t="str">
        <f>"ENSG00000134070.5"</f>
        <v>ENSG00000134070.5</v>
      </c>
      <c r="B1113" s="3">
        <v>734.97865582157999</v>
      </c>
      <c r="C1113" s="3">
        <v>-1.45971362294704</v>
      </c>
      <c r="D1113" s="3">
        <v>0.24148029489941</v>
      </c>
      <c r="E1113" s="3">
        <v>-6.04485605566739</v>
      </c>
      <c r="F1113" s="4">
        <v>1.4954345363446099E-9</v>
      </c>
      <c r="G1113" s="4">
        <v>1.9845241834868599E-8</v>
      </c>
      <c r="H1113" s="3" t="str">
        <f>"IRAK2"</f>
        <v>IRAK2</v>
      </c>
      <c r="I1113" s="3" t="str">
        <f t="shared" ref="I1113:I1126" si="46">"protein_coding"</f>
        <v>protein_coding</v>
      </c>
    </row>
    <row r="1114" spans="1:9" x14ac:dyDescent="0.2">
      <c r="A1114" s="3" t="str">
        <f>"ENSG00000157014.11"</f>
        <v>ENSG00000157014.11</v>
      </c>
      <c r="B1114" s="3">
        <v>677.38399390178802</v>
      </c>
      <c r="C1114" s="3">
        <v>-1.51554529210011</v>
      </c>
      <c r="D1114" s="3">
        <v>0.233636975942903</v>
      </c>
      <c r="E1114" s="3">
        <v>-6.4867527324548497</v>
      </c>
      <c r="F1114" s="4">
        <v>8.7706101290591604E-11</v>
      </c>
      <c r="G1114" s="4">
        <v>1.37577901086053E-9</v>
      </c>
      <c r="H1114" s="3" t="str">
        <f>"TATDN2"</f>
        <v>TATDN2</v>
      </c>
      <c r="I1114" s="3" t="str">
        <f t="shared" si="46"/>
        <v>protein_coding</v>
      </c>
    </row>
    <row r="1115" spans="1:9" x14ac:dyDescent="0.2">
      <c r="A1115" s="3" t="str">
        <f>"ENSG00000157020.18"</f>
        <v>ENSG00000157020.18</v>
      </c>
      <c r="B1115" s="3">
        <v>4797.9901151885397</v>
      </c>
      <c r="C1115" s="3">
        <v>-1.36427417930631</v>
      </c>
      <c r="D1115" s="3">
        <v>0.211458462023705</v>
      </c>
      <c r="E1115" s="3">
        <v>-6.4517360348216704</v>
      </c>
      <c r="F1115" s="4">
        <v>1.1057605900676801E-10</v>
      </c>
      <c r="G1115" s="4">
        <v>1.70894264308418E-9</v>
      </c>
      <c r="H1115" s="3" t="str">
        <f>"SEC13"</f>
        <v>SEC13</v>
      </c>
      <c r="I1115" s="3" t="str">
        <f t="shared" si="46"/>
        <v>protein_coding</v>
      </c>
    </row>
    <row r="1116" spans="1:9" x14ac:dyDescent="0.2">
      <c r="A1116" s="3" t="str">
        <f>"ENSG00000157087.19"</f>
        <v>ENSG00000157087.19</v>
      </c>
      <c r="B1116" s="3">
        <v>630.16153117730698</v>
      </c>
      <c r="C1116" s="3">
        <v>4.5505804915726999</v>
      </c>
      <c r="D1116" s="3">
        <v>0.25747412994766899</v>
      </c>
      <c r="E1116" s="3">
        <v>17.673932882102001</v>
      </c>
      <c r="F1116" s="4">
        <v>6.65884758068535E-70</v>
      </c>
      <c r="G1116" s="4">
        <v>2.9743216398513702E-67</v>
      </c>
      <c r="H1116" s="3" t="str">
        <f>"ATP2B2"</f>
        <v>ATP2B2</v>
      </c>
      <c r="I1116" s="3" t="str">
        <f t="shared" si="46"/>
        <v>protein_coding</v>
      </c>
    </row>
    <row r="1117" spans="1:9" x14ac:dyDescent="0.2">
      <c r="A1117" s="3" t="str">
        <f>"ENSG00000157103.12"</f>
        <v>ENSG00000157103.12</v>
      </c>
      <c r="B1117" s="3">
        <v>19.491957622240001</v>
      </c>
      <c r="C1117" s="3">
        <v>5.1998419316881197</v>
      </c>
      <c r="D1117" s="3">
        <v>1.24566406316084</v>
      </c>
      <c r="E1117" s="3">
        <v>4.1743533312614396</v>
      </c>
      <c r="F1117" s="4">
        <v>2.9883366392363601E-5</v>
      </c>
      <c r="G1117" s="3">
        <v>1.9176450402560801E-4</v>
      </c>
      <c r="H1117" s="3" t="str">
        <f>"SLC6A1"</f>
        <v>SLC6A1</v>
      </c>
      <c r="I1117" s="3" t="str">
        <f t="shared" si="46"/>
        <v>protein_coding</v>
      </c>
    </row>
    <row r="1118" spans="1:9" x14ac:dyDescent="0.2">
      <c r="A1118" s="3" t="str">
        <f>"ENSG00000157152.17"</f>
        <v>ENSG00000157152.17</v>
      </c>
      <c r="B1118" s="3">
        <v>7.2683242532945602</v>
      </c>
      <c r="C1118" s="3">
        <v>6.2594851785055603</v>
      </c>
      <c r="D1118" s="3">
        <v>1.8703113788183201</v>
      </c>
      <c r="E1118" s="3">
        <v>3.34676099894144</v>
      </c>
      <c r="F1118" s="3">
        <v>8.1761670174386599E-4</v>
      </c>
      <c r="G1118" s="3">
        <v>3.7005983841221098E-3</v>
      </c>
      <c r="H1118" s="3" t="str">
        <f>"SYN2"</f>
        <v>SYN2</v>
      </c>
      <c r="I1118" s="3" t="str">
        <f t="shared" si="46"/>
        <v>protein_coding</v>
      </c>
    </row>
    <row r="1119" spans="1:9" x14ac:dyDescent="0.2">
      <c r="A1119" s="3" t="str">
        <f>"ENSG00000157150.5"</f>
        <v>ENSG00000157150.5</v>
      </c>
      <c r="B1119" s="3">
        <v>19.5737492086648</v>
      </c>
      <c r="C1119" s="3">
        <v>2.89662777820836</v>
      </c>
      <c r="D1119" s="3">
        <v>0.86353298845964999</v>
      </c>
      <c r="E1119" s="3">
        <v>3.3543915715082302</v>
      </c>
      <c r="F1119" s="3">
        <v>7.9539718804055295E-4</v>
      </c>
      <c r="G1119" s="3">
        <v>3.6126333026406002E-3</v>
      </c>
      <c r="H1119" s="3" t="str">
        <f>"TIMP4"</f>
        <v>TIMP4</v>
      </c>
      <c r="I1119" s="3" t="str">
        <f t="shared" si="46"/>
        <v>protein_coding</v>
      </c>
    </row>
    <row r="1120" spans="1:9" x14ac:dyDescent="0.2">
      <c r="A1120" s="3" t="str">
        <f>"ENSG00000132170.21"</f>
        <v>ENSG00000132170.21</v>
      </c>
      <c r="B1120" s="3">
        <v>665.05515119937195</v>
      </c>
      <c r="C1120" s="3">
        <v>-1.93195398626662</v>
      </c>
      <c r="D1120" s="3">
        <v>0.218820596061853</v>
      </c>
      <c r="E1120" s="3">
        <v>-8.8289403330229508</v>
      </c>
      <c r="F1120" s="4">
        <v>1.0567207232939301E-18</v>
      </c>
      <c r="G1120" s="4">
        <v>3.6400087923627797E-17</v>
      </c>
      <c r="H1120" s="3" t="str">
        <f>"PPARG"</f>
        <v>PPARG</v>
      </c>
      <c r="I1120" s="3" t="str">
        <f t="shared" si="46"/>
        <v>protein_coding</v>
      </c>
    </row>
    <row r="1121" spans="1:9" x14ac:dyDescent="0.2">
      <c r="A1121" s="3" t="str">
        <f>"ENSG00000154743.17"</f>
        <v>ENSG00000154743.17</v>
      </c>
      <c r="B1121" s="3">
        <v>485.73279682671802</v>
      </c>
      <c r="C1121" s="3">
        <v>-1.0404245932466001</v>
      </c>
      <c r="D1121" s="3">
        <v>0.23108789879762501</v>
      </c>
      <c r="E1121" s="3">
        <v>-4.50228938278482</v>
      </c>
      <c r="F1121" s="4">
        <v>6.7225362063835101E-6</v>
      </c>
      <c r="G1121" s="4">
        <v>4.9358378877750297E-5</v>
      </c>
      <c r="H1121" s="3" t="str">
        <f>"TSEN2"</f>
        <v>TSEN2</v>
      </c>
      <c r="I1121" s="3" t="str">
        <f t="shared" si="46"/>
        <v>protein_coding</v>
      </c>
    </row>
    <row r="1122" spans="1:9" x14ac:dyDescent="0.2">
      <c r="A1122" s="3" t="str">
        <f>"ENSG00000088726.16"</f>
        <v>ENSG00000088726.16</v>
      </c>
      <c r="B1122" s="3">
        <v>484.84327517632698</v>
      </c>
      <c r="C1122" s="3">
        <v>8.8720336317755706</v>
      </c>
      <c r="D1122" s="3">
        <v>0.75569499137250895</v>
      </c>
      <c r="E1122" s="3">
        <v>11.7402308246903</v>
      </c>
      <c r="F1122" s="4">
        <v>7.9269805169781003E-32</v>
      </c>
      <c r="G1122" s="4">
        <v>6.9005251803866599E-30</v>
      </c>
      <c r="H1122" s="3" t="str">
        <f>"TMEM40"</f>
        <v>TMEM40</v>
      </c>
      <c r="I1122" s="3" t="str">
        <f t="shared" si="46"/>
        <v>protein_coding</v>
      </c>
    </row>
    <row r="1123" spans="1:9" x14ac:dyDescent="0.2">
      <c r="A1123" s="3" t="str">
        <f>"ENSG00000144712.12"</f>
        <v>ENSG00000144712.12</v>
      </c>
      <c r="B1123" s="3">
        <v>7.7425933051176203</v>
      </c>
      <c r="C1123" s="3">
        <v>4.8628047843404598</v>
      </c>
      <c r="D1123" s="3">
        <v>1.82604759127734</v>
      </c>
      <c r="E1123" s="3">
        <v>2.6630219319414699</v>
      </c>
      <c r="F1123" s="3">
        <v>7.7442366471307802E-3</v>
      </c>
      <c r="G1123" s="3">
        <v>2.56699776063713E-2</v>
      </c>
      <c r="H1123" s="3" t="str">
        <f>"CAND2"</f>
        <v>CAND2</v>
      </c>
      <c r="I1123" s="3" t="str">
        <f t="shared" si="46"/>
        <v>protein_coding</v>
      </c>
    </row>
    <row r="1124" spans="1:9" x14ac:dyDescent="0.2">
      <c r="A1124" s="3" t="str">
        <f>"ENSG00000163520.14"</f>
        <v>ENSG00000163520.14</v>
      </c>
      <c r="B1124" s="3">
        <v>66.187947218761806</v>
      </c>
      <c r="C1124" s="3">
        <v>5.1539253008873098</v>
      </c>
      <c r="D1124" s="3">
        <v>0.68570961396318497</v>
      </c>
      <c r="E1124" s="3">
        <v>7.5161922713891203</v>
      </c>
      <c r="F1124" s="4">
        <v>5.6394599139569902E-14</v>
      </c>
      <c r="G1124" s="4">
        <v>1.2826240757561501E-12</v>
      </c>
      <c r="H1124" s="3" t="str">
        <f>"FBLN2"</f>
        <v>FBLN2</v>
      </c>
      <c r="I1124" s="3" t="str">
        <f t="shared" si="46"/>
        <v>protein_coding</v>
      </c>
    </row>
    <row r="1125" spans="1:9" x14ac:dyDescent="0.2">
      <c r="A1125" s="3" t="str">
        <f>"ENSG00000154767.14"</f>
        <v>ENSG00000154767.14</v>
      </c>
      <c r="B1125" s="3">
        <v>3194.0344859626598</v>
      </c>
      <c r="C1125" s="3">
        <v>1.6445644870692799</v>
      </c>
      <c r="D1125" s="3">
        <v>0.18263677910444501</v>
      </c>
      <c r="E1125" s="3">
        <v>9.0045635667325907</v>
      </c>
      <c r="F1125" s="4">
        <v>2.1652529439982001E-19</v>
      </c>
      <c r="G1125" s="4">
        <v>7.85574526832476E-18</v>
      </c>
      <c r="H1125" s="3" t="str">
        <f>"XPC"</f>
        <v>XPC</v>
      </c>
      <c r="I1125" s="3" t="str">
        <f t="shared" si="46"/>
        <v>protein_coding</v>
      </c>
    </row>
    <row r="1126" spans="1:9" x14ac:dyDescent="0.2">
      <c r="A1126" s="3" t="str">
        <f>"ENSG00000144596.13"</f>
        <v>ENSG00000144596.13</v>
      </c>
      <c r="B1126" s="3">
        <v>730.90346245921296</v>
      </c>
      <c r="C1126" s="3">
        <v>7.3717956521864103</v>
      </c>
      <c r="D1126" s="3">
        <v>0.41547065590937898</v>
      </c>
      <c r="E1126" s="3">
        <v>17.743240220061001</v>
      </c>
      <c r="F1126" s="4">
        <v>1.94395049011E-70</v>
      </c>
      <c r="G1126" s="4">
        <v>8.9774269498351192E-68</v>
      </c>
      <c r="H1126" s="3" t="str">
        <f>"GRIP2"</f>
        <v>GRIP2</v>
      </c>
      <c r="I1126" s="3" t="str">
        <f t="shared" si="46"/>
        <v>protein_coding</v>
      </c>
    </row>
    <row r="1127" spans="1:9" x14ac:dyDescent="0.2">
      <c r="A1127" s="3" t="str">
        <f>"ENSG00000207163.1"</f>
        <v>ENSG00000207163.1</v>
      </c>
      <c r="B1127" s="3">
        <v>9.1737462358553792</v>
      </c>
      <c r="C1127" s="3">
        <v>6.5915411521854903</v>
      </c>
      <c r="D1127" s="3">
        <v>1.79504798545571</v>
      </c>
      <c r="E1127" s="3">
        <v>3.6720696079397999</v>
      </c>
      <c r="F1127" s="3">
        <v>2.40594125255355E-4</v>
      </c>
      <c r="G1127" s="3">
        <v>1.2519992610451999E-3</v>
      </c>
      <c r="H1127" s="3" t="str">
        <f>"RNU6-905P"</f>
        <v>RNU6-905P</v>
      </c>
      <c r="I1127" s="3" t="str">
        <f>"snRNA"</f>
        <v>snRNA</v>
      </c>
    </row>
    <row r="1128" spans="1:9" x14ac:dyDescent="0.2">
      <c r="A1128" s="3" t="str">
        <f>"ENSG00000234123.1"</f>
        <v>ENSG00000234123.1</v>
      </c>
      <c r="B1128" s="3">
        <v>107.016452230846</v>
      </c>
      <c r="C1128" s="3">
        <v>5.8620049014186302</v>
      </c>
      <c r="D1128" s="3">
        <v>0.64764040397299005</v>
      </c>
      <c r="E1128" s="3">
        <v>9.0513267323314004</v>
      </c>
      <c r="F1128" s="4">
        <v>1.4124164104578599E-19</v>
      </c>
      <c r="G1128" s="4">
        <v>5.1935371033394603E-18</v>
      </c>
      <c r="H1128" s="3" t="str">
        <f>"RHBDF1P1"</f>
        <v>RHBDF1P1</v>
      </c>
      <c r="I1128" s="3" t="str">
        <f>"processed_pseudogene"</f>
        <v>processed_pseudogene</v>
      </c>
    </row>
    <row r="1129" spans="1:9" x14ac:dyDescent="0.2">
      <c r="A1129" s="3" t="str">
        <f>"ENSG00000154783.11"</f>
        <v>ENSG00000154783.11</v>
      </c>
      <c r="B1129" s="3">
        <v>6.5011879415546998</v>
      </c>
      <c r="C1129" s="3">
        <v>4.5896969795197204</v>
      </c>
      <c r="D1129" s="3">
        <v>1.8857659799433899</v>
      </c>
      <c r="E1129" s="3">
        <v>2.4338634954362099</v>
      </c>
      <c r="F1129" s="3">
        <v>1.49386275965023E-2</v>
      </c>
      <c r="G1129" s="3">
        <v>4.4392276815563202E-2</v>
      </c>
      <c r="H1129" s="3" t="str">
        <f>"FGD5"</f>
        <v>FGD5</v>
      </c>
      <c r="I1129" s="3" t="str">
        <f>"protein_coding"</f>
        <v>protein_coding</v>
      </c>
    </row>
    <row r="1130" spans="1:9" x14ac:dyDescent="0.2">
      <c r="A1130" s="3" t="str">
        <f>"ENSG00000230524.8"</f>
        <v>ENSG00000230524.8</v>
      </c>
      <c r="B1130" s="3">
        <v>38.139179582781203</v>
      </c>
      <c r="C1130" s="3">
        <v>2.7607571732120801</v>
      </c>
      <c r="D1130" s="3">
        <v>0.62999579200473099</v>
      </c>
      <c r="E1130" s="3">
        <v>4.3821835133643896</v>
      </c>
      <c r="F1130" s="4">
        <v>1.17495774344314E-5</v>
      </c>
      <c r="G1130" s="4">
        <v>8.2234969523748704E-5</v>
      </c>
      <c r="H1130" s="3" t="str">
        <f>"COL6A4P1"</f>
        <v>COL6A4P1</v>
      </c>
      <c r="I1130" s="3" t="str">
        <f>"transcribed_unprocessed_pseudogene"</f>
        <v>transcribed_unprocessed_pseudogene</v>
      </c>
    </row>
    <row r="1131" spans="1:9" x14ac:dyDescent="0.2">
      <c r="A1131" s="3" t="str">
        <f>"ENSG00000131370.16"</f>
        <v>ENSG00000131370.16</v>
      </c>
      <c r="B1131" s="3">
        <v>12.4922912622247</v>
      </c>
      <c r="C1131" s="3">
        <v>2.5611925111107201</v>
      </c>
      <c r="D1131" s="3">
        <v>1.0240487556002</v>
      </c>
      <c r="E1131" s="3">
        <v>2.5010454796262001</v>
      </c>
      <c r="F1131" s="3">
        <v>1.2382727551710399E-2</v>
      </c>
      <c r="G1131" s="3">
        <v>3.8003173868152003E-2</v>
      </c>
      <c r="H1131" s="3" t="str">
        <f>"SH3BP5"</f>
        <v>SH3BP5</v>
      </c>
      <c r="I1131" s="3" t="str">
        <f t="shared" ref="I1131:I1137" si="47">"protein_coding"</f>
        <v>protein_coding</v>
      </c>
    </row>
    <row r="1132" spans="1:9" x14ac:dyDescent="0.2">
      <c r="A1132" s="3" t="str">
        <f>"ENSG00000169814.13"</f>
        <v>ENSG00000169814.13</v>
      </c>
      <c r="B1132" s="3">
        <v>499.78014584862899</v>
      </c>
      <c r="C1132" s="3">
        <v>-1.3205778359154301</v>
      </c>
      <c r="D1132" s="3">
        <v>0.22694630786412101</v>
      </c>
      <c r="E1132" s="3">
        <v>-5.8188998461525596</v>
      </c>
      <c r="F1132" s="4">
        <v>5.9236212664294496E-9</v>
      </c>
      <c r="G1132" s="4">
        <v>7.2442059536087599E-8</v>
      </c>
      <c r="H1132" s="3" t="str">
        <f>"BTD"</f>
        <v>BTD</v>
      </c>
      <c r="I1132" s="3" t="str">
        <f t="shared" si="47"/>
        <v>protein_coding</v>
      </c>
    </row>
    <row r="1133" spans="1:9" x14ac:dyDescent="0.2">
      <c r="A1133" s="3" t="str">
        <f>"ENSG00000131378.14"</f>
        <v>ENSG00000131378.14</v>
      </c>
      <c r="B1133" s="3">
        <v>24.400310871060402</v>
      </c>
      <c r="C1133" s="3">
        <v>2.1982679739803599</v>
      </c>
      <c r="D1133" s="3">
        <v>0.74596119784346104</v>
      </c>
      <c r="E1133" s="3">
        <v>2.9468931900686699</v>
      </c>
      <c r="F1133" s="3">
        <v>3.20984053967545E-3</v>
      </c>
      <c r="G1133" s="3">
        <v>1.2145330535278E-2</v>
      </c>
      <c r="H1133" s="3" t="str">
        <f>"RFTN1"</f>
        <v>RFTN1</v>
      </c>
      <c r="I1133" s="3" t="str">
        <f t="shared" si="47"/>
        <v>protein_coding</v>
      </c>
    </row>
    <row r="1134" spans="1:9" x14ac:dyDescent="0.2">
      <c r="A1134" s="3" t="str">
        <f>"ENSG00000092345.13"</f>
        <v>ENSG00000092345.13</v>
      </c>
      <c r="B1134" s="3">
        <v>5.1394620611475004</v>
      </c>
      <c r="C1134" s="3">
        <v>5.7599622059772502</v>
      </c>
      <c r="D1134" s="3">
        <v>2.0216211010815899</v>
      </c>
      <c r="E1134" s="3">
        <v>2.84917989968329</v>
      </c>
      <c r="F1134" s="3">
        <v>4.3832088088900196E-3</v>
      </c>
      <c r="G1134" s="3">
        <v>1.5842376356141601E-2</v>
      </c>
      <c r="H1134" s="3" t="str">
        <f>"DAZL"</f>
        <v>DAZL</v>
      </c>
      <c r="I1134" s="3" t="str">
        <f t="shared" si="47"/>
        <v>protein_coding</v>
      </c>
    </row>
    <row r="1135" spans="1:9" x14ac:dyDescent="0.2">
      <c r="A1135" s="3" t="str">
        <f>"ENSG00000154822.18"</f>
        <v>ENSG00000154822.18</v>
      </c>
      <c r="B1135" s="3">
        <v>225.45720467985501</v>
      </c>
      <c r="C1135" s="3">
        <v>8.7668619178471907</v>
      </c>
      <c r="D1135" s="3">
        <v>1.05628546438796</v>
      </c>
      <c r="E1135" s="3">
        <v>8.2997089455613295</v>
      </c>
      <c r="F1135" s="4">
        <v>1.04366762343469E-16</v>
      </c>
      <c r="G1135" s="4">
        <v>3.0381209119364299E-15</v>
      </c>
      <c r="H1135" s="3" t="str">
        <f>"PLCL2"</f>
        <v>PLCL2</v>
      </c>
      <c r="I1135" s="3" t="str">
        <f t="shared" si="47"/>
        <v>protein_coding</v>
      </c>
    </row>
    <row r="1136" spans="1:9" x14ac:dyDescent="0.2">
      <c r="A1136" s="3" t="str">
        <f>"ENSG00000114166.8"</f>
        <v>ENSG00000114166.8</v>
      </c>
      <c r="B1136" s="3">
        <v>341.88756113493201</v>
      </c>
      <c r="C1136" s="3">
        <v>2.4721759959960199</v>
      </c>
      <c r="D1136" s="3">
        <v>0.26134202119903499</v>
      </c>
      <c r="E1136" s="3">
        <v>9.4595426508668297</v>
      </c>
      <c r="F1136" s="4">
        <v>3.0929301935048201E-21</v>
      </c>
      <c r="G1136" s="4">
        <v>1.3292282173884201E-19</v>
      </c>
      <c r="H1136" s="3" t="str">
        <f>"KAT2B"</f>
        <v>KAT2B</v>
      </c>
      <c r="I1136" s="3" t="str">
        <f t="shared" si="47"/>
        <v>protein_coding</v>
      </c>
    </row>
    <row r="1137" spans="1:9" x14ac:dyDescent="0.2">
      <c r="A1137" s="3" t="str">
        <f>"ENSG00000151789.12"</f>
        <v>ENSG00000151789.12</v>
      </c>
      <c r="B1137" s="3">
        <v>19.9328264606667</v>
      </c>
      <c r="C1137" s="3">
        <v>5.2332205053776999</v>
      </c>
      <c r="D1137" s="3">
        <v>1.24158934308469</v>
      </c>
      <c r="E1137" s="3">
        <v>4.2149367135964004</v>
      </c>
      <c r="F1137" s="4">
        <v>2.49848241377747E-5</v>
      </c>
      <c r="G1137" s="3">
        <v>1.6255050221632001E-4</v>
      </c>
      <c r="H1137" s="3" t="str">
        <f>"ZNF385D"</f>
        <v>ZNF385D</v>
      </c>
      <c r="I1137" s="3" t="str">
        <f t="shared" si="47"/>
        <v>protein_coding</v>
      </c>
    </row>
    <row r="1138" spans="1:9" x14ac:dyDescent="0.2">
      <c r="A1138" s="3" t="str">
        <f>"ENSG00000132967.9"</f>
        <v>ENSG00000132967.9</v>
      </c>
      <c r="B1138" s="3">
        <v>834.23393549062803</v>
      </c>
      <c r="C1138" s="3">
        <v>-1.0719029068119801</v>
      </c>
      <c r="D1138" s="3">
        <v>0.23615611407581999</v>
      </c>
      <c r="E1138" s="3">
        <v>-4.5389589467407898</v>
      </c>
      <c r="F1138" s="4">
        <v>5.6532640000081701E-6</v>
      </c>
      <c r="G1138" s="4">
        <v>4.2270714656482599E-5</v>
      </c>
      <c r="H1138" s="3" t="str">
        <f>"HMGB1P5"</f>
        <v>HMGB1P5</v>
      </c>
      <c r="I1138" s="3" t="str">
        <f>"transcribed_processed_pseudogene"</f>
        <v>transcribed_processed_pseudogene</v>
      </c>
    </row>
    <row r="1139" spans="1:9" x14ac:dyDescent="0.2">
      <c r="A1139" s="3" t="str">
        <f>"ENSG00000163508.12"</f>
        <v>ENSG00000163508.12</v>
      </c>
      <c r="B1139" s="3">
        <v>30.708068282539699</v>
      </c>
      <c r="C1139" s="3">
        <v>3.8038211649743499</v>
      </c>
      <c r="D1139" s="3">
        <v>0.80412000520099602</v>
      </c>
      <c r="E1139" s="3">
        <v>4.7304147892994699</v>
      </c>
      <c r="F1139" s="4">
        <v>2.24061560022279E-6</v>
      </c>
      <c r="G1139" s="4">
        <v>1.8046128660736101E-5</v>
      </c>
      <c r="H1139" s="3" t="str">
        <f>"EOMES"</f>
        <v>EOMES</v>
      </c>
      <c r="I1139" s="3" t="str">
        <f t="shared" ref="I1139:I1147" si="48">"protein_coding"</f>
        <v>protein_coding</v>
      </c>
    </row>
    <row r="1140" spans="1:9" x14ac:dyDescent="0.2">
      <c r="A1140" s="3" t="str">
        <f>"ENSG00000144642.21"</f>
        <v>ENSG00000144642.21</v>
      </c>
      <c r="B1140" s="3">
        <v>28.351210486168799</v>
      </c>
      <c r="C1140" s="3">
        <v>4.3835554197625903</v>
      </c>
      <c r="D1140" s="3">
        <v>0.89320644513286096</v>
      </c>
      <c r="E1140" s="3">
        <v>4.9076621016886603</v>
      </c>
      <c r="F1140" s="4">
        <v>9.2168469105477905E-7</v>
      </c>
      <c r="G1140" s="4">
        <v>7.9698961527037592E-6</v>
      </c>
      <c r="H1140" s="3" t="str">
        <f>"RBMS3"</f>
        <v>RBMS3</v>
      </c>
      <c r="I1140" s="3" t="str">
        <f t="shared" si="48"/>
        <v>protein_coding</v>
      </c>
    </row>
    <row r="1141" spans="1:9" x14ac:dyDescent="0.2">
      <c r="A1141" s="3" t="str">
        <f>"ENSG00000144644.14"</f>
        <v>ENSG00000144644.14</v>
      </c>
      <c r="B1141" s="3">
        <v>12.745703359089299</v>
      </c>
      <c r="C1141" s="3">
        <v>4.5569911336170401</v>
      </c>
      <c r="D1141" s="3">
        <v>1.3590566786695499</v>
      </c>
      <c r="E1141" s="3">
        <v>3.35305451578231</v>
      </c>
      <c r="F1141" s="3">
        <v>7.9924962351853002E-4</v>
      </c>
      <c r="G1141" s="3">
        <v>3.6265036622829998E-3</v>
      </c>
      <c r="H1141" s="3" t="str">
        <f>"GADL1"</f>
        <v>GADL1</v>
      </c>
      <c r="I1141" s="3" t="str">
        <f t="shared" si="48"/>
        <v>protein_coding</v>
      </c>
    </row>
    <row r="1142" spans="1:9" x14ac:dyDescent="0.2">
      <c r="A1142" s="3" t="str">
        <f>"ENSG00000144645.13"</f>
        <v>ENSG00000144645.13</v>
      </c>
      <c r="B1142" s="3">
        <v>2693.3194687299201</v>
      </c>
      <c r="C1142" s="3">
        <v>-1.7505899044414599</v>
      </c>
      <c r="D1142" s="3">
        <v>0.17975390619934301</v>
      </c>
      <c r="E1142" s="3">
        <v>-9.7388142569769993</v>
      </c>
      <c r="F1142" s="4">
        <v>2.0594328715384901E-22</v>
      </c>
      <c r="G1142" s="4">
        <v>9.52688751287082E-21</v>
      </c>
      <c r="H1142" s="3" t="str">
        <f>"OSBPL10"</f>
        <v>OSBPL10</v>
      </c>
      <c r="I1142" s="3" t="str">
        <f t="shared" si="48"/>
        <v>protein_coding</v>
      </c>
    </row>
    <row r="1143" spans="1:9" x14ac:dyDescent="0.2">
      <c r="A1143" s="3" t="str">
        <f>"ENSG00000170293.9"</f>
        <v>ENSG00000170293.9</v>
      </c>
      <c r="B1143" s="3">
        <v>309.844490948155</v>
      </c>
      <c r="C1143" s="3">
        <v>-1.9280782512866499</v>
      </c>
      <c r="D1143" s="3">
        <v>0.26736422228171303</v>
      </c>
      <c r="E1143" s="3">
        <v>-7.2114295429367203</v>
      </c>
      <c r="F1143" s="4">
        <v>5.5367494755772696E-13</v>
      </c>
      <c r="G1143" s="4">
        <v>1.1377059800984499E-11</v>
      </c>
      <c r="H1143" s="3" t="str">
        <f>"CMTM8"</f>
        <v>CMTM8</v>
      </c>
      <c r="I1143" s="3" t="str">
        <f t="shared" si="48"/>
        <v>protein_coding</v>
      </c>
    </row>
    <row r="1144" spans="1:9" x14ac:dyDescent="0.2">
      <c r="A1144" s="3" t="str">
        <f>"ENSG00000153551.13"</f>
        <v>ENSG00000153551.13</v>
      </c>
      <c r="B1144" s="3">
        <v>536.10640345480397</v>
      </c>
      <c r="C1144" s="3">
        <v>-1.3203040475186001</v>
      </c>
      <c r="D1144" s="3">
        <v>0.22068739283788</v>
      </c>
      <c r="E1144" s="3">
        <v>-5.98268904508069</v>
      </c>
      <c r="F1144" s="4">
        <v>2.1948353841657001E-9</v>
      </c>
      <c r="G1144" s="4">
        <v>2.8396334146421099E-8</v>
      </c>
      <c r="H1144" s="3" t="str">
        <f>"CMTM7"</f>
        <v>CMTM7</v>
      </c>
      <c r="I1144" s="3" t="str">
        <f t="shared" si="48"/>
        <v>protein_coding</v>
      </c>
    </row>
    <row r="1145" spans="1:9" x14ac:dyDescent="0.2">
      <c r="A1145" s="3" t="str">
        <f>"ENSG00000206557.6"</f>
        <v>ENSG00000206557.6</v>
      </c>
      <c r="B1145" s="3">
        <v>11743.490566538299</v>
      </c>
      <c r="C1145" s="3">
        <v>-1.1739350659966401</v>
      </c>
      <c r="D1145" s="3">
        <v>0.16854979232123801</v>
      </c>
      <c r="E1145" s="3">
        <v>-6.9649155292891001</v>
      </c>
      <c r="F1145" s="4">
        <v>3.2860085481098701E-12</v>
      </c>
      <c r="G1145" s="4">
        <v>6.1073584522748695E-11</v>
      </c>
      <c r="H1145" s="3" t="str">
        <f>"TRIM71"</f>
        <v>TRIM71</v>
      </c>
      <c r="I1145" s="3" t="str">
        <f t="shared" si="48"/>
        <v>protein_coding</v>
      </c>
    </row>
    <row r="1146" spans="1:9" x14ac:dyDescent="0.2">
      <c r="A1146" s="3" t="str">
        <f>"ENSG00000173705.9"</f>
        <v>ENSG00000173705.9</v>
      </c>
      <c r="B1146" s="3">
        <v>4.8465514323206698</v>
      </c>
      <c r="C1146" s="3">
        <v>5.6768670601366198</v>
      </c>
      <c r="D1146" s="3">
        <v>2.0625215872145701</v>
      </c>
      <c r="E1146" s="3">
        <v>2.75239158480916</v>
      </c>
      <c r="F1146" s="3">
        <v>5.9161731801165201E-3</v>
      </c>
      <c r="G1146" s="3">
        <v>2.0448810178692701E-2</v>
      </c>
      <c r="H1146" s="3" t="str">
        <f>"SUSD5"</f>
        <v>SUSD5</v>
      </c>
      <c r="I1146" s="3" t="str">
        <f t="shared" si="48"/>
        <v>protein_coding</v>
      </c>
    </row>
    <row r="1147" spans="1:9" x14ac:dyDescent="0.2">
      <c r="A1147" s="3" t="str">
        <f>"ENSG00000153558.15"</f>
        <v>ENSG00000153558.15</v>
      </c>
      <c r="B1147" s="3">
        <v>231.818541530624</v>
      </c>
      <c r="C1147" s="3">
        <v>1.52191812048652</v>
      </c>
      <c r="D1147" s="3">
        <v>0.27576601414785001</v>
      </c>
      <c r="E1147" s="3">
        <v>5.5188748518900397</v>
      </c>
      <c r="F1147" s="4">
        <v>3.4117705027383599E-8</v>
      </c>
      <c r="G1147" s="4">
        <v>3.7574984190829399E-7</v>
      </c>
      <c r="H1147" s="3" t="str">
        <f>"FBXL2"</f>
        <v>FBXL2</v>
      </c>
      <c r="I1147" s="3" t="str">
        <f t="shared" si="48"/>
        <v>protein_coding</v>
      </c>
    </row>
    <row r="1148" spans="1:9" x14ac:dyDescent="0.2">
      <c r="A1148" s="3" t="str">
        <f>"ENSG00000231382.1"</f>
        <v>ENSG00000231382.1</v>
      </c>
      <c r="B1148" s="3">
        <v>4.8073075371410301</v>
      </c>
      <c r="C1148" s="3">
        <v>5.6597867282439296</v>
      </c>
      <c r="D1148" s="3">
        <v>2.0539032196280198</v>
      </c>
      <c r="E1148" s="3">
        <v>2.7556248386761699</v>
      </c>
      <c r="F1148" s="3">
        <v>5.8580144965317896E-3</v>
      </c>
      <c r="G1148" s="3">
        <v>2.0291548561785101E-2</v>
      </c>
      <c r="H1148" s="3" t="str">
        <f>"NBPF21P"</f>
        <v>NBPF21P</v>
      </c>
      <c r="I1148" s="3" t="str">
        <f>"unprocessed_pseudogene"</f>
        <v>unprocessed_pseudogene</v>
      </c>
    </row>
    <row r="1149" spans="1:9" x14ac:dyDescent="0.2">
      <c r="A1149" s="3" t="str">
        <f>"ENSG00000168016.14"</f>
        <v>ENSG00000168016.14</v>
      </c>
      <c r="B1149" s="3">
        <v>118.298814228884</v>
      </c>
      <c r="C1149" s="3">
        <v>2.4168615244891498</v>
      </c>
      <c r="D1149" s="3">
        <v>0.39556053492145699</v>
      </c>
      <c r="E1149" s="3">
        <v>6.1099662658941698</v>
      </c>
      <c r="F1149" s="4">
        <v>9.9652201691817494E-10</v>
      </c>
      <c r="G1149" s="4">
        <v>1.3542262042378799E-8</v>
      </c>
      <c r="H1149" s="3" t="str">
        <f>"TRANK1"</f>
        <v>TRANK1</v>
      </c>
      <c r="I1149" s="3" t="str">
        <f>"protein_coding"</f>
        <v>protein_coding</v>
      </c>
    </row>
    <row r="1150" spans="1:9" x14ac:dyDescent="0.2">
      <c r="A1150" s="3" t="str">
        <f>"ENSG00000076242.14"</f>
        <v>ENSG00000076242.14</v>
      </c>
      <c r="B1150" s="3">
        <v>2486.2958411221898</v>
      </c>
      <c r="C1150" s="3">
        <v>1.3243324867121999</v>
      </c>
      <c r="D1150" s="3">
        <v>0.185322660427855</v>
      </c>
      <c r="E1150" s="3">
        <v>7.14609041147318</v>
      </c>
      <c r="F1150" s="4">
        <v>8.9284265739561302E-13</v>
      </c>
      <c r="G1150" s="4">
        <v>1.7796111109040399E-11</v>
      </c>
      <c r="H1150" s="3" t="str">
        <f>"MLH1"</f>
        <v>MLH1</v>
      </c>
      <c r="I1150" s="3" t="str">
        <f>"protein_coding"</f>
        <v>protein_coding</v>
      </c>
    </row>
    <row r="1151" spans="1:9" x14ac:dyDescent="0.2">
      <c r="A1151" s="3" t="str">
        <f>"ENSG00000270194.1"</f>
        <v>ENSG00000270194.1</v>
      </c>
      <c r="B1151" s="3">
        <v>120.896199866307</v>
      </c>
      <c r="C1151" s="3">
        <v>1.1690432608369301</v>
      </c>
      <c r="D1151" s="3">
        <v>0.34562310244580902</v>
      </c>
      <c r="E1151" s="3">
        <v>3.38242221820293</v>
      </c>
      <c r="F1151" s="3">
        <v>7.1849621450470295E-4</v>
      </c>
      <c r="G1151" s="3">
        <v>3.3136198978689301E-3</v>
      </c>
      <c r="H1151" s="3" t="str">
        <f>"AC097359.2"</f>
        <v>AC097359.2</v>
      </c>
      <c r="I1151" s="3" t="str">
        <f>"antisense"</f>
        <v>antisense</v>
      </c>
    </row>
    <row r="1152" spans="1:9" x14ac:dyDescent="0.2">
      <c r="A1152" s="3" t="str">
        <f>"ENSG00000198590.11"</f>
        <v>ENSG00000198590.11</v>
      </c>
      <c r="B1152" s="3">
        <v>122.583253879084</v>
      </c>
      <c r="C1152" s="3">
        <v>-1.01463777775884</v>
      </c>
      <c r="D1152" s="3">
        <v>0.361948747848653</v>
      </c>
      <c r="E1152" s="3">
        <v>-2.8032636769421999</v>
      </c>
      <c r="F1152" s="3">
        <v>5.0588291547936396E-3</v>
      </c>
      <c r="G1152" s="3">
        <v>1.79033534200107E-2</v>
      </c>
      <c r="H1152" s="3" t="str">
        <f>"C3orf35"</f>
        <v>C3orf35</v>
      </c>
      <c r="I1152" s="3" t="str">
        <f>"processed_transcript"</f>
        <v>processed_transcript</v>
      </c>
    </row>
    <row r="1153" spans="1:9" x14ac:dyDescent="0.2">
      <c r="A1153" s="3" t="str">
        <f>"ENSG00000144668.12"</f>
        <v>ENSG00000144668.12</v>
      </c>
      <c r="B1153" s="3">
        <v>29.017237037408901</v>
      </c>
      <c r="C1153" s="3">
        <v>3.5340743186761499</v>
      </c>
      <c r="D1153" s="3">
        <v>0.80917908661439597</v>
      </c>
      <c r="E1153" s="3">
        <v>4.3674810399051598</v>
      </c>
      <c r="F1153" s="4">
        <v>1.2568770337820601E-5</v>
      </c>
      <c r="G1153" s="4">
        <v>8.7295764821462507E-5</v>
      </c>
      <c r="H1153" s="3" t="str">
        <f>"ITGA9"</f>
        <v>ITGA9</v>
      </c>
      <c r="I1153" s="3" t="str">
        <f t="shared" ref="I1153:I1163" si="49">"protein_coding"</f>
        <v>protein_coding</v>
      </c>
    </row>
    <row r="1154" spans="1:9" x14ac:dyDescent="0.2">
      <c r="A1154" s="3" t="str">
        <f>"ENSG00000136059.14"</f>
        <v>ENSG00000136059.14</v>
      </c>
      <c r="B1154" s="3">
        <v>40.930649314209901</v>
      </c>
      <c r="C1154" s="3">
        <v>-3.40897231974941</v>
      </c>
      <c r="D1154" s="3">
        <v>0.63462047197424698</v>
      </c>
      <c r="E1154" s="3">
        <v>-5.3716708966926303</v>
      </c>
      <c r="F1154" s="4">
        <v>7.8010386961281498E-8</v>
      </c>
      <c r="G1154" s="4">
        <v>8.0727269788607496E-7</v>
      </c>
      <c r="H1154" s="3" t="str">
        <f>"VILL"</f>
        <v>VILL</v>
      </c>
      <c r="I1154" s="3" t="str">
        <f t="shared" si="49"/>
        <v>protein_coding</v>
      </c>
    </row>
    <row r="1155" spans="1:9" x14ac:dyDescent="0.2">
      <c r="A1155" s="3" t="str">
        <f>"ENSG00000187091.13"</f>
        <v>ENSG00000187091.13</v>
      </c>
      <c r="B1155" s="3">
        <v>1075.2942735531899</v>
      </c>
      <c r="C1155" s="3">
        <v>2.20892696262074</v>
      </c>
      <c r="D1155" s="3">
        <v>0.24378882271210101</v>
      </c>
      <c r="E1155" s="3">
        <v>9.0608213208746804</v>
      </c>
      <c r="F1155" s="4">
        <v>1.29471943584923E-19</v>
      </c>
      <c r="G1155" s="4">
        <v>4.7671919552140703E-18</v>
      </c>
      <c r="H1155" s="3" t="str">
        <f>"PLCD1"</f>
        <v>PLCD1</v>
      </c>
      <c r="I1155" s="3" t="str">
        <f t="shared" si="49"/>
        <v>protein_coding</v>
      </c>
    </row>
    <row r="1156" spans="1:9" x14ac:dyDescent="0.2">
      <c r="A1156" s="3" t="str">
        <f>"ENSG00000008226.19"</f>
        <v>ENSG00000008226.19</v>
      </c>
      <c r="B1156" s="3">
        <v>15.115666912902499</v>
      </c>
      <c r="C1156" s="3">
        <v>3.40882752332312</v>
      </c>
      <c r="D1156" s="3">
        <v>1.0946519424596699</v>
      </c>
      <c r="E1156" s="3">
        <v>3.11407433824446</v>
      </c>
      <c r="F1156" s="3">
        <v>1.8452299268811199E-3</v>
      </c>
      <c r="G1156" s="3">
        <v>7.5197397274498704E-3</v>
      </c>
      <c r="H1156" s="3" t="str">
        <f>"DLEC1"</f>
        <v>DLEC1</v>
      </c>
      <c r="I1156" s="3" t="str">
        <f t="shared" si="49"/>
        <v>protein_coding</v>
      </c>
    </row>
    <row r="1157" spans="1:9" x14ac:dyDescent="0.2">
      <c r="A1157" s="3" t="str">
        <f>"ENSG00000060971.18"</f>
        <v>ENSG00000060971.18</v>
      </c>
      <c r="B1157" s="3">
        <v>2549.7600418761599</v>
      </c>
      <c r="C1157" s="3">
        <v>-1.47000134542335</v>
      </c>
      <c r="D1157" s="3">
        <v>0.21035544220935901</v>
      </c>
      <c r="E1157" s="3">
        <v>-6.9881783422570702</v>
      </c>
      <c r="F1157" s="4">
        <v>2.7847826315032399E-12</v>
      </c>
      <c r="G1157" s="4">
        <v>5.2292882398737998E-11</v>
      </c>
      <c r="H1157" s="3" t="str">
        <f>"ACAA1"</f>
        <v>ACAA1</v>
      </c>
      <c r="I1157" s="3" t="str">
        <f t="shared" si="49"/>
        <v>protein_coding</v>
      </c>
    </row>
    <row r="1158" spans="1:9" x14ac:dyDescent="0.2">
      <c r="A1158" s="3" t="str">
        <f>"ENSG00000172936.14"</f>
        <v>ENSG00000172936.14</v>
      </c>
      <c r="B1158" s="3">
        <v>1059.0548451283501</v>
      </c>
      <c r="C1158" s="3">
        <v>-1.2925584391996801</v>
      </c>
      <c r="D1158" s="3">
        <v>0.238864015538995</v>
      </c>
      <c r="E1158" s="3">
        <v>-5.4112731726586203</v>
      </c>
      <c r="F1158" s="4">
        <v>6.2578224564990204E-8</v>
      </c>
      <c r="G1158" s="4">
        <v>6.58836508779864E-7</v>
      </c>
      <c r="H1158" s="3" t="str">
        <f>"MYD88"</f>
        <v>MYD88</v>
      </c>
      <c r="I1158" s="3" t="str">
        <f t="shared" si="49"/>
        <v>protein_coding</v>
      </c>
    </row>
    <row r="1159" spans="1:9" x14ac:dyDescent="0.2">
      <c r="A1159" s="3" t="str">
        <f>"ENSG00000093217.10"</f>
        <v>ENSG00000093217.10</v>
      </c>
      <c r="B1159" s="3">
        <v>1749.69518795051</v>
      </c>
      <c r="C1159" s="3">
        <v>-1.51268205719269</v>
      </c>
      <c r="D1159" s="3">
        <v>0.18523015960550299</v>
      </c>
      <c r="E1159" s="3">
        <v>-8.1664997774355008</v>
      </c>
      <c r="F1159" s="4">
        <v>3.1746598679404102E-16</v>
      </c>
      <c r="G1159" s="4">
        <v>8.8175287891714994E-15</v>
      </c>
      <c r="H1159" s="3" t="str">
        <f>"XYLB"</f>
        <v>XYLB</v>
      </c>
      <c r="I1159" s="3" t="str">
        <f t="shared" si="49"/>
        <v>protein_coding</v>
      </c>
    </row>
    <row r="1160" spans="1:9" x14ac:dyDescent="0.2">
      <c r="A1160" s="3" t="str">
        <f>"ENSG00000114745.13"</f>
        <v>ENSG00000114745.13</v>
      </c>
      <c r="B1160" s="3">
        <v>914.31924757158697</v>
      </c>
      <c r="C1160" s="3">
        <v>-1.04928186896041</v>
      </c>
      <c r="D1160" s="3">
        <v>0.20751760388899501</v>
      </c>
      <c r="E1160" s="3">
        <v>-5.05635112056172</v>
      </c>
      <c r="F1160" s="4">
        <v>4.2735420145050201E-7</v>
      </c>
      <c r="G1160" s="4">
        <v>3.9074227942690697E-6</v>
      </c>
      <c r="H1160" s="3" t="str">
        <f>"GORASP1"</f>
        <v>GORASP1</v>
      </c>
      <c r="I1160" s="3" t="str">
        <f t="shared" si="49"/>
        <v>protein_coding</v>
      </c>
    </row>
    <row r="1161" spans="1:9" x14ac:dyDescent="0.2">
      <c r="A1161" s="3" t="str">
        <f>"ENSG00000168026.18"</f>
        <v>ENSG00000168026.18</v>
      </c>
      <c r="B1161" s="3">
        <v>75.880866161609902</v>
      </c>
      <c r="C1161" s="3">
        <v>1.1380954523360001</v>
      </c>
      <c r="D1161" s="3">
        <v>0.42174964566224599</v>
      </c>
      <c r="E1161" s="3">
        <v>2.6985095637695702</v>
      </c>
      <c r="F1161" s="3">
        <v>6.9650736585542498E-3</v>
      </c>
      <c r="G1161" s="3">
        <v>2.3519316145077199E-2</v>
      </c>
      <c r="H1161" s="3" t="str">
        <f>"TTC21A"</f>
        <v>TTC21A</v>
      </c>
      <c r="I1161" s="3" t="str">
        <f t="shared" si="49"/>
        <v>protein_coding</v>
      </c>
    </row>
    <row r="1162" spans="1:9" x14ac:dyDescent="0.2">
      <c r="A1162" s="3" t="str">
        <f>"ENSG00000170011.14"</f>
        <v>ENSG00000170011.14</v>
      </c>
      <c r="B1162" s="3">
        <v>10.324141805988001</v>
      </c>
      <c r="C1162" s="3">
        <v>2.8035045624129902</v>
      </c>
      <c r="D1162" s="3">
        <v>1.14903168848005</v>
      </c>
      <c r="E1162" s="3">
        <v>2.4398844614298598</v>
      </c>
      <c r="F1162" s="3">
        <v>1.46919599911932E-2</v>
      </c>
      <c r="G1162" s="3">
        <v>4.3791068582520798E-2</v>
      </c>
      <c r="H1162" s="3" t="str">
        <f>"MYRIP"</f>
        <v>MYRIP</v>
      </c>
      <c r="I1162" s="3" t="str">
        <f t="shared" si="49"/>
        <v>protein_coding</v>
      </c>
    </row>
    <row r="1163" spans="1:9" x14ac:dyDescent="0.2">
      <c r="A1163" s="3" t="str">
        <f>"ENSG00000182606.15"</f>
        <v>ENSG00000182606.15</v>
      </c>
      <c r="B1163" s="3">
        <v>7051.7330466630001</v>
      </c>
      <c r="C1163" s="3">
        <v>1.5461703831320901</v>
      </c>
      <c r="D1163" s="3">
        <v>0.172274011930097</v>
      </c>
      <c r="E1163" s="3">
        <v>8.9750645835047607</v>
      </c>
      <c r="F1163" s="4">
        <v>2.8318560645931798E-19</v>
      </c>
      <c r="G1163" s="4">
        <v>1.0152576604206601E-17</v>
      </c>
      <c r="H1163" s="3" t="str">
        <f>"TRAK1"</f>
        <v>TRAK1</v>
      </c>
      <c r="I1163" s="3" t="str">
        <f t="shared" si="49"/>
        <v>protein_coding</v>
      </c>
    </row>
    <row r="1164" spans="1:9" x14ac:dyDescent="0.2">
      <c r="A1164" s="3" t="str">
        <f>"ENSG00000222872.1"</f>
        <v>ENSG00000222872.1</v>
      </c>
      <c r="B1164" s="3">
        <v>19.1603123717987</v>
      </c>
      <c r="C1164" s="3">
        <v>2.37345788188038</v>
      </c>
      <c r="D1164" s="3">
        <v>0.85101056349300297</v>
      </c>
      <c r="E1164" s="3">
        <v>2.7889875680725198</v>
      </c>
      <c r="F1164" s="3">
        <v>5.2873094586906796E-3</v>
      </c>
      <c r="G1164" s="3">
        <v>1.8593613941784298E-2</v>
      </c>
      <c r="H1164" s="3" t="str">
        <f>"RNU4-78P"</f>
        <v>RNU4-78P</v>
      </c>
      <c r="I1164" s="3" t="str">
        <f>"snRNA"</f>
        <v>snRNA</v>
      </c>
    </row>
    <row r="1165" spans="1:9" x14ac:dyDescent="0.2">
      <c r="A1165" s="3" t="str">
        <f>"ENSG00000157093.9"</f>
        <v>ENSG00000157093.9</v>
      </c>
      <c r="B1165" s="3">
        <v>4.6231112227344298</v>
      </c>
      <c r="C1165" s="3">
        <v>5.6018746122246599</v>
      </c>
      <c r="D1165" s="3">
        <v>2.0840292310307702</v>
      </c>
      <c r="E1165" s="3">
        <v>2.68800193817528</v>
      </c>
      <c r="F1165" s="3">
        <v>7.1880979433398204E-3</v>
      </c>
      <c r="G1165" s="3">
        <v>2.4131851239795499E-2</v>
      </c>
      <c r="H1165" s="3" t="str">
        <f>"LYZL4"</f>
        <v>LYZL4</v>
      </c>
      <c r="I1165" s="3" t="str">
        <f t="shared" ref="I1165:I1174" si="50">"protein_coding"</f>
        <v>protein_coding</v>
      </c>
    </row>
    <row r="1166" spans="1:9" x14ac:dyDescent="0.2">
      <c r="A1166" s="3" t="str">
        <f>"ENSG00000114812.13"</f>
        <v>ENSG00000114812.13</v>
      </c>
      <c r="B1166" s="3">
        <v>25.4710755736509</v>
      </c>
      <c r="C1166" s="3">
        <v>4.99685614770614</v>
      </c>
      <c r="D1166" s="3">
        <v>1.04656296103091</v>
      </c>
      <c r="E1166" s="3">
        <v>4.7745394532059402</v>
      </c>
      <c r="F1166" s="4">
        <v>1.80118971116974E-6</v>
      </c>
      <c r="G1166" s="4">
        <v>1.4720160785915401E-5</v>
      </c>
      <c r="H1166" s="3" t="str">
        <f>"VIPR1"</f>
        <v>VIPR1</v>
      </c>
      <c r="I1166" s="3" t="str">
        <f t="shared" si="50"/>
        <v>protein_coding</v>
      </c>
    </row>
    <row r="1167" spans="1:9" x14ac:dyDescent="0.2">
      <c r="A1167" s="3" t="str">
        <f>"ENSG00000008324.11"</f>
        <v>ENSG00000008324.11</v>
      </c>
      <c r="B1167" s="3">
        <v>264.26778894667302</v>
      </c>
      <c r="C1167" s="3">
        <v>-1.0639377613258001</v>
      </c>
      <c r="D1167" s="3">
        <v>0.26257155346757699</v>
      </c>
      <c r="E1167" s="3">
        <v>-4.0519917229235398</v>
      </c>
      <c r="F1167" s="4">
        <v>5.0783462118753303E-5</v>
      </c>
      <c r="G1167" s="3">
        <v>3.1045478850115997E-4</v>
      </c>
      <c r="H1167" s="3" t="str">
        <f>"SS18L2"</f>
        <v>SS18L2</v>
      </c>
      <c r="I1167" s="3" t="str">
        <f t="shared" si="50"/>
        <v>protein_coding</v>
      </c>
    </row>
    <row r="1168" spans="1:9" x14ac:dyDescent="0.2">
      <c r="A1168" s="3" t="str">
        <f>"ENSG00000010282.14"</f>
        <v>ENSG00000010282.14</v>
      </c>
      <c r="B1168" s="3">
        <v>8.5606230833711994</v>
      </c>
      <c r="C1168" s="3">
        <v>3.3262562477800399</v>
      </c>
      <c r="D1168" s="3">
        <v>1.3372908353149799</v>
      </c>
      <c r="E1168" s="3">
        <v>2.48730953652022</v>
      </c>
      <c r="F1168" s="3">
        <v>1.2871335404449499E-2</v>
      </c>
      <c r="G1168" s="3">
        <v>3.9293194339222903E-2</v>
      </c>
      <c r="H1168" s="3" t="str">
        <f>"HHATL"</f>
        <v>HHATL</v>
      </c>
      <c r="I1168" s="3" t="str">
        <f t="shared" si="50"/>
        <v>protein_coding</v>
      </c>
    </row>
    <row r="1169" spans="1:9" x14ac:dyDescent="0.2">
      <c r="A1169" s="3" t="str">
        <f>"ENSG00000280571.2"</f>
        <v>ENSG00000280571.2</v>
      </c>
      <c r="B1169" s="3">
        <v>25.075169782134601</v>
      </c>
      <c r="C1169" s="3">
        <v>4.9691040418288699</v>
      </c>
      <c r="D1169" s="3">
        <v>1.04934292209986</v>
      </c>
      <c r="E1169" s="3">
        <v>4.7354434257631404</v>
      </c>
      <c r="F1169" s="4">
        <v>2.18576672655697E-6</v>
      </c>
      <c r="G1169" s="4">
        <v>1.7640872629886801E-5</v>
      </c>
      <c r="H1169" s="3" t="str">
        <f>"AC006059.2"</f>
        <v>AC006059.2</v>
      </c>
      <c r="I1169" s="3" t="str">
        <f t="shared" si="50"/>
        <v>protein_coding</v>
      </c>
    </row>
    <row r="1170" spans="1:9" x14ac:dyDescent="0.2">
      <c r="A1170" s="3" t="str">
        <f>"ENSG00000144648.16"</f>
        <v>ENSG00000144648.16</v>
      </c>
      <c r="B1170" s="3">
        <v>227.61934162157999</v>
      </c>
      <c r="C1170" s="3">
        <v>2.0767159442343899</v>
      </c>
      <c r="D1170" s="3">
        <v>0.28322304051396502</v>
      </c>
      <c r="E1170" s="3">
        <v>7.3324399754545597</v>
      </c>
      <c r="F1170" s="4">
        <v>2.25999704439494E-13</v>
      </c>
      <c r="G1170" s="4">
        <v>4.8448575506395704E-12</v>
      </c>
      <c r="H1170" s="3" t="str">
        <f>"ACKR2"</f>
        <v>ACKR2</v>
      </c>
      <c r="I1170" s="3" t="str">
        <f t="shared" si="50"/>
        <v>protein_coding</v>
      </c>
    </row>
    <row r="1171" spans="1:9" x14ac:dyDescent="0.2">
      <c r="A1171" s="3" t="str">
        <f>"ENSG00000180432.5"</f>
        <v>ENSG00000180432.5</v>
      </c>
      <c r="B1171" s="3">
        <v>32.154108508599997</v>
      </c>
      <c r="C1171" s="3">
        <v>-1.95567773236767</v>
      </c>
      <c r="D1171" s="3">
        <v>0.62643742952932102</v>
      </c>
      <c r="E1171" s="3">
        <v>-3.1219043438018699</v>
      </c>
      <c r="F1171" s="3">
        <v>1.7968531123223901E-3</v>
      </c>
      <c r="G1171" s="3">
        <v>7.3555974686670697E-3</v>
      </c>
      <c r="H1171" s="3" t="str">
        <f>"CYP8B1"</f>
        <v>CYP8B1</v>
      </c>
      <c r="I1171" s="3" t="str">
        <f t="shared" si="50"/>
        <v>protein_coding</v>
      </c>
    </row>
    <row r="1172" spans="1:9" x14ac:dyDescent="0.2">
      <c r="A1172" s="3" t="str">
        <f>"ENSG00000011198.9"</f>
        <v>ENSG00000011198.9</v>
      </c>
      <c r="B1172" s="3">
        <v>392.96404570770801</v>
      </c>
      <c r="C1172" s="3">
        <v>1.0061716898445301</v>
      </c>
      <c r="D1172" s="3">
        <v>0.25916523604256497</v>
      </c>
      <c r="E1172" s="3">
        <v>3.88235592554273</v>
      </c>
      <c r="F1172" s="3">
        <v>1.0344930967573E-4</v>
      </c>
      <c r="G1172" s="3">
        <v>5.9067127844396696E-4</v>
      </c>
      <c r="H1172" s="3" t="str">
        <f>"ABHD5"</f>
        <v>ABHD5</v>
      </c>
      <c r="I1172" s="3" t="str">
        <f t="shared" si="50"/>
        <v>protein_coding</v>
      </c>
    </row>
    <row r="1173" spans="1:9" x14ac:dyDescent="0.2">
      <c r="A1173" s="3" t="str">
        <f>"ENSG00000173769.4"</f>
        <v>ENSG00000173769.4</v>
      </c>
      <c r="B1173" s="3">
        <v>7.1900043618978096</v>
      </c>
      <c r="C1173" s="3">
        <v>4.7491817685633197</v>
      </c>
      <c r="D1173" s="3">
        <v>1.8487327756955301</v>
      </c>
      <c r="E1173" s="3">
        <v>2.5688849308016199</v>
      </c>
      <c r="F1173" s="3">
        <v>1.02026329670853E-2</v>
      </c>
      <c r="G1173" s="3">
        <v>3.2358414672817297E-2</v>
      </c>
      <c r="H1173" s="3" t="str">
        <f>"TOPAZ1"</f>
        <v>TOPAZ1</v>
      </c>
      <c r="I1173" s="3" t="str">
        <f t="shared" si="50"/>
        <v>protein_coding</v>
      </c>
    </row>
    <row r="1174" spans="1:9" x14ac:dyDescent="0.2">
      <c r="A1174" s="3" t="str">
        <f>"ENSG00000163810.11"</f>
        <v>ENSG00000163810.11</v>
      </c>
      <c r="B1174" s="3">
        <v>204.66949254117301</v>
      </c>
      <c r="C1174" s="3">
        <v>6.1496331538653601</v>
      </c>
      <c r="D1174" s="3">
        <v>0.51899148865109501</v>
      </c>
      <c r="E1174" s="3">
        <v>11.8491984711518</v>
      </c>
      <c r="F1174" s="4">
        <v>2.17258877388627E-32</v>
      </c>
      <c r="G1174" s="4">
        <v>1.94725415533155E-30</v>
      </c>
      <c r="H1174" s="3" t="str">
        <f>"TGM4"</f>
        <v>TGM4</v>
      </c>
      <c r="I1174" s="3" t="str">
        <f t="shared" si="50"/>
        <v>protein_coding</v>
      </c>
    </row>
    <row r="1175" spans="1:9" x14ac:dyDescent="0.2">
      <c r="A1175" s="3" t="str">
        <f>"ENSG00000235845.1"</f>
        <v>ENSG00000235845.1</v>
      </c>
      <c r="B1175" s="3">
        <v>13.6941547249154</v>
      </c>
      <c r="C1175" s="3">
        <v>7.1745724247259703</v>
      </c>
      <c r="D1175" s="3">
        <v>1.6949700568197601</v>
      </c>
      <c r="E1175" s="3">
        <v>4.2328608672813299</v>
      </c>
      <c r="F1175" s="4">
        <v>2.30737259705585E-5</v>
      </c>
      <c r="G1175" s="3">
        <v>1.5149152084814699E-4</v>
      </c>
      <c r="H1175" s="3" t="str">
        <f>"AC098649.1"</f>
        <v>AC098649.1</v>
      </c>
      <c r="I1175" s="3" t="str">
        <f>"antisense"</f>
        <v>antisense</v>
      </c>
    </row>
    <row r="1176" spans="1:9" x14ac:dyDescent="0.2">
      <c r="A1176" s="3" t="str">
        <f>"ENSG00000012223.12"</f>
        <v>ENSG00000012223.12</v>
      </c>
      <c r="B1176" s="3">
        <v>8.3009014000681898</v>
      </c>
      <c r="C1176" s="3">
        <v>4.9581862346609</v>
      </c>
      <c r="D1176" s="3">
        <v>1.7993780913019199</v>
      </c>
      <c r="E1176" s="3">
        <v>2.75549994669184</v>
      </c>
      <c r="F1176" s="3">
        <v>5.8602514074060502E-3</v>
      </c>
      <c r="G1176" s="3">
        <v>2.0296716676953399E-2</v>
      </c>
      <c r="H1176" s="3" t="str">
        <f>"LTF"</f>
        <v>LTF</v>
      </c>
      <c r="I1176" s="3" t="str">
        <f t="shared" ref="I1176:I1184" si="51">"protein_coding"</f>
        <v>protein_coding</v>
      </c>
    </row>
    <row r="1177" spans="1:9" x14ac:dyDescent="0.2">
      <c r="A1177" s="3" t="str">
        <f>"ENSG00000178038.17"</f>
        <v>ENSG00000178038.17</v>
      </c>
      <c r="B1177" s="3">
        <v>6.1661521572278399</v>
      </c>
      <c r="C1177" s="3">
        <v>6.0207072949405402</v>
      </c>
      <c r="D1177" s="3">
        <v>1.93317068918253</v>
      </c>
      <c r="E1177" s="3">
        <v>3.11442095032307</v>
      </c>
      <c r="F1177" s="3">
        <v>1.84306335590704E-3</v>
      </c>
      <c r="G1177" s="3">
        <v>7.5120339952728498E-3</v>
      </c>
      <c r="H1177" s="3" t="str">
        <f>"ALS2CL"</f>
        <v>ALS2CL</v>
      </c>
      <c r="I1177" s="3" t="str">
        <f t="shared" si="51"/>
        <v>protein_coding</v>
      </c>
    </row>
    <row r="1178" spans="1:9" x14ac:dyDescent="0.2">
      <c r="A1178" s="3" t="str">
        <f>"ENSG00000160799.11"</f>
        <v>ENSG00000160799.11</v>
      </c>
      <c r="B1178" s="3">
        <v>960.84266798343901</v>
      </c>
      <c r="C1178" s="3">
        <v>-1.1493174631224099</v>
      </c>
      <c r="D1178" s="3">
        <v>0.23480836435970401</v>
      </c>
      <c r="E1178" s="3">
        <v>-4.8947040973453699</v>
      </c>
      <c r="F1178" s="4">
        <v>9.8453752780004795E-7</v>
      </c>
      <c r="G1178" s="4">
        <v>8.4639478391309792E-6</v>
      </c>
      <c r="H1178" s="3" t="str">
        <f>"CCDC12"</f>
        <v>CCDC12</v>
      </c>
      <c r="I1178" s="3" t="str">
        <f t="shared" si="51"/>
        <v>protein_coding</v>
      </c>
    </row>
    <row r="1179" spans="1:9" x14ac:dyDescent="0.2">
      <c r="A1179" s="3" t="str">
        <f>"ENSG00000047849.21"</f>
        <v>ENSG00000047849.21</v>
      </c>
      <c r="B1179" s="3">
        <v>7976.2151812306502</v>
      </c>
      <c r="C1179" s="3">
        <v>-1.10101787527935</v>
      </c>
      <c r="D1179" s="3">
        <v>0.172951724565575</v>
      </c>
      <c r="E1179" s="3">
        <v>-6.3660416110039799</v>
      </c>
      <c r="F1179" s="4">
        <v>1.93968830696863E-10</v>
      </c>
      <c r="G1179" s="4">
        <v>2.89249758290758E-9</v>
      </c>
      <c r="H1179" s="3" t="str">
        <f>"MAP4"</f>
        <v>MAP4</v>
      </c>
      <c r="I1179" s="3" t="str">
        <f t="shared" si="51"/>
        <v>protein_coding</v>
      </c>
    </row>
    <row r="1180" spans="1:9" x14ac:dyDescent="0.2">
      <c r="A1180" s="3" t="str">
        <f>"ENSG00000164045.11"</f>
        <v>ENSG00000164045.11</v>
      </c>
      <c r="B1180" s="3">
        <v>1018.01545192294</v>
      </c>
      <c r="C1180" s="3">
        <v>-1.4732460133632701</v>
      </c>
      <c r="D1180" s="3">
        <v>0.20016601892298999</v>
      </c>
      <c r="E1180" s="3">
        <v>-7.3601204704484502</v>
      </c>
      <c r="F1180" s="4">
        <v>1.83744327845373E-13</v>
      </c>
      <c r="G1180" s="4">
        <v>3.98880126504922E-12</v>
      </c>
      <c r="H1180" s="3" t="str">
        <f>"CDC25A"</f>
        <v>CDC25A</v>
      </c>
      <c r="I1180" s="3" t="str">
        <f t="shared" si="51"/>
        <v>protein_coding</v>
      </c>
    </row>
    <row r="1181" spans="1:9" x14ac:dyDescent="0.2">
      <c r="A1181" s="3" t="str">
        <f>"ENSG00000145040.4"</f>
        <v>ENSG00000145040.4</v>
      </c>
      <c r="B1181" s="3">
        <v>154.52650774935</v>
      </c>
      <c r="C1181" s="3">
        <v>5.4977203354896202</v>
      </c>
      <c r="D1181" s="3">
        <v>0.51653806651990097</v>
      </c>
      <c r="E1181" s="3">
        <v>10.6433982156043</v>
      </c>
      <c r="F1181" s="4">
        <v>1.8717573614333001E-26</v>
      </c>
      <c r="G1181" s="4">
        <v>1.15384101418491E-24</v>
      </c>
      <c r="H1181" s="3" t="str">
        <f>"UCN2"</f>
        <v>UCN2</v>
      </c>
      <c r="I1181" s="3" t="str">
        <f t="shared" si="51"/>
        <v>protein_coding</v>
      </c>
    </row>
    <row r="1182" spans="1:9" x14ac:dyDescent="0.2">
      <c r="A1182" s="3" t="str">
        <f>"ENSG00000114270.17"</f>
        <v>ENSG00000114270.17</v>
      </c>
      <c r="B1182" s="3">
        <v>5738.3196064529102</v>
      </c>
      <c r="C1182" s="3">
        <v>4.1850089172992702</v>
      </c>
      <c r="D1182" s="3">
        <v>0.19621452624024199</v>
      </c>
      <c r="E1182" s="3">
        <v>21.328741543708102</v>
      </c>
      <c r="F1182" s="4">
        <v>6.1438607350076496E-101</v>
      </c>
      <c r="G1182" s="4">
        <v>6.9750738936147302E-98</v>
      </c>
      <c r="H1182" s="3" t="str">
        <f>"COL7A1"</f>
        <v>COL7A1</v>
      </c>
      <c r="I1182" s="3" t="str">
        <f t="shared" si="51"/>
        <v>protein_coding</v>
      </c>
    </row>
    <row r="1183" spans="1:9" x14ac:dyDescent="0.2">
      <c r="A1183" s="3" t="str">
        <f>"ENSG00000008300.17"</f>
        <v>ENSG00000008300.17</v>
      </c>
      <c r="B1183" s="3">
        <v>1252.60304025151</v>
      </c>
      <c r="C1183" s="3">
        <v>-1.70509147429293</v>
      </c>
      <c r="D1183" s="3">
        <v>0.21293881360338501</v>
      </c>
      <c r="E1183" s="3">
        <v>-8.0074245058432307</v>
      </c>
      <c r="F1183" s="4">
        <v>1.1713560602368299E-15</v>
      </c>
      <c r="G1183" s="4">
        <v>3.1107152605529102E-14</v>
      </c>
      <c r="H1183" s="3" t="str">
        <f>"CELSR3"</f>
        <v>CELSR3</v>
      </c>
      <c r="I1183" s="3" t="str">
        <f t="shared" si="51"/>
        <v>protein_coding</v>
      </c>
    </row>
    <row r="1184" spans="1:9" x14ac:dyDescent="0.2">
      <c r="A1184" s="3" t="str">
        <f>"ENSG00000178537.10"</f>
        <v>ENSG00000178537.10</v>
      </c>
      <c r="B1184" s="3">
        <v>283.70897027324799</v>
      </c>
      <c r="C1184" s="3">
        <v>1.0034430072501099</v>
      </c>
      <c r="D1184" s="3">
        <v>0.28363949789050802</v>
      </c>
      <c r="E1184" s="3">
        <v>3.5377407403163001</v>
      </c>
      <c r="F1184" s="3">
        <v>4.03566104521004E-4</v>
      </c>
      <c r="G1184" s="3">
        <v>1.98483134474437E-3</v>
      </c>
      <c r="H1184" s="3" t="str">
        <f>"SLC25A20"</f>
        <v>SLC25A20</v>
      </c>
      <c r="I1184" s="3" t="str">
        <f t="shared" si="51"/>
        <v>protein_coding</v>
      </c>
    </row>
    <row r="1185" spans="1:9" x14ac:dyDescent="0.2">
      <c r="A1185" s="3" t="str">
        <f>"ENSG00000233276.5"</f>
        <v>ENSG00000233276.5</v>
      </c>
      <c r="B1185" s="3">
        <v>8544.1865911815494</v>
      </c>
      <c r="C1185" s="3">
        <v>2.0398431653703102</v>
      </c>
      <c r="D1185" s="3">
        <v>0.22477210886988899</v>
      </c>
      <c r="E1185" s="3">
        <v>9.0751613962526303</v>
      </c>
      <c r="F1185" s="4">
        <v>1.1350914934553101E-19</v>
      </c>
      <c r="G1185" s="4">
        <v>4.2251144702427498E-18</v>
      </c>
      <c r="H1185" s="3" t="str">
        <f>"GPX1"</f>
        <v>GPX1</v>
      </c>
      <c r="I1185" s="3" t="str">
        <f>"polymorphic_pseudogene"</f>
        <v>polymorphic_pseudogene</v>
      </c>
    </row>
    <row r="1186" spans="1:9" x14ac:dyDescent="0.2">
      <c r="A1186" s="3" t="str">
        <f>"ENSG00000145022.4"</f>
        <v>ENSG00000145022.4</v>
      </c>
      <c r="B1186" s="3">
        <v>561.66399689212199</v>
      </c>
      <c r="C1186" s="3">
        <v>1.4319151691841301</v>
      </c>
      <c r="D1186" s="3">
        <v>0.227873618868492</v>
      </c>
      <c r="E1186" s="3">
        <v>6.2838128270148896</v>
      </c>
      <c r="F1186" s="4">
        <v>3.3036843233500101E-10</v>
      </c>
      <c r="G1186" s="4">
        <v>4.7627241671067601E-9</v>
      </c>
      <c r="H1186" s="3" t="str">
        <f>"TCTA"</f>
        <v>TCTA</v>
      </c>
      <c r="I1186" s="3" t="str">
        <f t="shared" ref="I1186:I1192" si="52">"protein_coding"</f>
        <v>protein_coding</v>
      </c>
    </row>
    <row r="1187" spans="1:9" x14ac:dyDescent="0.2">
      <c r="A1187" s="3" t="str">
        <f>"ENSG00000185614.5"</f>
        <v>ENSG00000185614.5</v>
      </c>
      <c r="B1187" s="3">
        <v>29.671314907963598</v>
      </c>
      <c r="C1187" s="3">
        <v>3.7425261068059199</v>
      </c>
      <c r="D1187" s="3">
        <v>0.78332809103538803</v>
      </c>
      <c r="E1187" s="3">
        <v>4.7777248762509297</v>
      </c>
      <c r="F1187" s="4">
        <v>1.77289728043085E-6</v>
      </c>
      <c r="G1187" s="4">
        <v>1.45107035746168E-5</v>
      </c>
      <c r="H1187" s="3" t="str">
        <f>"INKA1"</f>
        <v>INKA1</v>
      </c>
      <c r="I1187" s="3" t="str">
        <f t="shared" si="52"/>
        <v>protein_coding</v>
      </c>
    </row>
    <row r="1188" spans="1:9" x14ac:dyDescent="0.2">
      <c r="A1188" s="3" t="str">
        <f>"ENSG00000182179.13"</f>
        <v>ENSG00000182179.13</v>
      </c>
      <c r="B1188" s="3">
        <v>127.751011587468</v>
      </c>
      <c r="C1188" s="3">
        <v>-1.22694320554646</v>
      </c>
      <c r="D1188" s="3">
        <v>0.383575857679538</v>
      </c>
      <c r="E1188" s="3">
        <v>-3.1986976786519099</v>
      </c>
      <c r="F1188" s="3">
        <v>1.38049852922051E-3</v>
      </c>
      <c r="G1188" s="3">
        <v>5.8498356805087599E-3</v>
      </c>
      <c r="H1188" s="3" t="str">
        <f>"UBA7"</f>
        <v>UBA7</v>
      </c>
      <c r="I1188" s="3" t="str">
        <f t="shared" si="52"/>
        <v>protein_coding</v>
      </c>
    </row>
    <row r="1189" spans="1:9" x14ac:dyDescent="0.2">
      <c r="A1189" s="3" t="str">
        <f>"ENSG00000164077.14"</f>
        <v>ENSG00000164077.14</v>
      </c>
      <c r="B1189" s="3">
        <v>284.03849507260003</v>
      </c>
      <c r="C1189" s="3">
        <v>-2.1200232181413998</v>
      </c>
      <c r="D1189" s="3">
        <v>0.287468732121618</v>
      </c>
      <c r="E1189" s="3">
        <v>-7.3747958690842497</v>
      </c>
      <c r="F1189" s="4">
        <v>1.6459705278871199E-13</v>
      </c>
      <c r="G1189" s="4">
        <v>3.59933860139168E-12</v>
      </c>
      <c r="H1189" s="3" t="str">
        <f>"MON1A"</f>
        <v>MON1A</v>
      </c>
      <c r="I1189" s="3" t="str">
        <f t="shared" si="52"/>
        <v>protein_coding</v>
      </c>
    </row>
    <row r="1190" spans="1:9" x14ac:dyDescent="0.2">
      <c r="A1190" s="3" t="str">
        <f>"ENSG00000001617.12"</f>
        <v>ENSG00000001617.12</v>
      </c>
      <c r="B1190" s="3">
        <v>3885.0332422698302</v>
      </c>
      <c r="C1190" s="3">
        <v>2.0541934897826701</v>
      </c>
      <c r="D1190" s="3">
        <v>0.20551425458690101</v>
      </c>
      <c r="E1190" s="3">
        <v>9.9953820425339597</v>
      </c>
      <c r="F1190" s="4">
        <v>1.5967034689418001E-23</v>
      </c>
      <c r="G1190" s="4">
        <v>7.9389378500469603E-22</v>
      </c>
      <c r="H1190" s="3" t="str">
        <f>"SEMA3F"</f>
        <v>SEMA3F</v>
      </c>
      <c r="I1190" s="3" t="str">
        <f t="shared" si="52"/>
        <v>protein_coding</v>
      </c>
    </row>
    <row r="1191" spans="1:9" x14ac:dyDescent="0.2">
      <c r="A1191" s="3" t="str">
        <f>"ENSG00000188338.15"</f>
        <v>ENSG00000188338.15</v>
      </c>
      <c r="B1191" s="3">
        <v>1106.81611109152</v>
      </c>
      <c r="C1191" s="3">
        <v>-1.3955793990422101</v>
      </c>
      <c r="D1191" s="3">
        <v>0.23363745097708</v>
      </c>
      <c r="E1191" s="3">
        <v>-5.97326923918168</v>
      </c>
      <c r="F1191" s="4">
        <v>2.3254563943810101E-9</v>
      </c>
      <c r="G1191" s="4">
        <v>2.9972426857946797E-8</v>
      </c>
      <c r="H1191" s="3" t="str">
        <f>"SLC38A3"</f>
        <v>SLC38A3</v>
      </c>
      <c r="I1191" s="3" t="str">
        <f t="shared" si="52"/>
        <v>protein_coding</v>
      </c>
    </row>
    <row r="1192" spans="1:9" x14ac:dyDescent="0.2">
      <c r="A1192" s="3" t="str">
        <f>"ENSG00000114353.17"</f>
        <v>ENSG00000114353.17</v>
      </c>
      <c r="B1192" s="3">
        <v>2273.3279954903301</v>
      </c>
      <c r="C1192" s="3">
        <v>-1.0861656941014399</v>
      </c>
      <c r="D1192" s="3">
        <v>0.230935189398848</v>
      </c>
      <c r="E1192" s="3">
        <v>-4.70333558488361</v>
      </c>
      <c r="F1192" s="4">
        <v>2.55945216264188E-6</v>
      </c>
      <c r="G1192" s="4">
        <v>2.0343463557614801E-5</v>
      </c>
      <c r="H1192" s="3" t="str">
        <f>"GNAI2"</f>
        <v>GNAI2</v>
      </c>
      <c r="I1192" s="3" t="str">
        <f t="shared" si="52"/>
        <v>protein_coding</v>
      </c>
    </row>
    <row r="1193" spans="1:9" x14ac:dyDescent="0.2">
      <c r="A1193" s="3" t="str">
        <f>"ENSG00000232352.1"</f>
        <v>ENSG00000232352.1</v>
      </c>
      <c r="B1193" s="3">
        <v>83.848611418802406</v>
      </c>
      <c r="C1193" s="3">
        <v>2.9179950535880099</v>
      </c>
      <c r="D1193" s="3">
        <v>0.44346995558230401</v>
      </c>
      <c r="E1193" s="3">
        <v>6.5799159939854297</v>
      </c>
      <c r="F1193" s="4">
        <v>4.7071414337393499E-11</v>
      </c>
      <c r="G1193" s="4">
        <v>7.6616178402088405E-10</v>
      </c>
      <c r="H1193" s="3" t="str">
        <f>"SEMA3B-AS1"</f>
        <v>SEMA3B-AS1</v>
      </c>
      <c r="I1193" s="3" t="str">
        <f>"antisense"</f>
        <v>antisense</v>
      </c>
    </row>
    <row r="1194" spans="1:9" x14ac:dyDescent="0.2">
      <c r="A1194" s="3" t="str">
        <f>"ENSG00000214706.10"</f>
        <v>ENSG00000214706.10</v>
      </c>
      <c r="B1194" s="3">
        <v>1712.03166631416</v>
      </c>
      <c r="C1194" s="3">
        <v>-1.9690853823705301</v>
      </c>
      <c r="D1194" s="3">
        <v>0.23938587555965801</v>
      </c>
      <c r="E1194" s="3">
        <v>-8.2255704425627698</v>
      </c>
      <c r="F1194" s="4">
        <v>1.94264055100498E-16</v>
      </c>
      <c r="G1194" s="4">
        <v>5.51365907221173E-15</v>
      </c>
      <c r="H1194" s="3" t="str">
        <f>"IFRD2"</f>
        <v>IFRD2</v>
      </c>
      <c r="I1194" s="3" t="str">
        <f t="shared" ref="I1194:I1207" si="53">"protein_coding"</f>
        <v>protein_coding</v>
      </c>
    </row>
    <row r="1195" spans="1:9" x14ac:dyDescent="0.2">
      <c r="A1195" s="3" t="str">
        <f>"ENSG00000088538.13"</f>
        <v>ENSG00000088538.13</v>
      </c>
      <c r="B1195" s="3">
        <v>42.118263956442803</v>
      </c>
      <c r="C1195" s="3">
        <v>3.7892599256844801</v>
      </c>
      <c r="D1195" s="3">
        <v>0.662603242828118</v>
      </c>
      <c r="E1195" s="3">
        <v>5.7187464243476702</v>
      </c>
      <c r="F1195" s="4">
        <v>1.0731280102746601E-8</v>
      </c>
      <c r="G1195" s="4">
        <v>1.26852576555114E-7</v>
      </c>
      <c r="H1195" s="3" t="str">
        <f>"DOCK3"</f>
        <v>DOCK3</v>
      </c>
      <c r="I1195" s="3" t="str">
        <f t="shared" si="53"/>
        <v>protein_coding</v>
      </c>
    </row>
    <row r="1196" spans="1:9" x14ac:dyDescent="0.2">
      <c r="A1196" s="3" t="str">
        <f>"ENSG00000145050.16"</f>
        <v>ENSG00000145050.16</v>
      </c>
      <c r="B1196" s="3">
        <v>1660.0112851978899</v>
      </c>
      <c r="C1196" s="3">
        <v>-1.29011212906821</v>
      </c>
      <c r="D1196" s="3">
        <v>0.19658122116308199</v>
      </c>
      <c r="E1196" s="3">
        <v>-6.5627434880870101</v>
      </c>
      <c r="F1196" s="4">
        <v>5.28266791633747E-11</v>
      </c>
      <c r="G1196" s="4">
        <v>8.5473190449196605E-10</v>
      </c>
      <c r="H1196" s="3" t="str">
        <f>"MANF"</f>
        <v>MANF</v>
      </c>
      <c r="I1196" s="3" t="str">
        <f t="shared" si="53"/>
        <v>protein_coding</v>
      </c>
    </row>
    <row r="1197" spans="1:9" x14ac:dyDescent="0.2">
      <c r="A1197" s="3" t="str">
        <f>"ENSG00000114767.7"</f>
        <v>ENSG00000114767.7</v>
      </c>
      <c r="B1197" s="3">
        <v>873.14365791352998</v>
      </c>
      <c r="C1197" s="3">
        <v>-1.1842249567332901</v>
      </c>
      <c r="D1197" s="3">
        <v>0.23032180171230601</v>
      </c>
      <c r="E1197" s="3">
        <v>-5.1416103379240496</v>
      </c>
      <c r="F1197" s="4">
        <v>2.7239360541121699E-7</v>
      </c>
      <c r="G1197" s="4">
        <v>2.56458485371093E-6</v>
      </c>
      <c r="H1197" s="3" t="str">
        <f>"RRP9"</f>
        <v>RRP9</v>
      </c>
      <c r="I1197" s="3" t="str">
        <f t="shared" si="53"/>
        <v>protein_coding</v>
      </c>
    </row>
    <row r="1198" spans="1:9" x14ac:dyDescent="0.2">
      <c r="A1198" s="3" t="str">
        <f>"ENSG00000041880.14"</f>
        <v>ENSG00000041880.14</v>
      </c>
      <c r="B1198" s="3">
        <v>840.96939726436801</v>
      </c>
      <c r="C1198" s="3">
        <v>1.4425583071025601</v>
      </c>
      <c r="D1198" s="3">
        <v>0.212607621441016</v>
      </c>
      <c r="E1198" s="3">
        <v>6.7850733540272703</v>
      </c>
      <c r="F1198" s="4">
        <v>1.16027543334321E-11</v>
      </c>
      <c r="G1198" s="4">
        <v>2.03305625288119E-10</v>
      </c>
      <c r="H1198" s="3" t="str">
        <f>"PARP3"</f>
        <v>PARP3</v>
      </c>
      <c r="I1198" s="3" t="str">
        <f t="shared" si="53"/>
        <v>protein_coding</v>
      </c>
    </row>
    <row r="1199" spans="1:9" x14ac:dyDescent="0.2">
      <c r="A1199" s="3" t="str">
        <f>"ENSG00000164086.10"</f>
        <v>ENSG00000164086.10</v>
      </c>
      <c r="B1199" s="3">
        <v>860.22785809888001</v>
      </c>
      <c r="C1199" s="3">
        <v>-1.54796348678568</v>
      </c>
      <c r="D1199" s="3">
        <v>0.22906965392162701</v>
      </c>
      <c r="E1199" s="3">
        <v>-6.7576104485463304</v>
      </c>
      <c r="F1199" s="4">
        <v>1.40286095521559E-11</v>
      </c>
      <c r="G1199" s="4">
        <v>2.42229102957916E-10</v>
      </c>
      <c r="H1199" s="3" t="str">
        <f>"DUSP7"</f>
        <v>DUSP7</v>
      </c>
      <c r="I1199" s="3" t="str">
        <f t="shared" si="53"/>
        <v>protein_coding</v>
      </c>
    </row>
    <row r="1200" spans="1:9" x14ac:dyDescent="0.2">
      <c r="A1200" s="3" t="str">
        <f>"ENSG00000247596.9"</f>
        <v>ENSG00000247596.9</v>
      </c>
      <c r="B1200" s="3">
        <v>1820.38396084942</v>
      </c>
      <c r="C1200" s="3">
        <v>1.4937433580023001</v>
      </c>
      <c r="D1200" s="3">
        <v>0.23615310534660899</v>
      </c>
      <c r="E1200" s="3">
        <v>6.3253174494990896</v>
      </c>
      <c r="F1200" s="4">
        <v>2.5271250576338202E-10</v>
      </c>
      <c r="G1200" s="4">
        <v>3.6964936360532198E-9</v>
      </c>
      <c r="H1200" s="3" t="str">
        <f>"TWF2"</f>
        <v>TWF2</v>
      </c>
      <c r="I1200" s="3" t="str">
        <f t="shared" si="53"/>
        <v>protein_coding</v>
      </c>
    </row>
    <row r="1201" spans="1:9" x14ac:dyDescent="0.2">
      <c r="A1201" s="3" t="str">
        <f>"ENSG00000168237.18"</f>
        <v>ENSG00000168237.18</v>
      </c>
      <c r="B1201" s="3">
        <v>1121.4483857338801</v>
      </c>
      <c r="C1201" s="3">
        <v>-2.29712026933794</v>
      </c>
      <c r="D1201" s="3">
        <v>0.23393331068468001</v>
      </c>
      <c r="E1201" s="3">
        <v>-9.8195518313090595</v>
      </c>
      <c r="F1201" s="4">
        <v>9.2754987363386302E-23</v>
      </c>
      <c r="G1201" s="4">
        <v>4.3649311583595599E-21</v>
      </c>
      <c r="H1201" s="3" t="str">
        <f>"GLYCTK"</f>
        <v>GLYCTK</v>
      </c>
      <c r="I1201" s="3" t="str">
        <f t="shared" si="53"/>
        <v>protein_coding</v>
      </c>
    </row>
    <row r="1202" spans="1:9" x14ac:dyDescent="0.2">
      <c r="A1202" s="3" t="str">
        <f>"ENSG00000010318.21"</f>
        <v>ENSG00000010318.21</v>
      </c>
      <c r="B1202" s="3">
        <v>346.59472848478202</v>
      </c>
      <c r="C1202" s="3">
        <v>1.0672833521056899</v>
      </c>
      <c r="D1202" s="3">
        <v>0.24371518089751601</v>
      </c>
      <c r="E1202" s="3">
        <v>4.3792239292409398</v>
      </c>
      <c r="F1202" s="4">
        <v>1.1910269847028401E-5</v>
      </c>
      <c r="G1202" s="4">
        <v>8.3188700979744401E-5</v>
      </c>
      <c r="H1202" s="3" t="str">
        <f>"PHF7"</f>
        <v>PHF7</v>
      </c>
      <c r="I1202" s="3" t="str">
        <f t="shared" si="53"/>
        <v>protein_coding</v>
      </c>
    </row>
    <row r="1203" spans="1:9" x14ac:dyDescent="0.2">
      <c r="A1203" s="3" t="str">
        <f>"ENSG00000010319.6"</f>
        <v>ENSG00000010319.6</v>
      </c>
      <c r="B1203" s="3">
        <v>1155.5222781797499</v>
      </c>
      <c r="C1203" s="3">
        <v>-2.0798410414969899</v>
      </c>
      <c r="D1203" s="3">
        <v>0.20128401737335899</v>
      </c>
      <c r="E1203" s="3">
        <v>-10.3328673018242</v>
      </c>
      <c r="F1203" s="4">
        <v>5.0041948507143801E-25</v>
      </c>
      <c r="G1203" s="4">
        <v>2.7883291839962098E-23</v>
      </c>
      <c r="H1203" s="3" t="str">
        <f>"SEMA3G"</f>
        <v>SEMA3G</v>
      </c>
      <c r="I1203" s="3" t="str">
        <f t="shared" si="53"/>
        <v>protein_coding</v>
      </c>
    </row>
    <row r="1204" spans="1:9" x14ac:dyDescent="0.2">
      <c r="A1204" s="3" t="str">
        <f>"ENSG00000114854.7"</f>
        <v>ENSG00000114854.7</v>
      </c>
      <c r="B1204" s="3">
        <v>127.44901111580501</v>
      </c>
      <c r="C1204" s="3">
        <v>-2.0386721276706501</v>
      </c>
      <c r="D1204" s="3">
        <v>0.35344092153193002</v>
      </c>
      <c r="E1204" s="3">
        <v>-5.7680704283883504</v>
      </c>
      <c r="F1204" s="4">
        <v>8.0184297983931693E-9</v>
      </c>
      <c r="G1204" s="4">
        <v>9.6628994567367896E-8</v>
      </c>
      <c r="H1204" s="3" t="str">
        <f>"TNNC1"</f>
        <v>TNNC1</v>
      </c>
      <c r="I1204" s="3" t="str">
        <f t="shared" si="53"/>
        <v>protein_coding</v>
      </c>
    </row>
    <row r="1205" spans="1:9" x14ac:dyDescent="0.2">
      <c r="A1205" s="3" t="str">
        <f>"ENSG00000010327.10"</f>
        <v>ENSG00000010327.10</v>
      </c>
      <c r="B1205" s="3">
        <v>34.725173218486098</v>
      </c>
      <c r="C1205" s="3">
        <v>1.51321247446878</v>
      </c>
      <c r="D1205" s="3">
        <v>0.60374926532677597</v>
      </c>
      <c r="E1205" s="3">
        <v>2.5063591152359601</v>
      </c>
      <c r="F1205" s="3">
        <v>1.2198165856194701E-2</v>
      </c>
      <c r="G1205" s="3">
        <v>3.7529745379825702E-2</v>
      </c>
      <c r="H1205" s="3" t="str">
        <f>"STAB1"</f>
        <v>STAB1</v>
      </c>
      <c r="I1205" s="3" t="str">
        <f t="shared" si="53"/>
        <v>protein_coding</v>
      </c>
    </row>
    <row r="1206" spans="1:9" x14ac:dyDescent="0.2">
      <c r="A1206" s="3" t="str">
        <f>"ENSG00000168268.11"</f>
        <v>ENSG00000168268.11</v>
      </c>
      <c r="B1206" s="3">
        <v>4791.2298951680796</v>
      </c>
      <c r="C1206" s="3">
        <v>-1.4373208022233199</v>
      </c>
      <c r="D1206" s="3">
        <v>0.211514629039083</v>
      </c>
      <c r="E1206" s="3">
        <v>-6.7953730139286899</v>
      </c>
      <c r="F1206" s="4">
        <v>1.0803263901446499E-11</v>
      </c>
      <c r="G1206" s="4">
        <v>1.9052202687554299E-10</v>
      </c>
      <c r="H1206" s="3" t="str">
        <f>"NT5DC2"</f>
        <v>NT5DC2</v>
      </c>
      <c r="I1206" s="3" t="str">
        <f t="shared" si="53"/>
        <v>protein_coding</v>
      </c>
    </row>
    <row r="1207" spans="1:9" x14ac:dyDescent="0.2">
      <c r="A1207" s="3" t="str">
        <f>"ENSG00000163938.17"</f>
        <v>ENSG00000163938.17</v>
      </c>
      <c r="B1207" s="3">
        <v>3268.6007445938098</v>
      </c>
      <c r="C1207" s="3">
        <v>-1.1960244480045901</v>
      </c>
      <c r="D1207" s="3">
        <v>0.19113519793686301</v>
      </c>
      <c r="E1207" s="3">
        <v>-6.2574787946679997</v>
      </c>
      <c r="F1207" s="4">
        <v>3.9125083347693598E-10</v>
      </c>
      <c r="G1207" s="4">
        <v>5.5842909689607604E-9</v>
      </c>
      <c r="H1207" s="3" t="str">
        <f>"GNL3"</f>
        <v>GNL3</v>
      </c>
      <c r="I1207" s="3" t="str">
        <f t="shared" si="53"/>
        <v>protein_coding</v>
      </c>
    </row>
    <row r="1208" spans="1:9" x14ac:dyDescent="0.2">
      <c r="A1208" s="3" t="str">
        <f>"ENSG00000212493.1"</f>
        <v>ENSG00000212493.1</v>
      </c>
      <c r="B1208" s="3">
        <v>29.535899367177802</v>
      </c>
      <c r="C1208" s="3">
        <v>-1.80790275952353</v>
      </c>
      <c r="D1208" s="3">
        <v>0.65141618314836902</v>
      </c>
      <c r="E1208" s="3">
        <v>-2.7753421027794101</v>
      </c>
      <c r="F1208" s="3">
        <v>5.5143668673829204E-3</v>
      </c>
      <c r="G1208" s="3">
        <v>1.9327328025654601E-2</v>
      </c>
      <c r="H1208" s="3" t="str">
        <f>"SNORD19"</f>
        <v>SNORD19</v>
      </c>
      <c r="I1208" s="3" t="str">
        <f>"snoRNA"</f>
        <v>snoRNA</v>
      </c>
    </row>
    <row r="1209" spans="1:9" x14ac:dyDescent="0.2">
      <c r="A1209" s="3" t="str">
        <f>"ENSG00000213533.12"</f>
        <v>ENSG00000213533.12</v>
      </c>
      <c r="B1209" s="3">
        <v>49.154103254618299</v>
      </c>
      <c r="C1209" s="3">
        <v>-1.4329136842290799</v>
      </c>
      <c r="D1209" s="3">
        <v>0.50103957783990705</v>
      </c>
      <c r="E1209" s="3">
        <v>-2.8598812301548899</v>
      </c>
      <c r="F1209" s="3">
        <v>4.2379969547981702E-3</v>
      </c>
      <c r="G1209" s="3">
        <v>1.5384053161122501E-2</v>
      </c>
      <c r="H1209" s="3" t="str">
        <f>"STIMATE"</f>
        <v>STIMATE</v>
      </c>
      <c r="I1209" s="3" t="str">
        <f t="shared" ref="I1209:I1218" si="54">"protein_coding"</f>
        <v>protein_coding</v>
      </c>
    </row>
    <row r="1210" spans="1:9" x14ac:dyDescent="0.2">
      <c r="A1210" s="3" t="str">
        <f>"ENSG00000157388.17"</f>
        <v>ENSG00000157388.17</v>
      </c>
      <c r="B1210" s="3">
        <v>50.179774817735698</v>
      </c>
      <c r="C1210" s="3">
        <v>4.0520786200247398</v>
      </c>
      <c r="D1210" s="3">
        <v>0.65974083312638399</v>
      </c>
      <c r="E1210" s="3">
        <v>6.1419248537683</v>
      </c>
      <c r="F1210" s="4">
        <v>8.1527427799545296E-10</v>
      </c>
      <c r="G1210" s="4">
        <v>1.1224748990673099E-8</v>
      </c>
      <c r="H1210" s="3" t="str">
        <f>"CACNA1D"</f>
        <v>CACNA1D</v>
      </c>
      <c r="I1210" s="3" t="str">
        <f t="shared" si="54"/>
        <v>protein_coding</v>
      </c>
    </row>
    <row r="1211" spans="1:9" x14ac:dyDescent="0.2">
      <c r="A1211" s="3" t="str">
        <f>"ENSG00000157445.15"</f>
        <v>ENSG00000157445.15</v>
      </c>
      <c r="B1211" s="3">
        <v>6.7519734148814896</v>
      </c>
      <c r="C1211" s="3">
        <v>6.1494628660046899</v>
      </c>
      <c r="D1211" s="3">
        <v>1.90159178459093</v>
      </c>
      <c r="E1211" s="3">
        <v>3.2338501437770799</v>
      </c>
      <c r="F1211" s="3">
        <v>1.22133521966576E-3</v>
      </c>
      <c r="G1211" s="3">
        <v>5.2554833749578096E-3</v>
      </c>
      <c r="H1211" s="3" t="str">
        <f>"CACNA2D3"</f>
        <v>CACNA2D3</v>
      </c>
      <c r="I1211" s="3" t="str">
        <f t="shared" si="54"/>
        <v>protein_coding</v>
      </c>
    </row>
    <row r="1212" spans="1:9" x14ac:dyDescent="0.2">
      <c r="A1212" s="3" t="str">
        <f>"ENSG00000187672.13"</f>
        <v>ENSG00000187672.13</v>
      </c>
      <c r="B1212" s="3">
        <v>15.391171026432</v>
      </c>
      <c r="C1212" s="3">
        <v>2.9072173468135101</v>
      </c>
      <c r="D1212" s="3">
        <v>0.95849491115949703</v>
      </c>
      <c r="E1212" s="3">
        <v>3.0331067102866802</v>
      </c>
      <c r="F1212" s="3">
        <v>2.4204999115394598E-3</v>
      </c>
      <c r="G1212" s="3">
        <v>9.4880392878313596E-3</v>
      </c>
      <c r="H1212" s="3" t="str">
        <f>"ERC2"</f>
        <v>ERC2</v>
      </c>
      <c r="I1212" s="3" t="str">
        <f t="shared" si="54"/>
        <v>protein_coding</v>
      </c>
    </row>
    <row r="1213" spans="1:9" x14ac:dyDescent="0.2">
      <c r="A1213" s="3" t="str">
        <f>"ENSG00000163947.11"</f>
        <v>ENSG00000163947.11</v>
      </c>
      <c r="B1213" s="3">
        <v>3489.3472761249</v>
      </c>
      <c r="C1213" s="3">
        <v>1.0642916497628601</v>
      </c>
      <c r="D1213" s="3">
        <v>0.17526437061346101</v>
      </c>
      <c r="E1213" s="3">
        <v>6.0724929204813201</v>
      </c>
      <c r="F1213" s="4">
        <v>1.25939652526809E-9</v>
      </c>
      <c r="G1213" s="4">
        <v>1.6928849099151199E-8</v>
      </c>
      <c r="H1213" s="3" t="str">
        <f>"ARHGEF3"</f>
        <v>ARHGEF3</v>
      </c>
      <c r="I1213" s="3" t="str">
        <f t="shared" si="54"/>
        <v>protein_coding</v>
      </c>
    </row>
    <row r="1214" spans="1:9" x14ac:dyDescent="0.2">
      <c r="A1214" s="3" t="str">
        <f>"ENSG00000174844.14"</f>
        <v>ENSG00000174844.14</v>
      </c>
      <c r="B1214" s="3">
        <v>58.638048799049002</v>
      </c>
      <c r="C1214" s="3">
        <v>2.6121214095235401</v>
      </c>
      <c r="D1214" s="3">
        <v>0.53312198256347398</v>
      </c>
      <c r="E1214" s="3">
        <v>4.8996692970028404</v>
      </c>
      <c r="F1214" s="4">
        <v>9.5998100411943296E-7</v>
      </c>
      <c r="G1214" s="4">
        <v>8.2774058288741093E-6</v>
      </c>
      <c r="H1214" s="3" t="str">
        <f>"DNAH12"</f>
        <v>DNAH12</v>
      </c>
      <c r="I1214" s="3" t="str">
        <f t="shared" si="54"/>
        <v>protein_coding</v>
      </c>
    </row>
    <row r="1215" spans="1:9" x14ac:dyDescent="0.2">
      <c r="A1215" s="3" t="str">
        <f>"ENSG00000168301.13"</f>
        <v>ENSG00000168301.13</v>
      </c>
      <c r="B1215" s="3">
        <v>265.81688802603799</v>
      </c>
      <c r="C1215" s="3">
        <v>-1.49796605623098</v>
      </c>
      <c r="D1215" s="3">
        <v>0.273436350349816</v>
      </c>
      <c r="E1215" s="3">
        <v>-5.47829889593896</v>
      </c>
      <c r="F1215" s="4">
        <v>4.2943428645378901E-8</v>
      </c>
      <c r="G1215" s="4">
        <v>4.6542545755793101E-7</v>
      </c>
      <c r="H1215" s="3" t="str">
        <f>"KCTD6"</f>
        <v>KCTD6</v>
      </c>
      <c r="I1215" s="3" t="str">
        <f t="shared" si="54"/>
        <v>protein_coding</v>
      </c>
    </row>
    <row r="1216" spans="1:9" x14ac:dyDescent="0.2">
      <c r="A1216" s="3" t="str">
        <f>"ENSG00000168306.13"</f>
        <v>ENSG00000168306.13</v>
      </c>
      <c r="B1216" s="3">
        <v>593.42509185712299</v>
      </c>
      <c r="C1216" s="3">
        <v>-1.8102936536885299</v>
      </c>
      <c r="D1216" s="3">
        <v>0.23145412497175599</v>
      </c>
      <c r="E1216" s="3">
        <v>-7.8213929171037098</v>
      </c>
      <c r="F1216" s="4">
        <v>5.2242001102470396E-15</v>
      </c>
      <c r="G1216" s="4">
        <v>1.29051478154036E-13</v>
      </c>
      <c r="H1216" s="3" t="str">
        <f>"ACOX2"</f>
        <v>ACOX2</v>
      </c>
      <c r="I1216" s="3" t="str">
        <f t="shared" si="54"/>
        <v>protein_coding</v>
      </c>
    </row>
    <row r="1217" spans="1:9" x14ac:dyDescent="0.2">
      <c r="A1217" s="3" t="str">
        <f>"ENSG00000163689.20"</f>
        <v>ENSG00000163689.20</v>
      </c>
      <c r="B1217" s="3">
        <v>7.3742006763044099</v>
      </c>
      <c r="C1217" s="3">
        <v>4.7880582450455504</v>
      </c>
      <c r="D1217" s="3">
        <v>1.83861232792217</v>
      </c>
      <c r="E1217" s="3">
        <v>2.6041695534896001</v>
      </c>
      <c r="F1217" s="3">
        <v>9.2097182968161294E-3</v>
      </c>
      <c r="G1217" s="3">
        <v>2.9654596364139599E-2</v>
      </c>
      <c r="H1217" s="3" t="str">
        <f>"C3orf67"</f>
        <v>C3orf67</v>
      </c>
      <c r="I1217" s="3" t="str">
        <f t="shared" si="54"/>
        <v>protein_coding</v>
      </c>
    </row>
    <row r="1218" spans="1:9" x14ac:dyDescent="0.2">
      <c r="A1218" s="3" t="str">
        <f>"ENSG00000163618.18"</f>
        <v>ENSG00000163618.18</v>
      </c>
      <c r="B1218" s="3">
        <v>11.1908883232093</v>
      </c>
      <c r="C1218" s="3">
        <v>6.8774013179738596</v>
      </c>
      <c r="D1218" s="3">
        <v>1.7464027080084601</v>
      </c>
      <c r="E1218" s="3">
        <v>3.9380386244456802</v>
      </c>
      <c r="F1218" s="4">
        <v>8.2150372962616199E-5</v>
      </c>
      <c r="G1218" s="3">
        <v>4.8012681512492501E-4</v>
      </c>
      <c r="H1218" s="3" t="str">
        <f>"CADPS"</f>
        <v>CADPS</v>
      </c>
      <c r="I1218" s="3" t="str">
        <f t="shared" si="54"/>
        <v>protein_coding</v>
      </c>
    </row>
    <row r="1219" spans="1:9" x14ac:dyDescent="0.2">
      <c r="A1219" s="3" t="str">
        <f>"ENSG00000244342.5"</f>
        <v>ENSG00000244342.5</v>
      </c>
      <c r="B1219" s="3">
        <v>4.3302005939076098</v>
      </c>
      <c r="C1219" s="3">
        <v>5.5088803257156904</v>
      </c>
      <c r="D1219" s="3">
        <v>2.1104502212244198</v>
      </c>
      <c r="E1219" s="3">
        <v>2.6102867863519599</v>
      </c>
      <c r="F1219" s="3">
        <v>9.0466346159683401E-3</v>
      </c>
      <c r="G1219" s="3">
        <v>2.9246992570157698E-2</v>
      </c>
      <c r="H1219" s="3" t="str">
        <f>"LINC00698"</f>
        <v>LINC00698</v>
      </c>
      <c r="I1219" s="3" t="str">
        <f>"lincRNA"</f>
        <v>lincRNA</v>
      </c>
    </row>
    <row r="1220" spans="1:9" x14ac:dyDescent="0.2">
      <c r="A1220" s="3" t="str">
        <f>"ENSG00000163637.13"</f>
        <v>ENSG00000163637.13</v>
      </c>
      <c r="B1220" s="3">
        <v>111.036167781667</v>
      </c>
      <c r="C1220" s="3">
        <v>5.7214815429921702</v>
      </c>
      <c r="D1220" s="3">
        <v>0.61288904595731897</v>
      </c>
      <c r="E1220" s="3">
        <v>9.3352648097264392</v>
      </c>
      <c r="F1220" s="4">
        <v>1.00739109896829E-20</v>
      </c>
      <c r="G1220" s="4">
        <v>4.1905931715403102E-19</v>
      </c>
      <c r="H1220" s="3" t="str">
        <f>"PRICKLE2"</f>
        <v>PRICKLE2</v>
      </c>
      <c r="I1220" s="3" t="str">
        <f>"protein_coding"</f>
        <v>protein_coding</v>
      </c>
    </row>
    <row r="1221" spans="1:9" x14ac:dyDescent="0.2">
      <c r="A1221" s="3" t="str">
        <f>"ENSG00000144749.13"</f>
        <v>ENSG00000144749.13</v>
      </c>
      <c r="B1221" s="3">
        <v>1474.8418740162899</v>
      </c>
      <c r="C1221" s="3">
        <v>-2.3845671639979198</v>
      </c>
      <c r="D1221" s="3">
        <v>0.19931793674095699</v>
      </c>
      <c r="E1221" s="3">
        <v>-11.9636356014312</v>
      </c>
      <c r="F1221" s="4">
        <v>5.5095774593512301E-33</v>
      </c>
      <c r="G1221" s="4">
        <v>5.1944448801018303E-31</v>
      </c>
      <c r="H1221" s="3" t="str">
        <f>"LRIG1"</f>
        <v>LRIG1</v>
      </c>
      <c r="I1221" s="3" t="str">
        <f>"protein_coding"</f>
        <v>protein_coding</v>
      </c>
    </row>
    <row r="1222" spans="1:9" x14ac:dyDescent="0.2">
      <c r="A1222" s="3" t="str">
        <f>"ENSG00000163377.16"</f>
        <v>ENSG00000163377.16</v>
      </c>
      <c r="B1222" s="3">
        <v>66.011576945738199</v>
      </c>
      <c r="C1222" s="3">
        <v>-1.6503681053557</v>
      </c>
      <c r="D1222" s="3">
        <v>0.44574314401750198</v>
      </c>
      <c r="E1222" s="3">
        <v>-3.7025092309460099</v>
      </c>
      <c r="F1222" s="3">
        <v>2.1347759074097101E-4</v>
      </c>
      <c r="G1222" s="3">
        <v>1.12944153687752E-3</v>
      </c>
      <c r="H1222" s="3" t="str">
        <f>"FAM19A4"</f>
        <v>FAM19A4</v>
      </c>
      <c r="I1222" s="3" t="str">
        <f>"protein_coding"</f>
        <v>protein_coding</v>
      </c>
    </row>
    <row r="1223" spans="1:9" x14ac:dyDescent="0.2">
      <c r="A1223" s="3" t="str">
        <f>"ENSG00000114541.15"</f>
        <v>ENSG00000114541.15</v>
      </c>
      <c r="B1223" s="3">
        <v>103.677898270638</v>
      </c>
      <c r="C1223" s="3">
        <v>-1.0284590570038701</v>
      </c>
      <c r="D1223" s="3">
        <v>0.36930701254167497</v>
      </c>
      <c r="E1223" s="3">
        <v>-2.7848348990876799</v>
      </c>
      <c r="F1223" s="3">
        <v>5.3554984362884804E-3</v>
      </c>
      <c r="G1223" s="3">
        <v>1.8813984772247602E-2</v>
      </c>
      <c r="H1223" s="3" t="str">
        <f>"FRMD4B"</f>
        <v>FRMD4B</v>
      </c>
      <c r="I1223" s="3" t="str">
        <f>"protein_coding"</f>
        <v>protein_coding</v>
      </c>
    </row>
    <row r="1224" spans="1:9" x14ac:dyDescent="0.2">
      <c r="A1224" s="3" t="str">
        <f>"ENSG00000240405.6"</f>
        <v>ENSG00000240405.6</v>
      </c>
      <c r="B1224" s="3">
        <v>9.1737462358553792</v>
      </c>
      <c r="C1224" s="3">
        <v>6.5915411521854903</v>
      </c>
      <c r="D1224" s="3">
        <v>1.79504798545571</v>
      </c>
      <c r="E1224" s="3">
        <v>3.6720696079397999</v>
      </c>
      <c r="F1224" s="3">
        <v>2.40594125255355E-4</v>
      </c>
      <c r="G1224" s="3">
        <v>1.2519992610451999E-3</v>
      </c>
      <c r="H1224" s="3" t="str">
        <f>"SAMMSON"</f>
        <v>SAMMSON</v>
      </c>
      <c r="I1224" s="3" t="str">
        <f>"lincRNA"</f>
        <v>lincRNA</v>
      </c>
    </row>
    <row r="1225" spans="1:9" x14ac:dyDescent="0.2">
      <c r="A1225" s="3" t="str">
        <f>"ENSG00000163412.13"</f>
        <v>ENSG00000163412.13</v>
      </c>
      <c r="B1225" s="3">
        <v>64.295811149619695</v>
      </c>
      <c r="C1225" s="3">
        <v>3.77313433782105</v>
      </c>
      <c r="D1225" s="3">
        <v>0.55714189360283095</v>
      </c>
      <c r="E1225" s="3">
        <v>6.7723041134487003</v>
      </c>
      <c r="F1225" s="4">
        <v>1.26747355896483E-11</v>
      </c>
      <c r="G1225" s="4">
        <v>2.2066998122118099E-10</v>
      </c>
      <c r="H1225" s="3" t="str">
        <f>"EIF4E3"</f>
        <v>EIF4E3</v>
      </c>
      <c r="I1225" s="3" t="str">
        <f>"protein_coding"</f>
        <v>protein_coding</v>
      </c>
    </row>
    <row r="1226" spans="1:9" x14ac:dyDescent="0.2">
      <c r="A1226" s="3" t="str">
        <f>"ENSG00000172986.12"</f>
        <v>ENSG00000172986.12</v>
      </c>
      <c r="B1226" s="3">
        <v>130.79209115544799</v>
      </c>
      <c r="C1226" s="3">
        <v>-1.21545251086176</v>
      </c>
      <c r="D1226" s="3">
        <v>0.35178745460561101</v>
      </c>
      <c r="E1226" s="3">
        <v>-3.45507633927539</v>
      </c>
      <c r="F1226" s="3">
        <v>5.5013703272003103E-4</v>
      </c>
      <c r="G1226" s="3">
        <v>2.6077911848508498E-3</v>
      </c>
      <c r="H1226" s="3" t="str">
        <f>"GXYLT2"</f>
        <v>GXYLT2</v>
      </c>
      <c r="I1226" s="3" t="str">
        <f>"protein_coding"</f>
        <v>protein_coding</v>
      </c>
    </row>
    <row r="1227" spans="1:9" x14ac:dyDescent="0.2">
      <c r="A1227" s="3" t="str">
        <f>"ENSG00000121440.15"</f>
        <v>ENSG00000121440.15</v>
      </c>
      <c r="B1227" s="3">
        <v>10.816987810537899</v>
      </c>
      <c r="C1227" s="3">
        <v>3.70712897975389</v>
      </c>
      <c r="D1227" s="3">
        <v>1.2955566483193499</v>
      </c>
      <c r="E1227" s="3">
        <v>2.86141789674957</v>
      </c>
      <c r="F1227" s="3">
        <v>4.2175072574352299E-3</v>
      </c>
      <c r="G1227" s="3">
        <v>1.53239658945643E-2</v>
      </c>
      <c r="H1227" s="3" t="str">
        <f>"PDZRN3"</f>
        <v>PDZRN3</v>
      </c>
      <c r="I1227" s="3" t="str">
        <f>"protein_coding"</f>
        <v>protein_coding</v>
      </c>
    </row>
    <row r="1228" spans="1:9" x14ac:dyDescent="0.2">
      <c r="A1228" s="3" t="str">
        <f>"ENSG00000242741.1"</f>
        <v>ENSG00000242741.1</v>
      </c>
      <c r="B1228" s="3">
        <v>31.4526956185471</v>
      </c>
      <c r="C1228" s="3">
        <v>6.91346281502795</v>
      </c>
      <c r="D1228" s="3">
        <v>1.5579488418916201</v>
      </c>
      <c r="E1228" s="3">
        <v>4.43754161185025</v>
      </c>
      <c r="F1228" s="4">
        <v>9.0992135347552792E-6</v>
      </c>
      <c r="G1228" s="4">
        <v>6.5346934945038795E-5</v>
      </c>
      <c r="H1228" s="3" t="str">
        <f>"LINC02005"</f>
        <v>LINC02005</v>
      </c>
      <c r="I1228" s="3" t="str">
        <f>"lincRNA"</f>
        <v>lincRNA</v>
      </c>
    </row>
    <row r="1229" spans="1:9" x14ac:dyDescent="0.2">
      <c r="A1229" s="3" t="str">
        <f>"ENSG00000185008.17"</f>
        <v>ENSG00000185008.17</v>
      </c>
      <c r="B1229" s="3">
        <v>9.13467023963827</v>
      </c>
      <c r="C1229" s="3">
        <v>5.1049058326668897</v>
      </c>
      <c r="D1229" s="3">
        <v>1.7741165434225801</v>
      </c>
      <c r="E1229" s="3">
        <v>2.8774354489805001</v>
      </c>
      <c r="F1229" s="3">
        <v>4.0092192710801796E-3</v>
      </c>
      <c r="G1229" s="3">
        <v>1.46807146188848E-2</v>
      </c>
      <c r="H1229" s="3" t="str">
        <f>"ROBO2"</f>
        <v>ROBO2</v>
      </c>
      <c r="I1229" s="3" t="str">
        <f>"protein_coding"</f>
        <v>protein_coding</v>
      </c>
    </row>
    <row r="1230" spans="1:9" x14ac:dyDescent="0.2">
      <c r="A1230" s="3" t="str">
        <f>"ENSG00000240241.5"</f>
        <v>ENSG00000240241.5</v>
      </c>
      <c r="B1230" s="3">
        <v>65.137898404211597</v>
      </c>
      <c r="C1230" s="3">
        <v>2.7309082913658802</v>
      </c>
      <c r="D1230" s="3">
        <v>0.49859118461657997</v>
      </c>
      <c r="E1230" s="3">
        <v>5.4772494492977497</v>
      </c>
      <c r="F1230" s="4">
        <v>4.3198803858872802E-8</v>
      </c>
      <c r="G1230" s="4">
        <v>4.6782106865767399E-7</v>
      </c>
      <c r="H1230" s="3" t="str">
        <f>"AC108752.1"</f>
        <v>AC108752.1</v>
      </c>
      <c r="I1230" s="3" t="str">
        <f>"lincRNA"</f>
        <v>lincRNA</v>
      </c>
    </row>
    <row r="1231" spans="1:9" x14ac:dyDescent="0.2">
      <c r="A1231" s="3" t="str">
        <f>"ENSG00000114480.13"</f>
        <v>ENSG00000114480.13</v>
      </c>
      <c r="B1231" s="3">
        <v>2123.0644141836701</v>
      </c>
      <c r="C1231" s="3">
        <v>1.34625844009436</v>
      </c>
      <c r="D1231" s="3">
        <v>0.19822846939347799</v>
      </c>
      <c r="E1231" s="3">
        <v>6.7914484948278204</v>
      </c>
      <c r="F1231" s="4">
        <v>1.11013217889192E-11</v>
      </c>
      <c r="G1231" s="4">
        <v>1.9514691276302001E-10</v>
      </c>
      <c r="H1231" s="3" t="str">
        <f>"GBE1"</f>
        <v>GBE1</v>
      </c>
      <c r="I1231" s="3" t="str">
        <f>"protein_coding"</f>
        <v>protein_coding</v>
      </c>
    </row>
    <row r="1232" spans="1:9" x14ac:dyDescent="0.2">
      <c r="A1232" s="3" t="str">
        <f>"ENSG00000241319.1"</f>
        <v>ENSG00000241319.1</v>
      </c>
      <c r="B1232" s="3">
        <v>23.286072244592098</v>
      </c>
      <c r="C1232" s="3">
        <v>2.3307290135429199</v>
      </c>
      <c r="D1232" s="3">
        <v>0.831458224467855</v>
      </c>
      <c r="E1232" s="3">
        <v>2.8031823427263798</v>
      </c>
      <c r="F1232" s="3">
        <v>5.06010517473739E-3</v>
      </c>
      <c r="G1232" s="3">
        <v>1.7905543596892198E-2</v>
      </c>
      <c r="H1232" s="3" t="str">
        <f>"SETP6"</f>
        <v>SETP6</v>
      </c>
      <c r="I1232" s="3" t="str">
        <f>"processed_pseudogene"</f>
        <v>processed_pseudogene</v>
      </c>
    </row>
    <row r="1233" spans="1:9" x14ac:dyDescent="0.2">
      <c r="A1233" s="3" t="str">
        <f>"ENSG00000175161.13"</f>
        <v>ENSG00000175161.13</v>
      </c>
      <c r="B1233" s="3">
        <v>9.7018711756550307</v>
      </c>
      <c r="C1233" s="3">
        <v>4.1449332769318099</v>
      </c>
      <c r="D1233" s="3">
        <v>1.4441584833116099</v>
      </c>
      <c r="E1233" s="3">
        <v>2.8701374016978001</v>
      </c>
      <c r="F1233" s="3">
        <v>4.1029346816137003E-3</v>
      </c>
      <c r="G1233" s="3">
        <v>1.4967554059436099E-2</v>
      </c>
      <c r="H1233" s="3" t="str">
        <f>"CADM2"</f>
        <v>CADM2</v>
      </c>
      <c r="I1233" s="3" t="str">
        <f t="shared" ref="I1233:I1245" si="55">"protein_coding"</f>
        <v>protein_coding</v>
      </c>
    </row>
    <row r="1234" spans="1:9" x14ac:dyDescent="0.2">
      <c r="A1234" s="3" t="str">
        <f>"ENSG00000206538.9"</f>
        <v>ENSG00000206538.9</v>
      </c>
      <c r="B1234" s="3">
        <v>54.8195842713437</v>
      </c>
      <c r="C1234" s="3">
        <v>5.3759776538815096</v>
      </c>
      <c r="D1234" s="3">
        <v>0.79829083680461699</v>
      </c>
      <c r="E1234" s="3">
        <v>6.7343597170679903</v>
      </c>
      <c r="F1234" s="4">
        <v>1.6465337229939E-11</v>
      </c>
      <c r="G1234" s="4">
        <v>2.8322666887888098E-10</v>
      </c>
      <c r="H1234" s="3" t="str">
        <f>"VGLL3"</f>
        <v>VGLL3</v>
      </c>
      <c r="I1234" s="3" t="str">
        <f t="shared" si="55"/>
        <v>protein_coding</v>
      </c>
    </row>
    <row r="1235" spans="1:9" x14ac:dyDescent="0.2">
      <c r="A1235" s="3" t="str">
        <f>"ENSG00000175105.7"</f>
        <v>ENSG00000175105.7</v>
      </c>
      <c r="B1235" s="3">
        <v>1293.4979778427801</v>
      </c>
      <c r="C1235" s="3">
        <v>1.69015525309012</v>
      </c>
      <c r="D1235" s="3">
        <v>0.207199474747426</v>
      </c>
      <c r="E1235" s="3">
        <v>8.1571406257201993</v>
      </c>
      <c r="F1235" s="4">
        <v>3.4304889971695801E-16</v>
      </c>
      <c r="G1235" s="4">
        <v>9.4990379782398007E-15</v>
      </c>
      <c r="H1235" s="3" t="str">
        <f>"ZNF654"</f>
        <v>ZNF654</v>
      </c>
      <c r="I1235" s="3" t="str">
        <f t="shared" si="55"/>
        <v>protein_coding</v>
      </c>
    </row>
    <row r="1236" spans="1:9" x14ac:dyDescent="0.2">
      <c r="A1236" s="3" t="str">
        <f>"ENSG00000169379.15"</f>
        <v>ENSG00000169379.15</v>
      </c>
      <c r="B1236" s="3">
        <v>449.17100795236001</v>
      </c>
      <c r="C1236" s="3">
        <v>-1.36648985760669</v>
      </c>
      <c r="D1236" s="3">
        <v>0.228616845453156</v>
      </c>
      <c r="E1236" s="3">
        <v>-5.9772054631323703</v>
      </c>
      <c r="F1236" s="4">
        <v>2.2699783102504299E-9</v>
      </c>
      <c r="G1236" s="4">
        <v>2.9312843137153301E-8</v>
      </c>
      <c r="H1236" s="3" t="str">
        <f>"ARL13B"</f>
        <v>ARL13B</v>
      </c>
      <c r="I1236" s="3" t="str">
        <f t="shared" si="55"/>
        <v>protein_coding</v>
      </c>
    </row>
    <row r="1237" spans="1:9" x14ac:dyDescent="0.2">
      <c r="A1237" s="3" t="str">
        <f>"ENSG00000178700.7"</f>
        <v>ENSG00000178700.7</v>
      </c>
      <c r="B1237" s="3">
        <v>236.32363997622099</v>
      </c>
      <c r="C1237" s="3">
        <v>1.0516674997859501</v>
      </c>
      <c r="D1237" s="3">
        <v>0.27969057887938398</v>
      </c>
      <c r="E1237" s="3">
        <v>3.7601105621776498</v>
      </c>
      <c r="F1237" s="3">
        <v>1.6983827850364599E-4</v>
      </c>
      <c r="G1237" s="3">
        <v>9.2106013825248804E-4</v>
      </c>
      <c r="H1237" s="3" t="str">
        <f>"DHFR2"</f>
        <v>DHFR2</v>
      </c>
      <c r="I1237" s="3" t="str">
        <f t="shared" si="55"/>
        <v>protein_coding</v>
      </c>
    </row>
    <row r="1238" spans="1:9" x14ac:dyDescent="0.2">
      <c r="A1238" s="3" t="str">
        <f>"ENSG00000080224.17"</f>
        <v>ENSG00000080224.17</v>
      </c>
      <c r="B1238" s="3">
        <v>8.4430159278847903</v>
      </c>
      <c r="C1238" s="3">
        <v>3.9384924344898402</v>
      </c>
      <c r="D1238" s="3">
        <v>1.4685123774536799</v>
      </c>
      <c r="E1238" s="3">
        <v>2.68196066642555</v>
      </c>
      <c r="F1238" s="3">
        <v>7.3192064946571E-3</v>
      </c>
      <c r="G1238" s="3">
        <v>2.4457489074488199E-2</v>
      </c>
      <c r="H1238" s="3" t="str">
        <f>"EPHA6"</f>
        <v>EPHA6</v>
      </c>
      <c r="I1238" s="3" t="str">
        <f t="shared" si="55"/>
        <v>protein_coding</v>
      </c>
    </row>
    <row r="1239" spans="1:9" x14ac:dyDescent="0.2">
      <c r="A1239" s="3" t="str">
        <f>"ENSG00000170854.18"</f>
        <v>ENSG00000170854.18</v>
      </c>
      <c r="B1239" s="3">
        <v>1159.7674302877001</v>
      </c>
      <c r="C1239" s="3">
        <v>-1.34008131144042</v>
      </c>
      <c r="D1239" s="3">
        <v>0.19181772301575101</v>
      </c>
      <c r="E1239" s="3">
        <v>-6.9862225990993396</v>
      </c>
      <c r="F1239" s="4">
        <v>2.82385917705188E-12</v>
      </c>
      <c r="G1239" s="4">
        <v>5.2953675841109801E-11</v>
      </c>
      <c r="H1239" s="3" t="str">
        <f>"RIOX2"</f>
        <v>RIOX2</v>
      </c>
      <c r="I1239" s="3" t="str">
        <f t="shared" si="55"/>
        <v>protein_coding</v>
      </c>
    </row>
    <row r="1240" spans="1:9" x14ac:dyDescent="0.2">
      <c r="A1240" s="3" t="str">
        <f>"ENSG00000144810.16"</f>
        <v>ENSG00000144810.16</v>
      </c>
      <c r="B1240" s="3">
        <v>7.5671219328146799</v>
      </c>
      <c r="C1240" s="3">
        <v>4.82033408964804</v>
      </c>
      <c r="D1240" s="3">
        <v>1.8300607674228599</v>
      </c>
      <c r="E1240" s="3">
        <v>2.6339748796626901</v>
      </c>
      <c r="F1240" s="3">
        <v>8.4391731347117499E-3</v>
      </c>
      <c r="G1240" s="3">
        <v>2.7597473643961999E-2</v>
      </c>
      <c r="H1240" s="3" t="str">
        <f>"COL8A1"</f>
        <v>COL8A1</v>
      </c>
      <c r="I1240" s="3" t="str">
        <f t="shared" si="55"/>
        <v>protein_coding</v>
      </c>
    </row>
    <row r="1241" spans="1:9" x14ac:dyDescent="0.2">
      <c r="A1241" s="3" t="str">
        <f>"ENSG00000184220.12"</f>
        <v>ENSG00000184220.12</v>
      </c>
      <c r="B1241" s="3">
        <v>484.008869212131</v>
      </c>
      <c r="C1241" s="3">
        <v>-1.42191099756636</v>
      </c>
      <c r="D1241" s="3">
        <v>0.23504271856971001</v>
      </c>
      <c r="E1241" s="3">
        <v>-6.0495853954507703</v>
      </c>
      <c r="F1241" s="4">
        <v>1.45219073106843E-9</v>
      </c>
      <c r="G1241" s="4">
        <v>1.9320234789756601E-8</v>
      </c>
      <c r="H1241" s="3" t="str">
        <f>"CMSS1"</f>
        <v>CMSS1</v>
      </c>
      <c r="I1241" s="3" t="str">
        <f t="shared" si="55"/>
        <v>protein_coding</v>
      </c>
    </row>
    <row r="1242" spans="1:9" x14ac:dyDescent="0.2">
      <c r="A1242" s="3" t="str">
        <f>"ENSG00000206535.8"</f>
        <v>ENSG00000206535.8</v>
      </c>
      <c r="B1242" s="3">
        <v>185.95912814958601</v>
      </c>
      <c r="C1242" s="3">
        <v>-1.47240613161453</v>
      </c>
      <c r="D1242" s="3">
        <v>0.29806816982960699</v>
      </c>
      <c r="E1242" s="3">
        <v>-4.9398301484396603</v>
      </c>
      <c r="F1242" s="4">
        <v>7.8190650527833902E-7</v>
      </c>
      <c r="G1242" s="4">
        <v>6.8174740957820504E-6</v>
      </c>
      <c r="H1242" s="3" t="str">
        <f>"LNP1"</f>
        <v>LNP1</v>
      </c>
      <c r="I1242" s="3" t="str">
        <f t="shared" si="55"/>
        <v>protein_coding</v>
      </c>
    </row>
    <row r="1243" spans="1:9" x14ac:dyDescent="0.2">
      <c r="A1243" s="3" t="str">
        <f>"ENSG00000144820.8"</f>
        <v>ENSG00000144820.8</v>
      </c>
      <c r="B1243" s="3">
        <v>3.9618079650943998</v>
      </c>
      <c r="C1243" s="3">
        <v>5.3771408192735599</v>
      </c>
      <c r="D1243" s="3">
        <v>2.19654804218851</v>
      </c>
      <c r="E1243" s="3">
        <v>2.4479959991751898</v>
      </c>
      <c r="F1243" s="3">
        <v>1.43653250707227E-2</v>
      </c>
      <c r="G1243" s="3">
        <v>4.3002857855634E-2</v>
      </c>
      <c r="H1243" s="3" t="str">
        <f>"ADGRG7"</f>
        <v>ADGRG7</v>
      </c>
      <c r="I1243" s="3" t="str">
        <f t="shared" si="55"/>
        <v>protein_coding</v>
      </c>
    </row>
    <row r="1244" spans="1:9" x14ac:dyDescent="0.2">
      <c r="A1244" s="3" t="str">
        <f>"ENSG00000154175.17"</f>
        <v>ENSG00000154175.17</v>
      </c>
      <c r="B1244" s="3">
        <v>38.204669033428601</v>
      </c>
      <c r="C1244" s="3">
        <v>7.1964401247508398</v>
      </c>
      <c r="D1244" s="3">
        <v>1.5401501002834299</v>
      </c>
      <c r="E1244" s="3">
        <v>4.6725576444961403</v>
      </c>
      <c r="F1244" s="4">
        <v>2.9747199017338001E-6</v>
      </c>
      <c r="G1244" s="4">
        <v>2.3405195830938702E-5</v>
      </c>
      <c r="H1244" s="3" t="str">
        <f>"ABI3BP"</f>
        <v>ABI3BP</v>
      </c>
      <c r="I1244" s="3" t="str">
        <f t="shared" si="55"/>
        <v>protein_coding</v>
      </c>
    </row>
    <row r="1245" spans="1:9" x14ac:dyDescent="0.2">
      <c r="A1245" s="3" t="str">
        <f>"ENSG00000081148.12"</f>
        <v>ENSG00000081148.12</v>
      </c>
      <c r="B1245" s="3">
        <v>14.2136848293414</v>
      </c>
      <c r="C1245" s="3">
        <v>2.5555831736172601</v>
      </c>
      <c r="D1245" s="3">
        <v>0.96103464968581398</v>
      </c>
      <c r="E1245" s="3">
        <v>2.6591998264086998</v>
      </c>
      <c r="F1245" s="3">
        <v>7.8326491619340795E-3</v>
      </c>
      <c r="G1245" s="3">
        <v>2.59126021995165E-2</v>
      </c>
      <c r="H1245" s="3" t="str">
        <f>"IMPG2"</f>
        <v>IMPG2</v>
      </c>
      <c r="I1245" s="3" t="str">
        <f t="shared" si="55"/>
        <v>protein_coding</v>
      </c>
    </row>
    <row r="1246" spans="1:9" x14ac:dyDescent="0.2">
      <c r="A1246" s="3" t="str">
        <f>"ENSG00000175841.8"</f>
        <v>ENSG00000175841.8</v>
      </c>
      <c r="B1246" s="3">
        <v>10.1674586542845</v>
      </c>
      <c r="C1246" s="3">
        <v>2.7829590315445798</v>
      </c>
      <c r="D1246" s="3">
        <v>1.15848091874248</v>
      </c>
      <c r="E1246" s="3">
        <v>2.4022484846495802</v>
      </c>
      <c r="F1246" s="3">
        <v>1.6294635657543698E-2</v>
      </c>
      <c r="G1246" s="3">
        <v>4.7698747073602499E-2</v>
      </c>
      <c r="H1246" s="3" t="str">
        <f>"FAM172BP"</f>
        <v>FAM172BP</v>
      </c>
      <c r="I1246" s="3" t="str">
        <f>"processed_pseudogene"</f>
        <v>processed_pseudogene</v>
      </c>
    </row>
    <row r="1247" spans="1:9" x14ac:dyDescent="0.2">
      <c r="A1247" s="3" t="str">
        <f>"ENSG00000170044.8"</f>
        <v>ENSG00000170044.8</v>
      </c>
      <c r="B1247" s="3">
        <v>4.5476292227480499</v>
      </c>
      <c r="C1247" s="3">
        <v>5.5744939162496001</v>
      </c>
      <c r="D1247" s="3">
        <v>2.1839988111781001</v>
      </c>
      <c r="E1247" s="3">
        <v>2.5524253436944799</v>
      </c>
      <c r="F1247" s="3">
        <v>1.0697583288758699E-2</v>
      </c>
      <c r="G1247" s="3">
        <v>3.3704561964478297E-2</v>
      </c>
      <c r="H1247" s="3" t="str">
        <f>"ZPLD1"</f>
        <v>ZPLD1</v>
      </c>
      <c r="I1247" s="3" t="str">
        <f>"protein_coding"</f>
        <v>protein_coding</v>
      </c>
    </row>
    <row r="1248" spans="1:9" x14ac:dyDescent="0.2">
      <c r="A1248" s="3" t="str">
        <f>"ENSG00000243701.6"</f>
        <v>ENSG00000243701.6</v>
      </c>
      <c r="B1248" s="3">
        <v>120.52553911504801</v>
      </c>
      <c r="C1248" s="3">
        <v>2.60352624942057</v>
      </c>
      <c r="D1248" s="3">
        <v>0.36856368372540299</v>
      </c>
      <c r="E1248" s="3">
        <v>7.0639793457250102</v>
      </c>
      <c r="F1248" s="4">
        <v>1.61800804974656E-12</v>
      </c>
      <c r="G1248" s="4">
        <v>3.1310983900173697E-11</v>
      </c>
      <c r="H1248" s="3" t="str">
        <f>"DUBR"</f>
        <v>DUBR</v>
      </c>
      <c r="I1248" s="3" t="str">
        <f>"lincRNA"</f>
        <v>lincRNA</v>
      </c>
    </row>
    <row r="1249" spans="1:9" x14ac:dyDescent="0.2">
      <c r="A1249" s="3" t="str">
        <f>"ENSG00000114455.13"</f>
        <v>ENSG00000114455.13</v>
      </c>
      <c r="B1249" s="3">
        <v>4.2909566987279701</v>
      </c>
      <c r="C1249" s="3">
        <v>5.4906776166512303</v>
      </c>
      <c r="D1249" s="3">
        <v>2.2108381641221801</v>
      </c>
      <c r="E1249" s="3">
        <v>2.4835276076534099</v>
      </c>
      <c r="F1249" s="3">
        <v>1.30088250259493E-2</v>
      </c>
      <c r="G1249" s="3">
        <v>3.9643379429822101E-2</v>
      </c>
      <c r="H1249" s="3" t="str">
        <f>"HHLA2"</f>
        <v>HHLA2</v>
      </c>
      <c r="I1249" s="3" t="str">
        <f>"protein_coding"</f>
        <v>protein_coding</v>
      </c>
    </row>
    <row r="1250" spans="1:9" x14ac:dyDescent="0.2">
      <c r="A1250" s="3" t="str">
        <f>"ENSG00000144821.9"</f>
        <v>ENSG00000144821.9</v>
      </c>
      <c r="B1250" s="3">
        <v>24.892821077685301</v>
      </c>
      <c r="C1250" s="3">
        <v>2.6920109183498702</v>
      </c>
      <c r="D1250" s="3">
        <v>0.82030773595231898</v>
      </c>
      <c r="E1250" s="3">
        <v>3.2817085593184601</v>
      </c>
      <c r="F1250" s="3">
        <v>1.0318018891636699E-3</v>
      </c>
      <c r="G1250" s="3">
        <v>4.5388288785990502E-3</v>
      </c>
      <c r="H1250" s="3" t="str">
        <f>"MYH15"</f>
        <v>MYH15</v>
      </c>
      <c r="I1250" s="3" t="str">
        <f>"protein_coding"</f>
        <v>protein_coding</v>
      </c>
    </row>
    <row r="1251" spans="1:9" x14ac:dyDescent="0.2">
      <c r="A1251" s="3" t="str">
        <f>"ENSG00000198919.13"</f>
        <v>ENSG00000198919.13</v>
      </c>
      <c r="B1251" s="3">
        <v>1325.1167080678499</v>
      </c>
      <c r="C1251" s="3">
        <v>2.03862392383876</v>
      </c>
      <c r="D1251" s="3">
        <v>0.207489290633462</v>
      </c>
      <c r="E1251" s="3">
        <v>9.8252007012741203</v>
      </c>
      <c r="F1251" s="4">
        <v>8.7699166105264405E-23</v>
      </c>
      <c r="G1251" s="4">
        <v>4.1413157346102897E-21</v>
      </c>
      <c r="H1251" s="3" t="str">
        <f>"DZIP3"</f>
        <v>DZIP3</v>
      </c>
      <c r="I1251" s="3" t="str">
        <f>"protein_coding"</f>
        <v>protein_coding</v>
      </c>
    </row>
    <row r="1252" spans="1:9" x14ac:dyDescent="0.2">
      <c r="A1252" s="3" t="str">
        <f>"ENSG00000114487.9"</f>
        <v>ENSG00000114487.9</v>
      </c>
      <c r="B1252" s="3">
        <v>6.53742604636144</v>
      </c>
      <c r="C1252" s="3">
        <v>4.5972269486047104</v>
      </c>
      <c r="D1252" s="3">
        <v>1.8870152278735499</v>
      </c>
      <c r="E1252" s="3">
        <v>2.43624263370956</v>
      </c>
      <c r="F1252" s="3">
        <v>1.4840726110578999E-2</v>
      </c>
      <c r="G1252" s="3">
        <v>4.4163965086822299E-2</v>
      </c>
      <c r="H1252" s="3" t="str">
        <f>"MORC1"</f>
        <v>MORC1</v>
      </c>
      <c r="I1252" s="3" t="str">
        <f>"protein_coding"</f>
        <v>protein_coding</v>
      </c>
    </row>
    <row r="1253" spans="1:9" x14ac:dyDescent="0.2">
      <c r="A1253" s="3" t="str">
        <f>"ENSG00000206532.2"</f>
        <v>ENSG00000206532.2</v>
      </c>
      <c r="B1253" s="3">
        <v>87.323908302775493</v>
      </c>
      <c r="C1253" s="3">
        <v>1.4787779314020899</v>
      </c>
      <c r="D1253" s="3">
        <v>0.41604435623638603</v>
      </c>
      <c r="E1253" s="3">
        <v>3.5543756554694901</v>
      </c>
      <c r="F1253" s="3">
        <v>3.7887762267381497E-4</v>
      </c>
      <c r="G1253" s="3">
        <v>1.87832579785179E-3</v>
      </c>
      <c r="H1253" s="3" t="str">
        <f>"AC117402.1"</f>
        <v>AC117402.1</v>
      </c>
      <c r="I1253" s="3" t="str">
        <f>"lincRNA"</f>
        <v>lincRNA</v>
      </c>
    </row>
    <row r="1254" spans="1:9" x14ac:dyDescent="0.2">
      <c r="A1254" s="3" t="str">
        <f>"ENSG00000153283.12"</f>
        <v>ENSG00000153283.12</v>
      </c>
      <c r="B1254" s="3">
        <v>5.9457177380145003</v>
      </c>
      <c r="C1254" s="3">
        <v>5.9678110559896602</v>
      </c>
      <c r="D1254" s="3">
        <v>1.9490680149737301</v>
      </c>
      <c r="E1254" s="3">
        <v>3.0618793239342601</v>
      </c>
      <c r="F1254" s="3">
        <v>2.1995210751093899E-3</v>
      </c>
      <c r="G1254" s="3">
        <v>8.7349294175055308E-3</v>
      </c>
      <c r="H1254" s="3" t="str">
        <f>"CD96"</f>
        <v>CD96</v>
      </c>
      <c r="I1254" s="3" t="str">
        <f>"protein_coding"</f>
        <v>protein_coding</v>
      </c>
    </row>
    <row r="1255" spans="1:9" x14ac:dyDescent="0.2">
      <c r="A1255" s="3" t="str">
        <f>"ENSG00000240891.7"</f>
        <v>ENSG00000240891.7</v>
      </c>
      <c r="B1255" s="3">
        <v>1147.9443671061599</v>
      </c>
      <c r="C1255" s="3">
        <v>2.91922490173142</v>
      </c>
      <c r="D1255" s="3">
        <v>0.20313642646378099</v>
      </c>
      <c r="E1255" s="3">
        <v>14.3707603434282</v>
      </c>
      <c r="F1255" s="4">
        <v>7.8959586950079001E-47</v>
      </c>
      <c r="G1255" s="4">
        <v>1.38784534237747E-44</v>
      </c>
      <c r="H1255" s="3" t="str">
        <f>"PLCXD2"</f>
        <v>PLCXD2</v>
      </c>
      <c r="I1255" s="3" t="str">
        <f>"protein_coding"</f>
        <v>protein_coding</v>
      </c>
    </row>
    <row r="1256" spans="1:9" x14ac:dyDescent="0.2">
      <c r="A1256" s="3" t="str">
        <f>"ENSG00000144824.20"</f>
        <v>ENSG00000144824.20</v>
      </c>
      <c r="B1256" s="3">
        <v>1322.0251176019101</v>
      </c>
      <c r="C1256" s="3">
        <v>-1.1116460820298599</v>
      </c>
      <c r="D1256" s="3">
        <v>0.19081867001983899</v>
      </c>
      <c r="E1256" s="3">
        <v>-5.8256672783343504</v>
      </c>
      <c r="F1256" s="4">
        <v>5.6884848021286402E-9</v>
      </c>
      <c r="G1256" s="4">
        <v>6.9837149089604694E-8</v>
      </c>
      <c r="H1256" s="3" t="str">
        <f>"PHLDB2"</f>
        <v>PHLDB2</v>
      </c>
      <c r="I1256" s="3" t="str">
        <f>"protein_coding"</f>
        <v>protein_coding</v>
      </c>
    </row>
    <row r="1257" spans="1:9" x14ac:dyDescent="0.2">
      <c r="A1257" s="3" t="str">
        <f>"ENSG00000176040.13"</f>
        <v>ENSG00000176040.13</v>
      </c>
      <c r="B1257" s="3">
        <v>22.689591697057399</v>
      </c>
      <c r="C1257" s="3">
        <v>6.4403116646450904</v>
      </c>
      <c r="D1257" s="3">
        <v>1.58717948080053</v>
      </c>
      <c r="E1257" s="3">
        <v>4.0577084964560903</v>
      </c>
      <c r="F1257" s="4">
        <v>4.9556569279601999E-5</v>
      </c>
      <c r="G1257" s="3">
        <v>3.0397745231006601E-4</v>
      </c>
      <c r="H1257" s="3" t="str">
        <f>"TMPRSS7"</f>
        <v>TMPRSS7</v>
      </c>
      <c r="I1257" s="3" t="str">
        <f>"protein_coding"</f>
        <v>protein_coding</v>
      </c>
    </row>
    <row r="1258" spans="1:9" x14ac:dyDescent="0.2">
      <c r="A1258" s="3" t="str">
        <f>"ENSG00000114529.12"</f>
        <v>ENSG00000114529.12</v>
      </c>
      <c r="B1258" s="3">
        <v>251.84973327853601</v>
      </c>
      <c r="C1258" s="3">
        <v>1.6492934331264799</v>
      </c>
      <c r="D1258" s="3">
        <v>0.273574080248637</v>
      </c>
      <c r="E1258" s="3">
        <v>6.0286904067356097</v>
      </c>
      <c r="F1258" s="4">
        <v>1.65293578793651E-9</v>
      </c>
      <c r="G1258" s="4">
        <v>2.17993908102159E-8</v>
      </c>
      <c r="H1258" s="3" t="str">
        <f>"C3orf52"</f>
        <v>C3orf52</v>
      </c>
      <c r="I1258" s="3" t="str">
        <f>"protein_coding"</f>
        <v>protein_coding</v>
      </c>
    </row>
    <row r="1259" spans="1:9" x14ac:dyDescent="0.2">
      <c r="A1259" s="3" t="str">
        <f>"ENSG00000261488.1"</f>
        <v>ENSG00000261488.1</v>
      </c>
      <c r="B1259" s="3">
        <v>29.193515688969601</v>
      </c>
      <c r="C1259" s="3">
        <v>1.7533530725333899</v>
      </c>
      <c r="D1259" s="3">
        <v>0.68922562834312795</v>
      </c>
      <c r="E1259" s="3">
        <v>2.54394642397205</v>
      </c>
      <c r="F1259" s="3">
        <v>1.09607894958782E-2</v>
      </c>
      <c r="G1259" s="3">
        <v>3.43669311155574E-2</v>
      </c>
      <c r="H1259" s="3" t="str">
        <f>"TBILA"</f>
        <v>TBILA</v>
      </c>
      <c r="I1259" s="3" t="str">
        <f>"antisense"</f>
        <v>antisense</v>
      </c>
    </row>
    <row r="1260" spans="1:9" x14ac:dyDescent="0.2">
      <c r="A1260" s="3" t="str">
        <f>"ENSG00000163606.11"</f>
        <v>ENSG00000163606.11</v>
      </c>
      <c r="B1260" s="3">
        <v>5.1726943755813402</v>
      </c>
      <c r="C1260" s="3">
        <v>5.7625288115753097</v>
      </c>
      <c r="D1260" s="3">
        <v>2.0437771331615</v>
      </c>
      <c r="E1260" s="3">
        <v>2.8195485300597798</v>
      </c>
      <c r="F1260" s="3">
        <v>4.8091258350547398E-3</v>
      </c>
      <c r="G1260" s="3">
        <v>1.71555710431705E-2</v>
      </c>
      <c r="H1260" s="3" t="str">
        <f>"CD200R1"</f>
        <v>CD200R1</v>
      </c>
      <c r="I1260" s="3" t="str">
        <f t="shared" ref="I1260:I1265" si="56">"protein_coding"</f>
        <v>protein_coding</v>
      </c>
    </row>
    <row r="1261" spans="1:9" x14ac:dyDescent="0.2">
      <c r="A1261" s="3" t="str">
        <f>"ENSG00000072858.10"</f>
        <v>ENSG00000072858.10</v>
      </c>
      <c r="B1261" s="3">
        <v>20.264980984673201</v>
      </c>
      <c r="C1261" s="3">
        <v>5.2586807194001297</v>
      </c>
      <c r="D1261" s="3">
        <v>1.2407706177358699</v>
      </c>
      <c r="E1261" s="3">
        <v>4.2382376276737102</v>
      </c>
      <c r="F1261" s="4">
        <v>2.2528125520326201E-5</v>
      </c>
      <c r="G1261" s="3">
        <v>1.4815926527934499E-4</v>
      </c>
      <c r="H1261" s="3" t="str">
        <f>"SIDT1"</f>
        <v>SIDT1</v>
      </c>
      <c r="I1261" s="3" t="str">
        <f t="shared" si="56"/>
        <v>protein_coding</v>
      </c>
    </row>
    <row r="1262" spans="1:9" x14ac:dyDescent="0.2">
      <c r="A1262" s="3" t="str">
        <f>"ENSG00000176542.10"</f>
        <v>ENSG00000176542.10</v>
      </c>
      <c r="B1262" s="3">
        <v>1451.67331005561</v>
      </c>
      <c r="C1262" s="3">
        <v>-1.16680162658428</v>
      </c>
      <c r="D1262" s="3">
        <v>0.206495034237929</v>
      </c>
      <c r="E1262" s="3">
        <v>-5.6505069523360199</v>
      </c>
      <c r="F1262" s="4">
        <v>1.5997533621123101E-8</v>
      </c>
      <c r="G1262" s="4">
        <v>1.8485360414535201E-7</v>
      </c>
      <c r="H1262" s="3" t="str">
        <f>"USF3"</f>
        <v>USF3</v>
      </c>
      <c r="I1262" s="3" t="str">
        <f t="shared" si="56"/>
        <v>protein_coding</v>
      </c>
    </row>
    <row r="1263" spans="1:9" x14ac:dyDescent="0.2">
      <c r="A1263" s="3" t="str">
        <f>"ENSG00000178075.20"</f>
        <v>ENSG00000178075.20</v>
      </c>
      <c r="B1263" s="3">
        <v>22.460394543507999</v>
      </c>
      <c r="C1263" s="3">
        <v>3.7504996094193701</v>
      </c>
      <c r="D1263" s="3">
        <v>0.93848258482656</v>
      </c>
      <c r="E1263" s="3">
        <v>3.9963443862013701</v>
      </c>
      <c r="F1263" s="4">
        <v>6.4328133466709701E-5</v>
      </c>
      <c r="G1263" s="3">
        <v>3.8429043029323401E-4</v>
      </c>
      <c r="H1263" s="3" t="str">
        <f>"GRAMD1C"</f>
        <v>GRAMD1C</v>
      </c>
      <c r="I1263" s="3" t="str">
        <f t="shared" si="56"/>
        <v>protein_coding</v>
      </c>
    </row>
    <row r="1264" spans="1:9" x14ac:dyDescent="0.2">
      <c r="A1264" s="3" t="str">
        <f>"ENSG00000163617.11"</f>
        <v>ENSG00000163617.11</v>
      </c>
      <c r="B1264" s="3">
        <v>63.764998185452399</v>
      </c>
      <c r="C1264" s="3">
        <v>1.72937716342845</v>
      </c>
      <c r="D1264" s="3">
        <v>0.48146215485878302</v>
      </c>
      <c r="E1264" s="3">
        <v>3.5919275190709299</v>
      </c>
      <c r="F1264" s="3">
        <v>3.28241153096659E-4</v>
      </c>
      <c r="G1264" s="3">
        <v>1.65010824694182E-3</v>
      </c>
      <c r="H1264" s="3" t="str">
        <f>"CCDC191"</f>
        <v>CCDC191</v>
      </c>
      <c r="I1264" s="3" t="str">
        <f t="shared" si="56"/>
        <v>protein_coding</v>
      </c>
    </row>
    <row r="1265" spans="1:9" x14ac:dyDescent="0.2">
      <c r="A1265" s="3" t="str">
        <f>"ENSG00000185565.12"</f>
        <v>ENSG00000185565.12</v>
      </c>
      <c r="B1265" s="3">
        <v>13.029889045812499</v>
      </c>
      <c r="C1265" s="3">
        <v>4.5970865782346504</v>
      </c>
      <c r="D1265" s="3">
        <v>1.34001029459433</v>
      </c>
      <c r="E1265" s="3">
        <v>3.4306352695792901</v>
      </c>
      <c r="F1265" s="3">
        <v>6.0216965638687904E-4</v>
      </c>
      <c r="G1265" s="3">
        <v>2.8205804757733001E-3</v>
      </c>
      <c r="H1265" s="3" t="str">
        <f>"LSAMP"</f>
        <v>LSAMP</v>
      </c>
      <c r="I1265" s="3" t="str">
        <f t="shared" si="56"/>
        <v>protein_coding</v>
      </c>
    </row>
    <row r="1266" spans="1:9" x14ac:dyDescent="0.2">
      <c r="A1266" s="3" t="str">
        <f>"ENSG00000243276.5"</f>
        <v>ENSG00000243276.5</v>
      </c>
      <c r="B1266" s="3">
        <v>9.4245750780922002</v>
      </c>
      <c r="C1266" s="3">
        <v>5.1476864105781601</v>
      </c>
      <c r="D1266" s="3">
        <v>1.8058753264327501</v>
      </c>
      <c r="E1266" s="3">
        <v>2.8505214813176898</v>
      </c>
      <c r="F1266" s="3">
        <v>4.36476019530077E-3</v>
      </c>
      <c r="G1266" s="3">
        <v>1.5783227742715299E-2</v>
      </c>
      <c r="H1266" s="3" t="str">
        <f>"AC068633.1"</f>
        <v>AC068633.1</v>
      </c>
      <c r="I1266" s="3" t="str">
        <f>"lincRNA"</f>
        <v>lincRNA</v>
      </c>
    </row>
    <row r="1267" spans="1:9" x14ac:dyDescent="0.2">
      <c r="A1267" s="3" t="str">
        <f>"ENSG00000031081.10"</f>
        <v>ENSG00000031081.10</v>
      </c>
      <c r="B1267" s="3">
        <v>14.2771814600687</v>
      </c>
      <c r="C1267" s="3">
        <v>4.1271063654046696</v>
      </c>
      <c r="D1267" s="3">
        <v>1.17270929821061</v>
      </c>
      <c r="E1267" s="3">
        <v>3.5192919265687199</v>
      </c>
      <c r="F1267" s="3">
        <v>4.3270030094026598E-4</v>
      </c>
      <c r="G1267" s="3">
        <v>2.1075768858990701E-3</v>
      </c>
      <c r="H1267" s="3" t="str">
        <f>"ARHGAP31"</f>
        <v>ARHGAP31</v>
      </c>
      <c r="I1267" s="3" t="str">
        <f>"protein_coding"</f>
        <v>protein_coding</v>
      </c>
    </row>
    <row r="1268" spans="1:9" x14ac:dyDescent="0.2">
      <c r="A1268" s="3" t="str">
        <f>"ENSG00000121594.12"</f>
        <v>ENSG00000121594.12</v>
      </c>
      <c r="B1268" s="3">
        <v>4.2577243842941197</v>
      </c>
      <c r="C1268" s="3">
        <v>5.4867669360524598</v>
      </c>
      <c r="D1268" s="3">
        <v>2.11613036159978</v>
      </c>
      <c r="E1268" s="3">
        <v>2.5928303074412198</v>
      </c>
      <c r="F1268" s="3">
        <v>9.5189725018600003E-3</v>
      </c>
      <c r="G1268" s="3">
        <v>3.0470329388883902E-2</v>
      </c>
      <c r="H1268" s="3" t="str">
        <f>"CD80"</f>
        <v>CD80</v>
      </c>
      <c r="I1268" s="3" t="str">
        <f>"protein_coding"</f>
        <v>protein_coding</v>
      </c>
    </row>
    <row r="1269" spans="1:9" x14ac:dyDescent="0.2">
      <c r="A1269" s="3" t="str">
        <f>"ENSG00000121577.13"</f>
        <v>ENSG00000121577.13</v>
      </c>
      <c r="B1269" s="3">
        <v>17.301477521219098</v>
      </c>
      <c r="C1269" s="3">
        <v>2.4981078616657402</v>
      </c>
      <c r="D1269" s="3">
        <v>0.95954253344336204</v>
      </c>
      <c r="E1269" s="3">
        <v>2.60343629865074</v>
      </c>
      <c r="F1269" s="3">
        <v>9.2294417263390893E-3</v>
      </c>
      <c r="G1269" s="3">
        <v>2.9695893237658502E-2</v>
      </c>
      <c r="H1269" s="3" t="str">
        <f>"POPDC2"</f>
        <v>POPDC2</v>
      </c>
      <c r="I1269" s="3" t="str">
        <f>"protein_coding"</f>
        <v>protein_coding</v>
      </c>
    </row>
    <row r="1270" spans="1:9" x14ac:dyDescent="0.2">
      <c r="A1270" s="3" t="str">
        <f>"ENSG00000183833.16"</f>
        <v>ENSG00000183833.16</v>
      </c>
      <c r="B1270" s="3">
        <v>4.5868731179276896</v>
      </c>
      <c r="C1270" s="3">
        <v>5.5915059184507401</v>
      </c>
      <c r="D1270" s="3">
        <v>2.0812331718906201</v>
      </c>
      <c r="E1270" s="3">
        <v>2.6866311732727901</v>
      </c>
      <c r="F1270" s="3">
        <v>7.2176601926175997E-3</v>
      </c>
      <c r="G1270" s="3">
        <v>2.4195323236743602E-2</v>
      </c>
      <c r="H1270" s="3" t="str">
        <f>"MAATS1"</f>
        <v>MAATS1</v>
      </c>
      <c r="I1270" s="3" t="str">
        <f>"protein_coding"</f>
        <v>protein_coding</v>
      </c>
    </row>
    <row r="1271" spans="1:9" x14ac:dyDescent="0.2">
      <c r="A1271" s="3" t="str">
        <f>"ENSG00000163428.4"</f>
        <v>ENSG00000163428.4</v>
      </c>
      <c r="B1271" s="3">
        <v>2692.8884479664098</v>
      </c>
      <c r="C1271" s="3">
        <v>-1.6990041157334901</v>
      </c>
      <c r="D1271" s="3">
        <v>0.191965356865297</v>
      </c>
      <c r="E1271" s="3">
        <v>-8.8505767054922</v>
      </c>
      <c r="F1271" s="4">
        <v>8.7068197332198802E-19</v>
      </c>
      <c r="G1271" s="4">
        <v>3.0220983091852499E-17</v>
      </c>
      <c r="H1271" s="3" t="str">
        <f>"LRRC58"</f>
        <v>LRRC58</v>
      </c>
      <c r="I1271" s="3" t="str">
        <f>"protein_coding"</f>
        <v>protein_coding</v>
      </c>
    </row>
    <row r="1272" spans="1:9" x14ac:dyDescent="0.2">
      <c r="A1272" s="3" t="str">
        <f>"ENSG00000282950.1"</f>
        <v>ENSG00000282950.1</v>
      </c>
      <c r="B1272" s="3">
        <v>7.78455056165512</v>
      </c>
      <c r="C1272" s="3">
        <v>4.8585174730630998</v>
      </c>
      <c r="D1272" s="3">
        <v>1.83039318441206</v>
      </c>
      <c r="E1272" s="3">
        <v>2.65435727932068</v>
      </c>
      <c r="F1272" s="3">
        <v>7.9459645013751894E-3</v>
      </c>
      <c r="G1272" s="3">
        <v>2.6235758598749898E-2</v>
      </c>
      <c r="H1272" s="3" t="str">
        <f>"AC063952.4"</f>
        <v>AC063952.4</v>
      </c>
      <c r="I1272" s="3" t="str">
        <f>"lincRNA"</f>
        <v>lincRNA</v>
      </c>
    </row>
    <row r="1273" spans="1:9" x14ac:dyDescent="0.2">
      <c r="A1273" s="3" t="str">
        <f>"ENSG00000113924.12"</f>
        <v>ENSG00000113924.12</v>
      </c>
      <c r="B1273" s="3">
        <v>3311.43736942756</v>
      </c>
      <c r="C1273" s="3">
        <v>-1.11300743255378</v>
      </c>
      <c r="D1273" s="3">
        <v>0.176734107364246</v>
      </c>
      <c r="E1273" s="3">
        <v>-6.2976380119989699</v>
      </c>
      <c r="F1273" s="4">
        <v>3.0221524893797899E-10</v>
      </c>
      <c r="G1273" s="4">
        <v>4.3823623671171401E-9</v>
      </c>
      <c r="H1273" s="3" t="str">
        <f>"HGD"</f>
        <v>HGD</v>
      </c>
      <c r="I1273" s="3" t="str">
        <f t="shared" ref="I1273:I1280" si="57">"protein_coding"</f>
        <v>protein_coding</v>
      </c>
    </row>
    <row r="1274" spans="1:9" x14ac:dyDescent="0.2">
      <c r="A1274" s="3" t="str">
        <f>"ENSG00000145087.12"</f>
        <v>ENSG00000145087.12</v>
      </c>
      <c r="B1274" s="3">
        <v>17.3236836359508</v>
      </c>
      <c r="C1274" s="3">
        <v>6.0413104022730399</v>
      </c>
      <c r="D1274" s="3">
        <v>1.6438448412589599</v>
      </c>
      <c r="E1274" s="3">
        <v>3.6751098708599699</v>
      </c>
      <c r="F1274" s="3">
        <v>2.3774707929802901E-4</v>
      </c>
      <c r="G1274" s="3">
        <v>1.2395512188353201E-3</v>
      </c>
      <c r="H1274" s="3" t="str">
        <f>"STXBP5L"</f>
        <v>STXBP5L</v>
      </c>
      <c r="I1274" s="3" t="str">
        <f t="shared" si="57"/>
        <v>protein_coding</v>
      </c>
    </row>
    <row r="1275" spans="1:9" x14ac:dyDescent="0.2">
      <c r="A1275" s="3" t="str">
        <f>"ENSG00000114013.16"</f>
        <v>ENSG00000114013.16</v>
      </c>
      <c r="B1275" s="3">
        <v>3.8530936506741802</v>
      </c>
      <c r="C1275" s="3">
        <v>5.3403250580865702</v>
      </c>
      <c r="D1275" s="3">
        <v>2.1789621139591802</v>
      </c>
      <c r="E1275" s="3">
        <v>2.4508572333014098</v>
      </c>
      <c r="F1275" s="3">
        <v>1.4251646682892799E-2</v>
      </c>
      <c r="G1275" s="3">
        <v>4.2728280938466097E-2</v>
      </c>
      <c r="H1275" s="3" t="str">
        <f>"CD86"</f>
        <v>CD86</v>
      </c>
      <c r="I1275" s="3" t="str">
        <f t="shared" si="57"/>
        <v>protein_coding</v>
      </c>
    </row>
    <row r="1276" spans="1:9" x14ac:dyDescent="0.2">
      <c r="A1276" s="3" t="str">
        <f>"ENSG00000036828.16"</f>
        <v>ENSG00000036828.16</v>
      </c>
      <c r="B1276" s="3">
        <v>6.5707828908477897</v>
      </c>
      <c r="C1276" s="3">
        <v>6.1138111095610004</v>
      </c>
      <c r="D1276" s="3">
        <v>1.9091683263975801</v>
      </c>
      <c r="E1276" s="3">
        <v>3.2023426248104601</v>
      </c>
      <c r="F1276" s="3">
        <v>1.3631476007978499E-3</v>
      </c>
      <c r="G1276" s="3">
        <v>5.7862101073281099E-3</v>
      </c>
      <c r="H1276" s="3" t="str">
        <f>"CASR"</f>
        <v>CASR</v>
      </c>
      <c r="I1276" s="3" t="str">
        <f t="shared" si="57"/>
        <v>protein_coding</v>
      </c>
    </row>
    <row r="1277" spans="1:9" x14ac:dyDescent="0.2">
      <c r="A1277" s="3" t="str">
        <f>"ENSG00000121552.4"</f>
        <v>ENSG00000121552.4</v>
      </c>
      <c r="B1277" s="3">
        <v>6499.3962849159298</v>
      </c>
      <c r="C1277" s="3">
        <v>9.4473725423649295</v>
      </c>
      <c r="D1277" s="3">
        <v>0.32629480023457402</v>
      </c>
      <c r="E1277" s="3">
        <v>28.953487875299199</v>
      </c>
      <c r="F1277" s="4">
        <v>2.5364251344922299E-184</v>
      </c>
      <c r="G1277" s="4">
        <v>6.9109975639509698E-180</v>
      </c>
      <c r="H1277" s="3" t="str">
        <f>"CSTA"</f>
        <v>CSTA</v>
      </c>
      <c r="I1277" s="3" t="str">
        <f t="shared" si="57"/>
        <v>protein_coding</v>
      </c>
    </row>
    <row r="1278" spans="1:9" x14ac:dyDescent="0.2">
      <c r="A1278" s="3" t="str">
        <f>"ENSG00000114030.13"</f>
        <v>ENSG00000114030.13</v>
      </c>
      <c r="B1278" s="3">
        <v>3164.0136072168202</v>
      </c>
      <c r="C1278" s="3">
        <v>1.05291502802106</v>
      </c>
      <c r="D1278" s="3">
        <v>0.18772912527173399</v>
      </c>
      <c r="E1278" s="3">
        <v>5.60869298515611</v>
      </c>
      <c r="F1278" s="4">
        <v>2.0386029226650801E-8</v>
      </c>
      <c r="G1278" s="4">
        <v>2.3260391052703301E-7</v>
      </c>
      <c r="H1278" s="3" t="str">
        <f>"KPNA1"</f>
        <v>KPNA1</v>
      </c>
      <c r="I1278" s="3" t="str">
        <f t="shared" si="57"/>
        <v>protein_coding</v>
      </c>
    </row>
    <row r="1279" spans="1:9" x14ac:dyDescent="0.2">
      <c r="A1279" s="3" t="str">
        <f>"ENSG00000173200.13"</f>
        <v>ENSG00000173200.13</v>
      </c>
      <c r="B1279" s="3">
        <v>8.8779977156181893</v>
      </c>
      <c r="C1279" s="3">
        <v>5.0628967352389003</v>
      </c>
      <c r="D1279" s="3">
        <v>1.78155743299794</v>
      </c>
      <c r="E1279" s="3">
        <v>2.8418375077132598</v>
      </c>
      <c r="F1279" s="3">
        <v>4.4854346656680302E-3</v>
      </c>
      <c r="G1279" s="3">
        <v>1.6157408558362899E-2</v>
      </c>
      <c r="H1279" s="3" t="str">
        <f>"PARP15"</f>
        <v>PARP15</v>
      </c>
      <c r="I1279" s="3" t="str">
        <f t="shared" si="57"/>
        <v>protein_coding</v>
      </c>
    </row>
    <row r="1280" spans="1:9" x14ac:dyDescent="0.2">
      <c r="A1280" s="3" t="str">
        <f>"ENSG00000173193.15"</f>
        <v>ENSG00000173193.15</v>
      </c>
      <c r="B1280" s="3">
        <v>1493.9507381584301</v>
      </c>
      <c r="C1280" s="3">
        <v>1.19037860272013</v>
      </c>
      <c r="D1280" s="3">
        <v>0.19528739735387801</v>
      </c>
      <c r="E1280" s="3">
        <v>6.0955218762174699</v>
      </c>
      <c r="F1280" s="4">
        <v>1.09080993143759E-9</v>
      </c>
      <c r="G1280" s="4">
        <v>1.4769068189586301E-8</v>
      </c>
      <c r="H1280" s="3" t="str">
        <f>"PARP14"</f>
        <v>PARP14</v>
      </c>
      <c r="I1280" s="3" t="str">
        <f t="shared" si="57"/>
        <v>protein_coding</v>
      </c>
    </row>
    <row r="1281" spans="1:9" x14ac:dyDescent="0.2">
      <c r="A1281" s="3" t="str">
        <f>"ENSG00000273033.2"</f>
        <v>ENSG00000273033.2</v>
      </c>
      <c r="B1281" s="3">
        <v>154.54360186292399</v>
      </c>
      <c r="C1281" s="3">
        <v>1.7151213585721199</v>
      </c>
      <c r="D1281" s="3">
        <v>0.33767155108656099</v>
      </c>
      <c r="E1281" s="3">
        <v>5.0792592774049101</v>
      </c>
      <c r="F1281" s="4">
        <v>3.7890929916441698E-7</v>
      </c>
      <c r="G1281" s="4">
        <v>3.49260543786633E-6</v>
      </c>
      <c r="H1281" s="3" t="str">
        <f>"LINC02035"</f>
        <v>LINC02035</v>
      </c>
      <c r="I1281" s="3" t="str">
        <f>"lincRNA"</f>
        <v>lincRNA</v>
      </c>
    </row>
    <row r="1282" spans="1:9" x14ac:dyDescent="0.2">
      <c r="A1282" s="3" t="str">
        <f>"ENSG00000082684.15"</f>
        <v>ENSG00000082684.15</v>
      </c>
      <c r="B1282" s="3">
        <v>5.8007653187875299</v>
      </c>
      <c r="C1282" s="3">
        <v>5.93546411782095</v>
      </c>
      <c r="D1282" s="3">
        <v>1.9704464687610299</v>
      </c>
      <c r="E1282" s="3">
        <v>3.01224327172564</v>
      </c>
      <c r="F1282" s="3">
        <v>2.59324684567092E-3</v>
      </c>
      <c r="G1282" s="3">
        <v>1.00853835004276E-2</v>
      </c>
      <c r="H1282" s="3" t="str">
        <f>"SEMA5B"</f>
        <v>SEMA5B</v>
      </c>
      <c r="I1282" s="3" t="str">
        <f>"protein_coding"</f>
        <v>protein_coding</v>
      </c>
    </row>
    <row r="1283" spans="1:9" x14ac:dyDescent="0.2">
      <c r="A1283" s="3" t="str">
        <f>"ENSG00000121542.12"</f>
        <v>ENSG00000121542.12</v>
      </c>
      <c r="B1283" s="3">
        <v>304.99800530054398</v>
      </c>
      <c r="C1283" s="3">
        <v>1.39251227716398</v>
      </c>
      <c r="D1283" s="3">
        <v>0.271324774870292</v>
      </c>
      <c r="E1283" s="3">
        <v>5.1322710129573599</v>
      </c>
      <c r="F1283" s="4">
        <v>2.8626689939474097E-7</v>
      </c>
      <c r="G1283" s="4">
        <v>2.6877719530697901E-6</v>
      </c>
      <c r="H1283" s="3" t="str">
        <f>"SEC22A"</f>
        <v>SEC22A</v>
      </c>
      <c r="I1283" s="3" t="str">
        <f>"protein_coding"</f>
        <v>protein_coding</v>
      </c>
    </row>
    <row r="1284" spans="1:9" x14ac:dyDescent="0.2">
      <c r="A1284" s="3" t="str">
        <f>"ENSG00000273454.1"</f>
        <v>ENSG00000273454.1</v>
      </c>
      <c r="B1284" s="3">
        <v>10.895351070844701</v>
      </c>
      <c r="C1284" s="3">
        <v>3.2601316201059101</v>
      </c>
      <c r="D1284" s="3">
        <v>1.1938268631925899</v>
      </c>
      <c r="E1284" s="3">
        <v>2.7308244776696502</v>
      </c>
      <c r="F1284" s="3">
        <v>6.3176108392760198E-3</v>
      </c>
      <c r="G1284" s="3">
        <v>2.1622402027101299E-2</v>
      </c>
      <c r="H1284" s="3" t="str">
        <f>"AC112503.2"</f>
        <v>AC112503.2</v>
      </c>
      <c r="I1284" s="3" t="str">
        <f>"lincRNA"</f>
        <v>lincRNA</v>
      </c>
    </row>
    <row r="1285" spans="1:9" x14ac:dyDescent="0.2">
      <c r="A1285" s="3" t="str">
        <f>"ENSG00000206527.10"</f>
        <v>ENSG00000206527.10</v>
      </c>
      <c r="B1285" s="3">
        <v>3070.9087781693402</v>
      </c>
      <c r="C1285" s="3">
        <v>-1.1025029612732</v>
      </c>
      <c r="D1285" s="3">
        <v>0.19343611377626499</v>
      </c>
      <c r="E1285" s="3">
        <v>-5.6995715006371004</v>
      </c>
      <c r="F1285" s="4">
        <v>1.2010894158138399E-8</v>
      </c>
      <c r="G1285" s="4">
        <v>1.4118241291061099E-7</v>
      </c>
      <c r="H1285" s="3" t="str">
        <f>"HACD2"</f>
        <v>HACD2</v>
      </c>
      <c r="I1285" s="3" t="str">
        <f>"protein_coding"</f>
        <v>protein_coding</v>
      </c>
    </row>
    <row r="1286" spans="1:9" x14ac:dyDescent="0.2">
      <c r="A1286" s="3" t="str">
        <f>"ENSG00000065534.18"</f>
        <v>ENSG00000065534.18</v>
      </c>
      <c r="B1286" s="3">
        <v>2045.4473643910101</v>
      </c>
      <c r="C1286" s="3">
        <v>-1.78736549030115</v>
      </c>
      <c r="D1286" s="3">
        <v>0.18471641364331901</v>
      </c>
      <c r="E1286" s="3">
        <v>-9.6762678261634694</v>
      </c>
      <c r="F1286" s="4">
        <v>3.8034774797440902E-22</v>
      </c>
      <c r="G1286" s="4">
        <v>1.73299917877236E-20</v>
      </c>
      <c r="H1286" s="3" t="str">
        <f>"MYLK"</f>
        <v>MYLK</v>
      </c>
      <c r="I1286" s="3" t="str">
        <f>"protein_coding"</f>
        <v>protein_coding</v>
      </c>
    </row>
    <row r="1287" spans="1:9" x14ac:dyDescent="0.2">
      <c r="A1287" s="3" t="str">
        <f>"ENSG00000173702.7"</f>
        <v>ENSG00000173702.7</v>
      </c>
      <c r="B1287" s="3">
        <v>45.872104784901403</v>
      </c>
      <c r="C1287" s="3">
        <v>1.51579614912362</v>
      </c>
      <c r="D1287" s="3">
        <v>0.52168345625572299</v>
      </c>
      <c r="E1287" s="3">
        <v>2.90558600420826</v>
      </c>
      <c r="F1287" s="3">
        <v>3.6656609478795E-3</v>
      </c>
      <c r="G1287" s="3">
        <v>1.36215832264101E-2</v>
      </c>
      <c r="H1287" s="3" t="str">
        <f>"MUC13"</f>
        <v>MUC13</v>
      </c>
      <c r="I1287" s="3" t="str">
        <f>"protein_coding"</f>
        <v>protein_coding</v>
      </c>
    </row>
    <row r="1288" spans="1:9" x14ac:dyDescent="0.2">
      <c r="A1288" s="3" t="str">
        <f>"ENSG00000221955.10"</f>
        <v>ENSG00000221955.10</v>
      </c>
      <c r="B1288" s="3">
        <v>34.359575112173196</v>
      </c>
      <c r="C1288" s="3">
        <v>1.66525428969858</v>
      </c>
      <c r="D1288" s="3">
        <v>0.60845778310668297</v>
      </c>
      <c r="E1288" s="3">
        <v>2.7368444219680699</v>
      </c>
      <c r="F1288" s="3">
        <v>6.2031621826412701E-3</v>
      </c>
      <c r="G1288" s="3">
        <v>2.1299832572583801E-2</v>
      </c>
      <c r="H1288" s="3" t="str">
        <f>"SLC12A8"</f>
        <v>SLC12A8</v>
      </c>
      <c r="I1288" s="3" t="str">
        <f>"protein_coding"</f>
        <v>protein_coding</v>
      </c>
    </row>
    <row r="1289" spans="1:9" x14ac:dyDescent="0.2">
      <c r="A1289" s="3" t="str">
        <f>"ENSG00000241288.7"</f>
        <v>ENSG00000241288.7</v>
      </c>
      <c r="B1289" s="3">
        <v>77.507128427987396</v>
      </c>
      <c r="C1289" s="3">
        <v>2.0328399833886301</v>
      </c>
      <c r="D1289" s="3">
        <v>0.42543479970118903</v>
      </c>
      <c r="E1289" s="3">
        <v>4.7782644598336397</v>
      </c>
      <c r="F1289" s="4">
        <v>1.7681472768771501E-6</v>
      </c>
      <c r="G1289" s="4">
        <v>1.4476174535177801E-5</v>
      </c>
      <c r="H1289" s="3" t="str">
        <f>"LINC02614"</f>
        <v>LINC02614</v>
      </c>
      <c r="I1289" s="3" t="str">
        <f>"processed_transcript"</f>
        <v>processed_transcript</v>
      </c>
    </row>
    <row r="1290" spans="1:9" x14ac:dyDescent="0.2">
      <c r="A1290" s="3" t="str">
        <f>"ENSG00000189366.9"</f>
        <v>ENSG00000189366.9</v>
      </c>
      <c r="B1290" s="3">
        <v>7.2988865752805596</v>
      </c>
      <c r="C1290" s="3">
        <v>3.7286325678223902</v>
      </c>
      <c r="D1290" s="3">
        <v>1.55925272272043</v>
      </c>
      <c r="E1290" s="3">
        <v>2.39129456918121</v>
      </c>
      <c r="F1290" s="3">
        <v>1.6789076612084401E-2</v>
      </c>
      <c r="G1290" s="3">
        <v>4.8930577649958597E-2</v>
      </c>
      <c r="H1290" s="3" t="str">
        <f>"ALG1L"</f>
        <v>ALG1L</v>
      </c>
      <c r="I1290" s="3" t="str">
        <f t="shared" ref="I1290:I1304" si="58">"protein_coding"</f>
        <v>protein_coding</v>
      </c>
    </row>
    <row r="1291" spans="1:9" x14ac:dyDescent="0.2">
      <c r="A1291" s="3" t="str">
        <f>"ENSG00000163884.4"</f>
        <v>ENSG00000163884.4</v>
      </c>
      <c r="B1291" s="3">
        <v>279.034067362146</v>
      </c>
      <c r="C1291" s="3">
        <v>-2.0609575965194198</v>
      </c>
      <c r="D1291" s="3">
        <v>0.28202690816088499</v>
      </c>
      <c r="E1291" s="3">
        <v>-7.3076629813766996</v>
      </c>
      <c r="F1291" s="4">
        <v>2.7182852362854002E-13</v>
      </c>
      <c r="G1291" s="4">
        <v>5.7728073135673001E-12</v>
      </c>
      <c r="H1291" s="3" t="str">
        <f>"KLF15"</f>
        <v>KLF15</v>
      </c>
      <c r="I1291" s="3" t="str">
        <f t="shared" si="58"/>
        <v>protein_coding</v>
      </c>
    </row>
    <row r="1292" spans="1:9" x14ac:dyDescent="0.2">
      <c r="A1292" s="3" t="str">
        <f>"ENSG00000180767.9"</f>
        <v>ENSG00000180767.9</v>
      </c>
      <c r="B1292" s="3">
        <v>904.95121998505897</v>
      </c>
      <c r="C1292" s="3">
        <v>-2.1813891932205198</v>
      </c>
      <c r="D1292" s="3">
        <v>0.21469014406992401</v>
      </c>
      <c r="E1292" s="3">
        <v>-10.160639663598401</v>
      </c>
      <c r="F1292" s="4">
        <v>2.97120638320831E-24</v>
      </c>
      <c r="G1292" s="4">
        <v>1.5568550062168601E-22</v>
      </c>
      <c r="H1292" s="3" t="str">
        <f>"CHST13"</f>
        <v>CHST13</v>
      </c>
      <c r="I1292" s="3" t="str">
        <f t="shared" si="58"/>
        <v>protein_coding</v>
      </c>
    </row>
    <row r="1293" spans="1:9" x14ac:dyDescent="0.2">
      <c r="A1293" s="3" t="str">
        <f>"ENSG00000159685.10"</f>
        <v>ENSG00000159685.10</v>
      </c>
      <c r="B1293" s="3">
        <v>415.871894450036</v>
      </c>
      <c r="C1293" s="3">
        <v>-1.56560774448035</v>
      </c>
      <c r="D1293" s="3">
        <v>0.24233949399871299</v>
      </c>
      <c r="E1293" s="3">
        <v>-6.4603904161352599</v>
      </c>
      <c r="F1293" s="4">
        <v>1.0443319580571701E-10</v>
      </c>
      <c r="G1293" s="4">
        <v>1.6204392289967901E-9</v>
      </c>
      <c r="H1293" s="3" t="str">
        <f>"CHCHD6"</f>
        <v>CHCHD6</v>
      </c>
      <c r="I1293" s="3" t="str">
        <f t="shared" si="58"/>
        <v>protein_coding</v>
      </c>
    </row>
    <row r="1294" spans="1:9" x14ac:dyDescent="0.2">
      <c r="A1294" s="3" t="str">
        <f>"ENSG00000163870.15"</f>
        <v>ENSG00000163870.15</v>
      </c>
      <c r="B1294" s="3">
        <v>496.21569309835502</v>
      </c>
      <c r="C1294" s="3">
        <v>-1.2434041996654599</v>
      </c>
      <c r="D1294" s="3">
        <v>0.260146166499023</v>
      </c>
      <c r="E1294" s="3">
        <v>-4.7796368341646396</v>
      </c>
      <c r="F1294" s="4">
        <v>1.75612118510228E-6</v>
      </c>
      <c r="G1294" s="4">
        <v>1.4386793504925E-5</v>
      </c>
      <c r="H1294" s="3" t="str">
        <f>"TPRA1"</f>
        <v>TPRA1</v>
      </c>
      <c r="I1294" s="3" t="str">
        <f t="shared" si="58"/>
        <v>protein_coding</v>
      </c>
    </row>
    <row r="1295" spans="1:9" x14ac:dyDescent="0.2">
      <c r="A1295" s="3" t="str">
        <f>"ENSG00000073111.14"</f>
        <v>ENSG00000073111.14</v>
      </c>
      <c r="B1295" s="3">
        <v>4801.6939878987096</v>
      </c>
      <c r="C1295" s="3">
        <v>-2.2453674457105399</v>
      </c>
      <c r="D1295" s="3">
        <v>0.247232961740356</v>
      </c>
      <c r="E1295" s="3">
        <v>-9.0819906451981502</v>
      </c>
      <c r="F1295" s="4">
        <v>1.06606937207392E-19</v>
      </c>
      <c r="G1295" s="4">
        <v>3.9954872325856903E-18</v>
      </c>
      <c r="H1295" s="3" t="str">
        <f>"MCM2"</f>
        <v>MCM2</v>
      </c>
      <c r="I1295" s="3" t="str">
        <f t="shared" si="58"/>
        <v>protein_coding</v>
      </c>
    </row>
    <row r="1296" spans="1:9" x14ac:dyDescent="0.2">
      <c r="A1296" s="3" t="str">
        <f>"ENSG00000114631.11"</f>
        <v>ENSG00000114631.11</v>
      </c>
      <c r="B1296" s="3">
        <v>883.22548341031097</v>
      </c>
      <c r="C1296" s="3">
        <v>-1.83135150945852</v>
      </c>
      <c r="D1296" s="3">
        <v>0.223731580958209</v>
      </c>
      <c r="E1296" s="3">
        <v>-8.1854850424563104</v>
      </c>
      <c r="F1296" s="4">
        <v>2.7120907259926399E-16</v>
      </c>
      <c r="G1296" s="4">
        <v>7.6103332658209496E-15</v>
      </c>
      <c r="H1296" s="3" t="str">
        <f>"PODXL2"</f>
        <v>PODXL2</v>
      </c>
      <c r="I1296" s="3" t="str">
        <f t="shared" si="58"/>
        <v>protein_coding</v>
      </c>
    </row>
    <row r="1297" spans="1:9" x14ac:dyDescent="0.2">
      <c r="A1297" s="3" t="str">
        <f>"ENSG00000114626.18"</f>
        <v>ENSG00000114626.18</v>
      </c>
      <c r="B1297" s="3">
        <v>130.531292398738</v>
      </c>
      <c r="C1297" s="3">
        <v>1.73074195752389</v>
      </c>
      <c r="D1297" s="3">
        <v>0.34860278610229201</v>
      </c>
      <c r="E1297" s="3">
        <v>4.9647966870122202</v>
      </c>
      <c r="F1297" s="4">
        <v>6.8773077662984898E-7</v>
      </c>
      <c r="G1297" s="4">
        <v>6.0564319556669403E-6</v>
      </c>
      <c r="H1297" s="3" t="str">
        <f>"ABTB1"</f>
        <v>ABTB1</v>
      </c>
      <c r="I1297" s="3" t="str">
        <f t="shared" si="58"/>
        <v>protein_coding</v>
      </c>
    </row>
    <row r="1298" spans="1:9" x14ac:dyDescent="0.2">
      <c r="A1298" s="3" t="str">
        <f>"ENSG00000114656.11"</f>
        <v>ENSG00000114656.11</v>
      </c>
      <c r="B1298" s="3">
        <v>43.479707839820698</v>
      </c>
      <c r="C1298" s="3">
        <v>2.38642743963501</v>
      </c>
      <c r="D1298" s="3">
        <v>0.57080430421461303</v>
      </c>
      <c r="E1298" s="3">
        <v>4.1808154248566396</v>
      </c>
      <c r="F1298" s="4">
        <v>2.9046557630150801E-5</v>
      </c>
      <c r="G1298" s="3">
        <v>1.86834644888744E-4</v>
      </c>
      <c r="H1298" s="3" t="str">
        <f>"KIAA1257"</f>
        <v>KIAA1257</v>
      </c>
      <c r="I1298" s="3" t="str">
        <f t="shared" si="58"/>
        <v>protein_coding</v>
      </c>
    </row>
    <row r="1299" spans="1:9" x14ac:dyDescent="0.2">
      <c r="A1299" s="3" t="str">
        <f>"ENSG00000172780.16"</f>
        <v>ENSG00000172780.16</v>
      </c>
      <c r="B1299" s="3">
        <v>224.955905173274</v>
      </c>
      <c r="C1299" s="3">
        <v>1.14337872328214</v>
      </c>
      <c r="D1299" s="3">
        <v>0.30346214797226301</v>
      </c>
      <c r="E1299" s="3">
        <v>3.7677803670810701</v>
      </c>
      <c r="F1299" s="3">
        <v>1.6470551274327201E-4</v>
      </c>
      <c r="G1299" s="3">
        <v>8.9682875813667997E-4</v>
      </c>
      <c r="H1299" s="3" t="str">
        <f>"RAB43"</f>
        <v>RAB43</v>
      </c>
      <c r="I1299" s="3" t="str">
        <f t="shared" si="58"/>
        <v>protein_coding</v>
      </c>
    </row>
    <row r="1300" spans="1:9" x14ac:dyDescent="0.2">
      <c r="A1300" s="3" t="str">
        <f>"ENSG00000184897.6"</f>
        <v>ENSG00000184897.6</v>
      </c>
      <c r="B1300" s="3">
        <v>1314.2049707262499</v>
      </c>
      <c r="C1300" s="3">
        <v>-1.0605720408535</v>
      </c>
      <c r="D1300" s="3">
        <v>0.19989724960412</v>
      </c>
      <c r="E1300" s="3">
        <v>-5.3055859595561197</v>
      </c>
      <c r="F1300" s="4">
        <v>1.1231162574649101E-7</v>
      </c>
      <c r="G1300" s="4">
        <v>1.13171407792701E-6</v>
      </c>
      <c r="H1300" s="3" t="str">
        <f>"H1FX"</f>
        <v>H1FX</v>
      </c>
      <c r="I1300" s="3" t="str">
        <f t="shared" si="58"/>
        <v>protein_coding</v>
      </c>
    </row>
    <row r="1301" spans="1:9" x14ac:dyDescent="0.2">
      <c r="A1301" s="3" t="str">
        <f>"ENSG00000172771.12"</f>
        <v>ENSG00000172771.12</v>
      </c>
      <c r="B1301" s="3">
        <v>60.820339658013097</v>
      </c>
      <c r="C1301" s="3">
        <v>-1.6414548897933401</v>
      </c>
      <c r="D1301" s="3">
        <v>0.478132307509543</v>
      </c>
      <c r="E1301" s="3">
        <v>-3.43305579650792</v>
      </c>
      <c r="F1301" s="3">
        <v>5.9681926383916596E-4</v>
      </c>
      <c r="G1301" s="3">
        <v>2.8017805792256599E-3</v>
      </c>
      <c r="H1301" s="3" t="str">
        <f>"EFCAB12"</f>
        <v>EFCAB12</v>
      </c>
      <c r="I1301" s="3" t="str">
        <f t="shared" si="58"/>
        <v>protein_coding</v>
      </c>
    </row>
    <row r="1302" spans="1:9" x14ac:dyDescent="0.2">
      <c r="A1302" s="3" t="str">
        <f>"ENSG00000004399.12"</f>
        <v>ENSG00000004399.12</v>
      </c>
      <c r="B1302" s="3">
        <v>6143.80521682368</v>
      </c>
      <c r="C1302" s="3">
        <v>-1.3295616605819101</v>
      </c>
      <c r="D1302" s="3">
        <v>0.19846103932419701</v>
      </c>
      <c r="E1302" s="3">
        <v>-6.6993585497151296</v>
      </c>
      <c r="F1302" s="4">
        <v>2.0933638695144998E-11</v>
      </c>
      <c r="G1302" s="4">
        <v>3.5604173129002202E-10</v>
      </c>
      <c r="H1302" s="3" t="str">
        <f>"PLXND1"</f>
        <v>PLXND1</v>
      </c>
      <c r="I1302" s="3" t="str">
        <f t="shared" si="58"/>
        <v>protein_coding</v>
      </c>
    </row>
    <row r="1303" spans="1:9" x14ac:dyDescent="0.2">
      <c r="A1303" s="3" t="str">
        <f>"ENSG00000172765.17"</f>
        <v>ENSG00000172765.17</v>
      </c>
      <c r="B1303" s="3">
        <v>2269.0844268105898</v>
      </c>
      <c r="C1303" s="3">
        <v>-1.5154653040766799</v>
      </c>
      <c r="D1303" s="3">
        <v>0.183616377605168</v>
      </c>
      <c r="E1303" s="3">
        <v>-8.2534320949049107</v>
      </c>
      <c r="F1303" s="4">
        <v>1.5390934040726999E-16</v>
      </c>
      <c r="G1303" s="4">
        <v>4.4189334015562502E-15</v>
      </c>
      <c r="H1303" s="3" t="str">
        <f>"TMCC1"</f>
        <v>TMCC1</v>
      </c>
      <c r="I1303" s="3" t="str">
        <f t="shared" si="58"/>
        <v>protein_coding</v>
      </c>
    </row>
    <row r="1304" spans="1:9" x14ac:dyDescent="0.2">
      <c r="A1304" s="3" t="str">
        <f>"ENSG00000251287.8"</f>
        <v>ENSG00000251287.8</v>
      </c>
      <c r="B1304" s="3">
        <v>42.704296481969003</v>
      </c>
      <c r="C1304" s="3">
        <v>3.43520486094146</v>
      </c>
      <c r="D1304" s="3">
        <v>0.626952963447995</v>
      </c>
      <c r="E1304" s="3">
        <v>5.4792066729363302</v>
      </c>
      <c r="F1304" s="4">
        <v>4.2723708885426097E-8</v>
      </c>
      <c r="G1304" s="4">
        <v>4.6322837087194801E-7</v>
      </c>
      <c r="H1304" s="3" t="str">
        <f>"ALG1L2"</f>
        <v>ALG1L2</v>
      </c>
      <c r="I1304" s="3" t="str">
        <f t="shared" si="58"/>
        <v>protein_coding</v>
      </c>
    </row>
    <row r="1305" spans="1:9" x14ac:dyDescent="0.2">
      <c r="A1305" s="3" t="str">
        <f>"ENSG00000248243.1"</f>
        <v>ENSG00000248243.1</v>
      </c>
      <c r="B1305" s="3">
        <v>172.60646271596499</v>
      </c>
      <c r="C1305" s="3">
        <v>7.7926197504998997</v>
      </c>
      <c r="D1305" s="3">
        <v>0.88492266783053797</v>
      </c>
      <c r="E1305" s="3">
        <v>8.8059895330788205</v>
      </c>
      <c r="F1305" s="4">
        <v>1.2970315017715E-18</v>
      </c>
      <c r="G1305" s="4">
        <v>4.4230559860785997E-17</v>
      </c>
      <c r="H1305" s="3" t="str">
        <f>"LINC02014"</f>
        <v>LINC02014</v>
      </c>
      <c r="I1305" s="3" t="str">
        <f>"lincRNA"</f>
        <v>lincRNA</v>
      </c>
    </row>
    <row r="1306" spans="1:9" x14ac:dyDescent="0.2">
      <c r="A1306" s="3" t="str">
        <f>"ENSG00000253540.5"</f>
        <v>ENSG00000253540.5</v>
      </c>
      <c r="B1306" s="3">
        <v>119.13430522876099</v>
      </c>
      <c r="C1306" s="3">
        <v>1.1962850287057301</v>
      </c>
      <c r="D1306" s="3">
        <v>0.35392431067438901</v>
      </c>
      <c r="E1306" s="3">
        <v>3.3800589352741901</v>
      </c>
      <c r="F1306" s="3">
        <v>7.2470288226376403E-4</v>
      </c>
      <c r="G1306" s="3">
        <v>3.3388534719379099E-3</v>
      </c>
      <c r="H1306" s="3" t="str">
        <f>"FAM86HP"</f>
        <v>FAM86HP</v>
      </c>
      <c r="I1306" s="3" t="str">
        <f>"transcribed_unprocessed_pseudogene"</f>
        <v>transcribed_unprocessed_pseudogene</v>
      </c>
    </row>
    <row r="1307" spans="1:9" x14ac:dyDescent="0.2">
      <c r="A1307" s="3" t="str">
        <f>"ENSG00000228252.9"</f>
        <v>ENSG00000228252.9</v>
      </c>
      <c r="B1307" s="3">
        <v>6.1661521572278399</v>
      </c>
      <c r="C1307" s="3">
        <v>6.0207072949405402</v>
      </c>
      <c r="D1307" s="3">
        <v>1.93317068918253</v>
      </c>
      <c r="E1307" s="3">
        <v>3.11442095032307</v>
      </c>
      <c r="F1307" s="3">
        <v>1.84306335590704E-3</v>
      </c>
      <c r="G1307" s="3">
        <v>7.5120339952728498E-3</v>
      </c>
      <c r="H1307" s="3" t="str">
        <f>"COL6A4P2"</f>
        <v>COL6A4P2</v>
      </c>
      <c r="I1307" s="3" t="str">
        <f>"transcribed_unitary_pseudogene"</f>
        <v>transcribed_unitary_pseudogene</v>
      </c>
    </row>
    <row r="1308" spans="1:9" x14ac:dyDescent="0.2">
      <c r="A1308" s="3" t="str">
        <f>"ENSG00000172752.14"</f>
        <v>ENSG00000172752.14</v>
      </c>
      <c r="B1308" s="3">
        <v>9.1375081310486408</v>
      </c>
      <c r="C1308" s="3">
        <v>6.5863269429523701</v>
      </c>
      <c r="D1308" s="3">
        <v>1.79353052999688</v>
      </c>
      <c r="E1308" s="3">
        <v>3.6722692102508199</v>
      </c>
      <c r="F1308" s="3">
        <v>2.4040623147508999E-4</v>
      </c>
      <c r="G1308" s="3">
        <v>1.2514995393583801E-3</v>
      </c>
      <c r="H1308" s="3" t="str">
        <f>"COL6A5"</f>
        <v>COL6A5</v>
      </c>
      <c r="I1308" s="3" t="str">
        <f t="shared" ref="I1308:I1313" si="59">"protein_coding"</f>
        <v>protein_coding</v>
      </c>
    </row>
    <row r="1309" spans="1:9" x14ac:dyDescent="0.2">
      <c r="A1309" s="3" t="str">
        <f>"ENSG00000206384.10"</f>
        <v>ENSG00000206384.10</v>
      </c>
      <c r="B1309" s="3">
        <v>18.7638973067173</v>
      </c>
      <c r="C1309" s="3">
        <v>5.1361473686723498</v>
      </c>
      <c r="D1309" s="3">
        <v>1.26574557375986</v>
      </c>
      <c r="E1309" s="3">
        <v>4.0578039340209404</v>
      </c>
      <c r="F1309" s="4">
        <v>4.9536327607728497E-5</v>
      </c>
      <c r="G1309" s="3">
        <v>3.03936427025082E-4</v>
      </c>
      <c r="H1309" s="3" t="str">
        <f>"COL6A6"</f>
        <v>COL6A6</v>
      </c>
      <c r="I1309" s="3" t="str">
        <f t="shared" si="59"/>
        <v>protein_coding</v>
      </c>
    </row>
    <row r="1310" spans="1:9" x14ac:dyDescent="0.2">
      <c r="A1310" s="3" t="str">
        <f>"ENSG00000114670.14"</f>
        <v>ENSG00000114670.14</v>
      </c>
      <c r="B1310" s="3">
        <v>113.665056878713</v>
      </c>
      <c r="C1310" s="3">
        <v>1.4482313502835999</v>
      </c>
      <c r="D1310" s="3">
        <v>0.36037204592760502</v>
      </c>
      <c r="E1310" s="3">
        <v>4.0187116804685097</v>
      </c>
      <c r="F1310" s="4">
        <v>5.8517223463912599E-5</v>
      </c>
      <c r="G1310" s="3">
        <v>3.5337295827154801E-4</v>
      </c>
      <c r="H1310" s="3" t="str">
        <f>"NEK11"</f>
        <v>NEK11</v>
      </c>
      <c r="I1310" s="3" t="str">
        <f t="shared" si="59"/>
        <v>protein_coding</v>
      </c>
    </row>
    <row r="1311" spans="1:9" x14ac:dyDescent="0.2">
      <c r="A1311" s="3" t="str">
        <f>"ENSG00000198585.11"</f>
        <v>ENSG00000198585.11</v>
      </c>
      <c r="B1311" s="3">
        <v>639.05540877950398</v>
      </c>
      <c r="C1311" s="3">
        <v>-1.4156515506284</v>
      </c>
      <c r="D1311" s="3">
        <v>0.21914781244121001</v>
      </c>
      <c r="E1311" s="3">
        <v>-6.4598023355043797</v>
      </c>
      <c r="F1311" s="4">
        <v>1.04839831036481E-10</v>
      </c>
      <c r="G1311" s="4">
        <v>1.62397434693065E-9</v>
      </c>
      <c r="H1311" s="3" t="str">
        <f>"NUDT16"</f>
        <v>NUDT16</v>
      </c>
      <c r="I1311" s="3" t="str">
        <f t="shared" si="59"/>
        <v>protein_coding</v>
      </c>
    </row>
    <row r="1312" spans="1:9" x14ac:dyDescent="0.2">
      <c r="A1312" s="3" t="str">
        <f>"ENSG00000114686.9"</f>
        <v>ENSG00000114686.9</v>
      </c>
      <c r="B1312" s="3">
        <v>3092.0431902012801</v>
      </c>
      <c r="C1312" s="3">
        <v>-1.2029650485228001</v>
      </c>
      <c r="D1312" s="3">
        <v>0.17684909711511199</v>
      </c>
      <c r="E1312" s="3">
        <v>-6.8022119883359196</v>
      </c>
      <c r="F1312" s="4">
        <v>1.0302484375058999E-11</v>
      </c>
      <c r="G1312" s="4">
        <v>1.8204396353257599E-10</v>
      </c>
      <c r="H1312" s="3" t="str">
        <f>"MRPL3"</f>
        <v>MRPL3</v>
      </c>
      <c r="I1312" s="3" t="str">
        <f t="shared" si="59"/>
        <v>protein_coding</v>
      </c>
    </row>
    <row r="1313" spans="1:9" x14ac:dyDescent="0.2">
      <c r="A1313" s="3" t="str">
        <f>"ENSG00000196353.11"</f>
        <v>ENSG00000196353.11</v>
      </c>
      <c r="B1313" s="3">
        <v>5.9819558428212396</v>
      </c>
      <c r="C1313" s="3">
        <v>5.9757714752725404</v>
      </c>
      <c r="D1313" s="3">
        <v>1.9478131524890001</v>
      </c>
      <c r="E1313" s="3">
        <v>3.0679387638575299</v>
      </c>
      <c r="F1313" s="3">
        <v>2.15540781510168E-3</v>
      </c>
      <c r="G1313" s="3">
        <v>8.5973351980786605E-3</v>
      </c>
      <c r="H1313" s="3" t="str">
        <f>"CPNE4"</f>
        <v>CPNE4</v>
      </c>
      <c r="I1313" s="3" t="str">
        <f t="shared" si="59"/>
        <v>protein_coding</v>
      </c>
    </row>
    <row r="1314" spans="1:9" x14ac:dyDescent="0.2">
      <c r="A1314" s="3" t="str">
        <f>"ENSG00000251614.1"</f>
        <v>ENSG00000251614.1</v>
      </c>
      <c r="B1314" s="3">
        <v>3.7081412314472102</v>
      </c>
      <c r="C1314" s="3">
        <v>5.2900887480517502</v>
      </c>
      <c r="D1314" s="3">
        <v>2.20912909971939</v>
      </c>
      <c r="E1314" s="3">
        <v>2.39464898123143</v>
      </c>
      <c r="F1314" s="3">
        <v>1.66362833632147E-2</v>
      </c>
      <c r="G1314" s="3">
        <v>4.8568393099487003E-2</v>
      </c>
      <c r="H1314" s="3" t="str">
        <f>"HSPA8P19"</f>
        <v>HSPA8P19</v>
      </c>
      <c r="I1314" s="3" t="str">
        <f>"processed_pseudogene"</f>
        <v>processed_pseudogene</v>
      </c>
    </row>
    <row r="1315" spans="1:9" x14ac:dyDescent="0.2">
      <c r="A1315" s="3" t="str">
        <f>"ENSG00000144868.13"</f>
        <v>ENSG00000144868.13</v>
      </c>
      <c r="B1315" s="3">
        <v>5.0307477467272701</v>
      </c>
      <c r="C1315" s="3">
        <v>5.7317796925980504</v>
      </c>
      <c r="D1315" s="3">
        <v>2.05778837501515</v>
      </c>
      <c r="E1315" s="3">
        <v>2.78540775241567</v>
      </c>
      <c r="F1315" s="3">
        <v>5.3460449078456497E-3</v>
      </c>
      <c r="G1315" s="3">
        <v>1.87831960804733E-2</v>
      </c>
      <c r="H1315" s="3" t="str">
        <f>"TMEM108"</f>
        <v>TMEM108</v>
      </c>
      <c r="I1315" s="3" t="str">
        <f>"protein_coding"</f>
        <v>protein_coding</v>
      </c>
    </row>
    <row r="1316" spans="1:9" x14ac:dyDescent="0.2">
      <c r="A1316" s="3" t="str">
        <f>"ENSG00000091513.16"</f>
        <v>ENSG00000091513.16</v>
      </c>
      <c r="B1316" s="3">
        <v>94120.746876767007</v>
      </c>
      <c r="C1316" s="3">
        <v>-1.0012060815649699</v>
      </c>
      <c r="D1316" s="3">
        <v>0.22402567330442899</v>
      </c>
      <c r="E1316" s="3">
        <v>-4.4691577835564704</v>
      </c>
      <c r="F1316" s="4">
        <v>7.8528188856676003E-6</v>
      </c>
      <c r="G1316" s="4">
        <v>5.6966388758728703E-5</v>
      </c>
      <c r="H1316" s="3" t="str">
        <f>"TF"</f>
        <v>TF</v>
      </c>
      <c r="I1316" s="3" t="str">
        <f>"protein_coding"</f>
        <v>protein_coding</v>
      </c>
    </row>
    <row r="1317" spans="1:9" x14ac:dyDescent="0.2">
      <c r="A1317" s="3" t="str">
        <f>"ENSG00000244062.1"</f>
        <v>ENSG00000244062.1</v>
      </c>
      <c r="B1317" s="3">
        <v>590.37761032658</v>
      </c>
      <c r="C1317" s="3">
        <v>-3.3992369499833699</v>
      </c>
      <c r="D1317" s="3">
        <v>0.28847659015451999</v>
      </c>
      <c r="E1317" s="3">
        <v>-11.783406577853</v>
      </c>
      <c r="F1317" s="4">
        <v>4.7532434616012502E-32</v>
      </c>
      <c r="G1317" s="4">
        <v>4.1913147119174497E-30</v>
      </c>
      <c r="H1317" s="3" t="str">
        <f>"AC080128.1"</f>
        <v>AC080128.1</v>
      </c>
      <c r="I1317" s="3" t="str">
        <f>"processed_pseudogene"</f>
        <v>processed_pseudogene</v>
      </c>
    </row>
    <row r="1318" spans="1:9" x14ac:dyDescent="0.2">
      <c r="A1318" s="3" t="str">
        <f>"ENSG00000144867.11"</f>
        <v>ENSG00000144867.11</v>
      </c>
      <c r="B1318" s="3">
        <v>1400.57463847038</v>
      </c>
      <c r="C1318" s="3">
        <v>-1.1912849313620999</v>
      </c>
      <c r="D1318" s="3">
        <v>0.19305536674938401</v>
      </c>
      <c r="E1318" s="3">
        <v>-6.1706905714181399</v>
      </c>
      <c r="F1318" s="4">
        <v>6.7992369354123595E-10</v>
      </c>
      <c r="G1318" s="4">
        <v>9.4423449938420294E-9</v>
      </c>
      <c r="H1318" s="3" t="str">
        <f>"SRPRB"</f>
        <v>SRPRB</v>
      </c>
      <c r="I1318" s="3" t="str">
        <f t="shared" ref="I1318:I1327" si="60">"protein_coding"</f>
        <v>protein_coding</v>
      </c>
    </row>
    <row r="1319" spans="1:9" x14ac:dyDescent="0.2">
      <c r="A1319" s="3" t="str">
        <f>"ENSG00000154917.11"</f>
        <v>ENSG00000154917.11</v>
      </c>
      <c r="B1319" s="3">
        <v>26.7841280840004</v>
      </c>
      <c r="C1319" s="3">
        <v>2.7984483744295701</v>
      </c>
      <c r="D1319" s="3">
        <v>0.73537343960377699</v>
      </c>
      <c r="E1319" s="3">
        <v>3.80547926226081</v>
      </c>
      <c r="F1319" s="3">
        <v>1.41529872807524E-4</v>
      </c>
      <c r="G1319" s="3">
        <v>7.8236243546086299E-4</v>
      </c>
      <c r="H1319" s="3" t="str">
        <f>"RAB6B"</f>
        <v>RAB6B</v>
      </c>
      <c r="I1319" s="3" t="str">
        <f t="shared" si="60"/>
        <v>protein_coding</v>
      </c>
    </row>
    <row r="1320" spans="1:9" x14ac:dyDescent="0.2">
      <c r="A1320" s="3" t="str">
        <f>"ENSG00000073711.11"</f>
        <v>ENSG00000073711.11</v>
      </c>
      <c r="B1320" s="3">
        <v>68.229088310311198</v>
      </c>
      <c r="C1320" s="3">
        <v>2.17521032271411</v>
      </c>
      <c r="D1320" s="3">
        <v>0.48250981636991003</v>
      </c>
      <c r="E1320" s="3">
        <v>4.5081162059644297</v>
      </c>
      <c r="F1320" s="4">
        <v>6.5405752138990301E-6</v>
      </c>
      <c r="G1320" s="4">
        <v>4.8230325535347001E-5</v>
      </c>
      <c r="H1320" s="3" t="str">
        <f>"PPP2R3A"</f>
        <v>PPP2R3A</v>
      </c>
      <c r="I1320" s="3" t="str">
        <f t="shared" si="60"/>
        <v>protein_coding</v>
      </c>
    </row>
    <row r="1321" spans="1:9" x14ac:dyDescent="0.2">
      <c r="A1321" s="3" t="str">
        <f>"ENSG00000118007.13"</f>
        <v>ENSG00000118007.13</v>
      </c>
      <c r="B1321" s="3">
        <v>1626.0930226088001</v>
      </c>
      <c r="C1321" s="3">
        <v>-1.13748568000465</v>
      </c>
      <c r="D1321" s="3">
        <v>0.18458321248006401</v>
      </c>
      <c r="E1321" s="3">
        <v>-6.16245467137216</v>
      </c>
      <c r="F1321" s="4">
        <v>7.1625837995796701E-10</v>
      </c>
      <c r="G1321" s="4">
        <v>9.9266999383086107E-9</v>
      </c>
      <c r="H1321" s="3" t="str">
        <f>"STAG1"</f>
        <v>STAG1</v>
      </c>
      <c r="I1321" s="3" t="str">
        <f t="shared" si="60"/>
        <v>protein_coding</v>
      </c>
    </row>
    <row r="1322" spans="1:9" x14ac:dyDescent="0.2">
      <c r="A1322" s="3" t="str">
        <f>"ENSG00000168917.9"</f>
        <v>ENSG00000168917.9</v>
      </c>
      <c r="B1322" s="3">
        <v>800.781250234666</v>
      </c>
      <c r="C1322" s="3">
        <v>1.6039270157865599</v>
      </c>
      <c r="D1322" s="3">
        <v>0.20354587334899399</v>
      </c>
      <c r="E1322" s="3">
        <v>7.8799289290258097</v>
      </c>
      <c r="F1322" s="4">
        <v>3.2756734197877601E-15</v>
      </c>
      <c r="G1322" s="4">
        <v>8.3257717974773501E-14</v>
      </c>
      <c r="H1322" s="3" t="str">
        <f>"SLC35G2"</f>
        <v>SLC35G2</v>
      </c>
      <c r="I1322" s="3" t="str">
        <f t="shared" si="60"/>
        <v>protein_coding</v>
      </c>
    </row>
    <row r="1323" spans="1:9" x14ac:dyDescent="0.2">
      <c r="A1323" s="3" t="str">
        <f>"ENSG00000066405.13"</f>
        <v>ENSG00000066405.13</v>
      </c>
      <c r="B1323" s="3">
        <v>9.5028949694889508</v>
      </c>
      <c r="C1323" s="3">
        <v>6.6413066223502</v>
      </c>
      <c r="D1323" s="3">
        <v>1.79369484842161</v>
      </c>
      <c r="E1323" s="3">
        <v>3.7025844324603701</v>
      </c>
      <c r="F1323" s="3">
        <v>2.1341430191571301E-4</v>
      </c>
      <c r="G1323" s="3">
        <v>1.12932598257864E-3</v>
      </c>
      <c r="H1323" s="3" t="str">
        <f>"CLDN18"</f>
        <v>CLDN18</v>
      </c>
      <c r="I1323" s="3" t="str">
        <f t="shared" si="60"/>
        <v>protein_coding</v>
      </c>
    </row>
    <row r="1324" spans="1:9" x14ac:dyDescent="0.2">
      <c r="A1324" s="3" t="str">
        <f>"ENSG00000158220.14"</f>
        <v>ENSG00000158220.14</v>
      </c>
      <c r="B1324" s="3">
        <v>362.29322258638399</v>
      </c>
      <c r="C1324" s="3">
        <v>-1.1399279158043401</v>
      </c>
      <c r="D1324" s="3">
        <v>0.241309302426301</v>
      </c>
      <c r="E1324" s="3">
        <v>-4.7239286025970504</v>
      </c>
      <c r="F1324" s="4">
        <v>2.3133166115178702E-6</v>
      </c>
      <c r="G1324" s="4">
        <v>1.8571283946384101E-5</v>
      </c>
      <c r="H1324" s="3" t="str">
        <f>"ESYT3"</f>
        <v>ESYT3</v>
      </c>
      <c r="I1324" s="3" t="str">
        <f t="shared" si="60"/>
        <v>protein_coding</v>
      </c>
    </row>
    <row r="1325" spans="1:9" x14ac:dyDescent="0.2">
      <c r="A1325" s="3" t="str">
        <f>"ENSG00000206262.9"</f>
        <v>ENSG00000206262.9</v>
      </c>
      <c r="B1325" s="3">
        <v>7.56428404140431</v>
      </c>
      <c r="C1325" s="3">
        <v>3.7723966223521002</v>
      </c>
      <c r="D1325" s="3">
        <v>1.50666124825488</v>
      </c>
      <c r="E1325" s="3">
        <v>2.50381207236966</v>
      </c>
      <c r="F1325" s="3">
        <v>1.22863274533834E-2</v>
      </c>
      <c r="G1325" s="3">
        <v>3.7758353724603698E-2</v>
      </c>
      <c r="H1325" s="3" t="str">
        <f>"FOXL2NB"</f>
        <v>FOXL2NB</v>
      </c>
      <c r="I1325" s="3" t="str">
        <f t="shared" si="60"/>
        <v>protein_coding</v>
      </c>
    </row>
    <row r="1326" spans="1:9" x14ac:dyDescent="0.2">
      <c r="A1326" s="3" t="str">
        <f>"ENSG00000114115.9"</f>
        <v>ENSG00000114115.9</v>
      </c>
      <c r="B1326" s="3">
        <v>881.01507961480002</v>
      </c>
      <c r="C1326" s="3">
        <v>1.7222584339437299</v>
      </c>
      <c r="D1326" s="3">
        <v>0.212820731298381</v>
      </c>
      <c r="E1326" s="3">
        <v>8.0925313217210899</v>
      </c>
      <c r="F1326" s="4">
        <v>5.84373679295831E-16</v>
      </c>
      <c r="G1326" s="4">
        <v>1.5906523116656899E-14</v>
      </c>
      <c r="H1326" s="3" t="str">
        <f>"RBP1"</f>
        <v>RBP1</v>
      </c>
      <c r="I1326" s="3" t="str">
        <f t="shared" si="60"/>
        <v>protein_coding</v>
      </c>
    </row>
    <row r="1327" spans="1:9" x14ac:dyDescent="0.2">
      <c r="A1327" s="3" t="str">
        <f>"ENSG00000158258.16"</f>
        <v>ENSG00000158258.16</v>
      </c>
      <c r="B1327" s="3">
        <v>22.568978751198099</v>
      </c>
      <c r="C1327" s="3">
        <v>7.8910546208409604</v>
      </c>
      <c r="D1327" s="3">
        <v>1.5998237473485299</v>
      </c>
      <c r="E1327" s="3">
        <v>4.9324524866687502</v>
      </c>
      <c r="F1327" s="4">
        <v>8.1203536168932597E-7</v>
      </c>
      <c r="G1327" s="4">
        <v>7.0733783567612096E-6</v>
      </c>
      <c r="H1327" s="3" t="str">
        <f>"CLSTN2"</f>
        <v>CLSTN2</v>
      </c>
      <c r="I1327" s="3" t="str">
        <f t="shared" si="60"/>
        <v>protein_coding</v>
      </c>
    </row>
    <row r="1328" spans="1:9" x14ac:dyDescent="0.2">
      <c r="A1328" s="3" t="str">
        <f>"ENSG00000279147.1"</f>
        <v>ENSG00000279147.1</v>
      </c>
      <c r="B1328" s="3">
        <v>6.6622745975965101</v>
      </c>
      <c r="C1328" s="3">
        <v>-4.7725543739196201</v>
      </c>
      <c r="D1328" s="3">
        <v>1.8635473731035901</v>
      </c>
      <c r="E1328" s="3">
        <v>-2.5610051253869099</v>
      </c>
      <c r="F1328" s="3">
        <v>1.0436981642262999E-2</v>
      </c>
      <c r="G1328" s="3">
        <v>3.2997962265808901E-2</v>
      </c>
      <c r="H1328" s="3" t="str">
        <f>"AC112504.1"</f>
        <v>AC112504.1</v>
      </c>
      <c r="I1328" s="3" t="str">
        <f>"TEC"</f>
        <v>TEC</v>
      </c>
    </row>
    <row r="1329" spans="1:9" x14ac:dyDescent="0.2">
      <c r="A1329" s="3" t="str">
        <f>"ENSG00000114126.17"</f>
        <v>ENSG00000114126.17</v>
      </c>
      <c r="B1329" s="3">
        <v>1352.91337196423</v>
      </c>
      <c r="C1329" s="3">
        <v>-1.62348499780953</v>
      </c>
      <c r="D1329" s="3">
        <v>0.195988956926064</v>
      </c>
      <c r="E1329" s="3">
        <v>-8.2835534372581101</v>
      </c>
      <c r="F1329" s="4">
        <v>1.19553292708491E-16</v>
      </c>
      <c r="G1329" s="4">
        <v>3.4617094223467E-15</v>
      </c>
      <c r="H1329" s="3" t="str">
        <f>"TFDP2"</f>
        <v>TFDP2</v>
      </c>
      <c r="I1329" s="3" t="str">
        <f t="shared" ref="I1329:I1334" si="61">"protein_coding"</f>
        <v>protein_coding</v>
      </c>
    </row>
    <row r="1330" spans="1:9" x14ac:dyDescent="0.2">
      <c r="A1330" s="3" t="str">
        <f>"ENSG00000175066.16"</f>
        <v>ENSG00000175066.16</v>
      </c>
      <c r="B1330" s="3">
        <v>653.99543212722597</v>
      </c>
      <c r="C1330" s="3">
        <v>-1.1249587722619601</v>
      </c>
      <c r="D1330" s="3">
        <v>0.21955927057149099</v>
      </c>
      <c r="E1330" s="3">
        <v>-5.1237133796892396</v>
      </c>
      <c r="F1330" s="4">
        <v>2.9957626641031699E-7</v>
      </c>
      <c r="G1330" s="4">
        <v>2.8050015570040902E-6</v>
      </c>
      <c r="H1330" s="3" t="str">
        <f>"GK5"</f>
        <v>GK5</v>
      </c>
      <c r="I1330" s="3" t="str">
        <f t="shared" si="61"/>
        <v>protein_coding</v>
      </c>
    </row>
    <row r="1331" spans="1:9" x14ac:dyDescent="0.2">
      <c r="A1331" s="3" t="str">
        <f>"ENSG00000120756.13"</f>
        <v>ENSG00000120756.13</v>
      </c>
      <c r="B1331" s="3">
        <v>585.06959109123898</v>
      </c>
      <c r="C1331" s="3">
        <v>-1.1357480632694199</v>
      </c>
      <c r="D1331" s="3">
        <v>0.227065876964059</v>
      </c>
      <c r="E1331" s="3">
        <v>-5.0018438633524402</v>
      </c>
      <c r="F1331" s="4">
        <v>5.6784572708198596E-7</v>
      </c>
      <c r="G1331" s="4">
        <v>5.0645147383970097E-6</v>
      </c>
      <c r="H1331" s="3" t="str">
        <f>"PLS1"</f>
        <v>PLS1</v>
      </c>
      <c r="I1331" s="3" t="str">
        <f t="shared" si="61"/>
        <v>protein_coding</v>
      </c>
    </row>
    <row r="1332" spans="1:9" x14ac:dyDescent="0.2">
      <c r="A1332" s="3" t="str">
        <f>"ENSG00000163710.9"</f>
        <v>ENSG00000163710.9</v>
      </c>
      <c r="B1332" s="3">
        <v>17.0602082605904</v>
      </c>
      <c r="C1332" s="3">
        <v>3.3067674827995099</v>
      </c>
      <c r="D1332" s="3">
        <v>1.0437509502284299</v>
      </c>
      <c r="E1332" s="3">
        <v>3.1681575782764999</v>
      </c>
      <c r="F1332" s="3">
        <v>1.5340834608836001E-3</v>
      </c>
      <c r="G1332" s="3">
        <v>6.4020787346753504E-3</v>
      </c>
      <c r="H1332" s="3" t="str">
        <f>"PCOLCE2"</f>
        <v>PCOLCE2</v>
      </c>
      <c r="I1332" s="3" t="str">
        <f t="shared" si="61"/>
        <v>protein_coding</v>
      </c>
    </row>
    <row r="1333" spans="1:9" x14ac:dyDescent="0.2">
      <c r="A1333" s="3" t="str">
        <f>"ENSG00000188582.8"</f>
        <v>ENSG00000188582.8</v>
      </c>
      <c r="B1333" s="3">
        <v>100.279676373993</v>
      </c>
      <c r="C1333" s="3">
        <v>1.24924471792657</v>
      </c>
      <c r="D1333" s="3">
        <v>0.37749478754209698</v>
      </c>
      <c r="E1333" s="3">
        <v>3.3093032252458801</v>
      </c>
      <c r="F1333" s="3">
        <v>9.35284838012414E-4</v>
      </c>
      <c r="G1333" s="3">
        <v>4.1612844515552302E-3</v>
      </c>
      <c r="H1333" s="3" t="str">
        <f>"PAQR9"</f>
        <v>PAQR9</v>
      </c>
      <c r="I1333" s="3" t="str">
        <f t="shared" si="61"/>
        <v>protein_coding</v>
      </c>
    </row>
    <row r="1334" spans="1:9" x14ac:dyDescent="0.2">
      <c r="A1334" s="3" t="str">
        <f>"ENSG00000181804.15"</f>
        <v>ENSG00000181804.15</v>
      </c>
      <c r="B1334" s="3">
        <v>5.1364562707746</v>
      </c>
      <c r="C1334" s="3">
        <v>5.7531737618863001</v>
      </c>
      <c r="D1334" s="3">
        <v>2.0366314197419402</v>
      </c>
      <c r="E1334" s="3">
        <v>2.8248477884207799</v>
      </c>
      <c r="F1334" s="3">
        <v>4.7303081241233903E-3</v>
      </c>
      <c r="G1334" s="3">
        <v>1.69342669107857E-2</v>
      </c>
      <c r="H1334" s="3" t="str">
        <f>"SLC9A9"</f>
        <v>SLC9A9</v>
      </c>
      <c r="I1334" s="3" t="str">
        <f t="shared" si="61"/>
        <v>protein_coding</v>
      </c>
    </row>
    <row r="1335" spans="1:9" x14ac:dyDescent="0.2">
      <c r="A1335" s="3" t="str">
        <f>"ENSG00000240216.7"</f>
        <v>ENSG00000240216.7</v>
      </c>
      <c r="B1335" s="3">
        <v>27.886793444969001</v>
      </c>
      <c r="C1335" s="3">
        <v>6.7413458881048598</v>
      </c>
      <c r="D1335" s="3">
        <v>1.56612270787446</v>
      </c>
      <c r="E1335" s="3">
        <v>4.3044812863062401</v>
      </c>
      <c r="F1335" s="4">
        <v>1.6737743913547699E-5</v>
      </c>
      <c r="G1335" s="3">
        <v>1.13164592658172E-4</v>
      </c>
      <c r="H1335" s="3" t="str">
        <f>"CPHL1P"</f>
        <v>CPHL1P</v>
      </c>
      <c r="I1335" s="3" t="str">
        <f>"transcribed_unitary_pseudogene"</f>
        <v>transcribed_unitary_pseudogene</v>
      </c>
    </row>
    <row r="1336" spans="1:9" x14ac:dyDescent="0.2">
      <c r="A1336" s="3" t="str">
        <f>"ENSG00000163762.7"</f>
        <v>ENSG00000163762.7</v>
      </c>
      <c r="B1336" s="3">
        <v>5.0277419563543804</v>
      </c>
      <c r="C1336" s="3">
        <v>5.7249864720364698</v>
      </c>
      <c r="D1336" s="3">
        <v>2.0292551541625601</v>
      </c>
      <c r="E1336" s="3">
        <v>2.82122554193983</v>
      </c>
      <c r="F1336" s="3">
        <v>4.7840554620197E-3</v>
      </c>
      <c r="G1336" s="3">
        <v>1.7077316805142299E-2</v>
      </c>
      <c r="H1336" s="3" t="str">
        <f>"TM4SF18"</f>
        <v>TM4SF18</v>
      </c>
      <c r="I1336" s="3" t="str">
        <f>"protein_coding"</f>
        <v>protein_coding</v>
      </c>
    </row>
    <row r="1337" spans="1:9" x14ac:dyDescent="0.2">
      <c r="A1337" s="3" t="str">
        <f>"ENSG00000206199.10"</f>
        <v>ENSG00000206199.10</v>
      </c>
      <c r="B1337" s="3">
        <v>72.000898742695298</v>
      </c>
      <c r="C1337" s="3">
        <v>9.5649958467563607</v>
      </c>
      <c r="D1337" s="3">
        <v>1.50272562814321</v>
      </c>
      <c r="E1337" s="3">
        <v>6.3650979710614397</v>
      </c>
      <c r="F1337" s="4">
        <v>1.95165121731533E-10</v>
      </c>
      <c r="G1337" s="4">
        <v>2.9042403450677598E-9</v>
      </c>
      <c r="H1337" s="3" t="str">
        <f>"ANKUB1"</f>
        <v>ANKUB1</v>
      </c>
      <c r="I1337" s="3" t="str">
        <f>"protein_coding"</f>
        <v>protein_coding</v>
      </c>
    </row>
    <row r="1338" spans="1:9" x14ac:dyDescent="0.2">
      <c r="A1338" s="3" t="str">
        <f>"ENSG00000244265.1"</f>
        <v>ENSG00000244265.1</v>
      </c>
      <c r="B1338" s="3">
        <v>63.0988152708942</v>
      </c>
      <c r="C1338" s="3">
        <v>1.5568305525086401</v>
      </c>
      <c r="D1338" s="3">
        <v>0.47986113368620298</v>
      </c>
      <c r="E1338" s="3">
        <v>3.2443355863171499</v>
      </c>
      <c r="F1338" s="3">
        <v>1.17724958504955E-3</v>
      </c>
      <c r="G1338" s="3">
        <v>5.0866665784721002E-3</v>
      </c>
      <c r="H1338" s="3" t="str">
        <f>"SIAH2-AS1"</f>
        <v>SIAH2-AS1</v>
      </c>
      <c r="I1338" s="3" t="str">
        <f>"antisense"</f>
        <v>antisense</v>
      </c>
    </row>
    <row r="1339" spans="1:9" x14ac:dyDescent="0.2">
      <c r="A1339" s="3" t="str">
        <f>"ENSG00000144893.12"</f>
        <v>ENSG00000144893.12</v>
      </c>
      <c r="B1339" s="3">
        <v>100.695376676225</v>
      </c>
      <c r="C1339" s="3">
        <v>1.06591416780847</v>
      </c>
      <c r="D1339" s="3">
        <v>0.36962973075351002</v>
      </c>
      <c r="E1339" s="3">
        <v>2.8837349355950099</v>
      </c>
      <c r="F1339" s="3">
        <v>3.92989385296984E-3</v>
      </c>
      <c r="G1339" s="3">
        <v>1.44368097359942E-2</v>
      </c>
      <c r="H1339" s="3" t="str">
        <f>"MED12L"</f>
        <v>MED12L</v>
      </c>
      <c r="I1339" s="3" t="str">
        <f t="shared" ref="I1339:I1350" si="62">"protein_coding"</f>
        <v>protein_coding</v>
      </c>
    </row>
    <row r="1340" spans="1:9" x14ac:dyDescent="0.2">
      <c r="A1340" s="3" t="str">
        <f>"ENSG00000138271.5"</f>
        <v>ENSG00000138271.5</v>
      </c>
      <c r="B1340" s="3">
        <v>88.065770499785899</v>
      </c>
      <c r="C1340" s="3">
        <v>6.8157027782768598</v>
      </c>
      <c r="D1340" s="3">
        <v>0.92766924611497503</v>
      </c>
      <c r="E1340" s="3">
        <v>7.3471259361249999</v>
      </c>
      <c r="F1340" s="4">
        <v>2.0251404693118901E-13</v>
      </c>
      <c r="G1340" s="4">
        <v>4.3723456709461901E-12</v>
      </c>
      <c r="H1340" s="3" t="str">
        <f>"GPR87"</f>
        <v>GPR87</v>
      </c>
      <c r="I1340" s="3" t="str">
        <f t="shared" si="62"/>
        <v>protein_coding</v>
      </c>
    </row>
    <row r="1341" spans="1:9" x14ac:dyDescent="0.2">
      <c r="A1341" s="3" t="str">
        <f>"ENSG00000152580.8"</f>
        <v>ENSG00000152580.8</v>
      </c>
      <c r="B1341" s="3">
        <v>7.2262424667045497</v>
      </c>
      <c r="C1341" s="3">
        <v>4.7559651492753403</v>
      </c>
      <c r="D1341" s="3">
        <v>1.84928559223421</v>
      </c>
      <c r="E1341" s="3">
        <v>2.5717851094754001</v>
      </c>
      <c r="F1341" s="3">
        <v>1.0117566987984701E-2</v>
      </c>
      <c r="G1341" s="3">
        <v>3.2122273097368703E-2</v>
      </c>
      <c r="H1341" s="3" t="str">
        <f>"IGSF10"</f>
        <v>IGSF10</v>
      </c>
      <c r="I1341" s="3" t="str">
        <f t="shared" si="62"/>
        <v>protein_coding</v>
      </c>
    </row>
    <row r="1342" spans="1:9" x14ac:dyDescent="0.2">
      <c r="A1342" s="3" t="str">
        <f>"ENSG00000114771.14"</f>
        <v>ENSG00000114771.14</v>
      </c>
      <c r="B1342" s="3">
        <v>27.757396165265401</v>
      </c>
      <c r="C1342" s="3">
        <v>-1.8166141022587701</v>
      </c>
      <c r="D1342" s="3">
        <v>0.668000891619972</v>
      </c>
      <c r="E1342" s="3">
        <v>-2.7194785591577499</v>
      </c>
      <c r="F1342" s="3">
        <v>6.5384933806700903E-3</v>
      </c>
      <c r="G1342" s="3">
        <v>2.2258162061858801E-2</v>
      </c>
      <c r="H1342" s="3" t="str">
        <f>"AADAC"</f>
        <v>AADAC</v>
      </c>
      <c r="I1342" s="3" t="str">
        <f t="shared" si="62"/>
        <v>protein_coding</v>
      </c>
    </row>
    <row r="1343" spans="1:9" x14ac:dyDescent="0.2">
      <c r="A1343" s="3" t="str">
        <f>"ENSG00000152601.17"</f>
        <v>ENSG00000152601.17</v>
      </c>
      <c r="B1343" s="3">
        <v>3281.56210493358</v>
      </c>
      <c r="C1343" s="3">
        <v>-1.16940014083129</v>
      </c>
      <c r="D1343" s="3">
        <v>0.174914293684415</v>
      </c>
      <c r="E1343" s="3">
        <v>-6.6855607749310204</v>
      </c>
      <c r="F1343" s="4">
        <v>2.3004202575916101E-11</v>
      </c>
      <c r="G1343" s="4">
        <v>3.8955594007830103E-10</v>
      </c>
      <c r="H1343" s="3" t="str">
        <f>"MBNL1"</f>
        <v>MBNL1</v>
      </c>
      <c r="I1343" s="3" t="str">
        <f t="shared" si="62"/>
        <v>protein_coding</v>
      </c>
    </row>
    <row r="1344" spans="1:9" x14ac:dyDescent="0.2">
      <c r="A1344" s="3" t="str">
        <f>"ENSG00000196549.10"</f>
        <v>ENSG00000196549.10</v>
      </c>
      <c r="B1344" s="3">
        <v>4.7710694323342899</v>
      </c>
      <c r="C1344" s="3">
        <v>5.6498655801083801</v>
      </c>
      <c r="D1344" s="3">
        <v>2.0548781453748601</v>
      </c>
      <c r="E1344" s="3">
        <v>2.7494893518747898</v>
      </c>
      <c r="F1344" s="3">
        <v>5.9688202149847996E-3</v>
      </c>
      <c r="G1344" s="3">
        <v>2.05942059513348E-2</v>
      </c>
      <c r="H1344" s="3" t="str">
        <f>"MME"</f>
        <v>MME</v>
      </c>
      <c r="I1344" s="3" t="str">
        <f t="shared" si="62"/>
        <v>protein_coding</v>
      </c>
    </row>
    <row r="1345" spans="1:9" x14ac:dyDescent="0.2">
      <c r="A1345" s="3" t="str">
        <f>"ENSG00000114805.17"</f>
        <v>ENSG00000114805.17</v>
      </c>
      <c r="B1345" s="3">
        <v>134.66921666477401</v>
      </c>
      <c r="C1345" s="3">
        <v>-1.1029736823112199</v>
      </c>
      <c r="D1345" s="3">
        <v>0.32820069036032501</v>
      </c>
      <c r="E1345" s="3">
        <v>-3.3606683797657202</v>
      </c>
      <c r="F1345" s="3">
        <v>7.7754120504726397E-4</v>
      </c>
      <c r="G1345" s="3">
        <v>3.5441994521133099E-3</v>
      </c>
      <c r="H1345" s="3" t="str">
        <f>"PLCH1"</f>
        <v>PLCH1</v>
      </c>
      <c r="I1345" s="3" t="str">
        <f t="shared" si="62"/>
        <v>protein_coding</v>
      </c>
    </row>
    <row r="1346" spans="1:9" x14ac:dyDescent="0.2">
      <c r="A1346" s="3" t="str">
        <f>"ENSG00000169282.17"</f>
        <v>ENSG00000169282.17</v>
      </c>
      <c r="B1346" s="3">
        <v>7.4495147773282699</v>
      </c>
      <c r="C1346" s="3">
        <v>6.2917466817180996</v>
      </c>
      <c r="D1346" s="3">
        <v>1.86195315884304</v>
      </c>
      <c r="E1346" s="3">
        <v>3.3791111510171401</v>
      </c>
      <c r="F1346" s="3">
        <v>7.2720600339298402E-4</v>
      </c>
      <c r="G1346" s="3">
        <v>3.34755566387036E-3</v>
      </c>
      <c r="H1346" s="3" t="str">
        <f>"KCNAB1"</f>
        <v>KCNAB1</v>
      </c>
      <c r="I1346" s="3" t="str">
        <f t="shared" si="62"/>
        <v>protein_coding</v>
      </c>
    </row>
    <row r="1347" spans="1:9" x14ac:dyDescent="0.2">
      <c r="A1347" s="3" t="str">
        <f>"ENSG00000197415.12"</f>
        <v>ENSG00000197415.12</v>
      </c>
      <c r="B1347" s="3">
        <v>7.7816693013347296</v>
      </c>
      <c r="C1347" s="3">
        <v>6.3571816435620097</v>
      </c>
      <c r="D1347" s="3">
        <v>1.8433164230325001</v>
      </c>
      <c r="E1347" s="3">
        <v>3.4487739403436799</v>
      </c>
      <c r="F1347" s="3">
        <v>5.63137934857868E-4</v>
      </c>
      <c r="G1347" s="3">
        <v>2.6601628486602499E-3</v>
      </c>
      <c r="H1347" s="3" t="str">
        <f>"VEPH1"</f>
        <v>VEPH1</v>
      </c>
      <c r="I1347" s="3" t="str">
        <f t="shared" si="62"/>
        <v>protein_coding</v>
      </c>
    </row>
    <row r="1348" spans="1:9" x14ac:dyDescent="0.2">
      <c r="A1348" s="3" t="str">
        <f>"ENSG00000214216.10"</f>
        <v>ENSG00000214216.10</v>
      </c>
      <c r="B1348" s="3">
        <v>4.1822423843077399</v>
      </c>
      <c r="C1348" s="3">
        <v>5.4559790170220399</v>
      </c>
      <c r="D1348" s="3">
        <v>2.1535693190750198</v>
      </c>
      <c r="E1348" s="3">
        <v>2.5334587415860099</v>
      </c>
      <c r="F1348" s="3">
        <v>1.12943035283908E-2</v>
      </c>
      <c r="G1348" s="3">
        <v>3.5206027712854998E-2</v>
      </c>
      <c r="H1348" s="3" t="str">
        <f>"IQCJ"</f>
        <v>IQCJ</v>
      </c>
      <c r="I1348" s="3" t="str">
        <f t="shared" si="62"/>
        <v>protein_coding</v>
      </c>
    </row>
    <row r="1349" spans="1:9" x14ac:dyDescent="0.2">
      <c r="A1349" s="3" t="str">
        <f>"ENSG00000169064.12"</f>
        <v>ENSG00000169064.12</v>
      </c>
      <c r="B1349" s="3">
        <v>23.640675263098899</v>
      </c>
      <c r="C1349" s="3">
        <v>5.4770126064727602</v>
      </c>
      <c r="D1349" s="3">
        <v>1.2379493967812101</v>
      </c>
      <c r="E1349" s="3">
        <v>4.4242621069274</v>
      </c>
      <c r="F1349" s="4">
        <v>9.6772473259608292E-6</v>
      </c>
      <c r="G1349" s="4">
        <v>6.9025119866611195E-5</v>
      </c>
      <c r="H1349" s="3" t="str">
        <f>"ZBBX"</f>
        <v>ZBBX</v>
      </c>
      <c r="I1349" s="3" t="str">
        <f t="shared" si="62"/>
        <v>protein_coding</v>
      </c>
    </row>
    <row r="1350" spans="1:9" x14ac:dyDescent="0.2">
      <c r="A1350" s="3" t="str">
        <f>"ENSG00000163536.12"</f>
        <v>ENSG00000163536.12</v>
      </c>
      <c r="B1350" s="3">
        <v>67.092022831302302</v>
      </c>
      <c r="C1350" s="3">
        <v>-1.37206491824583</v>
      </c>
      <c r="D1350" s="3">
        <v>0.44962088424924601</v>
      </c>
      <c r="E1350" s="3">
        <v>-3.0516040653601499</v>
      </c>
      <c r="F1350" s="3">
        <v>2.2762213017230898E-3</v>
      </c>
      <c r="G1350" s="3">
        <v>8.9988685153872504E-3</v>
      </c>
      <c r="H1350" s="3" t="str">
        <f>"SERPINI1"</f>
        <v>SERPINI1</v>
      </c>
      <c r="I1350" s="3" t="str">
        <f t="shared" si="62"/>
        <v>protein_coding</v>
      </c>
    </row>
    <row r="1351" spans="1:9" x14ac:dyDescent="0.2">
      <c r="A1351" s="3" t="str">
        <f>"ENSG00000206120.11"</f>
        <v>ENSG00000206120.11</v>
      </c>
      <c r="B1351" s="3">
        <v>20.587202336914</v>
      </c>
      <c r="C1351" s="3">
        <v>3.1518044672224002</v>
      </c>
      <c r="D1351" s="3">
        <v>0.90792945139924397</v>
      </c>
      <c r="E1351" s="3">
        <v>3.4714200121661798</v>
      </c>
      <c r="F1351" s="3">
        <v>5.1771354260007603E-4</v>
      </c>
      <c r="G1351" s="3">
        <v>2.4732251855435899E-3</v>
      </c>
      <c r="H1351" s="3" t="str">
        <f>"EGFEM1P"</f>
        <v>EGFEM1P</v>
      </c>
      <c r="I1351" s="3" t="str">
        <f>"transcribed_unitary_pseudogene"</f>
        <v>transcribed_unitary_pseudogene</v>
      </c>
    </row>
    <row r="1352" spans="1:9" x14ac:dyDescent="0.2">
      <c r="A1352" s="3" t="str">
        <f>"ENSG00000270096.1"</f>
        <v>ENSG00000270096.1</v>
      </c>
      <c r="B1352" s="3">
        <v>8.1922304545579898</v>
      </c>
      <c r="C1352" s="3">
        <v>3.2539689947930901</v>
      </c>
      <c r="D1352" s="3">
        <v>1.3549840735269301</v>
      </c>
      <c r="E1352" s="3">
        <v>2.4014813593515099</v>
      </c>
      <c r="F1352" s="3">
        <v>1.6328840983504098E-2</v>
      </c>
      <c r="G1352" s="3">
        <v>4.7783474414943197E-2</v>
      </c>
      <c r="H1352" s="3" t="str">
        <f>"AC078795.2"</f>
        <v>AC078795.2</v>
      </c>
      <c r="I1352" s="3" t="str">
        <f>"antisense"</f>
        <v>antisense</v>
      </c>
    </row>
    <row r="1353" spans="1:9" x14ac:dyDescent="0.2">
      <c r="A1353" s="3" t="str">
        <f>"ENSG00000013297.11"</f>
        <v>ENSG00000013297.11</v>
      </c>
      <c r="B1353" s="3">
        <v>96.737023265502202</v>
      </c>
      <c r="C1353" s="3">
        <v>-3.0039902112954899</v>
      </c>
      <c r="D1353" s="3">
        <v>0.41392869094637302</v>
      </c>
      <c r="E1353" s="3">
        <v>-7.25726502414562</v>
      </c>
      <c r="F1353" s="4">
        <v>3.9499532389366497E-13</v>
      </c>
      <c r="G1353" s="4">
        <v>8.2534030599161706E-12</v>
      </c>
      <c r="H1353" s="3" t="str">
        <f>"CLDN11"</f>
        <v>CLDN11</v>
      </c>
      <c r="I1353" s="3" t="str">
        <f>"protein_coding"</f>
        <v>protein_coding</v>
      </c>
    </row>
    <row r="1354" spans="1:9" x14ac:dyDescent="0.2">
      <c r="A1354" s="3" t="str">
        <f>"ENSG00000163584.18"</f>
        <v>ENSG00000163584.18</v>
      </c>
      <c r="B1354" s="3">
        <v>646.05202425184302</v>
      </c>
      <c r="C1354" s="3">
        <v>-1.13098500098749</v>
      </c>
      <c r="D1354" s="3">
        <v>0.21025053370776001</v>
      </c>
      <c r="E1354" s="3">
        <v>-5.3792253510258101</v>
      </c>
      <c r="F1354" s="4">
        <v>7.4807022543413395E-8</v>
      </c>
      <c r="G1354" s="4">
        <v>7.7677856068612195E-7</v>
      </c>
      <c r="H1354" s="3" t="str">
        <f>"RPL22L1"</f>
        <v>RPL22L1</v>
      </c>
      <c r="I1354" s="3" t="str">
        <f>"protein_coding"</f>
        <v>protein_coding</v>
      </c>
    </row>
    <row r="1355" spans="1:9" x14ac:dyDescent="0.2">
      <c r="A1355" s="3" t="str">
        <f>"ENSG00000199488.1"</f>
        <v>ENSG00000199488.1</v>
      </c>
      <c r="B1355" s="3">
        <v>39.118629791745001</v>
      </c>
      <c r="C1355" s="3">
        <v>-1.3712671547594899</v>
      </c>
      <c r="D1355" s="3">
        <v>0.56363044305395704</v>
      </c>
      <c r="E1355" s="3">
        <v>-2.4329188950998901</v>
      </c>
      <c r="F1355" s="3">
        <v>1.4977655403391601E-2</v>
      </c>
      <c r="G1355" s="3">
        <v>4.44934477608393E-2</v>
      </c>
      <c r="H1355" s="3" t="str">
        <f>"RNU1-70P"</f>
        <v>RNU1-70P</v>
      </c>
      <c r="I1355" s="3" t="str">
        <f>"snRNA"</f>
        <v>snRNA</v>
      </c>
    </row>
    <row r="1356" spans="1:9" x14ac:dyDescent="0.2">
      <c r="A1356" s="3" t="str">
        <f>"ENSG00000163581.14"</f>
        <v>ENSG00000163581.14</v>
      </c>
      <c r="B1356" s="3">
        <v>501.01107410154401</v>
      </c>
      <c r="C1356" s="3">
        <v>-1.0739526120209699</v>
      </c>
      <c r="D1356" s="3">
        <v>0.22249696614410699</v>
      </c>
      <c r="E1356" s="3">
        <v>-4.82681912761627</v>
      </c>
      <c r="F1356" s="4">
        <v>1.3873101028716399E-6</v>
      </c>
      <c r="G1356" s="4">
        <v>1.16164838269648E-5</v>
      </c>
      <c r="H1356" s="3" t="str">
        <f>"SLC2A2"</f>
        <v>SLC2A2</v>
      </c>
      <c r="I1356" s="3" t="str">
        <f t="shared" ref="I1356:I1367" si="63">"protein_coding"</f>
        <v>protein_coding</v>
      </c>
    </row>
    <row r="1357" spans="1:9" x14ac:dyDescent="0.2">
      <c r="A1357" s="3" t="str">
        <f>"ENSG00000186329.9"</f>
        <v>ENSG00000186329.9</v>
      </c>
      <c r="B1357" s="3">
        <v>15.0269979943313</v>
      </c>
      <c r="C1357" s="3">
        <v>2.6594028519990398</v>
      </c>
      <c r="D1357" s="3">
        <v>1.0348664550074</v>
      </c>
      <c r="E1357" s="3">
        <v>2.5698029336355601</v>
      </c>
      <c r="F1357" s="3">
        <v>1.0175638141552101E-2</v>
      </c>
      <c r="G1357" s="3">
        <v>3.2284471314041399E-2</v>
      </c>
      <c r="H1357" s="3" t="str">
        <f>"TMEM212"</f>
        <v>TMEM212</v>
      </c>
      <c r="I1357" s="3" t="str">
        <f t="shared" si="63"/>
        <v>protein_coding</v>
      </c>
    </row>
    <row r="1358" spans="1:9" x14ac:dyDescent="0.2">
      <c r="A1358" s="3" t="str">
        <f>"ENSG00000075420.13"</f>
        <v>ENSG00000075420.13</v>
      </c>
      <c r="B1358" s="3">
        <v>17233.084069706802</v>
      </c>
      <c r="C1358" s="3">
        <v>-1.07271014765647</v>
      </c>
      <c r="D1358" s="3">
        <v>0.171659551338052</v>
      </c>
      <c r="E1358" s="3">
        <v>-6.24905599073809</v>
      </c>
      <c r="F1358" s="4">
        <v>4.12940877469491E-10</v>
      </c>
      <c r="G1358" s="4">
        <v>5.8662148531862402E-9</v>
      </c>
      <c r="H1358" s="3" t="str">
        <f>"FNDC3B"</f>
        <v>FNDC3B</v>
      </c>
      <c r="I1358" s="3" t="str">
        <f t="shared" si="63"/>
        <v>protein_coding</v>
      </c>
    </row>
    <row r="1359" spans="1:9" x14ac:dyDescent="0.2">
      <c r="A1359" s="3" t="str">
        <f>"ENSG00000121858.11"</f>
        <v>ENSG00000121858.11</v>
      </c>
      <c r="B1359" s="3">
        <v>98.587173017802002</v>
      </c>
      <c r="C1359" s="3">
        <v>2.6716318658897</v>
      </c>
      <c r="D1359" s="3">
        <v>0.44489787552337301</v>
      </c>
      <c r="E1359" s="3">
        <v>6.00504523144064</v>
      </c>
      <c r="F1359" s="4">
        <v>1.9127857272612498E-9</v>
      </c>
      <c r="G1359" s="4">
        <v>2.48890509602136E-8</v>
      </c>
      <c r="H1359" s="3" t="str">
        <f>"TNFSF10"</f>
        <v>TNFSF10</v>
      </c>
      <c r="I1359" s="3" t="str">
        <f t="shared" si="63"/>
        <v>protein_coding</v>
      </c>
    </row>
    <row r="1360" spans="1:9" x14ac:dyDescent="0.2">
      <c r="A1360" s="3" t="str">
        <f>"ENSG00000169760.17"</f>
        <v>ENSG00000169760.17</v>
      </c>
      <c r="B1360" s="3">
        <v>9.5421388646685905</v>
      </c>
      <c r="C1360" s="3">
        <v>6.6498734178358099</v>
      </c>
      <c r="D1360" s="3">
        <v>1.77692644650817</v>
      </c>
      <c r="E1360" s="3">
        <v>3.74234590908558</v>
      </c>
      <c r="F1360" s="3">
        <v>1.8231032506606601E-4</v>
      </c>
      <c r="G1360" s="3">
        <v>9.8137371993082005E-4</v>
      </c>
      <c r="H1360" s="3" t="str">
        <f>"NLGN1"</f>
        <v>NLGN1</v>
      </c>
      <c r="I1360" s="3" t="str">
        <f t="shared" si="63"/>
        <v>protein_coding</v>
      </c>
    </row>
    <row r="1361" spans="1:9" x14ac:dyDescent="0.2">
      <c r="A1361" s="3" t="str">
        <f>"ENSG00000177565.16"</f>
        <v>ENSG00000177565.16</v>
      </c>
      <c r="B1361" s="3">
        <v>3829.9963917155201</v>
      </c>
      <c r="C1361" s="3">
        <v>-1.42574754310247</v>
      </c>
      <c r="D1361" s="3">
        <v>0.180250262972733</v>
      </c>
      <c r="E1361" s="3">
        <v>-7.9098222637164701</v>
      </c>
      <c r="F1361" s="4">
        <v>2.5775662658741199E-15</v>
      </c>
      <c r="G1361" s="4">
        <v>6.6506579589272801E-14</v>
      </c>
      <c r="H1361" s="3" t="str">
        <f>"TBL1XR1"</f>
        <v>TBL1XR1</v>
      </c>
      <c r="I1361" s="3" t="str">
        <f t="shared" si="63"/>
        <v>protein_coding</v>
      </c>
    </row>
    <row r="1362" spans="1:9" x14ac:dyDescent="0.2">
      <c r="A1362" s="3" t="str">
        <f>"ENSG00000172667.11"</f>
        <v>ENSG00000172667.11</v>
      </c>
      <c r="B1362" s="3">
        <v>9176.1754361119001</v>
      </c>
      <c r="C1362" s="3">
        <v>1.9484949268215499</v>
      </c>
      <c r="D1362" s="3">
        <v>0.17862287633209201</v>
      </c>
      <c r="E1362" s="3">
        <v>10.908428790492399</v>
      </c>
      <c r="F1362" s="4">
        <v>1.0505637199561E-27</v>
      </c>
      <c r="G1362" s="4">
        <v>6.9816365067423905E-26</v>
      </c>
      <c r="H1362" s="3" t="str">
        <f>"ZMAT3"</f>
        <v>ZMAT3</v>
      </c>
      <c r="I1362" s="3" t="str">
        <f t="shared" si="63"/>
        <v>protein_coding</v>
      </c>
    </row>
    <row r="1363" spans="1:9" x14ac:dyDescent="0.2">
      <c r="A1363" s="3" t="str">
        <f>"ENSG00000121864.10"</f>
        <v>ENSG00000121864.10</v>
      </c>
      <c r="B1363" s="3">
        <v>679.01238093401196</v>
      </c>
      <c r="C1363" s="3">
        <v>-1.0935735178052199</v>
      </c>
      <c r="D1363" s="3">
        <v>0.21456834239248901</v>
      </c>
      <c r="E1363" s="3">
        <v>-5.0966209908303099</v>
      </c>
      <c r="F1363" s="4">
        <v>3.4576960604335401E-7</v>
      </c>
      <c r="G1363" s="4">
        <v>3.2055748403753898E-6</v>
      </c>
      <c r="H1363" s="3" t="str">
        <f>"ZNF639"</f>
        <v>ZNF639</v>
      </c>
      <c r="I1363" s="3" t="str">
        <f t="shared" si="63"/>
        <v>protein_coding</v>
      </c>
    </row>
    <row r="1364" spans="1:9" x14ac:dyDescent="0.2">
      <c r="A1364" s="3" t="str">
        <f>"ENSG00000114450.10"</f>
        <v>ENSG00000114450.10</v>
      </c>
      <c r="B1364" s="3">
        <v>32.174019140639203</v>
      </c>
      <c r="C1364" s="3">
        <v>1.5412675539310201</v>
      </c>
      <c r="D1364" s="3">
        <v>0.64413369695434197</v>
      </c>
      <c r="E1364" s="3">
        <v>2.3927758495147802</v>
      </c>
      <c r="F1364" s="3">
        <v>1.6721453153678002E-2</v>
      </c>
      <c r="G1364" s="3">
        <v>4.8759571284060901E-2</v>
      </c>
      <c r="H1364" s="3" t="str">
        <f>"GNB4"</f>
        <v>GNB4</v>
      </c>
      <c r="I1364" s="3" t="str">
        <f t="shared" si="63"/>
        <v>protein_coding</v>
      </c>
    </row>
    <row r="1365" spans="1:9" x14ac:dyDescent="0.2">
      <c r="A1365" s="3" t="str">
        <f>"ENSG00000136521.13"</f>
        <v>ENSG00000136521.13</v>
      </c>
      <c r="B1365" s="3">
        <v>1756.4604266706699</v>
      </c>
      <c r="C1365" s="3">
        <v>1.34816906092621</v>
      </c>
      <c r="D1365" s="3">
        <v>0.20123277876094001</v>
      </c>
      <c r="E1365" s="3">
        <v>6.6995499899536801</v>
      </c>
      <c r="F1365" s="4">
        <v>2.0906234215679499E-11</v>
      </c>
      <c r="G1365" s="4">
        <v>3.5579772871619002E-10</v>
      </c>
      <c r="H1365" s="3" t="str">
        <f>"NDUFB5"</f>
        <v>NDUFB5</v>
      </c>
      <c r="I1365" s="3" t="str">
        <f t="shared" si="63"/>
        <v>protein_coding</v>
      </c>
    </row>
    <row r="1366" spans="1:9" x14ac:dyDescent="0.2">
      <c r="A1366" s="3" t="str">
        <f>"ENSG00000114757.19"</f>
        <v>ENSG00000114757.19</v>
      </c>
      <c r="B1366" s="3">
        <v>7.6337110917348703</v>
      </c>
      <c r="C1366" s="3">
        <v>6.3279423768160701</v>
      </c>
      <c r="D1366" s="3">
        <v>1.8500988979756201</v>
      </c>
      <c r="E1366" s="3">
        <v>3.4203265478078499</v>
      </c>
      <c r="F1366" s="3">
        <v>6.2546007452649001E-4</v>
      </c>
      <c r="G1366" s="3">
        <v>2.9191350891783598E-3</v>
      </c>
      <c r="H1366" s="3" t="str">
        <f>"PEX5L"</f>
        <v>PEX5L</v>
      </c>
      <c r="I1366" s="3" t="str">
        <f t="shared" si="63"/>
        <v>protein_coding</v>
      </c>
    </row>
    <row r="1367" spans="1:9" x14ac:dyDescent="0.2">
      <c r="A1367" s="3" t="str">
        <f>"ENSG00000284862.2"</f>
        <v>ENSG00000284862.2</v>
      </c>
      <c r="B1367" s="3">
        <v>16.5174279590838</v>
      </c>
      <c r="C1367" s="3">
        <v>5.9719247391061296</v>
      </c>
      <c r="D1367" s="3">
        <v>1.6468008426240499</v>
      </c>
      <c r="E1367" s="3">
        <v>3.6263794531403799</v>
      </c>
      <c r="F1367" s="3">
        <v>2.8742290387989499E-4</v>
      </c>
      <c r="G1367" s="3">
        <v>1.4660074620021499E-3</v>
      </c>
      <c r="H1367" s="3" t="str">
        <f>"CCDC39"</f>
        <v>CCDC39</v>
      </c>
      <c r="I1367" s="3" t="str">
        <f t="shared" si="63"/>
        <v>protein_coding</v>
      </c>
    </row>
    <row r="1368" spans="1:9" x14ac:dyDescent="0.2">
      <c r="A1368" s="3" t="str">
        <f>"ENSG00000242808.8"</f>
        <v>ENSG00000242808.8</v>
      </c>
      <c r="B1368" s="3">
        <v>20.232301312714501</v>
      </c>
      <c r="C1368" s="3">
        <v>2.20350635618124</v>
      </c>
      <c r="D1368" s="3">
        <v>0.79153519282017004</v>
      </c>
      <c r="E1368" s="3">
        <v>2.7838387682174202</v>
      </c>
      <c r="F1368" s="3">
        <v>5.3719730687243096E-3</v>
      </c>
      <c r="G1368" s="3">
        <v>1.8864563758671401E-2</v>
      </c>
      <c r="H1368" s="3" t="str">
        <f>"SOX2-OT"</f>
        <v>SOX2-OT</v>
      </c>
      <c r="I1368" s="3" t="str">
        <f>"sense_overlapping"</f>
        <v>sense_overlapping</v>
      </c>
    </row>
    <row r="1369" spans="1:9" x14ac:dyDescent="0.2">
      <c r="A1369" s="3" t="str">
        <f>"ENSG00000242512.8"</f>
        <v>ENSG00000242512.8</v>
      </c>
      <c r="B1369" s="3">
        <v>7.1292588847608904</v>
      </c>
      <c r="C1369" s="3">
        <v>4.7347016635566499</v>
      </c>
      <c r="D1369" s="3">
        <v>1.8782065467392799</v>
      </c>
      <c r="E1369" s="3">
        <v>2.5208631456303299</v>
      </c>
      <c r="F1369" s="3">
        <v>1.1706737259466599E-2</v>
      </c>
      <c r="G1369" s="3">
        <v>3.6279967027830602E-2</v>
      </c>
      <c r="H1369" s="3" t="str">
        <f>"LINC01206"</f>
        <v>LINC01206</v>
      </c>
      <c r="I1369" s="3" t="str">
        <f>"lincRNA"</f>
        <v>lincRNA</v>
      </c>
    </row>
    <row r="1370" spans="1:9" x14ac:dyDescent="0.2">
      <c r="A1370" s="3" t="str">
        <f>"ENSG00000078081.8"</f>
        <v>ENSG00000078081.8</v>
      </c>
      <c r="B1370" s="3">
        <v>171.327027263562</v>
      </c>
      <c r="C1370" s="3">
        <v>7.3666990989697503</v>
      </c>
      <c r="D1370" s="3">
        <v>0.77961351631064302</v>
      </c>
      <c r="E1370" s="3">
        <v>9.4491680106203102</v>
      </c>
      <c r="F1370" s="4">
        <v>3.4153450137129202E-21</v>
      </c>
      <c r="G1370" s="4">
        <v>1.46317461617352E-19</v>
      </c>
      <c r="H1370" s="3" t="str">
        <f>"LAMP3"</f>
        <v>LAMP3</v>
      </c>
      <c r="I1370" s="3" t="str">
        <f t="shared" ref="I1370:I1379" si="64">"protein_coding"</f>
        <v>protein_coding</v>
      </c>
    </row>
    <row r="1371" spans="1:9" x14ac:dyDescent="0.2">
      <c r="A1371" s="3" t="str">
        <f>"ENSG00000053524.12"</f>
        <v>ENSG00000053524.12</v>
      </c>
      <c r="B1371" s="3">
        <v>12.284714644007501</v>
      </c>
      <c r="C1371" s="3">
        <v>3.4604044312378202</v>
      </c>
      <c r="D1371" s="3">
        <v>1.19490787925812</v>
      </c>
      <c r="E1371" s="3">
        <v>2.8959591708327199</v>
      </c>
      <c r="F1371" s="3">
        <v>3.7800157709114101E-3</v>
      </c>
      <c r="G1371" s="3">
        <v>1.39766711507699E-2</v>
      </c>
      <c r="H1371" s="3" t="str">
        <f>"MCF2L2"</f>
        <v>MCF2L2</v>
      </c>
      <c r="I1371" s="3" t="str">
        <f t="shared" si="64"/>
        <v>protein_coding</v>
      </c>
    </row>
    <row r="1372" spans="1:9" x14ac:dyDescent="0.2">
      <c r="A1372" s="3" t="str">
        <f>"ENSG00000172578.12"</f>
        <v>ENSG00000172578.12</v>
      </c>
      <c r="B1372" s="3">
        <v>6.3562355223277303</v>
      </c>
      <c r="C1372" s="3">
        <v>4.5591433939742698</v>
      </c>
      <c r="D1372" s="3">
        <v>1.8946246447728401</v>
      </c>
      <c r="E1372" s="3">
        <v>2.4063570620981301</v>
      </c>
      <c r="F1372" s="3">
        <v>1.6112507932879199E-2</v>
      </c>
      <c r="G1372" s="3">
        <v>4.7241741487911298E-2</v>
      </c>
      <c r="H1372" s="3" t="str">
        <f>"KLHL6"</f>
        <v>KLHL6</v>
      </c>
      <c r="I1372" s="3" t="str">
        <f t="shared" si="64"/>
        <v>protein_coding</v>
      </c>
    </row>
    <row r="1373" spans="1:9" x14ac:dyDescent="0.2">
      <c r="A1373" s="3" t="str">
        <f>"ENSG00000114796.16"</f>
        <v>ENSG00000114796.16</v>
      </c>
      <c r="B1373" s="3">
        <v>771.30893486077002</v>
      </c>
      <c r="C1373" s="3">
        <v>1.55469225635403</v>
      </c>
      <c r="D1373" s="3">
        <v>0.20977180103350301</v>
      </c>
      <c r="E1373" s="3">
        <v>7.4113500894514104</v>
      </c>
      <c r="F1373" s="4">
        <v>1.2502006644915201E-13</v>
      </c>
      <c r="G1373" s="4">
        <v>2.7649527195942E-12</v>
      </c>
      <c r="H1373" s="3" t="str">
        <f>"KLHL24"</f>
        <v>KLHL24</v>
      </c>
      <c r="I1373" s="3" t="str">
        <f t="shared" si="64"/>
        <v>protein_coding</v>
      </c>
    </row>
    <row r="1374" spans="1:9" x14ac:dyDescent="0.2">
      <c r="A1374" s="3" t="str">
        <f>"ENSG00000145198.14"</f>
        <v>ENSG00000145198.14</v>
      </c>
      <c r="B1374" s="3">
        <v>32.947116983878502</v>
      </c>
      <c r="C1374" s="3">
        <v>1.8958793791333</v>
      </c>
      <c r="D1374" s="3">
        <v>0.63458168364263901</v>
      </c>
      <c r="E1374" s="3">
        <v>2.9876049498474901</v>
      </c>
      <c r="F1374" s="3">
        <v>2.8117273847543399E-3</v>
      </c>
      <c r="G1374" s="3">
        <v>1.0816198793223399E-2</v>
      </c>
      <c r="H1374" s="3" t="str">
        <f>"VWA5B2"</f>
        <v>VWA5B2</v>
      </c>
      <c r="I1374" s="3" t="str">
        <f t="shared" si="64"/>
        <v>protein_coding</v>
      </c>
    </row>
    <row r="1375" spans="1:9" x14ac:dyDescent="0.2">
      <c r="A1375" s="3" t="str">
        <f>"ENSG00000214160.9"</f>
        <v>ENSG00000214160.9</v>
      </c>
      <c r="B1375" s="3">
        <v>1386.9790339707399</v>
      </c>
      <c r="C1375" s="3">
        <v>-1.10354689217533</v>
      </c>
      <c r="D1375" s="3">
        <v>0.22991065607022401</v>
      </c>
      <c r="E1375" s="3">
        <v>-4.7998944939649197</v>
      </c>
      <c r="F1375" s="4">
        <v>1.58749239756449E-6</v>
      </c>
      <c r="G1375" s="4">
        <v>1.31392482856743E-5</v>
      </c>
      <c r="H1375" s="3" t="str">
        <f>"ALG3"</f>
        <v>ALG3</v>
      </c>
      <c r="I1375" s="3" t="str">
        <f t="shared" si="64"/>
        <v>protein_coding</v>
      </c>
    </row>
    <row r="1376" spans="1:9" x14ac:dyDescent="0.2">
      <c r="A1376" s="3" t="str">
        <f>"ENSG00000284753.1"</f>
        <v>ENSG00000284753.1</v>
      </c>
      <c r="B1376" s="3">
        <v>212.53804135419901</v>
      </c>
      <c r="C1376" s="3">
        <v>-1.14298434225569</v>
      </c>
      <c r="D1376" s="3">
        <v>0.31404799520940002</v>
      </c>
      <c r="E1376" s="3">
        <v>-3.6395212187028001</v>
      </c>
      <c r="F1376" s="3">
        <v>2.7314543057147298E-4</v>
      </c>
      <c r="G1376" s="3">
        <v>1.40117229670319E-3</v>
      </c>
      <c r="H1376" s="3" t="str">
        <f>"EEF1AKMT4"</f>
        <v>EEF1AKMT4</v>
      </c>
      <c r="I1376" s="3" t="str">
        <f t="shared" si="64"/>
        <v>protein_coding</v>
      </c>
    </row>
    <row r="1377" spans="1:9" x14ac:dyDescent="0.2">
      <c r="A1377" s="3" t="str">
        <f>"ENSG00000114859.16"</f>
        <v>ENSG00000114859.16</v>
      </c>
      <c r="B1377" s="3">
        <v>573.786922631317</v>
      </c>
      <c r="C1377" s="3">
        <v>-1.8434486240229799</v>
      </c>
      <c r="D1377" s="3">
        <v>0.241925436437499</v>
      </c>
      <c r="E1377" s="3">
        <v>-7.6199040959433404</v>
      </c>
      <c r="F1377" s="4">
        <v>2.5386426038788599E-14</v>
      </c>
      <c r="G1377" s="4">
        <v>5.9170568886131103E-13</v>
      </c>
      <c r="H1377" s="3" t="str">
        <f>"CLCN2"</f>
        <v>CLCN2</v>
      </c>
      <c r="I1377" s="3" t="str">
        <f t="shared" si="64"/>
        <v>protein_coding</v>
      </c>
    </row>
    <row r="1378" spans="1:9" x14ac:dyDescent="0.2">
      <c r="A1378" s="3" t="str">
        <f>"ENSG00000182580.3"</f>
        <v>ENSG00000182580.3</v>
      </c>
      <c r="B1378" s="3">
        <v>47.919619709937997</v>
      </c>
      <c r="C1378" s="3">
        <v>3.2225772069653198</v>
      </c>
      <c r="D1378" s="3">
        <v>0.59183173663648503</v>
      </c>
      <c r="E1378" s="3">
        <v>5.4450902300034798</v>
      </c>
      <c r="F1378" s="4">
        <v>5.17791315059016E-8</v>
      </c>
      <c r="G1378" s="4">
        <v>5.5239858893551301E-7</v>
      </c>
      <c r="H1378" s="3" t="str">
        <f>"EPHB3"</f>
        <v>EPHB3</v>
      </c>
      <c r="I1378" s="3" t="str">
        <f t="shared" si="64"/>
        <v>protein_coding</v>
      </c>
    </row>
    <row r="1379" spans="1:9" x14ac:dyDescent="0.2">
      <c r="A1379" s="3" t="str">
        <f>"ENSG00000187068.3"</f>
        <v>ENSG00000187068.3</v>
      </c>
      <c r="B1379" s="3">
        <v>337.57193506892298</v>
      </c>
      <c r="C1379" s="3">
        <v>-2.4142656909554501</v>
      </c>
      <c r="D1379" s="3">
        <v>0.26431868974563799</v>
      </c>
      <c r="E1379" s="3">
        <v>-9.1339197136561392</v>
      </c>
      <c r="F1379" s="4">
        <v>6.6063029438190103E-20</v>
      </c>
      <c r="G1379" s="4">
        <v>2.5000268931977299E-18</v>
      </c>
      <c r="H1379" s="3" t="str">
        <f>"C3orf70"</f>
        <v>C3orf70</v>
      </c>
      <c r="I1379" s="3" t="str">
        <f t="shared" si="64"/>
        <v>protein_coding</v>
      </c>
    </row>
    <row r="1380" spans="1:9" x14ac:dyDescent="0.2">
      <c r="A1380" s="3" t="str">
        <f>"ENSG00000229638.1"</f>
        <v>ENSG00000229638.1</v>
      </c>
      <c r="B1380" s="3">
        <v>190.564013320751</v>
      </c>
      <c r="C1380" s="3">
        <v>-1.1172502689560899</v>
      </c>
      <c r="D1380" s="3">
        <v>0.31717686541676998</v>
      </c>
      <c r="E1380" s="3">
        <v>-3.5224834809059198</v>
      </c>
      <c r="F1380" s="3">
        <v>4.2752368420346398E-4</v>
      </c>
      <c r="G1380" s="3">
        <v>2.0860920171009698E-3</v>
      </c>
      <c r="H1380" s="3" t="str">
        <f>"RPL4P4"</f>
        <v>RPL4P4</v>
      </c>
      <c r="I1380" s="3" t="str">
        <f>"processed_pseudogene"</f>
        <v>processed_pseudogene</v>
      </c>
    </row>
    <row r="1381" spans="1:9" x14ac:dyDescent="0.2">
      <c r="A1381" s="3" t="str">
        <f>"ENSG00000163900.11"</f>
        <v>ENSG00000163900.11</v>
      </c>
      <c r="B1381" s="3">
        <v>1791.38012519469</v>
      </c>
      <c r="C1381" s="3">
        <v>1.36660590233988</v>
      </c>
      <c r="D1381" s="3">
        <v>0.19663543651887699</v>
      </c>
      <c r="E1381" s="3">
        <v>6.9499472044993897</v>
      </c>
      <c r="F1381" s="4">
        <v>3.65422941839285E-12</v>
      </c>
      <c r="G1381" s="4">
        <v>6.7434207724030995E-11</v>
      </c>
      <c r="H1381" s="3" t="str">
        <f>"TMEM41A"</f>
        <v>TMEM41A</v>
      </c>
      <c r="I1381" s="3" t="str">
        <f>"protein_coding"</f>
        <v>protein_coding</v>
      </c>
    </row>
    <row r="1382" spans="1:9" x14ac:dyDescent="0.2">
      <c r="A1382" s="3" t="str">
        <f>"ENSG00000286086.1"</f>
        <v>ENSG00000286086.1</v>
      </c>
      <c r="B1382" s="3">
        <v>32.543938684717403</v>
      </c>
      <c r="C1382" s="3">
        <v>3.3915469685730302</v>
      </c>
      <c r="D1382" s="3">
        <v>0.72798157955068199</v>
      </c>
      <c r="E1382" s="3">
        <v>4.6588362450960998</v>
      </c>
      <c r="F1382" s="4">
        <v>3.1800203998255001E-6</v>
      </c>
      <c r="G1382" s="4">
        <v>2.4905437146894299E-5</v>
      </c>
      <c r="H1382" s="3" t="str">
        <f>"AC099661.1"</f>
        <v>AC099661.1</v>
      </c>
      <c r="I1382" s="3" t="str">
        <f>"lincRNA"</f>
        <v>lincRNA</v>
      </c>
    </row>
    <row r="1383" spans="1:9" x14ac:dyDescent="0.2">
      <c r="A1383" s="3" t="str">
        <f>"ENSG00000163898.10"</f>
        <v>ENSG00000163898.10</v>
      </c>
      <c r="B1383" s="3">
        <v>19.681873088377401</v>
      </c>
      <c r="C1383" s="3">
        <v>5.2074805754963904</v>
      </c>
      <c r="D1383" s="3">
        <v>1.25467715961624</v>
      </c>
      <c r="E1383" s="3">
        <v>4.1504545895209901</v>
      </c>
      <c r="F1383" s="4">
        <v>3.3181559732999601E-5</v>
      </c>
      <c r="G1383" s="3">
        <v>2.1056941474853499E-4</v>
      </c>
      <c r="H1383" s="3" t="str">
        <f>"LIPH"</f>
        <v>LIPH</v>
      </c>
      <c r="I1383" s="3" t="str">
        <f>"protein_coding"</f>
        <v>protein_coding</v>
      </c>
    </row>
    <row r="1384" spans="1:9" x14ac:dyDescent="0.2">
      <c r="A1384" s="3" t="str">
        <f>"ENSG00000163915.7"</f>
        <v>ENSG00000163915.7</v>
      </c>
      <c r="B1384" s="3">
        <v>7.1566041485014402</v>
      </c>
      <c r="C1384" s="3">
        <v>6.2348322409822696</v>
      </c>
      <c r="D1384" s="3">
        <v>1.8739066662439701</v>
      </c>
      <c r="E1384" s="3">
        <v>3.32718398055506</v>
      </c>
      <c r="F1384" s="3">
        <v>8.7728431726666605E-4</v>
      </c>
      <c r="G1384" s="3">
        <v>3.9334154669351399E-3</v>
      </c>
      <c r="H1384" s="3" t="str">
        <f>"IGF2BP2-AS1"</f>
        <v>IGF2BP2-AS1</v>
      </c>
      <c r="I1384" s="3" t="str">
        <f>"antisense"</f>
        <v>antisense</v>
      </c>
    </row>
    <row r="1385" spans="1:9" x14ac:dyDescent="0.2">
      <c r="A1385" s="3" t="str">
        <f>"ENSG00000171658.8"</f>
        <v>ENSG00000171658.8</v>
      </c>
      <c r="B1385" s="3">
        <v>195.37973881497399</v>
      </c>
      <c r="C1385" s="3">
        <v>-1.73578842518883</v>
      </c>
      <c r="D1385" s="3">
        <v>0.32595510473087302</v>
      </c>
      <c r="E1385" s="3">
        <v>-5.3252377397862798</v>
      </c>
      <c r="F1385" s="4">
        <v>1.00821085944236E-7</v>
      </c>
      <c r="G1385" s="4">
        <v>1.02311811125609E-6</v>
      </c>
      <c r="H1385" s="3" t="str">
        <f>"NMRAL2P"</f>
        <v>NMRAL2P</v>
      </c>
      <c r="I1385" s="3" t="str">
        <f>"transcribed_unprocessed_pseudogene"</f>
        <v>transcribed_unprocessed_pseudogene</v>
      </c>
    </row>
    <row r="1386" spans="1:9" x14ac:dyDescent="0.2">
      <c r="A1386" s="3" t="str">
        <f>"ENSG00000244405.8"</f>
        <v>ENSG00000244405.8</v>
      </c>
      <c r="B1386" s="3">
        <v>3203.25844861832</v>
      </c>
      <c r="C1386" s="3">
        <v>-1.1793431356014401</v>
      </c>
      <c r="D1386" s="3">
        <v>0.185793649080083</v>
      </c>
      <c r="E1386" s="3">
        <v>-6.3475966021481502</v>
      </c>
      <c r="F1386" s="4">
        <v>2.1870464836842699E-10</v>
      </c>
      <c r="G1386" s="4">
        <v>3.2228477847996402E-9</v>
      </c>
      <c r="H1386" s="3" t="str">
        <f>"ETV5"</f>
        <v>ETV5</v>
      </c>
      <c r="I1386" s="3" t="str">
        <f>"protein_coding"</f>
        <v>protein_coding</v>
      </c>
    </row>
    <row r="1387" spans="1:9" x14ac:dyDescent="0.2">
      <c r="A1387" s="3" t="str">
        <f>"ENSG00000226859.1"</f>
        <v>ENSG00000226859.1</v>
      </c>
      <c r="B1387" s="3">
        <v>59.390631590134802</v>
      </c>
      <c r="C1387" s="3">
        <v>6.2404622826032901</v>
      </c>
      <c r="D1387" s="3">
        <v>0.94148270582573901</v>
      </c>
      <c r="E1387" s="3">
        <v>6.6283344813328497</v>
      </c>
      <c r="F1387" s="4">
        <v>3.3949550950955197E-11</v>
      </c>
      <c r="G1387" s="4">
        <v>5.6403866753699799E-10</v>
      </c>
      <c r="H1387" s="3" t="str">
        <f>"LINC02051"</f>
        <v>LINC02051</v>
      </c>
      <c r="I1387" s="3" t="str">
        <f>"lincRNA"</f>
        <v>lincRNA</v>
      </c>
    </row>
    <row r="1388" spans="1:9" x14ac:dyDescent="0.2">
      <c r="A1388" s="3" t="str">
        <f>"ENSG00000145192.13"</f>
        <v>ENSG00000145192.13</v>
      </c>
      <c r="B1388" s="3">
        <v>54530.924591942501</v>
      </c>
      <c r="C1388" s="3">
        <v>-1.5245233756941501</v>
      </c>
      <c r="D1388" s="3">
        <v>0.233908923816461</v>
      </c>
      <c r="E1388" s="3">
        <v>-6.5175939028746903</v>
      </c>
      <c r="F1388" s="4">
        <v>7.1444096370975499E-11</v>
      </c>
      <c r="G1388" s="4">
        <v>1.13705449405372E-9</v>
      </c>
      <c r="H1388" s="3" t="str">
        <f>"AHSG"</f>
        <v>AHSG</v>
      </c>
      <c r="I1388" s="3" t="str">
        <f t="shared" ref="I1388:I1394" si="65">"protein_coding"</f>
        <v>protein_coding</v>
      </c>
    </row>
    <row r="1389" spans="1:9" x14ac:dyDescent="0.2">
      <c r="A1389" s="3" t="str">
        <f>"ENSG00000181092.10"</f>
        <v>ENSG00000181092.10</v>
      </c>
      <c r="B1389" s="3">
        <v>29.212237851659399</v>
      </c>
      <c r="C1389" s="3">
        <v>8.2636408835306394</v>
      </c>
      <c r="D1389" s="3">
        <v>1.5667901092334799</v>
      </c>
      <c r="E1389" s="3">
        <v>5.2742488191819499</v>
      </c>
      <c r="F1389" s="4">
        <v>1.3330095090838001E-7</v>
      </c>
      <c r="G1389" s="4">
        <v>1.3284751314559701E-6</v>
      </c>
      <c r="H1389" s="3" t="str">
        <f>"ADIPOQ"</f>
        <v>ADIPOQ</v>
      </c>
      <c r="I1389" s="3" t="str">
        <f t="shared" si="65"/>
        <v>protein_coding</v>
      </c>
    </row>
    <row r="1390" spans="1:9" x14ac:dyDescent="0.2">
      <c r="A1390" s="3" t="str">
        <f>"ENSG00000175077.5"</f>
        <v>ENSG00000175077.5</v>
      </c>
      <c r="B1390" s="3">
        <v>4.2939624891008599</v>
      </c>
      <c r="C1390" s="3">
        <v>5.4978614945687996</v>
      </c>
      <c r="D1390" s="3">
        <v>2.1119244238519399</v>
      </c>
      <c r="E1390" s="3">
        <v>2.6032472717661199</v>
      </c>
      <c r="F1390" s="3">
        <v>9.2345323669644607E-3</v>
      </c>
      <c r="G1390" s="3">
        <v>2.9695893237658502E-2</v>
      </c>
      <c r="H1390" s="3" t="str">
        <f>"RTP1"</f>
        <v>RTP1</v>
      </c>
      <c r="I1390" s="3" t="str">
        <f t="shared" si="65"/>
        <v>protein_coding</v>
      </c>
    </row>
    <row r="1391" spans="1:9" x14ac:dyDescent="0.2">
      <c r="A1391" s="3" t="str">
        <f>"ENSG00000073282.13"</f>
        <v>ENSG00000073282.13</v>
      </c>
      <c r="B1391" s="3">
        <v>12.108864104869401</v>
      </c>
      <c r="C1391" s="3">
        <v>6.9916721574748903</v>
      </c>
      <c r="D1391" s="3">
        <v>1.7218903827983201</v>
      </c>
      <c r="E1391" s="3">
        <v>4.0604629814543802</v>
      </c>
      <c r="F1391" s="4">
        <v>4.8975502277984502E-5</v>
      </c>
      <c r="G1391" s="3">
        <v>3.0102312442324502E-4</v>
      </c>
      <c r="H1391" s="3" t="str">
        <f>"TP63"</f>
        <v>TP63</v>
      </c>
      <c r="I1391" s="3" t="str">
        <f t="shared" si="65"/>
        <v>protein_coding</v>
      </c>
    </row>
    <row r="1392" spans="1:9" x14ac:dyDescent="0.2">
      <c r="A1392" s="3" t="str">
        <f>"ENSG00000090530.10"</f>
        <v>ENSG00000090530.10</v>
      </c>
      <c r="B1392" s="3">
        <v>24.694835152972299</v>
      </c>
      <c r="C1392" s="3">
        <v>8.0200053447276503</v>
      </c>
      <c r="D1392" s="3">
        <v>1.5943851354673999</v>
      </c>
      <c r="E1392" s="3">
        <v>5.0301556169341302</v>
      </c>
      <c r="F1392" s="4">
        <v>4.9008190645831098E-7</v>
      </c>
      <c r="G1392" s="4">
        <v>4.4362995698570099E-6</v>
      </c>
      <c r="H1392" s="3" t="str">
        <f>"P3H2"</f>
        <v>P3H2</v>
      </c>
      <c r="I1392" s="3" t="str">
        <f t="shared" si="65"/>
        <v>protein_coding</v>
      </c>
    </row>
    <row r="1393" spans="1:9" x14ac:dyDescent="0.2">
      <c r="A1393" s="3" t="str">
        <f>"ENSG00000113946.3"</f>
        <v>ENSG00000113946.3</v>
      </c>
      <c r="B1393" s="3">
        <v>28.490275854702499</v>
      </c>
      <c r="C1393" s="3">
        <v>4.7273084301717097</v>
      </c>
      <c r="D1393" s="3">
        <v>0.95021922051256003</v>
      </c>
      <c r="E1393" s="3">
        <v>4.97496612163006</v>
      </c>
      <c r="F1393" s="4">
        <v>6.5259052108061004E-7</v>
      </c>
      <c r="G1393" s="4">
        <v>5.7693491005461997E-6</v>
      </c>
      <c r="H1393" s="3" t="str">
        <f>"CLDN16"</f>
        <v>CLDN16</v>
      </c>
      <c r="I1393" s="3" t="str">
        <f t="shared" si="65"/>
        <v>protein_coding</v>
      </c>
    </row>
    <row r="1394" spans="1:9" x14ac:dyDescent="0.2">
      <c r="A1394" s="3" t="str">
        <f>"ENSG00000188729.6"</f>
        <v>ENSG00000188729.6</v>
      </c>
      <c r="B1394" s="3">
        <v>4.9915038515476402</v>
      </c>
      <c r="C1394" s="3">
        <v>5.7155107172183204</v>
      </c>
      <c r="D1394" s="3">
        <v>2.03125899621197</v>
      </c>
      <c r="E1394" s="3">
        <v>2.81377742960253</v>
      </c>
      <c r="F1394" s="3">
        <v>4.8963116077231396E-3</v>
      </c>
      <c r="G1394" s="3">
        <v>1.7423247012620099E-2</v>
      </c>
      <c r="H1394" s="3" t="str">
        <f>"OSTN"</f>
        <v>OSTN</v>
      </c>
      <c r="I1394" s="3" t="str">
        <f t="shared" si="65"/>
        <v>protein_coding</v>
      </c>
    </row>
    <row r="1395" spans="1:9" x14ac:dyDescent="0.2">
      <c r="A1395" s="3" t="str">
        <f>"ENSG00000214146.2"</f>
        <v>ENSG00000214146.2</v>
      </c>
      <c r="B1395" s="3">
        <v>9.0826930735150295</v>
      </c>
      <c r="C1395" s="3">
        <v>3.4102672891716401</v>
      </c>
      <c r="D1395" s="3">
        <v>1.36041853420462</v>
      </c>
      <c r="E1395" s="3">
        <v>2.5067780270764</v>
      </c>
      <c r="F1395" s="3">
        <v>1.2183719731691E-2</v>
      </c>
      <c r="G1395" s="3">
        <v>3.74945794056546E-2</v>
      </c>
      <c r="H1395" s="3" t="str">
        <f>"LINC02026"</f>
        <v>LINC02026</v>
      </c>
      <c r="I1395" s="3" t="str">
        <f>"lincRNA"</f>
        <v>lincRNA</v>
      </c>
    </row>
    <row r="1396" spans="1:9" x14ac:dyDescent="0.2">
      <c r="A1396" s="3" t="str">
        <f>"ENSG00000230102.7"</f>
        <v>ENSG00000230102.7</v>
      </c>
      <c r="B1396" s="3">
        <v>48.251481804929398</v>
      </c>
      <c r="C1396" s="3">
        <v>3.2302532809518398</v>
      </c>
      <c r="D1396" s="3">
        <v>0.57848240821902897</v>
      </c>
      <c r="E1396" s="3">
        <v>5.5840129882199996</v>
      </c>
      <c r="F1396" s="4">
        <v>2.3503114133183201E-8</v>
      </c>
      <c r="G1396" s="4">
        <v>2.65942421423108E-7</v>
      </c>
      <c r="H1396" s="3" t="str">
        <f>"LINC02028"</f>
        <v>LINC02028</v>
      </c>
      <c r="I1396" s="3" t="str">
        <f>"processed_transcript"</f>
        <v>processed_transcript</v>
      </c>
    </row>
    <row r="1397" spans="1:9" x14ac:dyDescent="0.2">
      <c r="A1397" s="3" t="str">
        <f>"ENSG00000178772.7"</f>
        <v>ENSG00000178772.7</v>
      </c>
      <c r="B1397" s="3">
        <v>1140.3238231068899</v>
      </c>
      <c r="C1397" s="3">
        <v>-3.2048551663912401</v>
      </c>
      <c r="D1397" s="3">
        <v>0.26172370877087803</v>
      </c>
      <c r="E1397" s="3">
        <v>-12.2451847463192</v>
      </c>
      <c r="F1397" s="4">
        <v>1.7827067637381301E-34</v>
      </c>
      <c r="G1397" s="4">
        <v>1.80570301827408E-32</v>
      </c>
      <c r="H1397" s="3" t="str">
        <f>"CPN2"</f>
        <v>CPN2</v>
      </c>
      <c r="I1397" s="3" t="str">
        <f>"protein_coding"</f>
        <v>protein_coding</v>
      </c>
    </row>
    <row r="1398" spans="1:9" x14ac:dyDescent="0.2">
      <c r="A1398" s="3" t="str">
        <f>"ENSG00000172061.8"</f>
        <v>ENSG00000172061.8</v>
      </c>
      <c r="B1398" s="3">
        <v>8.81424644810836</v>
      </c>
      <c r="C1398" s="3">
        <v>5.0469594737061598</v>
      </c>
      <c r="D1398" s="3">
        <v>1.78094244553593</v>
      </c>
      <c r="E1398" s="3">
        <v>2.8338700592805601</v>
      </c>
      <c r="F1398" s="3">
        <v>4.5988027410419499E-3</v>
      </c>
      <c r="G1398" s="3">
        <v>1.6517740348690999E-2</v>
      </c>
      <c r="H1398" s="3" t="str">
        <f>"LRRC15"</f>
        <v>LRRC15</v>
      </c>
      <c r="I1398" s="3" t="str">
        <f>"protein_coding"</f>
        <v>protein_coding</v>
      </c>
    </row>
    <row r="1399" spans="1:9" x14ac:dyDescent="0.2">
      <c r="A1399" s="3" t="str">
        <f>"ENSG00000231770.5"</f>
        <v>ENSG00000231770.5</v>
      </c>
      <c r="B1399" s="3">
        <v>77.767332024608805</v>
      </c>
      <c r="C1399" s="3">
        <v>1.20892575471347</v>
      </c>
      <c r="D1399" s="3">
        <v>0.40966373912569398</v>
      </c>
      <c r="E1399" s="3">
        <v>2.9510196760239502</v>
      </c>
      <c r="F1399" s="3">
        <v>3.1672673991066502E-3</v>
      </c>
      <c r="G1399" s="3">
        <v>1.19992401033731E-2</v>
      </c>
      <c r="H1399" s="3" t="str">
        <f>"TMEM44-AS1"</f>
        <v>TMEM44-AS1</v>
      </c>
      <c r="I1399" s="3" t="str">
        <f>"antisense"</f>
        <v>antisense</v>
      </c>
    </row>
    <row r="1400" spans="1:9" x14ac:dyDescent="0.2">
      <c r="A1400" s="3" t="str">
        <f>"ENSG00000185112.5"</f>
        <v>ENSG00000185112.5</v>
      </c>
      <c r="B1400" s="3">
        <v>546.86445516607796</v>
      </c>
      <c r="C1400" s="3">
        <v>2.4224277895367199</v>
      </c>
      <c r="D1400" s="3">
        <v>0.24943499193567301</v>
      </c>
      <c r="E1400" s="3">
        <v>9.7116598226180102</v>
      </c>
      <c r="F1400" s="4">
        <v>2.6892167220614699E-22</v>
      </c>
      <c r="G1400" s="4">
        <v>1.23772108152042E-20</v>
      </c>
      <c r="H1400" s="3" t="str">
        <f>"FAM43A"</f>
        <v>FAM43A</v>
      </c>
      <c r="I1400" s="3" t="str">
        <f>"protein_coding"</f>
        <v>protein_coding</v>
      </c>
    </row>
    <row r="1401" spans="1:9" x14ac:dyDescent="0.2">
      <c r="A1401" s="3" t="str">
        <f>"ENSG00000252620.1"</f>
        <v>ENSG00000252620.1</v>
      </c>
      <c r="B1401" s="3">
        <v>18.8721503735621</v>
      </c>
      <c r="C1401" s="3">
        <v>-1.96964214515768</v>
      </c>
      <c r="D1401" s="3">
        <v>0.81193408946657497</v>
      </c>
      <c r="E1401" s="3">
        <v>-2.42586457535204</v>
      </c>
      <c r="F1401" s="3">
        <v>1.5271967909316101E-2</v>
      </c>
      <c r="G1401" s="3">
        <v>4.5249598697818298E-2</v>
      </c>
      <c r="H1401" s="3" t="str">
        <f>"RNU6ATAC24P"</f>
        <v>RNU6ATAC24P</v>
      </c>
      <c r="I1401" s="3" t="str">
        <f>"snRNA"</f>
        <v>snRNA</v>
      </c>
    </row>
    <row r="1402" spans="1:9" x14ac:dyDescent="0.2">
      <c r="A1402" s="3" t="str">
        <f>"ENSG00000224769.1"</f>
        <v>ENSG00000224769.1</v>
      </c>
      <c r="B1402" s="3">
        <v>3.7081412314472102</v>
      </c>
      <c r="C1402" s="3">
        <v>5.2900887480517502</v>
      </c>
      <c r="D1402" s="3">
        <v>2.20912909971939</v>
      </c>
      <c r="E1402" s="3">
        <v>2.39464898123143</v>
      </c>
      <c r="F1402" s="3">
        <v>1.66362833632147E-2</v>
      </c>
      <c r="G1402" s="3">
        <v>4.8568393099487003E-2</v>
      </c>
      <c r="H1402" s="3" t="str">
        <f>"MUC20P1"</f>
        <v>MUC20P1</v>
      </c>
      <c r="I1402" s="3" t="str">
        <f>"unprocessed_pseudogene"</f>
        <v>unprocessed_pseudogene</v>
      </c>
    </row>
    <row r="1403" spans="1:9" x14ac:dyDescent="0.2">
      <c r="A1403" s="3" t="str">
        <f>"ENSG00000176945.17"</f>
        <v>ENSG00000176945.17</v>
      </c>
      <c r="B1403" s="3">
        <v>23.193171472294502</v>
      </c>
      <c r="C1403" s="3">
        <v>3.3427450491361701</v>
      </c>
      <c r="D1403" s="3">
        <v>0.87395309462500104</v>
      </c>
      <c r="E1403" s="3">
        <v>3.8248563563591298</v>
      </c>
      <c r="F1403" s="3">
        <v>1.3084835511210799E-4</v>
      </c>
      <c r="G1403" s="3">
        <v>7.2953245994262497E-4</v>
      </c>
      <c r="H1403" s="3" t="str">
        <f>"MUC20"</f>
        <v>MUC20</v>
      </c>
      <c r="I1403" s="3" t="str">
        <f>"protein_coding"</f>
        <v>protein_coding</v>
      </c>
    </row>
    <row r="1404" spans="1:9" x14ac:dyDescent="0.2">
      <c r="A1404" s="3" t="str">
        <f>"ENSG00000213123.11"</f>
        <v>ENSG00000213123.11</v>
      </c>
      <c r="B1404" s="3">
        <v>11.716175371598601</v>
      </c>
      <c r="C1404" s="3">
        <v>3.8166423924636299</v>
      </c>
      <c r="D1404" s="3">
        <v>1.2292260840707201</v>
      </c>
      <c r="E1404" s="3">
        <v>3.1049149069668101</v>
      </c>
      <c r="F1404" s="3">
        <v>1.90333772737664E-3</v>
      </c>
      <c r="G1404" s="3">
        <v>7.7150019425515004E-3</v>
      </c>
      <c r="H1404" s="3" t="str">
        <f>"TCTEX1D2"</f>
        <v>TCTEX1D2</v>
      </c>
      <c r="I1404" s="3" t="str">
        <f>"protein_coding"</f>
        <v>protein_coding</v>
      </c>
    </row>
    <row r="1405" spans="1:9" x14ac:dyDescent="0.2">
      <c r="A1405" s="3" t="str">
        <f>"ENSG00000235897.1"</f>
        <v>ENSG00000235897.1</v>
      </c>
      <c r="B1405" s="3">
        <v>72.699420138670504</v>
      </c>
      <c r="C1405" s="3">
        <v>3.3012127941136198</v>
      </c>
      <c r="D1405" s="3">
        <v>0.50016856536517895</v>
      </c>
      <c r="E1405" s="3">
        <v>6.6002004578263804</v>
      </c>
      <c r="F1405" s="4">
        <v>4.10602207767917E-11</v>
      </c>
      <c r="G1405" s="4">
        <v>6.7550227116342702E-10</v>
      </c>
      <c r="H1405" s="3" t="str">
        <f>"TM4SF19-AS1"</f>
        <v>TM4SF19-AS1</v>
      </c>
      <c r="I1405" s="3" t="str">
        <f>"antisense"</f>
        <v>antisense</v>
      </c>
    </row>
    <row r="1406" spans="1:9" x14ac:dyDescent="0.2">
      <c r="A1406" s="3" t="str">
        <f>"ENSG00000174007.8"</f>
        <v>ENSG00000174007.8</v>
      </c>
      <c r="B1406" s="3">
        <v>32.455316886705603</v>
      </c>
      <c r="C1406" s="3">
        <v>1.73317494554364</v>
      </c>
      <c r="D1406" s="3">
        <v>0.62528907172045201</v>
      </c>
      <c r="E1406" s="3">
        <v>2.7717979154423702</v>
      </c>
      <c r="F1406" s="3">
        <v>5.5747633593451699E-3</v>
      </c>
      <c r="G1406" s="3">
        <v>1.9497164232688099E-2</v>
      </c>
      <c r="H1406" s="3" t="str">
        <f>"CEP19"</f>
        <v>CEP19</v>
      </c>
      <c r="I1406" s="3" t="str">
        <f>"protein_coding"</f>
        <v>protein_coding</v>
      </c>
    </row>
    <row r="1407" spans="1:9" x14ac:dyDescent="0.2">
      <c r="A1407" s="3" t="str">
        <f>"ENSG00000270170.2"</f>
        <v>ENSG00000270170.2</v>
      </c>
      <c r="B1407" s="3">
        <v>681.39519168269101</v>
      </c>
      <c r="C1407" s="3">
        <v>-1.1604370762535301</v>
      </c>
      <c r="D1407" s="3">
        <v>0.22210302251348099</v>
      </c>
      <c r="E1407" s="3">
        <v>-5.2247694026005398</v>
      </c>
      <c r="F1407" s="4">
        <v>1.7437228004230199E-7</v>
      </c>
      <c r="G1407" s="4">
        <v>1.7047439950888499E-6</v>
      </c>
      <c r="H1407" s="3" t="str">
        <f>"NCBP2-AS2"</f>
        <v>NCBP2-AS2</v>
      </c>
      <c r="I1407" s="3" t="str">
        <f>"protein_coding"</f>
        <v>protein_coding</v>
      </c>
    </row>
    <row r="1408" spans="1:9" x14ac:dyDescent="0.2">
      <c r="A1408" s="3" t="str">
        <f>"ENSG00000161267.12"</f>
        <v>ENSG00000161267.12</v>
      </c>
      <c r="B1408" s="3">
        <v>819.64687748821598</v>
      </c>
      <c r="C1408" s="3">
        <v>1.58680153522922</v>
      </c>
      <c r="D1408" s="3">
        <v>0.215399060377549</v>
      </c>
      <c r="E1408" s="3">
        <v>7.3667987801241601</v>
      </c>
      <c r="F1408" s="4">
        <v>1.74773977358264E-13</v>
      </c>
      <c r="G1408" s="4">
        <v>3.8066079624945099E-12</v>
      </c>
      <c r="H1408" s="3" t="str">
        <f>"BDH1"</f>
        <v>BDH1</v>
      </c>
      <c r="I1408" s="3" t="str">
        <f>"protein_coding"</f>
        <v>protein_coding</v>
      </c>
    </row>
    <row r="1409" spans="1:9" x14ac:dyDescent="0.2">
      <c r="A1409" s="3" t="str">
        <f>"ENSG00000185621.11"</f>
        <v>ENSG00000185621.11</v>
      </c>
      <c r="B1409" s="3">
        <v>170.279277669186</v>
      </c>
      <c r="C1409" s="3">
        <v>1.10583035221771</v>
      </c>
      <c r="D1409" s="3">
        <v>0.30728963252164099</v>
      </c>
      <c r="E1409" s="3">
        <v>3.5986581881828799</v>
      </c>
      <c r="F1409" s="3">
        <v>3.1986326683140499E-4</v>
      </c>
      <c r="G1409" s="3">
        <v>1.6142460513716001E-3</v>
      </c>
      <c r="H1409" s="3" t="str">
        <f>"LMLN"</f>
        <v>LMLN</v>
      </c>
      <c r="I1409" s="3" t="str">
        <f>"protein_coding"</f>
        <v>protein_coding</v>
      </c>
    </row>
    <row r="1410" spans="1:9" x14ac:dyDescent="0.2">
      <c r="A1410" s="3" t="str">
        <f>"ENSG00000226435.10"</f>
        <v>ENSG00000226435.10</v>
      </c>
      <c r="B1410" s="3">
        <v>5.6165690043809304</v>
      </c>
      <c r="C1410" s="3">
        <v>5.8878010113370598</v>
      </c>
      <c r="D1410" s="3">
        <v>1.97841862588365</v>
      </c>
      <c r="E1410" s="3">
        <v>2.9760137386026102</v>
      </c>
      <c r="F1410" s="3">
        <v>2.9202177944163302E-3</v>
      </c>
      <c r="G1410" s="3">
        <v>1.1178304895260199E-2</v>
      </c>
      <c r="H1410" s="3" t="str">
        <f>"ANKRD18DP"</f>
        <v>ANKRD18DP</v>
      </c>
      <c r="I1410" s="3" t="str">
        <f>"transcribed_unprocessed_pseudogene"</f>
        <v>transcribed_unprocessed_pseudogene</v>
      </c>
    </row>
    <row r="1411" spans="1:9" x14ac:dyDescent="0.2">
      <c r="A1411" s="3" t="str">
        <f>"ENSG00000169020.10"</f>
        <v>ENSG00000169020.10</v>
      </c>
      <c r="B1411" s="3">
        <v>866.40896375343505</v>
      </c>
      <c r="C1411" s="3">
        <v>-1.1290448264930999</v>
      </c>
      <c r="D1411" s="3">
        <v>0.26568195347968399</v>
      </c>
      <c r="E1411" s="3">
        <v>-4.2496105275717699</v>
      </c>
      <c r="F1411" s="4">
        <v>2.1414252515520899E-5</v>
      </c>
      <c r="G1411" s="3">
        <v>1.41516890198981E-4</v>
      </c>
      <c r="H1411" s="3" t="str">
        <f>"ATP5ME"</f>
        <v>ATP5ME</v>
      </c>
      <c r="I1411" s="3" t="str">
        <f t="shared" ref="I1411:I1418" si="66">"protein_coding"</f>
        <v>protein_coding</v>
      </c>
    </row>
    <row r="1412" spans="1:9" x14ac:dyDescent="0.2">
      <c r="A1412" s="3" t="str">
        <f>"ENSG00000168993.15"</f>
        <v>ENSG00000168993.15</v>
      </c>
      <c r="B1412" s="3">
        <v>30.030499563528601</v>
      </c>
      <c r="C1412" s="3">
        <v>-1.86359015823788</v>
      </c>
      <c r="D1412" s="3">
        <v>0.64856357211027704</v>
      </c>
      <c r="E1412" s="3">
        <v>-2.8734117029949502</v>
      </c>
      <c r="F1412" s="3">
        <v>4.0606456765000304E-3</v>
      </c>
      <c r="G1412" s="3">
        <v>1.4835131770930101E-2</v>
      </c>
      <c r="H1412" s="3" t="str">
        <f>"CPLX1"</f>
        <v>CPLX1</v>
      </c>
      <c r="I1412" s="3" t="str">
        <f t="shared" si="66"/>
        <v>protein_coding</v>
      </c>
    </row>
    <row r="1413" spans="1:9" x14ac:dyDescent="0.2">
      <c r="A1413" s="3" t="str">
        <f>"ENSG00000127419.17"</f>
        <v>ENSG00000127419.17</v>
      </c>
      <c r="B1413" s="3">
        <v>266.79493511678902</v>
      </c>
      <c r="C1413" s="3">
        <v>1.2488162841272299</v>
      </c>
      <c r="D1413" s="3">
        <v>0.30517561348526601</v>
      </c>
      <c r="E1413" s="3">
        <v>4.0921234493971896</v>
      </c>
      <c r="F1413" s="4">
        <v>4.2744098214853902E-5</v>
      </c>
      <c r="G1413" s="3">
        <v>2.6505426583070698E-4</v>
      </c>
      <c r="H1413" s="3" t="str">
        <f>"TMEM175"</f>
        <v>TMEM175</v>
      </c>
      <c r="I1413" s="3" t="str">
        <f t="shared" si="66"/>
        <v>protein_coding</v>
      </c>
    </row>
    <row r="1414" spans="1:9" x14ac:dyDescent="0.2">
      <c r="A1414" s="3" t="str">
        <f>"ENSG00000145217.14"</f>
        <v>ENSG00000145217.14</v>
      </c>
      <c r="B1414" s="3">
        <v>650.05840274301204</v>
      </c>
      <c r="C1414" s="3">
        <v>-3.2795257565892801</v>
      </c>
      <c r="D1414" s="3">
        <v>0.30206498161492401</v>
      </c>
      <c r="E1414" s="3">
        <v>-10.8570206948717</v>
      </c>
      <c r="F1414" s="4">
        <v>1.8467628311257099E-27</v>
      </c>
      <c r="G1414" s="4">
        <v>1.21249992432969E-25</v>
      </c>
      <c r="H1414" s="3" t="str">
        <f>"SLC26A1"</f>
        <v>SLC26A1</v>
      </c>
      <c r="I1414" s="3" t="str">
        <f t="shared" si="66"/>
        <v>protein_coding</v>
      </c>
    </row>
    <row r="1415" spans="1:9" x14ac:dyDescent="0.2">
      <c r="A1415" s="3" t="str">
        <f>"ENSG00000127415.13"</f>
        <v>ENSG00000127415.13</v>
      </c>
      <c r="B1415" s="3">
        <v>105.710171445773</v>
      </c>
      <c r="C1415" s="3">
        <v>1.5074270736302999</v>
      </c>
      <c r="D1415" s="3">
        <v>0.39397059719442001</v>
      </c>
      <c r="E1415" s="3">
        <v>3.8262425784185998</v>
      </c>
      <c r="F1415" s="3">
        <v>1.3011407686700299E-4</v>
      </c>
      <c r="G1415" s="3">
        <v>7.2618153469791605E-4</v>
      </c>
      <c r="H1415" s="3" t="str">
        <f>"IDUA"</f>
        <v>IDUA</v>
      </c>
      <c r="I1415" s="3" t="str">
        <f t="shared" si="66"/>
        <v>protein_coding</v>
      </c>
    </row>
    <row r="1416" spans="1:9" x14ac:dyDescent="0.2">
      <c r="A1416" s="3" t="str">
        <f>"ENSG00000127418.15"</f>
        <v>ENSG00000127418.15</v>
      </c>
      <c r="B1416" s="3">
        <v>2194.1152880785598</v>
      </c>
      <c r="C1416" s="3">
        <v>-2.71526473008455</v>
      </c>
      <c r="D1416" s="3">
        <v>0.218425791812562</v>
      </c>
      <c r="E1416" s="3">
        <v>-12.4310627767558</v>
      </c>
      <c r="F1416" s="4">
        <v>1.77261868070936E-35</v>
      </c>
      <c r="G1416" s="4">
        <v>1.9166087775114299E-33</v>
      </c>
      <c r="H1416" s="3" t="str">
        <f>"FGFRL1"</f>
        <v>FGFRL1</v>
      </c>
      <c r="I1416" s="3" t="str">
        <f t="shared" si="66"/>
        <v>protein_coding</v>
      </c>
    </row>
    <row r="1417" spans="1:9" x14ac:dyDescent="0.2">
      <c r="A1417" s="3" t="str">
        <f>"ENSG00000159674.12"</f>
        <v>ENSG00000159674.12</v>
      </c>
      <c r="B1417" s="3">
        <v>831.40683009121597</v>
      </c>
      <c r="C1417" s="3">
        <v>-1.9732382424935799</v>
      </c>
      <c r="D1417" s="3">
        <v>0.248205378036538</v>
      </c>
      <c r="E1417" s="3">
        <v>-7.9500221071080004</v>
      </c>
      <c r="F1417" s="4">
        <v>1.8647823527905898E-15</v>
      </c>
      <c r="G1417" s="4">
        <v>4.8575262683064202E-14</v>
      </c>
      <c r="H1417" s="3" t="str">
        <f>"SPON2"</f>
        <v>SPON2</v>
      </c>
      <c r="I1417" s="3" t="str">
        <f t="shared" si="66"/>
        <v>protein_coding</v>
      </c>
    </row>
    <row r="1418" spans="1:9" x14ac:dyDescent="0.2">
      <c r="A1418" s="3" t="str">
        <f>"ENSG00000163950.13"</f>
        <v>ENSG00000163950.13</v>
      </c>
      <c r="B1418" s="3">
        <v>1655.8901857411199</v>
      </c>
      <c r="C1418" s="3">
        <v>-1.2475327436622701</v>
      </c>
      <c r="D1418" s="3">
        <v>0.18580096659742701</v>
      </c>
      <c r="E1418" s="3">
        <v>-6.7143501269575596</v>
      </c>
      <c r="F1418" s="4">
        <v>1.8890622421378101E-11</v>
      </c>
      <c r="G1418" s="4">
        <v>3.2270394301899102E-10</v>
      </c>
      <c r="H1418" s="3" t="str">
        <f>"SLBP"</f>
        <v>SLBP</v>
      </c>
      <c r="I1418" s="3" t="str">
        <f t="shared" si="66"/>
        <v>protein_coding</v>
      </c>
    </row>
    <row r="1419" spans="1:9" x14ac:dyDescent="0.2">
      <c r="A1419" s="3" t="str">
        <f>"ENSG00000270195.2"</f>
        <v>ENSG00000270195.2</v>
      </c>
      <c r="B1419" s="3">
        <v>34.906375079935898</v>
      </c>
      <c r="C1419" s="3">
        <v>-1.5390341892575401</v>
      </c>
      <c r="D1419" s="3">
        <v>0.60241603413482603</v>
      </c>
      <c r="E1419" s="3">
        <v>-2.5547696310372299</v>
      </c>
      <c r="F1419" s="3">
        <v>1.06258096990166E-2</v>
      </c>
      <c r="G1419" s="3">
        <v>3.3493919119516997E-2</v>
      </c>
      <c r="H1419" s="3" t="str">
        <f>"AC016773.1"</f>
        <v>AC016773.1</v>
      </c>
      <c r="I1419" s="3" t="str">
        <f>"lincRNA"</f>
        <v>lincRNA</v>
      </c>
    </row>
    <row r="1420" spans="1:9" x14ac:dyDescent="0.2">
      <c r="A1420" s="3" t="str">
        <f>"ENSG00000068078.18"</f>
        <v>ENSG00000068078.18</v>
      </c>
      <c r="B1420" s="3">
        <v>7497.7327049184996</v>
      </c>
      <c r="C1420" s="3">
        <v>-1.35656055057469</v>
      </c>
      <c r="D1420" s="3">
        <v>0.21120686655220799</v>
      </c>
      <c r="E1420" s="3">
        <v>-6.42289984563243</v>
      </c>
      <c r="F1420" s="4">
        <v>1.33702466753479E-10</v>
      </c>
      <c r="G1420" s="4">
        <v>2.04318065711276E-9</v>
      </c>
      <c r="H1420" s="3" t="str">
        <f>"FGFR3"</f>
        <v>FGFR3</v>
      </c>
      <c r="I1420" s="3" t="str">
        <f>"protein_coding"</f>
        <v>protein_coding</v>
      </c>
    </row>
    <row r="1421" spans="1:9" x14ac:dyDescent="0.2">
      <c r="A1421" s="3" t="str">
        <f>"ENSG00000168924.15"</f>
        <v>ENSG00000168924.15</v>
      </c>
      <c r="B1421" s="3">
        <v>3000.7241321188899</v>
      </c>
      <c r="C1421" s="3">
        <v>-1.27339561962502</v>
      </c>
      <c r="D1421" s="3">
        <v>0.21767447285698199</v>
      </c>
      <c r="E1421" s="3">
        <v>-5.8499997859724902</v>
      </c>
      <c r="F1421" s="4">
        <v>4.91573644902322E-9</v>
      </c>
      <c r="G1421" s="4">
        <v>6.1075727782278006E-8</v>
      </c>
      <c r="H1421" s="3" t="str">
        <f>"LETM1"</f>
        <v>LETM1</v>
      </c>
      <c r="I1421" s="3" t="str">
        <f>"protein_coding"</f>
        <v>protein_coding</v>
      </c>
    </row>
    <row r="1422" spans="1:9" x14ac:dyDescent="0.2">
      <c r="A1422" s="3" t="str">
        <f>"ENSG00000185049.14"</f>
        <v>ENSG00000185049.14</v>
      </c>
      <c r="B1422" s="3">
        <v>1368.0772082537301</v>
      </c>
      <c r="C1422" s="3">
        <v>-1.1106183887941199</v>
      </c>
      <c r="D1422" s="3">
        <v>0.221752042709049</v>
      </c>
      <c r="E1422" s="3">
        <v>-5.00837951806969</v>
      </c>
      <c r="F1422" s="4">
        <v>5.4890218624031705E-7</v>
      </c>
      <c r="G1422" s="4">
        <v>4.91809860851362E-6</v>
      </c>
      <c r="H1422" s="3" t="str">
        <f>"NELFA"</f>
        <v>NELFA</v>
      </c>
      <c r="I1422" s="3" t="str">
        <f>"protein_coding"</f>
        <v>protein_coding</v>
      </c>
    </row>
    <row r="1423" spans="1:9" x14ac:dyDescent="0.2">
      <c r="A1423" s="3" t="str">
        <f>"ENSG00000249673.6"</f>
        <v>ENSG00000249673.6</v>
      </c>
      <c r="B1423" s="3">
        <v>1158.06625604684</v>
      </c>
      <c r="C1423" s="3">
        <v>3.31477718862768</v>
      </c>
      <c r="D1423" s="3">
        <v>0.221450801472652</v>
      </c>
      <c r="E1423" s="3">
        <v>14.9684587573598</v>
      </c>
      <c r="F1423" s="4">
        <v>1.1802482723809599E-50</v>
      </c>
      <c r="G1423" s="4">
        <v>2.4362291422397E-48</v>
      </c>
      <c r="H1423" s="3" t="str">
        <f>"NOP14-AS1"</f>
        <v>NOP14-AS1</v>
      </c>
      <c r="I1423" s="3" t="str">
        <f>"antisense"</f>
        <v>antisense</v>
      </c>
    </row>
    <row r="1424" spans="1:9" x14ac:dyDescent="0.2">
      <c r="A1424" s="3" t="str">
        <f>"ENSG00000087269.16"</f>
        <v>ENSG00000087269.16</v>
      </c>
      <c r="B1424" s="3">
        <v>2738.14691078536</v>
      </c>
      <c r="C1424" s="3">
        <v>-1.0387628231759101</v>
      </c>
      <c r="D1424" s="3">
        <v>0.18909995377112199</v>
      </c>
      <c r="E1424" s="3">
        <v>-5.4931944850350298</v>
      </c>
      <c r="F1424" s="4">
        <v>3.9472768172206501E-8</v>
      </c>
      <c r="G1424" s="4">
        <v>4.3020580575524498E-7</v>
      </c>
      <c r="H1424" s="3" t="str">
        <f>"NOP14"</f>
        <v>NOP14</v>
      </c>
      <c r="I1424" s="3" t="str">
        <f>"protein_coding"</f>
        <v>protein_coding</v>
      </c>
    </row>
    <row r="1425" spans="1:9" x14ac:dyDescent="0.2">
      <c r="A1425" s="3" t="str">
        <f>"ENSG00000188981.11"</f>
        <v>ENSG00000188981.11</v>
      </c>
      <c r="B1425" s="3">
        <v>44.5016105934805</v>
      </c>
      <c r="C1425" s="3">
        <v>1.5910444296755899</v>
      </c>
      <c r="D1425" s="3">
        <v>0.53369649659612795</v>
      </c>
      <c r="E1425" s="3">
        <v>2.9811783285503002</v>
      </c>
      <c r="F1425" s="3">
        <v>2.8714153101668501E-3</v>
      </c>
      <c r="G1425" s="3">
        <v>1.10085061145513E-2</v>
      </c>
      <c r="H1425" s="3" t="str">
        <f>"MSANTD1"</f>
        <v>MSANTD1</v>
      </c>
      <c r="I1425" s="3" t="str">
        <f>"protein_coding"</f>
        <v>protein_coding</v>
      </c>
    </row>
    <row r="1426" spans="1:9" x14ac:dyDescent="0.2">
      <c r="A1426" s="3" t="str">
        <f>"ENSG00000163956.12"</f>
        <v>ENSG00000163956.12</v>
      </c>
      <c r="B1426" s="3">
        <v>8438.8509831165793</v>
      </c>
      <c r="C1426" s="3">
        <v>1.0525746193484</v>
      </c>
      <c r="D1426" s="3">
        <v>0.215773853946232</v>
      </c>
      <c r="E1426" s="3">
        <v>4.8781379212454699</v>
      </c>
      <c r="F1426" s="4">
        <v>1.0709203361237399E-6</v>
      </c>
      <c r="G1426" s="4">
        <v>9.1356814021176102E-6</v>
      </c>
      <c r="H1426" s="3" t="str">
        <f>"LRPAP1"</f>
        <v>LRPAP1</v>
      </c>
      <c r="I1426" s="3" t="str">
        <f>"protein_coding"</f>
        <v>protein_coding</v>
      </c>
    </row>
    <row r="1427" spans="1:9" x14ac:dyDescent="0.2">
      <c r="A1427" s="3" t="str">
        <f>"ENSG00000184160.7"</f>
        <v>ENSG00000184160.7</v>
      </c>
      <c r="B1427" s="3">
        <v>2007.5165941708999</v>
      </c>
      <c r="C1427" s="3">
        <v>-1.30071170115384</v>
      </c>
      <c r="D1427" s="3">
        <v>0.21357025382327899</v>
      </c>
      <c r="E1427" s="3">
        <v>-6.0903224014994404</v>
      </c>
      <c r="F1427" s="4">
        <v>1.12683527521866E-9</v>
      </c>
      <c r="G1427" s="4">
        <v>1.5214509783886399E-8</v>
      </c>
      <c r="H1427" s="3" t="str">
        <f>"ADRA2C"</f>
        <v>ADRA2C</v>
      </c>
      <c r="I1427" s="3" t="str">
        <f>"protein_coding"</f>
        <v>protein_coding</v>
      </c>
    </row>
    <row r="1428" spans="1:9" x14ac:dyDescent="0.2">
      <c r="A1428" s="3" t="str">
        <f>"ENSG00000251271.3"</f>
        <v>ENSG00000251271.3</v>
      </c>
      <c r="B1428" s="3">
        <v>48.640568736442098</v>
      </c>
      <c r="C1428" s="3">
        <v>7.5500023822626998</v>
      </c>
      <c r="D1428" s="3">
        <v>1.5147439336768</v>
      </c>
      <c r="E1428" s="3">
        <v>4.9843423792008599</v>
      </c>
      <c r="F1428" s="4">
        <v>6.2172903964725197E-7</v>
      </c>
      <c r="G1428" s="4">
        <v>5.5108168976150599E-6</v>
      </c>
      <c r="H1428" s="3" t="str">
        <f>"ALG1L7P"</f>
        <v>ALG1L7P</v>
      </c>
      <c r="I1428" s="3" t="str">
        <f>"unprocessed_pseudogene"</f>
        <v>unprocessed_pseudogene</v>
      </c>
    </row>
    <row r="1429" spans="1:9" x14ac:dyDescent="0.2">
      <c r="A1429" s="3" t="str">
        <f>"ENSG00000145220.14"</f>
        <v>ENSG00000145220.14</v>
      </c>
      <c r="B1429" s="3">
        <v>1251.6159485476901</v>
      </c>
      <c r="C1429" s="3">
        <v>-1.2777777621647799</v>
      </c>
      <c r="D1429" s="3">
        <v>0.19619113952963199</v>
      </c>
      <c r="E1429" s="3">
        <v>-6.5129228834097903</v>
      </c>
      <c r="F1429" s="4">
        <v>7.37023539855124E-11</v>
      </c>
      <c r="G1429" s="4">
        <v>1.1709434629989799E-9</v>
      </c>
      <c r="H1429" s="3" t="str">
        <f>"LYAR"</f>
        <v>LYAR</v>
      </c>
      <c r="I1429" s="3" t="str">
        <f t="shared" ref="I1429:I1434" si="67">"protein_coding"</f>
        <v>protein_coding</v>
      </c>
    </row>
    <row r="1430" spans="1:9" x14ac:dyDescent="0.2">
      <c r="A1430" s="3" t="str">
        <f>"ENSG00000168824.14"</f>
        <v>ENSG00000168824.14</v>
      </c>
      <c r="B1430" s="3">
        <v>176.71927804994201</v>
      </c>
      <c r="C1430" s="3">
        <v>7.0855852496685596</v>
      </c>
      <c r="D1430" s="3">
        <v>0.70978485098855204</v>
      </c>
      <c r="E1430" s="3">
        <v>9.9827225669864905</v>
      </c>
      <c r="F1430" s="4">
        <v>1.8141924812194199E-23</v>
      </c>
      <c r="G1430" s="4">
        <v>8.9875095519610096E-22</v>
      </c>
      <c r="H1430" s="3" t="str">
        <f>"NSG1"</f>
        <v>NSG1</v>
      </c>
      <c r="I1430" s="3" t="str">
        <f t="shared" si="67"/>
        <v>protein_coding</v>
      </c>
    </row>
    <row r="1431" spans="1:9" x14ac:dyDescent="0.2">
      <c r="A1431" s="3" t="str">
        <f>"ENSG00000152953.13"</f>
        <v>ENSG00000152953.13</v>
      </c>
      <c r="B1431" s="3">
        <v>4.2939624891008599</v>
      </c>
      <c r="C1431" s="3">
        <v>5.4978614945687996</v>
      </c>
      <c r="D1431" s="3">
        <v>2.1119244238519399</v>
      </c>
      <c r="E1431" s="3">
        <v>2.6032472717661199</v>
      </c>
      <c r="F1431" s="3">
        <v>9.2345323669644607E-3</v>
      </c>
      <c r="G1431" s="3">
        <v>2.9695893237658502E-2</v>
      </c>
      <c r="H1431" s="3" t="str">
        <f>"STK32B"</f>
        <v>STK32B</v>
      </c>
      <c r="I1431" s="3" t="str">
        <f t="shared" si="67"/>
        <v>protein_coding</v>
      </c>
    </row>
    <row r="1432" spans="1:9" x14ac:dyDescent="0.2">
      <c r="A1432" s="3" t="str">
        <f>"ENSG00000072840.13"</f>
        <v>ENSG00000072840.13</v>
      </c>
      <c r="B1432" s="3">
        <v>845.73094591524296</v>
      </c>
      <c r="C1432" s="3">
        <v>-1.82266603431262</v>
      </c>
      <c r="D1432" s="3">
        <v>0.21560219948151599</v>
      </c>
      <c r="E1432" s="3">
        <v>-8.4538378490377308</v>
      </c>
      <c r="F1432" s="4">
        <v>2.8188071613146199E-17</v>
      </c>
      <c r="G1432" s="4">
        <v>8.6103182426389602E-16</v>
      </c>
      <c r="H1432" s="3" t="str">
        <f>"EVC"</f>
        <v>EVC</v>
      </c>
      <c r="I1432" s="3" t="str">
        <f t="shared" si="67"/>
        <v>protein_coding</v>
      </c>
    </row>
    <row r="1433" spans="1:9" x14ac:dyDescent="0.2">
      <c r="A1433" s="3" t="str">
        <f>"ENSG00000181215.15"</f>
        <v>ENSG00000181215.15</v>
      </c>
      <c r="B1433" s="3">
        <v>6.6070209956545298</v>
      </c>
      <c r="C1433" s="3">
        <v>6.1210130461908303</v>
      </c>
      <c r="D1433" s="3">
        <v>1.90507111739157</v>
      </c>
      <c r="E1433" s="3">
        <v>3.2130102599905701</v>
      </c>
      <c r="F1433" s="3">
        <v>1.3135159723961501E-3</v>
      </c>
      <c r="G1433" s="3">
        <v>5.59646125095822E-3</v>
      </c>
      <c r="H1433" s="3" t="str">
        <f>"C4orf50"</f>
        <v>C4orf50</v>
      </c>
      <c r="I1433" s="3" t="str">
        <f t="shared" si="67"/>
        <v>protein_coding</v>
      </c>
    </row>
    <row r="1434" spans="1:9" x14ac:dyDescent="0.2">
      <c r="A1434" s="3" t="str">
        <f>"ENSG00000109501.13"</f>
        <v>ENSG00000109501.13</v>
      </c>
      <c r="B1434" s="3">
        <v>3580.88385860483</v>
      </c>
      <c r="C1434" s="3">
        <v>-1.30679480577954</v>
      </c>
      <c r="D1434" s="3">
        <v>0.201597567191977</v>
      </c>
      <c r="E1434" s="3">
        <v>-6.48219531605314</v>
      </c>
      <c r="F1434" s="4">
        <v>9.0397508564134504E-11</v>
      </c>
      <c r="G1434" s="4">
        <v>1.4163662540810701E-9</v>
      </c>
      <c r="H1434" s="3" t="str">
        <f>"WFS1"</f>
        <v>WFS1</v>
      </c>
      <c r="I1434" s="3" t="str">
        <f t="shared" si="67"/>
        <v>protein_coding</v>
      </c>
    </row>
    <row r="1435" spans="1:9" x14ac:dyDescent="0.2">
      <c r="A1435" s="3" t="str">
        <f>"ENSG00000246526.2"</f>
        <v>ENSG00000246526.2</v>
      </c>
      <c r="B1435" s="3">
        <v>286.37295378735098</v>
      </c>
      <c r="C1435" s="3">
        <v>1.6500679972841199</v>
      </c>
      <c r="D1435" s="3">
        <v>0.26330730417258302</v>
      </c>
      <c r="E1435" s="3">
        <v>6.2667004338117396</v>
      </c>
      <c r="F1435" s="4">
        <v>3.68778621635153E-10</v>
      </c>
      <c r="G1435" s="4">
        <v>5.28569758216361E-9</v>
      </c>
      <c r="H1435" s="3" t="str">
        <f>"LINC002481"</f>
        <v>LINC002481</v>
      </c>
      <c r="I1435" s="3" t="str">
        <f>"lincRNA"</f>
        <v>lincRNA</v>
      </c>
    </row>
    <row r="1436" spans="1:9" x14ac:dyDescent="0.2">
      <c r="A1436" s="3" t="str">
        <f>"ENSG00000279859.2"</f>
        <v>ENSG00000279859.2</v>
      </c>
      <c r="B1436" s="3">
        <v>58.1466383006969</v>
      </c>
      <c r="C1436" s="3">
        <v>1.7056389144245301</v>
      </c>
      <c r="D1436" s="3">
        <v>0.48721794955702102</v>
      </c>
      <c r="E1436" s="3">
        <v>3.5007719152697501</v>
      </c>
      <c r="F1436" s="3">
        <v>4.6391270233844698E-4</v>
      </c>
      <c r="G1436" s="3">
        <v>2.2403809643062201E-3</v>
      </c>
      <c r="H1436" s="3" t="str">
        <f>"AC093323.2"</f>
        <v>AC093323.2</v>
      </c>
      <c r="I1436" s="3" t="str">
        <f>"TEC"</f>
        <v>TEC</v>
      </c>
    </row>
    <row r="1437" spans="1:9" x14ac:dyDescent="0.2">
      <c r="A1437" s="3" t="str">
        <f>"ENSG00000163993.7"</f>
        <v>ENSG00000163993.7</v>
      </c>
      <c r="B1437" s="3">
        <v>3783.7369308852299</v>
      </c>
      <c r="C1437" s="3">
        <v>1.02353313762345</v>
      </c>
      <c r="D1437" s="3">
        <v>0.201917701242812</v>
      </c>
      <c r="E1437" s="3">
        <v>5.0690609655496299</v>
      </c>
      <c r="F1437" s="4">
        <v>3.9978317002241599E-7</v>
      </c>
      <c r="G1437" s="4">
        <v>3.6713488485341301E-6</v>
      </c>
      <c r="H1437" s="3" t="str">
        <f>"S100P"</f>
        <v>S100P</v>
      </c>
      <c r="I1437" s="3" t="str">
        <f t="shared" ref="I1437:I1442" si="68">"protein_coding"</f>
        <v>protein_coding</v>
      </c>
    </row>
    <row r="1438" spans="1:9" x14ac:dyDescent="0.2">
      <c r="A1438" s="3" t="str">
        <f>"ENSG00000173013.5"</f>
        <v>ENSG00000173013.5</v>
      </c>
      <c r="B1438" s="3">
        <v>47.318319604427998</v>
      </c>
      <c r="C1438" s="3">
        <v>2.2382977403636399</v>
      </c>
      <c r="D1438" s="3">
        <v>0.54150769832692103</v>
      </c>
      <c r="E1438" s="3">
        <v>4.1334550686522702</v>
      </c>
      <c r="F1438" s="4">
        <v>3.5735018205269197E-5</v>
      </c>
      <c r="G1438" s="3">
        <v>2.25282748967832E-4</v>
      </c>
      <c r="H1438" s="3" t="str">
        <f>"CCDC96"</f>
        <v>CCDC96</v>
      </c>
      <c r="I1438" s="3" t="str">
        <f t="shared" si="68"/>
        <v>protein_coding</v>
      </c>
    </row>
    <row r="1439" spans="1:9" x14ac:dyDescent="0.2">
      <c r="A1439" s="3" t="str">
        <f>"ENSG00000184985.16"</f>
        <v>ENSG00000184985.16</v>
      </c>
      <c r="B1439" s="3">
        <v>1102.0343782636301</v>
      </c>
      <c r="C1439" s="3">
        <v>8.5955867915165491</v>
      </c>
      <c r="D1439" s="3">
        <v>0.47892200551307501</v>
      </c>
      <c r="E1439" s="3">
        <v>17.947779998766201</v>
      </c>
      <c r="F1439" s="4">
        <v>4.9947371933666396E-72</v>
      </c>
      <c r="G1439" s="4">
        <v>2.6171462366857898E-69</v>
      </c>
      <c r="H1439" s="3" t="str">
        <f>"SORCS2"</f>
        <v>SORCS2</v>
      </c>
      <c r="I1439" s="3" t="str">
        <f t="shared" si="68"/>
        <v>protein_coding</v>
      </c>
    </row>
    <row r="1440" spans="1:9" x14ac:dyDescent="0.2">
      <c r="A1440" s="3" t="str">
        <f>"ENSG00000196526.10"</f>
        <v>ENSG00000196526.10</v>
      </c>
      <c r="B1440" s="3">
        <v>989.35661983448404</v>
      </c>
      <c r="C1440" s="3">
        <v>-1.3869164041787101</v>
      </c>
      <c r="D1440" s="3">
        <v>0.20812831076363</v>
      </c>
      <c r="E1440" s="3">
        <v>-6.6637565984659703</v>
      </c>
      <c r="F1440" s="4">
        <v>2.6691538661909099E-11</v>
      </c>
      <c r="G1440" s="4">
        <v>4.4920590112479102E-10</v>
      </c>
      <c r="H1440" s="3" t="str">
        <f>"AFAP1"</f>
        <v>AFAP1</v>
      </c>
      <c r="I1440" s="3" t="str">
        <f t="shared" si="68"/>
        <v>protein_coding</v>
      </c>
    </row>
    <row r="1441" spans="1:9" x14ac:dyDescent="0.2">
      <c r="A1441" s="3" t="str">
        <f>"ENSG00000163995.20"</f>
        <v>ENSG00000163995.20</v>
      </c>
      <c r="B1441" s="3">
        <v>18.281325848535701</v>
      </c>
      <c r="C1441" s="3">
        <v>3.1893504748101602</v>
      </c>
      <c r="D1441" s="3">
        <v>0.91094515514359897</v>
      </c>
      <c r="E1441" s="3">
        <v>3.50114434090974</v>
      </c>
      <c r="F1441" s="3">
        <v>4.6326485992490398E-4</v>
      </c>
      <c r="G1441" s="3">
        <v>2.23804568056274E-3</v>
      </c>
      <c r="H1441" s="3" t="str">
        <f>"ABLIM2"</f>
        <v>ABLIM2</v>
      </c>
      <c r="I1441" s="3" t="str">
        <f t="shared" si="68"/>
        <v>protein_coding</v>
      </c>
    </row>
    <row r="1442" spans="1:9" x14ac:dyDescent="0.2">
      <c r="A1442" s="3" t="str">
        <f>"ENSG00000125089.17"</f>
        <v>ENSG00000125089.17</v>
      </c>
      <c r="B1442" s="3">
        <v>1415.4352806944901</v>
      </c>
      <c r="C1442" s="3">
        <v>-1.5928950897382801</v>
      </c>
      <c r="D1442" s="3">
        <v>0.23279414774954199</v>
      </c>
      <c r="E1442" s="3">
        <v>-6.8425048702342997</v>
      </c>
      <c r="F1442" s="4">
        <v>7.7820258884443896E-12</v>
      </c>
      <c r="G1442" s="4">
        <v>1.38495662562015E-10</v>
      </c>
      <c r="H1442" s="3" t="str">
        <f>"SH3TC1"</f>
        <v>SH3TC1</v>
      </c>
      <c r="I1442" s="3" t="str">
        <f t="shared" si="68"/>
        <v>protein_coding</v>
      </c>
    </row>
    <row r="1443" spans="1:9" x14ac:dyDescent="0.2">
      <c r="A1443" s="3" t="str">
        <f>"ENSG00000250268.3"</f>
        <v>ENSG00000250268.3</v>
      </c>
      <c r="B1443" s="3">
        <v>4.4419206987007298</v>
      </c>
      <c r="C1443" s="3">
        <v>5.5494320654361804</v>
      </c>
      <c r="D1443" s="3">
        <v>2.0968136374099</v>
      </c>
      <c r="E1443" s="3">
        <v>2.64660242876479</v>
      </c>
      <c r="F1443" s="3">
        <v>8.1304878157815001E-3</v>
      </c>
      <c r="G1443" s="3">
        <v>2.6730449100916698E-2</v>
      </c>
      <c r="H1443" s="3" t="str">
        <f>"ALG1L14P"</f>
        <v>ALG1L14P</v>
      </c>
      <c r="I1443" s="3" t="str">
        <f>"unprocessed_pseudogene"</f>
        <v>unprocessed_pseudogene</v>
      </c>
    </row>
    <row r="1444" spans="1:9" x14ac:dyDescent="0.2">
      <c r="A1444" s="3" t="str">
        <f>"ENSG00000229924.3"</f>
        <v>ENSG00000229924.3</v>
      </c>
      <c r="B1444" s="3">
        <v>31.860456672592399</v>
      </c>
      <c r="C1444" s="3">
        <v>8.3906533756858597</v>
      </c>
      <c r="D1444" s="3">
        <v>1.55621806667285</v>
      </c>
      <c r="E1444" s="3">
        <v>5.3916951328195601</v>
      </c>
      <c r="F1444" s="4">
        <v>6.9796110807972195E-8</v>
      </c>
      <c r="G1444" s="4">
        <v>7.2891323541004904E-7</v>
      </c>
      <c r="H1444" s="3" t="str">
        <f>"FAM90A26"</f>
        <v>FAM90A26</v>
      </c>
      <c r="I1444" s="3" t="str">
        <f>"protein_coding"</f>
        <v>protein_coding</v>
      </c>
    </row>
    <row r="1445" spans="1:9" x14ac:dyDescent="0.2">
      <c r="A1445" s="3" t="str">
        <f>"ENSG00000250613.1"</f>
        <v>ENSG00000250613.1</v>
      </c>
      <c r="B1445" s="3">
        <v>8.9201228711182203</v>
      </c>
      <c r="C1445" s="3">
        <v>4.0228934882487497</v>
      </c>
      <c r="D1445" s="3">
        <v>1.44953531280327</v>
      </c>
      <c r="E1445" s="3">
        <v>2.7752987131226399</v>
      </c>
      <c r="F1445" s="3">
        <v>5.5151026857709704E-3</v>
      </c>
      <c r="G1445" s="3">
        <v>1.9327328025654601E-2</v>
      </c>
      <c r="H1445" s="3" t="str">
        <f>"AC110768.2"</f>
        <v>AC110768.2</v>
      </c>
      <c r="I1445" s="3" t="str">
        <f>"processed_pseudogene"</f>
        <v>processed_pseudogene</v>
      </c>
    </row>
    <row r="1446" spans="1:9" x14ac:dyDescent="0.2">
      <c r="A1446" s="3" t="str">
        <f>"ENSG00000250371.1"</f>
        <v>ENSG00000250371.1</v>
      </c>
      <c r="B1446" s="3">
        <v>19.443782174163999</v>
      </c>
      <c r="C1446" s="3">
        <v>-2.3807386756192099</v>
      </c>
      <c r="D1446" s="3">
        <v>0.82138556860733403</v>
      </c>
      <c r="E1446" s="3">
        <v>-2.8984422987316099</v>
      </c>
      <c r="F1446" s="3">
        <v>3.7502130769115401E-3</v>
      </c>
      <c r="G1446" s="3">
        <v>1.3881545402337801E-2</v>
      </c>
      <c r="H1446" s="3" t="str">
        <f>"AC007370.2"</f>
        <v>AC007370.2</v>
      </c>
      <c r="I1446" s="3" t="str">
        <f>"lincRNA"</f>
        <v>lincRNA</v>
      </c>
    </row>
    <row r="1447" spans="1:9" x14ac:dyDescent="0.2">
      <c r="A1447" s="3" t="str">
        <f>"ENSG00000247624.6"</f>
        <v>ENSG00000247624.6</v>
      </c>
      <c r="B1447" s="3">
        <v>25.112252958431601</v>
      </c>
      <c r="C1447" s="3">
        <v>2.4597958638701498</v>
      </c>
      <c r="D1447" s="3">
        <v>0.73182277578451305</v>
      </c>
      <c r="E1447" s="3">
        <v>3.3611906396780999</v>
      </c>
      <c r="F1447" s="3">
        <v>7.76072397968773E-4</v>
      </c>
      <c r="G1447" s="3">
        <v>3.5384278158392202E-3</v>
      </c>
      <c r="H1447" s="3" t="str">
        <f>"CPEB2-DT"</f>
        <v>CPEB2-DT</v>
      </c>
      <c r="I1447" s="3" t="str">
        <f>"lincRNA"</f>
        <v>lincRNA</v>
      </c>
    </row>
    <row r="1448" spans="1:9" x14ac:dyDescent="0.2">
      <c r="A1448" s="3" t="str">
        <f>"ENSG00000137449.15"</f>
        <v>ENSG00000137449.15</v>
      </c>
      <c r="B1448" s="3">
        <v>451.06340662392</v>
      </c>
      <c r="C1448" s="3">
        <v>1.25465049100113</v>
      </c>
      <c r="D1448" s="3">
        <v>0.27050146119733998</v>
      </c>
      <c r="E1448" s="3">
        <v>4.6382392370362</v>
      </c>
      <c r="F1448" s="4">
        <v>3.51389909040968E-6</v>
      </c>
      <c r="G1448" s="4">
        <v>2.73352077804725E-5</v>
      </c>
      <c r="H1448" s="3" t="str">
        <f>"CPEB2"</f>
        <v>CPEB2</v>
      </c>
      <c r="I1448" s="3" t="str">
        <f>"protein_coding"</f>
        <v>protein_coding</v>
      </c>
    </row>
    <row r="1449" spans="1:9" x14ac:dyDescent="0.2">
      <c r="A1449" s="3" t="str">
        <f>"ENSG00000007062.11"</f>
        <v>ENSG00000007062.11</v>
      </c>
      <c r="B1449" s="3">
        <v>408.17561618375697</v>
      </c>
      <c r="C1449" s="3">
        <v>-1.05993873700279</v>
      </c>
      <c r="D1449" s="3">
        <v>0.23186661457987701</v>
      </c>
      <c r="E1449" s="3">
        <v>-4.5713296798821403</v>
      </c>
      <c r="F1449" s="4">
        <v>4.8463911108605999E-6</v>
      </c>
      <c r="G1449" s="4">
        <v>3.6660082897728698E-5</v>
      </c>
      <c r="H1449" s="3" t="str">
        <f>"PROM1"</f>
        <v>PROM1</v>
      </c>
      <c r="I1449" s="3" t="str">
        <f>"protein_coding"</f>
        <v>protein_coding</v>
      </c>
    </row>
    <row r="1450" spans="1:9" x14ac:dyDescent="0.2">
      <c r="A1450" s="3" t="str">
        <f>"ENSG00000169744.13"</f>
        <v>ENSG00000169744.13</v>
      </c>
      <c r="B1450" s="3">
        <v>9.2492282358417608</v>
      </c>
      <c r="C1450" s="3">
        <v>6.6056718306533204</v>
      </c>
      <c r="D1450" s="3">
        <v>1.78563747247767</v>
      </c>
      <c r="E1450" s="3">
        <v>3.6993353536021001</v>
      </c>
      <c r="F1450" s="3">
        <v>2.1616481913639101E-4</v>
      </c>
      <c r="G1450" s="3">
        <v>1.14077916463476E-3</v>
      </c>
      <c r="H1450" s="3" t="str">
        <f>"LDB2"</f>
        <v>LDB2</v>
      </c>
      <c r="I1450" s="3" t="str">
        <f>"protein_coding"</f>
        <v>protein_coding</v>
      </c>
    </row>
    <row r="1451" spans="1:9" x14ac:dyDescent="0.2">
      <c r="A1451" s="3" t="str">
        <f>"ENSG00000047662.4"</f>
        <v>ENSG00000047662.4</v>
      </c>
      <c r="B1451" s="3">
        <v>14.135110301162101</v>
      </c>
      <c r="C1451" s="3">
        <v>3.6647850331113698</v>
      </c>
      <c r="D1451" s="3">
        <v>1.0942205071419999</v>
      </c>
      <c r="E1451" s="3">
        <v>3.3492198411483201</v>
      </c>
      <c r="F1451" s="3">
        <v>8.1039466389720802E-4</v>
      </c>
      <c r="G1451" s="3">
        <v>3.67157023731414E-3</v>
      </c>
      <c r="H1451" s="3" t="str">
        <f>"FAM184B"</f>
        <v>FAM184B</v>
      </c>
      <c r="I1451" s="3" t="str">
        <f>"protein_coding"</f>
        <v>protein_coding</v>
      </c>
    </row>
    <row r="1452" spans="1:9" x14ac:dyDescent="0.2">
      <c r="A1452" s="3" t="str">
        <f>"ENSG00000145147.20"</f>
        <v>ENSG00000145147.20</v>
      </c>
      <c r="B1452" s="3">
        <v>42.028018073360201</v>
      </c>
      <c r="C1452" s="3">
        <v>2.0856117868785899</v>
      </c>
      <c r="D1452" s="3">
        <v>0.56437956908785802</v>
      </c>
      <c r="E1452" s="3">
        <v>3.69540624982106</v>
      </c>
      <c r="F1452" s="3">
        <v>2.1953547723989201E-4</v>
      </c>
      <c r="G1452" s="3">
        <v>1.15632769154366E-3</v>
      </c>
      <c r="H1452" s="3" t="str">
        <f>"SLIT2"</f>
        <v>SLIT2</v>
      </c>
      <c r="I1452" s="3" t="str">
        <f>"protein_coding"</f>
        <v>protein_coding</v>
      </c>
    </row>
    <row r="1453" spans="1:9" x14ac:dyDescent="0.2">
      <c r="A1453" s="3" t="str">
        <f>"ENSG00000280650.1"</f>
        <v>ENSG00000280650.1</v>
      </c>
      <c r="B1453" s="3">
        <v>3.8168555458674298</v>
      </c>
      <c r="C1453" s="3">
        <v>5.3279350919035302</v>
      </c>
      <c r="D1453" s="3">
        <v>2.1809774924298599</v>
      </c>
      <c r="E1453" s="3">
        <v>2.4429115432858599</v>
      </c>
      <c r="F1453" s="3">
        <v>1.4569307781241599E-2</v>
      </c>
      <c r="G1453" s="3">
        <v>4.3474967595607303E-2</v>
      </c>
      <c r="H1453" s="3" t="str">
        <f>"KCNIP4-IT1"</f>
        <v>KCNIP4-IT1</v>
      </c>
      <c r="I1453" s="3" t="str">
        <f>"lincRNA"</f>
        <v>lincRNA</v>
      </c>
    </row>
    <row r="1454" spans="1:9" x14ac:dyDescent="0.2">
      <c r="A1454" s="3" t="str">
        <f>"ENSG00000109689.16"</f>
        <v>ENSG00000109689.16</v>
      </c>
      <c r="B1454" s="3">
        <v>594.30884278640497</v>
      </c>
      <c r="C1454" s="3">
        <v>-1.0766189833534701</v>
      </c>
      <c r="D1454" s="3">
        <v>0.22957400786690199</v>
      </c>
      <c r="E1454" s="3">
        <v>-4.6896379662355097</v>
      </c>
      <c r="F1454" s="4">
        <v>2.73688848467009E-6</v>
      </c>
      <c r="G1454" s="4">
        <v>2.16401626644823E-5</v>
      </c>
      <c r="H1454" s="3" t="str">
        <f>"STIM2"</f>
        <v>STIM2</v>
      </c>
      <c r="I1454" s="3" t="str">
        <f>"protein_coding"</f>
        <v>protein_coding</v>
      </c>
    </row>
    <row r="1455" spans="1:9" x14ac:dyDescent="0.2">
      <c r="A1455" s="3" t="str">
        <f>"ENSG00000169299.14"</f>
        <v>ENSG00000169299.14</v>
      </c>
      <c r="B1455" s="3">
        <v>2029.28608523721</v>
      </c>
      <c r="C1455" s="3">
        <v>1.13913393339071</v>
      </c>
      <c r="D1455" s="3">
        <v>0.18190674274777299</v>
      </c>
      <c r="E1455" s="3">
        <v>6.2621864158724501</v>
      </c>
      <c r="F1455" s="4">
        <v>3.7961673453533197E-10</v>
      </c>
      <c r="G1455" s="4">
        <v>5.4267666137902403E-9</v>
      </c>
      <c r="H1455" s="3" t="str">
        <f>"PGM2"</f>
        <v>PGM2</v>
      </c>
      <c r="I1455" s="3" t="str">
        <f>"protein_coding"</f>
        <v>protein_coding</v>
      </c>
    </row>
    <row r="1456" spans="1:9" x14ac:dyDescent="0.2">
      <c r="A1456" s="3" t="str">
        <f>"ENSG00000249863.2"</f>
        <v>ENSG00000249863.2</v>
      </c>
      <c r="B1456" s="3">
        <v>86.996765749734806</v>
      </c>
      <c r="C1456" s="3">
        <v>1.68673022717055</v>
      </c>
      <c r="D1456" s="3">
        <v>0.40458908298230301</v>
      </c>
      <c r="E1456" s="3">
        <v>4.1689958976088501</v>
      </c>
      <c r="F1456" s="4">
        <v>3.0594449521542601E-5</v>
      </c>
      <c r="G1456" s="3">
        <v>1.9586629842891699E-4</v>
      </c>
      <c r="H1456" s="3" t="str">
        <f>"AC021106.1"</f>
        <v>AC021106.1</v>
      </c>
      <c r="I1456" s="3" t="str">
        <f>"processed_pseudogene"</f>
        <v>processed_pseudogene</v>
      </c>
    </row>
    <row r="1457" spans="1:9" x14ac:dyDescent="0.2">
      <c r="A1457" s="3" t="str">
        <f>"ENSG00000134962.7"</f>
        <v>ENSG00000134962.7</v>
      </c>
      <c r="B1457" s="3">
        <v>1553.99759049263</v>
      </c>
      <c r="C1457" s="3">
        <v>-3.3540990257018302</v>
      </c>
      <c r="D1457" s="3">
        <v>0.217545721103511</v>
      </c>
      <c r="E1457" s="3">
        <v>-15.417903917797201</v>
      </c>
      <c r="F1457" s="4">
        <v>1.2406620097854101E-53</v>
      </c>
      <c r="G1457" s="4">
        <v>2.84069897316161E-51</v>
      </c>
      <c r="H1457" s="3" t="str">
        <f>"KLB"</f>
        <v>KLB</v>
      </c>
      <c r="I1457" s="3" t="str">
        <f>"protein_coding"</f>
        <v>protein_coding</v>
      </c>
    </row>
    <row r="1458" spans="1:9" x14ac:dyDescent="0.2">
      <c r="A1458" s="3" t="str">
        <f>"ENSG00000109814.12"</f>
        <v>ENSG00000109814.12</v>
      </c>
      <c r="B1458" s="3">
        <v>13715.169881428201</v>
      </c>
      <c r="C1458" s="3">
        <v>-1.31410996764372</v>
      </c>
      <c r="D1458" s="3">
        <v>0.169654073120209</v>
      </c>
      <c r="E1458" s="3">
        <v>-7.7458203241168304</v>
      </c>
      <c r="F1458" s="4">
        <v>9.4966720689010002E-15</v>
      </c>
      <c r="G1458" s="4">
        <v>2.3041480308223099E-13</v>
      </c>
      <c r="H1458" s="3" t="str">
        <f>"UGDH"</f>
        <v>UGDH</v>
      </c>
      <c r="I1458" s="3" t="str">
        <f>"protein_coding"</f>
        <v>protein_coding</v>
      </c>
    </row>
    <row r="1459" spans="1:9" x14ac:dyDescent="0.2">
      <c r="A1459" s="3" t="str">
        <f>"ENSG00000163683.12"</f>
        <v>ENSG00000163683.12</v>
      </c>
      <c r="B1459" s="3">
        <v>1271.39018566965</v>
      </c>
      <c r="C1459" s="3">
        <v>1.8986688765870801</v>
      </c>
      <c r="D1459" s="3">
        <v>0.19351153130849399</v>
      </c>
      <c r="E1459" s="3">
        <v>9.8116575469615999</v>
      </c>
      <c r="F1459" s="4">
        <v>1.0030715373503099E-22</v>
      </c>
      <c r="G1459" s="4">
        <v>4.7121879617558498E-21</v>
      </c>
      <c r="H1459" s="3" t="str">
        <f>"SMIM14"</f>
        <v>SMIM14</v>
      </c>
      <c r="I1459" s="3" t="str">
        <f>"protein_coding"</f>
        <v>protein_coding</v>
      </c>
    </row>
    <row r="1460" spans="1:9" x14ac:dyDescent="0.2">
      <c r="A1460" s="3" t="str">
        <f>"ENSG00000205794.4"</f>
        <v>ENSG00000205794.4</v>
      </c>
      <c r="B1460" s="3">
        <v>17.776662373689099</v>
      </c>
      <c r="C1460" s="3">
        <v>3.6737508266254499</v>
      </c>
      <c r="D1460" s="3">
        <v>0.984075989404401</v>
      </c>
      <c r="E1460" s="3">
        <v>3.7331983161675799</v>
      </c>
      <c r="F1460" s="3">
        <v>1.89063614723934E-4</v>
      </c>
      <c r="G1460" s="3">
        <v>1.0132604859132599E-3</v>
      </c>
      <c r="H1460" s="3" t="str">
        <f>"AC098591.1"</f>
        <v>AC098591.1</v>
      </c>
      <c r="I1460" s="3" t="str">
        <f>"transcribed_processed_pseudogene"</f>
        <v>transcribed_processed_pseudogene</v>
      </c>
    </row>
    <row r="1461" spans="1:9" x14ac:dyDescent="0.2">
      <c r="A1461" s="3" t="str">
        <f>"ENSG00000163694.15"</f>
        <v>ENSG00000163694.15</v>
      </c>
      <c r="B1461" s="3">
        <v>1647.4112008446</v>
      </c>
      <c r="C1461" s="3">
        <v>3.3777915369446201</v>
      </c>
      <c r="D1461" s="3">
        <v>0.19352285270810701</v>
      </c>
      <c r="E1461" s="3">
        <v>17.454225636283802</v>
      </c>
      <c r="F1461" s="4">
        <v>3.1968340744402902E-68</v>
      </c>
      <c r="G1461" s="4">
        <v>1.27268431557876E-65</v>
      </c>
      <c r="H1461" s="3" t="str">
        <f>"RBM47"</f>
        <v>RBM47</v>
      </c>
      <c r="I1461" s="3" t="str">
        <f>"protein_coding"</f>
        <v>protein_coding</v>
      </c>
    </row>
    <row r="1462" spans="1:9" x14ac:dyDescent="0.2">
      <c r="A1462" s="3" t="str">
        <f>"ENSG00000263642.1"</f>
        <v>ENSG00000263642.1</v>
      </c>
      <c r="B1462" s="3">
        <v>14.2730486011762</v>
      </c>
      <c r="C1462" s="3">
        <v>3.0207248886497799</v>
      </c>
      <c r="D1462" s="3">
        <v>1.0957752402891101</v>
      </c>
      <c r="E1462" s="3">
        <v>2.7567011715402399</v>
      </c>
      <c r="F1462" s="3">
        <v>5.83876842898641E-3</v>
      </c>
      <c r="G1462" s="3">
        <v>2.0248049304390101E-2</v>
      </c>
      <c r="H1462" s="3" t="str">
        <f>"MIR4802"</f>
        <v>MIR4802</v>
      </c>
      <c r="I1462" s="3" t="str">
        <f>"miRNA"</f>
        <v>miRNA</v>
      </c>
    </row>
    <row r="1463" spans="1:9" x14ac:dyDescent="0.2">
      <c r="A1463" s="3" t="str">
        <f>"ENSG00000064042.18"</f>
        <v>ENSG00000064042.18</v>
      </c>
      <c r="B1463" s="3">
        <v>22.3544747515881</v>
      </c>
      <c r="C1463" s="3">
        <v>4.7952558442204802</v>
      </c>
      <c r="D1463" s="3">
        <v>1.0856174626869499</v>
      </c>
      <c r="E1463" s="3">
        <v>4.4170769253766702</v>
      </c>
      <c r="F1463" s="4">
        <v>1.0004463289979899E-5</v>
      </c>
      <c r="G1463" s="4">
        <v>7.11355979285184E-5</v>
      </c>
      <c r="H1463" s="3" t="str">
        <f>"LIMCH1"</f>
        <v>LIMCH1</v>
      </c>
      <c r="I1463" s="3" t="str">
        <f>"protein_coding"</f>
        <v>protein_coding</v>
      </c>
    </row>
    <row r="1464" spans="1:9" x14ac:dyDescent="0.2">
      <c r="A1464" s="3" t="str">
        <f>"ENSG00000188848.16"</f>
        <v>ENSG00000188848.16</v>
      </c>
      <c r="B1464" s="3">
        <v>4.3694444890872397</v>
      </c>
      <c r="C1464" s="3">
        <v>5.5278073040699196</v>
      </c>
      <c r="D1464" s="3">
        <v>2.1223585767351398</v>
      </c>
      <c r="E1464" s="3">
        <v>2.6045586097771598</v>
      </c>
      <c r="F1464" s="3">
        <v>9.1992685622235906E-3</v>
      </c>
      <c r="G1464" s="3">
        <v>2.9634957497624299E-2</v>
      </c>
      <c r="H1464" s="3" t="str">
        <f>"BEND4"</f>
        <v>BEND4</v>
      </c>
      <c r="I1464" s="3" t="str">
        <f>"protein_coding"</f>
        <v>protein_coding</v>
      </c>
    </row>
    <row r="1465" spans="1:9" x14ac:dyDescent="0.2">
      <c r="A1465" s="3" t="str">
        <f>"ENSG00000124406.16"</f>
        <v>ENSG00000124406.16</v>
      </c>
      <c r="B1465" s="3">
        <v>176.37791068321201</v>
      </c>
      <c r="C1465" s="3">
        <v>1.3951648869961599</v>
      </c>
      <c r="D1465" s="3">
        <v>0.31493422846853503</v>
      </c>
      <c r="E1465" s="3">
        <v>4.4300198609105799</v>
      </c>
      <c r="F1465" s="4">
        <v>9.4224410086531195E-6</v>
      </c>
      <c r="G1465" s="4">
        <v>6.7454873926109195E-5</v>
      </c>
      <c r="H1465" s="3" t="str">
        <f>"ATP8A1"</f>
        <v>ATP8A1</v>
      </c>
      <c r="I1465" s="3" t="str">
        <f>"protein_coding"</f>
        <v>protein_coding</v>
      </c>
    </row>
    <row r="1466" spans="1:9" x14ac:dyDescent="0.2">
      <c r="A1466" s="3" t="str">
        <f>"ENSG00000259959.1"</f>
        <v>ENSG00000259959.1</v>
      </c>
      <c r="B1466" s="3">
        <v>241.41367293912899</v>
      </c>
      <c r="C1466" s="3">
        <v>-1.1263500364246199</v>
      </c>
      <c r="D1466" s="3">
        <v>0.27309616066359699</v>
      </c>
      <c r="E1466" s="3">
        <v>-4.1243715535498602</v>
      </c>
      <c r="F1466" s="4">
        <v>3.7174837729459797E-5</v>
      </c>
      <c r="G1466" s="3">
        <v>2.33603045114066E-4</v>
      </c>
      <c r="H1466" s="3" t="str">
        <f>"AC107068.1"</f>
        <v>AC107068.1</v>
      </c>
      <c r="I1466" s="3" t="str">
        <f>"lincRNA"</f>
        <v>lincRNA</v>
      </c>
    </row>
    <row r="1467" spans="1:9" x14ac:dyDescent="0.2">
      <c r="A1467" s="3" t="str">
        <f>"ENSG00000163293.12"</f>
        <v>ENSG00000163293.12</v>
      </c>
      <c r="B1467" s="3">
        <v>608.63013871351097</v>
      </c>
      <c r="C1467" s="3">
        <v>1.9445146569833101</v>
      </c>
      <c r="D1467" s="3">
        <v>0.22837545735220799</v>
      </c>
      <c r="E1467" s="3">
        <v>8.5145517803360793</v>
      </c>
      <c r="F1467" s="4">
        <v>1.67235884510115E-17</v>
      </c>
      <c r="G1467" s="4">
        <v>5.2255460381274101E-16</v>
      </c>
      <c r="H1467" s="3" t="str">
        <f>"NIPAL1"</f>
        <v>NIPAL1</v>
      </c>
      <c r="I1467" s="3" t="str">
        <f>"protein_coding"</f>
        <v>protein_coding</v>
      </c>
    </row>
    <row r="1468" spans="1:9" x14ac:dyDescent="0.2">
      <c r="A1468" s="3" t="str">
        <f>"ENSG00000182223.7"</f>
        <v>ENSG00000182223.7</v>
      </c>
      <c r="B1468" s="3">
        <v>3.8893317554809199</v>
      </c>
      <c r="C1468" s="3">
        <v>5.35263968609567</v>
      </c>
      <c r="D1468" s="3">
        <v>2.1805139762792298</v>
      </c>
      <c r="E1468" s="3">
        <v>2.4547605492670499</v>
      </c>
      <c r="F1468" s="3">
        <v>1.40978459500909E-2</v>
      </c>
      <c r="G1468" s="3">
        <v>4.2402473628670397E-2</v>
      </c>
      <c r="H1468" s="3" t="str">
        <f>"ZAR1"</f>
        <v>ZAR1</v>
      </c>
      <c r="I1468" s="3" t="str">
        <f>"protein_coding"</f>
        <v>protein_coding</v>
      </c>
    </row>
    <row r="1469" spans="1:9" x14ac:dyDescent="0.2">
      <c r="A1469" s="3" t="str">
        <f>"ENSG00000248583.1"</f>
        <v>ENSG00000248583.1</v>
      </c>
      <c r="B1469" s="3">
        <v>1511.5601404803101</v>
      </c>
      <c r="C1469" s="3">
        <v>1.60556682378751</v>
      </c>
      <c r="D1469" s="3">
        <v>0.19531115430471199</v>
      </c>
      <c r="E1469" s="3">
        <v>8.2205587771121795</v>
      </c>
      <c r="F1469" s="4">
        <v>2.02557183401152E-16</v>
      </c>
      <c r="G1469" s="4">
        <v>5.7370847984731602E-15</v>
      </c>
      <c r="H1469" s="3" t="str">
        <f>"AC119751.3"</f>
        <v>AC119751.3</v>
      </c>
      <c r="I1469" s="3" t="str">
        <f>"unprocessed_pseudogene"</f>
        <v>unprocessed_pseudogene</v>
      </c>
    </row>
    <row r="1470" spans="1:9" x14ac:dyDescent="0.2">
      <c r="A1470" s="3" t="str">
        <f>"ENSG00000250753.2"</f>
        <v>ENSG00000250753.2</v>
      </c>
      <c r="B1470" s="3">
        <v>267.78258004289398</v>
      </c>
      <c r="C1470" s="3">
        <v>1.86788355890425</v>
      </c>
      <c r="D1470" s="3">
        <v>0.29134735245772297</v>
      </c>
      <c r="E1470" s="3">
        <v>6.4111911199718001</v>
      </c>
      <c r="F1470" s="4">
        <v>1.4438705085803899E-10</v>
      </c>
      <c r="G1470" s="4">
        <v>2.1978290361614501E-9</v>
      </c>
      <c r="H1470" s="3" t="str">
        <f>"AC119751.4"</f>
        <v>AC119751.4</v>
      </c>
      <c r="I1470" s="3" t="str">
        <f>"processed_pseudogene"</f>
        <v>processed_pseudogene</v>
      </c>
    </row>
    <row r="1471" spans="1:9" x14ac:dyDescent="0.2">
      <c r="A1471" s="3" t="str">
        <f>"ENSG00000163069.12"</f>
        <v>ENSG00000163069.12</v>
      </c>
      <c r="B1471" s="3">
        <v>777.22054902457296</v>
      </c>
      <c r="C1471" s="3">
        <v>1.24024139298202</v>
      </c>
      <c r="D1471" s="3">
        <v>0.20565026143665999</v>
      </c>
      <c r="E1471" s="3">
        <v>6.0308281852781302</v>
      </c>
      <c r="F1471" s="4">
        <v>1.63121543251055E-9</v>
      </c>
      <c r="G1471" s="4">
        <v>2.15442204990863E-8</v>
      </c>
      <c r="H1471" s="3" t="str">
        <f>"SGCB"</f>
        <v>SGCB</v>
      </c>
      <c r="I1471" s="3" t="str">
        <f>"protein_coding"</f>
        <v>protein_coding</v>
      </c>
    </row>
    <row r="1472" spans="1:9" x14ac:dyDescent="0.2">
      <c r="A1472" s="3" t="str">
        <f>"ENSG00000163071.11"</f>
        <v>ENSG00000163071.11</v>
      </c>
      <c r="B1472" s="3">
        <v>1434.0875334751499</v>
      </c>
      <c r="C1472" s="3">
        <v>2.2863448602741099</v>
      </c>
      <c r="D1472" s="3">
        <v>0.18986994120067399</v>
      </c>
      <c r="E1472" s="3">
        <v>12.041636742583</v>
      </c>
      <c r="F1472" s="4">
        <v>2.1465398349458001E-33</v>
      </c>
      <c r="G1472" s="4">
        <v>2.0739989674740502E-31</v>
      </c>
      <c r="H1472" s="3" t="str">
        <f>"SPATA18"</f>
        <v>SPATA18</v>
      </c>
      <c r="I1472" s="3" t="str">
        <f>"protein_coding"</f>
        <v>protein_coding</v>
      </c>
    </row>
    <row r="1473" spans="1:9" x14ac:dyDescent="0.2">
      <c r="A1473" s="3" t="str">
        <f>"ENSG00000226950.6"</f>
        <v>ENSG00000226950.6</v>
      </c>
      <c r="B1473" s="3">
        <v>2195.0984997119799</v>
      </c>
      <c r="C1473" s="3">
        <v>-1.7373281719401701</v>
      </c>
      <c r="D1473" s="3">
        <v>0.213611087145959</v>
      </c>
      <c r="E1473" s="3">
        <v>-8.13313669787685</v>
      </c>
      <c r="F1473" s="4">
        <v>4.1832245067215698E-16</v>
      </c>
      <c r="G1473" s="4">
        <v>1.15364694468262E-14</v>
      </c>
      <c r="H1473" s="3" t="str">
        <f>"DANCR"</f>
        <v>DANCR</v>
      </c>
      <c r="I1473" s="3" t="str">
        <f>"processed_transcript"</f>
        <v>processed_transcript</v>
      </c>
    </row>
    <row r="1474" spans="1:9" x14ac:dyDescent="0.2">
      <c r="A1474" s="3" t="str">
        <f>"ENSG00000226887.8"</f>
        <v>ENSG00000226887.8</v>
      </c>
      <c r="B1474" s="3">
        <v>13.6335393545085</v>
      </c>
      <c r="C1474" s="3">
        <v>2.95900871044164</v>
      </c>
      <c r="D1474" s="3">
        <v>1.02707656392271</v>
      </c>
      <c r="E1474" s="3">
        <v>2.8810010999962001</v>
      </c>
      <c r="F1474" s="3">
        <v>3.9641425702220904E-3</v>
      </c>
      <c r="G1474" s="3">
        <v>1.45368733114257E-2</v>
      </c>
      <c r="H1474" s="3" t="str">
        <f>"ERVMER34-1"</f>
        <v>ERVMER34-1</v>
      </c>
      <c r="I1474" s="3" t="str">
        <f t="shared" ref="I1474:I1480" si="69">"protein_coding"</f>
        <v>protein_coding</v>
      </c>
    </row>
    <row r="1475" spans="1:9" x14ac:dyDescent="0.2">
      <c r="A1475" s="3" t="str">
        <f>"ENSG00000184178.16"</f>
        <v>ENSG00000184178.16</v>
      </c>
      <c r="B1475" s="3">
        <v>436.17826494553799</v>
      </c>
      <c r="C1475" s="3">
        <v>-1.3905478880613</v>
      </c>
      <c r="D1475" s="3">
        <v>0.23450137354952499</v>
      </c>
      <c r="E1475" s="3">
        <v>-5.9298070071543796</v>
      </c>
      <c r="F1475" s="4">
        <v>3.0329094180280601E-9</v>
      </c>
      <c r="G1475" s="4">
        <v>3.8669949889101899E-8</v>
      </c>
      <c r="H1475" s="3" t="str">
        <f>"SCFD2"</f>
        <v>SCFD2</v>
      </c>
      <c r="I1475" s="3" t="str">
        <f t="shared" si="69"/>
        <v>protein_coding</v>
      </c>
    </row>
    <row r="1476" spans="1:9" x14ac:dyDescent="0.2">
      <c r="A1476" s="3" t="str">
        <f>"ENSG00000109220.11"</f>
        <v>ENSG00000109220.11</v>
      </c>
      <c r="B1476" s="3">
        <v>787.07753024066199</v>
      </c>
      <c r="C1476" s="3">
        <v>1.1358114680970699</v>
      </c>
      <c r="D1476" s="3">
        <v>0.219153533128288</v>
      </c>
      <c r="E1476" s="3">
        <v>5.1827203143112799</v>
      </c>
      <c r="F1476" s="4">
        <v>2.1867282640169899E-7</v>
      </c>
      <c r="G1476" s="4">
        <v>2.1038765893245398E-6</v>
      </c>
      <c r="H1476" s="3" t="str">
        <f>"CHIC2"</f>
        <v>CHIC2</v>
      </c>
      <c r="I1476" s="3" t="str">
        <f t="shared" si="69"/>
        <v>protein_coding</v>
      </c>
    </row>
    <row r="1477" spans="1:9" x14ac:dyDescent="0.2">
      <c r="A1477" s="3" t="str">
        <f>"ENSG00000128039.11"</f>
        <v>ENSG00000128039.11</v>
      </c>
      <c r="B1477" s="3">
        <v>220.416278183841</v>
      </c>
      <c r="C1477" s="3">
        <v>-1.4018465467465799</v>
      </c>
      <c r="D1477" s="3">
        <v>0.29738307423261401</v>
      </c>
      <c r="E1477" s="3">
        <v>-4.7139419429434302</v>
      </c>
      <c r="F1477" s="4">
        <v>2.4296991718319399E-6</v>
      </c>
      <c r="G1477" s="4">
        <v>1.9379980484456899E-5</v>
      </c>
      <c r="H1477" s="3" t="str">
        <f>"SRD5A3"</f>
        <v>SRD5A3</v>
      </c>
      <c r="I1477" s="3" t="str">
        <f t="shared" si="69"/>
        <v>protein_coding</v>
      </c>
    </row>
    <row r="1478" spans="1:9" x14ac:dyDescent="0.2">
      <c r="A1478" s="3" t="str">
        <f>"ENSG00000090989.18"</f>
        <v>ENSG00000090989.18</v>
      </c>
      <c r="B1478" s="3">
        <v>1067.3062328839101</v>
      </c>
      <c r="C1478" s="3">
        <v>1.09784349094592</v>
      </c>
      <c r="D1478" s="3">
        <v>0.20452880162495199</v>
      </c>
      <c r="E1478" s="3">
        <v>5.36767184975277</v>
      </c>
      <c r="F1478" s="4">
        <v>7.9759499417605405E-8</v>
      </c>
      <c r="G1478" s="4">
        <v>8.2349643070537897E-7</v>
      </c>
      <c r="H1478" s="3" t="str">
        <f>"EXOC1"</f>
        <v>EXOC1</v>
      </c>
      <c r="I1478" s="3" t="str">
        <f t="shared" si="69"/>
        <v>protein_coding</v>
      </c>
    </row>
    <row r="1479" spans="1:9" x14ac:dyDescent="0.2">
      <c r="A1479" s="3" t="str">
        <f>"ENSG00000109265.14"</f>
        <v>ENSG00000109265.14</v>
      </c>
      <c r="B1479" s="3">
        <v>340.54054997710199</v>
      </c>
      <c r="C1479" s="3">
        <v>-1.7034766419321099</v>
      </c>
      <c r="D1479" s="3">
        <v>0.25377472242636501</v>
      </c>
      <c r="E1479" s="3">
        <v>-6.7125544484691</v>
      </c>
      <c r="F1479" s="4">
        <v>1.9124640369331701E-11</v>
      </c>
      <c r="G1479" s="4">
        <v>3.2629247097256097E-10</v>
      </c>
      <c r="H1479" s="3" t="str">
        <f>"KIAA1211"</f>
        <v>KIAA1211</v>
      </c>
      <c r="I1479" s="3" t="str">
        <f t="shared" si="69"/>
        <v>protein_coding</v>
      </c>
    </row>
    <row r="1480" spans="1:9" x14ac:dyDescent="0.2">
      <c r="A1480" s="3" t="str">
        <f>"ENSG00000128059.8"</f>
        <v>ENSG00000128059.8</v>
      </c>
      <c r="B1480" s="3">
        <v>2064.96761499165</v>
      </c>
      <c r="C1480" s="3">
        <v>-1.30242388853158</v>
      </c>
      <c r="D1480" s="3">
        <v>0.181831494825689</v>
      </c>
      <c r="E1480" s="3">
        <v>-7.1628069151614202</v>
      </c>
      <c r="F1480" s="4">
        <v>7.9041644482182902E-13</v>
      </c>
      <c r="G1480" s="4">
        <v>1.5858966768822101E-11</v>
      </c>
      <c r="H1480" s="3" t="str">
        <f>"PPAT"</f>
        <v>PPAT</v>
      </c>
      <c r="I1480" s="3" t="str">
        <f t="shared" si="69"/>
        <v>protein_coding</v>
      </c>
    </row>
    <row r="1481" spans="1:9" x14ac:dyDescent="0.2">
      <c r="A1481" s="3" t="str">
        <f>"ENSG00000283156.1"</f>
        <v>ENSG00000283156.1</v>
      </c>
      <c r="B1481" s="3">
        <v>4.1097661746942604</v>
      </c>
      <c r="C1481" s="3">
        <v>5.4328693169605202</v>
      </c>
      <c r="D1481" s="3">
        <v>2.14332345947187</v>
      </c>
      <c r="E1481" s="3">
        <v>2.5347874082893802</v>
      </c>
      <c r="F1481" s="3">
        <v>1.1251558606317101E-2</v>
      </c>
      <c r="G1481" s="3">
        <v>3.5125024902190903E-2</v>
      </c>
      <c r="H1481" s="3" t="str">
        <f>"AC068620.3"</f>
        <v>AC068620.3</v>
      </c>
      <c r="I1481" s="3" t="str">
        <f>"transcribed_unprocessed_pseudogene"</f>
        <v>transcribed_unprocessed_pseudogene</v>
      </c>
    </row>
    <row r="1482" spans="1:9" x14ac:dyDescent="0.2">
      <c r="A1482" s="3" t="str">
        <f>"ENSG00000128050.8"</f>
        <v>ENSG00000128050.8</v>
      </c>
      <c r="B1482" s="3">
        <v>7552.13461479538</v>
      </c>
      <c r="C1482" s="3">
        <v>-1.4591959805916701</v>
      </c>
      <c r="D1482" s="3">
        <v>0.179735698611733</v>
      </c>
      <c r="E1482" s="3">
        <v>-8.1185651590774892</v>
      </c>
      <c r="F1482" s="4">
        <v>4.7172742336239304E-16</v>
      </c>
      <c r="G1482" s="4">
        <v>1.2956811597132199E-14</v>
      </c>
      <c r="H1482" s="3" t="str">
        <f>"PAICS"</f>
        <v>PAICS</v>
      </c>
      <c r="I1482" s="3" t="str">
        <f>"protein_coding"</f>
        <v>protein_coding</v>
      </c>
    </row>
    <row r="1483" spans="1:9" x14ac:dyDescent="0.2">
      <c r="A1483" s="3" t="str">
        <f>"ENSG00000163453.11"</f>
        <v>ENSG00000163453.11</v>
      </c>
      <c r="B1483" s="3">
        <v>563.35185443504304</v>
      </c>
      <c r="C1483" s="3">
        <v>4.50495221401858</v>
      </c>
      <c r="D1483" s="3">
        <v>0.26196882424190998</v>
      </c>
      <c r="E1483" s="3">
        <v>17.196520338078699</v>
      </c>
      <c r="F1483" s="4">
        <v>2.8196377149905799E-66</v>
      </c>
      <c r="G1483" s="4">
        <v>9.9774894571880994E-64</v>
      </c>
      <c r="H1483" s="3" t="str">
        <f>"IGFBP7"</f>
        <v>IGFBP7</v>
      </c>
      <c r="I1483" s="3" t="str">
        <f>"protein_coding"</f>
        <v>protein_coding</v>
      </c>
    </row>
    <row r="1484" spans="1:9" x14ac:dyDescent="0.2">
      <c r="A1484" s="3" t="str">
        <f>"ENSG00000150471.16"</f>
        <v>ENSG00000150471.16</v>
      </c>
      <c r="B1484" s="3">
        <v>14.065471982959</v>
      </c>
      <c r="C1484" s="3">
        <v>4.0980047229557597</v>
      </c>
      <c r="D1484" s="3">
        <v>1.17622002463125</v>
      </c>
      <c r="E1484" s="3">
        <v>3.4840460433756899</v>
      </c>
      <c r="F1484" s="3">
        <v>4.9389451441742699E-4</v>
      </c>
      <c r="G1484" s="3">
        <v>2.3721388743754E-3</v>
      </c>
      <c r="H1484" s="3" t="str">
        <f>"ADGRL3"</f>
        <v>ADGRL3</v>
      </c>
      <c r="I1484" s="3" t="str">
        <f>"protein_coding"</f>
        <v>protein_coding</v>
      </c>
    </row>
    <row r="1485" spans="1:9" x14ac:dyDescent="0.2">
      <c r="A1485" s="3" t="str">
        <f>"ENSG00000145242.13"</f>
        <v>ENSG00000145242.13</v>
      </c>
      <c r="B1485" s="3">
        <v>5.4293668996014297</v>
      </c>
      <c r="C1485" s="3">
        <v>5.8322105786942098</v>
      </c>
      <c r="D1485" s="3">
        <v>2.0243950943545901</v>
      </c>
      <c r="E1485" s="3">
        <v>2.8809645878704302</v>
      </c>
      <c r="F1485" s="3">
        <v>3.9646018122070003E-3</v>
      </c>
      <c r="G1485" s="3">
        <v>1.45368733114257E-2</v>
      </c>
      <c r="H1485" s="3" t="str">
        <f>"EPHA5"</f>
        <v>EPHA5</v>
      </c>
      <c r="I1485" s="3" t="str">
        <f>"protein_coding"</f>
        <v>protein_coding</v>
      </c>
    </row>
    <row r="1486" spans="1:9" x14ac:dyDescent="0.2">
      <c r="A1486" s="3" t="str">
        <f>"ENSG00000250026.5"</f>
        <v>ENSG00000250026.5</v>
      </c>
      <c r="B1486" s="3">
        <v>4.6231112227344298</v>
      </c>
      <c r="C1486" s="3">
        <v>5.6018746122246599</v>
      </c>
      <c r="D1486" s="3">
        <v>2.0840292310307702</v>
      </c>
      <c r="E1486" s="3">
        <v>2.68800193817528</v>
      </c>
      <c r="F1486" s="3">
        <v>7.1880979433398204E-3</v>
      </c>
      <c r="G1486" s="3">
        <v>2.4131851239795499E-2</v>
      </c>
      <c r="H1486" s="3" t="str">
        <f>"TMPRSS11BNL"</f>
        <v>TMPRSS11BNL</v>
      </c>
      <c r="I1486" s="3" t="str">
        <f>"transcribed_unprocessed_pseudogene"</f>
        <v>transcribed_unprocessed_pseudogene</v>
      </c>
    </row>
    <row r="1487" spans="1:9" x14ac:dyDescent="0.2">
      <c r="A1487" s="3" t="str">
        <f>"ENSG00000185873.7"</f>
        <v>ENSG00000185873.7</v>
      </c>
      <c r="B1487" s="3">
        <v>7.9021577171415398</v>
      </c>
      <c r="C1487" s="3">
        <v>3.8273019091312199</v>
      </c>
      <c r="D1487" s="3">
        <v>1.5200946104453701</v>
      </c>
      <c r="E1487" s="3">
        <v>2.5178050647846599</v>
      </c>
      <c r="F1487" s="3">
        <v>1.18088657148681E-2</v>
      </c>
      <c r="G1487" s="3">
        <v>3.6525844492338498E-2</v>
      </c>
      <c r="H1487" s="3" t="str">
        <f>"TMPRSS11B"</f>
        <v>TMPRSS11B</v>
      </c>
      <c r="I1487" s="3" t="str">
        <f>"protein_coding"</f>
        <v>protein_coding</v>
      </c>
    </row>
    <row r="1488" spans="1:9" x14ac:dyDescent="0.2">
      <c r="A1488" s="3" t="str">
        <f>"ENSG00000162840.4"</f>
        <v>ENSG00000162840.4</v>
      </c>
      <c r="B1488" s="3">
        <v>42.430233451314898</v>
      </c>
      <c r="C1488" s="3">
        <v>1.7338441276363901</v>
      </c>
      <c r="D1488" s="3">
        <v>0.54585452263598599</v>
      </c>
      <c r="E1488" s="3">
        <v>3.1763850178679198</v>
      </c>
      <c r="F1488" s="3">
        <v>1.4912289138758899E-3</v>
      </c>
      <c r="G1488" s="3">
        <v>6.2510021871348496E-3</v>
      </c>
      <c r="H1488" s="3" t="str">
        <f>"MT2P1"</f>
        <v>MT2P1</v>
      </c>
      <c r="I1488" s="3" t="str">
        <f>"processed_pseudogene"</f>
        <v>processed_pseudogene</v>
      </c>
    </row>
    <row r="1489" spans="1:9" x14ac:dyDescent="0.2">
      <c r="A1489" s="3" t="str">
        <f>"ENSG00000087128.10"</f>
        <v>ENSG00000087128.10</v>
      </c>
      <c r="B1489" s="3">
        <v>4.6261170131073301</v>
      </c>
      <c r="C1489" s="3">
        <v>5.6094325569646601</v>
      </c>
      <c r="D1489" s="3">
        <v>2.08410562928304</v>
      </c>
      <c r="E1489" s="3">
        <v>2.6915298716862002</v>
      </c>
      <c r="F1489" s="3">
        <v>7.1125128459038501E-3</v>
      </c>
      <c r="G1489" s="3">
        <v>2.39370846729672E-2</v>
      </c>
      <c r="H1489" s="3" t="str">
        <f>"TMPRSS11E"</f>
        <v>TMPRSS11E</v>
      </c>
      <c r="I1489" s="3" t="str">
        <f>"protein_coding"</f>
        <v>protein_coding</v>
      </c>
    </row>
    <row r="1490" spans="1:9" x14ac:dyDescent="0.2">
      <c r="A1490" s="3" t="str">
        <f>"ENSG00000248635.1"</f>
        <v>ENSG00000248635.1</v>
      </c>
      <c r="B1490" s="3">
        <v>4.1852481746806403</v>
      </c>
      <c r="C1490" s="3">
        <v>5.4642790107380197</v>
      </c>
      <c r="D1490" s="3">
        <v>2.1340325364361399</v>
      </c>
      <c r="E1490" s="3">
        <v>2.5605415650613401</v>
      </c>
      <c r="F1490" s="3">
        <v>1.04509161058062E-2</v>
      </c>
      <c r="G1490" s="3">
        <v>3.3022858765499499E-2</v>
      </c>
      <c r="H1490" s="3" t="str">
        <f>"AC147055.1"</f>
        <v>AC147055.1</v>
      </c>
      <c r="I1490" s="3" t="str">
        <f>"unprocessed_pseudogene"</f>
        <v>unprocessed_pseudogene</v>
      </c>
    </row>
    <row r="1491" spans="1:9" x14ac:dyDescent="0.2">
      <c r="A1491" s="3" t="str">
        <f>"ENSG00000251685.3"</f>
        <v>ENSG00000251685.3</v>
      </c>
      <c r="B1491" s="3">
        <v>225.15708070856101</v>
      </c>
      <c r="C1491" s="3">
        <v>2.00454925967348</v>
      </c>
      <c r="D1491" s="3">
        <v>0.31842447245747302</v>
      </c>
      <c r="E1491" s="3">
        <v>6.2952110564969201</v>
      </c>
      <c r="F1491" s="4">
        <v>3.0698188392677698E-10</v>
      </c>
      <c r="G1491" s="4">
        <v>4.4443864991248097E-9</v>
      </c>
      <c r="H1491" s="3" t="str">
        <f>"UGT2B27P"</f>
        <v>UGT2B27P</v>
      </c>
      <c r="I1491" s="3" t="str">
        <f>"unprocessed_pseudogene"</f>
        <v>unprocessed_pseudogene</v>
      </c>
    </row>
    <row r="1492" spans="1:9" x14ac:dyDescent="0.2">
      <c r="A1492" s="3" t="str">
        <f>"ENSG00000248763.2"</f>
        <v>ENSG00000248763.2</v>
      </c>
      <c r="B1492" s="3">
        <v>172.619820051575</v>
      </c>
      <c r="C1492" s="3">
        <v>1.12770212489009</v>
      </c>
      <c r="D1492" s="3">
        <v>0.34167049049392201</v>
      </c>
      <c r="E1492" s="3">
        <v>3.3005546462612898</v>
      </c>
      <c r="F1492" s="3">
        <v>9.6493919968511799E-4</v>
      </c>
      <c r="G1492" s="3">
        <v>4.2799443877291898E-3</v>
      </c>
      <c r="H1492" s="3" t="str">
        <f>"AC111000.2"</f>
        <v>AC111000.2</v>
      </c>
      <c r="I1492" s="3" t="str">
        <f>"unprocessed_pseudogene"</f>
        <v>unprocessed_pseudogene</v>
      </c>
    </row>
    <row r="1493" spans="1:9" x14ac:dyDescent="0.2">
      <c r="A1493" s="3" t="str">
        <f>"ENSG00000250696.5"</f>
        <v>ENSG00000250696.5</v>
      </c>
      <c r="B1493" s="3">
        <v>15.2283895561627</v>
      </c>
      <c r="C1493" s="3">
        <v>4.22284985925371</v>
      </c>
      <c r="D1493" s="3">
        <v>1.16346936847545</v>
      </c>
      <c r="E1493" s="3">
        <v>3.62953247732437</v>
      </c>
      <c r="F1493" s="3">
        <v>2.8393500759036998E-4</v>
      </c>
      <c r="G1493" s="3">
        <v>1.4514778896463001E-3</v>
      </c>
      <c r="H1493" s="3" t="str">
        <f>"AC111000.4"</f>
        <v>AC111000.4</v>
      </c>
      <c r="I1493" s="3" t="str">
        <f>"antisense"</f>
        <v>antisense</v>
      </c>
    </row>
    <row r="1494" spans="1:9" x14ac:dyDescent="0.2">
      <c r="A1494" s="3" t="str">
        <f>"ENSG00000213759.9"</f>
        <v>ENSG00000213759.9</v>
      </c>
      <c r="B1494" s="3">
        <v>28.215069746865598</v>
      </c>
      <c r="C1494" s="3">
        <v>3.4682536743005601</v>
      </c>
      <c r="D1494" s="3">
        <v>0.80339402012741701</v>
      </c>
      <c r="E1494" s="3">
        <v>4.3170021028417596</v>
      </c>
      <c r="F1494" s="4">
        <v>1.5816265219348801E-5</v>
      </c>
      <c r="G1494" s="3">
        <v>1.07601942180174E-4</v>
      </c>
      <c r="H1494" s="3" t="str">
        <f>"UGT2B11"</f>
        <v>UGT2B11</v>
      </c>
      <c r="I1494" s="3" t="str">
        <f t="shared" ref="I1494:I1500" si="70">"protein_coding"</f>
        <v>protein_coding</v>
      </c>
    </row>
    <row r="1495" spans="1:9" x14ac:dyDescent="0.2">
      <c r="A1495" s="3" t="str">
        <f>"ENSG00000109205.16"</f>
        <v>ENSG00000109205.16</v>
      </c>
      <c r="B1495" s="3">
        <v>300.74275592268901</v>
      </c>
      <c r="C1495" s="3">
        <v>-2.5358448106121001</v>
      </c>
      <c r="D1495" s="3">
        <v>0.27194133893850803</v>
      </c>
      <c r="E1495" s="3">
        <v>-9.3249699384083495</v>
      </c>
      <c r="F1495" s="4">
        <v>1.11015058938894E-20</v>
      </c>
      <c r="G1495" s="4">
        <v>4.6039989511537996E-19</v>
      </c>
      <c r="H1495" s="3" t="str">
        <f>"ODAM"</f>
        <v>ODAM</v>
      </c>
      <c r="I1495" s="3" t="str">
        <f t="shared" si="70"/>
        <v>protein_coding</v>
      </c>
    </row>
    <row r="1496" spans="1:9" x14ac:dyDescent="0.2">
      <c r="A1496" s="3" t="str">
        <f>"ENSG00000178522.14"</f>
        <v>ENSG00000178522.14</v>
      </c>
      <c r="B1496" s="3">
        <v>5.5440927947674403</v>
      </c>
      <c r="C1496" s="3">
        <v>5.8707314515162397</v>
      </c>
      <c r="D1496" s="3">
        <v>1.99598276452515</v>
      </c>
      <c r="E1496" s="3">
        <v>2.9412736201221201</v>
      </c>
      <c r="F1496" s="3">
        <v>3.2686566384676498E-3</v>
      </c>
      <c r="G1496" s="3">
        <v>1.2329528071362599E-2</v>
      </c>
      <c r="H1496" s="3" t="str">
        <f>"AMBN"</f>
        <v>AMBN</v>
      </c>
      <c r="I1496" s="3" t="str">
        <f t="shared" si="70"/>
        <v>protein_coding</v>
      </c>
    </row>
    <row r="1497" spans="1:9" x14ac:dyDescent="0.2">
      <c r="A1497" s="3" t="str">
        <f>"ENSG00000132465.11"</f>
        <v>ENSG00000132465.11</v>
      </c>
      <c r="B1497" s="3">
        <v>4.5868731179276896</v>
      </c>
      <c r="C1497" s="3">
        <v>5.5915059184507401</v>
      </c>
      <c r="D1497" s="3">
        <v>2.0812331718906201</v>
      </c>
      <c r="E1497" s="3">
        <v>2.6866311732727901</v>
      </c>
      <c r="F1497" s="3">
        <v>7.2176601926175997E-3</v>
      </c>
      <c r="G1497" s="3">
        <v>2.4195323236743602E-2</v>
      </c>
      <c r="H1497" s="3" t="str">
        <f>"JCHAIN"</f>
        <v>JCHAIN</v>
      </c>
      <c r="I1497" s="3" t="str">
        <f t="shared" si="70"/>
        <v>protein_coding</v>
      </c>
    </row>
    <row r="1498" spans="1:9" x14ac:dyDescent="0.2">
      <c r="A1498" s="3" t="str">
        <f>"ENSG00000173542.8"</f>
        <v>ENSG00000173542.8</v>
      </c>
      <c r="B1498" s="3">
        <v>2304.9463414800898</v>
      </c>
      <c r="C1498" s="3">
        <v>1.22941364055257</v>
      </c>
      <c r="D1498" s="3">
        <v>0.19203060475436601</v>
      </c>
      <c r="E1498" s="3">
        <v>6.4021755392853299</v>
      </c>
      <c r="F1498" s="4">
        <v>1.53178404758283E-10</v>
      </c>
      <c r="G1498" s="4">
        <v>2.3264503870952798E-9</v>
      </c>
      <c r="H1498" s="3" t="str">
        <f>"MOB1B"</f>
        <v>MOB1B</v>
      </c>
      <c r="I1498" s="3" t="str">
        <f t="shared" si="70"/>
        <v>protein_coding</v>
      </c>
    </row>
    <row r="1499" spans="1:9" x14ac:dyDescent="0.2">
      <c r="A1499" s="3" t="str">
        <f>"ENSG00000080493.17"</f>
        <v>ENSG00000080493.17</v>
      </c>
      <c r="B1499" s="3">
        <v>11.286912735595999</v>
      </c>
      <c r="C1499" s="3">
        <v>3.2939772998178198</v>
      </c>
      <c r="D1499" s="3">
        <v>1.24690127067166</v>
      </c>
      <c r="E1499" s="3">
        <v>2.64173064643962</v>
      </c>
      <c r="F1499" s="3">
        <v>8.2483624176033395E-3</v>
      </c>
      <c r="G1499" s="3">
        <v>2.7054668447386299E-2</v>
      </c>
      <c r="H1499" s="3" t="str">
        <f>"SLC4A4"</f>
        <v>SLC4A4</v>
      </c>
      <c r="I1499" s="3" t="str">
        <f t="shared" si="70"/>
        <v>protein_coding</v>
      </c>
    </row>
    <row r="1500" spans="1:9" x14ac:dyDescent="0.2">
      <c r="A1500" s="3" t="str">
        <f>"ENSG00000156140.10"</f>
        <v>ENSG00000156140.10</v>
      </c>
      <c r="B1500" s="3">
        <v>7.7424254061550899</v>
      </c>
      <c r="C1500" s="3">
        <v>6.34652924121397</v>
      </c>
      <c r="D1500" s="3">
        <v>1.8529723132035201</v>
      </c>
      <c r="E1500" s="3">
        <v>3.4250534646369002</v>
      </c>
      <c r="F1500" s="3">
        <v>6.1467844604531897E-4</v>
      </c>
      <c r="G1500" s="3">
        <v>2.8747242738408501E-3</v>
      </c>
      <c r="H1500" s="3" t="str">
        <f>"ADAMTS3"</f>
        <v>ADAMTS3</v>
      </c>
      <c r="I1500" s="3" t="str">
        <f t="shared" si="70"/>
        <v>protein_coding</v>
      </c>
    </row>
    <row r="1501" spans="1:9" x14ac:dyDescent="0.2">
      <c r="A1501" s="3" t="str">
        <f>"ENSG00000250220.1"</f>
        <v>ENSG00000250220.1</v>
      </c>
      <c r="B1501" s="3">
        <v>47.6159194862717</v>
      </c>
      <c r="C1501" s="3">
        <v>1.2662506991926601</v>
      </c>
      <c r="D1501" s="3">
        <v>0.52246553904012105</v>
      </c>
      <c r="E1501" s="3">
        <v>2.42360616074129</v>
      </c>
      <c r="F1501" s="3">
        <v>1.53672609924594E-2</v>
      </c>
      <c r="G1501" s="3">
        <v>4.54824853640605E-2</v>
      </c>
      <c r="H1501" s="3" t="str">
        <f>"AC053527.1"</f>
        <v>AC053527.1</v>
      </c>
      <c r="I1501" s="3" t="str">
        <f>"antisense"</f>
        <v>antisense</v>
      </c>
    </row>
    <row r="1502" spans="1:9" x14ac:dyDescent="0.2">
      <c r="A1502" s="3" t="str">
        <f>"ENSG00000221639.1"</f>
        <v>ENSG00000221639.1</v>
      </c>
      <c r="B1502" s="3">
        <v>21.385155607422401</v>
      </c>
      <c r="C1502" s="3">
        <v>2.2929466054696501</v>
      </c>
      <c r="D1502" s="3">
        <v>0.78325107775084701</v>
      </c>
      <c r="E1502" s="3">
        <v>2.9274732848807301</v>
      </c>
      <c r="F1502" s="3">
        <v>3.41728417521522E-3</v>
      </c>
      <c r="G1502" s="3">
        <v>1.2814580501250899E-2</v>
      </c>
      <c r="H1502" s="3" t="str">
        <f>"RF00334"</f>
        <v>RF00334</v>
      </c>
      <c r="I1502" s="3" t="str">
        <f>"snoRNA"</f>
        <v>snoRNA</v>
      </c>
    </row>
    <row r="1503" spans="1:9" x14ac:dyDescent="0.2">
      <c r="A1503" s="3" t="str">
        <f>"ENSG00000169429.11"</f>
        <v>ENSG00000169429.11</v>
      </c>
      <c r="B1503" s="3">
        <v>209.215924334367</v>
      </c>
      <c r="C1503" s="3">
        <v>2.31434629345903</v>
      </c>
      <c r="D1503" s="3">
        <v>0.351313170255933</v>
      </c>
      <c r="E1503" s="3">
        <v>6.5877014851820599</v>
      </c>
      <c r="F1503" s="4">
        <v>4.4668758871008699E-11</v>
      </c>
      <c r="G1503" s="4">
        <v>7.2836006759926705E-10</v>
      </c>
      <c r="H1503" s="3" t="str">
        <f>"CXCL8"</f>
        <v>CXCL8</v>
      </c>
      <c r="I1503" s="3" t="str">
        <f t="shared" ref="I1503:I1514" si="71">"protein_coding"</f>
        <v>protein_coding</v>
      </c>
    </row>
    <row r="1504" spans="1:9" x14ac:dyDescent="0.2">
      <c r="A1504" s="3" t="str">
        <f>"ENSG00000163738.18"</f>
        <v>ENSG00000163738.18</v>
      </c>
      <c r="B1504" s="3">
        <v>293.61102663189899</v>
      </c>
      <c r="C1504" s="3">
        <v>-1.37237699578485</v>
      </c>
      <c r="D1504" s="3">
        <v>0.257092379802903</v>
      </c>
      <c r="E1504" s="3">
        <v>-5.3380695174122597</v>
      </c>
      <c r="F1504" s="4">
        <v>9.3941442174844405E-8</v>
      </c>
      <c r="G1504" s="4">
        <v>9.5615333393275508E-7</v>
      </c>
      <c r="H1504" s="3" t="str">
        <f>"MTHFD2L"</f>
        <v>MTHFD2L</v>
      </c>
      <c r="I1504" s="3" t="str">
        <f t="shared" si="71"/>
        <v>protein_coding</v>
      </c>
    </row>
    <row r="1505" spans="1:9" x14ac:dyDescent="0.2">
      <c r="A1505" s="3" t="str">
        <f>"ENSG00000169116.11"</f>
        <v>ENSG00000169116.11</v>
      </c>
      <c r="B1505" s="3">
        <v>14.699262077896</v>
      </c>
      <c r="C1505" s="3">
        <v>4.1596303987223902</v>
      </c>
      <c r="D1505" s="3">
        <v>1.1914669317414599</v>
      </c>
      <c r="E1505" s="3">
        <v>3.4911840924050099</v>
      </c>
      <c r="F1505" s="3">
        <v>4.8088478246654799E-4</v>
      </c>
      <c r="G1505" s="3">
        <v>2.31618661266856E-3</v>
      </c>
      <c r="H1505" s="3" t="str">
        <f>"PARM1"</f>
        <v>PARM1</v>
      </c>
      <c r="I1505" s="3" t="str">
        <f t="shared" si="71"/>
        <v>protein_coding</v>
      </c>
    </row>
    <row r="1506" spans="1:9" x14ac:dyDescent="0.2">
      <c r="A1506" s="3" t="str">
        <f>"ENSG00000138769.11"</f>
        <v>ENSG00000138769.11</v>
      </c>
      <c r="B1506" s="3">
        <v>8.5545681337153798</v>
      </c>
      <c r="C1506" s="3">
        <v>4.9987064851425798</v>
      </c>
      <c r="D1506" s="3">
        <v>1.80626378708446</v>
      </c>
      <c r="E1506" s="3">
        <v>2.7674288334214698</v>
      </c>
      <c r="F1506" s="3">
        <v>5.6500379798800999E-3</v>
      </c>
      <c r="G1506" s="3">
        <v>1.9701380194240201E-2</v>
      </c>
      <c r="H1506" s="3" t="str">
        <f>"CDKL2"</f>
        <v>CDKL2</v>
      </c>
      <c r="I1506" s="3" t="str">
        <f t="shared" si="71"/>
        <v>protein_coding</v>
      </c>
    </row>
    <row r="1507" spans="1:9" x14ac:dyDescent="0.2">
      <c r="A1507" s="3" t="str">
        <f>"ENSG00000138744.15"</f>
        <v>ENSG00000138744.15</v>
      </c>
      <c r="B1507" s="3">
        <v>340.28417316898901</v>
      </c>
      <c r="C1507" s="3">
        <v>-1.66048144970443</v>
      </c>
      <c r="D1507" s="3">
        <v>0.250201503774092</v>
      </c>
      <c r="E1507" s="3">
        <v>-6.6365766178754999</v>
      </c>
      <c r="F1507" s="4">
        <v>3.2105209171384501E-11</v>
      </c>
      <c r="G1507" s="4">
        <v>5.3568318082836095E-10</v>
      </c>
      <c r="H1507" s="3" t="str">
        <f>"NAAA"</f>
        <v>NAAA</v>
      </c>
      <c r="I1507" s="3" t="str">
        <f t="shared" si="71"/>
        <v>protein_coding</v>
      </c>
    </row>
    <row r="1508" spans="1:9" x14ac:dyDescent="0.2">
      <c r="A1508" s="3" t="str">
        <f>"ENSG00000156219.16"</f>
        <v>ENSG00000156219.16</v>
      </c>
      <c r="B1508" s="3">
        <v>11.631757161635999</v>
      </c>
      <c r="C1508" s="3">
        <v>6.9335990458982</v>
      </c>
      <c r="D1508" s="3">
        <v>1.73238224433627</v>
      </c>
      <c r="E1508" s="3">
        <v>4.0023494056040096</v>
      </c>
      <c r="F1508" s="4">
        <v>6.2716586855885204E-5</v>
      </c>
      <c r="G1508" s="3">
        <v>3.7565153705480402E-4</v>
      </c>
      <c r="H1508" s="3" t="str">
        <f>"ART3"</f>
        <v>ART3</v>
      </c>
      <c r="I1508" s="3" t="str">
        <f t="shared" si="71"/>
        <v>protein_coding</v>
      </c>
    </row>
    <row r="1509" spans="1:9" x14ac:dyDescent="0.2">
      <c r="A1509" s="3" t="str">
        <f>"ENSG00000163749.17"</f>
        <v>ENSG00000163749.17</v>
      </c>
      <c r="B1509" s="3">
        <v>13.2080304105633</v>
      </c>
      <c r="C1509" s="3">
        <v>7.11597363483423</v>
      </c>
      <c r="D1509" s="3">
        <v>1.7134959002502299</v>
      </c>
      <c r="E1509" s="3">
        <v>4.1528979636280798</v>
      </c>
      <c r="F1509" s="4">
        <v>3.28291145128701E-5</v>
      </c>
      <c r="G1509" s="3">
        <v>2.0860421714836099E-4</v>
      </c>
      <c r="H1509" s="3" t="str">
        <f>"CCDC158"</f>
        <v>CCDC158</v>
      </c>
      <c r="I1509" s="3" t="str">
        <f t="shared" si="71"/>
        <v>protein_coding</v>
      </c>
    </row>
    <row r="1510" spans="1:9" x14ac:dyDescent="0.2">
      <c r="A1510" s="3" t="str">
        <f>"ENSG00000138771.16"</f>
        <v>ENSG00000138771.16</v>
      </c>
      <c r="B1510" s="3">
        <v>119.73518463772101</v>
      </c>
      <c r="C1510" s="3">
        <v>6.2501669340106698</v>
      </c>
      <c r="D1510" s="3">
        <v>0.684996638068745</v>
      </c>
      <c r="E1510" s="3">
        <v>9.1243760723149894</v>
      </c>
      <c r="F1510" s="4">
        <v>7.2150649847615996E-20</v>
      </c>
      <c r="G1510" s="4">
        <v>2.7266140865436799E-18</v>
      </c>
      <c r="H1510" s="3" t="str">
        <f>"SHROOM3"</f>
        <v>SHROOM3</v>
      </c>
      <c r="I1510" s="3" t="str">
        <f t="shared" si="71"/>
        <v>protein_coding</v>
      </c>
    </row>
    <row r="1511" spans="1:9" x14ac:dyDescent="0.2">
      <c r="A1511" s="3" t="str">
        <f>"ENSG00000138758.11"</f>
        <v>ENSG00000138758.11</v>
      </c>
      <c r="B1511" s="3">
        <v>3340.3544357123001</v>
      </c>
      <c r="C1511" s="3">
        <v>-1.06315436426929</v>
      </c>
      <c r="D1511" s="3">
        <v>0.18965004706354899</v>
      </c>
      <c r="E1511" s="3">
        <v>-5.6058745079722501</v>
      </c>
      <c r="F1511" s="4">
        <v>2.0720605804732999E-8</v>
      </c>
      <c r="G1511" s="4">
        <v>2.3612477890487701E-7</v>
      </c>
      <c r="H1511" s="3" t="str">
        <f>"SEPT11"</f>
        <v>SEPT11</v>
      </c>
      <c r="I1511" s="3" t="str">
        <f t="shared" si="71"/>
        <v>protein_coding</v>
      </c>
    </row>
    <row r="1512" spans="1:9" x14ac:dyDescent="0.2">
      <c r="A1512" s="3" t="str">
        <f>"ENSG00000138764.15"</f>
        <v>ENSG00000138764.15</v>
      </c>
      <c r="B1512" s="3">
        <v>762.411913128484</v>
      </c>
      <c r="C1512" s="3">
        <v>1.31861686045135</v>
      </c>
      <c r="D1512" s="3">
        <v>0.21512436564272699</v>
      </c>
      <c r="E1512" s="3">
        <v>6.12955606637916</v>
      </c>
      <c r="F1512" s="4">
        <v>8.8124616750168597E-10</v>
      </c>
      <c r="G1512" s="4">
        <v>1.2096380013057101E-8</v>
      </c>
      <c r="H1512" s="3" t="str">
        <f>"CCNG2"</f>
        <v>CCNG2</v>
      </c>
      <c r="I1512" s="3" t="str">
        <f t="shared" si="71"/>
        <v>protein_coding</v>
      </c>
    </row>
    <row r="1513" spans="1:9" x14ac:dyDescent="0.2">
      <c r="A1513" s="3" t="str">
        <f>"ENSG00000138759.19"</f>
        <v>ENSG00000138759.19</v>
      </c>
      <c r="B1513" s="3">
        <v>15691.397505438101</v>
      </c>
      <c r="C1513" s="3">
        <v>-1.87891264984796</v>
      </c>
      <c r="D1513" s="3">
        <v>0.18707605440501901</v>
      </c>
      <c r="E1513" s="3">
        <v>-10.0435764257681</v>
      </c>
      <c r="F1513" s="4">
        <v>9.8053185008026306E-24</v>
      </c>
      <c r="G1513" s="4">
        <v>4.9659017321815801E-22</v>
      </c>
      <c r="H1513" s="3" t="str">
        <f>"FRAS1"</f>
        <v>FRAS1</v>
      </c>
      <c r="I1513" s="3" t="str">
        <f t="shared" si="71"/>
        <v>protein_coding</v>
      </c>
    </row>
    <row r="1514" spans="1:9" x14ac:dyDescent="0.2">
      <c r="A1514" s="3" t="str">
        <f>"ENSG00000138772.13"</f>
        <v>ENSG00000138772.13</v>
      </c>
      <c r="B1514" s="3">
        <v>555.20872670736105</v>
      </c>
      <c r="C1514" s="3">
        <v>-1.5428410937219199</v>
      </c>
      <c r="D1514" s="3">
        <v>0.224318719290381</v>
      </c>
      <c r="E1514" s="3">
        <v>-6.87789721073037</v>
      </c>
      <c r="F1514" s="4">
        <v>6.0742471351800099E-12</v>
      </c>
      <c r="G1514" s="4">
        <v>1.0931638817189499E-10</v>
      </c>
      <c r="H1514" s="3" t="str">
        <f>"ANXA3"</f>
        <v>ANXA3</v>
      </c>
      <c r="I1514" s="3" t="str">
        <f t="shared" si="71"/>
        <v>protein_coding</v>
      </c>
    </row>
    <row r="1515" spans="1:9" x14ac:dyDescent="0.2">
      <c r="A1515" s="3" t="str">
        <f>"ENSG00000249307.6"</f>
        <v>ENSG00000249307.6</v>
      </c>
      <c r="B1515" s="3">
        <v>130.208450235431</v>
      </c>
      <c r="C1515" s="3">
        <v>7.97269903951603</v>
      </c>
      <c r="D1515" s="3">
        <v>1.0954666407196301</v>
      </c>
      <c r="E1515" s="3">
        <v>7.2779021680465199</v>
      </c>
      <c r="F1515" s="4">
        <v>3.3905105498545502E-13</v>
      </c>
      <c r="G1515" s="4">
        <v>7.13368655999127E-12</v>
      </c>
      <c r="H1515" s="3" t="str">
        <f>"LINC01088"</f>
        <v>LINC01088</v>
      </c>
      <c r="I1515" s="3" t="str">
        <f>"processed_transcript"</f>
        <v>processed_transcript</v>
      </c>
    </row>
    <row r="1516" spans="1:9" x14ac:dyDescent="0.2">
      <c r="A1516" s="3" t="str">
        <f>"ENSG00000138669.9"</f>
        <v>ENSG00000138669.9</v>
      </c>
      <c r="B1516" s="3">
        <v>16.847210496334998</v>
      </c>
      <c r="C1516" s="3">
        <v>2.4666808230975201</v>
      </c>
      <c r="D1516" s="3">
        <v>0.89710565959293698</v>
      </c>
      <c r="E1516" s="3">
        <v>2.7495989984243101</v>
      </c>
      <c r="F1516" s="3">
        <v>5.9668235584054603E-3</v>
      </c>
      <c r="G1516" s="3">
        <v>2.05942059513348E-2</v>
      </c>
      <c r="H1516" s="3" t="str">
        <f>"PRKG2"</f>
        <v>PRKG2</v>
      </c>
      <c r="I1516" s="3" t="str">
        <f>"protein_coding"</f>
        <v>protein_coding</v>
      </c>
    </row>
    <row r="1517" spans="1:9" x14ac:dyDescent="0.2">
      <c r="A1517" s="3" t="str">
        <f>"ENSG00000152795.17"</f>
        <v>ENSG00000152795.17</v>
      </c>
      <c r="B1517" s="3">
        <v>8222.9741448080495</v>
      </c>
      <c r="C1517" s="3">
        <v>-1.31513320198154</v>
      </c>
      <c r="D1517" s="3">
        <v>0.18587197560277799</v>
      </c>
      <c r="E1517" s="3">
        <v>-7.0754786875030398</v>
      </c>
      <c r="F1517" s="4">
        <v>1.4893375031835699E-12</v>
      </c>
      <c r="G1517" s="4">
        <v>2.90064181195445E-11</v>
      </c>
      <c r="H1517" s="3" t="str">
        <f>"HNRNPDL"</f>
        <v>HNRNPDL</v>
      </c>
      <c r="I1517" s="3" t="str">
        <f>"protein_coding"</f>
        <v>protein_coding</v>
      </c>
    </row>
    <row r="1518" spans="1:9" x14ac:dyDescent="0.2">
      <c r="A1518" s="3" t="str">
        <f>"ENSG00000145284.12"</f>
        <v>ENSG00000145284.12</v>
      </c>
      <c r="B1518" s="3">
        <v>24.890930098818</v>
      </c>
      <c r="C1518" s="3">
        <v>6.5750746156358</v>
      </c>
      <c r="D1518" s="3">
        <v>1.57496374316823</v>
      </c>
      <c r="E1518" s="3">
        <v>4.1747466531573796</v>
      </c>
      <c r="F1518" s="4">
        <v>2.9831785125373301E-5</v>
      </c>
      <c r="G1518" s="3">
        <v>1.9152371567178299E-4</v>
      </c>
      <c r="H1518" s="3" t="str">
        <f>"SCD5"</f>
        <v>SCD5</v>
      </c>
      <c r="I1518" s="3" t="str">
        <f>"protein_coding"</f>
        <v>protein_coding</v>
      </c>
    </row>
    <row r="1519" spans="1:9" x14ac:dyDescent="0.2">
      <c r="A1519" s="3" t="str">
        <f>"ENSG00000138678.11"</f>
        <v>ENSG00000138678.11</v>
      </c>
      <c r="B1519" s="3">
        <v>253.373063523078</v>
      </c>
      <c r="C1519" s="3">
        <v>-2.1935021375775698</v>
      </c>
      <c r="D1519" s="3">
        <v>0.28215705960897303</v>
      </c>
      <c r="E1519" s="3">
        <v>-7.7740466271424404</v>
      </c>
      <c r="F1519" s="4">
        <v>7.6017736797320995E-15</v>
      </c>
      <c r="G1519" s="4">
        <v>1.8509877341524601E-13</v>
      </c>
      <c r="H1519" s="3" t="str">
        <f>"GPAT3"</f>
        <v>GPAT3</v>
      </c>
      <c r="I1519" s="3" t="str">
        <f>"protein_coding"</f>
        <v>protein_coding</v>
      </c>
    </row>
    <row r="1520" spans="1:9" x14ac:dyDescent="0.2">
      <c r="A1520" s="3" t="str">
        <f>"ENSG00000180769.9"</f>
        <v>ENSG00000180769.9</v>
      </c>
      <c r="B1520" s="3">
        <v>36.473986530149503</v>
      </c>
      <c r="C1520" s="3">
        <v>1.8865408960169501</v>
      </c>
      <c r="D1520" s="3">
        <v>0.596835962086529</v>
      </c>
      <c r="E1520" s="3">
        <v>3.1609035243480199</v>
      </c>
      <c r="F1520" s="3">
        <v>1.57280582667363E-3</v>
      </c>
      <c r="G1520" s="3">
        <v>6.5476303070094001E-3</v>
      </c>
      <c r="H1520" s="3" t="str">
        <f>"WDFY3-AS2"</f>
        <v>WDFY3-AS2</v>
      </c>
      <c r="I1520" s="3" t="str">
        <f>"antisense"</f>
        <v>antisense</v>
      </c>
    </row>
    <row r="1521" spans="1:9" x14ac:dyDescent="0.2">
      <c r="A1521" s="3" t="str">
        <f>"ENSG00000109339.22"</f>
        <v>ENSG00000109339.22</v>
      </c>
      <c r="B1521" s="3">
        <v>18.540457097131</v>
      </c>
      <c r="C1521" s="3">
        <v>5.1163576621429998</v>
      </c>
      <c r="D1521" s="3">
        <v>1.2841529372387701</v>
      </c>
      <c r="E1521" s="3">
        <v>3.9842276677296402</v>
      </c>
      <c r="F1521" s="4">
        <v>6.7699944878207906E-5</v>
      </c>
      <c r="G1521" s="3">
        <v>4.0222860839435901E-4</v>
      </c>
      <c r="H1521" s="3" t="str">
        <f>"MAPK10"</f>
        <v>MAPK10</v>
      </c>
      <c r="I1521" s="3" t="str">
        <f t="shared" ref="I1521:I1529" si="72">"protein_coding"</f>
        <v>protein_coding</v>
      </c>
    </row>
    <row r="1522" spans="1:9" x14ac:dyDescent="0.2">
      <c r="A1522" s="3" t="str">
        <f>"ENSG00000163629.13"</f>
        <v>ENSG00000163629.13</v>
      </c>
      <c r="B1522" s="3">
        <v>15.451493967823801</v>
      </c>
      <c r="C1522" s="3">
        <v>5.8728278657270998</v>
      </c>
      <c r="D1522" s="3">
        <v>1.6709986768032099</v>
      </c>
      <c r="E1522" s="3">
        <v>3.51456164942178</v>
      </c>
      <c r="F1522" s="3">
        <v>4.40480417373003E-4</v>
      </c>
      <c r="G1522" s="3">
        <v>2.1418716072630099E-3</v>
      </c>
      <c r="H1522" s="3" t="str">
        <f>"PTPN13"</f>
        <v>PTPN13</v>
      </c>
      <c r="I1522" s="3" t="str">
        <f t="shared" si="72"/>
        <v>protein_coding</v>
      </c>
    </row>
    <row r="1523" spans="1:9" x14ac:dyDescent="0.2">
      <c r="A1523" s="3" t="str">
        <f>"ENSG00000198189.11"</f>
        <v>ENSG00000198189.11</v>
      </c>
      <c r="B1523" s="3">
        <v>2328.9723489388498</v>
      </c>
      <c r="C1523" s="3">
        <v>-1.04345627681327</v>
      </c>
      <c r="D1523" s="3">
        <v>0.19249452479030801</v>
      </c>
      <c r="E1523" s="3">
        <v>-5.4207062665805603</v>
      </c>
      <c r="F1523" s="4">
        <v>5.9364032367151498E-8</v>
      </c>
      <c r="G1523" s="4">
        <v>6.2717789449700502E-7</v>
      </c>
      <c r="H1523" s="3" t="str">
        <f>"HSD17B11"</f>
        <v>HSD17B11</v>
      </c>
      <c r="I1523" s="3" t="str">
        <f t="shared" si="72"/>
        <v>protein_coding</v>
      </c>
    </row>
    <row r="1524" spans="1:9" x14ac:dyDescent="0.2">
      <c r="A1524" s="3" t="str">
        <f>"ENSG00000118785.14"</f>
        <v>ENSG00000118785.14</v>
      </c>
      <c r="B1524" s="3">
        <v>8233.9329972845499</v>
      </c>
      <c r="C1524" s="3">
        <v>-2.5168348302041501</v>
      </c>
      <c r="D1524" s="3">
        <v>0.17704745301823699</v>
      </c>
      <c r="E1524" s="3">
        <v>-14.2155946741855</v>
      </c>
      <c r="F1524" s="4">
        <v>7.3325892374541203E-46</v>
      </c>
      <c r="G1524" s="4">
        <v>1.22571201811603E-43</v>
      </c>
      <c r="H1524" s="3" t="str">
        <f>"SPP1"</f>
        <v>SPP1</v>
      </c>
      <c r="I1524" s="3" t="str">
        <f t="shared" si="72"/>
        <v>protein_coding</v>
      </c>
    </row>
    <row r="1525" spans="1:9" x14ac:dyDescent="0.2">
      <c r="A1525" s="3" t="str">
        <f>"ENSG00000118777.12"</f>
        <v>ENSG00000118777.12</v>
      </c>
      <c r="B1525" s="3">
        <v>763.28734845059898</v>
      </c>
      <c r="C1525" s="3">
        <v>-1.1051232898077099</v>
      </c>
      <c r="D1525" s="3">
        <v>0.26485718932680302</v>
      </c>
      <c r="E1525" s="3">
        <v>-4.1725251733458304</v>
      </c>
      <c r="F1525" s="4">
        <v>3.0124230462885099E-5</v>
      </c>
      <c r="G1525" s="3">
        <v>1.93219140165309E-4</v>
      </c>
      <c r="H1525" s="3" t="str">
        <f>"ABCG2"</f>
        <v>ABCG2</v>
      </c>
      <c r="I1525" s="3" t="str">
        <f t="shared" si="72"/>
        <v>protein_coding</v>
      </c>
    </row>
    <row r="1526" spans="1:9" x14ac:dyDescent="0.2">
      <c r="A1526" s="3" t="str">
        <f>"ENSG00000163644.15"</f>
        <v>ENSG00000163644.15</v>
      </c>
      <c r="B1526" s="3">
        <v>404.024320584252</v>
      </c>
      <c r="C1526" s="3">
        <v>-1.29504124548866</v>
      </c>
      <c r="D1526" s="3">
        <v>0.23641214199656299</v>
      </c>
      <c r="E1526" s="3">
        <v>-5.4778965012190097</v>
      </c>
      <c r="F1526" s="4">
        <v>4.3041174980007701E-8</v>
      </c>
      <c r="G1526" s="4">
        <v>4.6629936170189703E-7</v>
      </c>
      <c r="H1526" s="3" t="str">
        <f>"PPM1K"</f>
        <v>PPM1K</v>
      </c>
      <c r="I1526" s="3" t="str">
        <f t="shared" si="72"/>
        <v>protein_coding</v>
      </c>
    </row>
    <row r="1527" spans="1:9" x14ac:dyDescent="0.2">
      <c r="A1527" s="3" t="str">
        <f>"ENSG00000138646.9"</f>
        <v>ENSG00000138646.9</v>
      </c>
      <c r="B1527" s="3">
        <v>75.797190092593297</v>
      </c>
      <c r="C1527" s="3">
        <v>3.55470199347323</v>
      </c>
      <c r="D1527" s="3">
        <v>0.52504278802711402</v>
      </c>
      <c r="E1527" s="3">
        <v>6.7703091529554804</v>
      </c>
      <c r="F1527" s="4">
        <v>1.28507497921079E-11</v>
      </c>
      <c r="G1527" s="4">
        <v>2.2316404052617201E-10</v>
      </c>
      <c r="H1527" s="3" t="str">
        <f>"HERC5"</f>
        <v>HERC5</v>
      </c>
      <c r="I1527" s="3" t="str">
        <f t="shared" si="72"/>
        <v>protein_coding</v>
      </c>
    </row>
    <row r="1528" spans="1:9" x14ac:dyDescent="0.2">
      <c r="A1528" s="3" t="str">
        <f>"ENSG00000177432.7"</f>
        <v>ENSG00000177432.7</v>
      </c>
      <c r="B1528" s="3">
        <v>47.2439806816244</v>
      </c>
      <c r="C1528" s="3">
        <v>1.3703445022657399</v>
      </c>
      <c r="D1528" s="3">
        <v>0.53426563823101403</v>
      </c>
      <c r="E1528" s="3">
        <v>2.5649122912022499</v>
      </c>
      <c r="F1528" s="3">
        <v>1.03201888855473E-2</v>
      </c>
      <c r="G1528" s="3">
        <v>3.2662816420549003E-2</v>
      </c>
      <c r="H1528" s="3" t="str">
        <f>"NAP1L5"</f>
        <v>NAP1L5</v>
      </c>
      <c r="I1528" s="3" t="str">
        <f t="shared" si="72"/>
        <v>protein_coding</v>
      </c>
    </row>
    <row r="1529" spans="1:9" x14ac:dyDescent="0.2">
      <c r="A1529" s="3" t="str">
        <f>"ENSG00000180346.3"</f>
        <v>ENSG00000180346.3</v>
      </c>
      <c r="B1529" s="3">
        <v>599.80409809467199</v>
      </c>
      <c r="C1529" s="3">
        <v>1.23185083643361</v>
      </c>
      <c r="D1529" s="3">
        <v>0.229169246136738</v>
      </c>
      <c r="E1529" s="3">
        <v>5.3752886008910803</v>
      </c>
      <c r="F1529" s="4">
        <v>7.6460112905046598E-8</v>
      </c>
      <c r="G1529" s="4">
        <v>7.9243388981506501E-7</v>
      </c>
      <c r="H1529" s="3" t="str">
        <f>"TIGD2"</f>
        <v>TIGD2</v>
      </c>
      <c r="I1529" s="3" t="str">
        <f t="shared" si="72"/>
        <v>protein_coding</v>
      </c>
    </row>
    <row r="1530" spans="1:9" x14ac:dyDescent="0.2">
      <c r="A1530" s="3" t="str">
        <f>"ENSG00000251095.6"</f>
        <v>ENSG00000251095.6</v>
      </c>
      <c r="B1530" s="3">
        <v>4172.16780607895</v>
      </c>
      <c r="C1530" s="3">
        <v>2.73914482583938</v>
      </c>
      <c r="D1530" s="3">
        <v>0.20158555408485501</v>
      </c>
      <c r="E1530" s="3">
        <v>13.5880015722077</v>
      </c>
      <c r="F1530" s="4">
        <v>4.7178696202367698E-42</v>
      </c>
      <c r="G1530" s="4">
        <v>7.1020880410271503E-40</v>
      </c>
      <c r="H1530" s="3" t="str">
        <f>"AC097478.1"</f>
        <v>AC097478.1</v>
      </c>
      <c r="I1530" s="3" t="str">
        <f>"antisense"</f>
        <v>antisense</v>
      </c>
    </row>
    <row r="1531" spans="1:9" x14ac:dyDescent="0.2">
      <c r="A1531" s="3" t="str">
        <f>"ENSG00000152208.13"</f>
        <v>ENSG00000152208.13</v>
      </c>
      <c r="B1531" s="3">
        <v>10.4601146463287</v>
      </c>
      <c r="C1531" s="3">
        <v>6.7828465291881397</v>
      </c>
      <c r="D1531" s="3">
        <v>1.74998173513134</v>
      </c>
      <c r="E1531" s="3">
        <v>3.8759527559749398</v>
      </c>
      <c r="F1531" s="3">
        <v>1.0620829186007101E-4</v>
      </c>
      <c r="G1531" s="3">
        <v>6.0451428415447502E-4</v>
      </c>
      <c r="H1531" s="3" t="str">
        <f>"GRID2"</f>
        <v>GRID2</v>
      </c>
      <c r="I1531" s="3" t="str">
        <f>"protein_coding"</f>
        <v>protein_coding</v>
      </c>
    </row>
    <row r="1532" spans="1:9" x14ac:dyDescent="0.2">
      <c r="A1532" s="3" t="str">
        <f>"ENSG00000163106.10"</f>
        <v>ENSG00000163106.10</v>
      </c>
      <c r="B1532" s="3">
        <v>4.6955874323479101</v>
      </c>
      <c r="C1532" s="3">
        <v>5.6225407729551202</v>
      </c>
      <c r="D1532" s="3">
        <v>2.0985373131596199</v>
      </c>
      <c r="E1532" s="3">
        <v>2.6792665242104601</v>
      </c>
      <c r="F1532" s="3">
        <v>7.3783638562813E-3</v>
      </c>
      <c r="G1532" s="3">
        <v>2.4615927512195001E-2</v>
      </c>
      <c r="H1532" s="3" t="str">
        <f>"HPGDS"</f>
        <v>HPGDS</v>
      </c>
      <c r="I1532" s="3" t="str">
        <f>"protein_coding"</f>
        <v>protein_coding</v>
      </c>
    </row>
    <row r="1533" spans="1:9" x14ac:dyDescent="0.2">
      <c r="A1533" s="3" t="str">
        <f>"ENSG00000138696.10"</f>
        <v>ENSG00000138696.10</v>
      </c>
      <c r="B1533" s="3">
        <v>10.281805382615399</v>
      </c>
      <c r="C1533" s="3">
        <v>5.2751931995721097</v>
      </c>
      <c r="D1533" s="3">
        <v>1.7385620206128101</v>
      </c>
      <c r="E1533" s="3">
        <v>3.03422779114472</v>
      </c>
      <c r="F1533" s="3">
        <v>2.41152270162895E-3</v>
      </c>
      <c r="G1533" s="3">
        <v>9.4582926516890899E-3</v>
      </c>
      <c r="H1533" s="3" t="str">
        <f>"BMPR1B"</f>
        <v>BMPR1B</v>
      </c>
      <c r="I1533" s="3" t="str">
        <f>"protein_coding"</f>
        <v>protein_coding</v>
      </c>
    </row>
    <row r="1534" spans="1:9" x14ac:dyDescent="0.2">
      <c r="A1534" s="3" t="str">
        <f>"ENSG00000182168.15"</f>
        <v>ENSG00000182168.15</v>
      </c>
      <c r="B1534" s="3">
        <v>6.1661521572278399</v>
      </c>
      <c r="C1534" s="3">
        <v>6.0207072949405402</v>
      </c>
      <c r="D1534" s="3">
        <v>1.93317068918253</v>
      </c>
      <c r="E1534" s="3">
        <v>3.11442095032307</v>
      </c>
      <c r="F1534" s="3">
        <v>1.84306335590704E-3</v>
      </c>
      <c r="G1534" s="3">
        <v>7.5120339952728498E-3</v>
      </c>
      <c r="H1534" s="3" t="str">
        <f>"UNC5C"</f>
        <v>UNC5C</v>
      </c>
      <c r="I1534" s="3" t="str">
        <f>"protein_coding"</f>
        <v>protein_coding</v>
      </c>
    </row>
    <row r="1535" spans="1:9" x14ac:dyDescent="0.2">
      <c r="A1535" s="3" t="str">
        <f>"ENSG00000246090.6"</f>
        <v>ENSG00000246090.6</v>
      </c>
      <c r="B1535" s="3">
        <v>265.85775873928299</v>
      </c>
      <c r="C1535" s="3">
        <v>2.7911867901177101</v>
      </c>
      <c r="D1535" s="3">
        <v>0.30409565707756098</v>
      </c>
      <c r="E1535" s="3">
        <v>9.1786473274289495</v>
      </c>
      <c r="F1535" s="4">
        <v>4.36540377977756E-20</v>
      </c>
      <c r="G1535" s="4">
        <v>1.7017288469824799E-18</v>
      </c>
      <c r="H1535" s="3" t="str">
        <f>"AP002026.1"</f>
        <v>AP002026.1</v>
      </c>
      <c r="I1535" s="3" t="str">
        <f>"antisense"</f>
        <v>antisense</v>
      </c>
    </row>
    <row r="1536" spans="1:9" x14ac:dyDescent="0.2">
      <c r="A1536" s="3" t="str">
        <f>"ENSG00000198099.8"</f>
        <v>ENSG00000198099.8</v>
      </c>
      <c r="B1536" s="3">
        <v>264.176528268109</v>
      </c>
      <c r="C1536" s="3">
        <v>-1.1501321141460901</v>
      </c>
      <c r="D1536" s="3">
        <v>0.27622190545438702</v>
      </c>
      <c r="E1536" s="3">
        <v>-4.1637976258765903</v>
      </c>
      <c r="F1536" s="4">
        <v>3.1299756294416599E-5</v>
      </c>
      <c r="G1536" s="3">
        <v>1.99631193762633E-4</v>
      </c>
      <c r="H1536" s="3" t="str">
        <f>"ADH4"</f>
        <v>ADH4</v>
      </c>
      <c r="I1536" s="3" t="str">
        <f>"protein_coding"</f>
        <v>protein_coding</v>
      </c>
    </row>
    <row r="1537" spans="1:9" x14ac:dyDescent="0.2">
      <c r="A1537" s="3" t="str">
        <f>"ENSG00000138823.13"</f>
        <v>ENSG00000138823.13</v>
      </c>
      <c r="B1537" s="3">
        <v>687.72665695878504</v>
      </c>
      <c r="C1537" s="3">
        <v>-3.0007276761759898</v>
      </c>
      <c r="D1537" s="3">
        <v>0.24623768767163501</v>
      </c>
      <c r="E1537" s="3">
        <v>-12.186305453686501</v>
      </c>
      <c r="F1537" s="4">
        <v>3.6771747145136701E-34</v>
      </c>
      <c r="G1537" s="4">
        <v>3.6433447071401499E-32</v>
      </c>
      <c r="H1537" s="3" t="str">
        <f>"MTTP"</f>
        <v>MTTP</v>
      </c>
      <c r="I1537" s="3" t="str">
        <f>"protein_coding"</f>
        <v>protein_coding</v>
      </c>
    </row>
    <row r="1538" spans="1:9" x14ac:dyDescent="0.2">
      <c r="A1538" s="3" t="str">
        <f>"ENSG00000164032.12"</f>
        <v>ENSG00000164032.12</v>
      </c>
      <c r="B1538" s="3">
        <v>5727.4756116199896</v>
      </c>
      <c r="C1538" s="3">
        <v>-1.0120151686208401</v>
      </c>
      <c r="D1538" s="3">
        <v>0.195619440438658</v>
      </c>
      <c r="E1538" s="3">
        <v>-5.17338750357065</v>
      </c>
      <c r="F1538" s="4">
        <v>2.2988755499614899E-7</v>
      </c>
      <c r="G1538" s="4">
        <v>2.1962644498527599E-6</v>
      </c>
      <c r="H1538" s="3" t="str">
        <f>"H2AFZ"</f>
        <v>H2AFZ</v>
      </c>
      <c r="I1538" s="3" t="str">
        <f>"protein_coding"</f>
        <v>protein_coding</v>
      </c>
    </row>
    <row r="1539" spans="1:9" x14ac:dyDescent="0.2">
      <c r="A1539" s="3" t="str">
        <f>"ENSG00000254531.1"</f>
        <v>ENSG00000254531.1</v>
      </c>
      <c r="B1539" s="3">
        <v>85.750309901604197</v>
      </c>
      <c r="C1539" s="3">
        <v>1.31605648187864</v>
      </c>
      <c r="D1539" s="3">
        <v>0.45791594761247001</v>
      </c>
      <c r="E1539" s="3">
        <v>2.8740132086257999</v>
      </c>
      <c r="F1539" s="3">
        <v>4.0529201265271098E-3</v>
      </c>
      <c r="G1539" s="3">
        <v>1.4812865819917399E-2</v>
      </c>
      <c r="H1539" s="3" t="str">
        <f>"AP001816.1"</f>
        <v>AP001816.1</v>
      </c>
      <c r="I1539" s="3" t="str">
        <f>"lincRNA"</f>
        <v>lincRNA</v>
      </c>
    </row>
    <row r="1540" spans="1:9" x14ac:dyDescent="0.2">
      <c r="A1540" s="3" t="str">
        <f>"ENSG00000153064.12"</f>
        <v>ENSG00000153064.12</v>
      </c>
      <c r="B1540" s="3">
        <v>14.2320505141958</v>
      </c>
      <c r="C1540" s="3">
        <v>4.7365322680137796</v>
      </c>
      <c r="D1540" s="3">
        <v>1.3348448372956001</v>
      </c>
      <c r="E1540" s="3">
        <v>3.5483766619721901</v>
      </c>
      <c r="F1540" s="3">
        <v>3.8761348564327899E-4</v>
      </c>
      <c r="G1540" s="3">
        <v>1.91536174162539E-3</v>
      </c>
      <c r="H1540" s="3" t="str">
        <f>"BANK1"</f>
        <v>BANK1</v>
      </c>
      <c r="I1540" s="3" t="str">
        <f t="shared" ref="I1540:I1546" si="73">"protein_coding"</f>
        <v>protein_coding</v>
      </c>
    </row>
    <row r="1541" spans="1:9" x14ac:dyDescent="0.2">
      <c r="A1541" s="3" t="str">
        <f>"ENSG00000164038.15"</f>
        <v>ENSG00000164038.15</v>
      </c>
      <c r="B1541" s="3">
        <v>1008.1911845892899</v>
      </c>
      <c r="C1541" s="3">
        <v>-1.66836508122994</v>
      </c>
      <c r="D1541" s="3">
        <v>0.201674064547959</v>
      </c>
      <c r="E1541" s="3">
        <v>-8.2725812313521097</v>
      </c>
      <c r="F1541" s="4">
        <v>1.31089490065895E-16</v>
      </c>
      <c r="G1541" s="4">
        <v>3.7836814998150797E-15</v>
      </c>
      <c r="H1541" s="3" t="str">
        <f>"SLC9B2"</f>
        <v>SLC9B2</v>
      </c>
      <c r="I1541" s="3" t="str">
        <f t="shared" si="73"/>
        <v>protein_coding</v>
      </c>
    </row>
    <row r="1542" spans="1:9" x14ac:dyDescent="0.2">
      <c r="A1542" s="3" t="str">
        <f>"ENSG00000169836.5"</f>
        <v>ENSG00000169836.5</v>
      </c>
      <c r="B1542" s="3">
        <v>5.1757001659542397</v>
      </c>
      <c r="C1542" s="3">
        <v>5.7691669903209899</v>
      </c>
      <c r="D1542" s="3">
        <v>2.0146158333858399</v>
      </c>
      <c r="E1542" s="3">
        <v>2.8636561346909999</v>
      </c>
      <c r="F1542" s="3">
        <v>4.1878236407200901E-3</v>
      </c>
      <c r="G1542" s="3">
        <v>1.5236430863760199E-2</v>
      </c>
      <c r="H1542" s="3" t="str">
        <f>"TACR3"</f>
        <v>TACR3</v>
      </c>
      <c r="I1542" s="3" t="str">
        <f t="shared" si="73"/>
        <v>protein_coding</v>
      </c>
    </row>
    <row r="1543" spans="1:9" x14ac:dyDescent="0.2">
      <c r="A1543" s="3" t="str">
        <f>"ENSG00000168769.13"</f>
        <v>ENSG00000168769.13</v>
      </c>
      <c r="B1543" s="3">
        <v>1641.07868021793</v>
      </c>
      <c r="C1543" s="3">
        <v>1.47473029240868</v>
      </c>
      <c r="D1543" s="3">
        <v>0.208385553467614</v>
      </c>
      <c r="E1543" s="3">
        <v>7.0769315236522798</v>
      </c>
      <c r="F1543" s="4">
        <v>1.47381311308394E-12</v>
      </c>
      <c r="G1543" s="4">
        <v>2.8724596489412E-11</v>
      </c>
      <c r="H1543" s="3" t="str">
        <f>"TET2"</f>
        <v>TET2</v>
      </c>
      <c r="I1543" s="3" t="str">
        <f t="shared" si="73"/>
        <v>protein_coding</v>
      </c>
    </row>
    <row r="1544" spans="1:9" x14ac:dyDescent="0.2">
      <c r="A1544" s="3" t="str">
        <f>"ENSG00000138777.20"</f>
        <v>ENSG00000138777.20</v>
      </c>
      <c r="B1544" s="3">
        <v>716.91034566762596</v>
      </c>
      <c r="C1544" s="3">
        <v>-1.39483741432056</v>
      </c>
      <c r="D1544" s="3">
        <v>0.216023431781211</v>
      </c>
      <c r="E1544" s="3">
        <v>-6.4568801764673998</v>
      </c>
      <c r="F1544" s="4">
        <v>1.0688345731743701E-10</v>
      </c>
      <c r="G1544" s="4">
        <v>1.65468952359557E-9</v>
      </c>
      <c r="H1544" s="3" t="str">
        <f>"PPA2"</f>
        <v>PPA2</v>
      </c>
      <c r="I1544" s="3" t="str">
        <f t="shared" si="73"/>
        <v>protein_coding</v>
      </c>
    </row>
    <row r="1545" spans="1:9" x14ac:dyDescent="0.2">
      <c r="A1545" s="3" t="str">
        <f>"ENSG00000236699.9"</f>
        <v>ENSG00000236699.9</v>
      </c>
      <c r="B1545" s="3">
        <v>11.5564430606122</v>
      </c>
      <c r="C1545" s="3">
        <v>5.4522483067648597</v>
      </c>
      <c r="D1545" s="3">
        <v>1.7134197965053</v>
      </c>
      <c r="E1545" s="3">
        <v>3.1820855098588701</v>
      </c>
      <c r="F1545" s="3">
        <v>1.4621864127967101E-3</v>
      </c>
      <c r="G1545" s="3">
        <v>6.1502307097628496E-3</v>
      </c>
      <c r="H1545" s="3" t="str">
        <f>"ARHGEF38"</f>
        <v>ARHGEF38</v>
      </c>
      <c r="I1545" s="3" t="str">
        <f t="shared" si="73"/>
        <v>protein_coding</v>
      </c>
    </row>
    <row r="1546" spans="1:9" x14ac:dyDescent="0.2">
      <c r="A1546" s="3" t="str">
        <f>"ENSG00000138801.9"</f>
        <v>ENSG00000138801.9</v>
      </c>
      <c r="B1546" s="3">
        <v>2339.2030686943199</v>
      </c>
      <c r="C1546" s="3">
        <v>-1.2310520705194901</v>
      </c>
      <c r="D1546" s="3">
        <v>0.192549555138222</v>
      </c>
      <c r="E1546" s="3">
        <v>-6.3934298349106999</v>
      </c>
      <c r="F1546" s="4">
        <v>1.6220544714696101E-10</v>
      </c>
      <c r="G1546" s="4">
        <v>2.4498956864818499E-9</v>
      </c>
      <c r="H1546" s="3" t="str">
        <f>"PAPSS1"</f>
        <v>PAPSS1</v>
      </c>
      <c r="I1546" s="3" t="str">
        <f t="shared" si="73"/>
        <v>protein_coding</v>
      </c>
    </row>
    <row r="1547" spans="1:9" x14ac:dyDescent="0.2">
      <c r="A1547" s="3" t="str">
        <f>"ENSG00000249604.1"</f>
        <v>ENSG00000249604.1</v>
      </c>
      <c r="B1547" s="3">
        <v>4.6955874323479101</v>
      </c>
      <c r="C1547" s="3">
        <v>5.6225407729551202</v>
      </c>
      <c r="D1547" s="3">
        <v>2.0985373131596199</v>
      </c>
      <c r="E1547" s="3">
        <v>2.6792665242104601</v>
      </c>
      <c r="F1547" s="3">
        <v>7.3783638562813E-3</v>
      </c>
      <c r="G1547" s="3">
        <v>2.4615927512195001E-2</v>
      </c>
      <c r="H1547" s="3" t="str">
        <f>"AC096564.2"</f>
        <v>AC096564.2</v>
      </c>
      <c r="I1547" s="3" t="str">
        <f>"antisense"</f>
        <v>antisense</v>
      </c>
    </row>
    <row r="1548" spans="1:9" x14ac:dyDescent="0.2">
      <c r="A1548" s="3" t="str">
        <f>"ENSG00000138796.16"</f>
        <v>ENSG00000138796.16</v>
      </c>
      <c r="B1548" s="3">
        <v>1150.30038770081</v>
      </c>
      <c r="C1548" s="3">
        <v>-1.0906414409082901</v>
      </c>
      <c r="D1548" s="3">
        <v>0.22730585609986401</v>
      </c>
      <c r="E1548" s="3">
        <v>-4.7981229327815003</v>
      </c>
      <c r="F1548" s="4">
        <v>1.60159474055396E-6</v>
      </c>
      <c r="G1548" s="4">
        <v>1.32398822499617E-5</v>
      </c>
      <c r="H1548" s="3" t="str">
        <f>"HADH"</f>
        <v>HADH</v>
      </c>
      <c r="I1548" s="3" t="str">
        <f t="shared" ref="I1548:I1559" si="74">"protein_coding"</f>
        <v>protein_coding</v>
      </c>
    </row>
    <row r="1549" spans="1:9" x14ac:dyDescent="0.2">
      <c r="A1549" s="3" t="str">
        <f>"ENSG00000138795.10"</f>
        <v>ENSG00000138795.10</v>
      </c>
      <c r="B1549" s="3">
        <v>24.720144227882699</v>
      </c>
      <c r="C1549" s="3">
        <v>3.1073369938029001</v>
      </c>
      <c r="D1549" s="3">
        <v>0.81943875755388895</v>
      </c>
      <c r="E1549" s="3">
        <v>3.7920307834579599</v>
      </c>
      <c r="F1549" s="3">
        <v>1.4942038675769501E-4</v>
      </c>
      <c r="G1549" s="3">
        <v>8.2231009452371799E-4</v>
      </c>
      <c r="H1549" s="3" t="str">
        <f>"LEF1"</f>
        <v>LEF1</v>
      </c>
      <c r="I1549" s="3" t="str">
        <f t="shared" si="74"/>
        <v>protein_coding</v>
      </c>
    </row>
    <row r="1550" spans="1:9" x14ac:dyDescent="0.2">
      <c r="A1550" s="3" t="str">
        <f>"ENSG00000198856.13"</f>
        <v>ENSG00000198856.13</v>
      </c>
      <c r="B1550" s="3">
        <v>3706.95313864643</v>
      </c>
      <c r="C1550" s="3">
        <v>-1.31562873120544</v>
      </c>
      <c r="D1550" s="3">
        <v>0.18264024002296</v>
      </c>
      <c r="E1550" s="3">
        <v>-7.2033891930937601</v>
      </c>
      <c r="F1550" s="4">
        <v>5.8734014836882496E-13</v>
      </c>
      <c r="G1550" s="4">
        <v>1.1987458443899201E-11</v>
      </c>
      <c r="H1550" s="3" t="str">
        <f>"OSTC"</f>
        <v>OSTC</v>
      </c>
      <c r="I1550" s="3" t="str">
        <f t="shared" si="74"/>
        <v>protein_coding</v>
      </c>
    </row>
    <row r="1551" spans="1:9" x14ac:dyDescent="0.2">
      <c r="A1551" s="3" t="str">
        <f>"ENSG00000188517.16"</f>
        <v>ENSG00000188517.16</v>
      </c>
      <c r="B1551" s="3">
        <v>16.804619436179902</v>
      </c>
      <c r="C1551" s="3">
        <v>6.0024322278627498</v>
      </c>
      <c r="D1551" s="3">
        <v>1.63561601044016</v>
      </c>
      <c r="E1551" s="3">
        <v>3.6698297091427001</v>
      </c>
      <c r="F1551" s="3">
        <v>2.4271210253869099E-4</v>
      </c>
      <c r="G1551" s="3">
        <v>1.26205661409765E-3</v>
      </c>
      <c r="H1551" s="3" t="str">
        <f>"COL25A1"</f>
        <v>COL25A1</v>
      </c>
      <c r="I1551" s="3" t="str">
        <f t="shared" si="74"/>
        <v>protein_coding</v>
      </c>
    </row>
    <row r="1552" spans="1:9" x14ac:dyDescent="0.2">
      <c r="A1552" s="3" t="str">
        <f>"ENSG00000005059.16"</f>
        <v>ENSG00000005059.16</v>
      </c>
      <c r="B1552" s="3">
        <v>125.838020277696</v>
      </c>
      <c r="C1552" s="3">
        <v>-1.2695670596653299</v>
      </c>
      <c r="D1552" s="3">
        <v>0.34365352394378801</v>
      </c>
      <c r="E1552" s="3">
        <v>-3.6943228315999899</v>
      </c>
      <c r="F1552" s="3">
        <v>2.20473551298391E-4</v>
      </c>
      <c r="G1552" s="3">
        <v>1.1608103697240599E-3</v>
      </c>
      <c r="H1552" s="3" t="str">
        <f>"MCUB"</f>
        <v>MCUB</v>
      </c>
      <c r="I1552" s="3" t="str">
        <f t="shared" si="74"/>
        <v>protein_coding</v>
      </c>
    </row>
    <row r="1553" spans="1:9" x14ac:dyDescent="0.2">
      <c r="A1553" s="3" t="str">
        <f>"ENSG00000205403.13"</f>
        <v>ENSG00000205403.13</v>
      </c>
      <c r="B1553" s="3">
        <v>870.65924421270904</v>
      </c>
      <c r="C1553" s="3">
        <v>-1.4290176147655</v>
      </c>
      <c r="D1553" s="3">
        <v>0.20985336076497399</v>
      </c>
      <c r="E1553" s="3">
        <v>-6.8096008067554399</v>
      </c>
      <c r="F1553" s="4">
        <v>9.7869934281343695E-12</v>
      </c>
      <c r="G1553" s="4">
        <v>1.73272391121753E-10</v>
      </c>
      <c r="H1553" s="3" t="str">
        <f>"CFI"</f>
        <v>CFI</v>
      </c>
      <c r="I1553" s="3" t="str">
        <f t="shared" si="74"/>
        <v>protein_coding</v>
      </c>
    </row>
    <row r="1554" spans="1:9" x14ac:dyDescent="0.2">
      <c r="A1554" s="3" t="str">
        <f>"ENSG00000170522.9"</f>
        <v>ENSG00000170522.9</v>
      </c>
      <c r="B1554" s="3">
        <v>634.69023080945999</v>
      </c>
      <c r="C1554" s="3">
        <v>-1.67884534867772</v>
      </c>
      <c r="D1554" s="3">
        <v>0.21624476766022799</v>
      </c>
      <c r="E1554" s="3">
        <v>-7.7636345463655001</v>
      </c>
      <c r="F1554" s="4">
        <v>8.2529483095966101E-15</v>
      </c>
      <c r="G1554" s="4">
        <v>2.0059597019766199E-13</v>
      </c>
      <c r="H1554" s="3" t="str">
        <f>"ELOVL6"</f>
        <v>ELOVL6</v>
      </c>
      <c r="I1554" s="3" t="str">
        <f t="shared" si="74"/>
        <v>protein_coding</v>
      </c>
    </row>
    <row r="1555" spans="1:9" x14ac:dyDescent="0.2">
      <c r="A1555" s="3" t="str">
        <f>"ENSG00000138792.10"</f>
        <v>ENSG00000138792.10</v>
      </c>
      <c r="B1555" s="3">
        <v>5.9064738428348598</v>
      </c>
      <c r="C1555" s="3">
        <v>5.9540388634799601</v>
      </c>
      <c r="D1555" s="3">
        <v>1.9811948510458599</v>
      </c>
      <c r="E1555" s="3">
        <v>3.00527677039786</v>
      </c>
      <c r="F1555" s="3">
        <v>2.65339284418335E-3</v>
      </c>
      <c r="G1555" s="3">
        <v>1.02782193382803E-2</v>
      </c>
      <c r="H1555" s="3" t="str">
        <f>"ENPEP"</f>
        <v>ENPEP</v>
      </c>
      <c r="I1555" s="3" t="str">
        <f t="shared" si="74"/>
        <v>protein_coding</v>
      </c>
    </row>
    <row r="1556" spans="1:9" x14ac:dyDescent="0.2">
      <c r="A1556" s="3" t="str">
        <f>"ENSG00000145365.11"</f>
        <v>ENSG00000145365.11</v>
      </c>
      <c r="B1556" s="3">
        <v>129.73885986550101</v>
      </c>
      <c r="C1556" s="3">
        <v>-2.2151989485497698</v>
      </c>
      <c r="D1556" s="3">
        <v>0.36765982530774</v>
      </c>
      <c r="E1556" s="3">
        <v>-6.0251319183312804</v>
      </c>
      <c r="F1556" s="4">
        <v>1.68971746775743E-9</v>
      </c>
      <c r="G1556" s="4">
        <v>2.2219947801151902E-8</v>
      </c>
      <c r="H1556" s="3" t="str">
        <f>"TIFA"</f>
        <v>TIFA</v>
      </c>
      <c r="I1556" s="3" t="str">
        <f t="shared" si="74"/>
        <v>protein_coding</v>
      </c>
    </row>
    <row r="1557" spans="1:9" x14ac:dyDescent="0.2">
      <c r="A1557" s="3" t="str">
        <f>"ENSG00000145362.18"</f>
        <v>ENSG00000145362.18</v>
      </c>
      <c r="B1557" s="3">
        <v>198.764869805047</v>
      </c>
      <c r="C1557" s="3">
        <v>-1.07279855007658</v>
      </c>
      <c r="D1557" s="3">
        <v>0.285505585710986</v>
      </c>
      <c r="E1557" s="3">
        <v>-3.75753962012694</v>
      </c>
      <c r="F1557" s="3">
        <v>1.7159220484354499E-4</v>
      </c>
      <c r="G1557" s="3">
        <v>9.2857453929931705E-4</v>
      </c>
      <c r="H1557" s="3" t="str">
        <f>"ANK2"</f>
        <v>ANK2</v>
      </c>
      <c r="I1557" s="3" t="str">
        <f t="shared" si="74"/>
        <v>protein_coding</v>
      </c>
    </row>
    <row r="1558" spans="1:9" x14ac:dyDescent="0.2">
      <c r="A1558" s="3" t="str">
        <f>"ENSG00000145349.17"</f>
        <v>ENSG00000145349.17</v>
      </c>
      <c r="B1558" s="3">
        <v>1613.40656499444</v>
      </c>
      <c r="C1558" s="3">
        <v>-1.79376632203268</v>
      </c>
      <c r="D1558" s="3">
        <v>0.187469776373238</v>
      </c>
      <c r="E1558" s="3">
        <v>-9.5682960567544306</v>
      </c>
      <c r="F1558" s="4">
        <v>1.08682039211621E-21</v>
      </c>
      <c r="G1558" s="4">
        <v>4.8386593503252199E-20</v>
      </c>
      <c r="H1558" s="3" t="str">
        <f>"CAMK2D"</f>
        <v>CAMK2D</v>
      </c>
      <c r="I1558" s="3" t="str">
        <f t="shared" si="74"/>
        <v>protein_coding</v>
      </c>
    </row>
    <row r="1559" spans="1:9" x14ac:dyDescent="0.2">
      <c r="A1559" s="3" t="str">
        <f>"ENSG00000164100.9"</f>
        <v>ENSG00000164100.9</v>
      </c>
      <c r="B1559" s="3">
        <v>3.9285756506605498</v>
      </c>
      <c r="C1559" s="3">
        <v>5.37376557133706</v>
      </c>
      <c r="D1559" s="3">
        <v>2.1769892180050601</v>
      </c>
      <c r="E1559" s="3">
        <v>2.46843922188161</v>
      </c>
      <c r="F1559" s="3">
        <v>1.35703694853358E-2</v>
      </c>
      <c r="G1559" s="3">
        <v>4.1065669334892897E-2</v>
      </c>
      <c r="H1559" s="3" t="str">
        <f>"NDST3"</f>
        <v>NDST3</v>
      </c>
      <c r="I1559" s="3" t="str">
        <f t="shared" si="74"/>
        <v>protein_coding</v>
      </c>
    </row>
    <row r="1560" spans="1:9" x14ac:dyDescent="0.2">
      <c r="A1560" s="3" t="str">
        <f>"ENSG00000269893.7"</f>
        <v>ENSG00000269893.7</v>
      </c>
      <c r="B1560" s="3">
        <v>1264.36273017552</v>
      </c>
      <c r="C1560" s="3">
        <v>-1.4571236554467999</v>
      </c>
      <c r="D1560" s="3">
        <v>0.19589829708942999</v>
      </c>
      <c r="E1560" s="3">
        <v>-7.4381639712855998</v>
      </c>
      <c r="F1560" s="4">
        <v>1.0209428852564299E-13</v>
      </c>
      <c r="G1560" s="4">
        <v>2.27640186535041E-12</v>
      </c>
      <c r="H1560" s="3" t="str">
        <f>"SNHG8"</f>
        <v>SNHG8</v>
      </c>
      <c r="I1560" s="3" t="str">
        <f>"lincRNA"</f>
        <v>lincRNA</v>
      </c>
    </row>
    <row r="1561" spans="1:9" x14ac:dyDescent="0.2">
      <c r="A1561" s="3" t="str">
        <f>"ENSG00000150961.15"</f>
        <v>ENSG00000150961.15</v>
      </c>
      <c r="B1561" s="3">
        <v>2679.54863881029</v>
      </c>
      <c r="C1561" s="3">
        <v>-1.66127039870189</v>
      </c>
      <c r="D1561" s="3">
        <v>0.17750597306374</v>
      </c>
      <c r="E1561" s="3">
        <v>-9.3589549130572003</v>
      </c>
      <c r="F1561" s="4">
        <v>8.0529258069701404E-21</v>
      </c>
      <c r="G1561" s="4">
        <v>3.3808639362483101E-19</v>
      </c>
      <c r="H1561" s="3" t="str">
        <f>"SEC24D"</f>
        <v>SEC24D</v>
      </c>
      <c r="I1561" s="3" t="str">
        <f>"protein_coding"</f>
        <v>protein_coding</v>
      </c>
    </row>
    <row r="1562" spans="1:9" x14ac:dyDescent="0.2">
      <c r="A1562" s="3" t="str">
        <f>"ENSG00000172403.11"</f>
        <v>ENSG00000172403.11</v>
      </c>
      <c r="B1562" s="3">
        <v>18.8788778386659</v>
      </c>
      <c r="C1562" s="3">
        <v>3.2379957660657199</v>
      </c>
      <c r="D1562" s="3">
        <v>0.90094900758451701</v>
      </c>
      <c r="E1562" s="3">
        <v>3.5939833873028202</v>
      </c>
      <c r="F1562" s="3">
        <v>3.25660610113536E-4</v>
      </c>
      <c r="G1562" s="3">
        <v>1.63894987878897E-3</v>
      </c>
      <c r="H1562" s="3" t="str">
        <f>"SYNPO2"</f>
        <v>SYNPO2</v>
      </c>
      <c r="I1562" s="3" t="str">
        <f>"protein_coding"</f>
        <v>protein_coding</v>
      </c>
    </row>
    <row r="1563" spans="1:9" x14ac:dyDescent="0.2">
      <c r="A1563" s="3" t="str">
        <f>"ENSG00000145384.3"</f>
        <v>ENSG00000145384.3</v>
      </c>
      <c r="B1563" s="3">
        <v>41.186933343067999</v>
      </c>
      <c r="C1563" s="3">
        <v>-1.64009890467788</v>
      </c>
      <c r="D1563" s="3">
        <v>0.55323149933420102</v>
      </c>
      <c r="E1563" s="3">
        <v>-2.96457975847669</v>
      </c>
      <c r="F1563" s="3">
        <v>3.0309666179102498E-3</v>
      </c>
      <c r="G1563" s="3">
        <v>1.1561633408679901E-2</v>
      </c>
      <c r="H1563" s="3" t="str">
        <f>"FABP2"</f>
        <v>FABP2</v>
      </c>
      <c r="I1563" s="3" t="str">
        <f>"protein_coding"</f>
        <v>protein_coding</v>
      </c>
    </row>
    <row r="1564" spans="1:9" x14ac:dyDescent="0.2">
      <c r="A1564" s="3" t="str">
        <f>"ENSG00000283050.2"</f>
        <v>ENSG00000283050.2</v>
      </c>
      <c r="B1564" s="3">
        <v>431.24615317229097</v>
      </c>
      <c r="C1564" s="3">
        <v>1.3825054027135799</v>
      </c>
      <c r="D1564" s="3">
        <v>0.242863769099042</v>
      </c>
      <c r="E1564" s="3">
        <v>5.6925139877483399</v>
      </c>
      <c r="F1564" s="4">
        <v>1.25182339490467E-8</v>
      </c>
      <c r="G1564" s="4">
        <v>1.4676605869607299E-7</v>
      </c>
      <c r="H1564" s="3" t="str">
        <f>"GTF2IP12"</f>
        <v>GTF2IP12</v>
      </c>
      <c r="I1564" s="3" t="str">
        <f>"transcribed_unprocessed_pseudogene"</f>
        <v>transcribed_unprocessed_pseudogene</v>
      </c>
    </row>
    <row r="1565" spans="1:9" x14ac:dyDescent="0.2">
      <c r="A1565" s="3" t="str">
        <f>"ENSG00000138735.16"</f>
        <v>ENSG00000138735.16</v>
      </c>
      <c r="B1565" s="3">
        <v>36.8612919096146</v>
      </c>
      <c r="C1565" s="3">
        <v>1.9740250979998</v>
      </c>
      <c r="D1565" s="3">
        <v>0.605869530581296</v>
      </c>
      <c r="E1565" s="3">
        <v>3.2581686293183298</v>
      </c>
      <c r="F1565" s="3">
        <v>1.12133751674957E-3</v>
      </c>
      <c r="G1565" s="3">
        <v>4.8744549009054599E-3</v>
      </c>
      <c r="H1565" s="3" t="str">
        <f>"PDE5A"</f>
        <v>PDE5A</v>
      </c>
      <c r="I1565" s="3" t="str">
        <f>"protein_coding"</f>
        <v>protein_coding</v>
      </c>
    </row>
    <row r="1566" spans="1:9" x14ac:dyDescent="0.2">
      <c r="A1566" s="3" t="str">
        <f>"ENSG00000138738.10"</f>
        <v>ENSG00000138738.10</v>
      </c>
      <c r="B1566" s="3">
        <v>7.1928422533081804</v>
      </c>
      <c r="C1566" s="3">
        <v>6.2414551952811497</v>
      </c>
      <c r="D1566" s="3">
        <v>1.87374509142644</v>
      </c>
      <c r="E1566" s="3">
        <v>3.3310054947387</v>
      </c>
      <c r="F1566" s="3">
        <v>8.6532894304605201E-4</v>
      </c>
      <c r="G1566" s="3">
        <v>3.88837573048573E-3</v>
      </c>
      <c r="H1566" s="3" t="str">
        <f>"PRDM5"</f>
        <v>PRDM5</v>
      </c>
      <c r="I1566" s="3" t="str">
        <f>"protein_coding"</f>
        <v>protein_coding</v>
      </c>
    </row>
    <row r="1567" spans="1:9" x14ac:dyDescent="0.2">
      <c r="A1567" s="3" t="str">
        <f>"ENSG00000138686.9"</f>
        <v>ENSG00000138686.9</v>
      </c>
      <c r="B1567" s="3">
        <v>746.92624228185298</v>
      </c>
      <c r="C1567" s="3">
        <v>1.1328826231224101</v>
      </c>
      <c r="D1567" s="3">
        <v>0.22703949549312399</v>
      </c>
      <c r="E1567" s="3">
        <v>4.9898041777348796</v>
      </c>
      <c r="F1567" s="4">
        <v>6.0440531254195199E-7</v>
      </c>
      <c r="G1567" s="4">
        <v>5.36774170496433E-6</v>
      </c>
      <c r="H1567" s="3" t="str">
        <f>"BBS7"</f>
        <v>BBS7</v>
      </c>
      <c r="I1567" s="3" t="str">
        <f>"protein_coding"</f>
        <v>protein_coding</v>
      </c>
    </row>
    <row r="1568" spans="1:9" x14ac:dyDescent="0.2">
      <c r="A1568" s="3" t="str">
        <f>"ENSG00000138741.11"</f>
        <v>ENSG00000138741.11</v>
      </c>
      <c r="B1568" s="3">
        <v>7.1566041485014402</v>
      </c>
      <c r="C1568" s="3">
        <v>6.2348322409822696</v>
      </c>
      <c r="D1568" s="3">
        <v>1.8739066662439701</v>
      </c>
      <c r="E1568" s="3">
        <v>3.32718398055506</v>
      </c>
      <c r="F1568" s="3">
        <v>8.7728431726666605E-4</v>
      </c>
      <c r="G1568" s="3">
        <v>3.9334154669351399E-3</v>
      </c>
      <c r="H1568" s="3" t="str">
        <f>"TRPC3"</f>
        <v>TRPC3</v>
      </c>
      <c r="I1568" s="3" t="str">
        <f>"protein_coding"</f>
        <v>protein_coding</v>
      </c>
    </row>
    <row r="1569" spans="1:9" x14ac:dyDescent="0.2">
      <c r="A1569" s="3" t="str">
        <f>"ENSG00000249464.5"</f>
        <v>ENSG00000249464.5</v>
      </c>
      <c r="B1569" s="3">
        <v>640.36223302535802</v>
      </c>
      <c r="C1569" s="3">
        <v>1.62679397960219</v>
      </c>
      <c r="D1569" s="3">
        <v>0.27625028346191999</v>
      </c>
      <c r="E1569" s="3">
        <v>5.8888409424073602</v>
      </c>
      <c r="F1569" s="4">
        <v>3.8891352499322698E-9</v>
      </c>
      <c r="G1569" s="4">
        <v>4.9058920442085398E-8</v>
      </c>
      <c r="H1569" s="3" t="str">
        <f>"LINC01091"</f>
        <v>LINC01091</v>
      </c>
      <c r="I1569" s="3" t="str">
        <f>"lincRNA"</f>
        <v>lincRNA</v>
      </c>
    </row>
    <row r="1570" spans="1:9" x14ac:dyDescent="0.2">
      <c r="A1570" s="3" t="str">
        <f>"ENSG00000164066.13"</f>
        <v>ENSG00000164066.13</v>
      </c>
      <c r="B1570" s="3">
        <v>1196.8274634238201</v>
      </c>
      <c r="C1570" s="3">
        <v>1.3034806774196099</v>
      </c>
      <c r="D1570" s="3">
        <v>0.20897302391158901</v>
      </c>
      <c r="E1570" s="3">
        <v>6.2375547475978204</v>
      </c>
      <c r="F1570" s="4">
        <v>4.44463578725945E-10</v>
      </c>
      <c r="G1570" s="4">
        <v>6.2845350957684604E-9</v>
      </c>
      <c r="H1570" s="3" t="str">
        <f>"INTU"</f>
        <v>INTU</v>
      </c>
      <c r="I1570" s="3" t="str">
        <f>"protein_coding"</f>
        <v>protein_coding</v>
      </c>
    </row>
    <row r="1571" spans="1:9" x14ac:dyDescent="0.2">
      <c r="A1571" s="3" t="str">
        <f>"ENSG00000164070.12"</f>
        <v>ENSG00000164070.12</v>
      </c>
      <c r="B1571" s="3">
        <v>4204.5226979966301</v>
      </c>
      <c r="C1571" s="3">
        <v>1.8435805070837801</v>
      </c>
      <c r="D1571" s="3">
        <v>0.18724560402832999</v>
      </c>
      <c r="E1571" s="3">
        <v>9.84578792463852</v>
      </c>
      <c r="F1571" s="4">
        <v>7.1476942156209701E-23</v>
      </c>
      <c r="G1571" s="4">
        <v>3.4047766484794497E-21</v>
      </c>
      <c r="H1571" s="3" t="str">
        <f>"HSPA4L"</f>
        <v>HSPA4L</v>
      </c>
      <c r="I1571" s="3" t="str">
        <f>"protein_coding"</f>
        <v>protein_coding</v>
      </c>
    </row>
    <row r="1572" spans="1:9" x14ac:dyDescent="0.2">
      <c r="A1572" s="3" t="str">
        <f>"ENSG00000282855.1"</f>
        <v>ENSG00000282855.1</v>
      </c>
      <c r="B1572" s="3">
        <v>52.246917259956</v>
      </c>
      <c r="C1572" s="3">
        <v>1.84733732417743</v>
      </c>
      <c r="D1572" s="3">
        <v>0.49944442231210701</v>
      </c>
      <c r="E1572" s="3">
        <v>3.6987845727167001</v>
      </c>
      <c r="F1572" s="3">
        <v>2.1663437104031799E-4</v>
      </c>
      <c r="G1572" s="3">
        <v>1.1428144642276E-3</v>
      </c>
      <c r="H1572" s="3" t="str">
        <f>"AC093591.3"</f>
        <v>AC093591.3</v>
      </c>
      <c r="I1572" s="3" t="str">
        <f>"processed_pseudogene"</f>
        <v>processed_pseudogene</v>
      </c>
    </row>
    <row r="1573" spans="1:9" x14ac:dyDescent="0.2">
      <c r="A1573" s="3" t="str">
        <f>"ENSG00000251432.6"</f>
        <v>ENSG00000251432.6</v>
      </c>
      <c r="B1573" s="3">
        <v>46.3643877149904</v>
      </c>
      <c r="C1573" s="3">
        <v>3.2562764185895099</v>
      </c>
      <c r="D1573" s="3">
        <v>0.60776997316989501</v>
      </c>
      <c r="E1573" s="3">
        <v>5.3577448086255801</v>
      </c>
      <c r="F1573" s="4">
        <v>8.4267146608353803E-8</v>
      </c>
      <c r="G1573" s="4">
        <v>8.6349264521918605E-7</v>
      </c>
      <c r="H1573" s="3" t="str">
        <f>"LINC02615"</f>
        <v>LINC02615</v>
      </c>
      <c r="I1573" s="3" t="str">
        <f>"lincRNA"</f>
        <v>lincRNA</v>
      </c>
    </row>
    <row r="1574" spans="1:9" x14ac:dyDescent="0.2">
      <c r="A1574" s="3" t="str">
        <f>"ENSG00000077684.16"</f>
        <v>ENSG00000077684.16</v>
      </c>
      <c r="B1574" s="3">
        <v>1257.3218295076699</v>
      </c>
      <c r="C1574" s="3">
        <v>-2.21338651042065</v>
      </c>
      <c r="D1574" s="3">
        <v>0.197224779912511</v>
      </c>
      <c r="E1574" s="3">
        <v>-11.2226592997214</v>
      </c>
      <c r="F1574" s="4">
        <v>3.1563381859730202E-29</v>
      </c>
      <c r="G1574" s="4">
        <v>2.3056500416409301E-27</v>
      </c>
      <c r="H1574" s="3" t="str">
        <f>"JADE1"</f>
        <v>JADE1</v>
      </c>
      <c r="I1574" s="3" t="str">
        <f t="shared" ref="I1574:I1595" si="75">"protein_coding"</f>
        <v>protein_coding</v>
      </c>
    </row>
    <row r="1575" spans="1:9" x14ac:dyDescent="0.2">
      <c r="A1575" s="3" t="str">
        <f>"ENSG00000151012.13"</f>
        <v>ENSG00000151012.13</v>
      </c>
      <c r="B1575" s="3">
        <v>3150.9055115516198</v>
      </c>
      <c r="C1575" s="3">
        <v>-3.8723648928803498</v>
      </c>
      <c r="D1575" s="3">
        <v>0.23388547419223499</v>
      </c>
      <c r="E1575" s="3">
        <v>-16.556671192404099</v>
      </c>
      <c r="F1575" s="4">
        <v>1.4330634317570199E-61</v>
      </c>
      <c r="G1575" s="4">
        <v>4.4881240603544202E-59</v>
      </c>
      <c r="H1575" s="3" t="str">
        <f>"SLC7A11"</f>
        <v>SLC7A11</v>
      </c>
      <c r="I1575" s="3" t="str">
        <f t="shared" si="75"/>
        <v>protein_coding</v>
      </c>
    </row>
    <row r="1576" spans="1:9" x14ac:dyDescent="0.2">
      <c r="A1576" s="3" t="str">
        <f>"ENSG00000145391.13"</f>
        <v>ENSG00000145391.13</v>
      </c>
      <c r="B1576" s="3">
        <v>63.318752673556297</v>
      </c>
      <c r="C1576" s="3">
        <v>1.5995369670536099</v>
      </c>
      <c r="D1576" s="3">
        <v>0.46110057693370299</v>
      </c>
      <c r="E1576" s="3">
        <v>3.4689545992122901</v>
      </c>
      <c r="F1576" s="3">
        <v>5.2248774095001096E-4</v>
      </c>
      <c r="G1576" s="3">
        <v>2.4918997860432202E-3</v>
      </c>
      <c r="H1576" s="3" t="str">
        <f>"SETD7"</f>
        <v>SETD7</v>
      </c>
      <c r="I1576" s="3" t="str">
        <f t="shared" si="75"/>
        <v>protein_coding</v>
      </c>
    </row>
    <row r="1577" spans="1:9" x14ac:dyDescent="0.2">
      <c r="A1577" s="3" t="str">
        <f>"ENSG00000196782.12"</f>
        <v>ENSG00000196782.12</v>
      </c>
      <c r="B1577" s="3">
        <v>17.994258901492099</v>
      </c>
      <c r="C1577" s="3">
        <v>3.4097630521692301</v>
      </c>
      <c r="D1577" s="3">
        <v>0.94338192691092504</v>
      </c>
      <c r="E1577" s="3">
        <v>3.6144036205297998</v>
      </c>
      <c r="F1577" s="3">
        <v>3.0103977443274202E-4</v>
      </c>
      <c r="G1577" s="3">
        <v>1.5280236091596399E-3</v>
      </c>
      <c r="H1577" s="3" t="str">
        <f>"MAML3"</f>
        <v>MAML3</v>
      </c>
      <c r="I1577" s="3" t="str">
        <f t="shared" si="75"/>
        <v>protein_coding</v>
      </c>
    </row>
    <row r="1578" spans="1:9" x14ac:dyDescent="0.2">
      <c r="A1578" s="3" t="str">
        <f>"ENSG00000153132.13"</f>
        <v>ENSG00000153132.13</v>
      </c>
      <c r="B1578" s="3">
        <v>120.338383904265</v>
      </c>
      <c r="C1578" s="3">
        <v>-1.64930692796981</v>
      </c>
      <c r="D1578" s="3">
        <v>0.36623624882516098</v>
      </c>
      <c r="E1578" s="3">
        <v>-4.5033961910121398</v>
      </c>
      <c r="F1578" s="4">
        <v>6.6876041820981697E-6</v>
      </c>
      <c r="G1578" s="4">
        <v>4.9141626523632402E-5</v>
      </c>
      <c r="H1578" s="3" t="str">
        <f>"CLGN"</f>
        <v>CLGN</v>
      </c>
      <c r="I1578" s="3" t="str">
        <f t="shared" si="75"/>
        <v>protein_coding</v>
      </c>
    </row>
    <row r="1579" spans="1:9" x14ac:dyDescent="0.2">
      <c r="A1579" s="3" t="str">
        <f>"ENSG00000170153.11"</f>
        <v>ENSG00000170153.11</v>
      </c>
      <c r="B1579" s="3">
        <v>30.426005522466699</v>
      </c>
      <c r="C1579" s="3">
        <v>6.8653575195111598</v>
      </c>
      <c r="D1579" s="3">
        <v>1.5595608573329001</v>
      </c>
      <c r="E1579" s="3">
        <v>4.4021094061388704</v>
      </c>
      <c r="F1579" s="4">
        <v>1.0720347110555099E-5</v>
      </c>
      <c r="G1579" s="4">
        <v>7.5667073141658304E-5</v>
      </c>
      <c r="H1579" s="3" t="str">
        <f>"RNF150"</f>
        <v>RNF150</v>
      </c>
      <c r="I1579" s="3" t="str">
        <f t="shared" si="75"/>
        <v>protein_coding</v>
      </c>
    </row>
    <row r="1580" spans="1:9" x14ac:dyDescent="0.2">
      <c r="A1580" s="3" t="str">
        <f>"ENSG00000109452.12"</f>
        <v>ENSG00000109452.12</v>
      </c>
      <c r="B1580" s="3">
        <v>8.1922304545579898</v>
      </c>
      <c r="C1580" s="3">
        <v>3.2539689947930901</v>
      </c>
      <c r="D1580" s="3">
        <v>1.3549840735269301</v>
      </c>
      <c r="E1580" s="3">
        <v>2.4014813593515099</v>
      </c>
      <c r="F1580" s="3">
        <v>1.6328840983504098E-2</v>
      </c>
      <c r="G1580" s="3">
        <v>4.7783474414943197E-2</v>
      </c>
      <c r="H1580" s="3" t="str">
        <f>"INPP4B"</f>
        <v>INPP4B</v>
      </c>
      <c r="I1580" s="3" t="str">
        <f t="shared" si="75"/>
        <v>protein_coding</v>
      </c>
    </row>
    <row r="1581" spans="1:9" x14ac:dyDescent="0.2">
      <c r="A1581" s="3" t="str">
        <f>"ENSG00000164167.12"</f>
        <v>ENSG00000164167.12</v>
      </c>
      <c r="B1581" s="3">
        <v>488.839392266868</v>
      </c>
      <c r="C1581" s="3">
        <v>-1.5320982121128</v>
      </c>
      <c r="D1581" s="3">
        <v>0.235353771581719</v>
      </c>
      <c r="E1581" s="3">
        <v>-6.5097669853182296</v>
      </c>
      <c r="F1581" s="4">
        <v>7.5267467490737998E-11</v>
      </c>
      <c r="G1581" s="4">
        <v>1.19372100507575E-9</v>
      </c>
      <c r="H1581" s="3" t="str">
        <f>"LSM6"</f>
        <v>LSM6</v>
      </c>
      <c r="I1581" s="3" t="str">
        <f t="shared" si="75"/>
        <v>protein_coding</v>
      </c>
    </row>
    <row r="1582" spans="1:9" x14ac:dyDescent="0.2">
      <c r="A1582" s="3" t="str">
        <f>"ENSG00000120519.14"</f>
        <v>ENSG00000120519.14</v>
      </c>
      <c r="B1582" s="3">
        <v>325.658347868786</v>
      </c>
      <c r="C1582" s="3">
        <v>-1.05036537318475</v>
      </c>
      <c r="D1582" s="3">
        <v>0.25698244756469701</v>
      </c>
      <c r="E1582" s="3">
        <v>-4.0873039506728004</v>
      </c>
      <c r="F1582" s="4">
        <v>4.3641519376495497E-5</v>
      </c>
      <c r="G1582" s="3">
        <v>2.70004649966252E-4</v>
      </c>
      <c r="H1582" s="3" t="str">
        <f>"SLC10A7"</f>
        <v>SLC10A7</v>
      </c>
      <c r="I1582" s="3" t="str">
        <f t="shared" si="75"/>
        <v>protein_coding</v>
      </c>
    </row>
    <row r="1583" spans="1:9" x14ac:dyDescent="0.2">
      <c r="A1583" s="3" t="str">
        <f>"ENSG00000071205.11"</f>
        <v>ENSG00000071205.11</v>
      </c>
      <c r="B1583" s="3">
        <v>148.08578776092199</v>
      </c>
      <c r="C1583" s="3">
        <v>3.7719343891525798</v>
      </c>
      <c r="D1583" s="3">
        <v>0.40007295301386803</v>
      </c>
      <c r="E1583" s="3">
        <v>9.4281164491063194</v>
      </c>
      <c r="F1583" s="4">
        <v>4.1751887307417198E-21</v>
      </c>
      <c r="G1583" s="4">
        <v>1.77752136478937E-19</v>
      </c>
      <c r="H1583" s="3" t="str">
        <f>"ARHGAP10"</f>
        <v>ARHGAP10</v>
      </c>
      <c r="I1583" s="3" t="str">
        <f t="shared" si="75"/>
        <v>protein_coding</v>
      </c>
    </row>
    <row r="1584" spans="1:9" x14ac:dyDescent="0.2">
      <c r="A1584" s="3" t="str">
        <f>"ENSG00000234828.8"</f>
        <v>ENSG00000234828.8</v>
      </c>
      <c r="B1584" s="3">
        <v>4.6593493275411699</v>
      </c>
      <c r="C1584" s="3">
        <v>5.6122139252814298</v>
      </c>
      <c r="D1584" s="3">
        <v>2.0896389950956702</v>
      </c>
      <c r="E1584" s="3">
        <v>2.6857337264729302</v>
      </c>
      <c r="F1584" s="3">
        <v>7.2370738075707101E-3</v>
      </c>
      <c r="G1584" s="3">
        <v>2.4230591058599101E-2</v>
      </c>
      <c r="H1584" s="3" t="str">
        <f>"IQCM"</f>
        <v>IQCM</v>
      </c>
      <c r="I1584" s="3" t="str">
        <f t="shared" si="75"/>
        <v>protein_coding</v>
      </c>
    </row>
    <row r="1585" spans="1:9" x14ac:dyDescent="0.2">
      <c r="A1585" s="3" t="str">
        <f>"ENSG00000198589.12"</f>
        <v>ENSG00000198589.12</v>
      </c>
      <c r="B1585" s="3">
        <v>4629.1532330944701</v>
      </c>
      <c r="C1585" s="3">
        <v>-1.02756091741</v>
      </c>
      <c r="D1585" s="3">
        <v>0.17397912699406901</v>
      </c>
      <c r="E1585" s="3">
        <v>-5.9062310241678304</v>
      </c>
      <c r="F1585" s="4">
        <v>3.5002303676558299E-9</v>
      </c>
      <c r="G1585" s="4">
        <v>4.4337878580901102E-8</v>
      </c>
      <c r="H1585" s="3" t="str">
        <f>"LRBA"</f>
        <v>LRBA</v>
      </c>
      <c r="I1585" s="3" t="str">
        <f t="shared" si="75"/>
        <v>protein_coding</v>
      </c>
    </row>
    <row r="1586" spans="1:9" x14ac:dyDescent="0.2">
      <c r="A1586" s="3" t="str">
        <f>"ENSG00000164142.16"</f>
        <v>ENSG00000164142.16</v>
      </c>
      <c r="B1586" s="3">
        <v>247.290676568316</v>
      </c>
      <c r="C1586" s="3">
        <v>-1.5278446167775701</v>
      </c>
      <c r="D1586" s="3">
        <v>0.27539975860411497</v>
      </c>
      <c r="E1586" s="3">
        <v>-5.5477340449445798</v>
      </c>
      <c r="F1586" s="4">
        <v>2.89395631825889E-8</v>
      </c>
      <c r="G1586" s="4">
        <v>3.2236969666230502E-7</v>
      </c>
      <c r="H1586" s="3" t="str">
        <f>"FAM160A1"</f>
        <v>FAM160A1</v>
      </c>
      <c r="I1586" s="3" t="str">
        <f t="shared" si="75"/>
        <v>protein_coding</v>
      </c>
    </row>
    <row r="1587" spans="1:9" x14ac:dyDescent="0.2">
      <c r="A1587" s="3" t="str">
        <f>"ENSG00000170006.12"</f>
        <v>ENSG00000170006.12</v>
      </c>
      <c r="B1587" s="3">
        <v>55.335935109756697</v>
      </c>
      <c r="C1587" s="3">
        <v>5.3901567690433501</v>
      </c>
      <c r="D1587" s="3">
        <v>0.79363965740203002</v>
      </c>
      <c r="E1587" s="3">
        <v>6.7916928278104898</v>
      </c>
      <c r="F1587" s="4">
        <v>1.1082532432703801E-11</v>
      </c>
      <c r="G1587" s="4">
        <v>1.9494238940857299E-10</v>
      </c>
      <c r="H1587" s="3" t="str">
        <f>"TMEM154"</f>
        <v>TMEM154</v>
      </c>
      <c r="I1587" s="3" t="str">
        <f t="shared" si="75"/>
        <v>protein_coding</v>
      </c>
    </row>
    <row r="1588" spans="1:9" x14ac:dyDescent="0.2">
      <c r="A1588" s="3" t="str">
        <f>"ENSG00000109654.15"</f>
        <v>ENSG00000109654.15</v>
      </c>
      <c r="B1588" s="3">
        <v>284.57185863770297</v>
      </c>
      <c r="C1588" s="3">
        <v>2.5764522318188501</v>
      </c>
      <c r="D1588" s="3">
        <v>0.28185553046587303</v>
      </c>
      <c r="E1588" s="3">
        <v>9.1410384162421607</v>
      </c>
      <c r="F1588" s="4">
        <v>6.1855489428713301E-20</v>
      </c>
      <c r="G1588" s="4">
        <v>2.35716995869112E-18</v>
      </c>
      <c r="H1588" s="3" t="str">
        <f>"TRIM2"</f>
        <v>TRIM2</v>
      </c>
      <c r="I1588" s="3" t="str">
        <f t="shared" si="75"/>
        <v>protein_coding</v>
      </c>
    </row>
    <row r="1589" spans="1:9" x14ac:dyDescent="0.2">
      <c r="A1589" s="3" t="str">
        <f>"ENSG00000121210.16"</f>
        <v>ENSG00000121210.16</v>
      </c>
      <c r="B1589" s="3">
        <v>457.32956086773999</v>
      </c>
      <c r="C1589" s="3">
        <v>-1.1721714171093001</v>
      </c>
      <c r="D1589" s="3">
        <v>0.22716042378300999</v>
      </c>
      <c r="E1589" s="3">
        <v>-5.1601040251139398</v>
      </c>
      <c r="F1589" s="4">
        <v>2.4681266394787597E-7</v>
      </c>
      <c r="G1589" s="4">
        <v>2.33991115330124E-6</v>
      </c>
      <c r="H1589" s="3" t="str">
        <f>"TMEM131L"</f>
        <v>TMEM131L</v>
      </c>
      <c r="I1589" s="3" t="str">
        <f t="shared" si="75"/>
        <v>protein_coding</v>
      </c>
    </row>
    <row r="1590" spans="1:9" x14ac:dyDescent="0.2">
      <c r="A1590" s="3" t="str">
        <f>"ENSG00000171564.11"</f>
        <v>ENSG00000171564.11</v>
      </c>
      <c r="B1590" s="3">
        <v>826.32365978372695</v>
      </c>
      <c r="C1590" s="3">
        <v>-1.5369325594113099</v>
      </c>
      <c r="D1590" s="3">
        <v>0.21189659269250699</v>
      </c>
      <c r="E1590" s="3">
        <v>-7.2532197893413901</v>
      </c>
      <c r="F1590" s="4">
        <v>4.06978855945439E-13</v>
      </c>
      <c r="G1590" s="4">
        <v>8.4842791797592808E-12</v>
      </c>
      <c r="H1590" s="3" t="str">
        <f>"FGB"</f>
        <v>FGB</v>
      </c>
      <c r="I1590" s="3" t="str">
        <f t="shared" si="75"/>
        <v>protein_coding</v>
      </c>
    </row>
    <row r="1591" spans="1:9" x14ac:dyDescent="0.2">
      <c r="A1591" s="3" t="str">
        <f>"ENSG00000171560.15"</f>
        <v>ENSG00000171560.15</v>
      </c>
      <c r="B1591" s="3">
        <v>3208.0186923303499</v>
      </c>
      <c r="C1591" s="3">
        <v>-1.48973778345198</v>
      </c>
      <c r="D1591" s="3">
        <v>0.204881744459217</v>
      </c>
      <c r="E1591" s="3">
        <v>-7.2712080199440301</v>
      </c>
      <c r="F1591" s="4">
        <v>3.5628678441231502E-13</v>
      </c>
      <c r="G1591" s="4">
        <v>7.4674969345248794E-12</v>
      </c>
      <c r="H1591" s="3" t="str">
        <f>"FGA"</f>
        <v>FGA</v>
      </c>
      <c r="I1591" s="3" t="str">
        <f t="shared" si="75"/>
        <v>protein_coding</v>
      </c>
    </row>
    <row r="1592" spans="1:9" x14ac:dyDescent="0.2">
      <c r="A1592" s="3" t="str">
        <f>"ENSG00000171557.16"</f>
        <v>ENSG00000171557.16</v>
      </c>
      <c r="B1592" s="3">
        <v>2873.6625327789802</v>
      </c>
      <c r="C1592" s="3">
        <v>-2.1294315436621898</v>
      </c>
      <c r="D1592" s="3">
        <v>0.17722032094703599</v>
      </c>
      <c r="E1592" s="3">
        <v>-12.015730093946701</v>
      </c>
      <c r="F1592" s="4">
        <v>2.9376354539835999E-33</v>
      </c>
      <c r="G1592" s="4">
        <v>2.8183715920665898E-31</v>
      </c>
      <c r="H1592" s="3" t="str">
        <f>"FGG"</f>
        <v>FGG</v>
      </c>
      <c r="I1592" s="3" t="str">
        <f t="shared" si="75"/>
        <v>protein_coding</v>
      </c>
    </row>
    <row r="1593" spans="1:9" x14ac:dyDescent="0.2">
      <c r="A1593" s="3" t="str">
        <f>"ENSG00000121207.12"</f>
        <v>ENSG00000121207.12</v>
      </c>
      <c r="B1593" s="3">
        <v>4.1822423843077399</v>
      </c>
      <c r="C1593" s="3">
        <v>5.4559790170220399</v>
      </c>
      <c r="D1593" s="3">
        <v>2.1535693190750198</v>
      </c>
      <c r="E1593" s="3">
        <v>2.5334587415860099</v>
      </c>
      <c r="F1593" s="3">
        <v>1.12943035283908E-2</v>
      </c>
      <c r="G1593" s="3">
        <v>3.5206027712854998E-2</v>
      </c>
      <c r="H1593" s="3" t="str">
        <f>"LRAT"</f>
        <v>LRAT</v>
      </c>
      <c r="I1593" s="3" t="str">
        <f t="shared" si="75"/>
        <v>protein_coding</v>
      </c>
    </row>
    <row r="1594" spans="1:9" x14ac:dyDescent="0.2">
      <c r="A1594" s="3" t="str">
        <f>"ENSG00000120251.20"</f>
        <v>ENSG00000120251.20</v>
      </c>
      <c r="B1594" s="3">
        <v>5.0277419563543804</v>
      </c>
      <c r="C1594" s="3">
        <v>5.7249864720364698</v>
      </c>
      <c r="D1594" s="3">
        <v>2.0292551541625601</v>
      </c>
      <c r="E1594" s="3">
        <v>2.82122554193983</v>
      </c>
      <c r="F1594" s="3">
        <v>4.7840554620197E-3</v>
      </c>
      <c r="G1594" s="3">
        <v>1.7077316805142299E-2</v>
      </c>
      <c r="H1594" s="3" t="str">
        <f>"GRIA2"</f>
        <v>GRIA2</v>
      </c>
      <c r="I1594" s="3" t="str">
        <f t="shared" si="75"/>
        <v>protein_coding</v>
      </c>
    </row>
    <row r="1595" spans="1:9" x14ac:dyDescent="0.2">
      <c r="A1595" s="3" t="str">
        <f>"ENSG00000164125.15"</f>
        <v>ENSG00000164125.15</v>
      </c>
      <c r="B1595" s="3">
        <v>12227.252155926501</v>
      </c>
      <c r="C1595" s="3">
        <v>1.6303336163891899</v>
      </c>
      <c r="D1595" s="3">
        <v>0.172878315840546</v>
      </c>
      <c r="E1595" s="3">
        <v>9.4305269487523393</v>
      </c>
      <c r="F1595" s="4">
        <v>4.08033869424938E-21</v>
      </c>
      <c r="G1595" s="4">
        <v>1.7398589734305599E-19</v>
      </c>
      <c r="H1595" s="3" t="str">
        <f>"GASK1B"</f>
        <v>GASK1B</v>
      </c>
      <c r="I1595" s="3" t="str">
        <f t="shared" si="75"/>
        <v>protein_coding</v>
      </c>
    </row>
    <row r="1596" spans="1:9" x14ac:dyDescent="0.2">
      <c r="A1596" s="3" t="str">
        <f>"ENSG00000248429.5"</f>
        <v>ENSG00000248429.5</v>
      </c>
      <c r="B1596" s="3">
        <v>1084.7127266817499</v>
      </c>
      <c r="C1596" s="3">
        <v>1.4450285505568901</v>
      </c>
      <c r="D1596" s="3">
        <v>0.209797450041741</v>
      </c>
      <c r="E1596" s="3">
        <v>6.8877317158497</v>
      </c>
      <c r="F1596" s="4">
        <v>5.6688989969250603E-12</v>
      </c>
      <c r="G1596" s="4">
        <v>1.0256340701807301E-10</v>
      </c>
      <c r="H1596" s="3" t="str">
        <f>"FAM198B-AS1"</f>
        <v>FAM198B-AS1</v>
      </c>
      <c r="I1596" s="3" t="str">
        <f>"antisense"</f>
        <v>antisense</v>
      </c>
    </row>
    <row r="1597" spans="1:9" x14ac:dyDescent="0.2">
      <c r="A1597" s="3" t="str">
        <f>"ENSG00000251073.1"</f>
        <v>ENSG00000251073.1</v>
      </c>
      <c r="B1597" s="3">
        <v>90.347264131719101</v>
      </c>
      <c r="C1597" s="3">
        <v>1.10497404994809</v>
      </c>
      <c r="D1597" s="3">
        <v>0.389676556694524</v>
      </c>
      <c r="E1597" s="3">
        <v>2.8356184917079901</v>
      </c>
      <c r="F1597" s="3">
        <v>4.5737045217380499E-3</v>
      </c>
      <c r="G1597" s="3">
        <v>1.6440597243244901E-2</v>
      </c>
      <c r="H1597" s="3" t="str">
        <f>"NUDT19P5"</f>
        <v>NUDT19P5</v>
      </c>
      <c r="I1597" s="3" t="str">
        <f>"processed_pseudogene"</f>
        <v>processed_pseudogene</v>
      </c>
    </row>
    <row r="1598" spans="1:9" x14ac:dyDescent="0.2">
      <c r="A1598" s="3" t="str">
        <f>"ENSG00000251429.1"</f>
        <v>ENSG00000251429.1</v>
      </c>
      <c r="B1598" s="3">
        <v>44.4536313242115</v>
      </c>
      <c r="C1598" s="3">
        <v>2.3639708445876102</v>
      </c>
      <c r="D1598" s="3">
        <v>0.59617342547805996</v>
      </c>
      <c r="E1598" s="3">
        <v>3.9652402196424399</v>
      </c>
      <c r="F1598" s="4">
        <v>7.3322068071053203E-5</v>
      </c>
      <c r="G1598" s="3">
        <v>4.3251924415067897E-4</v>
      </c>
      <c r="H1598" s="3" t="str">
        <f>"AC098679.2"</f>
        <v>AC098679.2</v>
      </c>
      <c r="I1598" s="3" t="str">
        <f>"transcribed_processed_pseudogene"</f>
        <v>transcribed_processed_pseudogene</v>
      </c>
    </row>
    <row r="1599" spans="1:9" x14ac:dyDescent="0.2">
      <c r="A1599" s="3" t="str">
        <f>"ENSG00000205208.5"</f>
        <v>ENSG00000205208.5</v>
      </c>
      <c r="B1599" s="3">
        <v>658.553862557966</v>
      </c>
      <c r="C1599" s="3">
        <v>-1.1105157418053699</v>
      </c>
      <c r="D1599" s="3">
        <v>0.21449959799267099</v>
      </c>
      <c r="E1599" s="3">
        <v>-5.1772392685011699</v>
      </c>
      <c r="F1599" s="4">
        <v>2.25193333473634E-7</v>
      </c>
      <c r="G1599" s="4">
        <v>2.15898759928083E-6</v>
      </c>
      <c r="H1599" s="3" t="str">
        <f>"C4orf46"</f>
        <v>C4orf46</v>
      </c>
      <c r="I1599" s="3" t="str">
        <f t="shared" ref="I1599:I1604" si="76">"protein_coding"</f>
        <v>protein_coding</v>
      </c>
    </row>
    <row r="1600" spans="1:9" x14ac:dyDescent="0.2">
      <c r="A1600" s="3" t="str">
        <f>"ENSG00000052795.13"</f>
        <v>ENSG00000052795.13</v>
      </c>
      <c r="B1600" s="3">
        <v>1683.4409920845001</v>
      </c>
      <c r="C1600" s="3">
        <v>-1.31079268641685</v>
      </c>
      <c r="D1600" s="3">
        <v>0.18386147395085001</v>
      </c>
      <c r="E1600" s="3">
        <v>-7.1292406084335402</v>
      </c>
      <c r="F1600" s="4">
        <v>1.0092417852324599E-12</v>
      </c>
      <c r="G1600" s="4">
        <v>1.9984600960921999E-11</v>
      </c>
      <c r="H1600" s="3" t="str">
        <f>"FNIP2"</f>
        <v>FNIP2</v>
      </c>
      <c r="I1600" s="3" t="str">
        <f t="shared" si="76"/>
        <v>protein_coding</v>
      </c>
    </row>
    <row r="1601" spans="1:9" x14ac:dyDescent="0.2">
      <c r="A1601" s="3" t="str">
        <f>"ENSG00000145414.9"</f>
        <v>ENSG00000145414.9</v>
      </c>
      <c r="B1601" s="3">
        <v>717.22027250572796</v>
      </c>
      <c r="C1601" s="3">
        <v>-1.0743791877683799</v>
      </c>
      <c r="D1601" s="3">
        <v>0.20661000418008699</v>
      </c>
      <c r="E1601" s="3">
        <v>-5.2000346838574396</v>
      </c>
      <c r="F1601" s="4">
        <v>1.9925134141491499E-7</v>
      </c>
      <c r="G1601" s="4">
        <v>1.92722800835364E-6</v>
      </c>
      <c r="H1601" s="3" t="str">
        <f>"NAF1"</f>
        <v>NAF1</v>
      </c>
      <c r="I1601" s="3" t="str">
        <f t="shared" si="76"/>
        <v>protein_coding</v>
      </c>
    </row>
    <row r="1602" spans="1:9" x14ac:dyDescent="0.2">
      <c r="A1602" s="3" t="str">
        <f>"ENSG00000145416.13"</f>
        <v>ENSG00000145416.13</v>
      </c>
      <c r="B1602" s="3">
        <v>9.3275914961485302</v>
      </c>
      <c r="C1602" s="3">
        <v>5.1305870949110197</v>
      </c>
      <c r="D1602" s="3">
        <v>1.7651361821460301</v>
      </c>
      <c r="E1602" s="3">
        <v>2.9066239459627998</v>
      </c>
      <c r="F1602" s="3">
        <v>3.6535212503824698E-3</v>
      </c>
      <c r="G1602" s="3">
        <v>1.35882464522483E-2</v>
      </c>
      <c r="H1602" s="3" t="str">
        <f>"MARCH1"</f>
        <v>MARCH1</v>
      </c>
      <c r="I1602" s="3" t="str">
        <f t="shared" si="76"/>
        <v>protein_coding</v>
      </c>
    </row>
    <row r="1603" spans="1:9" x14ac:dyDescent="0.2">
      <c r="A1603" s="3" t="str">
        <f>"ENSG00000052802.13"</f>
        <v>ENSG00000052802.13</v>
      </c>
      <c r="B1603" s="3">
        <v>2674.3870691829002</v>
      </c>
      <c r="C1603" s="3">
        <v>-1.5239158076958801</v>
      </c>
      <c r="D1603" s="3">
        <v>0.18659508177703699</v>
      </c>
      <c r="E1603" s="3">
        <v>-8.1669666380425507</v>
      </c>
      <c r="F1603" s="4">
        <v>3.1624030722080598E-16</v>
      </c>
      <c r="G1603" s="4">
        <v>8.7924486233115392E-15</v>
      </c>
      <c r="H1603" s="3" t="str">
        <f>"MSMO1"</f>
        <v>MSMO1</v>
      </c>
      <c r="I1603" s="3" t="str">
        <f t="shared" si="76"/>
        <v>protein_coding</v>
      </c>
    </row>
    <row r="1604" spans="1:9" x14ac:dyDescent="0.2">
      <c r="A1604" s="3" t="str">
        <f>"ENSG00000109472.14"</f>
        <v>ENSG00000109472.14</v>
      </c>
      <c r="B1604" s="3">
        <v>9528.2897097833902</v>
      </c>
      <c r="C1604" s="3">
        <v>1.47664707877821</v>
      </c>
      <c r="D1604" s="3">
        <v>0.174323675573054</v>
      </c>
      <c r="E1604" s="3">
        <v>8.4707201929056701</v>
      </c>
      <c r="F1604" s="4">
        <v>2.43880428153417E-17</v>
      </c>
      <c r="G1604" s="4">
        <v>7.5169796673033498E-16</v>
      </c>
      <c r="H1604" s="3" t="str">
        <f>"CPE"</f>
        <v>CPE</v>
      </c>
      <c r="I1604" s="3" t="str">
        <f t="shared" si="76"/>
        <v>protein_coding</v>
      </c>
    </row>
    <row r="1605" spans="1:9" x14ac:dyDescent="0.2">
      <c r="A1605" s="3" t="str">
        <f>"ENSG00000207559.1"</f>
        <v>ENSG00000207559.1</v>
      </c>
      <c r="B1605" s="3">
        <v>66.940844929633798</v>
      </c>
      <c r="C1605" s="3">
        <v>1.7936083154001099</v>
      </c>
      <c r="D1605" s="3">
        <v>0.45376257550625398</v>
      </c>
      <c r="E1605" s="3">
        <v>3.9527462426777098</v>
      </c>
      <c r="F1605" s="4">
        <v>7.7259356798976405E-5</v>
      </c>
      <c r="G1605" s="3">
        <v>4.5426967947814198E-4</v>
      </c>
      <c r="H1605" s="3" t="str">
        <f>"MIR578"</f>
        <v>MIR578</v>
      </c>
      <c r="I1605" s="3" t="str">
        <f>"miRNA"</f>
        <v>miRNA</v>
      </c>
    </row>
    <row r="1606" spans="1:9" x14ac:dyDescent="0.2">
      <c r="A1606" s="3" t="str">
        <f>"ENSG00000038295.8"</f>
        <v>ENSG00000038295.8</v>
      </c>
      <c r="B1606" s="3">
        <v>5.35989648036084</v>
      </c>
      <c r="C1606" s="3">
        <v>5.82087034832609</v>
      </c>
      <c r="D1606" s="3">
        <v>2.0030830883710302</v>
      </c>
      <c r="E1606" s="3">
        <v>2.9059555153350201</v>
      </c>
      <c r="F1606" s="3">
        <v>3.66133497227402E-3</v>
      </c>
      <c r="G1606" s="3">
        <v>1.3608019914002199E-2</v>
      </c>
      <c r="H1606" s="3" t="str">
        <f>"TLL1"</f>
        <v>TLL1</v>
      </c>
      <c r="I1606" s="3" t="str">
        <f>"protein_coding"</f>
        <v>protein_coding</v>
      </c>
    </row>
    <row r="1607" spans="1:9" x14ac:dyDescent="0.2">
      <c r="A1607" s="3" t="str">
        <f>"ENSG00000129116.19"</f>
        <v>ENSG00000129116.19</v>
      </c>
      <c r="B1607" s="3">
        <v>743.07775576844904</v>
      </c>
      <c r="C1607" s="3">
        <v>1.83201590058339</v>
      </c>
      <c r="D1607" s="3">
        <v>0.247608920993482</v>
      </c>
      <c r="E1607" s="3">
        <v>7.3988283347497497</v>
      </c>
      <c r="F1607" s="4">
        <v>1.3739132391224401E-13</v>
      </c>
      <c r="G1607" s="4">
        <v>3.0287228176673901E-12</v>
      </c>
      <c r="H1607" s="3" t="str">
        <f>"PALLD"</f>
        <v>PALLD</v>
      </c>
      <c r="I1607" s="3" t="str">
        <f>"protein_coding"</f>
        <v>protein_coding</v>
      </c>
    </row>
    <row r="1608" spans="1:9" x14ac:dyDescent="0.2">
      <c r="A1608" s="3" t="str">
        <f>"ENSG00000279384.1"</f>
        <v>ENSG00000279384.1</v>
      </c>
      <c r="B1608" s="3">
        <v>29.999771365836601</v>
      </c>
      <c r="C1608" s="3">
        <v>1.80355130865012</v>
      </c>
      <c r="D1608" s="3">
        <v>0.687174967996798</v>
      </c>
      <c r="E1608" s="3">
        <v>2.6245881946306899</v>
      </c>
      <c r="F1608" s="3">
        <v>8.6753821646336094E-3</v>
      </c>
      <c r="G1608" s="3">
        <v>2.82681341592648E-2</v>
      </c>
      <c r="H1608" s="3" t="str">
        <f>"AC080188.2"</f>
        <v>AC080188.2</v>
      </c>
      <c r="I1608" s="3" t="str">
        <f>"TEC"</f>
        <v>TEC</v>
      </c>
    </row>
    <row r="1609" spans="1:9" x14ac:dyDescent="0.2">
      <c r="A1609" s="3" t="str">
        <f>"ENSG00000154447.15"</f>
        <v>ENSG00000154447.15</v>
      </c>
      <c r="B1609" s="3">
        <v>870.67852985127695</v>
      </c>
      <c r="C1609" s="3">
        <v>-1.17960285865168</v>
      </c>
      <c r="D1609" s="3">
        <v>0.21677464205090299</v>
      </c>
      <c r="E1609" s="3">
        <v>-5.4416090714830299</v>
      </c>
      <c r="F1609" s="4">
        <v>5.2801447972497199E-8</v>
      </c>
      <c r="G1609" s="4">
        <v>5.6308456082451305E-7</v>
      </c>
      <c r="H1609" s="3" t="str">
        <f>"SH3RF1"</f>
        <v>SH3RF1</v>
      </c>
      <c r="I1609" s="3" t="str">
        <f>"protein_coding"</f>
        <v>protein_coding</v>
      </c>
    </row>
    <row r="1610" spans="1:9" x14ac:dyDescent="0.2">
      <c r="A1610" s="3" t="str">
        <f>"ENSG00000198948.12"</f>
        <v>ENSG00000198948.12</v>
      </c>
      <c r="B1610" s="3">
        <v>171.48854649087801</v>
      </c>
      <c r="C1610" s="3">
        <v>1.6412976066862399</v>
      </c>
      <c r="D1610" s="3">
        <v>0.34645991502084</v>
      </c>
      <c r="E1610" s="3">
        <v>4.7373376703262098</v>
      </c>
      <c r="F1610" s="4">
        <v>2.1654418656991399E-6</v>
      </c>
      <c r="G1610" s="4">
        <v>1.7502757198073098E-5</v>
      </c>
      <c r="H1610" s="3" t="str">
        <f>"MFAP3L"</f>
        <v>MFAP3L</v>
      </c>
      <c r="I1610" s="3" t="str">
        <f>"protein_coding"</f>
        <v>protein_coding</v>
      </c>
    </row>
    <row r="1611" spans="1:9" x14ac:dyDescent="0.2">
      <c r="A1611" s="3" t="str">
        <f>"ENSG00000250968.1"</f>
        <v>ENSG00000250968.1</v>
      </c>
      <c r="B1611" s="3">
        <v>4.2577243842941197</v>
      </c>
      <c r="C1611" s="3">
        <v>5.4867669360524598</v>
      </c>
      <c r="D1611" s="3">
        <v>2.11613036159978</v>
      </c>
      <c r="E1611" s="3">
        <v>2.5928303074412198</v>
      </c>
      <c r="F1611" s="3">
        <v>9.5189725018600003E-3</v>
      </c>
      <c r="G1611" s="3">
        <v>3.0470329388883902E-2</v>
      </c>
      <c r="H1611" s="3" t="str">
        <f>"LINC02382"</f>
        <v>LINC02382</v>
      </c>
      <c r="I1611" s="3" t="str">
        <f>"lincRNA"</f>
        <v>lincRNA</v>
      </c>
    </row>
    <row r="1612" spans="1:9" x14ac:dyDescent="0.2">
      <c r="A1612" s="3" t="str">
        <f>"ENSG00000109586.12"</f>
        <v>ENSG00000109586.12</v>
      </c>
      <c r="B1612" s="3">
        <v>95.446454422229806</v>
      </c>
      <c r="C1612" s="3">
        <v>2.0783875578161002</v>
      </c>
      <c r="D1612" s="3">
        <v>0.405449252237854</v>
      </c>
      <c r="E1612" s="3">
        <v>5.1261348894949501</v>
      </c>
      <c r="F1612" s="4">
        <v>2.9575075210297201E-7</v>
      </c>
      <c r="G1612" s="4">
        <v>2.7710869128437702E-6</v>
      </c>
      <c r="H1612" s="3" t="str">
        <f>"GALNT7"</f>
        <v>GALNT7</v>
      </c>
      <c r="I1612" s="3" t="str">
        <f>"protein_coding"</f>
        <v>protein_coding</v>
      </c>
    </row>
    <row r="1613" spans="1:9" x14ac:dyDescent="0.2">
      <c r="A1613" s="3" t="str">
        <f>"ENSG00000272870.2"</f>
        <v>ENSG00000272870.2</v>
      </c>
      <c r="B1613" s="3">
        <v>29.8648868821852</v>
      </c>
      <c r="C1613" s="3">
        <v>-1.79843632392341</v>
      </c>
      <c r="D1613" s="3">
        <v>0.64292047455103996</v>
      </c>
      <c r="E1613" s="3">
        <v>-2.79729203705836</v>
      </c>
      <c r="F1613" s="3">
        <v>5.1532930434396501E-3</v>
      </c>
      <c r="G1613" s="3">
        <v>1.8185698167931599E-2</v>
      </c>
      <c r="H1613" s="3" t="str">
        <f>"AC097534.2"</f>
        <v>AC097534.2</v>
      </c>
      <c r="I1613" s="3" t="str">
        <f>"antisense"</f>
        <v>antisense</v>
      </c>
    </row>
    <row r="1614" spans="1:9" x14ac:dyDescent="0.2">
      <c r="A1614" s="3" t="str">
        <f>"ENSG00000164105.4"</f>
        <v>ENSG00000164105.4</v>
      </c>
      <c r="B1614" s="3">
        <v>161.387508148618</v>
      </c>
      <c r="C1614" s="3">
        <v>-1.1095744382533199</v>
      </c>
      <c r="D1614" s="3">
        <v>0.31255221622621099</v>
      </c>
      <c r="E1614" s="3">
        <v>-3.5500450185586199</v>
      </c>
      <c r="F1614" s="3">
        <v>3.85165279576086E-4</v>
      </c>
      <c r="G1614" s="3">
        <v>1.9039547120119E-3</v>
      </c>
      <c r="H1614" s="3" t="str">
        <f>"SAP30"</f>
        <v>SAP30</v>
      </c>
      <c r="I1614" s="3" t="str">
        <f t="shared" ref="I1614:I1619" si="77">"protein_coding"</f>
        <v>protein_coding</v>
      </c>
    </row>
    <row r="1615" spans="1:9" x14ac:dyDescent="0.2">
      <c r="A1615" s="3" t="str">
        <f>"ENSG00000164120.14"</f>
        <v>ENSG00000164120.14</v>
      </c>
      <c r="B1615" s="3">
        <v>13.2533292553987</v>
      </c>
      <c r="C1615" s="3">
        <v>4.6255122168669098</v>
      </c>
      <c r="D1615" s="3">
        <v>1.3309662096219601</v>
      </c>
      <c r="E1615" s="3">
        <v>3.4753040185601098</v>
      </c>
      <c r="F1615" s="3">
        <v>5.1027469285556298E-4</v>
      </c>
      <c r="G1615" s="3">
        <v>2.4417728409264999E-3</v>
      </c>
      <c r="H1615" s="3" t="str">
        <f>"HPGD"</f>
        <v>HPGD</v>
      </c>
      <c r="I1615" s="3" t="str">
        <f t="shared" si="77"/>
        <v>protein_coding</v>
      </c>
    </row>
    <row r="1616" spans="1:9" x14ac:dyDescent="0.2">
      <c r="A1616" s="3" t="str">
        <f>"ENSG00000129128.13"</f>
        <v>ENSG00000129128.13</v>
      </c>
      <c r="B1616" s="3">
        <v>4268.1501345421902</v>
      </c>
      <c r="C1616" s="3">
        <v>-1.01861976605393</v>
      </c>
      <c r="D1616" s="3">
        <v>0.17527307002747899</v>
      </c>
      <c r="E1616" s="3">
        <v>-5.81161593103967</v>
      </c>
      <c r="F1616" s="4">
        <v>6.1872662351576302E-9</v>
      </c>
      <c r="G1616" s="4">
        <v>7.5564519546992295E-8</v>
      </c>
      <c r="H1616" s="3" t="str">
        <f>"SPCS3"</f>
        <v>SPCS3</v>
      </c>
      <c r="I1616" s="3" t="str">
        <f t="shared" si="77"/>
        <v>protein_coding</v>
      </c>
    </row>
    <row r="1617" spans="1:9" x14ac:dyDescent="0.2">
      <c r="A1617" s="3" t="str">
        <f>"ENSG00000218336.9"</f>
        <v>ENSG00000218336.9</v>
      </c>
      <c r="B1617" s="3">
        <v>19.1268254205823</v>
      </c>
      <c r="C1617" s="3">
        <v>3.2624768814720801</v>
      </c>
      <c r="D1617" s="3">
        <v>0.89735285978056401</v>
      </c>
      <c r="E1617" s="3">
        <v>3.6356677820917298</v>
      </c>
      <c r="F1617" s="3">
        <v>2.7726146423296701E-4</v>
      </c>
      <c r="G1617" s="3">
        <v>1.4205609469642099E-3</v>
      </c>
      <c r="H1617" s="3" t="str">
        <f>"TENM3"</f>
        <v>TENM3</v>
      </c>
      <c r="I1617" s="3" t="str">
        <f t="shared" si="77"/>
        <v>protein_coding</v>
      </c>
    </row>
    <row r="1618" spans="1:9" x14ac:dyDescent="0.2">
      <c r="A1618" s="3" t="str">
        <f>"ENSG00000151718.16"</f>
        <v>ENSG00000151718.16</v>
      </c>
      <c r="B1618" s="3">
        <v>4139.72542632147</v>
      </c>
      <c r="C1618" s="3">
        <v>-1.2617982389305999</v>
      </c>
      <c r="D1618" s="3">
        <v>0.18297704877454901</v>
      </c>
      <c r="E1618" s="3">
        <v>-6.8959372084161901</v>
      </c>
      <c r="F1618" s="4">
        <v>5.3510829226481796E-12</v>
      </c>
      <c r="G1618" s="4">
        <v>9.6942125261565802E-11</v>
      </c>
      <c r="H1618" s="3" t="str">
        <f>"WWC2"</f>
        <v>WWC2</v>
      </c>
      <c r="I1618" s="3" t="str">
        <f t="shared" si="77"/>
        <v>protein_coding</v>
      </c>
    </row>
    <row r="1619" spans="1:9" x14ac:dyDescent="0.2">
      <c r="A1619" s="3" t="str">
        <f>"ENSG00000173320.12"</f>
        <v>ENSG00000173320.12</v>
      </c>
      <c r="B1619" s="3">
        <v>19.7359836131366</v>
      </c>
      <c r="C1619" s="3">
        <v>3.0886890712241502</v>
      </c>
      <c r="D1619" s="3">
        <v>0.88688288730113896</v>
      </c>
      <c r="E1619" s="3">
        <v>3.4826346470877301</v>
      </c>
      <c r="F1619" s="3">
        <v>4.9650546499143701E-4</v>
      </c>
      <c r="G1619" s="3">
        <v>2.3834186759375802E-3</v>
      </c>
      <c r="H1619" s="3" t="str">
        <f>"STOX2"</f>
        <v>STOX2</v>
      </c>
      <c r="I1619" s="3" t="str">
        <f t="shared" si="77"/>
        <v>protein_coding</v>
      </c>
    </row>
    <row r="1620" spans="1:9" x14ac:dyDescent="0.2">
      <c r="A1620" s="3" t="str">
        <f>"ENSG00000249056.1"</f>
        <v>ENSG00000249056.1</v>
      </c>
      <c r="B1620" s="3">
        <v>17.006942807321501</v>
      </c>
      <c r="C1620" s="3">
        <v>2.1646791047704701</v>
      </c>
      <c r="D1620" s="3">
        <v>0.85968372971316698</v>
      </c>
      <c r="E1620" s="3">
        <v>2.5179947345202298</v>
      </c>
      <c r="F1620" s="3">
        <v>1.18025085466538E-2</v>
      </c>
      <c r="G1620" s="3">
        <v>3.6510548996826299E-2</v>
      </c>
      <c r="H1620" s="3" t="str">
        <f>"AC099343.1"</f>
        <v>AC099343.1</v>
      </c>
      <c r="I1620" s="3" t="str">
        <f>"processed_pseudogene"</f>
        <v>processed_pseudogene</v>
      </c>
    </row>
    <row r="1621" spans="1:9" x14ac:dyDescent="0.2">
      <c r="A1621" s="3" t="str">
        <f>"ENSG00000109771.15"</f>
        <v>ENSG00000109771.15</v>
      </c>
      <c r="B1621" s="3">
        <v>66.968861789224505</v>
      </c>
      <c r="C1621" s="3">
        <v>1.70415549058503</v>
      </c>
      <c r="D1621" s="3">
        <v>0.44732434932223297</v>
      </c>
      <c r="E1621" s="3">
        <v>3.8096640461604401</v>
      </c>
      <c r="F1621" s="3">
        <v>1.3915575032055099E-4</v>
      </c>
      <c r="G1621" s="3">
        <v>7.7095907462058704E-4</v>
      </c>
      <c r="H1621" s="3" t="str">
        <f>"LRP2BP"</f>
        <v>LRP2BP</v>
      </c>
      <c r="I1621" s="3" t="str">
        <f t="shared" ref="I1621:I1626" si="78">"protein_coding"</f>
        <v>protein_coding</v>
      </c>
    </row>
    <row r="1622" spans="1:9" x14ac:dyDescent="0.2">
      <c r="A1622" s="3" t="str">
        <f>"ENSG00000205129.8"</f>
        <v>ENSG00000205129.8</v>
      </c>
      <c r="B1622" s="3">
        <v>26.727011768868302</v>
      </c>
      <c r="C1622" s="3">
        <v>3.7812834803568101</v>
      </c>
      <c r="D1622" s="3">
        <v>0.83665572674906497</v>
      </c>
      <c r="E1622" s="3">
        <v>4.5195214225682596</v>
      </c>
      <c r="F1622" s="4">
        <v>6.1979576280106199E-6</v>
      </c>
      <c r="G1622" s="4">
        <v>4.5915103722241797E-5</v>
      </c>
      <c r="H1622" s="3" t="str">
        <f>"C4orf47"</f>
        <v>C4orf47</v>
      </c>
      <c r="I1622" s="3" t="str">
        <f t="shared" si="78"/>
        <v>protein_coding</v>
      </c>
    </row>
    <row r="1623" spans="1:9" x14ac:dyDescent="0.2">
      <c r="A1623" s="3" t="str">
        <f>"ENSG00000154553.15"</f>
        <v>ENSG00000154553.15</v>
      </c>
      <c r="B1623" s="3">
        <v>464.80449665151599</v>
      </c>
      <c r="C1623" s="3">
        <v>1.6171083060407401</v>
      </c>
      <c r="D1623" s="3">
        <v>0.22933533188775701</v>
      </c>
      <c r="E1623" s="3">
        <v>7.0512829084364403</v>
      </c>
      <c r="F1623" s="4">
        <v>1.77275642964884E-12</v>
      </c>
      <c r="G1623" s="4">
        <v>3.4039671908838503E-11</v>
      </c>
      <c r="H1623" s="3" t="str">
        <f>"PDLIM3"</f>
        <v>PDLIM3</v>
      </c>
      <c r="I1623" s="3" t="str">
        <f t="shared" si="78"/>
        <v>protein_coding</v>
      </c>
    </row>
    <row r="1624" spans="1:9" x14ac:dyDescent="0.2">
      <c r="A1624" s="3" t="str">
        <f>"ENSG00000154556.18"</f>
        <v>ENSG00000154556.18</v>
      </c>
      <c r="B1624" s="3">
        <v>1749.64495081835</v>
      </c>
      <c r="C1624" s="3">
        <v>-2.0434575983750398</v>
      </c>
      <c r="D1624" s="3">
        <v>0.184579963302793</v>
      </c>
      <c r="E1624" s="3">
        <v>-11.070852771938499</v>
      </c>
      <c r="F1624" s="4">
        <v>1.7373934901077299E-28</v>
      </c>
      <c r="G1624" s="4">
        <v>1.20762143941238E-26</v>
      </c>
      <c r="H1624" s="3" t="str">
        <f>"SORBS2"</f>
        <v>SORBS2</v>
      </c>
      <c r="I1624" s="3" t="str">
        <f t="shared" si="78"/>
        <v>protein_coding</v>
      </c>
    </row>
    <row r="1625" spans="1:9" x14ac:dyDescent="0.2">
      <c r="A1625" s="3" t="str">
        <f>"ENSG00000164342.12"</f>
        <v>ENSG00000164342.12</v>
      </c>
      <c r="B1625" s="3">
        <v>7.4161579328419203</v>
      </c>
      <c r="C1625" s="3">
        <v>4.7837747265366799</v>
      </c>
      <c r="D1625" s="3">
        <v>1.86885021293964</v>
      </c>
      <c r="E1625" s="3">
        <v>2.5597421844803501</v>
      </c>
      <c r="F1625" s="3">
        <v>1.04749840957555E-2</v>
      </c>
      <c r="G1625" s="3">
        <v>3.3087397595299099E-2</v>
      </c>
      <c r="H1625" s="3" t="str">
        <f>"TLR3"</f>
        <v>TLR3</v>
      </c>
      <c r="I1625" s="3" t="str">
        <f t="shared" si="78"/>
        <v>protein_coding</v>
      </c>
    </row>
    <row r="1626" spans="1:9" x14ac:dyDescent="0.2">
      <c r="A1626" s="3" t="str">
        <f>"ENSG00000164344.16"</f>
        <v>ENSG00000164344.16</v>
      </c>
      <c r="B1626" s="3">
        <v>11.523086216125799</v>
      </c>
      <c r="C1626" s="3">
        <v>4.40984119744952</v>
      </c>
      <c r="D1626" s="3">
        <v>1.39196754894228</v>
      </c>
      <c r="E1626" s="3">
        <v>3.16806322158908</v>
      </c>
      <c r="F1626" s="3">
        <v>1.5345814530390201E-3</v>
      </c>
      <c r="G1626" s="3">
        <v>6.4031762405749202E-3</v>
      </c>
      <c r="H1626" s="3" t="str">
        <f>"KLKB1"</f>
        <v>KLKB1</v>
      </c>
      <c r="I1626" s="3" t="str">
        <f t="shared" si="78"/>
        <v>protein_coding</v>
      </c>
    </row>
    <row r="1627" spans="1:9" x14ac:dyDescent="0.2">
      <c r="A1627" s="3" t="str">
        <f>"ENSG00000251165.5"</f>
        <v>ENSG00000251165.5</v>
      </c>
      <c r="B1627" s="3">
        <v>3.7443793362539499</v>
      </c>
      <c r="C1627" s="3">
        <v>5.3028405840866704</v>
      </c>
      <c r="D1627" s="3">
        <v>2.1958005004532399</v>
      </c>
      <c r="E1627" s="3">
        <v>2.4149919735386298</v>
      </c>
      <c r="F1627" s="3">
        <v>1.5735556439619401E-2</v>
      </c>
      <c r="G1627" s="3">
        <v>4.6361019280959197E-2</v>
      </c>
      <c r="H1627" s="3" t="str">
        <f>"F11-AS1"</f>
        <v>F11-AS1</v>
      </c>
      <c r="I1627" s="3" t="str">
        <f>"antisense"</f>
        <v>antisense</v>
      </c>
    </row>
    <row r="1628" spans="1:9" x14ac:dyDescent="0.2">
      <c r="A1628" s="3" t="str">
        <f>"ENSG00000250829.2"</f>
        <v>ENSG00000250829.2</v>
      </c>
      <c r="B1628" s="3">
        <v>35.390630014929002</v>
      </c>
      <c r="C1628" s="3">
        <v>3.66642647096617</v>
      </c>
      <c r="D1628" s="3">
        <v>0.71012227037675901</v>
      </c>
      <c r="E1628" s="3">
        <v>5.1630917996993997</v>
      </c>
      <c r="F1628" s="4">
        <v>2.4290393961699498E-7</v>
      </c>
      <c r="G1628" s="4">
        <v>2.3108951266565201E-6</v>
      </c>
      <c r="H1628" s="3" t="str">
        <f>"AC108865.1"</f>
        <v>AC108865.1</v>
      </c>
      <c r="I1628" s="3" t="str">
        <f>"lincRNA"</f>
        <v>lincRNA</v>
      </c>
    </row>
    <row r="1629" spans="1:9" x14ac:dyDescent="0.2">
      <c r="A1629" s="3" t="str">
        <f>"ENSG00000272218.1"</f>
        <v>ENSG00000272218.1</v>
      </c>
      <c r="B1629" s="3">
        <v>21.3735494049984</v>
      </c>
      <c r="C1629" s="3">
        <v>2.4259345107649501</v>
      </c>
      <c r="D1629" s="3">
        <v>0.78263555913850302</v>
      </c>
      <c r="E1629" s="3">
        <v>3.0996988092840199</v>
      </c>
      <c r="F1629" s="3">
        <v>1.9371752165259701E-3</v>
      </c>
      <c r="G1629" s="3">
        <v>7.8298926516567197E-3</v>
      </c>
      <c r="H1629" s="3" t="str">
        <f>"AC108865.2"</f>
        <v>AC108865.2</v>
      </c>
      <c r="I1629" s="3" t="str">
        <f>"lincRNA"</f>
        <v>lincRNA</v>
      </c>
    </row>
    <row r="1630" spans="1:9" x14ac:dyDescent="0.2">
      <c r="A1630" s="3" t="str">
        <f>"ENSG00000224807.5"</f>
        <v>ENSG00000224807.5</v>
      </c>
      <c r="B1630" s="3">
        <v>134.852080644257</v>
      </c>
      <c r="C1630" s="3">
        <v>3.7996628479919101</v>
      </c>
      <c r="D1630" s="3">
        <v>0.41114374294265199</v>
      </c>
      <c r="E1630" s="3">
        <v>9.2416895871911695</v>
      </c>
      <c r="F1630" s="4">
        <v>2.4263512787521201E-20</v>
      </c>
      <c r="G1630" s="4">
        <v>9.7078991618442201E-19</v>
      </c>
      <c r="H1630" s="3" t="str">
        <f>"DUX4L9"</f>
        <v>DUX4L9</v>
      </c>
      <c r="I1630" s="3" t="str">
        <f>"unprocessed_pseudogene"</f>
        <v>unprocessed_pseudogene</v>
      </c>
    </row>
    <row r="1631" spans="1:9" x14ac:dyDescent="0.2">
      <c r="A1631" s="3" t="str">
        <f>"ENSG00000286001.1"</f>
        <v>ENSG00000286001.1</v>
      </c>
      <c r="B1631" s="3">
        <v>45.692003537154797</v>
      </c>
      <c r="C1631" s="3">
        <v>1.42449522435191</v>
      </c>
      <c r="D1631" s="3">
        <v>0.55854481801599198</v>
      </c>
      <c r="E1631" s="3">
        <v>2.5503687052578199</v>
      </c>
      <c r="F1631" s="3">
        <v>1.07609047512871E-2</v>
      </c>
      <c r="G1631" s="3">
        <v>3.3871099772502598E-2</v>
      </c>
      <c r="H1631" s="3" t="str">
        <f>"AC021087.5"</f>
        <v>AC021087.5</v>
      </c>
      <c r="I1631" s="3" t="str">
        <f>"protein_coding"</f>
        <v>protein_coding</v>
      </c>
    </row>
    <row r="1632" spans="1:9" x14ac:dyDescent="0.2">
      <c r="A1632" s="3" t="str">
        <f>"ENSG00000066230.11"</f>
        <v>ENSG00000066230.11</v>
      </c>
      <c r="B1632" s="3">
        <v>14.823926721505201</v>
      </c>
      <c r="C1632" s="3">
        <v>3.7444240460815998</v>
      </c>
      <c r="D1632" s="3">
        <v>1.0905080480718701</v>
      </c>
      <c r="E1632" s="3">
        <v>3.4336509966177</v>
      </c>
      <c r="F1632" s="3">
        <v>5.9551041408438001E-4</v>
      </c>
      <c r="G1632" s="3">
        <v>2.79659983670408E-3</v>
      </c>
      <c r="H1632" s="3" t="str">
        <f>"SLC9A3"</f>
        <v>SLC9A3</v>
      </c>
      <c r="I1632" s="3" t="str">
        <f>"protein_coding"</f>
        <v>protein_coding</v>
      </c>
    </row>
    <row r="1633" spans="1:9" x14ac:dyDescent="0.2">
      <c r="A1633" s="3" t="str">
        <f>"ENSG00000225138.7"</f>
        <v>ENSG00000225138.7</v>
      </c>
      <c r="B1633" s="3">
        <v>91.724013387313207</v>
      </c>
      <c r="C1633" s="3">
        <v>1.2564113872893401</v>
      </c>
      <c r="D1633" s="3">
        <v>0.43015251604286397</v>
      </c>
      <c r="E1633" s="3">
        <v>2.9208509550229902</v>
      </c>
      <c r="F1633" s="3">
        <v>3.4907678244536699E-3</v>
      </c>
      <c r="G1633" s="3">
        <v>1.30542068230701E-2</v>
      </c>
      <c r="H1633" s="3" t="str">
        <f>"SLC9A3-AS1"</f>
        <v>SLC9A3-AS1</v>
      </c>
      <c r="I1633" s="3" t="str">
        <f>"processed_transcript"</f>
        <v>processed_transcript</v>
      </c>
    </row>
    <row r="1634" spans="1:9" x14ac:dyDescent="0.2">
      <c r="A1634" s="3" t="str">
        <f>"ENSG00000271781.1"</f>
        <v>ENSG00000271781.1</v>
      </c>
      <c r="B1634" s="3">
        <v>73.839921234700299</v>
      </c>
      <c r="C1634" s="3">
        <v>1.2960298616155499</v>
      </c>
      <c r="D1634" s="3">
        <v>0.43676244846212497</v>
      </c>
      <c r="E1634" s="3">
        <v>2.96735643409585</v>
      </c>
      <c r="F1634" s="3">
        <v>3.0037252295227398E-3</v>
      </c>
      <c r="G1634" s="3">
        <v>1.1466552726050299E-2</v>
      </c>
      <c r="H1634" s="3" t="str">
        <f>"AC026740.1"</f>
        <v>AC026740.1</v>
      </c>
      <c r="I1634" s="3" t="str">
        <f>"antisense"</f>
        <v>antisense</v>
      </c>
    </row>
    <row r="1635" spans="1:9" x14ac:dyDescent="0.2">
      <c r="A1635" s="3" t="str">
        <f>"ENSG00000071539.14"</f>
        <v>ENSG00000071539.14</v>
      </c>
      <c r="B1635" s="3">
        <v>1045.3775592003799</v>
      </c>
      <c r="C1635" s="3">
        <v>-1.18304381735585</v>
      </c>
      <c r="D1635" s="3">
        <v>0.19914796210316699</v>
      </c>
      <c r="E1635" s="3">
        <v>-5.9405268568250902</v>
      </c>
      <c r="F1635" s="4">
        <v>2.84107506891792E-9</v>
      </c>
      <c r="G1635" s="4">
        <v>3.6291970184156903E-8</v>
      </c>
      <c r="H1635" s="3" t="str">
        <f>"TRIP13"</f>
        <v>TRIP13</v>
      </c>
      <c r="I1635" s="3" t="str">
        <f t="shared" ref="I1635:I1640" si="79">"protein_coding"</f>
        <v>protein_coding</v>
      </c>
    </row>
    <row r="1636" spans="1:9" x14ac:dyDescent="0.2">
      <c r="A1636" s="3" t="str">
        <f>"ENSG00000145506.13"</f>
        <v>ENSG00000145506.13</v>
      </c>
      <c r="B1636" s="3">
        <v>352.35238435391801</v>
      </c>
      <c r="C1636" s="3">
        <v>2.2992118170021998</v>
      </c>
      <c r="D1636" s="3">
        <v>0.27025606942004199</v>
      </c>
      <c r="E1636" s="3">
        <v>8.5075307353363403</v>
      </c>
      <c r="F1636" s="4">
        <v>1.7767664352248101E-17</v>
      </c>
      <c r="G1636" s="4">
        <v>5.5264332260925204E-16</v>
      </c>
      <c r="H1636" s="3" t="str">
        <f>"NKD2"</f>
        <v>NKD2</v>
      </c>
      <c r="I1636" s="3" t="str">
        <f t="shared" si="79"/>
        <v>protein_coding</v>
      </c>
    </row>
    <row r="1637" spans="1:9" x14ac:dyDescent="0.2">
      <c r="A1637" s="3" t="str">
        <f>"ENSG00000174358.16"</f>
        <v>ENSG00000174358.16</v>
      </c>
      <c r="B1637" s="3">
        <v>14.081665597347101</v>
      </c>
      <c r="C1637" s="3">
        <v>-3.8124562849845298</v>
      </c>
      <c r="D1637" s="3">
        <v>1.1073135184970599</v>
      </c>
      <c r="E1637" s="3">
        <v>-3.4429781821494698</v>
      </c>
      <c r="F1637" s="3">
        <v>5.7534572806431099E-4</v>
      </c>
      <c r="G1637" s="3">
        <v>2.71359616627459E-3</v>
      </c>
      <c r="H1637" s="3" t="str">
        <f>"SLC6A19"</f>
        <v>SLC6A19</v>
      </c>
      <c r="I1637" s="3" t="str">
        <f t="shared" si="79"/>
        <v>protein_coding</v>
      </c>
    </row>
    <row r="1638" spans="1:9" x14ac:dyDescent="0.2">
      <c r="A1638" s="3" t="str">
        <f>"ENSG00000164362.19"</f>
        <v>ENSG00000164362.19</v>
      </c>
      <c r="B1638" s="3">
        <v>378.62930636023998</v>
      </c>
      <c r="C1638" s="3">
        <v>-2.4135697467922701</v>
      </c>
      <c r="D1638" s="3">
        <v>0.262675473584912</v>
      </c>
      <c r="E1638" s="3">
        <v>-9.1884092330838101</v>
      </c>
      <c r="F1638" s="4">
        <v>3.9869351535987402E-20</v>
      </c>
      <c r="G1638" s="4">
        <v>1.56080491566242E-18</v>
      </c>
      <c r="H1638" s="3" t="str">
        <f>"TERT"</f>
        <v>TERT</v>
      </c>
      <c r="I1638" s="3" t="str">
        <f t="shared" si="79"/>
        <v>protein_coding</v>
      </c>
    </row>
    <row r="1639" spans="1:9" x14ac:dyDescent="0.2">
      <c r="A1639" s="3" t="str">
        <f>"ENSG00000215218.4"</f>
        <v>ENSG00000215218.4</v>
      </c>
      <c r="B1639" s="3">
        <v>426.76615156921099</v>
      </c>
      <c r="C1639" s="3">
        <v>8.6873805197777703</v>
      </c>
      <c r="D1639" s="3">
        <v>0.75833174503417999</v>
      </c>
      <c r="E1639" s="3">
        <v>11.4559103936579</v>
      </c>
      <c r="F1639" s="4">
        <v>2.19643237701299E-30</v>
      </c>
      <c r="G1639" s="4">
        <v>1.7601821463668499E-28</v>
      </c>
      <c r="H1639" s="3" t="str">
        <f>"UBE2QL1"</f>
        <v>UBE2QL1</v>
      </c>
      <c r="I1639" s="3" t="str">
        <f t="shared" si="79"/>
        <v>protein_coding</v>
      </c>
    </row>
    <row r="1640" spans="1:9" x14ac:dyDescent="0.2">
      <c r="A1640" s="3" t="str">
        <f>"ENSG00000078295.16"</f>
        <v>ENSG00000078295.16</v>
      </c>
      <c r="B1640" s="3">
        <v>8.5183300289086397</v>
      </c>
      <c r="C1640" s="3">
        <v>4.9929605455950599</v>
      </c>
      <c r="D1640" s="3">
        <v>1.80272417078161</v>
      </c>
      <c r="E1640" s="3">
        <v>2.7696752650907399</v>
      </c>
      <c r="F1640" s="3">
        <v>5.61122059789674E-3</v>
      </c>
      <c r="G1640" s="3">
        <v>1.9601144568063101E-2</v>
      </c>
      <c r="H1640" s="3" t="str">
        <f>"ADCY2"</f>
        <v>ADCY2</v>
      </c>
      <c r="I1640" s="3" t="str">
        <f t="shared" si="79"/>
        <v>protein_coding</v>
      </c>
    </row>
    <row r="1641" spans="1:9" x14ac:dyDescent="0.2">
      <c r="A1641" s="3" t="str">
        <f>"ENSG00000271980.1"</f>
        <v>ENSG00000271980.1</v>
      </c>
      <c r="B1641" s="3">
        <v>19.3473032087057</v>
      </c>
      <c r="C1641" s="3">
        <v>2.8732003442890099</v>
      </c>
      <c r="D1641" s="3">
        <v>0.85966802632426498</v>
      </c>
      <c r="E1641" s="3">
        <v>3.3422207832645898</v>
      </c>
      <c r="F1641" s="3">
        <v>8.3110924971947504E-4</v>
      </c>
      <c r="G1641" s="3">
        <v>3.75169544849346E-3</v>
      </c>
      <c r="H1641" s="3" t="str">
        <f>"AC012640.4"</f>
        <v>AC012640.4</v>
      </c>
      <c r="I1641" s="3" t="str">
        <f>"antisense"</f>
        <v>antisense</v>
      </c>
    </row>
    <row r="1642" spans="1:9" x14ac:dyDescent="0.2">
      <c r="A1642" s="3" t="str">
        <f>"ENSG00000164237.9"</f>
        <v>ENSG00000164237.9</v>
      </c>
      <c r="B1642" s="3">
        <v>3964.1182039149899</v>
      </c>
      <c r="C1642" s="3">
        <v>2.3071464635625101</v>
      </c>
      <c r="D1642" s="3">
        <v>0.174382208859026</v>
      </c>
      <c r="E1642" s="3">
        <v>13.230400501622601</v>
      </c>
      <c r="F1642" s="4">
        <v>5.8574415733560302E-40</v>
      </c>
      <c r="G1642" s="4">
        <v>8.0199854547352598E-38</v>
      </c>
      <c r="H1642" s="3" t="str">
        <f>"CMBL"</f>
        <v>CMBL</v>
      </c>
      <c r="I1642" s="3" t="str">
        <f>"protein_coding"</f>
        <v>protein_coding</v>
      </c>
    </row>
    <row r="1643" spans="1:9" x14ac:dyDescent="0.2">
      <c r="A1643" s="3" t="str">
        <f>"ENSG00000252341.1"</f>
        <v>ENSG00000252341.1</v>
      </c>
      <c r="B1643" s="3">
        <v>11.2667928589408</v>
      </c>
      <c r="C1643" s="3">
        <v>2.65487428499693</v>
      </c>
      <c r="D1643" s="3">
        <v>1.0907922594178801</v>
      </c>
      <c r="E1643" s="3">
        <v>2.4338954205759999</v>
      </c>
      <c r="F1643" s="3">
        <v>1.4937310120455899E-2</v>
      </c>
      <c r="G1643" s="3">
        <v>4.4392276815563202E-2</v>
      </c>
      <c r="H1643" s="3" t="str">
        <f>"RF00019"</f>
        <v>RF00019</v>
      </c>
      <c r="I1643" s="3" t="str">
        <f>"misc_RNA"</f>
        <v>misc_RNA</v>
      </c>
    </row>
    <row r="1644" spans="1:9" x14ac:dyDescent="0.2">
      <c r="A1644" s="3" t="str">
        <f>"ENSG00000112977.15"</f>
        <v>ENSG00000112977.15</v>
      </c>
      <c r="B1644" s="3">
        <v>3011.6623500012902</v>
      </c>
      <c r="C1644" s="3">
        <v>-1.0545646511518401</v>
      </c>
      <c r="D1644" s="3">
        <v>0.19837219153369201</v>
      </c>
      <c r="E1644" s="3">
        <v>-5.31609114664003</v>
      </c>
      <c r="F1644" s="4">
        <v>1.06020057441966E-7</v>
      </c>
      <c r="G1644" s="4">
        <v>1.07268046978137E-6</v>
      </c>
      <c r="H1644" s="3" t="str">
        <f>"DAP"</f>
        <v>DAP</v>
      </c>
      <c r="I1644" s="3" t="str">
        <f>"protein_coding"</f>
        <v>protein_coding</v>
      </c>
    </row>
    <row r="1645" spans="1:9" x14ac:dyDescent="0.2">
      <c r="A1645" s="3" t="str">
        <f>"ENSG00000169862.19"</f>
        <v>ENSG00000169862.19</v>
      </c>
      <c r="B1645" s="3">
        <v>9.8889487503820295</v>
      </c>
      <c r="C1645" s="3">
        <v>3.54308829608616</v>
      </c>
      <c r="D1645" s="3">
        <v>1.3287581310563199</v>
      </c>
      <c r="E1645" s="3">
        <v>2.66646593783741</v>
      </c>
      <c r="F1645" s="3">
        <v>7.6653373656802096E-3</v>
      </c>
      <c r="G1645" s="3">
        <v>2.54270084249682E-2</v>
      </c>
      <c r="H1645" s="3" t="str">
        <f>"CTNND2"</f>
        <v>CTNND2</v>
      </c>
      <c r="I1645" s="3" t="str">
        <f>"protein_coding"</f>
        <v>protein_coding</v>
      </c>
    </row>
    <row r="1646" spans="1:9" x14ac:dyDescent="0.2">
      <c r="A1646" s="3" t="str">
        <f>"ENSG00000039139.9"</f>
        <v>ENSG00000039139.9</v>
      </c>
      <c r="B1646" s="3">
        <v>15.6085129174524</v>
      </c>
      <c r="C1646" s="3">
        <v>4.2578311656937604</v>
      </c>
      <c r="D1646" s="3">
        <v>1.1508539626183001</v>
      </c>
      <c r="E1646" s="3">
        <v>3.6997145632681301</v>
      </c>
      <c r="F1646" s="3">
        <v>2.15842090832774E-4</v>
      </c>
      <c r="G1646" s="3">
        <v>1.13973826529469E-3</v>
      </c>
      <c r="H1646" s="3" t="str">
        <f>"DNAH5"</f>
        <v>DNAH5</v>
      </c>
      <c r="I1646" s="3" t="str">
        <f>"protein_coding"</f>
        <v>protein_coding</v>
      </c>
    </row>
    <row r="1647" spans="1:9" x14ac:dyDescent="0.2">
      <c r="A1647" s="3" t="str">
        <f>"ENSG00000145569.6"</f>
        <v>ENSG00000145569.6</v>
      </c>
      <c r="B1647" s="3">
        <v>226.64497676073</v>
      </c>
      <c r="C1647" s="3">
        <v>3.5325505999132201</v>
      </c>
      <c r="D1647" s="3">
        <v>0.329188952439257</v>
      </c>
      <c r="E1647" s="3">
        <v>10.731072758479201</v>
      </c>
      <c r="F1647" s="4">
        <v>7.2746695546105506E-27</v>
      </c>
      <c r="G1647" s="4">
        <v>4.60960282219706E-25</v>
      </c>
      <c r="H1647" s="3" t="str">
        <f>"OTULINL"</f>
        <v>OTULINL</v>
      </c>
      <c r="I1647" s="3" t="str">
        <f>"protein_coding"</f>
        <v>protein_coding</v>
      </c>
    </row>
    <row r="1648" spans="1:9" x14ac:dyDescent="0.2">
      <c r="A1648" s="3" t="str">
        <f>"ENSG00000261360.1"</f>
        <v>ENSG00000261360.1</v>
      </c>
      <c r="B1648" s="3">
        <v>69.704738383304203</v>
      </c>
      <c r="C1648" s="3">
        <v>2.5675315537883101</v>
      </c>
      <c r="D1648" s="3">
        <v>0.48996661835963701</v>
      </c>
      <c r="E1648" s="3">
        <v>5.2402173078324603</v>
      </c>
      <c r="F1648" s="4">
        <v>1.60387612761116E-7</v>
      </c>
      <c r="G1648" s="4">
        <v>1.5742367741001899E-6</v>
      </c>
      <c r="H1648" s="3" t="str">
        <f>"AC010491.1"</f>
        <v>AC010491.1</v>
      </c>
      <c r="I1648" s="3" t="str">
        <f>"antisense"</f>
        <v>antisense</v>
      </c>
    </row>
    <row r="1649" spans="1:9" x14ac:dyDescent="0.2">
      <c r="A1649" s="3" t="str">
        <f>"ENSG00000183666.17"</f>
        <v>ENSG00000183666.17</v>
      </c>
      <c r="B1649" s="3">
        <v>832.74891074571804</v>
      </c>
      <c r="C1649" s="3">
        <v>-1.0881574739606501</v>
      </c>
      <c r="D1649" s="3">
        <v>0.21061291046574901</v>
      </c>
      <c r="E1649" s="3">
        <v>-5.16662284165914</v>
      </c>
      <c r="F1649" s="4">
        <v>2.3836156475456901E-7</v>
      </c>
      <c r="G1649" s="4">
        <v>2.27244141178018E-6</v>
      </c>
      <c r="H1649" s="3" t="str">
        <f>"GUSBP1"</f>
        <v>GUSBP1</v>
      </c>
      <c r="I1649" s="3" t="str">
        <f>"transcribed_unprocessed_pseudogene"</f>
        <v>transcribed_unprocessed_pseudogene</v>
      </c>
    </row>
    <row r="1650" spans="1:9" x14ac:dyDescent="0.2">
      <c r="A1650" s="3" t="str">
        <f>"ENSG00000154162.14"</f>
        <v>ENSG00000154162.14</v>
      </c>
      <c r="B1650" s="3">
        <v>4.5868731179276896</v>
      </c>
      <c r="C1650" s="3">
        <v>5.5915059184507401</v>
      </c>
      <c r="D1650" s="3">
        <v>2.0812331718906201</v>
      </c>
      <c r="E1650" s="3">
        <v>2.6866311732727901</v>
      </c>
      <c r="F1650" s="3">
        <v>7.2176601926175997E-3</v>
      </c>
      <c r="G1650" s="3">
        <v>2.4195323236743602E-2</v>
      </c>
      <c r="H1650" s="3" t="str">
        <f>"CDH12"</f>
        <v>CDH12</v>
      </c>
      <c r="I1650" s="3" t="str">
        <f>"protein_coding"</f>
        <v>protein_coding</v>
      </c>
    </row>
    <row r="1651" spans="1:9" x14ac:dyDescent="0.2">
      <c r="A1651" s="3" t="str">
        <f>"ENSG00000040731.10"</f>
        <v>ENSG00000040731.10</v>
      </c>
      <c r="B1651" s="3">
        <v>15.0047380787039</v>
      </c>
      <c r="C1651" s="3">
        <v>7.2995299165462804</v>
      </c>
      <c r="D1651" s="3">
        <v>1.69581976354455</v>
      </c>
      <c r="E1651" s="3">
        <v>4.3044255489091698</v>
      </c>
      <c r="F1651" s="4">
        <v>1.6741958096120399E-5</v>
      </c>
      <c r="G1651" s="3">
        <v>1.1316500427809299E-4</v>
      </c>
      <c r="H1651" s="3" t="str">
        <f>"CDH10"</f>
        <v>CDH10</v>
      </c>
      <c r="I1651" s="3" t="str">
        <f>"protein_coding"</f>
        <v>protein_coding</v>
      </c>
    </row>
    <row r="1652" spans="1:9" x14ac:dyDescent="0.2">
      <c r="A1652" s="3" t="str">
        <f>"ENSG00000250337.6"</f>
        <v>ENSG00000250337.6</v>
      </c>
      <c r="B1652" s="3">
        <v>6579.87389049582</v>
      </c>
      <c r="C1652" s="3">
        <v>1.6669382407728499</v>
      </c>
      <c r="D1652" s="3">
        <v>0.190050207834079</v>
      </c>
      <c r="E1652" s="3">
        <v>8.7710413988505191</v>
      </c>
      <c r="F1652" s="4">
        <v>1.7702134121456098E-18</v>
      </c>
      <c r="G1652" s="4">
        <v>5.9842437767656802E-17</v>
      </c>
      <c r="H1652" s="3" t="str">
        <f>"PURPL"</f>
        <v>PURPL</v>
      </c>
      <c r="I1652" s="3" t="str">
        <f>"lincRNA"</f>
        <v>lincRNA</v>
      </c>
    </row>
    <row r="1653" spans="1:9" x14ac:dyDescent="0.2">
      <c r="A1653" s="3" t="str">
        <f>"ENSG00000133401.16"</f>
        <v>ENSG00000133401.16</v>
      </c>
      <c r="B1653" s="3">
        <v>18.1665132155496</v>
      </c>
      <c r="C1653" s="3">
        <v>4.4910248684595802</v>
      </c>
      <c r="D1653" s="3">
        <v>1.1141576346300499</v>
      </c>
      <c r="E1653" s="3">
        <v>4.0308702546842099</v>
      </c>
      <c r="F1653" s="4">
        <v>5.5570714713869303E-5</v>
      </c>
      <c r="G1653" s="3">
        <v>3.3677385760871799E-4</v>
      </c>
      <c r="H1653" s="3" t="str">
        <f>"PDZD2"</f>
        <v>PDZD2</v>
      </c>
      <c r="I1653" s="3" t="str">
        <f>"protein_coding"</f>
        <v>protein_coding</v>
      </c>
    </row>
    <row r="1654" spans="1:9" x14ac:dyDescent="0.2">
      <c r="A1654" s="3" t="str">
        <f>"ENSG00000113389.16"</f>
        <v>ENSG00000113389.16</v>
      </c>
      <c r="B1654" s="3">
        <v>12.3628666364417</v>
      </c>
      <c r="C1654" s="3">
        <v>4.5278888942710402</v>
      </c>
      <c r="D1654" s="3">
        <v>1.36728399866735</v>
      </c>
      <c r="E1654" s="3">
        <v>3.3115935670162302</v>
      </c>
      <c r="F1654" s="3">
        <v>9.27662121053138E-4</v>
      </c>
      <c r="G1654" s="3">
        <v>4.1316345200394502E-3</v>
      </c>
      <c r="H1654" s="3" t="str">
        <f>"NPR3"</f>
        <v>NPR3</v>
      </c>
      <c r="I1654" s="3" t="str">
        <f>"protein_coding"</f>
        <v>protein_coding</v>
      </c>
    </row>
    <row r="1655" spans="1:9" x14ac:dyDescent="0.2">
      <c r="A1655" s="3" t="str">
        <f>"ENSG00000242110.8"</f>
        <v>ENSG00000242110.8</v>
      </c>
      <c r="B1655" s="3">
        <v>95.273523546211194</v>
      </c>
      <c r="C1655" s="3">
        <v>-1.0962027072071101</v>
      </c>
      <c r="D1655" s="3">
        <v>0.41172872969723101</v>
      </c>
      <c r="E1655" s="3">
        <v>-2.66243919391589</v>
      </c>
      <c r="F1655" s="3">
        <v>7.75765843621896E-3</v>
      </c>
      <c r="G1655" s="3">
        <v>2.5711339181566501E-2</v>
      </c>
      <c r="H1655" s="3" t="str">
        <f>"AMACR"</f>
        <v>AMACR</v>
      </c>
      <c r="I1655" s="3" t="str">
        <f>"protein_coding"</f>
        <v>protein_coding</v>
      </c>
    </row>
    <row r="1656" spans="1:9" x14ac:dyDescent="0.2">
      <c r="A1656" s="3" t="str">
        <f>"ENSG00000082196.20"</f>
        <v>ENSG00000082196.20</v>
      </c>
      <c r="B1656" s="3">
        <v>90.144872665243895</v>
      </c>
      <c r="C1656" s="3">
        <v>-1.22395727129142</v>
      </c>
      <c r="D1656" s="3">
        <v>0.39390248331026601</v>
      </c>
      <c r="E1656" s="3">
        <v>-3.1072595963487299</v>
      </c>
      <c r="F1656" s="3">
        <v>1.88830499723869E-3</v>
      </c>
      <c r="G1656" s="3">
        <v>7.6680033616227999E-3</v>
      </c>
      <c r="H1656" s="3" t="str">
        <f>"C1QTNF3"</f>
        <v>C1QTNF3</v>
      </c>
      <c r="I1656" s="3" t="str">
        <f>"protein_coding"</f>
        <v>protein_coding</v>
      </c>
    </row>
    <row r="1657" spans="1:9" x14ac:dyDescent="0.2">
      <c r="A1657" s="3" t="str">
        <f>"ENSG00000215158.9"</f>
        <v>ENSG00000215158.9</v>
      </c>
      <c r="B1657" s="3">
        <v>728.04676197295703</v>
      </c>
      <c r="C1657" s="3">
        <v>-1.1834412969738599</v>
      </c>
      <c r="D1657" s="3">
        <v>0.21569790099706099</v>
      </c>
      <c r="E1657" s="3">
        <v>-5.4865684436585296</v>
      </c>
      <c r="F1657" s="4">
        <v>4.0981668026328202E-8</v>
      </c>
      <c r="G1657" s="4">
        <v>4.45083273513105E-7</v>
      </c>
      <c r="H1657" s="3" t="str">
        <f>"AC138409.2"</f>
        <v>AC138409.2</v>
      </c>
      <c r="I1657" s="3" t="str">
        <f>"transcribed_unprocessed_pseudogene"</f>
        <v>transcribed_unprocessed_pseudogene</v>
      </c>
    </row>
    <row r="1658" spans="1:9" x14ac:dyDescent="0.2">
      <c r="A1658" s="3" t="str">
        <f>"ENSG00000215156.5"</f>
        <v>ENSG00000215156.5</v>
      </c>
      <c r="B1658" s="3">
        <v>14.4223017782582</v>
      </c>
      <c r="C1658" s="3">
        <v>3.7036979999056001</v>
      </c>
      <c r="D1658" s="3">
        <v>1.1007439048985099</v>
      </c>
      <c r="E1658" s="3">
        <v>3.36472269655409</v>
      </c>
      <c r="F1658" s="3">
        <v>7.6620623624069103E-4</v>
      </c>
      <c r="G1658" s="3">
        <v>3.5004730581573002E-3</v>
      </c>
      <c r="H1658" s="3" t="str">
        <f>"AC138409.1"</f>
        <v>AC138409.1</v>
      </c>
      <c r="I1658" s="3" t="str">
        <f>"processed_pseudogene"</f>
        <v>processed_pseudogene</v>
      </c>
    </row>
    <row r="1659" spans="1:9" x14ac:dyDescent="0.2">
      <c r="A1659" s="3" t="str">
        <f>"ENSG00000113494.17"</f>
        <v>ENSG00000113494.17</v>
      </c>
      <c r="B1659" s="3">
        <v>546.40813162983704</v>
      </c>
      <c r="C1659" s="3">
        <v>-1.3054655708582901</v>
      </c>
      <c r="D1659" s="3">
        <v>0.236816546575951</v>
      </c>
      <c r="E1659" s="3">
        <v>-5.5125606286113298</v>
      </c>
      <c r="F1659" s="4">
        <v>3.5365030628487603E-8</v>
      </c>
      <c r="G1659" s="4">
        <v>3.8760699498567997E-7</v>
      </c>
      <c r="H1659" s="3" t="str">
        <f>"PRLR"</f>
        <v>PRLR</v>
      </c>
      <c r="I1659" s="3" t="str">
        <f>"protein_coding"</f>
        <v>protein_coding</v>
      </c>
    </row>
    <row r="1660" spans="1:9" x14ac:dyDescent="0.2">
      <c r="A1660" s="3" t="str">
        <f>"ENSG00000164187.7"</f>
        <v>ENSG00000164187.7</v>
      </c>
      <c r="B1660" s="3">
        <v>465.50500086193102</v>
      </c>
      <c r="C1660" s="3">
        <v>1.0844847376365401</v>
      </c>
      <c r="D1660" s="3">
        <v>0.23765721607818799</v>
      </c>
      <c r="E1660" s="3">
        <v>4.5632308394951</v>
      </c>
      <c r="F1660" s="4">
        <v>5.0372376958759996E-6</v>
      </c>
      <c r="G1660" s="4">
        <v>3.8008755330804101E-5</v>
      </c>
      <c r="H1660" s="3" t="str">
        <f>"LMBRD2"</f>
        <v>LMBRD2</v>
      </c>
      <c r="I1660" s="3" t="str">
        <f>"protein_coding"</f>
        <v>protein_coding</v>
      </c>
    </row>
    <row r="1661" spans="1:9" x14ac:dyDescent="0.2">
      <c r="A1661" s="3" t="str">
        <f>"ENSG00000145604.15"</f>
        <v>ENSG00000145604.15</v>
      </c>
      <c r="B1661" s="3">
        <v>1739.6741652652299</v>
      </c>
      <c r="C1661" s="3">
        <v>-3.1049889892195202</v>
      </c>
      <c r="D1661" s="3">
        <v>0.20058122129140099</v>
      </c>
      <c r="E1661" s="3">
        <v>-15.4799585386343</v>
      </c>
      <c r="F1661" s="4">
        <v>4.7377808522611802E-54</v>
      </c>
      <c r="G1661" s="4">
        <v>1.11284754208242E-51</v>
      </c>
      <c r="H1661" s="3" t="str">
        <f>"SKP2"</f>
        <v>SKP2</v>
      </c>
      <c r="I1661" s="3" t="str">
        <f>"protein_coding"</f>
        <v>protein_coding</v>
      </c>
    </row>
    <row r="1662" spans="1:9" x14ac:dyDescent="0.2">
      <c r="A1662" s="3" t="str">
        <f>"ENSG00000248587.7"</f>
        <v>ENSG00000248587.7</v>
      </c>
      <c r="B1662" s="3">
        <v>26.853890932256</v>
      </c>
      <c r="C1662" s="3">
        <v>2.8078530209836101</v>
      </c>
      <c r="D1662" s="3">
        <v>0.73150782888195898</v>
      </c>
      <c r="E1662" s="3">
        <v>3.8384456189281702</v>
      </c>
      <c r="F1662" s="3">
        <v>1.2381562829051401E-4</v>
      </c>
      <c r="G1662" s="3">
        <v>6.9415728889540005E-4</v>
      </c>
      <c r="H1662" s="3" t="str">
        <f>"GDNF-AS1"</f>
        <v>GDNF-AS1</v>
      </c>
      <c r="I1662" s="3" t="str">
        <f>"antisense"</f>
        <v>antisense</v>
      </c>
    </row>
    <row r="1663" spans="1:9" x14ac:dyDescent="0.2">
      <c r="A1663" s="3" t="str">
        <f>"ENSG00000168621.15"</f>
        <v>ENSG00000168621.15</v>
      </c>
      <c r="B1663" s="3">
        <v>3211.7349345341299</v>
      </c>
      <c r="C1663" s="3">
        <v>3.1761946018072398</v>
      </c>
      <c r="D1663" s="3">
        <v>0.18879528393686601</v>
      </c>
      <c r="E1663" s="3">
        <v>16.823484864533899</v>
      </c>
      <c r="F1663" s="4">
        <v>1.6420897570581401E-63</v>
      </c>
      <c r="G1663" s="4">
        <v>5.4563438549467202E-61</v>
      </c>
      <c r="H1663" s="3" t="str">
        <f>"GDNF"</f>
        <v>GDNF</v>
      </c>
      <c r="I1663" s="3" t="str">
        <f>"protein_coding"</f>
        <v>protein_coding</v>
      </c>
    </row>
    <row r="1664" spans="1:9" x14ac:dyDescent="0.2">
      <c r="A1664" s="3" t="str">
        <f>"ENSG00000164318.18"</f>
        <v>ENSG00000164318.18</v>
      </c>
      <c r="B1664" s="3">
        <v>10.3457245490877</v>
      </c>
      <c r="C1664" s="3">
        <v>4.26143253551533</v>
      </c>
      <c r="D1664" s="3">
        <v>1.42709628226083</v>
      </c>
      <c r="E1664" s="3">
        <v>2.9860862147046698</v>
      </c>
      <c r="F1664" s="3">
        <v>2.82572965206122E-3</v>
      </c>
      <c r="G1664" s="3">
        <v>1.0862395009835201E-2</v>
      </c>
      <c r="H1664" s="3" t="str">
        <f>"EGFLAM"</f>
        <v>EGFLAM</v>
      </c>
      <c r="I1664" s="3" t="str">
        <f>"protein_coding"</f>
        <v>protein_coding</v>
      </c>
    </row>
    <row r="1665" spans="1:9" x14ac:dyDescent="0.2">
      <c r="A1665" s="3" t="str">
        <f>"ENSG00000251257.2"</f>
        <v>ENSG00000251257.2</v>
      </c>
      <c r="B1665" s="3">
        <v>16.227734388502402</v>
      </c>
      <c r="C1665" s="3">
        <v>3.8790846278054301</v>
      </c>
      <c r="D1665" s="3">
        <v>1.0562984281465599</v>
      </c>
      <c r="E1665" s="3">
        <v>3.6723377829993402</v>
      </c>
      <c r="F1665" s="3">
        <v>2.40341712933621E-4</v>
      </c>
      <c r="G1665" s="3">
        <v>1.2514995393583801E-3</v>
      </c>
      <c r="H1665" s="3" t="str">
        <f>"AC010457.1"</f>
        <v>AC010457.1</v>
      </c>
      <c r="I1665" s="3" t="str">
        <f>"antisense"</f>
        <v>antisense</v>
      </c>
    </row>
    <row r="1666" spans="1:9" x14ac:dyDescent="0.2">
      <c r="A1666" s="3" t="str">
        <f>"ENSG00000145623.13"</f>
        <v>ENSG00000145623.13</v>
      </c>
      <c r="B1666" s="3">
        <v>5039.38540877989</v>
      </c>
      <c r="C1666" s="3">
        <v>1.2553038202628199</v>
      </c>
      <c r="D1666" s="3">
        <v>0.198698495722892</v>
      </c>
      <c r="E1666" s="3">
        <v>6.3176312215945902</v>
      </c>
      <c r="F1666" s="4">
        <v>2.6560289024354203E-10</v>
      </c>
      <c r="G1666" s="4">
        <v>3.8720609686815303E-9</v>
      </c>
      <c r="H1666" s="3" t="str">
        <f>"OSMR"</f>
        <v>OSMR</v>
      </c>
      <c r="I1666" s="3" t="str">
        <f t="shared" ref="I1666:I1673" si="80">"protein_coding"</f>
        <v>protein_coding</v>
      </c>
    </row>
    <row r="1667" spans="1:9" x14ac:dyDescent="0.2">
      <c r="A1667" s="3" t="str">
        <f>"ENSG00000082074.17"</f>
        <v>ENSG00000082074.17</v>
      </c>
      <c r="B1667" s="3">
        <v>19.778813301410999</v>
      </c>
      <c r="C1667" s="3">
        <v>7.70010863145637</v>
      </c>
      <c r="D1667" s="3">
        <v>1.62229930251313</v>
      </c>
      <c r="E1667" s="3">
        <v>4.7464167798925798</v>
      </c>
      <c r="F1667" s="4">
        <v>2.0705185548911101E-6</v>
      </c>
      <c r="G1667" s="4">
        <v>1.67853076659083E-5</v>
      </c>
      <c r="H1667" s="3" t="str">
        <f>"FYB1"</f>
        <v>FYB1</v>
      </c>
      <c r="I1667" s="3" t="str">
        <f t="shared" si="80"/>
        <v>protein_coding</v>
      </c>
    </row>
    <row r="1668" spans="1:9" x14ac:dyDescent="0.2">
      <c r="A1668" s="3" t="str">
        <f>"ENSG00000182836.10"</f>
        <v>ENSG00000182836.10</v>
      </c>
      <c r="B1668" s="3">
        <v>8.1863000349546802</v>
      </c>
      <c r="C1668" s="3">
        <v>6.4313884884880004</v>
      </c>
      <c r="D1668" s="3">
        <v>1.8294373850624901</v>
      </c>
      <c r="E1668" s="3">
        <v>3.515500744109</v>
      </c>
      <c r="F1668" s="3">
        <v>4.38925529835306E-4</v>
      </c>
      <c r="G1668" s="3">
        <v>2.1356078413254601E-3</v>
      </c>
      <c r="H1668" s="3" t="str">
        <f>"PLCXD3"</f>
        <v>PLCXD3</v>
      </c>
      <c r="I1668" s="3" t="str">
        <f t="shared" si="80"/>
        <v>protein_coding</v>
      </c>
    </row>
    <row r="1669" spans="1:9" x14ac:dyDescent="0.2">
      <c r="A1669" s="3" t="str">
        <f>"ENSG00000112964.14"</f>
        <v>ENSG00000112964.14</v>
      </c>
      <c r="B1669" s="3">
        <v>12.8428548399955</v>
      </c>
      <c r="C1669" s="3">
        <v>3.9626399697162098</v>
      </c>
      <c r="D1669" s="3">
        <v>1.21147858238224</v>
      </c>
      <c r="E1669" s="3">
        <v>3.2709121129687002</v>
      </c>
      <c r="F1669" s="3">
        <v>1.0720122032354101E-3</v>
      </c>
      <c r="G1669" s="3">
        <v>4.6831996956157203E-3</v>
      </c>
      <c r="H1669" s="3" t="str">
        <f>"GHR"</f>
        <v>GHR</v>
      </c>
      <c r="I1669" s="3" t="str">
        <f t="shared" si="80"/>
        <v>protein_coding</v>
      </c>
    </row>
    <row r="1670" spans="1:9" x14ac:dyDescent="0.2">
      <c r="A1670" s="3" t="str">
        <f>"ENSG00000112972.15"</f>
        <v>ENSG00000112972.15</v>
      </c>
      <c r="B1670" s="3">
        <v>3443.6708160384601</v>
      </c>
      <c r="C1670" s="3">
        <v>-1.97001986157692</v>
      </c>
      <c r="D1670" s="3">
        <v>0.191970757537029</v>
      </c>
      <c r="E1670" s="3">
        <v>-10.262083073756299</v>
      </c>
      <c r="F1670" s="4">
        <v>1.04429321306092E-24</v>
      </c>
      <c r="G1670" s="4">
        <v>5.6907714352541997E-23</v>
      </c>
      <c r="H1670" s="3" t="str">
        <f>"HMGCS1"</f>
        <v>HMGCS1</v>
      </c>
      <c r="I1670" s="3" t="str">
        <f t="shared" si="80"/>
        <v>protein_coding</v>
      </c>
    </row>
    <row r="1671" spans="1:9" x14ac:dyDescent="0.2">
      <c r="A1671" s="3" t="str">
        <f>"ENSG00000170571.12"</f>
        <v>ENSG00000170571.12</v>
      </c>
      <c r="B1671" s="3">
        <v>10.2396802271154</v>
      </c>
      <c r="C1671" s="3">
        <v>6.7518941120968901</v>
      </c>
      <c r="D1671" s="3">
        <v>1.75613794611751</v>
      </c>
      <c r="E1671" s="3">
        <v>3.8447401737568798</v>
      </c>
      <c r="F1671" s="3">
        <v>1.20680238206546E-4</v>
      </c>
      <c r="G1671" s="3">
        <v>6.7867377717518496E-4</v>
      </c>
      <c r="H1671" s="3" t="str">
        <f>"EMB"</f>
        <v>EMB</v>
      </c>
      <c r="I1671" s="3" t="str">
        <f t="shared" si="80"/>
        <v>protein_coding</v>
      </c>
    </row>
    <row r="1672" spans="1:9" x14ac:dyDescent="0.2">
      <c r="A1672" s="3" t="str">
        <f>"ENSG00000151883.18"</f>
        <v>ENSG00000151883.18</v>
      </c>
      <c r="B1672" s="3">
        <v>14.2047919882753</v>
      </c>
      <c r="C1672" s="3">
        <v>2.7767942831082602</v>
      </c>
      <c r="D1672" s="3">
        <v>1.00333336729447</v>
      </c>
      <c r="E1672" s="3">
        <v>2.76756895925429</v>
      </c>
      <c r="F1672" s="3">
        <v>5.6476095997862897E-3</v>
      </c>
      <c r="G1672" s="3">
        <v>1.9697954271041599E-2</v>
      </c>
      <c r="H1672" s="3" t="str">
        <f>"PARP8"</f>
        <v>PARP8</v>
      </c>
      <c r="I1672" s="3" t="str">
        <f t="shared" si="80"/>
        <v>protein_coding</v>
      </c>
    </row>
    <row r="1673" spans="1:9" x14ac:dyDescent="0.2">
      <c r="A1673" s="3" t="str">
        <f>"ENSG00000213949.9"</f>
        <v>ENSG00000213949.9</v>
      </c>
      <c r="B1673" s="3">
        <v>1042.6296735951601</v>
      </c>
      <c r="C1673" s="3">
        <v>-1.4750844024810901</v>
      </c>
      <c r="D1673" s="3">
        <v>0.20900559490228901</v>
      </c>
      <c r="E1673" s="3">
        <v>-7.0576311757142101</v>
      </c>
      <c r="F1673" s="4">
        <v>1.6936486300067001E-12</v>
      </c>
      <c r="G1673" s="4">
        <v>3.2705063233021001E-11</v>
      </c>
      <c r="H1673" s="3" t="str">
        <f>"ITGA1"</f>
        <v>ITGA1</v>
      </c>
      <c r="I1673" s="3" t="str">
        <f t="shared" si="80"/>
        <v>protein_coding</v>
      </c>
    </row>
    <row r="1674" spans="1:9" x14ac:dyDescent="0.2">
      <c r="A1674" s="3" t="str">
        <f>"ENSG00000286048.1"</f>
        <v>ENSG00000286048.1</v>
      </c>
      <c r="B1674" s="3">
        <v>55.851906781334698</v>
      </c>
      <c r="C1674" s="3">
        <v>7.7500424452168604</v>
      </c>
      <c r="D1674" s="3">
        <v>1.5085452453635999</v>
      </c>
      <c r="E1674" s="3">
        <v>5.1374279087988999</v>
      </c>
      <c r="F1674" s="4">
        <v>2.7852425999257801E-7</v>
      </c>
      <c r="G1674" s="4">
        <v>2.6177821704097201E-6</v>
      </c>
      <c r="H1674" s="3" t="str">
        <f>"AC008966.3"</f>
        <v>AC008966.3</v>
      </c>
      <c r="I1674" s="3" t="str">
        <f>"antisense"</f>
        <v>antisense</v>
      </c>
    </row>
    <row r="1675" spans="1:9" x14ac:dyDescent="0.2">
      <c r="A1675" s="3" t="str">
        <f>"ENSG00000247796.2"</f>
        <v>ENSG00000247796.2</v>
      </c>
      <c r="B1675" s="3">
        <v>133.94277223798801</v>
      </c>
      <c r="C1675" s="3">
        <v>1.8499589858699601</v>
      </c>
      <c r="D1675" s="3">
        <v>0.35285293141101998</v>
      </c>
      <c r="E1675" s="3">
        <v>5.2428613203585401</v>
      </c>
      <c r="F1675" s="4">
        <v>1.5810537283237599E-7</v>
      </c>
      <c r="G1675" s="4">
        <v>1.5540754305785501E-6</v>
      </c>
      <c r="H1675" s="3" t="str">
        <f>"AC008966.1"</f>
        <v>AC008966.1</v>
      </c>
      <c r="I1675" s="3" t="str">
        <f>"antisense"</f>
        <v>antisense</v>
      </c>
    </row>
    <row r="1676" spans="1:9" x14ac:dyDescent="0.2">
      <c r="A1676" s="3" t="str">
        <f>"ENSG00000164287.12"</f>
        <v>ENSG00000164287.12</v>
      </c>
      <c r="B1676" s="3">
        <v>8.2587762445681605</v>
      </c>
      <c r="C1676" s="3">
        <v>6.4429411301088502</v>
      </c>
      <c r="D1676" s="3">
        <v>1.8226190975501899</v>
      </c>
      <c r="E1676" s="3">
        <v>3.5349904644195398</v>
      </c>
      <c r="F1676" s="3">
        <v>4.0778987390595399E-4</v>
      </c>
      <c r="G1676" s="3">
        <v>2.00307385871922E-3</v>
      </c>
      <c r="H1676" s="3" t="str">
        <f>"CDC20B"</f>
        <v>CDC20B</v>
      </c>
      <c r="I1676" s="3" t="str">
        <f>"protein_coding"</f>
        <v>protein_coding</v>
      </c>
    </row>
    <row r="1677" spans="1:9" x14ac:dyDescent="0.2">
      <c r="A1677" s="3" t="str">
        <f>"ENSG00000152670.18"</f>
        <v>ENSG00000152670.18</v>
      </c>
      <c r="B1677" s="3">
        <v>16.704673432773301</v>
      </c>
      <c r="C1677" s="3">
        <v>4.3572706633853402</v>
      </c>
      <c r="D1677" s="3">
        <v>1.1416385589748199</v>
      </c>
      <c r="E1677" s="3">
        <v>3.8166814086045999</v>
      </c>
      <c r="F1677" s="3">
        <v>1.3525863736585299E-4</v>
      </c>
      <c r="G1677" s="3">
        <v>7.5212083516477501E-4</v>
      </c>
      <c r="H1677" s="3" t="str">
        <f>"DDX4"</f>
        <v>DDX4</v>
      </c>
      <c r="I1677" s="3" t="str">
        <f>"protein_coding"</f>
        <v>protein_coding</v>
      </c>
    </row>
    <row r="1678" spans="1:9" x14ac:dyDescent="0.2">
      <c r="A1678" s="3" t="str">
        <f>"ENSG00000134352.20"</f>
        <v>ENSG00000134352.20</v>
      </c>
      <c r="B1678" s="3">
        <v>9938.44484225206</v>
      </c>
      <c r="C1678" s="3">
        <v>-1.1213330275695701</v>
      </c>
      <c r="D1678" s="3">
        <v>0.186064781317102</v>
      </c>
      <c r="E1678" s="3">
        <v>-6.02657321623124</v>
      </c>
      <c r="F1678" s="4">
        <v>1.67472463926275E-9</v>
      </c>
      <c r="G1678" s="4">
        <v>2.2044068717870601E-8</v>
      </c>
      <c r="H1678" s="3" t="str">
        <f>"IL6ST"</f>
        <v>IL6ST</v>
      </c>
      <c r="I1678" s="3" t="str">
        <f>"protein_coding"</f>
        <v>protein_coding</v>
      </c>
    </row>
    <row r="1679" spans="1:9" x14ac:dyDescent="0.2">
      <c r="A1679" s="3" t="str">
        <f>"ENSG00000237705.1"</f>
        <v>ENSG00000237705.1</v>
      </c>
      <c r="B1679" s="3">
        <v>11.534816948602399</v>
      </c>
      <c r="C1679" s="3">
        <v>4.4061340373131301</v>
      </c>
      <c r="D1679" s="3">
        <v>1.3878914401835001</v>
      </c>
      <c r="E1679" s="3">
        <v>3.1746964566123301</v>
      </c>
      <c r="F1679" s="3">
        <v>1.4999331720994399E-3</v>
      </c>
      <c r="G1679" s="3">
        <v>6.2836222540272602E-3</v>
      </c>
      <c r="H1679" s="3" t="str">
        <f>"AC008937.2"</f>
        <v>AC008937.2</v>
      </c>
      <c r="I1679" s="3" t="str">
        <f>"antisense"</f>
        <v>antisense</v>
      </c>
    </row>
    <row r="1680" spans="1:9" x14ac:dyDescent="0.2">
      <c r="A1680" s="3" t="str">
        <f>"ENSG00000145632.15"</f>
        <v>ENSG00000145632.15</v>
      </c>
      <c r="B1680" s="3">
        <v>1815.57423899127</v>
      </c>
      <c r="C1680" s="3">
        <v>2.1622582549114702</v>
      </c>
      <c r="D1680" s="3">
        <v>0.18513356976415199</v>
      </c>
      <c r="E1680" s="3">
        <v>11.6794499110347</v>
      </c>
      <c r="F1680" s="4">
        <v>1.62342709778219E-31</v>
      </c>
      <c r="G1680" s="4">
        <v>1.4042386708975001E-29</v>
      </c>
      <c r="H1680" s="3" t="str">
        <f>"PLK2"</f>
        <v>PLK2</v>
      </c>
      <c r="I1680" s="3" t="str">
        <f>"protein_coding"</f>
        <v>protein_coding</v>
      </c>
    </row>
    <row r="1681" spans="1:9" x14ac:dyDescent="0.2">
      <c r="A1681" s="3" t="str">
        <f>"ENSG00000035499.13"</f>
        <v>ENSG00000035499.13</v>
      </c>
      <c r="B1681" s="3">
        <v>1472.29249649191</v>
      </c>
      <c r="C1681" s="3">
        <v>-1.14553917838167</v>
      </c>
      <c r="D1681" s="3">
        <v>0.19363746607958299</v>
      </c>
      <c r="E1681" s="3">
        <v>-5.9158963478217998</v>
      </c>
      <c r="F1681" s="4">
        <v>3.3007303666271101E-9</v>
      </c>
      <c r="G1681" s="4">
        <v>4.1927739067360801E-8</v>
      </c>
      <c r="H1681" s="3" t="str">
        <f>"DEPDC1B"</f>
        <v>DEPDC1B</v>
      </c>
      <c r="I1681" s="3" t="str">
        <f>"protein_coding"</f>
        <v>protein_coding</v>
      </c>
    </row>
    <row r="1682" spans="1:9" x14ac:dyDescent="0.2">
      <c r="A1682" s="3" t="str">
        <f>"ENSG00000130449.6"</f>
        <v>ENSG00000130449.6</v>
      </c>
      <c r="B1682" s="3">
        <v>462.65589254925402</v>
      </c>
      <c r="C1682" s="3">
        <v>1.2301931959872501</v>
      </c>
      <c r="D1682" s="3">
        <v>0.23806995893642199</v>
      </c>
      <c r="E1682" s="3">
        <v>5.1673600545114304</v>
      </c>
      <c r="F1682" s="4">
        <v>2.3742361523118301E-7</v>
      </c>
      <c r="G1682" s="4">
        <v>2.2642916500539201E-6</v>
      </c>
      <c r="H1682" s="3" t="str">
        <f>"ZSWIM6"</f>
        <v>ZSWIM6</v>
      </c>
      <c r="I1682" s="3" t="str">
        <f>"protein_coding"</f>
        <v>protein_coding</v>
      </c>
    </row>
    <row r="1683" spans="1:9" x14ac:dyDescent="0.2">
      <c r="A1683" s="3" t="str">
        <f>"ENSG00000251682.1"</f>
        <v>ENSG00000251682.1</v>
      </c>
      <c r="B1683" s="3">
        <v>62.258981049682603</v>
      </c>
      <c r="C1683" s="3">
        <v>2.11966027863697</v>
      </c>
      <c r="D1683" s="3">
        <v>0.47900480312437699</v>
      </c>
      <c r="E1683" s="3">
        <v>4.4251336621494897</v>
      </c>
      <c r="F1683" s="4">
        <v>9.6382587742567902E-6</v>
      </c>
      <c r="G1683" s="4">
        <v>6.8783037407588998E-5</v>
      </c>
      <c r="H1683" s="3" t="str">
        <f>"AC122718.2"</f>
        <v>AC122718.2</v>
      </c>
      <c r="I1683" s="3" t="str">
        <f>"processed_pseudogene"</f>
        <v>processed_pseudogene</v>
      </c>
    </row>
    <row r="1684" spans="1:9" x14ac:dyDescent="0.2">
      <c r="A1684" s="3" t="str">
        <f>"ENSG00000250461.1"</f>
        <v>ENSG00000250461.1</v>
      </c>
      <c r="B1684" s="3">
        <v>115.356424757656</v>
      </c>
      <c r="C1684" s="3">
        <v>1.6660510527655901</v>
      </c>
      <c r="D1684" s="3">
        <v>0.37203880341754297</v>
      </c>
      <c r="E1684" s="3">
        <v>4.4781647437344301</v>
      </c>
      <c r="F1684" s="4">
        <v>7.5287492054049098E-6</v>
      </c>
      <c r="G1684" s="4">
        <v>5.4761299946521003E-5</v>
      </c>
      <c r="H1684" s="3" t="str">
        <f>"AC122718.1"</f>
        <v>AC122718.1</v>
      </c>
      <c r="I1684" s="3" t="str">
        <f>"processed_pseudogene"</f>
        <v>processed_pseudogene</v>
      </c>
    </row>
    <row r="1685" spans="1:9" x14ac:dyDescent="0.2">
      <c r="A1685" s="3" t="str">
        <f>"ENSG00000178722.12"</f>
        <v>ENSG00000178722.12</v>
      </c>
      <c r="B1685" s="3">
        <v>4.8797837467545202</v>
      </c>
      <c r="C1685" s="3">
        <v>5.6795021195980304</v>
      </c>
      <c r="D1685" s="3">
        <v>2.05906026095156</v>
      </c>
      <c r="E1685" s="3">
        <v>2.7582981553795598</v>
      </c>
      <c r="F1685" s="3">
        <v>5.8103175464449099E-3</v>
      </c>
      <c r="G1685" s="3">
        <v>2.0167353144966201E-2</v>
      </c>
      <c r="H1685" s="3" t="str">
        <f>"C5orf64"</f>
        <v>C5orf64</v>
      </c>
      <c r="I1685" s="3" t="str">
        <f>"processed_transcript"</f>
        <v>processed_transcript</v>
      </c>
    </row>
    <row r="1686" spans="1:9" x14ac:dyDescent="0.2">
      <c r="A1686" s="3" t="str">
        <f>"ENSG00000113597.18"</f>
        <v>ENSG00000113597.18</v>
      </c>
      <c r="B1686" s="3">
        <v>418.03171388063402</v>
      </c>
      <c r="C1686" s="3">
        <v>1.27298823050225</v>
      </c>
      <c r="D1686" s="3">
        <v>0.24171715186599199</v>
      </c>
      <c r="E1686" s="3">
        <v>5.2664373242656604</v>
      </c>
      <c r="F1686" s="4">
        <v>1.3909670497565699E-7</v>
      </c>
      <c r="G1686" s="4">
        <v>1.3786714879853501E-6</v>
      </c>
      <c r="H1686" s="3" t="str">
        <f>"TRAPPC13"</f>
        <v>TRAPPC13</v>
      </c>
      <c r="I1686" s="3" t="str">
        <f>"protein_coding"</f>
        <v>protein_coding</v>
      </c>
    </row>
    <row r="1687" spans="1:9" x14ac:dyDescent="0.2">
      <c r="A1687" s="3" t="str">
        <f>"ENSG00000123213.23"</f>
        <v>ENSG00000123213.23</v>
      </c>
      <c r="B1687" s="3">
        <v>1703.8810441349401</v>
      </c>
      <c r="C1687" s="3">
        <v>-1.2414971043193801</v>
      </c>
      <c r="D1687" s="3">
        <v>0.194195832818989</v>
      </c>
      <c r="E1687" s="3">
        <v>-6.3930161955462204</v>
      </c>
      <c r="F1687" s="4">
        <v>1.6264502682856199E-10</v>
      </c>
      <c r="G1687" s="4">
        <v>2.4551739867023999E-9</v>
      </c>
      <c r="H1687" s="3" t="str">
        <f>"NLN"</f>
        <v>NLN</v>
      </c>
      <c r="I1687" s="3" t="str">
        <f>"protein_coding"</f>
        <v>protein_coding</v>
      </c>
    </row>
    <row r="1688" spans="1:9" x14ac:dyDescent="0.2">
      <c r="A1688" s="3" t="str">
        <f>"ENSG00000069020.18"</f>
        <v>ENSG00000069020.18</v>
      </c>
      <c r="B1688" s="3">
        <v>3633.1399703000602</v>
      </c>
      <c r="C1688" s="3">
        <v>2.83113307522546</v>
      </c>
      <c r="D1688" s="3">
        <v>0.17841617276275401</v>
      </c>
      <c r="E1688" s="3">
        <v>15.868141499650401</v>
      </c>
      <c r="F1688" s="4">
        <v>1.0531338618456901E-56</v>
      </c>
      <c r="G1688" s="4">
        <v>2.7591094551643802E-54</v>
      </c>
      <c r="H1688" s="3" t="str">
        <f>"MAST4"</f>
        <v>MAST4</v>
      </c>
      <c r="I1688" s="3" t="str">
        <f>"protein_coding"</f>
        <v>protein_coding</v>
      </c>
    </row>
    <row r="1689" spans="1:9" x14ac:dyDescent="0.2">
      <c r="A1689" s="3" t="str">
        <f>"ENSG00000248803.1"</f>
        <v>ENSG00000248803.1</v>
      </c>
      <c r="B1689" s="3">
        <v>46.789756120219899</v>
      </c>
      <c r="C1689" s="3">
        <v>6.4840548537423697</v>
      </c>
      <c r="D1689" s="3">
        <v>1.1372670904323701</v>
      </c>
      <c r="E1689" s="3">
        <v>5.7014354044811597</v>
      </c>
      <c r="F1689" s="4">
        <v>1.1880275461482401E-8</v>
      </c>
      <c r="G1689" s="4">
        <v>1.3976764486140301E-7</v>
      </c>
      <c r="H1689" s="3" t="str">
        <f>"AC092349.1"</f>
        <v>AC092349.1</v>
      </c>
      <c r="I1689" s="3" t="str">
        <f>"processed_pseudogene"</f>
        <v>processed_pseudogene</v>
      </c>
    </row>
    <row r="1690" spans="1:9" x14ac:dyDescent="0.2">
      <c r="A1690" s="3" t="str">
        <f>"ENSG00000249057.1"</f>
        <v>ENSG00000249057.1</v>
      </c>
      <c r="B1690" s="3">
        <v>50.636794821238297</v>
      </c>
      <c r="C1690" s="3">
        <v>9.0562068059102003</v>
      </c>
      <c r="D1690" s="3">
        <v>1.5292362369250401</v>
      </c>
      <c r="E1690" s="3">
        <v>5.9220456507885704</v>
      </c>
      <c r="F1690" s="4">
        <v>3.17961324816764E-9</v>
      </c>
      <c r="G1690" s="4">
        <v>4.0464699753771098E-8</v>
      </c>
      <c r="H1690" s="3" t="str">
        <f>"MAST4-IT1"</f>
        <v>MAST4-IT1</v>
      </c>
      <c r="I1690" s="3" t="str">
        <f>"sense_intronic"</f>
        <v>sense_intronic</v>
      </c>
    </row>
    <row r="1691" spans="1:9" x14ac:dyDescent="0.2">
      <c r="A1691" s="3" t="str">
        <f>"ENSG00000213830.3"</f>
        <v>ENSG00000213830.3</v>
      </c>
      <c r="B1691" s="3">
        <v>35.758247381810897</v>
      </c>
      <c r="C1691" s="3">
        <v>1.4533817044328901</v>
      </c>
      <c r="D1691" s="3">
        <v>0.60249339734250196</v>
      </c>
      <c r="E1691" s="3">
        <v>2.41227822718642</v>
      </c>
      <c r="F1691" s="3">
        <v>1.5853178699971202E-2</v>
      </c>
      <c r="G1691" s="3">
        <v>4.66290853781509E-2</v>
      </c>
      <c r="H1691" s="3" t="str">
        <f>"CFL1P5"</f>
        <v>CFL1P5</v>
      </c>
      <c r="I1691" s="3" t="str">
        <f>"processed_pseudogene"</f>
        <v>processed_pseudogene</v>
      </c>
    </row>
    <row r="1692" spans="1:9" x14ac:dyDescent="0.2">
      <c r="A1692" s="3" t="str">
        <f>"ENSG00000152939.16"</f>
        <v>ENSG00000152939.16</v>
      </c>
      <c r="B1692" s="3">
        <v>2348.3512102551699</v>
      </c>
      <c r="C1692" s="3">
        <v>1.86503375705656</v>
      </c>
      <c r="D1692" s="3">
        <v>0.18008437766572599</v>
      </c>
      <c r="E1692" s="3">
        <v>10.3564439138549</v>
      </c>
      <c r="F1692" s="4">
        <v>3.9123813106870998E-25</v>
      </c>
      <c r="G1692" s="4">
        <v>2.2024928424027101E-23</v>
      </c>
      <c r="H1692" s="3" t="str">
        <f>"MARVELD2"</f>
        <v>MARVELD2</v>
      </c>
      <c r="I1692" s="3" t="str">
        <f>"protein_coding"</f>
        <v>protein_coding</v>
      </c>
    </row>
    <row r="1693" spans="1:9" x14ac:dyDescent="0.2">
      <c r="A1693" s="3" t="str">
        <f>"ENSG00000253366.3"</f>
        <v>ENSG00000253366.3</v>
      </c>
      <c r="B1693" s="3">
        <v>50.657927373482302</v>
      </c>
      <c r="C1693" s="3">
        <v>-1.6648463099589901</v>
      </c>
      <c r="D1693" s="3">
        <v>0.57951674891365201</v>
      </c>
      <c r="E1693" s="3">
        <v>-2.8728182801961699</v>
      </c>
      <c r="F1693" s="3">
        <v>4.0682805090310002E-3</v>
      </c>
      <c r="G1693" s="3">
        <v>1.48610321798589E-2</v>
      </c>
      <c r="H1693" s="3" t="str">
        <f>"AC139272.1"</f>
        <v>AC139272.1</v>
      </c>
      <c r="I1693" s="3" t="str">
        <f>"unprocessed_pseudogene"</f>
        <v>unprocessed_pseudogene</v>
      </c>
    </row>
    <row r="1694" spans="1:9" x14ac:dyDescent="0.2">
      <c r="A1694" s="3" t="str">
        <f>"ENSG00000172062.16"</f>
        <v>ENSG00000172062.16</v>
      </c>
      <c r="B1694" s="3">
        <v>1178.1959902794299</v>
      </c>
      <c r="C1694" s="3">
        <v>1.0660416721938299</v>
      </c>
      <c r="D1694" s="3">
        <v>0.22212299399334701</v>
      </c>
      <c r="E1694" s="3">
        <v>4.7993305556909798</v>
      </c>
      <c r="F1694" s="4">
        <v>1.5919685722921199E-6</v>
      </c>
      <c r="G1694" s="4">
        <v>1.31682962019561E-5</v>
      </c>
      <c r="H1694" s="3" t="str">
        <f>"SMN1"</f>
        <v>SMN1</v>
      </c>
      <c r="I1694" s="3" t="str">
        <f>"protein_coding"</f>
        <v>protein_coding</v>
      </c>
    </row>
    <row r="1695" spans="1:9" x14ac:dyDescent="0.2">
      <c r="A1695" s="3" t="str">
        <f>"ENSG00000215630.6"</f>
        <v>ENSG00000215630.6</v>
      </c>
      <c r="B1695" s="3">
        <v>229.43749966210399</v>
      </c>
      <c r="C1695" s="3">
        <v>-1.0683928866597101</v>
      </c>
      <c r="D1695" s="3">
        <v>0.28247806017718202</v>
      </c>
      <c r="E1695" s="3">
        <v>-3.7822154612275698</v>
      </c>
      <c r="F1695" s="3">
        <v>1.55438726131409E-4</v>
      </c>
      <c r="G1695" s="3">
        <v>8.5181797483960297E-4</v>
      </c>
      <c r="H1695" s="3" t="str">
        <f>"GUSBP9"</f>
        <v>GUSBP9</v>
      </c>
      <c r="I1695" s="3" t="str">
        <f>"unprocessed_pseudogene"</f>
        <v>unprocessed_pseudogene</v>
      </c>
    </row>
    <row r="1696" spans="1:9" x14ac:dyDescent="0.2">
      <c r="A1696" s="3" t="str">
        <f>"ENSG00000271926.1"</f>
        <v>ENSG00000271926.1</v>
      </c>
      <c r="B1696" s="3">
        <v>18.423229108479699</v>
      </c>
      <c r="C1696" s="3">
        <v>3.7301626554983298</v>
      </c>
      <c r="D1696" s="3">
        <v>0.98389169469612103</v>
      </c>
      <c r="E1696" s="3">
        <v>3.79123299404454</v>
      </c>
      <c r="F1696" s="3">
        <v>1.4990124511959999E-4</v>
      </c>
      <c r="G1696" s="3">
        <v>8.2462330421436498E-4</v>
      </c>
      <c r="H1696" s="3" t="str">
        <f>"AC008972.1"</f>
        <v>AC008972.1</v>
      </c>
      <c r="I1696" s="3" t="str">
        <f>"lincRNA"</f>
        <v>lincRNA</v>
      </c>
    </row>
    <row r="1697" spans="1:9" x14ac:dyDescent="0.2">
      <c r="A1697" s="3" t="str">
        <f>"ENSG00000272081.1"</f>
        <v>ENSG00000272081.1</v>
      </c>
      <c r="B1697" s="3">
        <v>44.9156708019785</v>
      </c>
      <c r="C1697" s="3">
        <v>2.0446746188206499</v>
      </c>
      <c r="D1697" s="3">
        <v>0.542742834709948</v>
      </c>
      <c r="E1697" s="3">
        <v>3.7672991480640401</v>
      </c>
      <c r="F1697" s="3">
        <v>1.65023213093782E-4</v>
      </c>
      <c r="G1697" s="3">
        <v>8.9837911831494198E-4</v>
      </c>
      <c r="H1697" s="3" t="str">
        <f>"AC008972.2"</f>
        <v>AC008972.2</v>
      </c>
      <c r="I1697" s="3" t="str">
        <f>"lincRNA"</f>
        <v>lincRNA</v>
      </c>
    </row>
    <row r="1698" spans="1:9" x14ac:dyDescent="0.2">
      <c r="A1698" s="3" t="str">
        <f>"ENSG00000157107.14"</f>
        <v>ENSG00000157107.14</v>
      </c>
      <c r="B1698" s="3">
        <v>1520.1870120410299</v>
      </c>
      <c r="C1698" s="3">
        <v>1.3537966320286099</v>
      </c>
      <c r="D1698" s="3">
        <v>0.19921137777706799</v>
      </c>
      <c r="E1698" s="3">
        <v>6.79577967451036</v>
      </c>
      <c r="F1698" s="4">
        <v>1.0772830986341E-11</v>
      </c>
      <c r="G1698" s="4">
        <v>1.90108371687067E-10</v>
      </c>
      <c r="H1698" s="3" t="str">
        <f>"FCHO2"</f>
        <v>FCHO2</v>
      </c>
      <c r="I1698" s="3" t="str">
        <f>"protein_coding"</f>
        <v>protein_coding</v>
      </c>
    </row>
    <row r="1699" spans="1:9" x14ac:dyDescent="0.2">
      <c r="A1699" s="3" t="str">
        <f>"ENSG00000251493.5"</f>
        <v>ENSG00000251493.5</v>
      </c>
      <c r="B1699" s="3">
        <v>10.4445868528848</v>
      </c>
      <c r="C1699" s="3">
        <v>2.8182191479334699</v>
      </c>
      <c r="D1699" s="3">
        <v>1.1723764493395401</v>
      </c>
      <c r="E1699" s="3">
        <v>2.4038517231569401</v>
      </c>
      <c r="F1699" s="3">
        <v>1.6223352135919401E-2</v>
      </c>
      <c r="G1699" s="3">
        <v>4.7520713357062601E-2</v>
      </c>
      <c r="H1699" s="3" t="str">
        <f>"FOXD1"</f>
        <v>FOXD1</v>
      </c>
      <c r="I1699" s="3" t="str">
        <f>"protein_coding"</f>
        <v>protein_coding</v>
      </c>
    </row>
    <row r="1700" spans="1:9" x14ac:dyDescent="0.2">
      <c r="A1700" s="3" t="str">
        <f>"ENSG00000164331.10"</f>
        <v>ENSG00000164331.10</v>
      </c>
      <c r="B1700" s="3">
        <v>2278.5771720930902</v>
      </c>
      <c r="C1700" s="3">
        <v>3.4056757448169601</v>
      </c>
      <c r="D1700" s="3">
        <v>0.205184756374581</v>
      </c>
      <c r="E1700" s="3">
        <v>16.5980933720029</v>
      </c>
      <c r="F1700" s="4">
        <v>7.1939999959750099E-62</v>
      </c>
      <c r="G1700" s="4">
        <v>2.3060578575333101E-59</v>
      </c>
      <c r="H1700" s="3" t="str">
        <f>"ANKRA2"</f>
        <v>ANKRA2</v>
      </c>
      <c r="I1700" s="3" t="str">
        <f>"protein_coding"</f>
        <v>protein_coding</v>
      </c>
    </row>
    <row r="1701" spans="1:9" x14ac:dyDescent="0.2">
      <c r="A1701" s="3" t="str">
        <f>"ENSG00000271714.1"</f>
        <v>ENSG00000271714.1</v>
      </c>
      <c r="B1701" s="3">
        <v>119.836743374615</v>
      </c>
      <c r="C1701" s="3">
        <v>3.2498349873876902</v>
      </c>
      <c r="D1701" s="3">
        <v>0.41282254774500898</v>
      </c>
      <c r="E1701" s="3">
        <v>7.8722322827071904</v>
      </c>
      <c r="F1701" s="4">
        <v>3.4836857833059598E-15</v>
      </c>
      <c r="G1701" s="4">
        <v>8.8297661895569802E-14</v>
      </c>
      <c r="H1701" s="3" t="str">
        <f>"AC010501.1"</f>
        <v>AC010501.1</v>
      </c>
      <c r="I1701" s="3" t="str">
        <f>"antisense"</f>
        <v>antisense</v>
      </c>
    </row>
    <row r="1702" spans="1:9" x14ac:dyDescent="0.2">
      <c r="A1702" s="3" t="str">
        <f>"ENSG00000145700.9"</f>
        <v>ENSG00000145700.9</v>
      </c>
      <c r="B1702" s="3">
        <v>34.049446546921999</v>
      </c>
      <c r="C1702" s="3">
        <v>3.1882524695140702</v>
      </c>
      <c r="D1702" s="3">
        <v>0.68738806945606501</v>
      </c>
      <c r="E1702" s="3">
        <v>4.63821327599846</v>
      </c>
      <c r="F1702" s="4">
        <v>3.51434039912633E-6</v>
      </c>
      <c r="G1702" s="4">
        <v>2.73352077804725E-5</v>
      </c>
      <c r="H1702" s="3" t="str">
        <f>"ANKRD31"</f>
        <v>ANKRD31</v>
      </c>
      <c r="I1702" s="3" t="str">
        <f t="shared" ref="I1702:I1708" si="81">"protein_coding"</f>
        <v>protein_coding</v>
      </c>
    </row>
    <row r="1703" spans="1:9" x14ac:dyDescent="0.2">
      <c r="A1703" s="3" t="str">
        <f>"ENSG00000113161.16"</f>
        <v>ENSG00000113161.16</v>
      </c>
      <c r="B1703" s="3">
        <v>4061.81916819449</v>
      </c>
      <c r="C1703" s="3">
        <v>-1.4836553249843301</v>
      </c>
      <c r="D1703" s="3">
        <v>0.19020939806256101</v>
      </c>
      <c r="E1703" s="3">
        <v>-7.8001157676569903</v>
      </c>
      <c r="F1703" s="4">
        <v>6.1850408811068104E-15</v>
      </c>
      <c r="G1703" s="4">
        <v>1.5155018784848699E-13</v>
      </c>
      <c r="H1703" s="3" t="str">
        <f>"HMGCR"</f>
        <v>HMGCR</v>
      </c>
      <c r="I1703" s="3" t="str">
        <f t="shared" si="81"/>
        <v>protein_coding</v>
      </c>
    </row>
    <row r="1704" spans="1:9" x14ac:dyDescent="0.2">
      <c r="A1704" s="3" t="str">
        <f>"ENSG00000152359.14"</f>
        <v>ENSG00000152359.14</v>
      </c>
      <c r="B1704" s="3">
        <v>629.51187511125397</v>
      </c>
      <c r="C1704" s="3">
        <v>1.53000248405904</v>
      </c>
      <c r="D1704" s="3">
        <v>0.222928279199402</v>
      </c>
      <c r="E1704" s="3">
        <v>6.8632050162218396</v>
      </c>
      <c r="F1704" s="4">
        <v>6.7332483392140302E-12</v>
      </c>
      <c r="G1704" s="4">
        <v>1.20539301904445E-10</v>
      </c>
      <c r="H1704" s="3" t="str">
        <f>"POC5"</f>
        <v>POC5</v>
      </c>
      <c r="I1704" s="3" t="str">
        <f t="shared" si="81"/>
        <v>protein_coding</v>
      </c>
    </row>
    <row r="1705" spans="1:9" x14ac:dyDescent="0.2">
      <c r="A1705" s="3" t="str">
        <f>"ENSG00000122012.14"</f>
        <v>ENSG00000122012.14</v>
      </c>
      <c r="B1705" s="3">
        <v>20.733027187877902</v>
      </c>
      <c r="C1705" s="3">
        <v>7.7681502675285499</v>
      </c>
      <c r="D1705" s="3">
        <v>1.6147318701484801</v>
      </c>
      <c r="E1705" s="3">
        <v>4.8107988769765502</v>
      </c>
      <c r="F1705" s="4">
        <v>1.5032822789636901E-6</v>
      </c>
      <c r="G1705" s="4">
        <v>1.2491592636451201E-5</v>
      </c>
      <c r="H1705" s="3" t="str">
        <f>"SV2C"</f>
        <v>SV2C</v>
      </c>
      <c r="I1705" s="3" t="str">
        <f t="shared" si="81"/>
        <v>protein_coding</v>
      </c>
    </row>
    <row r="1706" spans="1:9" x14ac:dyDescent="0.2">
      <c r="A1706" s="3" t="str">
        <f>"ENSG00000164220.7"</f>
        <v>ENSG00000164220.7</v>
      </c>
      <c r="B1706" s="3">
        <v>5.5048488995878104</v>
      </c>
      <c r="C1706" s="3">
        <v>5.8558213573745297</v>
      </c>
      <c r="D1706" s="3">
        <v>1.98540828848636</v>
      </c>
      <c r="E1706" s="3">
        <v>2.9494292893472802</v>
      </c>
      <c r="F1706" s="3">
        <v>3.1836141583888402E-3</v>
      </c>
      <c r="G1706" s="3">
        <v>1.20544656717094E-2</v>
      </c>
      <c r="H1706" s="3" t="str">
        <f>"F2RL2"</f>
        <v>F2RL2</v>
      </c>
      <c r="I1706" s="3" t="str">
        <f t="shared" si="81"/>
        <v>protein_coding</v>
      </c>
    </row>
    <row r="1707" spans="1:9" x14ac:dyDescent="0.2">
      <c r="A1707" s="3" t="str">
        <f>"ENSG00000171643.14"</f>
        <v>ENSG00000171643.14</v>
      </c>
      <c r="B1707" s="3">
        <v>8.9172416107978201</v>
      </c>
      <c r="C1707" s="3">
        <v>5.0726990358738204</v>
      </c>
      <c r="D1707" s="3">
        <v>1.7817893321702201</v>
      </c>
      <c r="E1707" s="3">
        <v>2.8469690239391401</v>
      </c>
      <c r="F1707" s="3">
        <v>4.4137656932049501E-3</v>
      </c>
      <c r="G1707" s="3">
        <v>1.5938620293552901E-2</v>
      </c>
      <c r="H1707" s="3" t="str">
        <f>"S100Z"</f>
        <v>S100Z</v>
      </c>
      <c r="I1707" s="3" t="str">
        <f t="shared" si="81"/>
        <v>protein_coding</v>
      </c>
    </row>
    <row r="1708" spans="1:9" x14ac:dyDescent="0.2">
      <c r="A1708" s="3" t="str">
        <f>"ENSG00000132846.6"</f>
        <v>ENSG00000132846.6</v>
      </c>
      <c r="B1708" s="3">
        <v>747.66549751393097</v>
      </c>
      <c r="C1708" s="3">
        <v>-1.9095552986222699</v>
      </c>
      <c r="D1708" s="3">
        <v>0.208622201596951</v>
      </c>
      <c r="E1708" s="3">
        <v>-9.1531739383684805</v>
      </c>
      <c r="F1708" s="4">
        <v>5.5284866083893395E-20</v>
      </c>
      <c r="G1708" s="4">
        <v>2.1276083985704001E-18</v>
      </c>
      <c r="H1708" s="3" t="str">
        <f>"ZBED3"</f>
        <v>ZBED3</v>
      </c>
      <c r="I1708" s="3" t="str">
        <f t="shared" si="81"/>
        <v>protein_coding</v>
      </c>
    </row>
    <row r="1709" spans="1:9" x14ac:dyDescent="0.2">
      <c r="A1709" s="3" t="str">
        <f>"ENSG00000238961.1"</f>
        <v>ENSG00000238961.1</v>
      </c>
      <c r="B1709" s="3">
        <v>23.5762308002308</v>
      </c>
      <c r="C1709" s="3">
        <v>-2.4084612228935001</v>
      </c>
      <c r="D1709" s="3">
        <v>0.75145477477963696</v>
      </c>
      <c r="E1709" s="3">
        <v>-3.2050647673371699</v>
      </c>
      <c r="F1709" s="3">
        <v>1.3503209209560401E-3</v>
      </c>
      <c r="G1709" s="3">
        <v>5.7407074634559796E-3</v>
      </c>
      <c r="H1709" s="3" t="str">
        <f>"SNORA47"</f>
        <v>SNORA47</v>
      </c>
      <c r="I1709" s="3" t="str">
        <f>"snoRNA"</f>
        <v>snoRNA</v>
      </c>
    </row>
    <row r="1710" spans="1:9" x14ac:dyDescent="0.2">
      <c r="A1710" s="3" t="str">
        <f>"ENSG00000244019.1"</f>
        <v>ENSG00000244019.1</v>
      </c>
      <c r="B1710" s="3">
        <v>6.6794972052680102</v>
      </c>
      <c r="C1710" s="3">
        <v>6.1352958256241097</v>
      </c>
      <c r="D1710" s="3">
        <v>1.90077386166819</v>
      </c>
      <c r="E1710" s="3">
        <v>3.2277884020561798</v>
      </c>
      <c r="F1710" s="3">
        <v>1.24751216202795E-3</v>
      </c>
      <c r="G1710" s="3">
        <v>5.3520648525863098E-3</v>
      </c>
      <c r="H1710" s="3" t="str">
        <f>"RPS2P24"</f>
        <v>RPS2P24</v>
      </c>
      <c r="I1710" s="3" t="str">
        <f>"processed_pseudogene"</f>
        <v>processed_pseudogene</v>
      </c>
    </row>
    <row r="1711" spans="1:9" x14ac:dyDescent="0.2">
      <c r="A1711" s="3" t="str">
        <f>"ENSG00000171540.7"</f>
        <v>ENSG00000171540.7</v>
      </c>
      <c r="B1711" s="3">
        <v>134.76104441017799</v>
      </c>
      <c r="C1711" s="3">
        <v>7.4333788874152704</v>
      </c>
      <c r="D1711" s="3">
        <v>0.89349299170443197</v>
      </c>
      <c r="E1711" s="3">
        <v>8.3194596448208404</v>
      </c>
      <c r="F1711" s="4">
        <v>8.8365235463473705E-17</v>
      </c>
      <c r="G1711" s="4">
        <v>2.6057224790836201E-15</v>
      </c>
      <c r="H1711" s="3" t="str">
        <f>"OTP"</f>
        <v>OTP</v>
      </c>
      <c r="I1711" s="3" t="str">
        <f>"protein_coding"</f>
        <v>protein_coding</v>
      </c>
    </row>
    <row r="1712" spans="1:9" x14ac:dyDescent="0.2">
      <c r="A1712" s="3" t="str">
        <f>"ENSG00000213763.4"</f>
        <v>ENSG00000213763.4</v>
      </c>
      <c r="B1712" s="3">
        <v>23.074398536458201</v>
      </c>
      <c r="C1712" s="3">
        <v>-2.0713597423776999</v>
      </c>
      <c r="D1712" s="3">
        <v>0.76172800177683897</v>
      </c>
      <c r="E1712" s="3">
        <v>-2.7192905309322501</v>
      </c>
      <c r="F1712" s="3">
        <v>6.5422117104815504E-3</v>
      </c>
      <c r="G1712" s="3">
        <v>2.2267680163991499E-2</v>
      </c>
      <c r="H1712" s="3" t="str">
        <f>"ACTBP2"</f>
        <v>ACTBP2</v>
      </c>
      <c r="I1712" s="3" t="str">
        <f>"processed_pseudogene"</f>
        <v>processed_pseudogene</v>
      </c>
    </row>
    <row r="1713" spans="1:9" x14ac:dyDescent="0.2">
      <c r="A1713" s="3" t="str">
        <f>"ENSG00000145685.14"</f>
        <v>ENSG00000145685.14</v>
      </c>
      <c r="B1713" s="3">
        <v>1912.046669526</v>
      </c>
      <c r="C1713" s="3">
        <v>-1.2038564306336501</v>
      </c>
      <c r="D1713" s="3">
        <v>0.182586280720936</v>
      </c>
      <c r="E1713" s="3">
        <v>-6.5933564443082302</v>
      </c>
      <c r="F1713" s="4">
        <v>4.2999252678120503E-11</v>
      </c>
      <c r="G1713" s="4">
        <v>7.03241679304171E-10</v>
      </c>
      <c r="H1713" s="3" t="str">
        <f>"LHFPL2"</f>
        <v>LHFPL2</v>
      </c>
      <c r="I1713" s="3" t="str">
        <f>"protein_coding"</f>
        <v>protein_coding</v>
      </c>
    </row>
    <row r="1714" spans="1:9" x14ac:dyDescent="0.2">
      <c r="A1714" s="3" t="str">
        <f>"ENSG00000113273.17"</f>
        <v>ENSG00000113273.17</v>
      </c>
      <c r="B1714" s="3">
        <v>3380.89161150788</v>
      </c>
      <c r="C1714" s="3">
        <v>-1.65640823260534</v>
      </c>
      <c r="D1714" s="3">
        <v>0.18745252154824399</v>
      </c>
      <c r="E1714" s="3">
        <v>-8.8364147834577693</v>
      </c>
      <c r="F1714" s="4">
        <v>9.8839312459234396E-19</v>
      </c>
      <c r="G1714" s="4">
        <v>3.4132759779173102E-17</v>
      </c>
      <c r="H1714" s="3" t="str">
        <f>"ARSB"</f>
        <v>ARSB</v>
      </c>
      <c r="I1714" s="3" t="str">
        <f>"protein_coding"</f>
        <v>protein_coding</v>
      </c>
    </row>
    <row r="1715" spans="1:9" x14ac:dyDescent="0.2">
      <c r="A1715" s="3" t="str">
        <f>"ENSG00000152413.14"</f>
        <v>ENSG00000152413.14</v>
      </c>
      <c r="B1715" s="3">
        <v>835.10191282987796</v>
      </c>
      <c r="C1715" s="3">
        <v>-1.02638979252263</v>
      </c>
      <c r="D1715" s="3">
        <v>0.215087567628367</v>
      </c>
      <c r="E1715" s="3">
        <v>-4.7719624329754504</v>
      </c>
      <c r="F1715" s="4">
        <v>1.8243953831875599E-6</v>
      </c>
      <c r="G1715" s="4">
        <v>1.4905337632897E-5</v>
      </c>
      <c r="H1715" s="3" t="str">
        <f>"HOMER1"</f>
        <v>HOMER1</v>
      </c>
      <c r="I1715" s="3" t="str">
        <f>"protein_coding"</f>
        <v>protein_coding</v>
      </c>
    </row>
    <row r="1716" spans="1:9" x14ac:dyDescent="0.2">
      <c r="A1716" s="3" t="str">
        <f>"ENSG00000113296.14"</f>
        <v>ENSG00000113296.14</v>
      </c>
      <c r="B1716" s="3">
        <v>26.4354932773293</v>
      </c>
      <c r="C1716" s="3">
        <v>1.71671615937469</v>
      </c>
      <c r="D1716" s="3">
        <v>0.70148967246120697</v>
      </c>
      <c r="E1716" s="3">
        <v>2.4472436683943202</v>
      </c>
      <c r="F1716" s="3">
        <v>1.4395348061130801E-2</v>
      </c>
      <c r="G1716" s="3">
        <v>4.3078533621266499E-2</v>
      </c>
      <c r="H1716" s="3" t="str">
        <f>"THBS4"</f>
        <v>THBS4</v>
      </c>
      <c r="I1716" s="3" t="str">
        <f>"protein_coding"</f>
        <v>protein_coding</v>
      </c>
    </row>
    <row r="1717" spans="1:9" x14ac:dyDescent="0.2">
      <c r="A1717" s="3" t="str">
        <f>"ENSG00000249042.5"</f>
        <v>ENSG00000249042.5</v>
      </c>
      <c r="B1717" s="3">
        <v>117.513163242343</v>
      </c>
      <c r="C1717" s="3">
        <v>-1.0148046905566499</v>
      </c>
      <c r="D1717" s="3">
        <v>0.350316148287665</v>
      </c>
      <c r="E1717" s="3">
        <v>-2.89682532625738</v>
      </c>
      <c r="F1717" s="3">
        <v>3.76959574819621E-3</v>
      </c>
      <c r="G1717" s="3">
        <v>1.39457128786289E-2</v>
      </c>
      <c r="H1717" s="3" t="str">
        <f>"AC008771.1"</f>
        <v>AC008771.1</v>
      </c>
      <c r="I1717" s="3" t="str">
        <f>"antisense"</f>
        <v>antisense</v>
      </c>
    </row>
    <row r="1718" spans="1:9" x14ac:dyDescent="0.2">
      <c r="A1718" s="3" t="str">
        <f>"ENSG00000251450.1"</f>
        <v>ENSG00000251450.1</v>
      </c>
      <c r="B1718" s="3">
        <v>25.0504671505951</v>
      </c>
      <c r="C1718" s="3">
        <v>1.7644349927415199</v>
      </c>
      <c r="D1718" s="3">
        <v>0.71023380217960097</v>
      </c>
      <c r="E1718" s="3">
        <v>2.4843016304303398</v>
      </c>
      <c r="F1718" s="3">
        <v>1.2980580655551599E-2</v>
      </c>
      <c r="G1718" s="3">
        <v>3.95838702990279E-2</v>
      </c>
      <c r="H1718" s="3" t="str">
        <f>"RASGRF2-AS1"</f>
        <v>RASGRF2-AS1</v>
      </c>
      <c r="I1718" s="3" t="str">
        <f>"antisense"</f>
        <v>antisense</v>
      </c>
    </row>
    <row r="1719" spans="1:9" x14ac:dyDescent="0.2">
      <c r="A1719" s="3" t="str">
        <f>"ENSG00000145687.16"</f>
        <v>ENSG00000145687.16</v>
      </c>
      <c r="B1719" s="3">
        <v>6.5649392090645202</v>
      </c>
      <c r="C1719" s="3">
        <v>4.6110617650707404</v>
      </c>
      <c r="D1719" s="3">
        <v>1.89090208214216</v>
      </c>
      <c r="E1719" s="3">
        <v>2.4385513182401102</v>
      </c>
      <c r="F1719" s="3">
        <v>1.4746264746099099E-2</v>
      </c>
      <c r="G1719" s="3">
        <v>4.3940450080595203E-2</v>
      </c>
      <c r="H1719" s="3" t="str">
        <f>"SSBP2"</f>
        <v>SSBP2</v>
      </c>
      <c r="I1719" s="3" t="str">
        <f>"protein_coding"</f>
        <v>protein_coding</v>
      </c>
    </row>
    <row r="1720" spans="1:9" x14ac:dyDescent="0.2">
      <c r="A1720" s="3" t="str">
        <f>"ENSG00000038427.16"</f>
        <v>ENSG00000038427.16</v>
      </c>
      <c r="B1720" s="3">
        <v>1004.28689477939</v>
      </c>
      <c r="C1720" s="3">
        <v>1.1772701216697099</v>
      </c>
      <c r="D1720" s="3">
        <v>0.20484197883594599</v>
      </c>
      <c r="E1720" s="3">
        <v>5.7472112325792697</v>
      </c>
      <c r="F1720" s="4">
        <v>9.0727360019848098E-9</v>
      </c>
      <c r="G1720" s="4">
        <v>1.08328149801087E-7</v>
      </c>
      <c r="H1720" s="3" t="str">
        <f>"VCAN"</f>
        <v>VCAN</v>
      </c>
      <c r="I1720" s="3" t="str">
        <f>"protein_coding"</f>
        <v>protein_coding</v>
      </c>
    </row>
    <row r="1721" spans="1:9" x14ac:dyDescent="0.2">
      <c r="A1721" s="3" t="str">
        <f>"ENSG00000164176.13"</f>
        <v>ENSG00000164176.13</v>
      </c>
      <c r="B1721" s="3">
        <v>15.339941761993201</v>
      </c>
      <c r="C1721" s="3">
        <v>4.8403122289197702</v>
      </c>
      <c r="D1721" s="3">
        <v>1.31117481739167</v>
      </c>
      <c r="E1721" s="3">
        <v>3.6915841920672601</v>
      </c>
      <c r="F1721" s="3">
        <v>2.22861599383966E-4</v>
      </c>
      <c r="G1721" s="3">
        <v>1.17135609537325E-3</v>
      </c>
      <c r="H1721" s="3" t="str">
        <f>"EDIL3"</f>
        <v>EDIL3</v>
      </c>
      <c r="I1721" s="3" t="str">
        <f>"protein_coding"</f>
        <v>protein_coding</v>
      </c>
    </row>
    <row r="1722" spans="1:9" x14ac:dyDescent="0.2">
      <c r="A1722" s="3" t="str">
        <f>"ENSG00000250320.5"</f>
        <v>ENSG00000250320.5</v>
      </c>
      <c r="B1722" s="3">
        <v>8.1802884542088794</v>
      </c>
      <c r="C1722" s="3">
        <v>6.4233335727555696</v>
      </c>
      <c r="D1722" s="3">
        <v>1.8704630750508899</v>
      </c>
      <c r="E1722" s="3">
        <v>3.43408734362789</v>
      </c>
      <c r="F1722" s="3">
        <v>5.9455258141614595E-4</v>
      </c>
      <c r="G1722" s="3">
        <v>2.7930645148009901E-3</v>
      </c>
      <c r="H1722" s="3" t="str">
        <f>"AC113383.1"</f>
        <v>AC113383.1</v>
      </c>
      <c r="I1722" s="3" t="str">
        <f>"antisense"</f>
        <v>antisense</v>
      </c>
    </row>
    <row r="1723" spans="1:9" x14ac:dyDescent="0.2">
      <c r="A1723" s="3" t="str">
        <f>"ENSG00000113356.12"</f>
        <v>ENSG00000113356.12</v>
      </c>
      <c r="B1723" s="3">
        <v>252.72077653289799</v>
      </c>
      <c r="C1723" s="3">
        <v>-2.2735147979055101</v>
      </c>
      <c r="D1723" s="3">
        <v>0.289818374323005</v>
      </c>
      <c r="E1723" s="3">
        <v>-7.8446192489219504</v>
      </c>
      <c r="F1723" s="4">
        <v>4.34269061422959E-15</v>
      </c>
      <c r="G1723" s="4">
        <v>1.09357940079403E-13</v>
      </c>
      <c r="H1723" s="3" t="str">
        <f>"POLR3G"</f>
        <v>POLR3G</v>
      </c>
      <c r="I1723" s="3" t="str">
        <f>"protein_coding"</f>
        <v>protein_coding</v>
      </c>
    </row>
    <row r="1724" spans="1:9" x14ac:dyDescent="0.2">
      <c r="A1724" s="3" t="str">
        <f>"ENSG00000164199.18"</f>
        <v>ENSG00000164199.18</v>
      </c>
      <c r="B1724" s="3">
        <v>68.311684247306701</v>
      </c>
      <c r="C1724" s="3">
        <v>1.1200471206691001</v>
      </c>
      <c r="D1724" s="3">
        <v>0.464576338840893</v>
      </c>
      <c r="E1724" s="3">
        <v>2.4109000545821901</v>
      </c>
      <c r="F1724" s="3">
        <v>1.59132085318744E-2</v>
      </c>
      <c r="G1724" s="3">
        <v>4.6768114860099401E-2</v>
      </c>
      <c r="H1724" s="3" t="str">
        <f>"ADGRV1"</f>
        <v>ADGRV1</v>
      </c>
      <c r="I1724" s="3" t="str">
        <f>"protein_coding"</f>
        <v>protein_coding</v>
      </c>
    </row>
    <row r="1725" spans="1:9" x14ac:dyDescent="0.2">
      <c r="A1725" s="3" t="str">
        <f>"ENSG00000248323.6"</f>
        <v>ENSG00000248323.6</v>
      </c>
      <c r="B1725" s="3">
        <v>248.56482419079401</v>
      </c>
      <c r="C1725" s="3">
        <v>-1.2784551113612399</v>
      </c>
      <c r="D1725" s="3">
        <v>0.277383415376731</v>
      </c>
      <c r="E1725" s="3">
        <v>-4.6089817937561097</v>
      </c>
      <c r="F1725" s="4">
        <v>4.0464576096289203E-6</v>
      </c>
      <c r="G1725" s="4">
        <v>3.1118778010036498E-5</v>
      </c>
      <c r="H1725" s="3" t="str">
        <f>"LUCAT1"</f>
        <v>LUCAT1</v>
      </c>
      <c r="I1725" s="3" t="str">
        <f>"antisense"</f>
        <v>antisense</v>
      </c>
    </row>
    <row r="1726" spans="1:9" x14ac:dyDescent="0.2">
      <c r="A1726" s="3" t="str">
        <f>"ENSG00000281357.2"</f>
        <v>ENSG00000281357.2</v>
      </c>
      <c r="B1726" s="3">
        <v>152.24477435730401</v>
      </c>
      <c r="C1726" s="3">
        <v>1.6438850999649299</v>
      </c>
      <c r="D1726" s="3">
        <v>0.320882708263862</v>
      </c>
      <c r="E1726" s="3">
        <v>5.12300930411359</v>
      </c>
      <c r="F1726" s="4">
        <v>3.0069750552952798E-7</v>
      </c>
      <c r="G1726" s="4">
        <v>2.8145327836355402E-6</v>
      </c>
      <c r="H1726" s="3" t="str">
        <f>"ARRDC3-AS1"</f>
        <v>ARRDC3-AS1</v>
      </c>
      <c r="I1726" s="3" t="str">
        <f>"lincRNA"</f>
        <v>lincRNA</v>
      </c>
    </row>
    <row r="1727" spans="1:9" x14ac:dyDescent="0.2">
      <c r="A1727" s="3" t="str">
        <f>"ENSG00000249958.1"</f>
        <v>ENSG00000249958.1</v>
      </c>
      <c r="B1727" s="3">
        <v>12.0033668486947</v>
      </c>
      <c r="C1727" s="3">
        <v>3.8633391801628698</v>
      </c>
      <c r="D1727" s="3">
        <v>1.22747059414217</v>
      </c>
      <c r="E1727" s="3">
        <v>3.14739855976983</v>
      </c>
      <c r="F1727" s="3">
        <v>1.6473025315838199E-3</v>
      </c>
      <c r="G1727" s="3">
        <v>6.8254337101679198E-3</v>
      </c>
      <c r="H1727" s="3" t="str">
        <f>"CCT7P2"</f>
        <v>CCT7P2</v>
      </c>
      <c r="I1727" s="3" t="str">
        <f>"processed_pseudogene"</f>
        <v>processed_pseudogene</v>
      </c>
    </row>
    <row r="1728" spans="1:9" x14ac:dyDescent="0.2">
      <c r="A1728" s="3" t="str">
        <f>"ENSG00000237187.8"</f>
        <v>ENSG00000237187.8</v>
      </c>
      <c r="B1728" s="3">
        <v>101.283721810934</v>
      </c>
      <c r="C1728" s="3">
        <v>1.6251754102787801</v>
      </c>
      <c r="D1728" s="3">
        <v>0.37386295689563198</v>
      </c>
      <c r="E1728" s="3">
        <v>4.3469816420792604</v>
      </c>
      <c r="F1728" s="4">
        <v>1.38023766566655E-5</v>
      </c>
      <c r="G1728" s="4">
        <v>9.5088080092077103E-5</v>
      </c>
      <c r="H1728" s="3" t="str">
        <f>"NR2F1-AS1"</f>
        <v>NR2F1-AS1</v>
      </c>
      <c r="I1728" s="3" t="str">
        <f>"antisense"</f>
        <v>antisense</v>
      </c>
    </row>
    <row r="1729" spans="1:9" x14ac:dyDescent="0.2">
      <c r="A1729" s="3" t="str">
        <f>"ENSG00000175745.13"</f>
        <v>ENSG00000175745.13</v>
      </c>
      <c r="B1729" s="3">
        <v>830.75993489686505</v>
      </c>
      <c r="C1729" s="3">
        <v>-1.6122563225144699</v>
      </c>
      <c r="D1729" s="3">
        <v>0.20238887069747299</v>
      </c>
      <c r="E1729" s="3">
        <v>-7.9661313241103899</v>
      </c>
      <c r="F1729" s="4">
        <v>1.6371895678134801E-15</v>
      </c>
      <c r="G1729" s="4">
        <v>4.2892792455974998E-14</v>
      </c>
      <c r="H1729" s="3" t="str">
        <f>"NR2F1"</f>
        <v>NR2F1</v>
      </c>
      <c r="I1729" s="3" t="str">
        <f>"protein_coding"</f>
        <v>protein_coding</v>
      </c>
    </row>
    <row r="1730" spans="1:9" x14ac:dyDescent="0.2">
      <c r="A1730" s="3" t="str">
        <f>"ENSG00000175471.19"</f>
        <v>ENSG00000175471.19</v>
      </c>
      <c r="B1730" s="3">
        <v>13.075274628468</v>
      </c>
      <c r="C1730" s="3">
        <v>2.41279736513959</v>
      </c>
      <c r="D1730" s="3">
        <v>0.99030553309990799</v>
      </c>
      <c r="E1730" s="3">
        <v>2.4364171303647302</v>
      </c>
      <c r="F1730" s="3">
        <v>1.4833567881751599E-2</v>
      </c>
      <c r="G1730" s="3">
        <v>4.4147484879747199E-2</v>
      </c>
      <c r="H1730" s="3" t="str">
        <f>"MCTP1"</f>
        <v>MCTP1</v>
      </c>
      <c r="I1730" s="3" t="str">
        <f>"protein_coding"</f>
        <v>protein_coding</v>
      </c>
    </row>
    <row r="1731" spans="1:9" x14ac:dyDescent="0.2">
      <c r="A1731" s="3" t="str">
        <f>"ENSG00000164292.13"</f>
        <v>ENSG00000164292.13</v>
      </c>
      <c r="B1731" s="3">
        <v>3180.5112433131799</v>
      </c>
      <c r="C1731" s="3">
        <v>1.05946992262305</v>
      </c>
      <c r="D1731" s="3">
        <v>0.18863749458359899</v>
      </c>
      <c r="E1731" s="3">
        <v>5.6164333870195904</v>
      </c>
      <c r="F1731" s="4">
        <v>1.9493935257834601E-8</v>
      </c>
      <c r="G1731" s="4">
        <v>2.2279834478616599E-7</v>
      </c>
      <c r="H1731" s="3" t="str">
        <f>"RHOBTB3"</f>
        <v>RHOBTB3</v>
      </c>
      <c r="I1731" s="3" t="str">
        <f>"protein_coding"</f>
        <v>protein_coding</v>
      </c>
    </row>
    <row r="1732" spans="1:9" x14ac:dyDescent="0.2">
      <c r="A1732" s="3" t="str">
        <f>"ENSG00000173221.14"</f>
        <v>ENSG00000173221.14</v>
      </c>
      <c r="B1732" s="3">
        <v>1883.4856951013201</v>
      </c>
      <c r="C1732" s="3">
        <v>1.3910579022681799</v>
      </c>
      <c r="D1732" s="3">
        <v>0.18278992245098399</v>
      </c>
      <c r="E1732" s="3">
        <v>7.6101454807564899</v>
      </c>
      <c r="F1732" s="4">
        <v>2.7378756659264399E-14</v>
      </c>
      <c r="G1732" s="4">
        <v>6.37052931421842E-13</v>
      </c>
      <c r="H1732" s="3" t="str">
        <f>"GLRX"</f>
        <v>GLRX</v>
      </c>
      <c r="I1732" s="3" t="str">
        <f>"protein_coding"</f>
        <v>protein_coding</v>
      </c>
    </row>
    <row r="1733" spans="1:9" x14ac:dyDescent="0.2">
      <c r="A1733" s="3" t="str">
        <f>"ENSG00000251348.1"</f>
        <v>ENSG00000251348.1</v>
      </c>
      <c r="B1733" s="3">
        <v>115.034246774325</v>
      </c>
      <c r="C1733" s="3">
        <v>1.73444821342296</v>
      </c>
      <c r="D1733" s="3">
        <v>0.36950241698970099</v>
      </c>
      <c r="E1733" s="3">
        <v>4.6940104683301698</v>
      </c>
      <c r="F1733" s="4">
        <v>2.6790031474851298E-6</v>
      </c>
      <c r="G1733" s="4">
        <v>2.1225588473255999E-5</v>
      </c>
      <c r="H1733" s="3" t="str">
        <f>"HSPD1P11"</f>
        <v>HSPD1P11</v>
      </c>
      <c r="I1733" s="3" t="str">
        <f>"processed_pseudogene"</f>
        <v>processed_pseudogene</v>
      </c>
    </row>
    <row r="1734" spans="1:9" x14ac:dyDescent="0.2">
      <c r="A1734" s="3" t="str">
        <f>"ENSG00000251513.2"</f>
        <v>ENSG00000251513.2</v>
      </c>
      <c r="B1734" s="3">
        <v>41.073301593664603</v>
      </c>
      <c r="C1734" s="3">
        <v>2.5781744445027601</v>
      </c>
      <c r="D1734" s="3">
        <v>0.651574961268371</v>
      </c>
      <c r="E1734" s="3">
        <v>3.9568347431338098</v>
      </c>
      <c r="F1734" s="4">
        <v>7.59494336533752E-5</v>
      </c>
      <c r="G1734" s="3">
        <v>4.47243185380055E-4</v>
      </c>
      <c r="H1734" s="3" t="str">
        <f>"LIX1-AS1"</f>
        <v>LIX1-AS1</v>
      </c>
      <c r="I1734" s="3" t="str">
        <f>"lincRNA"</f>
        <v>lincRNA</v>
      </c>
    </row>
    <row r="1735" spans="1:9" x14ac:dyDescent="0.2">
      <c r="A1735" s="3" t="str">
        <f>"ENSG00000279232.2"</f>
        <v>ENSG00000279232.2</v>
      </c>
      <c r="B1735" s="3">
        <v>26.386045564938101</v>
      </c>
      <c r="C1735" s="3">
        <v>5.0482456167358603</v>
      </c>
      <c r="D1735" s="3">
        <v>1.0434644755665701</v>
      </c>
      <c r="E1735" s="3">
        <v>4.8379659633307899</v>
      </c>
      <c r="F1735" s="4">
        <v>1.31174597055001E-6</v>
      </c>
      <c r="G1735" s="4">
        <v>1.1021012167615201E-5</v>
      </c>
      <c r="H1735" s="3" t="str">
        <f>"AC008522.1"</f>
        <v>AC008522.1</v>
      </c>
      <c r="I1735" s="3" t="str">
        <f>"antisense"</f>
        <v>antisense</v>
      </c>
    </row>
    <row r="1736" spans="1:9" x14ac:dyDescent="0.2">
      <c r="A1736" s="3" t="str">
        <f>"ENSG00000173930.9"</f>
        <v>ENSG00000173930.9</v>
      </c>
      <c r="B1736" s="3">
        <v>30.730378872147501</v>
      </c>
      <c r="C1736" s="3">
        <v>-2.4461143152936402</v>
      </c>
      <c r="D1736" s="3">
        <v>0.68847650743566802</v>
      </c>
      <c r="E1736" s="3">
        <v>-3.5529379563066699</v>
      </c>
      <c r="F1736" s="3">
        <v>3.8095430298177099E-4</v>
      </c>
      <c r="G1736" s="3">
        <v>1.8869045434183401E-3</v>
      </c>
      <c r="H1736" s="3" t="str">
        <f>"SLCO4C1"</f>
        <v>SLCO4C1</v>
      </c>
      <c r="I1736" s="3" t="str">
        <f t="shared" ref="I1736:I1742" si="82">"protein_coding"</f>
        <v>protein_coding</v>
      </c>
    </row>
    <row r="1737" spans="1:9" x14ac:dyDescent="0.2">
      <c r="A1737" s="3" t="str">
        <f>"ENSG00000181751.10"</f>
        <v>ENSG00000181751.10</v>
      </c>
      <c r="B1737" s="3">
        <v>144.01746172853501</v>
      </c>
      <c r="C1737" s="3">
        <v>-2.3079210595763202</v>
      </c>
      <c r="D1737" s="3">
        <v>0.34699502229039803</v>
      </c>
      <c r="E1737" s="3">
        <v>-6.6511647468096404</v>
      </c>
      <c r="F1737" s="4">
        <v>2.90782568413739E-11</v>
      </c>
      <c r="G1737" s="4">
        <v>4.8786654196854302E-10</v>
      </c>
      <c r="H1737" s="3" t="str">
        <f>"C5orf30"</f>
        <v>C5orf30</v>
      </c>
      <c r="I1737" s="3" t="str">
        <f t="shared" si="82"/>
        <v>protein_coding</v>
      </c>
    </row>
    <row r="1738" spans="1:9" x14ac:dyDescent="0.2">
      <c r="A1738" s="3" t="str">
        <f>"ENSG00000145743.15"</f>
        <v>ENSG00000145743.15</v>
      </c>
      <c r="B1738" s="3">
        <v>336.77573537964901</v>
      </c>
      <c r="C1738" s="3">
        <v>-1.2069488019536001</v>
      </c>
      <c r="D1738" s="3">
        <v>0.25250792985694698</v>
      </c>
      <c r="E1738" s="3">
        <v>-4.7798451424371704</v>
      </c>
      <c r="F1738" s="4">
        <v>1.75430266858155E-6</v>
      </c>
      <c r="G1738" s="4">
        <v>1.43803911843435E-5</v>
      </c>
      <c r="H1738" s="3" t="str">
        <f>"FBXL17"</f>
        <v>FBXL17</v>
      </c>
      <c r="I1738" s="3" t="str">
        <f t="shared" si="82"/>
        <v>protein_coding</v>
      </c>
    </row>
    <row r="1739" spans="1:9" x14ac:dyDescent="0.2">
      <c r="A1739" s="3" t="str">
        <f>"ENSG00000112893.9"</f>
        <v>ENSG00000112893.9</v>
      </c>
      <c r="B1739" s="3">
        <v>4474.57628919543</v>
      </c>
      <c r="C1739" s="3">
        <v>-1.12561043196527</v>
      </c>
      <c r="D1739" s="3">
        <v>0.186761036827154</v>
      </c>
      <c r="E1739" s="3">
        <v>-6.0270089044698301</v>
      </c>
      <c r="F1739" s="4">
        <v>1.6702180474121599E-9</v>
      </c>
      <c r="G1739" s="4">
        <v>2.19953751270368E-8</v>
      </c>
      <c r="H1739" s="3" t="str">
        <f>"MAN2A1"</f>
        <v>MAN2A1</v>
      </c>
      <c r="I1739" s="3" t="str">
        <f t="shared" si="82"/>
        <v>protein_coding</v>
      </c>
    </row>
    <row r="1740" spans="1:9" x14ac:dyDescent="0.2">
      <c r="A1740" s="3" t="str">
        <f>"ENSG00000152495.11"</f>
        <v>ENSG00000152495.11</v>
      </c>
      <c r="B1740" s="3">
        <v>8.8751598242078096</v>
      </c>
      <c r="C1740" s="3">
        <v>4.0257008783214898</v>
      </c>
      <c r="D1740" s="3">
        <v>1.4785356186804</v>
      </c>
      <c r="E1740" s="3">
        <v>2.7227621894658598</v>
      </c>
      <c r="F1740" s="3">
        <v>6.4738640482823098E-3</v>
      </c>
      <c r="G1740" s="3">
        <v>2.2078310037708201E-2</v>
      </c>
      <c r="H1740" s="3" t="str">
        <f>"CAMK4"</f>
        <v>CAMK4</v>
      </c>
      <c r="I1740" s="3" t="str">
        <f t="shared" si="82"/>
        <v>protein_coding</v>
      </c>
    </row>
    <row r="1741" spans="1:9" x14ac:dyDescent="0.2">
      <c r="A1741" s="3" t="str">
        <f>"ENSG00000134986.13"</f>
        <v>ENSG00000134986.13</v>
      </c>
      <c r="B1741" s="3">
        <v>1543.79994877641</v>
      </c>
      <c r="C1741" s="3">
        <v>-1.41955390115552</v>
      </c>
      <c r="D1741" s="3">
        <v>0.185966152912203</v>
      </c>
      <c r="E1741" s="3">
        <v>-7.6333992983428001</v>
      </c>
      <c r="F1741" s="4">
        <v>2.28643315420779E-14</v>
      </c>
      <c r="G1741" s="4">
        <v>5.3521000131185302E-13</v>
      </c>
      <c r="H1741" s="3" t="str">
        <f>"NREP"</f>
        <v>NREP</v>
      </c>
      <c r="I1741" s="3" t="str">
        <f t="shared" si="82"/>
        <v>protein_coding</v>
      </c>
    </row>
    <row r="1742" spans="1:9" x14ac:dyDescent="0.2">
      <c r="A1742" s="3" t="str">
        <f>"ENSG00000129595.13"</f>
        <v>ENSG00000129595.13</v>
      </c>
      <c r="B1742" s="3">
        <v>9.8656118154814205</v>
      </c>
      <c r="C1742" s="3">
        <v>4.1860932979751801</v>
      </c>
      <c r="D1742" s="3">
        <v>1.4424490277623501</v>
      </c>
      <c r="E1742" s="3">
        <v>2.9020736382407999</v>
      </c>
      <c r="F1742" s="3">
        <v>3.7070138997602202E-3</v>
      </c>
      <c r="G1742" s="3">
        <v>1.3742177922009101E-2</v>
      </c>
      <c r="H1742" s="3" t="str">
        <f>"EPB41L4A"</f>
        <v>EPB41L4A</v>
      </c>
      <c r="I1742" s="3" t="str">
        <f t="shared" si="82"/>
        <v>protein_coding</v>
      </c>
    </row>
    <row r="1743" spans="1:9" x14ac:dyDescent="0.2">
      <c r="A1743" s="3" t="str">
        <f>"ENSG00000238363.1"</f>
        <v>ENSG00000238363.1</v>
      </c>
      <c r="B1743" s="3">
        <v>32.564253806414499</v>
      </c>
      <c r="C1743" s="3">
        <v>-1.7872220434777399</v>
      </c>
      <c r="D1743" s="3">
        <v>0.61619941104532705</v>
      </c>
      <c r="E1743" s="3">
        <v>-2.9003955723454502</v>
      </c>
      <c r="F1743" s="3">
        <v>3.7269199866049401E-3</v>
      </c>
      <c r="G1743" s="3">
        <v>1.38093659553468E-2</v>
      </c>
      <c r="H1743" s="3" t="str">
        <f>"SNORA13"</f>
        <v>SNORA13</v>
      </c>
      <c r="I1743" s="3" t="str">
        <f>"snoRNA"</f>
        <v>snoRNA</v>
      </c>
    </row>
    <row r="1744" spans="1:9" x14ac:dyDescent="0.2">
      <c r="A1744" s="3" t="str">
        <f>"ENSG00000212122.3"</f>
        <v>ENSG00000212122.3</v>
      </c>
      <c r="B1744" s="3">
        <v>28.5543629201374</v>
      </c>
      <c r="C1744" s="3">
        <v>4.1272038990658704</v>
      </c>
      <c r="D1744" s="3">
        <v>0.84121026024957501</v>
      </c>
      <c r="E1744" s="3">
        <v>4.9062690912036597</v>
      </c>
      <c r="F1744" s="4">
        <v>9.2825153018760404E-7</v>
      </c>
      <c r="G1744" s="4">
        <v>8.0190454797151704E-6</v>
      </c>
      <c r="H1744" s="3" t="str">
        <f>"TSSK1B"</f>
        <v>TSSK1B</v>
      </c>
      <c r="I1744" s="3" t="str">
        <f>"protein_coding"</f>
        <v>protein_coding</v>
      </c>
    </row>
    <row r="1745" spans="1:9" x14ac:dyDescent="0.2">
      <c r="A1745" s="3" t="str">
        <f>"ENSG00000164221.13"</f>
        <v>ENSG00000164221.13</v>
      </c>
      <c r="B1745" s="3">
        <v>105.807932909304</v>
      </c>
      <c r="C1745" s="3">
        <v>-1.70545296391805</v>
      </c>
      <c r="D1745" s="3">
        <v>0.36794612183817499</v>
      </c>
      <c r="E1745" s="3">
        <v>-4.6350616644578002</v>
      </c>
      <c r="F1745" s="4">
        <v>3.5683109258337099E-6</v>
      </c>
      <c r="G1745" s="4">
        <v>2.7707542831630399E-5</v>
      </c>
      <c r="H1745" s="3" t="str">
        <f>"CCDC112"</f>
        <v>CCDC112</v>
      </c>
      <c r="I1745" s="3" t="str">
        <f>"protein_coding"</f>
        <v>protein_coding</v>
      </c>
    </row>
    <row r="1746" spans="1:9" x14ac:dyDescent="0.2">
      <c r="A1746" s="3" t="str">
        <f>"ENSG00000092421.16"</f>
        <v>ENSG00000092421.16</v>
      </c>
      <c r="B1746" s="3">
        <v>5084.4329176929696</v>
      </c>
      <c r="C1746" s="3">
        <v>-1.2631068799345699</v>
      </c>
      <c r="D1746" s="3">
        <v>0.18219203990421201</v>
      </c>
      <c r="E1746" s="3">
        <v>-6.9328324146250004</v>
      </c>
      <c r="F1746" s="4">
        <v>4.1249677113638099E-12</v>
      </c>
      <c r="G1746" s="4">
        <v>7.5736519697796396E-11</v>
      </c>
      <c r="H1746" s="3" t="str">
        <f>"SEMA6A"</f>
        <v>SEMA6A</v>
      </c>
      <c r="I1746" s="3" t="str">
        <f>"protein_coding"</f>
        <v>protein_coding</v>
      </c>
    </row>
    <row r="1747" spans="1:9" x14ac:dyDescent="0.2">
      <c r="A1747" s="3" t="str">
        <f>"ENSG00000248445.5"</f>
        <v>ENSG00000248445.5</v>
      </c>
      <c r="B1747" s="3">
        <v>63.741915873167002</v>
      </c>
      <c r="C1747" s="3">
        <v>-1.1204682161923201</v>
      </c>
      <c r="D1747" s="3">
        <v>0.44806222918015198</v>
      </c>
      <c r="E1747" s="3">
        <v>-2.5006977674563502</v>
      </c>
      <c r="F1747" s="3">
        <v>1.2394890621256901E-2</v>
      </c>
      <c r="G1747" s="3">
        <v>3.8023371398039497E-2</v>
      </c>
      <c r="H1747" s="3" t="str">
        <f>"SEMA6A-AS1"</f>
        <v>SEMA6A-AS1</v>
      </c>
      <c r="I1747" s="3" t="str">
        <f>"antisense"</f>
        <v>antisense</v>
      </c>
    </row>
    <row r="1748" spans="1:9" x14ac:dyDescent="0.2">
      <c r="A1748" s="3" t="str">
        <f>"ENSG00000250891.1"</f>
        <v>ENSG00000250891.1</v>
      </c>
      <c r="B1748" s="3">
        <v>3.8168555458674298</v>
      </c>
      <c r="C1748" s="3">
        <v>5.3279350919035302</v>
      </c>
      <c r="D1748" s="3">
        <v>2.1809774924298599</v>
      </c>
      <c r="E1748" s="3">
        <v>2.4429115432858599</v>
      </c>
      <c r="F1748" s="3">
        <v>1.4569307781241599E-2</v>
      </c>
      <c r="G1748" s="3">
        <v>4.3474967595607303E-2</v>
      </c>
      <c r="H1748" s="3" t="str">
        <f>"LINC02208"</f>
        <v>LINC02208</v>
      </c>
      <c r="I1748" s="3" t="str">
        <f>"lincRNA"</f>
        <v>lincRNA</v>
      </c>
    </row>
    <row r="1749" spans="1:9" x14ac:dyDescent="0.2">
      <c r="A1749" s="3" t="str">
        <f>"ENSG00000169570.10"</f>
        <v>ENSG00000169570.10</v>
      </c>
      <c r="B1749" s="3">
        <v>212.05322426434299</v>
      </c>
      <c r="C1749" s="3">
        <v>-1.2126710007956101</v>
      </c>
      <c r="D1749" s="3">
        <v>0.280923012854156</v>
      </c>
      <c r="E1749" s="3">
        <v>-4.3167378438490003</v>
      </c>
      <c r="F1749" s="4">
        <v>1.58352039762046E-5</v>
      </c>
      <c r="G1749" s="3">
        <v>1.0767701590707501E-4</v>
      </c>
      <c r="H1749" s="3" t="str">
        <f>"DTWD2"</f>
        <v>DTWD2</v>
      </c>
      <c r="I1749" s="3" t="str">
        <f t="shared" ref="I1749:I1754" si="83">"protein_coding"</f>
        <v>protein_coding</v>
      </c>
    </row>
    <row r="1750" spans="1:9" x14ac:dyDescent="0.2">
      <c r="A1750" s="3" t="str">
        <f>"ENSG00000145779.8"</f>
        <v>ENSG00000145779.8</v>
      </c>
      <c r="B1750" s="3">
        <v>1085.29406679729</v>
      </c>
      <c r="C1750" s="3">
        <v>1.82017572591357</v>
      </c>
      <c r="D1750" s="3">
        <v>0.20368308911837599</v>
      </c>
      <c r="E1750" s="3">
        <v>8.9363124537831506</v>
      </c>
      <c r="F1750" s="4">
        <v>4.0237315751060602E-19</v>
      </c>
      <c r="G1750" s="4">
        <v>1.4256776882563701E-17</v>
      </c>
      <c r="H1750" s="3" t="str">
        <f>"TNFAIP8"</f>
        <v>TNFAIP8</v>
      </c>
      <c r="I1750" s="3" t="str">
        <f t="shared" si="83"/>
        <v>protein_coding</v>
      </c>
    </row>
    <row r="1751" spans="1:9" x14ac:dyDescent="0.2">
      <c r="A1751" s="3" t="str">
        <f>"ENSG00000133835.15"</f>
        <v>ENSG00000133835.15</v>
      </c>
      <c r="B1751" s="3">
        <v>3419.4439997866498</v>
      </c>
      <c r="C1751" s="3">
        <v>-1.1645173964875899</v>
      </c>
      <c r="D1751" s="3">
        <v>0.18311847428087499</v>
      </c>
      <c r="E1751" s="3">
        <v>-6.3593659845669199</v>
      </c>
      <c r="F1751" s="4">
        <v>2.02588192431288E-10</v>
      </c>
      <c r="G1751" s="4">
        <v>3.0048560039059901E-9</v>
      </c>
      <c r="H1751" s="3" t="str">
        <f>"HSD17B4"</f>
        <v>HSD17B4</v>
      </c>
      <c r="I1751" s="3" t="str">
        <f t="shared" si="83"/>
        <v>protein_coding</v>
      </c>
    </row>
    <row r="1752" spans="1:9" x14ac:dyDescent="0.2">
      <c r="A1752" s="3" t="str">
        <f>"ENSG00000113083.14"</f>
        <v>ENSG00000113083.14</v>
      </c>
      <c r="B1752" s="3">
        <v>1654.86390546386</v>
      </c>
      <c r="C1752" s="3">
        <v>-3.3026324280143902</v>
      </c>
      <c r="D1752" s="3">
        <v>0.21554153025957401</v>
      </c>
      <c r="E1752" s="3">
        <v>-15.322487615435699</v>
      </c>
      <c r="F1752" s="4">
        <v>5.4106475652441604E-53</v>
      </c>
      <c r="G1752" s="4">
        <v>1.1985684082130701E-50</v>
      </c>
      <c r="H1752" s="3" t="str">
        <f>"LOX"</f>
        <v>LOX</v>
      </c>
      <c r="I1752" s="3" t="str">
        <f t="shared" si="83"/>
        <v>protein_coding</v>
      </c>
    </row>
    <row r="1753" spans="1:9" x14ac:dyDescent="0.2">
      <c r="A1753" s="3" t="str">
        <f>"ENSG00000064692.19"</f>
        <v>ENSG00000064692.19</v>
      </c>
      <c r="B1753" s="3">
        <v>5.1757001659542397</v>
      </c>
      <c r="C1753" s="3">
        <v>5.7691669903209899</v>
      </c>
      <c r="D1753" s="3">
        <v>2.0146158333858399</v>
      </c>
      <c r="E1753" s="3">
        <v>2.8636561346909999</v>
      </c>
      <c r="F1753" s="3">
        <v>4.1878236407200901E-3</v>
      </c>
      <c r="G1753" s="3">
        <v>1.5236430863760199E-2</v>
      </c>
      <c r="H1753" s="3" t="str">
        <f>"SNCAIP"</f>
        <v>SNCAIP</v>
      </c>
      <c r="I1753" s="3" t="str">
        <f t="shared" si="83"/>
        <v>protein_coding</v>
      </c>
    </row>
    <row r="1754" spans="1:9" x14ac:dyDescent="0.2">
      <c r="A1754" s="3" t="str">
        <f>"ENSG00000205302.7"</f>
        <v>ENSG00000205302.7</v>
      </c>
      <c r="B1754" s="3">
        <v>2034.97117962674</v>
      </c>
      <c r="C1754" s="3">
        <v>1.20301031246533</v>
      </c>
      <c r="D1754" s="3">
        <v>0.201658452912993</v>
      </c>
      <c r="E1754" s="3">
        <v>5.9655833667650704</v>
      </c>
      <c r="F1754" s="4">
        <v>2.4376154977105699E-9</v>
      </c>
      <c r="G1754" s="4">
        <v>3.1373504707661697E-8</v>
      </c>
      <c r="H1754" s="3" t="str">
        <f>"SNX2"</f>
        <v>SNX2</v>
      </c>
      <c r="I1754" s="3" t="str">
        <f t="shared" si="83"/>
        <v>protein_coding</v>
      </c>
    </row>
    <row r="1755" spans="1:9" x14ac:dyDescent="0.2">
      <c r="A1755" s="3" t="str">
        <f>"ENSG00000248752.2"</f>
        <v>ENSG00000248752.2</v>
      </c>
      <c r="B1755" s="3">
        <v>19.748505616207598</v>
      </c>
      <c r="C1755" s="3">
        <v>4.6089179711348303</v>
      </c>
      <c r="D1755" s="3">
        <v>1.1150596816243401</v>
      </c>
      <c r="E1755" s="3">
        <v>4.1333374769867604</v>
      </c>
      <c r="F1755" s="4">
        <v>3.5753314521175598E-5</v>
      </c>
      <c r="G1755" s="3">
        <v>2.2529383921333801E-4</v>
      </c>
      <c r="H1755" s="3" t="str">
        <f>"AC116362.1"</f>
        <v>AC116362.1</v>
      </c>
      <c r="I1755" s="3" t="str">
        <f>"lincRNA"</f>
        <v>lincRNA</v>
      </c>
    </row>
    <row r="1756" spans="1:9" x14ac:dyDescent="0.2">
      <c r="A1756" s="3" t="str">
        <f>"ENSG00000164904.18"</f>
        <v>ENSG00000164904.18</v>
      </c>
      <c r="B1756" s="3">
        <v>9903.3325185113408</v>
      </c>
      <c r="C1756" s="3">
        <v>1.8452899667887299</v>
      </c>
      <c r="D1756" s="3">
        <v>0.172611600183359</v>
      </c>
      <c r="E1756" s="3">
        <v>10.6904168945108</v>
      </c>
      <c r="F1756" s="4">
        <v>1.1286251659952E-26</v>
      </c>
      <c r="G1756" s="4">
        <v>7.03699082331152E-25</v>
      </c>
      <c r="H1756" s="3" t="str">
        <f>"ALDH7A1"</f>
        <v>ALDH7A1</v>
      </c>
      <c r="I1756" s="3" t="str">
        <f t="shared" ref="I1756:I1766" si="84">"protein_coding"</f>
        <v>protein_coding</v>
      </c>
    </row>
    <row r="1757" spans="1:9" x14ac:dyDescent="0.2">
      <c r="A1757" s="3" t="str">
        <f>"ENSG00000164902.14"</f>
        <v>ENSG00000164902.14</v>
      </c>
      <c r="B1757" s="3">
        <v>1549.1230201558501</v>
      </c>
      <c r="C1757" s="3">
        <v>1.10419265901694</v>
      </c>
      <c r="D1757" s="3">
        <v>0.207771843813879</v>
      </c>
      <c r="E1757" s="3">
        <v>5.3144479961686502</v>
      </c>
      <c r="F1757" s="4">
        <v>1.06981127838708E-7</v>
      </c>
      <c r="G1757" s="4">
        <v>1.0816010353325699E-6</v>
      </c>
      <c r="H1757" s="3" t="str">
        <f>"PHAX"</f>
        <v>PHAX</v>
      </c>
      <c r="I1757" s="3" t="str">
        <f t="shared" si="84"/>
        <v>protein_coding</v>
      </c>
    </row>
    <row r="1758" spans="1:9" x14ac:dyDescent="0.2">
      <c r="A1758" s="3" t="str">
        <f>"ENSG00000113368.12"</f>
        <v>ENSG00000113368.12</v>
      </c>
      <c r="B1758" s="3">
        <v>3101.8345899646802</v>
      </c>
      <c r="C1758" s="3">
        <v>-1.7185501899389699</v>
      </c>
      <c r="D1758" s="3">
        <v>0.18802158168321001</v>
      </c>
      <c r="E1758" s="3">
        <v>-9.1401751573097894</v>
      </c>
      <c r="F1758" s="4">
        <v>6.2351259053594798E-20</v>
      </c>
      <c r="G1758" s="4">
        <v>2.3713238918494899E-18</v>
      </c>
      <c r="H1758" s="3" t="str">
        <f>"LMNB1"</f>
        <v>LMNB1</v>
      </c>
      <c r="I1758" s="3" t="str">
        <f t="shared" si="84"/>
        <v>protein_coding</v>
      </c>
    </row>
    <row r="1759" spans="1:9" x14ac:dyDescent="0.2">
      <c r="A1759" s="3" t="str">
        <f>"ENSG00000173926.6"</f>
        <v>ENSG00000173926.6</v>
      </c>
      <c r="B1759" s="3">
        <v>266.77850999529102</v>
      </c>
      <c r="C1759" s="3">
        <v>1.24774870853897</v>
      </c>
      <c r="D1759" s="3">
        <v>0.30936721459108901</v>
      </c>
      <c r="E1759" s="3">
        <v>4.0332286347414197</v>
      </c>
      <c r="F1759" s="4">
        <v>5.5015704594986402E-5</v>
      </c>
      <c r="G1759" s="3">
        <v>3.3363296307580502E-4</v>
      </c>
      <c r="H1759" s="3" t="str">
        <f>"MARCH3"</f>
        <v>MARCH3</v>
      </c>
      <c r="I1759" s="3" t="str">
        <f t="shared" si="84"/>
        <v>protein_coding</v>
      </c>
    </row>
    <row r="1760" spans="1:9" x14ac:dyDescent="0.2">
      <c r="A1760" s="3" t="str">
        <f>"ENSG00000145794.17"</f>
        <v>ENSG00000145794.17</v>
      </c>
      <c r="B1760" s="3">
        <v>11.818959266415501</v>
      </c>
      <c r="C1760" s="3">
        <v>6.9598089590064802</v>
      </c>
      <c r="D1760" s="3">
        <v>1.7181883654136201</v>
      </c>
      <c r="E1760" s="3">
        <v>4.0506670276113903</v>
      </c>
      <c r="F1760" s="4">
        <v>5.1071838918868902E-5</v>
      </c>
      <c r="G1760" s="3">
        <v>3.1179798230392602E-4</v>
      </c>
      <c r="H1760" s="3" t="str">
        <f>"MEGF10"</f>
        <v>MEGF10</v>
      </c>
      <c r="I1760" s="3" t="str">
        <f t="shared" si="84"/>
        <v>protein_coding</v>
      </c>
    </row>
    <row r="1761" spans="1:9" x14ac:dyDescent="0.2">
      <c r="A1761" s="3" t="str">
        <f>"ENSG00000138829.12"</f>
        <v>ENSG00000138829.12</v>
      </c>
      <c r="B1761" s="3">
        <v>949.08574159168904</v>
      </c>
      <c r="C1761" s="3">
        <v>8.3798677839928501</v>
      </c>
      <c r="D1761" s="3">
        <v>0.47990415764465399</v>
      </c>
      <c r="E1761" s="3">
        <v>17.461544457378402</v>
      </c>
      <c r="F1761" s="4">
        <v>2.8122174793618399E-68</v>
      </c>
      <c r="G1761" s="4">
        <v>1.14364909940555E-65</v>
      </c>
      <c r="H1761" s="3" t="str">
        <f>"FBN2"</f>
        <v>FBN2</v>
      </c>
      <c r="I1761" s="3" t="str">
        <f t="shared" si="84"/>
        <v>protein_coding</v>
      </c>
    </row>
    <row r="1762" spans="1:9" x14ac:dyDescent="0.2">
      <c r="A1762" s="3" t="str">
        <f>"ENSG00000113396.13"</f>
        <v>ENSG00000113396.13</v>
      </c>
      <c r="B1762" s="3">
        <v>3.8893317554809199</v>
      </c>
      <c r="C1762" s="3">
        <v>5.35263968609567</v>
      </c>
      <c r="D1762" s="3">
        <v>2.1805139762792298</v>
      </c>
      <c r="E1762" s="3">
        <v>2.4547605492670499</v>
      </c>
      <c r="F1762" s="3">
        <v>1.40978459500909E-2</v>
      </c>
      <c r="G1762" s="3">
        <v>4.2402473628670397E-2</v>
      </c>
      <c r="H1762" s="3" t="str">
        <f>"SLC27A6"</f>
        <v>SLC27A6</v>
      </c>
      <c r="I1762" s="3" t="str">
        <f t="shared" si="84"/>
        <v>protein_coding</v>
      </c>
    </row>
    <row r="1763" spans="1:9" x14ac:dyDescent="0.2">
      <c r="A1763" s="3" t="str">
        <f>"ENSG00000072682.18"</f>
        <v>ENSG00000072682.18</v>
      </c>
      <c r="B1763" s="3">
        <v>4505.2251048869302</v>
      </c>
      <c r="C1763" s="3">
        <v>1.5924058179215901</v>
      </c>
      <c r="D1763" s="3">
        <v>0.19516257088758701</v>
      </c>
      <c r="E1763" s="3">
        <v>8.1593812311419498</v>
      </c>
      <c r="F1763" s="4">
        <v>3.36745216033401E-16</v>
      </c>
      <c r="G1763" s="4">
        <v>9.3434795328534403E-15</v>
      </c>
      <c r="H1763" s="3" t="str">
        <f>"P4HA2"</f>
        <v>P4HA2</v>
      </c>
      <c r="I1763" s="3" t="str">
        <f t="shared" si="84"/>
        <v>protein_coding</v>
      </c>
    </row>
    <row r="1764" spans="1:9" x14ac:dyDescent="0.2">
      <c r="A1764" s="3" t="str">
        <f>"ENSG00000205089.7"</f>
        <v>ENSG00000205089.7</v>
      </c>
      <c r="B1764" s="3">
        <v>6.4228246812479304</v>
      </c>
      <c r="C1764" s="3">
        <v>6.0791384959959602</v>
      </c>
      <c r="D1764" s="3">
        <v>1.91621201727102</v>
      </c>
      <c r="E1764" s="3">
        <v>3.1724769708174501</v>
      </c>
      <c r="F1764" s="3">
        <v>1.5114454604688099E-3</v>
      </c>
      <c r="G1764" s="3">
        <v>6.3231006389365303E-3</v>
      </c>
      <c r="H1764" s="3" t="str">
        <f>"CCNI2"</f>
        <v>CCNI2</v>
      </c>
      <c r="I1764" s="3" t="str">
        <f t="shared" si="84"/>
        <v>protein_coding</v>
      </c>
    </row>
    <row r="1765" spans="1:9" x14ac:dyDescent="0.2">
      <c r="A1765" s="3" t="str">
        <f>"ENSG00000164403.14"</f>
        <v>ENSG00000164403.14</v>
      </c>
      <c r="B1765" s="3">
        <v>904.17361226927699</v>
      </c>
      <c r="C1765" s="3">
        <v>-1.5779397238013599</v>
      </c>
      <c r="D1765" s="3">
        <v>0.241781405242884</v>
      </c>
      <c r="E1765" s="3">
        <v>-6.5263071914741504</v>
      </c>
      <c r="F1765" s="4">
        <v>6.7410994841984297E-11</v>
      </c>
      <c r="G1765" s="4">
        <v>1.07663972828813E-9</v>
      </c>
      <c r="H1765" s="3" t="str">
        <f>"SHROOM1"</f>
        <v>SHROOM1</v>
      </c>
      <c r="I1765" s="3" t="str">
        <f t="shared" si="84"/>
        <v>protein_coding</v>
      </c>
    </row>
    <row r="1766" spans="1:9" x14ac:dyDescent="0.2">
      <c r="A1766" s="3" t="str">
        <f>"ENSG00000164406.7"</f>
        <v>ENSG00000164406.7</v>
      </c>
      <c r="B1766" s="3">
        <v>186.77396731024299</v>
      </c>
      <c r="C1766" s="3">
        <v>-1.83575362333923</v>
      </c>
      <c r="D1766" s="3">
        <v>0.31186495049950502</v>
      </c>
      <c r="E1766" s="3">
        <v>-5.8863736383295198</v>
      </c>
      <c r="F1766" s="4">
        <v>3.9476131735182196E-9</v>
      </c>
      <c r="G1766" s="4">
        <v>4.9689152166714902E-8</v>
      </c>
      <c r="H1766" s="3" t="str">
        <f>"LEAP2"</f>
        <v>LEAP2</v>
      </c>
      <c r="I1766" s="3" t="str">
        <f t="shared" si="84"/>
        <v>protein_coding</v>
      </c>
    </row>
    <row r="1767" spans="1:9" x14ac:dyDescent="0.2">
      <c r="A1767" s="3" t="str">
        <f>"ENSG00000271128.1"</f>
        <v>ENSG00000271128.1</v>
      </c>
      <c r="B1767" s="3">
        <v>3.8168555458674298</v>
      </c>
      <c r="C1767" s="3">
        <v>5.3279350919035302</v>
      </c>
      <c r="D1767" s="3">
        <v>2.1809774924298599</v>
      </c>
      <c r="E1767" s="3">
        <v>2.4429115432858599</v>
      </c>
      <c r="F1767" s="3">
        <v>1.4569307781241599E-2</v>
      </c>
      <c r="G1767" s="3">
        <v>4.3474967595607303E-2</v>
      </c>
      <c r="H1767" s="3" t="str">
        <f>"AC008608.1"</f>
        <v>AC008608.1</v>
      </c>
      <c r="I1767" s="3" t="str">
        <f>"processed_pseudogene"</f>
        <v>processed_pseudogene</v>
      </c>
    </row>
    <row r="1768" spans="1:9" x14ac:dyDescent="0.2">
      <c r="A1768" s="3" t="str">
        <f>"ENSG00000251169.2"</f>
        <v>ENSG00000251169.2</v>
      </c>
      <c r="B1768" s="3">
        <v>37.488507335177502</v>
      </c>
      <c r="C1768" s="3">
        <v>-1.6338125222536699</v>
      </c>
      <c r="D1768" s="3">
        <v>0.580153237639216</v>
      </c>
      <c r="E1768" s="3">
        <v>-2.8161741006601</v>
      </c>
      <c r="F1768" s="3">
        <v>4.8599322317644496E-3</v>
      </c>
      <c r="G1768" s="3">
        <v>1.7318672968726901E-2</v>
      </c>
      <c r="H1768" s="3" t="str">
        <f>"LINC01843"</f>
        <v>LINC01843</v>
      </c>
      <c r="I1768" s="3" t="str">
        <f>"lincRNA"</f>
        <v>lincRNA</v>
      </c>
    </row>
    <row r="1769" spans="1:9" x14ac:dyDescent="0.2">
      <c r="A1769" s="3" t="str">
        <f>"ENSG00000247627.2"</f>
        <v>ENSG00000247627.2</v>
      </c>
      <c r="B1769" s="3">
        <v>172.058982318831</v>
      </c>
      <c r="C1769" s="3">
        <v>1.4222674639589299</v>
      </c>
      <c r="D1769" s="3">
        <v>0.39430485726492498</v>
      </c>
      <c r="E1769" s="3">
        <v>3.6070249649583599</v>
      </c>
      <c r="F1769" s="3">
        <v>3.0972787059145801E-4</v>
      </c>
      <c r="G1769" s="3">
        <v>1.56803331289585E-3</v>
      </c>
      <c r="H1769" s="3" t="str">
        <f>"MTND4P12"</f>
        <v>MTND4P12</v>
      </c>
      <c r="I1769" s="3" t="str">
        <f>"processed_pseudogene"</f>
        <v>processed_pseudogene</v>
      </c>
    </row>
    <row r="1770" spans="1:9" x14ac:dyDescent="0.2">
      <c r="A1770" s="3" t="str">
        <f>"ENSG00000069011.16"</f>
        <v>ENSG00000069011.16</v>
      </c>
      <c r="B1770" s="3">
        <v>831.770137947477</v>
      </c>
      <c r="C1770" s="3">
        <v>-1.56367165819841</v>
      </c>
      <c r="D1770" s="3">
        <v>0.22273438720800501</v>
      </c>
      <c r="E1770" s="3">
        <v>-7.0203423808921999</v>
      </c>
      <c r="F1770" s="4">
        <v>2.2132521432598502E-12</v>
      </c>
      <c r="G1770" s="4">
        <v>4.20163260687919E-11</v>
      </c>
      <c r="H1770" s="3" t="str">
        <f>"PITX1"</f>
        <v>PITX1</v>
      </c>
      <c r="I1770" s="3" t="str">
        <f>"protein_coding"</f>
        <v>protein_coding</v>
      </c>
    </row>
    <row r="1771" spans="1:9" x14ac:dyDescent="0.2">
      <c r="A1771" s="3" t="str">
        <f>"ENSG00000224186.8"</f>
        <v>ENSG00000224186.8</v>
      </c>
      <c r="B1771" s="3">
        <v>167.28169101656701</v>
      </c>
      <c r="C1771" s="3">
        <v>-1.4011175699446801</v>
      </c>
      <c r="D1771" s="3">
        <v>0.323483626331042</v>
      </c>
      <c r="E1771" s="3">
        <v>-4.3313399996042703</v>
      </c>
      <c r="F1771" s="4">
        <v>1.4820462352965E-5</v>
      </c>
      <c r="G1771" s="3">
        <v>1.0140962775771899E-4</v>
      </c>
      <c r="H1771" s="3" t="str">
        <f>"C5orf66"</f>
        <v>C5orf66</v>
      </c>
      <c r="I1771" s="3" t="str">
        <f>"antisense"</f>
        <v>antisense</v>
      </c>
    </row>
    <row r="1772" spans="1:9" x14ac:dyDescent="0.2">
      <c r="A1772" s="3" t="str">
        <f>"ENSG00000248753.1"</f>
        <v>ENSG00000248753.1</v>
      </c>
      <c r="B1772" s="3">
        <v>19.9872736887814</v>
      </c>
      <c r="C1772" s="3">
        <v>-1.8731633492084601</v>
      </c>
      <c r="D1772" s="3">
        <v>0.78274388242355697</v>
      </c>
      <c r="E1772" s="3">
        <v>-2.3930731255397499</v>
      </c>
      <c r="F1772" s="3">
        <v>1.6707910747677499E-2</v>
      </c>
      <c r="G1772" s="3">
        <v>4.8730512111107703E-2</v>
      </c>
      <c r="H1772" s="3" t="str">
        <f>"AC008406.2"</f>
        <v>AC008406.2</v>
      </c>
      <c r="I1772" s="3" t="str">
        <f>"lincRNA"</f>
        <v>lincRNA</v>
      </c>
    </row>
    <row r="1773" spans="1:9" x14ac:dyDescent="0.2">
      <c r="A1773" s="3" t="str">
        <f>"ENSG00000145832.14"</f>
        <v>ENSG00000145832.14</v>
      </c>
      <c r="B1773" s="3">
        <v>4.9552657467409</v>
      </c>
      <c r="C1773" s="3">
        <v>5.7059742842858201</v>
      </c>
      <c r="D1773" s="3">
        <v>2.0354097879191899</v>
      </c>
      <c r="E1773" s="3">
        <v>2.8033540558528398</v>
      </c>
      <c r="F1773" s="3">
        <v>5.0574115774759702E-3</v>
      </c>
      <c r="G1773" s="3">
        <v>1.7900661633084899E-2</v>
      </c>
      <c r="H1773" s="3" t="str">
        <f>"SLC25A48"</f>
        <v>SLC25A48</v>
      </c>
      <c r="I1773" s="3" t="str">
        <f>"protein_coding"</f>
        <v>protein_coding</v>
      </c>
    </row>
    <row r="1774" spans="1:9" x14ac:dyDescent="0.2">
      <c r="A1774" s="3" t="str">
        <f>"ENSG00000164616.16"</f>
        <v>ENSG00000164616.16</v>
      </c>
      <c r="B1774" s="3">
        <v>1116.9313580647799</v>
      </c>
      <c r="C1774" s="3">
        <v>1.5430615393165601</v>
      </c>
      <c r="D1774" s="3">
        <v>0.23236709314209</v>
      </c>
      <c r="E1774" s="3">
        <v>6.64061988490338</v>
      </c>
      <c r="F1774" s="4">
        <v>3.1236664720670498E-11</v>
      </c>
      <c r="G1774" s="4">
        <v>5.2183041302520403E-10</v>
      </c>
      <c r="H1774" s="3" t="str">
        <f>"FBXL21P"</f>
        <v>FBXL21P</v>
      </c>
      <c r="I1774" s="3" t="str">
        <f>"transcribed_unitary_pseudogene"</f>
        <v>transcribed_unitary_pseudogene</v>
      </c>
    </row>
    <row r="1775" spans="1:9" x14ac:dyDescent="0.2">
      <c r="A1775" s="3" t="str">
        <f>"ENSG00000120708.17"</f>
        <v>ENSG00000120708.17</v>
      </c>
      <c r="B1775" s="3">
        <v>19384.4655940987</v>
      </c>
      <c r="C1775" s="3">
        <v>-1.01881181873822</v>
      </c>
      <c r="D1775" s="3">
        <v>0.19795474131006799</v>
      </c>
      <c r="E1775" s="3">
        <v>-5.1466906627025004</v>
      </c>
      <c r="F1775" s="4">
        <v>2.6512198181560302E-7</v>
      </c>
      <c r="G1775" s="4">
        <v>2.50217479685824E-6</v>
      </c>
      <c r="H1775" s="3" t="str">
        <f>"TGFBI"</f>
        <v>TGFBI</v>
      </c>
      <c r="I1775" s="3" t="str">
        <f t="shared" ref="I1775:I1783" si="85">"protein_coding"</f>
        <v>protein_coding</v>
      </c>
    </row>
    <row r="1776" spans="1:9" x14ac:dyDescent="0.2">
      <c r="A1776" s="3" t="str">
        <f>"ENSG00000152377.14"</f>
        <v>ENSG00000152377.14</v>
      </c>
      <c r="B1776" s="3">
        <v>21.372915601380701</v>
      </c>
      <c r="C1776" s="3">
        <v>4.2944754900398401</v>
      </c>
      <c r="D1776" s="3">
        <v>1.00074205119086</v>
      </c>
      <c r="E1776" s="3">
        <v>4.2912911323447398</v>
      </c>
      <c r="F1776" s="4">
        <v>1.7763723944336E-5</v>
      </c>
      <c r="G1776" s="3">
        <v>1.19243209241518E-4</v>
      </c>
      <c r="H1776" s="3" t="str">
        <f>"SPOCK1"</f>
        <v>SPOCK1</v>
      </c>
      <c r="I1776" s="3" t="str">
        <f t="shared" si="85"/>
        <v>protein_coding</v>
      </c>
    </row>
    <row r="1777" spans="1:9" x14ac:dyDescent="0.2">
      <c r="A1777" s="3" t="str">
        <f>"ENSG00000146021.15"</f>
        <v>ENSG00000146021.15</v>
      </c>
      <c r="B1777" s="3">
        <v>30.389653319593201</v>
      </c>
      <c r="C1777" s="3">
        <v>2.5640928225334401</v>
      </c>
      <c r="D1777" s="3">
        <v>0.67595363096098104</v>
      </c>
      <c r="E1777" s="3">
        <v>3.7932969142989199</v>
      </c>
      <c r="F1777" s="3">
        <v>1.48660221212411E-4</v>
      </c>
      <c r="G1777" s="3">
        <v>8.1862268540310501E-4</v>
      </c>
      <c r="H1777" s="3" t="str">
        <f>"KLHL3"</f>
        <v>KLHL3</v>
      </c>
      <c r="I1777" s="3" t="str">
        <f t="shared" si="85"/>
        <v>protein_coding</v>
      </c>
    </row>
    <row r="1778" spans="1:9" x14ac:dyDescent="0.2">
      <c r="A1778" s="3" t="str">
        <f>"ENSG00000177733.6"</f>
        <v>ENSG00000177733.6</v>
      </c>
      <c r="B1778" s="3">
        <v>4937.50442721954</v>
      </c>
      <c r="C1778" s="3">
        <v>-1.2464607513975701</v>
      </c>
      <c r="D1778" s="3">
        <v>0.205212549161776</v>
      </c>
      <c r="E1778" s="3">
        <v>-6.0739986735164901</v>
      </c>
      <c r="F1778" s="4">
        <v>1.2476375859121401E-9</v>
      </c>
      <c r="G1778" s="4">
        <v>1.6779062834821301E-8</v>
      </c>
      <c r="H1778" s="3" t="str">
        <f>"HNRNPA0"</f>
        <v>HNRNPA0</v>
      </c>
      <c r="I1778" s="3" t="str">
        <f t="shared" si="85"/>
        <v>protein_coding</v>
      </c>
    </row>
    <row r="1779" spans="1:9" x14ac:dyDescent="0.2">
      <c r="A1779" s="3" t="str">
        <f>"ENSG00000078795.16"</f>
        <v>ENSG00000078795.16</v>
      </c>
      <c r="B1779" s="3">
        <v>3.8923375458538101</v>
      </c>
      <c r="C1779" s="3">
        <v>5.3615434764946199</v>
      </c>
      <c r="D1779" s="3">
        <v>2.1957923110067701</v>
      </c>
      <c r="E1779" s="3">
        <v>2.44173524500428</v>
      </c>
      <c r="F1779" s="3">
        <v>1.4616861732854E-2</v>
      </c>
      <c r="G1779" s="3">
        <v>4.3592998208742503E-2</v>
      </c>
      <c r="H1779" s="3" t="str">
        <f>"PKD2L2"</f>
        <v>PKD2L2</v>
      </c>
      <c r="I1779" s="3" t="str">
        <f t="shared" si="85"/>
        <v>protein_coding</v>
      </c>
    </row>
    <row r="1780" spans="1:9" x14ac:dyDescent="0.2">
      <c r="A1780" s="3" t="str">
        <f>"ENSG00000132563.16"</f>
        <v>ENSG00000132563.16</v>
      </c>
      <c r="B1780" s="3">
        <v>1826.7930773963201</v>
      </c>
      <c r="C1780" s="3">
        <v>3.9147547234391502</v>
      </c>
      <c r="D1780" s="3">
        <v>0.21572456098654799</v>
      </c>
      <c r="E1780" s="3">
        <v>18.1470051696305</v>
      </c>
      <c r="F1780" s="4">
        <v>1.3559504901175299E-73</v>
      </c>
      <c r="G1780" s="4">
        <v>7.5399148988229192E-71</v>
      </c>
      <c r="H1780" s="3" t="str">
        <f>"REEP2"</f>
        <v>REEP2</v>
      </c>
      <c r="I1780" s="3" t="str">
        <f t="shared" si="85"/>
        <v>protein_coding</v>
      </c>
    </row>
    <row r="1781" spans="1:9" x14ac:dyDescent="0.2">
      <c r="A1781" s="3" t="str">
        <f>"ENSG00000120738.8"</f>
        <v>ENSG00000120738.8</v>
      </c>
      <c r="B1781" s="3">
        <v>933.59824588814797</v>
      </c>
      <c r="C1781" s="3">
        <v>2.5013553398822599</v>
      </c>
      <c r="D1781" s="3">
        <v>0.26153083620869699</v>
      </c>
      <c r="E1781" s="3">
        <v>9.5642845644642307</v>
      </c>
      <c r="F1781" s="4">
        <v>1.12980166257772E-21</v>
      </c>
      <c r="G1781" s="4">
        <v>5.0136328827777203E-20</v>
      </c>
      <c r="H1781" s="3" t="str">
        <f>"EGR1"</f>
        <v>EGR1</v>
      </c>
      <c r="I1781" s="3" t="str">
        <f t="shared" si="85"/>
        <v>protein_coding</v>
      </c>
    </row>
    <row r="1782" spans="1:9" x14ac:dyDescent="0.2">
      <c r="A1782" s="3" t="str">
        <f>"ENSG00000146006.8"</f>
        <v>ENSG00000146006.8</v>
      </c>
      <c r="B1782" s="3">
        <v>6.1299140524210998</v>
      </c>
      <c r="C1782" s="3">
        <v>6.0129926677642098</v>
      </c>
      <c r="D1782" s="3">
        <v>1.93646501795776</v>
      </c>
      <c r="E1782" s="3">
        <v>3.1051388029233098</v>
      </c>
      <c r="F1782" s="3">
        <v>1.9018975097317601E-3</v>
      </c>
      <c r="G1782" s="3">
        <v>7.7114585487591302E-3</v>
      </c>
      <c r="H1782" s="3" t="str">
        <f>"LRRTM2"</f>
        <v>LRRTM2</v>
      </c>
      <c r="I1782" s="3" t="str">
        <f t="shared" si="85"/>
        <v>protein_coding</v>
      </c>
    </row>
    <row r="1783" spans="1:9" x14ac:dyDescent="0.2">
      <c r="A1783" s="3" t="str">
        <f>"ENSG00000280987.4"</f>
        <v>ENSG00000280987.4</v>
      </c>
      <c r="B1783" s="3">
        <v>45.1879511627589</v>
      </c>
      <c r="C1783" s="3">
        <v>-1.9527543206762501</v>
      </c>
      <c r="D1783" s="3">
        <v>0.53323128578453405</v>
      </c>
      <c r="E1783" s="3">
        <v>-3.6621150572648702</v>
      </c>
      <c r="F1783" s="3">
        <v>2.50141460017037E-4</v>
      </c>
      <c r="G1783" s="3">
        <v>1.2957422739703799E-3</v>
      </c>
      <c r="H1783" s="3" t="str">
        <f>"MATR3"</f>
        <v>MATR3</v>
      </c>
      <c r="I1783" s="3" t="str">
        <f t="shared" si="85"/>
        <v>protein_coding</v>
      </c>
    </row>
    <row r="1784" spans="1:9" x14ac:dyDescent="0.2">
      <c r="A1784" s="3" t="str">
        <f>"ENSG00000281398.4"</f>
        <v>ENSG00000281398.4</v>
      </c>
      <c r="B1784" s="3">
        <v>1487.6361303117801</v>
      </c>
      <c r="C1784" s="3">
        <v>-2.7108402532064599</v>
      </c>
      <c r="D1784" s="3">
        <v>0.22675811400027601</v>
      </c>
      <c r="E1784" s="3">
        <v>-11.954766272236499</v>
      </c>
      <c r="F1784" s="4">
        <v>6.1305816453545297E-33</v>
      </c>
      <c r="G1784" s="4">
        <v>5.7599985548612098E-31</v>
      </c>
      <c r="H1784" s="3" t="str">
        <f>"SNHG4"</f>
        <v>SNHG4</v>
      </c>
      <c r="I1784" s="3" t="str">
        <f>"lincRNA"</f>
        <v>lincRNA</v>
      </c>
    </row>
    <row r="1785" spans="1:9" x14ac:dyDescent="0.2">
      <c r="A1785" s="3" t="str">
        <f>"ENSG00000252213.1"</f>
        <v>ENSG00000252213.1</v>
      </c>
      <c r="B1785" s="3">
        <v>218.596563802047</v>
      </c>
      <c r="C1785" s="3">
        <v>-1.38612689974591</v>
      </c>
      <c r="D1785" s="3">
        <v>0.295942573540797</v>
      </c>
      <c r="E1785" s="3">
        <v>-4.6837698380521298</v>
      </c>
      <c r="F1785" s="4">
        <v>2.8164625523647402E-6</v>
      </c>
      <c r="G1785" s="4">
        <v>2.2230635910858099E-5</v>
      </c>
      <c r="H1785" s="3" t="str">
        <f>"SNORA74D"</f>
        <v>SNORA74D</v>
      </c>
      <c r="I1785" s="3" t="str">
        <f>"snoRNA"</f>
        <v>snoRNA</v>
      </c>
    </row>
    <row r="1786" spans="1:9" x14ac:dyDescent="0.2">
      <c r="A1786" s="3" t="str">
        <f>"ENSG00000170464.10"</f>
        <v>ENSG00000170464.10</v>
      </c>
      <c r="B1786" s="3">
        <v>251.08043624791401</v>
      </c>
      <c r="C1786" s="3">
        <v>1.54059727317073</v>
      </c>
      <c r="D1786" s="3">
        <v>0.27465389617416902</v>
      </c>
      <c r="E1786" s="3">
        <v>5.6092314532242202</v>
      </c>
      <c r="F1786" s="4">
        <v>2.03227080902271E-8</v>
      </c>
      <c r="G1786" s="4">
        <v>2.31978561933145E-7</v>
      </c>
      <c r="H1786" s="3" t="str">
        <f>"DNAJC18"</f>
        <v>DNAJC18</v>
      </c>
      <c r="I1786" s="3" t="str">
        <f>"protein_coding"</f>
        <v>protein_coding</v>
      </c>
    </row>
    <row r="1787" spans="1:9" x14ac:dyDescent="0.2">
      <c r="A1787" s="3" t="str">
        <f>"ENSG00000184584.13"</f>
        <v>ENSG00000184584.13</v>
      </c>
      <c r="B1787" s="3">
        <v>320.46904330457397</v>
      </c>
      <c r="C1787" s="3">
        <v>3.1457613851185999</v>
      </c>
      <c r="D1787" s="3">
        <v>0.27492159450663001</v>
      </c>
      <c r="E1787" s="3">
        <v>11.4423946607902</v>
      </c>
      <c r="F1787" s="4">
        <v>2.56700852936344E-30</v>
      </c>
      <c r="G1787" s="4">
        <v>2.0511226216881399E-28</v>
      </c>
      <c r="H1787" s="3" t="str">
        <f>"TMEM173"</f>
        <v>TMEM173</v>
      </c>
      <c r="I1787" s="3" t="str">
        <f>"protein_coding"</f>
        <v>protein_coding</v>
      </c>
    </row>
    <row r="1788" spans="1:9" x14ac:dyDescent="0.2">
      <c r="A1788" s="3" t="str">
        <f>"ENSG00000158458.20"</f>
        <v>ENSG00000158458.20</v>
      </c>
      <c r="B1788" s="3">
        <v>11.6740502160986</v>
      </c>
      <c r="C1788" s="3">
        <v>4.4335717707955098</v>
      </c>
      <c r="D1788" s="3">
        <v>1.36377210258168</v>
      </c>
      <c r="E1788" s="3">
        <v>3.2509623583020599</v>
      </c>
      <c r="F1788" s="3">
        <v>1.1501508438347601E-3</v>
      </c>
      <c r="G1788" s="3">
        <v>4.9877701801632401E-3</v>
      </c>
      <c r="H1788" s="3" t="str">
        <f>"NRG2"</f>
        <v>NRG2</v>
      </c>
      <c r="I1788" s="3" t="str">
        <f>"protein_coding"</f>
        <v>protein_coding</v>
      </c>
    </row>
    <row r="1789" spans="1:9" x14ac:dyDescent="0.2">
      <c r="A1789" s="3" t="str">
        <f>"ENSG00000254363.6"</f>
        <v>ENSG00000254363.6</v>
      </c>
      <c r="B1789" s="3">
        <v>46.6358156850429</v>
      </c>
      <c r="C1789" s="3">
        <v>-1.5875812536107301</v>
      </c>
      <c r="D1789" s="3">
        <v>0.57728091378796798</v>
      </c>
      <c r="E1789" s="3">
        <v>-2.75010175408958</v>
      </c>
      <c r="F1789" s="3">
        <v>5.9576761146643096E-3</v>
      </c>
      <c r="G1789" s="3">
        <v>2.0581818320813801E-2</v>
      </c>
      <c r="H1789" s="3" t="str">
        <f>"AC011379.2"</f>
        <v>AC011379.2</v>
      </c>
      <c r="I1789" s="3" t="str">
        <f>"processed_transcript"</f>
        <v>processed_transcript</v>
      </c>
    </row>
    <row r="1790" spans="1:9" x14ac:dyDescent="0.2">
      <c r="A1790" s="3" t="str">
        <f>"ENSG00000250069.1"</f>
        <v>ENSG00000250069.1</v>
      </c>
      <c r="B1790" s="3">
        <v>81.815563276599903</v>
      </c>
      <c r="C1790" s="3">
        <v>1.33597265394566</v>
      </c>
      <c r="D1790" s="3">
        <v>0.43253871976838099</v>
      </c>
      <c r="E1790" s="3">
        <v>3.0886775978369201</v>
      </c>
      <c r="F1790" s="3">
        <v>2.01049487241188E-3</v>
      </c>
      <c r="G1790" s="3">
        <v>8.0891839616961895E-3</v>
      </c>
      <c r="H1790" s="3" t="str">
        <f>"AC011379.1"</f>
        <v>AC011379.1</v>
      </c>
      <c r="I1790" s="3" t="str">
        <f>"sense_intronic"</f>
        <v>sense_intronic</v>
      </c>
    </row>
    <row r="1791" spans="1:9" x14ac:dyDescent="0.2">
      <c r="A1791" s="3" t="str">
        <f>"ENSG00000249637.1"</f>
        <v>ENSG00000249637.1</v>
      </c>
      <c r="B1791" s="3">
        <v>50.643049673015803</v>
      </c>
      <c r="C1791" s="3">
        <v>-1.9086602729653801</v>
      </c>
      <c r="D1791" s="3">
        <v>0.50496162396871402</v>
      </c>
      <c r="E1791" s="3">
        <v>-3.77981252904801</v>
      </c>
      <c r="F1791" s="3">
        <v>1.56946483623808E-4</v>
      </c>
      <c r="G1791" s="3">
        <v>8.5921656405423105E-4</v>
      </c>
      <c r="H1791" s="3" t="str">
        <f>"AC008438.1"</f>
        <v>AC008438.1</v>
      </c>
      <c r="I1791" s="3" t="str">
        <f>"antisense"</f>
        <v>antisense</v>
      </c>
    </row>
    <row r="1792" spans="1:9" x14ac:dyDescent="0.2">
      <c r="A1792" s="3" t="str">
        <f>"ENSG00000213523.10"</f>
        <v>ENSG00000213523.10</v>
      </c>
      <c r="B1792" s="3">
        <v>1350.78708178333</v>
      </c>
      <c r="C1792" s="3">
        <v>1.01277085057431</v>
      </c>
      <c r="D1792" s="3">
        <v>0.220197709699402</v>
      </c>
      <c r="E1792" s="3">
        <v>4.5993705018861197</v>
      </c>
      <c r="F1792" s="4">
        <v>4.2376952015845899E-6</v>
      </c>
      <c r="G1792" s="4">
        <v>3.2461197963895202E-5</v>
      </c>
      <c r="H1792" s="3" t="str">
        <f>"SRA1"</f>
        <v>SRA1</v>
      </c>
      <c r="I1792" s="3" t="str">
        <f t="shared" ref="I1792:I1798" si="86">"protein_coding"</f>
        <v>protein_coding</v>
      </c>
    </row>
    <row r="1793" spans="1:9" x14ac:dyDescent="0.2">
      <c r="A1793" s="3" t="str">
        <f>"ENSG00000113108.19"</f>
        <v>ENSG00000113108.19</v>
      </c>
      <c r="B1793" s="3">
        <v>27.499834295414601</v>
      </c>
      <c r="C1793" s="3">
        <v>2.2043877219355301</v>
      </c>
      <c r="D1793" s="3">
        <v>0.72955749165601003</v>
      </c>
      <c r="E1793" s="3">
        <v>3.02154079307968</v>
      </c>
      <c r="F1793" s="3">
        <v>2.51491751058425E-3</v>
      </c>
      <c r="G1793" s="3">
        <v>9.8143737340144806E-3</v>
      </c>
      <c r="H1793" s="3" t="str">
        <f>"APBB3"</f>
        <v>APBB3</v>
      </c>
      <c r="I1793" s="3" t="str">
        <f t="shared" si="86"/>
        <v>protein_coding</v>
      </c>
    </row>
    <row r="1794" spans="1:9" x14ac:dyDescent="0.2">
      <c r="A1794" s="3" t="str">
        <f>"ENSG00000204967.11"</f>
        <v>ENSG00000204967.11</v>
      </c>
      <c r="B1794" s="3">
        <v>6.2778722620209599</v>
      </c>
      <c r="C1794" s="3">
        <v>6.0492269185259904</v>
      </c>
      <c r="D1794" s="3">
        <v>1.9343156000628401</v>
      </c>
      <c r="E1794" s="3">
        <v>3.1273215799580401</v>
      </c>
      <c r="F1794" s="3">
        <v>1.76406856415278E-3</v>
      </c>
      <c r="G1794" s="3">
        <v>7.2420636081770304E-3</v>
      </c>
      <c r="H1794" s="3" t="str">
        <f>"PCDHA4"</f>
        <v>PCDHA4</v>
      </c>
      <c r="I1794" s="3" t="str">
        <f t="shared" si="86"/>
        <v>protein_coding</v>
      </c>
    </row>
    <row r="1795" spans="1:9" x14ac:dyDescent="0.2">
      <c r="A1795" s="3" t="str">
        <f>"ENSG00000240184.7"</f>
        <v>ENSG00000240184.7</v>
      </c>
      <c r="B1795" s="3">
        <v>58.805344928869097</v>
      </c>
      <c r="C1795" s="3">
        <v>-1.33970668140222</v>
      </c>
      <c r="D1795" s="3">
        <v>0.466058803156291</v>
      </c>
      <c r="E1795" s="3">
        <v>-2.8745443114245002</v>
      </c>
      <c r="F1795" s="3">
        <v>4.0461099016952402E-3</v>
      </c>
      <c r="G1795" s="3">
        <v>1.47899592824645E-2</v>
      </c>
      <c r="H1795" s="3" t="str">
        <f>"PCDHGC3"</f>
        <v>PCDHGC3</v>
      </c>
      <c r="I1795" s="3" t="str">
        <f t="shared" si="86"/>
        <v>protein_coding</v>
      </c>
    </row>
    <row r="1796" spans="1:9" x14ac:dyDescent="0.2">
      <c r="A1796" s="3" t="str">
        <f>"ENSG00000113578.18"</f>
        <v>ENSG00000113578.18</v>
      </c>
      <c r="B1796" s="3">
        <v>24.734079048151902</v>
      </c>
      <c r="C1796" s="3">
        <v>8.0232044839272803</v>
      </c>
      <c r="D1796" s="3">
        <v>1.5878321512124201</v>
      </c>
      <c r="E1796" s="3">
        <v>5.0529298564719296</v>
      </c>
      <c r="F1796" s="4">
        <v>4.3508371587704399E-7</v>
      </c>
      <c r="G1796" s="4">
        <v>3.9727634070046301E-6</v>
      </c>
      <c r="H1796" s="3" t="str">
        <f>"FGF1"</f>
        <v>FGF1</v>
      </c>
      <c r="I1796" s="3" t="str">
        <f t="shared" si="86"/>
        <v>protein_coding</v>
      </c>
    </row>
    <row r="1797" spans="1:9" x14ac:dyDescent="0.2">
      <c r="A1797" s="3" t="str">
        <f>"ENSG00000145819.17"</f>
        <v>ENSG00000145819.17</v>
      </c>
      <c r="B1797" s="3">
        <v>2034.3561176308599</v>
      </c>
      <c r="C1797" s="3">
        <v>-1.4281218550824699</v>
      </c>
      <c r="D1797" s="3">
        <v>0.18222259710452299</v>
      </c>
      <c r="E1797" s="3">
        <v>-7.8372379593695403</v>
      </c>
      <c r="F1797" s="4">
        <v>4.6056474795488503E-15</v>
      </c>
      <c r="G1797" s="4">
        <v>1.1523423037214599E-13</v>
      </c>
      <c r="H1797" s="3" t="str">
        <f>"ARHGAP26"</f>
        <v>ARHGAP26</v>
      </c>
      <c r="I1797" s="3" t="str">
        <f t="shared" si="86"/>
        <v>protein_coding</v>
      </c>
    </row>
    <row r="1798" spans="1:9" x14ac:dyDescent="0.2">
      <c r="A1798" s="3" t="str">
        <f>"ENSG00000113580.15"</f>
        <v>ENSG00000113580.15</v>
      </c>
      <c r="B1798" s="3">
        <v>3515.0924945052898</v>
      </c>
      <c r="C1798" s="3">
        <v>1.2896710589690099</v>
      </c>
      <c r="D1798" s="3">
        <v>0.19442703173152201</v>
      </c>
      <c r="E1798" s="3">
        <v>6.6331880268062502</v>
      </c>
      <c r="F1798" s="4">
        <v>3.28512891855204E-11</v>
      </c>
      <c r="G1798" s="4">
        <v>5.4712657483977697E-10</v>
      </c>
      <c r="H1798" s="3" t="str">
        <f>"NR3C1"</f>
        <v>NR3C1</v>
      </c>
      <c r="I1798" s="3" t="str">
        <f t="shared" si="86"/>
        <v>protein_coding</v>
      </c>
    </row>
    <row r="1799" spans="1:9" x14ac:dyDescent="0.2">
      <c r="A1799" s="3" t="str">
        <f>"ENSG00000279679.1"</f>
        <v>ENSG00000279679.1</v>
      </c>
      <c r="B1799" s="3">
        <v>80.539112029229003</v>
      </c>
      <c r="C1799" s="3">
        <v>2.0184919672786101</v>
      </c>
      <c r="D1799" s="3">
        <v>0.45557772228200699</v>
      </c>
      <c r="E1799" s="3">
        <v>4.4306204376454303</v>
      </c>
      <c r="F1799" s="4">
        <v>9.3962350631657903E-6</v>
      </c>
      <c r="G1799" s="4">
        <v>6.7302633219263496E-5</v>
      </c>
      <c r="H1799" s="3" t="str">
        <f>"AC091925.2"</f>
        <v>AC091925.2</v>
      </c>
      <c r="I1799" s="3" t="str">
        <f>"TEC"</f>
        <v>TEC</v>
      </c>
    </row>
    <row r="1800" spans="1:9" x14ac:dyDescent="0.2">
      <c r="A1800" s="3" t="str">
        <f>"ENSG00000251205.2"</f>
        <v>ENSG00000251205.2</v>
      </c>
      <c r="B1800" s="3">
        <v>5.5048488995878104</v>
      </c>
      <c r="C1800" s="3">
        <v>5.8558213573745297</v>
      </c>
      <c r="D1800" s="3">
        <v>1.98540828848636</v>
      </c>
      <c r="E1800" s="3">
        <v>2.9494292893472802</v>
      </c>
      <c r="F1800" s="3">
        <v>3.1836141583888402E-3</v>
      </c>
      <c r="G1800" s="3">
        <v>1.20544656717094E-2</v>
      </c>
      <c r="H1800" s="3" t="str">
        <f>"AC016598.2"</f>
        <v>AC016598.2</v>
      </c>
      <c r="I1800" s="3" t="str">
        <f>"lincRNA"</f>
        <v>lincRNA</v>
      </c>
    </row>
    <row r="1801" spans="1:9" x14ac:dyDescent="0.2">
      <c r="A1801" s="3" t="str">
        <f>"ENSG00000186314.11"</f>
        <v>ENSG00000186314.11</v>
      </c>
      <c r="B1801" s="3">
        <v>294.93770552484</v>
      </c>
      <c r="C1801" s="3">
        <v>-1.21736212228322</v>
      </c>
      <c r="D1801" s="3">
        <v>0.27023346629104</v>
      </c>
      <c r="E1801" s="3">
        <v>-4.5048532995988397</v>
      </c>
      <c r="F1801" s="4">
        <v>6.6418810152373896E-6</v>
      </c>
      <c r="G1801" s="4">
        <v>4.8884746629436298E-5</v>
      </c>
      <c r="H1801" s="3" t="str">
        <f>"PRELID2"</f>
        <v>PRELID2</v>
      </c>
      <c r="I1801" s="3" t="str">
        <f>"protein_coding"</f>
        <v>protein_coding</v>
      </c>
    </row>
    <row r="1802" spans="1:9" x14ac:dyDescent="0.2">
      <c r="A1802" s="3" t="str">
        <f>"ENSG00000249363.1"</f>
        <v>ENSG00000249363.1</v>
      </c>
      <c r="B1802" s="3">
        <v>21.765820259603899</v>
      </c>
      <c r="C1802" s="3">
        <v>-2.0892041634818099</v>
      </c>
      <c r="D1802" s="3">
        <v>0.78825703325666996</v>
      </c>
      <c r="E1802" s="3">
        <v>-2.6504097969799298</v>
      </c>
      <c r="F1802" s="3">
        <v>8.0394191821957697E-3</v>
      </c>
      <c r="G1802" s="3">
        <v>2.6480906003057102E-2</v>
      </c>
      <c r="H1802" s="3" t="str">
        <f>"AC011411.1"</f>
        <v>AC011411.1</v>
      </c>
      <c r="I1802" s="3" t="str">
        <f>"processed_pseudogene"</f>
        <v>processed_pseudogene</v>
      </c>
    </row>
    <row r="1803" spans="1:9" x14ac:dyDescent="0.2">
      <c r="A1803" s="3" t="str">
        <f>"ENSG00000156463.18"</f>
        <v>ENSG00000156463.18</v>
      </c>
      <c r="B1803" s="3">
        <v>385.412821651711</v>
      </c>
      <c r="C1803" s="3">
        <v>-3.2282292086264701</v>
      </c>
      <c r="D1803" s="3">
        <v>0.28589689931029599</v>
      </c>
      <c r="E1803" s="3">
        <v>-11.291585240743499</v>
      </c>
      <c r="F1803" s="4">
        <v>1.44408361687242E-29</v>
      </c>
      <c r="G1803" s="4">
        <v>1.08994311105049E-27</v>
      </c>
      <c r="H1803" s="3" t="str">
        <f>"SH3RF2"</f>
        <v>SH3RF2</v>
      </c>
      <c r="I1803" s="3" t="str">
        <f t="shared" ref="I1803:I1809" si="87">"protein_coding"</f>
        <v>protein_coding</v>
      </c>
    </row>
    <row r="1804" spans="1:9" x14ac:dyDescent="0.2">
      <c r="A1804" s="3" t="str">
        <f>"ENSG00000169302.16"</f>
        <v>ENSG00000169302.16</v>
      </c>
      <c r="B1804" s="3">
        <v>4.9915038515476402</v>
      </c>
      <c r="C1804" s="3">
        <v>5.7155107172183204</v>
      </c>
      <c r="D1804" s="3">
        <v>2.03125899621197</v>
      </c>
      <c r="E1804" s="3">
        <v>2.81377742960253</v>
      </c>
      <c r="F1804" s="3">
        <v>4.8963116077231396E-3</v>
      </c>
      <c r="G1804" s="3">
        <v>1.7423247012620099E-2</v>
      </c>
      <c r="H1804" s="3" t="str">
        <f>"STK32A"</f>
        <v>STK32A</v>
      </c>
      <c r="I1804" s="3" t="str">
        <f t="shared" si="87"/>
        <v>protein_coding</v>
      </c>
    </row>
    <row r="1805" spans="1:9" x14ac:dyDescent="0.2">
      <c r="A1805" s="3" t="str">
        <f>"ENSG00000113657.13"</f>
        <v>ENSG00000113657.13</v>
      </c>
      <c r="B1805" s="3">
        <v>22.188275387186401</v>
      </c>
      <c r="C1805" s="3">
        <v>3.28141357023636</v>
      </c>
      <c r="D1805" s="3">
        <v>0.84181803054242899</v>
      </c>
      <c r="E1805" s="3">
        <v>3.8980081813191401</v>
      </c>
      <c r="F1805" s="4">
        <v>9.6987140564388496E-5</v>
      </c>
      <c r="G1805" s="3">
        <v>5.5715973412563604E-4</v>
      </c>
      <c r="H1805" s="3" t="str">
        <f>"DPYSL3"</f>
        <v>DPYSL3</v>
      </c>
      <c r="I1805" s="3" t="str">
        <f t="shared" si="87"/>
        <v>protein_coding</v>
      </c>
    </row>
    <row r="1806" spans="1:9" x14ac:dyDescent="0.2">
      <c r="A1806" s="3" t="str">
        <f>"ENSG00000133710.15"</f>
        <v>ENSG00000133710.15</v>
      </c>
      <c r="B1806" s="3">
        <v>14.1624555649027</v>
      </c>
      <c r="C1806" s="3">
        <v>4.1111898167673502</v>
      </c>
      <c r="D1806" s="3">
        <v>1.19549885776459</v>
      </c>
      <c r="E1806" s="3">
        <v>3.4388906271769</v>
      </c>
      <c r="F1806" s="3">
        <v>5.8410316845421302E-4</v>
      </c>
      <c r="G1806" s="3">
        <v>2.75109058442039E-3</v>
      </c>
      <c r="H1806" s="3" t="str">
        <f>"SPINK5"</f>
        <v>SPINK5</v>
      </c>
      <c r="I1806" s="3" t="str">
        <f t="shared" si="87"/>
        <v>protein_coding</v>
      </c>
    </row>
    <row r="1807" spans="1:9" x14ac:dyDescent="0.2">
      <c r="A1807" s="3" t="str">
        <f>"ENSG00000169252.5"</f>
        <v>ENSG00000169252.5</v>
      </c>
      <c r="B1807" s="3">
        <v>29.187941747201801</v>
      </c>
      <c r="C1807" s="3">
        <v>5.1957532087069804</v>
      </c>
      <c r="D1807" s="3">
        <v>1.0237364409371199</v>
      </c>
      <c r="E1807" s="3">
        <v>5.0752840291108896</v>
      </c>
      <c r="F1807" s="4">
        <v>3.8691760321899101E-7</v>
      </c>
      <c r="G1807" s="4">
        <v>3.56039984292734E-6</v>
      </c>
      <c r="H1807" s="3" t="str">
        <f>"ADRB2"</f>
        <v>ADRB2</v>
      </c>
      <c r="I1807" s="3" t="str">
        <f t="shared" si="87"/>
        <v>protein_coding</v>
      </c>
    </row>
    <row r="1808" spans="1:9" x14ac:dyDescent="0.2">
      <c r="A1808" s="3" t="str">
        <f>"ENSG00000164284.15"</f>
        <v>ENSG00000164284.15</v>
      </c>
      <c r="B1808" s="3">
        <v>1377.59204255645</v>
      </c>
      <c r="C1808" s="3">
        <v>-1.0608004323907401</v>
      </c>
      <c r="D1808" s="3">
        <v>0.189843299168688</v>
      </c>
      <c r="E1808" s="3">
        <v>-5.58776863358319</v>
      </c>
      <c r="F1808" s="4">
        <v>2.30005796320124E-8</v>
      </c>
      <c r="G1808" s="4">
        <v>2.6068918187747201E-7</v>
      </c>
      <c r="H1808" s="3" t="str">
        <f>"GRPEL2"</f>
        <v>GRPEL2</v>
      </c>
      <c r="I1808" s="3" t="str">
        <f t="shared" si="87"/>
        <v>protein_coding</v>
      </c>
    </row>
    <row r="1809" spans="1:9" x14ac:dyDescent="0.2">
      <c r="A1809" s="3" t="str">
        <f>"ENSG00000145882.11"</f>
        <v>ENSG00000145882.11</v>
      </c>
      <c r="B1809" s="3">
        <v>94.815886056785402</v>
      </c>
      <c r="C1809" s="3">
        <v>3.4935480534404699</v>
      </c>
      <c r="D1809" s="3">
        <v>0.446389592915371</v>
      </c>
      <c r="E1809" s="3">
        <v>7.8262309625636597</v>
      </c>
      <c r="F1809" s="4">
        <v>5.0271342598919199E-15</v>
      </c>
      <c r="G1809" s="4">
        <v>1.24635420545291E-13</v>
      </c>
      <c r="H1809" s="3" t="str">
        <f>"PCYOX1L"</f>
        <v>PCYOX1L</v>
      </c>
      <c r="I1809" s="3" t="str">
        <f t="shared" si="87"/>
        <v>protein_coding</v>
      </c>
    </row>
    <row r="1810" spans="1:9" x14ac:dyDescent="0.2">
      <c r="A1810" s="3" t="str">
        <f>"ENSG00000249669.9"</f>
        <v>ENSG00000249669.9</v>
      </c>
      <c r="B1810" s="3">
        <v>97.648144630578599</v>
      </c>
      <c r="C1810" s="3">
        <v>1.5816794708603501</v>
      </c>
      <c r="D1810" s="3">
        <v>0.392472106425305</v>
      </c>
      <c r="E1810" s="3">
        <v>4.0300430144361696</v>
      </c>
      <c r="F1810" s="4">
        <v>5.57666470112052E-5</v>
      </c>
      <c r="G1810" s="3">
        <v>3.3781098957632498E-4</v>
      </c>
      <c r="H1810" s="3" t="str">
        <f>"CARMN"</f>
        <v>CARMN</v>
      </c>
      <c r="I1810" s="3" t="str">
        <f>"lincRNA"</f>
        <v>lincRNA</v>
      </c>
    </row>
    <row r="1811" spans="1:9" x14ac:dyDescent="0.2">
      <c r="A1811" s="3" t="str">
        <f>"ENSG00000183111.12"</f>
        <v>ENSG00000183111.12</v>
      </c>
      <c r="B1811" s="3">
        <v>66.545329656536097</v>
      </c>
      <c r="C1811" s="3">
        <v>3.5731371040351698</v>
      </c>
      <c r="D1811" s="3">
        <v>0.528050550910798</v>
      </c>
      <c r="E1811" s="3">
        <v>6.7666572790656296</v>
      </c>
      <c r="F1811" s="4">
        <v>1.31791761289614E-11</v>
      </c>
      <c r="G1811" s="4">
        <v>2.28576073829287E-10</v>
      </c>
      <c r="H1811" s="3" t="str">
        <f>"ARHGEF37"</f>
        <v>ARHGEF37</v>
      </c>
      <c r="I1811" s="3" t="str">
        <f t="shared" ref="I1811:I1826" si="88">"protein_coding"</f>
        <v>protein_coding</v>
      </c>
    </row>
    <row r="1812" spans="1:9" x14ac:dyDescent="0.2">
      <c r="A1812" s="3" t="str">
        <f>"ENSG00000132915.11"</f>
        <v>ENSG00000132915.11</v>
      </c>
      <c r="B1812" s="3">
        <v>8.1108180349683003</v>
      </c>
      <c r="C1812" s="3">
        <v>6.4154059471143903</v>
      </c>
      <c r="D1812" s="3">
        <v>1.82885429345814</v>
      </c>
      <c r="E1812" s="3">
        <v>3.50788248690038</v>
      </c>
      <c r="F1812" s="3">
        <v>4.5168852471916E-4</v>
      </c>
      <c r="G1812" s="3">
        <v>2.1898856286517699E-3</v>
      </c>
      <c r="H1812" s="3" t="str">
        <f>"PDE6A"</f>
        <v>PDE6A</v>
      </c>
      <c r="I1812" s="3" t="str">
        <f t="shared" si="88"/>
        <v>protein_coding</v>
      </c>
    </row>
    <row r="1813" spans="1:9" x14ac:dyDescent="0.2">
      <c r="A1813" s="3" t="str">
        <f>"ENSG00000164296.7"</f>
        <v>ENSG00000164296.7</v>
      </c>
      <c r="B1813" s="3">
        <v>115.151209878269</v>
      </c>
      <c r="C1813" s="3">
        <v>1.25543057209322</v>
      </c>
      <c r="D1813" s="3">
        <v>0.36039699714335899</v>
      </c>
      <c r="E1813" s="3">
        <v>3.4834656837993401</v>
      </c>
      <c r="F1813" s="3">
        <v>4.9496657139909796E-4</v>
      </c>
      <c r="G1813" s="3">
        <v>2.3767953136892401E-3</v>
      </c>
      <c r="H1813" s="3" t="str">
        <f>"TIGD6"</f>
        <v>TIGD6</v>
      </c>
      <c r="I1813" s="3" t="str">
        <f t="shared" si="88"/>
        <v>protein_coding</v>
      </c>
    </row>
    <row r="1814" spans="1:9" x14ac:dyDescent="0.2">
      <c r="A1814" s="3" t="str">
        <f>"ENSG00000182578.13"</f>
        <v>ENSG00000182578.13</v>
      </c>
      <c r="B1814" s="3">
        <v>112.18050282546599</v>
      </c>
      <c r="C1814" s="3">
        <v>6.7509046187837196</v>
      </c>
      <c r="D1814" s="3">
        <v>0.799907795376543</v>
      </c>
      <c r="E1814" s="3">
        <v>8.4396034865566598</v>
      </c>
      <c r="F1814" s="4">
        <v>3.1841597789418601E-17</v>
      </c>
      <c r="G1814" s="4">
        <v>9.6829019527710807E-16</v>
      </c>
      <c r="H1814" s="3" t="str">
        <f>"CSF1R"</f>
        <v>CSF1R</v>
      </c>
      <c r="I1814" s="3" t="str">
        <f t="shared" si="88"/>
        <v>protein_coding</v>
      </c>
    </row>
    <row r="1815" spans="1:9" x14ac:dyDescent="0.2">
      <c r="A1815" s="3" t="str">
        <f>"ENSG00000113721.14"</f>
        <v>ENSG00000113721.14</v>
      </c>
      <c r="B1815" s="3">
        <v>585.68534694370203</v>
      </c>
      <c r="C1815" s="3">
        <v>-2.5383897801121602</v>
      </c>
      <c r="D1815" s="3">
        <v>0.228836124619611</v>
      </c>
      <c r="E1815" s="3">
        <v>-11.0926095446323</v>
      </c>
      <c r="F1815" s="4">
        <v>1.3625401758246801E-28</v>
      </c>
      <c r="G1815" s="4">
        <v>9.59305740844832E-27</v>
      </c>
      <c r="H1815" s="3" t="str">
        <f>"PDGFRB"</f>
        <v>PDGFRB</v>
      </c>
      <c r="I1815" s="3" t="str">
        <f t="shared" si="88"/>
        <v>protein_coding</v>
      </c>
    </row>
    <row r="1816" spans="1:9" x14ac:dyDescent="0.2">
      <c r="A1816" s="3" t="str">
        <f>"ENSG00000183876.9"</f>
        <v>ENSG00000183876.9</v>
      </c>
      <c r="B1816" s="3">
        <v>335.41408396588099</v>
      </c>
      <c r="C1816" s="3">
        <v>-1.81582871434062</v>
      </c>
      <c r="D1816" s="3">
        <v>0.25026111629657199</v>
      </c>
      <c r="E1816" s="3">
        <v>-7.2557364931944601</v>
      </c>
      <c r="F1816" s="4">
        <v>3.9948212622913298E-13</v>
      </c>
      <c r="G1816" s="4">
        <v>8.3407582324637406E-12</v>
      </c>
      <c r="H1816" s="3" t="str">
        <f>"ARSI"</f>
        <v>ARSI</v>
      </c>
      <c r="I1816" s="3" t="str">
        <f t="shared" si="88"/>
        <v>protein_coding</v>
      </c>
    </row>
    <row r="1817" spans="1:9" x14ac:dyDescent="0.2">
      <c r="A1817" s="3" t="str">
        <f>"ENSG00000070814.19"</f>
        <v>ENSG00000070814.19</v>
      </c>
      <c r="B1817" s="3">
        <v>4485.41505815856</v>
      </c>
      <c r="C1817" s="3">
        <v>-1.13434195093377</v>
      </c>
      <c r="D1817" s="3">
        <v>0.210055444056753</v>
      </c>
      <c r="E1817" s="3">
        <v>-5.4002025799783198</v>
      </c>
      <c r="F1817" s="4">
        <v>6.6565685252678595E-8</v>
      </c>
      <c r="G1817" s="4">
        <v>6.9675628808227504E-7</v>
      </c>
      <c r="H1817" s="3" t="str">
        <f>"TCOF1"</f>
        <v>TCOF1</v>
      </c>
      <c r="I1817" s="3" t="str">
        <f t="shared" si="88"/>
        <v>protein_coding</v>
      </c>
    </row>
    <row r="1818" spans="1:9" x14ac:dyDescent="0.2">
      <c r="A1818" s="3" t="str">
        <f>"ENSG00000171992.13"</f>
        <v>ENSG00000171992.13</v>
      </c>
      <c r="B1818" s="3">
        <v>146.89505342847701</v>
      </c>
      <c r="C1818" s="3">
        <v>1.71261262617295</v>
      </c>
      <c r="D1818" s="3">
        <v>0.34724315596222299</v>
      </c>
      <c r="E1818" s="3">
        <v>4.9320270155569803</v>
      </c>
      <c r="F1818" s="4">
        <v>8.1380657832338403E-7</v>
      </c>
      <c r="G1818" s="4">
        <v>7.0865413357549498E-6</v>
      </c>
      <c r="H1818" s="3" t="str">
        <f>"SYNPO"</f>
        <v>SYNPO</v>
      </c>
      <c r="I1818" s="3" t="str">
        <f t="shared" si="88"/>
        <v>protein_coding</v>
      </c>
    </row>
    <row r="1819" spans="1:9" x14ac:dyDescent="0.2">
      <c r="A1819" s="3" t="str">
        <f>"ENSG00000256235.2"</f>
        <v>ENSG00000256235.2</v>
      </c>
      <c r="B1819" s="3">
        <v>496.114422119229</v>
      </c>
      <c r="C1819" s="3">
        <v>-1.26419837519512</v>
      </c>
      <c r="D1819" s="3">
        <v>0.26494895929999701</v>
      </c>
      <c r="E1819" s="3">
        <v>-4.7714789238469404</v>
      </c>
      <c r="F1819" s="4">
        <v>1.82878119707942E-6</v>
      </c>
      <c r="G1819" s="4">
        <v>1.4936691030222701E-5</v>
      </c>
      <c r="H1819" s="3" t="str">
        <f>"SMIM3"</f>
        <v>SMIM3</v>
      </c>
      <c r="I1819" s="3" t="str">
        <f t="shared" si="88"/>
        <v>protein_coding</v>
      </c>
    </row>
    <row r="1820" spans="1:9" x14ac:dyDescent="0.2">
      <c r="A1820" s="3" t="str">
        <f>"ENSG00000211445.12"</f>
        <v>ENSG00000211445.12</v>
      </c>
      <c r="B1820" s="3">
        <v>4380.4173415305104</v>
      </c>
      <c r="C1820" s="3">
        <v>-1.26814786312306</v>
      </c>
      <c r="D1820" s="3">
        <v>0.21919637452274601</v>
      </c>
      <c r="E1820" s="3">
        <v>-5.7854417797018201</v>
      </c>
      <c r="F1820" s="4">
        <v>7.2322006474149598E-9</v>
      </c>
      <c r="G1820" s="4">
        <v>8.7736318361583001E-8</v>
      </c>
      <c r="H1820" s="3" t="str">
        <f>"GPX3"</f>
        <v>GPX3</v>
      </c>
      <c r="I1820" s="3" t="str">
        <f t="shared" si="88"/>
        <v>protein_coding</v>
      </c>
    </row>
    <row r="1821" spans="1:9" x14ac:dyDescent="0.2">
      <c r="A1821" s="3" t="str">
        <f>"ENSG00000197043.14"</f>
        <v>ENSG00000197043.14</v>
      </c>
      <c r="B1821" s="3">
        <v>2613.9562291473499</v>
      </c>
      <c r="C1821" s="3">
        <v>-1.9068683702782101</v>
      </c>
      <c r="D1821" s="3">
        <v>0.21088302487758601</v>
      </c>
      <c r="E1821" s="3">
        <v>-9.0423037671482192</v>
      </c>
      <c r="F1821" s="4">
        <v>1.5340410499743799E-19</v>
      </c>
      <c r="G1821" s="4">
        <v>5.6255742245830197E-18</v>
      </c>
      <c r="H1821" s="3" t="str">
        <f>"ANXA6"</f>
        <v>ANXA6</v>
      </c>
      <c r="I1821" s="3" t="str">
        <f t="shared" si="88"/>
        <v>protein_coding</v>
      </c>
    </row>
    <row r="1822" spans="1:9" x14ac:dyDescent="0.2">
      <c r="A1822" s="3" t="str">
        <f>"ENSG00000198624.13"</f>
        <v>ENSG00000198624.13</v>
      </c>
      <c r="B1822" s="3">
        <v>624.558260335863</v>
      </c>
      <c r="C1822" s="3">
        <v>1.0195639605729701</v>
      </c>
      <c r="D1822" s="3">
        <v>0.250695115668784</v>
      </c>
      <c r="E1822" s="3">
        <v>4.06694784560547</v>
      </c>
      <c r="F1822" s="4">
        <v>4.7632898112502303E-5</v>
      </c>
      <c r="G1822" s="3">
        <v>2.9323397534372999E-4</v>
      </c>
      <c r="H1822" s="3" t="str">
        <f>"CCDC69"</f>
        <v>CCDC69</v>
      </c>
      <c r="I1822" s="3" t="str">
        <f t="shared" si="88"/>
        <v>protein_coding</v>
      </c>
    </row>
    <row r="1823" spans="1:9" x14ac:dyDescent="0.2">
      <c r="A1823" s="3" t="str">
        <f>"ENSG00000196743.8"</f>
        <v>ENSG00000196743.8</v>
      </c>
      <c r="B1823" s="3">
        <v>9736.3636133970303</v>
      </c>
      <c r="C1823" s="3">
        <v>3.2341285399755799</v>
      </c>
      <c r="D1823" s="3">
        <v>0.20456594084614499</v>
      </c>
      <c r="E1823" s="3">
        <v>15.809711658735999</v>
      </c>
      <c r="F1823" s="4">
        <v>2.66684593445941E-56</v>
      </c>
      <c r="G1823" s="4">
        <v>6.8550519977561801E-54</v>
      </c>
      <c r="H1823" s="3" t="str">
        <f>"GM2A"</f>
        <v>GM2A</v>
      </c>
      <c r="I1823" s="3" t="str">
        <f t="shared" si="88"/>
        <v>protein_coding</v>
      </c>
    </row>
    <row r="1824" spans="1:9" x14ac:dyDescent="0.2">
      <c r="A1824" s="3" t="str">
        <f>"ENSG00000086570.12"</f>
        <v>ENSG00000086570.12</v>
      </c>
      <c r="B1824" s="3">
        <v>36.3053831616661</v>
      </c>
      <c r="C1824" s="3">
        <v>8.5799617940484598</v>
      </c>
      <c r="D1824" s="3">
        <v>1.5472639143626701</v>
      </c>
      <c r="E1824" s="3">
        <v>5.5452477850765396</v>
      </c>
      <c r="F1824" s="4">
        <v>2.93538178549481E-8</v>
      </c>
      <c r="G1824" s="4">
        <v>3.2685062325041701E-7</v>
      </c>
      <c r="H1824" s="3" t="str">
        <f>"FAT2"</f>
        <v>FAT2</v>
      </c>
      <c r="I1824" s="3" t="str">
        <f t="shared" si="88"/>
        <v>protein_coding</v>
      </c>
    </row>
    <row r="1825" spans="1:9" x14ac:dyDescent="0.2">
      <c r="A1825" s="3" t="str">
        <f>"ENSG00000155511.18"</f>
        <v>ENSG00000155511.18</v>
      </c>
      <c r="B1825" s="3">
        <v>6.2023902620345801</v>
      </c>
      <c r="C1825" s="3">
        <v>6.0283798576101697</v>
      </c>
      <c r="D1825" s="3">
        <v>1.9313346894476899</v>
      </c>
      <c r="E1825" s="3">
        <v>3.1213543103366201</v>
      </c>
      <c r="F1825" s="3">
        <v>1.8002129849072001E-3</v>
      </c>
      <c r="G1825" s="3">
        <v>7.3648740103651996E-3</v>
      </c>
      <c r="H1825" s="3" t="str">
        <f>"GRIA1"</f>
        <v>GRIA1</v>
      </c>
      <c r="I1825" s="3" t="str">
        <f t="shared" si="88"/>
        <v>protein_coding</v>
      </c>
    </row>
    <row r="1826" spans="1:9" x14ac:dyDescent="0.2">
      <c r="A1826" s="3" t="str">
        <f>"ENSG00000164574.16"</f>
        <v>ENSG00000164574.16</v>
      </c>
      <c r="B1826" s="3">
        <v>2927.6164972726201</v>
      </c>
      <c r="C1826" s="3">
        <v>1.1552993894176899</v>
      </c>
      <c r="D1826" s="3">
        <v>0.177008986208845</v>
      </c>
      <c r="E1826" s="3">
        <v>6.5267838326275998</v>
      </c>
      <c r="F1826" s="4">
        <v>6.7196916800894598E-11</v>
      </c>
      <c r="G1826" s="4">
        <v>1.0738500833278501E-9</v>
      </c>
      <c r="H1826" s="3" t="str">
        <f>"GALNT10"</f>
        <v>GALNT10</v>
      </c>
      <c r="I1826" s="3" t="str">
        <f t="shared" si="88"/>
        <v>protein_coding</v>
      </c>
    </row>
    <row r="1827" spans="1:9" x14ac:dyDescent="0.2">
      <c r="A1827" s="3" t="str">
        <f>"ENSG00000241963.3"</f>
        <v>ENSG00000241963.3</v>
      </c>
      <c r="B1827" s="3">
        <v>13.909043468038099</v>
      </c>
      <c r="C1827" s="3">
        <v>2.5210115173980898</v>
      </c>
      <c r="D1827" s="3">
        <v>0.98567568914894998</v>
      </c>
      <c r="E1827" s="3">
        <v>2.55764806330445</v>
      </c>
      <c r="F1827" s="3">
        <v>1.0538268476581E-2</v>
      </c>
      <c r="G1827" s="3">
        <v>3.3248749557828097E-2</v>
      </c>
      <c r="H1827" s="3" t="str">
        <f>"RN7SL655P"</f>
        <v>RN7SL655P</v>
      </c>
      <c r="I1827" s="3" t="str">
        <f>"misc_RNA"</f>
        <v>misc_RNA</v>
      </c>
    </row>
    <row r="1828" spans="1:9" x14ac:dyDescent="0.2">
      <c r="A1828" s="3" t="str">
        <f>"ENSG00000170271.11"</f>
        <v>ENSG00000170271.11</v>
      </c>
      <c r="B1828" s="3">
        <v>2248.8439865700402</v>
      </c>
      <c r="C1828" s="3">
        <v>3.4411572124114498</v>
      </c>
      <c r="D1828" s="3">
        <v>0.19084380271660301</v>
      </c>
      <c r="E1828" s="3">
        <v>18.031275647559099</v>
      </c>
      <c r="F1828" s="4">
        <v>1.10707831288711E-72</v>
      </c>
      <c r="G1828" s="4">
        <v>5.9146201551441496E-70</v>
      </c>
      <c r="H1828" s="3" t="str">
        <f>"FAXDC2"</f>
        <v>FAXDC2</v>
      </c>
      <c r="I1828" s="3" t="str">
        <f t="shared" ref="I1828:I1834" si="89">"protein_coding"</f>
        <v>protein_coding</v>
      </c>
    </row>
    <row r="1829" spans="1:9" x14ac:dyDescent="0.2">
      <c r="A1829" s="3" t="str">
        <f>"ENSG00000170624.13"</f>
        <v>ENSG00000170624.13</v>
      </c>
      <c r="B1829" s="3">
        <v>3.9648137554673002</v>
      </c>
      <c r="C1829" s="3">
        <v>5.38581965917892</v>
      </c>
      <c r="D1829" s="3">
        <v>2.16320773319238</v>
      </c>
      <c r="E1829" s="3">
        <v>2.4897376135165499</v>
      </c>
      <c r="F1829" s="3">
        <v>1.2783743375967001E-2</v>
      </c>
      <c r="G1829" s="3">
        <v>3.9066695352733702E-2</v>
      </c>
      <c r="H1829" s="3" t="str">
        <f>"SGCD"</f>
        <v>SGCD</v>
      </c>
      <c r="I1829" s="3" t="str">
        <f t="shared" si="89"/>
        <v>protein_coding</v>
      </c>
    </row>
    <row r="1830" spans="1:9" x14ac:dyDescent="0.2">
      <c r="A1830" s="3" t="str">
        <f>"ENSG00000113249.12"</f>
        <v>ENSG00000113249.12</v>
      </c>
      <c r="B1830" s="3">
        <v>136.71103693794001</v>
      </c>
      <c r="C1830" s="3">
        <v>-2.57401384144331</v>
      </c>
      <c r="D1830" s="3">
        <v>0.36544686516407399</v>
      </c>
      <c r="E1830" s="3">
        <v>-7.0434694802694802</v>
      </c>
      <c r="F1830" s="4">
        <v>1.8751108759261202E-12</v>
      </c>
      <c r="G1830" s="4">
        <v>3.59038271513415E-11</v>
      </c>
      <c r="H1830" s="3" t="str">
        <f>"HAVCR1"</f>
        <v>HAVCR1</v>
      </c>
      <c r="I1830" s="3" t="str">
        <f t="shared" si="89"/>
        <v>protein_coding</v>
      </c>
    </row>
    <row r="1831" spans="1:9" x14ac:dyDescent="0.2">
      <c r="A1831" s="3" t="str">
        <f>"ENSG00000055163.20"</f>
        <v>ENSG00000055163.20</v>
      </c>
      <c r="B1831" s="3">
        <v>5270.34200570144</v>
      </c>
      <c r="C1831" s="3">
        <v>1.5986667468889499</v>
      </c>
      <c r="D1831" s="3">
        <v>0.192336238764864</v>
      </c>
      <c r="E1831" s="3">
        <v>8.3118332621829207</v>
      </c>
      <c r="F1831" s="4">
        <v>9.4234773062207001E-17</v>
      </c>
      <c r="G1831" s="4">
        <v>2.75791069992047E-15</v>
      </c>
      <c r="H1831" s="3" t="str">
        <f>"CYFIP2"</f>
        <v>CYFIP2</v>
      </c>
      <c r="I1831" s="3" t="str">
        <f t="shared" si="89"/>
        <v>protein_coding</v>
      </c>
    </row>
    <row r="1832" spans="1:9" x14ac:dyDescent="0.2">
      <c r="A1832" s="3" t="str">
        <f>"ENSG00000164330.17"</f>
        <v>ENSG00000164330.17</v>
      </c>
      <c r="B1832" s="3">
        <v>4.5506350131209503</v>
      </c>
      <c r="C1832" s="3">
        <v>5.5810926405007502</v>
      </c>
      <c r="D1832" s="3">
        <v>2.0811975347712699</v>
      </c>
      <c r="E1832" s="3">
        <v>2.6816736745337999</v>
      </c>
      <c r="F1832" s="3">
        <v>7.3254878825888504E-3</v>
      </c>
      <c r="G1832" s="3">
        <v>2.4457489074488199E-2</v>
      </c>
      <c r="H1832" s="3" t="str">
        <f>"EBF1"</f>
        <v>EBF1</v>
      </c>
      <c r="I1832" s="3" t="str">
        <f t="shared" si="89"/>
        <v>protein_coding</v>
      </c>
    </row>
    <row r="1833" spans="1:9" x14ac:dyDescent="0.2">
      <c r="A1833" s="3" t="str">
        <f>"ENSG00000135083.15"</f>
        <v>ENSG00000135083.15</v>
      </c>
      <c r="B1833" s="3">
        <v>512.15954821951505</v>
      </c>
      <c r="C1833" s="3">
        <v>-1.3759799917775799</v>
      </c>
      <c r="D1833" s="3">
        <v>0.232712443986375</v>
      </c>
      <c r="E1833" s="3">
        <v>-5.9127907739138497</v>
      </c>
      <c r="F1833" s="4">
        <v>3.3635933061298399E-9</v>
      </c>
      <c r="G1833" s="4">
        <v>4.2666586039161901E-8</v>
      </c>
      <c r="H1833" s="3" t="str">
        <f>"CCNJL"</f>
        <v>CCNJL</v>
      </c>
      <c r="I1833" s="3" t="str">
        <f t="shared" si="89"/>
        <v>protein_coding</v>
      </c>
    </row>
    <row r="1834" spans="1:9" x14ac:dyDescent="0.2">
      <c r="A1834" s="3" t="str">
        <f>"ENSG00000164611.13"</f>
        <v>ENSG00000164611.13</v>
      </c>
      <c r="B1834" s="3">
        <v>2157.3805622167802</v>
      </c>
      <c r="C1834" s="3">
        <v>1.2357746358463599</v>
      </c>
      <c r="D1834" s="3">
        <v>0.18319386954445999</v>
      </c>
      <c r="E1834" s="3">
        <v>6.7457204704464404</v>
      </c>
      <c r="F1834" s="4">
        <v>1.52269525004E-11</v>
      </c>
      <c r="G1834" s="4">
        <v>2.6258783213822799E-10</v>
      </c>
      <c r="H1834" s="3" t="str">
        <f>"PTTG1"</f>
        <v>PTTG1</v>
      </c>
      <c r="I1834" s="3" t="str">
        <f t="shared" si="89"/>
        <v>protein_coding</v>
      </c>
    </row>
    <row r="1835" spans="1:9" x14ac:dyDescent="0.2">
      <c r="A1835" s="3" t="str">
        <f>"ENSG00000253522.6"</f>
        <v>ENSG00000253522.6</v>
      </c>
      <c r="B1835" s="3">
        <v>234.12531957934499</v>
      </c>
      <c r="C1835" s="3">
        <v>-1.1871055059476301</v>
      </c>
      <c r="D1835" s="3">
        <v>0.27587771390281701</v>
      </c>
      <c r="E1835" s="3">
        <v>-4.3030134227000598</v>
      </c>
      <c r="F1835" s="4">
        <v>1.68490638256714E-5</v>
      </c>
      <c r="G1835" s="3">
        <v>1.13804274183953E-4</v>
      </c>
      <c r="H1835" s="3" t="str">
        <f>"MIR3142HG"</f>
        <v>MIR3142HG</v>
      </c>
      <c r="I1835" s="3" t="str">
        <f>"lincRNA"</f>
        <v>lincRNA</v>
      </c>
    </row>
    <row r="1836" spans="1:9" x14ac:dyDescent="0.2">
      <c r="A1836" s="3" t="str">
        <f>"ENSG00000022355.17"</f>
        <v>ENSG00000022355.17</v>
      </c>
      <c r="B1836" s="3">
        <v>4.3302005939076098</v>
      </c>
      <c r="C1836" s="3">
        <v>5.5088803257156904</v>
      </c>
      <c r="D1836" s="3">
        <v>2.1104502212244198</v>
      </c>
      <c r="E1836" s="3">
        <v>2.6102867863519599</v>
      </c>
      <c r="F1836" s="3">
        <v>9.0466346159683401E-3</v>
      </c>
      <c r="G1836" s="3">
        <v>2.9246992570157698E-2</v>
      </c>
      <c r="H1836" s="3" t="str">
        <f>"GABRA1"</f>
        <v>GABRA1</v>
      </c>
      <c r="I1836" s="3" t="str">
        <f>"protein_coding"</f>
        <v>protein_coding</v>
      </c>
    </row>
    <row r="1837" spans="1:9" x14ac:dyDescent="0.2">
      <c r="A1837" s="3" t="str">
        <f>"ENSG00000254186.2"</f>
        <v>ENSG00000254186.2</v>
      </c>
      <c r="B1837" s="3">
        <v>24.827265569128201</v>
      </c>
      <c r="C1837" s="3">
        <v>4.1813570106409799</v>
      </c>
      <c r="D1837" s="3">
        <v>0.92229198323734496</v>
      </c>
      <c r="E1837" s="3">
        <v>4.5336586315799403</v>
      </c>
      <c r="F1837" s="4">
        <v>5.7970692121257696E-6</v>
      </c>
      <c r="G1837" s="4">
        <v>4.3203704820238197E-5</v>
      </c>
      <c r="H1837" s="3" t="str">
        <f>"AC113414.1"</f>
        <v>AC113414.1</v>
      </c>
      <c r="I1837" s="3" t="str">
        <f>"antisense"</f>
        <v>antisense</v>
      </c>
    </row>
    <row r="1838" spans="1:9" x14ac:dyDescent="0.2">
      <c r="A1838" s="3" t="str">
        <f>"ENSG00000072571.20"</f>
        <v>ENSG00000072571.20</v>
      </c>
      <c r="B1838" s="3">
        <v>1676.25977949239</v>
      </c>
      <c r="C1838" s="3">
        <v>1.4411646928911599</v>
      </c>
      <c r="D1838" s="3">
        <v>0.20766767952819901</v>
      </c>
      <c r="E1838" s="3">
        <v>6.9397640314821896</v>
      </c>
      <c r="F1838" s="4">
        <v>3.9275541829277698E-12</v>
      </c>
      <c r="G1838" s="4">
        <v>7.2209223226877896E-11</v>
      </c>
      <c r="H1838" s="3" t="str">
        <f>"HMMR"</f>
        <v>HMMR</v>
      </c>
      <c r="I1838" s="3" t="str">
        <f t="shared" ref="I1838:I1849" si="90">"protein_coding"</f>
        <v>protein_coding</v>
      </c>
    </row>
    <row r="1839" spans="1:9" x14ac:dyDescent="0.2">
      <c r="A1839" s="3" t="str">
        <f>"ENSG00000038274.17"</f>
        <v>ENSG00000038274.17</v>
      </c>
      <c r="B1839" s="3">
        <v>1799.1665969183</v>
      </c>
      <c r="C1839" s="3">
        <v>1.0991898466730099</v>
      </c>
      <c r="D1839" s="3">
        <v>0.183663251237663</v>
      </c>
      <c r="E1839" s="3">
        <v>5.9848110020149701</v>
      </c>
      <c r="F1839" s="4">
        <v>2.1664126993582201E-9</v>
      </c>
      <c r="G1839" s="4">
        <v>2.80685909745189E-8</v>
      </c>
      <c r="H1839" s="3" t="str">
        <f>"MAT2B"</f>
        <v>MAT2B</v>
      </c>
      <c r="I1839" s="3" t="str">
        <f t="shared" si="90"/>
        <v>protein_coding</v>
      </c>
    </row>
    <row r="1840" spans="1:9" x14ac:dyDescent="0.2">
      <c r="A1840" s="3" t="str">
        <f>"ENSG00000145934.16"</f>
        <v>ENSG00000145934.16</v>
      </c>
      <c r="B1840" s="3">
        <v>17.363052061183001</v>
      </c>
      <c r="C1840" s="3">
        <v>7.5156803743868998</v>
      </c>
      <c r="D1840" s="3">
        <v>1.6399883627067799</v>
      </c>
      <c r="E1840" s="3">
        <v>4.5827644544881698</v>
      </c>
      <c r="F1840" s="4">
        <v>4.5886882866630496E-6</v>
      </c>
      <c r="G1840" s="4">
        <v>3.48947780482021E-5</v>
      </c>
      <c r="H1840" s="3" t="str">
        <f>"TENM2"</f>
        <v>TENM2</v>
      </c>
      <c r="I1840" s="3" t="str">
        <f t="shared" si="90"/>
        <v>protein_coding</v>
      </c>
    </row>
    <row r="1841" spans="1:9" x14ac:dyDescent="0.2">
      <c r="A1841" s="3" t="str">
        <f>"ENSG00000113645.14"</f>
        <v>ENSG00000113645.14</v>
      </c>
      <c r="B1841" s="3">
        <v>1257.23152673756</v>
      </c>
      <c r="C1841" s="3">
        <v>-1.05590494547721</v>
      </c>
      <c r="D1841" s="3">
        <v>0.196747819377246</v>
      </c>
      <c r="E1841" s="3">
        <v>-5.3667936387778301</v>
      </c>
      <c r="F1841" s="4">
        <v>8.0148668258791897E-8</v>
      </c>
      <c r="G1841" s="4">
        <v>8.2657485391646604E-7</v>
      </c>
      <c r="H1841" s="3" t="str">
        <f>"WWC1"</f>
        <v>WWC1</v>
      </c>
      <c r="I1841" s="3" t="str">
        <f t="shared" si="90"/>
        <v>protein_coding</v>
      </c>
    </row>
    <row r="1842" spans="1:9" x14ac:dyDescent="0.2">
      <c r="A1842" s="3" t="str">
        <f>"ENSG00000134516.16"</f>
        <v>ENSG00000134516.16</v>
      </c>
      <c r="B1842" s="3">
        <v>22.9738207526906</v>
      </c>
      <c r="C1842" s="3">
        <v>4.8425010578577599</v>
      </c>
      <c r="D1842" s="3">
        <v>1.0665727921403401</v>
      </c>
      <c r="E1842" s="3">
        <v>4.5402443166959996</v>
      </c>
      <c r="F1842" s="4">
        <v>5.6189080353368804E-6</v>
      </c>
      <c r="G1842" s="4">
        <v>4.20368992967666E-5</v>
      </c>
      <c r="H1842" s="3" t="str">
        <f>"DOCK2"</f>
        <v>DOCK2</v>
      </c>
      <c r="I1842" s="3" t="str">
        <f t="shared" si="90"/>
        <v>protein_coding</v>
      </c>
    </row>
    <row r="1843" spans="1:9" x14ac:dyDescent="0.2">
      <c r="A1843" s="3" t="str">
        <f>"ENSG00000094755.17"</f>
        <v>ENSG00000094755.17</v>
      </c>
      <c r="B1843" s="3">
        <v>4.6261170131073301</v>
      </c>
      <c r="C1843" s="3">
        <v>5.6094325569646601</v>
      </c>
      <c r="D1843" s="3">
        <v>2.08410562928304</v>
      </c>
      <c r="E1843" s="3">
        <v>2.6915298716862002</v>
      </c>
      <c r="F1843" s="3">
        <v>7.1125128459038501E-3</v>
      </c>
      <c r="G1843" s="3">
        <v>2.39370846729672E-2</v>
      </c>
      <c r="H1843" s="3" t="str">
        <f>"GABRP"</f>
        <v>GABRP</v>
      </c>
      <c r="I1843" s="3" t="str">
        <f t="shared" si="90"/>
        <v>protein_coding</v>
      </c>
    </row>
    <row r="1844" spans="1:9" x14ac:dyDescent="0.2">
      <c r="A1844" s="3" t="str">
        <f>"ENSG00000204764.14"</f>
        <v>ENSG00000204764.14</v>
      </c>
      <c r="B1844" s="3">
        <v>13.591246300046</v>
      </c>
      <c r="C1844" s="3">
        <v>3.5958372301610599</v>
      </c>
      <c r="D1844" s="3">
        <v>1.1249125227119301</v>
      </c>
      <c r="E1844" s="3">
        <v>3.1965483160346002</v>
      </c>
      <c r="F1844" s="3">
        <v>1.3908253103098801E-3</v>
      </c>
      <c r="G1844" s="3">
        <v>5.8890158865599696E-3</v>
      </c>
      <c r="H1844" s="3" t="str">
        <f>"RANBP17"</f>
        <v>RANBP17</v>
      </c>
      <c r="I1844" s="3" t="str">
        <f t="shared" si="90"/>
        <v>protein_coding</v>
      </c>
    </row>
    <row r="1845" spans="1:9" x14ac:dyDescent="0.2">
      <c r="A1845" s="3" t="str">
        <f>"ENSG00000174705.13"</f>
        <v>ENSG00000174705.13</v>
      </c>
      <c r="B1845" s="3">
        <v>573.36505120893196</v>
      </c>
      <c r="C1845" s="3">
        <v>-1.22166317888007</v>
      </c>
      <c r="D1845" s="3">
        <v>0.220941879705321</v>
      </c>
      <c r="E1845" s="3">
        <v>-5.5293418364569602</v>
      </c>
      <c r="F1845" s="4">
        <v>3.2143445480607101E-8</v>
      </c>
      <c r="G1845" s="4">
        <v>3.5529917201221202E-7</v>
      </c>
      <c r="H1845" s="3" t="str">
        <f>"SH3PXD2B"</f>
        <v>SH3PXD2B</v>
      </c>
      <c r="I1845" s="3" t="str">
        <f t="shared" si="90"/>
        <v>protein_coding</v>
      </c>
    </row>
    <row r="1846" spans="1:9" x14ac:dyDescent="0.2">
      <c r="A1846" s="3" t="str">
        <f>"ENSG00000214357.8"</f>
        <v>ENSG00000214357.8</v>
      </c>
      <c r="B1846" s="3">
        <v>374.16760786751098</v>
      </c>
      <c r="C1846" s="3">
        <v>2.5221236453855398</v>
      </c>
      <c r="D1846" s="3">
        <v>0.25208660275886102</v>
      </c>
      <c r="E1846" s="3">
        <v>10.0049888323424</v>
      </c>
      <c r="F1846" s="4">
        <v>1.44908039960302E-23</v>
      </c>
      <c r="G1846" s="4">
        <v>7.2446043390795403E-22</v>
      </c>
      <c r="H1846" s="3" t="str">
        <f>"NEURL1B"</f>
        <v>NEURL1B</v>
      </c>
      <c r="I1846" s="3" t="str">
        <f t="shared" si="90"/>
        <v>protein_coding</v>
      </c>
    </row>
    <row r="1847" spans="1:9" x14ac:dyDescent="0.2">
      <c r="A1847" s="3" t="str">
        <f>"ENSG00000164463.12"</f>
        <v>ENSG00000164463.12</v>
      </c>
      <c r="B1847" s="3">
        <v>788.58968259101005</v>
      </c>
      <c r="C1847" s="3">
        <v>1.7544512523595801</v>
      </c>
      <c r="D1847" s="3">
        <v>0.20937139327536899</v>
      </c>
      <c r="E1847" s="3">
        <v>8.3796130164358207</v>
      </c>
      <c r="F1847" s="4">
        <v>5.3102005196762E-17</v>
      </c>
      <c r="G1847" s="4">
        <v>1.57783024601546E-15</v>
      </c>
      <c r="H1847" s="3" t="str">
        <f>"CREBRF"</f>
        <v>CREBRF</v>
      </c>
      <c r="I1847" s="3" t="str">
        <f t="shared" si="90"/>
        <v>protein_coding</v>
      </c>
    </row>
    <row r="1848" spans="1:9" x14ac:dyDescent="0.2">
      <c r="A1848" s="3" t="str">
        <f>"ENSG00000183072.10"</f>
        <v>ENSG00000183072.10</v>
      </c>
      <c r="B1848" s="3">
        <v>132.30232316255001</v>
      </c>
      <c r="C1848" s="3">
        <v>1.0229821284472</v>
      </c>
      <c r="D1848" s="3">
        <v>0.33484775743216399</v>
      </c>
      <c r="E1848" s="3">
        <v>3.0550663868622299</v>
      </c>
      <c r="F1848" s="3">
        <v>2.2501070972122698E-3</v>
      </c>
      <c r="G1848" s="3">
        <v>8.91479573518387E-3</v>
      </c>
      <c r="H1848" s="3" t="str">
        <f>"NKX2-5"</f>
        <v>NKX2-5</v>
      </c>
      <c r="I1848" s="3" t="str">
        <f t="shared" si="90"/>
        <v>protein_coding</v>
      </c>
    </row>
    <row r="1849" spans="1:9" x14ac:dyDescent="0.2">
      <c r="A1849" s="3" t="str">
        <f>"ENSG00000113739.10"</f>
        <v>ENSG00000113739.10</v>
      </c>
      <c r="B1849" s="3">
        <v>3777.3136704243602</v>
      </c>
      <c r="C1849" s="3">
        <v>-2.07702909363084</v>
      </c>
      <c r="D1849" s="3">
        <v>0.17413907318017799</v>
      </c>
      <c r="E1849" s="3">
        <v>-11.927415574802</v>
      </c>
      <c r="F1849" s="4">
        <v>8.5176987977020696E-33</v>
      </c>
      <c r="G1849" s="4">
        <v>7.8939367054757899E-31</v>
      </c>
      <c r="H1849" s="3" t="str">
        <f>"STC2"</f>
        <v>STC2</v>
      </c>
      <c r="I1849" s="3" t="str">
        <f t="shared" si="90"/>
        <v>protein_coding</v>
      </c>
    </row>
    <row r="1850" spans="1:9" x14ac:dyDescent="0.2">
      <c r="A1850" s="3" t="str">
        <f>"ENSG00000253686.1"</f>
        <v>ENSG00000253686.1</v>
      </c>
      <c r="B1850" s="3">
        <v>236.809530531929</v>
      </c>
      <c r="C1850" s="3">
        <v>1.70907282228391</v>
      </c>
      <c r="D1850" s="3">
        <v>0.27984400849414398</v>
      </c>
      <c r="E1850" s="3">
        <v>6.1072339246444098</v>
      </c>
      <c r="F1850" s="4">
        <v>1.0137261054539701E-9</v>
      </c>
      <c r="G1850" s="4">
        <v>1.3755475694872599E-8</v>
      </c>
      <c r="H1850" s="3" t="str">
        <f>"LINC01484"</f>
        <v>LINC01484</v>
      </c>
      <c r="I1850" s="3" t="str">
        <f>"lincRNA"</f>
        <v>lincRNA</v>
      </c>
    </row>
    <row r="1851" spans="1:9" x14ac:dyDescent="0.2">
      <c r="A1851" s="3" t="str">
        <f>"ENSG00000113742.13"</f>
        <v>ENSG00000113742.13</v>
      </c>
      <c r="B1851" s="3">
        <v>4064.2717281590599</v>
      </c>
      <c r="C1851" s="3">
        <v>2.1707768377326802</v>
      </c>
      <c r="D1851" s="3">
        <v>0.17772662570002001</v>
      </c>
      <c r="E1851" s="3">
        <v>12.214134090390401</v>
      </c>
      <c r="F1851" s="4">
        <v>2.6126836333351899E-34</v>
      </c>
      <c r="G1851" s="4">
        <v>2.6268557548887E-32</v>
      </c>
      <c r="H1851" s="3" t="str">
        <f>"CPEB4"</f>
        <v>CPEB4</v>
      </c>
      <c r="I1851" s="3" t="str">
        <f t="shared" ref="I1851:I1860" si="91">"protein_coding"</f>
        <v>protein_coding</v>
      </c>
    </row>
    <row r="1852" spans="1:9" x14ac:dyDescent="0.2">
      <c r="A1852" s="3" t="str">
        <f>"ENSG00000145920.15"</f>
        <v>ENSG00000145920.15</v>
      </c>
      <c r="B1852" s="3">
        <v>11106.053664891801</v>
      </c>
      <c r="C1852" s="3">
        <v>-2.5227767876790801</v>
      </c>
      <c r="D1852" s="3">
        <v>0.19847867369528899</v>
      </c>
      <c r="E1852" s="3">
        <v>-12.7105685498087</v>
      </c>
      <c r="F1852" s="4">
        <v>5.1657490404770097E-37</v>
      </c>
      <c r="G1852" s="4">
        <v>6.14633904392477E-35</v>
      </c>
      <c r="H1852" s="3" t="str">
        <f>"CPLX2"</f>
        <v>CPLX2</v>
      </c>
      <c r="I1852" s="3" t="str">
        <f t="shared" si="91"/>
        <v>protein_coding</v>
      </c>
    </row>
    <row r="1853" spans="1:9" x14ac:dyDescent="0.2">
      <c r="A1853" s="3" t="str">
        <f>"ENSG00000048162.20"</f>
        <v>ENSG00000048162.20</v>
      </c>
      <c r="B1853" s="3">
        <v>1086.80612703468</v>
      </c>
      <c r="C1853" s="3">
        <v>-1.49021030000635</v>
      </c>
      <c r="D1853" s="3">
        <v>0.21775039464645601</v>
      </c>
      <c r="E1853" s="3">
        <v>-6.8436629124180399</v>
      </c>
      <c r="F1853" s="4">
        <v>7.7193445006142897E-12</v>
      </c>
      <c r="G1853" s="4">
        <v>1.3746992131257399E-10</v>
      </c>
      <c r="H1853" s="3" t="str">
        <f>"NOP16"</f>
        <v>NOP16</v>
      </c>
      <c r="I1853" s="3" t="str">
        <f t="shared" si="91"/>
        <v>protein_coding</v>
      </c>
    </row>
    <row r="1854" spans="1:9" x14ac:dyDescent="0.2">
      <c r="A1854" s="3" t="str">
        <f>"ENSG00000074276.10"</f>
        <v>ENSG00000074276.10</v>
      </c>
      <c r="B1854" s="3">
        <v>662.51981875171498</v>
      </c>
      <c r="C1854" s="3">
        <v>-1.2025506619294299</v>
      </c>
      <c r="D1854" s="3">
        <v>0.21848828897539299</v>
      </c>
      <c r="E1854" s="3">
        <v>-5.5039593543838103</v>
      </c>
      <c r="F1854" s="4">
        <v>3.7135519913166598E-8</v>
      </c>
      <c r="G1854" s="4">
        <v>4.0554369181324699E-7</v>
      </c>
      <c r="H1854" s="3" t="str">
        <f>"CDHR2"</f>
        <v>CDHR2</v>
      </c>
      <c r="I1854" s="3" t="str">
        <f t="shared" si="91"/>
        <v>protein_coding</v>
      </c>
    </row>
    <row r="1855" spans="1:9" x14ac:dyDescent="0.2">
      <c r="A1855" s="3" t="str">
        <f>"ENSG00000169258.7"</f>
        <v>ENSG00000169258.7</v>
      </c>
      <c r="B1855" s="3">
        <v>155.510258291377</v>
      </c>
      <c r="C1855" s="3">
        <v>-1.30894088717683</v>
      </c>
      <c r="D1855" s="3">
        <v>0.31361424631579898</v>
      </c>
      <c r="E1855" s="3">
        <v>-4.1737290399070996</v>
      </c>
      <c r="F1855" s="4">
        <v>2.9965411686062399E-5</v>
      </c>
      <c r="G1855" s="3">
        <v>1.92245719851694E-4</v>
      </c>
      <c r="H1855" s="3" t="str">
        <f>"GPRIN1"</f>
        <v>GPRIN1</v>
      </c>
      <c r="I1855" s="3" t="str">
        <f t="shared" si="91"/>
        <v>protein_coding</v>
      </c>
    </row>
    <row r="1856" spans="1:9" x14ac:dyDescent="0.2">
      <c r="A1856" s="3" t="str">
        <f>"ENSG00000160867.15"</f>
        <v>ENSG00000160867.15</v>
      </c>
      <c r="B1856" s="3">
        <v>7980.2392911243796</v>
      </c>
      <c r="C1856" s="3">
        <v>-2.51806641180562</v>
      </c>
      <c r="D1856" s="3">
        <v>0.224865032937447</v>
      </c>
      <c r="E1856" s="3">
        <v>-11.198123509519201</v>
      </c>
      <c r="F1856" s="4">
        <v>4.1646136481773398E-29</v>
      </c>
      <c r="G1856" s="4">
        <v>3.0098999488564401E-27</v>
      </c>
      <c r="H1856" s="3" t="str">
        <f>"FGFR4"</f>
        <v>FGFR4</v>
      </c>
      <c r="I1856" s="3" t="str">
        <f t="shared" si="91"/>
        <v>protein_coding</v>
      </c>
    </row>
    <row r="1857" spans="1:9" x14ac:dyDescent="0.2">
      <c r="A1857" s="3" t="str">
        <f>"ENSG00000165671.20"</f>
        <v>ENSG00000165671.20</v>
      </c>
      <c r="B1857" s="3">
        <v>17.668034797089</v>
      </c>
      <c r="C1857" s="3">
        <v>2.71983003852089</v>
      </c>
      <c r="D1857" s="3">
        <v>0.88425684073635802</v>
      </c>
      <c r="E1857" s="3">
        <v>3.0758371473337802</v>
      </c>
      <c r="F1857" s="3">
        <v>2.0991246108348701E-3</v>
      </c>
      <c r="G1857" s="3">
        <v>8.4072979966805603E-3</v>
      </c>
      <c r="H1857" s="3" t="str">
        <f>"NSD1"</f>
        <v>NSD1</v>
      </c>
      <c r="I1857" s="3" t="str">
        <f t="shared" si="91"/>
        <v>protein_coding</v>
      </c>
    </row>
    <row r="1858" spans="1:9" x14ac:dyDescent="0.2">
      <c r="A1858" s="3" t="str">
        <f>"ENSG00000169230.10"</f>
        <v>ENSG00000169230.10</v>
      </c>
      <c r="B1858" s="3">
        <v>3880.9642472332298</v>
      </c>
      <c r="C1858" s="3">
        <v>-1.40363793545214</v>
      </c>
      <c r="D1858" s="3">
        <v>0.24080068006760799</v>
      </c>
      <c r="E1858" s="3">
        <v>-5.8290447313439602</v>
      </c>
      <c r="F1858" s="4">
        <v>5.5745560782619303E-9</v>
      </c>
      <c r="G1858" s="4">
        <v>6.8542386942420004E-8</v>
      </c>
      <c r="H1858" s="3" t="str">
        <f>"PRELID1"</f>
        <v>PRELID1</v>
      </c>
      <c r="I1858" s="3" t="str">
        <f t="shared" si="91"/>
        <v>protein_coding</v>
      </c>
    </row>
    <row r="1859" spans="1:9" x14ac:dyDescent="0.2">
      <c r="A1859" s="3" t="str">
        <f>"ENSG00000131183.11"</f>
        <v>ENSG00000131183.11</v>
      </c>
      <c r="B1859" s="3">
        <v>11.7969926852335</v>
      </c>
      <c r="C1859" s="3">
        <v>-3.94291066206342</v>
      </c>
      <c r="D1859" s="3">
        <v>1.2342387576042699</v>
      </c>
      <c r="E1859" s="3">
        <v>-3.1946093393767998</v>
      </c>
      <c r="F1859" s="3">
        <v>1.4002023459688999E-3</v>
      </c>
      <c r="G1859" s="3">
        <v>5.9241169752506997E-3</v>
      </c>
      <c r="H1859" s="3" t="str">
        <f>"SLC34A1"</f>
        <v>SLC34A1</v>
      </c>
      <c r="I1859" s="3" t="str">
        <f t="shared" si="91"/>
        <v>protein_coding</v>
      </c>
    </row>
    <row r="1860" spans="1:9" x14ac:dyDescent="0.2">
      <c r="A1860" s="3" t="str">
        <f>"ENSG00000198055.11"</f>
        <v>ENSG00000198055.11</v>
      </c>
      <c r="B1860" s="3">
        <v>1041.9945903861001</v>
      </c>
      <c r="C1860" s="3">
        <v>-1.2905286494466099</v>
      </c>
      <c r="D1860" s="3">
        <v>0.23015915982445601</v>
      </c>
      <c r="E1860" s="3">
        <v>-5.6071140094137801</v>
      </c>
      <c r="F1860" s="4">
        <v>2.0572815156770399E-8</v>
      </c>
      <c r="G1860" s="4">
        <v>2.34538700659633E-7</v>
      </c>
      <c r="H1860" s="3" t="str">
        <f>"GRK6"</f>
        <v>GRK6</v>
      </c>
      <c r="I1860" s="3" t="str">
        <f t="shared" si="91"/>
        <v>protein_coding</v>
      </c>
    </row>
    <row r="1861" spans="1:9" x14ac:dyDescent="0.2">
      <c r="A1861" s="3" t="str">
        <f>"ENSG00000246334.2"</f>
        <v>ENSG00000246334.2</v>
      </c>
      <c r="B1861" s="3">
        <v>208.49282293608201</v>
      </c>
      <c r="C1861" s="3">
        <v>-1.2239845479340199</v>
      </c>
      <c r="D1861" s="3">
        <v>0.32215391471133098</v>
      </c>
      <c r="E1861" s="3">
        <v>-3.7993781606869099</v>
      </c>
      <c r="F1861" s="3">
        <v>1.4505960530320701E-4</v>
      </c>
      <c r="G1861" s="3">
        <v>7.9976508816197601E-4</v>
      </c>
      <c r="H1861" s="3" t="str">
        <f>"PRR7-AS1"</f>
        <v>PRR7-AS1</v>
      </c>
      <c r="I1861" s="3" t="str">
        <f>"antisense"</f>
        <v>antisense</v>
      </c>
    </row>
    <row r="1862" spans="1:9" x14ac:dyDescent="0.2">
      <c r="A1862" s="3" t="str">
        <f>"ENSG00000113758.13"</f>
        <v>ENSG00000113758.13</v>
      </c>
      <c r="B1862" s="3">
        <v>2450.3843595929402</v>
      </c>
      <c r="C1862" s="3">
        <v>-1.2316268802291499</v>
      </c>
      <c r="D1862" s="3">
        <v>0.21875815745392699</v>
      </c>
      <c r="E1862" s="3">
        <v>-5.6300843569161501</v>
      </c>
      <c r="F1862" s="4">
        <v>1.8012150389458798E-8</v>
      </c>
      <c r="G1862" s="4">
        <v>2.0681713512919601E-7</v>
      </c>
      <c r="H1862" s="3" t="str">
        <f>"DBN1"</f>
        <v>DBN1</v>
      </c>
      <c r="I1862" s="3" t="str">
        <f t="shared" ref="I1862:I1867" si="92">"protein_coding"</f>
        <v>protein_coding</v>
      </c>
    </row>
    <row r="1863" spans="1:9" x14ac:dyDescent="0.2">
      <c r="A1863" s="3" t="str">
        <f>"ENSG00000145911.6"</f>
        <v>ENSG00000145911.6</v>
      </c>
      <c r="B1863" s="3">
        <v>31.658615214769199</v>
      </c>
      <c r="C1863" s="3">
        <v>2.4485601245058701</v>
      </c>
      <c r="D1863" s="3">
        <v>0.65206189520714897</v>
      </c>
      <c r="E1863" s="3">
        <v>3.7551038367730398</v>
      </c>
      <c r="F1863" s="3">
        <v>1.7326962855976E-4</v>
      </c>
      <c r="G1863" s="3">
        <v>9.3672173995392502E-4</v>
      </c>
      <c r="H1863" s="3" t="str">
        <f>"N4BP3"</f>
        <v>N4BP3</v>
      </c>
      <c r="I1863" s="3" t="str">
        <f t="shared" si="92"/>
        <v>protein_coding</v>
      </c>
    </row>
    <row r="1864" spans="1:9" x14ac:dyDescent="0.2">
      <c r="A1864" s="3" t="str">
        <f>"ENSG00000145912.8"</f>
        <v>ENSG00000145912.8</v>
      </c>
      <c r="B1864" s="3">
        <v>1619.5604451566301</v>
      </c>
      <c r="C1864" s="3">
        <v>-1.57330879572455</v>
      </c>
      <c r="D1864" s="3">
        <v>0.238852437872347</v>
      </c>
      <c r="E1864" s="3">
        <v>-6.5869488699353003</v>
      </c>
      <c r="F1864" s="4">
        <v>4.4895680139870499E-11</v>
      </c>
      <c r="G1864" s="4">
        <v>7.3162236648986301E-10</v>
      </c>
      <c r="H1864" s="3" t="str">
        <f>"NHP2"</f>
        <v>NHP2</v>
      </c>
      <c r="I1864" s="3" t="str">
        <f t="shared" si="92"/>
        <v>protein_coding</v>
      </c>
    </row>
    <row r="1865" spans="1:9" x14ac:dyDescent="0.2">
      <c r="A1865" s="3" t="str">
        <f>"ENSG00000050767.17"</f>
        <v>ENSG00000050767.17</v>
      </c>
      <c r="B1865" s="3">
        <v>6.4953008908614098</v>
      </c>
      <c r="C1865" s="3">
        <v>6.0938533645281696</v>
      </c>
      <c r="D1865" s="3">
        <v>1.91564597028766</v>
      </c>
      <c r="E1865" s="3">
        <v>3.1810958073913298</v>
      </c>
      <c r="F1865" s="3">
        <v>1.4671909944337601E-3</v>
      </c>
      <c r="G1865" s="3">
        <v>6.16731765278258E-3</v>
      </c>
      <c r="H1865" s="3" t="str">
        <f>"COL23A1"</f>
        <v>COL23A1</v>
      </c>
      <c r="I1865" s="3" t="str">
        <f t="shared" si="92"/>
        <v>protein_coding</v>
      </c>
    </row>
    <row r="1866" spans="1:9" x14ac:dyDescent="0.2">
      <c r="A1866" s="3" t="str">
        <f>"ENSG00000087116.16"</f>
        <v>ENSG00000087116.16</v>
      </c>
      <c r="B1866" s="3">
        <v>718.21976957818595</v>
      </c>
      <c r="C1866" s="3">
        <v>1.23686307823848</v>
      </c>
      <c r="D1866" s="3">
        <v>0.21503894930985701</v>
      </c>
      <c r="E1866" s="3">
        <v>5.7518095312874804</v>
      </c>
      <c r="F1866" s="4">
        <v>8.8293242894916398E-9</v>
      </c>
      <c r="G1866" s="4">
        <v>1.05606935432739E-7</v>
      </c>
      <c r="H1866" s="3" t="str">
        <f>"ADAMTS2"</f>
        <v>ADAMTS2</v>
      </c>
      <c r="I1866" s="3" t="str">
        <f t="shared" si="92"/>
        <v>protein_coding</v>
      </c>
    </row>
    <row r="1867" spans="1:9" x14ac:dyDescent="0.2">
      <c r="A1867" s="3" t="str">
        <f>"ENSG00000204661.9"</f>
        <v>ENSG00000204661.9</v>
      </c>
      <c r="B1867" s="3">
        <v>9.5814261287582507</v>
      </c>
      <c r="C1867" s="3">
        <v>4.1331666218384404</v>
      </c>
      <c r="D1867" s="3">
        <v>1.4234826548452799</v>
      </c>
      <c r="E1867" s="3">
        <v>2.9035595254848299</v>
      </c>
      <c r="F1867" s="3">
        <v>3.6894682749526201E-3</v>
      </c>
      <c r="G1867" s="3">
        <v>1.3694863616615E-2</v>
      </c>
      <c r="H1867" s="3" t="str">
        <f>"C5orf60"</f>
        <v>C5orf60</v>
      </c>
      <c r="I1867" s="3" t="str">
        <f t="shared" si="92"/>
        <v>protein_coding</v>
      </c>
    </row>
    <row r="1868" spans="1:9" x14ac:dyDescent="0.2">
      <c r="A1868" s="3" t="str">
        <f>"ENSG00000250999.1"</f>
        <v>ENSG00000250999.1</v>
      </c>
      <c r="B1868" s="3">
        <v>69.455537377787493</v>
      </c>
      <c r="C1868" s="3">
        <v>2.1580507999446099</v>
      </c>
      <c r="D1868" s="3">
        <v>0.50077502199219204</v>
      </c>
      <c r="E1868" s="3">
        <v>4.3094218065418204</v>
      </c>
      <c r="F1868" s="4">
        <v>1.6368191759212201E-5</v>
      </c>
      <c r="G1868" s="3">
        <v>1.1091373311695E-4</v>
      </c>
      <c r="H1868" s="3" t="str">
        <f>"AC136604.3"</f>
        <v>AC136604.3</v>
      </c>
      <c r="I1868" s="3" t="str">
        <f>"antisense"</f>
        <v>antisense</v>
      </c>
    </row>
    <row r="1869" spans="1:9" x14ac:dyDescent="0.2">
      <c r="A1869" s="3" t="str">
        <f>"ENSG00000161013.17"</f>
        <v>ENSG00000161013.17</v>
      </c>
      <c r="B1869" s="3">
        <v>4249.7678172083697</v>
      </c>
      <c r="C1869" s="3">
        <v>-1.03048570817174</v>
      </c>
      <c r="D1869" s="3">
        <v>0.192238091724101</v>
      </c>
      <c r="E1869" s="3">
        <v>-5.3604657585276199</v>
      </c>
      <c r="F1869" s="4">
        <v>8.3007660125971106E-8</v>
      </c>
      <c r="G1869" s="4">
        <v>8.5315341963498095E-7</v>
      </c>
      <c r="H1869" s="3" t="str">
        <f>"MGAT4B"</f>
        <v>MGAT4B</v>
      </c>
      <c r="I1869" s="3" t="str">
        <f>"protein_coding"</f>
        <v>protein_coding</v>
      </c>
    </row>
    <row r="1870" spans="1:9" x14ac:dyDescent="0.2">
      <c r="A1870" s="3" t="str">
        <f>"ENSG00000197226.12"</f>
        <v>ENSG00000197226.12</v>
      </c>
      <c r="B1870" s="3">
        <v>2988.9547884737499</v>
      </c>
      <c r="C1870" s="3">
        <v>-1.2966080848545201</v>
      </c>
      <c r="D1870" s="3">
        <v>0.19847820300480901</v>
      </c>
      <c r="E1870" s="3">
        <v>-6.5327480056996396</v>
      </c>
      <c r="F1870" s="4">
        <v>6.45737425438113E-11</v>
      </c>
      <c r="G1870" s="4">
        <v>1.0355743161219701E-9</v>
      </c>
      <c r="H1870" s="3" t="str">
        <f>"TBC1D9B"</f>
        <v>TBC1D9B</v>
      </c>
      <c r="I1870" s="3" t="str">
        <f>"protein_coding"</f>
        <v>protein_coding</v>
      </c>
    </row>
    <row r="1871" spans="1:9" x14ac:dyDescent="0.2">
      <c r="A1871" s="3" t="str">
        <f>"ENSG00000113300.12"</f>
        <v>ENSG00000113300.12</v>
      </c>
      <c r="B1871" s="3">
        <v>2921.6080329505398</v>
      </c>
      <c r="C1871" s="3">
        <v>1.1538470170349</v>
      </c>
      <c r="D1871" s="3">
        <v>0.186534682295002</v>
      </c>
      <c r="E1871" s="3">
        <v>6.1856969590786601</v>
      </c>
      <c r="F1871" s="4">
        <v>6.1828683303955497E-10</v>
      </c>
      <c r="G1871" s="4">
        <v>8.6215257624507503E-9</v>
      </c>
      <c r="H1871" s="3" t="str">
        <f>"CNOT6"</f>
        <v>CNOT6</v>
      </c>
      <c r="I1871" s="3" t="str">
        <f>"protein_coding"</f>
        <v>protein_coding</v>
      </c>
    </row>
    <row r="1872" spans="1:9" x14ac:dyDescent="0.2">
      <c r="A1872" s="3" t="str">
        <f>"ENSG00000161055.4"</f>
        <v>ENSG00000161055.4</v>
      </c>
      <c r="B1872" s="3">
        <v>13.485705674961199</v>
      </c>
      <c r="C1872" s="3">
        <v>3.2415819458753101</v>
      </c>
      <c r="D1872" s="3">
        <v>1.0921436764248</v>
      </c>
      <c r="E1872" s="3">
        <v>2.9680911182737701</v>
      </c>
      <c r="F1872" s="3">
        <v>2.99655485897169E-3</v>
      </c>
      <c r="G1872" s="3">
        <v>1.1441582152802899E-2</v>
      </c>
      <c r="H1872" s="3" t="str">
        <f>"SCGB3A1"</f>
        <v>SCGB3A1</v>
      </c>
      <c r="I1872" s="3" t="str">
        <f>"protein_coding"</f>
        <v>protein_coding</v>
      </c>
    </row>
    <row r="1873" spans="1:9" x14ac:dyDescent="0.2">
      <c r="A1873" s="3" t="str">
        <f>"ENSG00000165810.17"</f>
        <v>ENSG00000165810.17</v>
      </c>
      <c r="B1873" s="3">
        <v>6.2357904754309503</v>
      </c>
      <c r="C1873" s="3">
        <v>4.5358228902289399</v>
      </c>
      <c r="D1873" s="3">
        <v>1.9013029086312601</v>
      </c>
      <c r="E1873" s="3">
        <v>2.3856392738042298</v>
      </c>
      <c r="F1873" s="3">
        <v>1.7049465287305401E-2</v>
      </c>
      <c r="G1873" s="3">
        <v>4.95939767997449E-2</v>
      </c>
      <c r="H1873" s="3" t="str">
        <f>"BTNL9"</f>
        <v>BTNL9</v>
      </c>
      <c r="I1873" s="3" t="str">
        <f>"protein_coding"</f>
        <v>protein_coding</v>
      </c>
    </row>
    <row r="1874" spans="1:9" x14ac:dyDescent="0.2">
      <c r="A1874" s="3" t="str">
        <f>"ENSG00000263667.2"</f>
        <v>ENSG00000263667.2</v>
      </c>
      <c r="B1874" s="3">
        <v>4.4056825938939799</v>
      </c>
      <c r="C1874" s="3">
        <v>5.5386844559520796</v>
      </c>
      <c r="D1874" s="3">
        <v>2.1077177075898899</v>
      </c>
      <c r="E1874" s="3">
        <v>2.62781132217434</v>
      </c>
      <c r="F1874" s="3">
        <v>8.5936166095153897E-3</v>
      </c>
      <c r="G1874" s="3">
        <v>2.8031877380517899E-2</v>
      </c>
      <c r="H1874" s="3" t="str">
        <f>"AL035696.3"</f>
        <v>AL035696.3</v>
      </c>
      <c r="I1874" s="3" t="str">
        <f>"lincRNA"</f>
        <v>lincRNA</v>
      </c>
    </row>
    <row r="1875" spans="1:9" x14ac:dyDescent="0.2">
      <c r="A1875" s="3" t="str">
        <f>"ENSG00000164379.7"</f>
        <v>ENSG00000164379.7</v>
      </c>
      <c r="B1875" s="3">
        <v>5648.7332163996298</v>
      </c>
      <c r="C1875" s="3">
        <v>-1.09844041724608</v>
      </c>
      <c r="D1875" s="3">
        <v>0.17254960620634199</v>
      </c>
      <c r="E1875" s="3">
        <v>-6.3659398673592102</v>
      </c>
      <c r="F1875" s="4">
        <v>1.94097469926746E-10</v>
      </c>
      <c r="G1875" s="4">
        <v>2.89249758290758E-9</v>
      </c>
      <c r="H1875" s="3" t="str">
        <f>"FOXQ1"</f>
        <v>FOXQ1</v>
      </c>
      <c r="I1875" s="3" t="str">
        <f>"protein_coding"</f>
        <v>protein_coding</v>
      </c>
    </row>
    <row r="1876" spans="1:9" x14ac:dyDescent="0.2">
      <c r="A1876" s="3" t="str">
        <f>"ENSG00000112699.11"</f>
        <v>ENSG00000112699.11</v>
      </c>
      <c r="B1876" s="3">
        <v>2912.18152551105</v>
      </c>
      <c r="C1876" s="3">
        <v>-1.45080353448787</v>
      </c>
      <c r="D1876" s="3">
        <v>0.18386444365878399</v>
      </c>
      <c r="E1876" s="3">
        <v>-7.8906149857896297</v>
      </c>
      <c r="F1876" s="4">
        <v>3.0070101070557998E-15</v>
      </c>
      <c r="G1876" s="4">
        <v>7.6859291169746201E-14</v>
      </c>
      <c r="H1876" s="3" t="str">
        <f>"GMDS"</f>
        <v>GMDS</v>
      </c>
      <c r="I1876" s="3" t="str">
        <f>"protein_coding"</f>
        <v>protein_coding</v>
      </c>
    </row>
    <row r="1877" spans="1:9" x14ac:dyDescent="0.2">
      <c r="A1877" s="3" t="str">
        <f>"ENSG00000250903.8"</f>
        <v>ENSG00000250903.8</v>
      </c>
      <c r="B1877" s="3">
        <v>1124.97317112111</v>
      </c>
      <c r="C1877" s="3">
        <v>1.0676721979153401</v>
      </c>
      <c r="D1877" s="3">
        <v>0.195709590154407</v>
      </c>
      <c r="E1877" s="3">
        <v>5.4553902906494702</v>
      </c>
      <c r="F1877" s="4">
        <v>4.8865394572107203E-8</v>
      </c>
      <c r="G1877" s="4">
        <v>5.2377474661927801E-7</v>
      </c>
      <c r="H1877" s="3" t="str">
        <f>"GMDS-DT"</f>
        <v>GMDS-DT</v>
      </c>
      <c r="I1877" s="3" t="str">
        <f>"lincRNA"</f>
        <v>lincRNA</v>
      </c>
    </row>
    <row r="1878" spans="1:9" x14ac:dyDescent="0.2">
      <c r="A1878" s="3" t="str">
        <f>"ENSG00000124535.15"</f>
        <v>ENSG00000124535.15</v>
      </c>
      <c r="B1878" s="3">
        <v>2330.95169711572</v>
      </c>
      <c r="C1878" s="3">
        <v>-1.0571270516349101</v>
      </c>
      <c r="D1878" s="3">
        <v>0.18779129494396299</v>
      </c>
      <c r="E1878" s="3">
        <v>-5.6292654670194002</v>
      </c>
      <c r="F1878" s="4">
        <v>1.80978672799113E-8</v>
      </c>
      <c r="G1878" s="4">
        <v>2.0771381203696E-7</v>
      </c>
      <c r="H1878" s="3" t="str">
        <f>"WRNIP1"</f>
        <v>WRNIP1</v>
      </c>
      <c r="I1878" s="3" t="str">
        <f>"protein_coding"</f>
        <v>protein_coding</v>
      </c>
    </row>
    <row r="1879" spans="1:9" x14ac:dyDescent="0.2">
      <c r="A1879" s="3" t="str">
        <f>"ENSG00000021355.13"</f>
        <v>ENSG00000021355.13</v>
      </c>
      <c r="B1879" s="3">
        <v>1742.27178109447</v>
      </c>
      <c r="C1879" s="3">
        <v>1.01484645929491</v>
      </c>
      <c r="D1879" s="3">
        <v>0.19650571473525999</v>
      </c>
      <c r="E1879" s="3">
        <v>5.1644628282803202</v>
      </c>
      <c r="F1879" s="4">
        <v>2.4113038748761603E-7</v>
      </c>
      <c r="G1879" s="4">
        <v>2.2964277063526999E-6</v>
      </c>
      <c r="H1879" s="3" t="str">
        <f>"SERPINB1"</f>
        <v>SERPINB1</v>
      </c>
      <c r="I1879" s="3" t="str">
        <f>"protein_coding"</f>
        <v>protein_coding</v>
      </c>
    </row>
    <row r="1880" spans="1:9" x14ac:dyDescent="0.2">
      <c r="A1880" s="3" t="str">
        <f>"ENSG00000170542.6"</f>
        <v>ENSG00000170542.6</v>
      </c>
      <c r="B1880" s="3">
        <v>1158.7547718927301</v>
      </c>
      <c r="C1880" s="3">
        <v>2.2775607715047399</v>
      </c>
      <c r="D1880" s="3">
        <v>0.218758216558123</v>
      </c>
      <c r="E1880" s="3">
        <v>10.4113153203532</v>
      </c>
      <c r="F1880" s="4">
        <v>2.2015850960882099E-25</v>
      </c>
      <c r="G1880" s="4">
        <v>1.27090231171855E-23</v>
      </c>
      <c r="H1880" s="3" t="str">
        <f>"SERPINB9"</f>
        <v>SERPINB9</v>
      </c>
      <c r="I1880" s="3" t="str">
        <f>"protein_coding"</f>
        <v>protein_coding</v>
      </c>
    </row>
    <row r="1881" spans="1:9" x14ac:dyDescent="0.2">
      <c r="A1881" s="3" t="str">
        <f>"ENSG00000137274.13"</f>
        <v>ENSG00000137274.13</v>
      </c>
      <c r="B1881" s="3">
        <v>770.17661472545899</v>
      </c>
      <c r="C1881" s="3">
        <v>1.09163792634554</v>
      </c>
      <c r="D1881" s="3">
        <v>0.20526805306475601</v>
      </c>
      <c r="E1881" s="3">
        <v>5.3181092237532104</v>
      </c>
      <c r="F1881" s="4">
        <v>1.04851123962264E-7</v>
      </c>
      <c r="G1881" s="4">
        <v>1.0620366448326401E-6</v>
      </c>
      <c r="H1881" s="3" t="str">
        <f>"BPHL"</f>
        <v>BPHL</v>
      </c>
      <c r="I1881" s="3" t="str">
        <f>"protein_coding"</f>
        <v>protein_coding</v>
      </c>
    </row>
    <row r="1882" spans="1:9" x14ac:dyDescent="0.2">
      <c r="A1882" s="3" t="str">
        <f>"ENSG00000230269.6"</f>
        <v>ENSG00000230269.6</v>
      </c>
      <c r="B1882" s="3">
        <v>837.17245226311502</v>
      </c>
      <c r="C1882" s="3">
        <v>1.9266548905831</v>
      </c>
      <c r="D1882" s="3">
        <v>0.20666761640418299</v>
      </c>
      <c r="E1882" s="3">
        <v>9.3224808226128406</v>
      </c>
      <c r="F1882" s="4">
        <v>1.1365128311590701E-20</v>
      </c>
      <c r="G1882" s="4">
        <v>4.7061649104241803E-19</v>
      </c>
      <c r="H1882" s="3" t="str">
        <f>"LINC02525"</f>
        <v>LINC02525</v>
      </c>
      <c r="I1882" s="3" t="str">
        <f>"lincRNA"</f>
        <v>lincRNA</v>
      </c>
    </row>
    <row r="1883" spans="1:9" x14ac:dyDescent="0.2">
      <c r="A1883" s="3" t="str">
        <f>"ENSG00000137285.10"</f>
        <v>ENSG00000137285.10</v>
      </c>
      <c r="B1883" s="3">
        <v>330.44825785579201</v>
      </c>
      <c r="C1883" s="3">
        <v>-1.1202085614905199</v>
      </c>
      <c r="D1883" s="3">
        <v>0.26970537710421399</v>
      </c>
      <c r="E1883" s="3">
        <v>-4.1534528288535899</v>
      </c>
      <c r="F1883" s="4">
        <v>3.27495747987063E-5</v>
      </c>
      <c r="G1883" s="3">
        <v>2.0814734418949201E-4</v>
      </c>
      <c r="H1883" s="3" t="str">
        <f>"TUBB2B"</f>
        <v>TUBB2B</v>
      </c>
      <c r="I1883" s="3" t="str">
        <f>"protein_coding"</f>
        <v>protein_coding</v>
      </c>
    </row>
    <row r="1884" spans="1:9" x14ac:dyDescent="0.2">
      <c r="A1884" s="3" t="str">
        <f>"ENSG00000168994.13"</f>
        <v>ENSG00000168994.13</v>
      </c>
      <c r="B1884" s="3">
        <v>1332.5469700399999</v>
      </c>
      <c r="C1884" s="3">
        <v>-1.1095026276451501</v>
      </c>
      <c r="D1884" s="3">
        <v>0.225218180796358</v>
      </c>
      <c r="E1884" s="3">
        <v>-4.9263457493618503</v>
      </c>
      <c r="F1884" s="4">
        <v>8.3781693989451601E-7</v>
      </c>
      <c r="G1884" s="4">
        <v>7.2863064670622E-6</v>
      </c>
      <c r="H1884" s="3" t="str">
        <f>"PXDC1"</f>
        <v>PXDC1</v>
      </c>
      <c r="I1884" s="3" t="str">
        <f>"protein_coding"</f>
        <v>protein_coding</v>
      </c>
    </row>
    <row r="1885" spans="1:9" x14ac:dyDescent="0.2">
      <c r="A1885" s="3" t="str">
        <f>"ENSG00000260604.2"</f>
        <v>ENSG00000260604.2</v>
      </c>
      <c r="B1885" s="3">
        <v>885.69739159565199</v>
      </c>
      <c r="C1885" s="3">
        <v>-1.1928349535609599</v>
      </c>
      <c r="D1885" s="3">
        <v>0.22122992918064999</v>
      </c>
      <c r="E1885" s="3">
        <v>-5.3918335461153797</v>
      </c>
      <c r="F1885" s="4">
        <v>6.9742357673116703E-8</v>
      </c>
      <c r="G1885" s="4">
        <v>7.28631142453762E-7</v>
      </c>
      <c r="H1885" s="3" t="str">
        <f>"AL590004.3"</f>
        <v>AL590004.3</v>
      </c>
      <c r="I1885" s="3" t="str">
        <f>"lincRNA"</f>
        <v>lincRNA</v>
      </c>
    </row>
    <row r="1886" spans="1:9" x14ac:dyDescent="0.2">
      <c r="A1886" s="3" t="str">
        <f>"ENSG00000145975.14"</f>
        <v>ENSG00000145975.14</v>
      </c>
      <c r="B1886" s="3">
        <v>4.9552657467409</v>
      </c>
      <c r="C1886" s="3">
        <v>5.7059742842858201</v>
      </c>
      <c r="D1886" s="3">
        <v>2.0354097879191899</v>
      </c>
      <c r="E1886" s="3">
        <v>2.8033540558528398</v>
      </c>
      <c r="F1886" s="3">
        <v>5.0574115774759702E-3</v>
      </c>
      <c r="G1886" s="3">
        <v>1.7900661633084899E-2</v>
      </c>
      <c r="H1886" s="3" t="str">
        <f>"FAM217A"</f>
        <v>FAM217A</v>
      </c>
      <c r="I1886" s="3" t="str">
        <f>"protein_coding"</f>
        <v>protein_coding</v>
      </c>
    </row>
    <row r="1887" spans="1:9" x14ac:dyDescent="0.2">
      <c r="A1887" s="3" t="str">
        <f>"ENSG00000254821.1"</f>
        <v>ENSG00000254821.1</v>
      </c>
      <c r="B1887" s="3">
        <v>15.2591197771112</v>
      </c>
      <c r="C1887" s="3">
        <v>3.15582684596126</v>
      </c>
      <c r="D1887" s="3">
        <v>1.01503065834437</v>
      </c>
      <c r="E1887" s="3">
        <v>3.1090950997566602</v>
      </c>
      <c r="F1887" s="3">
        <v>1.8766130456197799E-3</v>
      </c>
      <c r="G1887" s="3">
        <v>7.6276694995324199E-3</v>
      </c>
      <c r="H1887" s="3" t="str">
        <f>"AL136309.4"</f>
        <v>AL136309.4</v>
      </c>
      <c r="I1887" s="3" t="str">
        <f>"antisense"</f>
        <v>antisense</v>
      </c>
    </row>
    <row r="1888" spans="1:9" x14ac:dyDescent="0.2">
      <c r="A1888" s="3" t="str">
        <f>"ENSG00000234817.2"</f>
        <v>ENSG00000234817.2</v>
      </c>
      <c r="B1888" s="3">
        <v>47.224878446669102</v>
      </c>
      <c r="C1888" s="3">
        <v>2.8698379205038602</v>
      </c>
      <c r="D1888" s="3">
        <v>0.56543273762871804</v>
      </c>
      <c r="E1888" s="3">
        <v>5.07547181038586</v>
      </c>
      <c r="F1888" s="4">
        <v>3.8653566205259599E-7</v>
      </c>
      <c r="G1888" s="4">
        <v>3.5592893490865398E-6</v>
      </c>
      <c r="H1888" s="3" t="str">
        <f>"AL136309.2"</f>
        <v>AL136309.2</v>
      </c>
      <c r="I1888" s="3" t="str">
        <f>"lincRNA"</f>
        <v>lincRNA</v>
      </c>
    </row>
    <row r="1889" spans="1:9" x14ac:dyDescent="0.2">
      <c r="A1889" s="3" t="str">
        <f>"ENSG00000124787.13"</f>
        <v>ENSG00000124787.13</v>
      </c>
      <c r="B1889" s="3">
        <v>568.66565745063099</v>
      </c>
      <c r="C1889" s="3">
        <v>-1.68579115273113</v>
      </c>
      <c r="D1889" s="3">
        <v>0.243892718603648</v>
      </c>
      <c r="E1889" s="3">
        <v>-6.9120191959101502</v>
      </c>
      <c r="F1889" s="4">
        <v>4.7780318022592797E-12</v>
      </c>
      <c r="G1889" s="4">
        <v>8.7023417457325299E-11</v>
      </c>
      <c r="H1889" s="3" t="str">
        <f>"RPP40"</f>
        <v>RPP40</v>
      </c>
      <c r="I1889" s="3" t="str">
        <f>"protein_coding"</f>
        <v>protein_coding</v>
      </c>
    </row>
    <row r="1890" spans="1:9" x14ac:dyDescent="0.2">
      <c r="A1890" s="3" t="str">
        <f>"ENSG00000271978.1"</f>
        <v>ENSG00000271978.1</v>
      </c>
      <c r="B1890" s="3">
        <v>35.006575720124999</v>
      </c>
      <c r="C1890" s="3">
        <v>-1.6938752334398399</v>
      </c>
      <c r="D1890" s="3">
        <v>0.60543545799507603</v>
      </c>
      <c r="E1890" s="3">
        <v>-2.7977800293513999</v>
      </c>
      <c r="F1890" s="3">
        <v>5.1455142254343096E-3</v>
      </c>
      <c r="G1890" s="3">
        <v>1.8162951949787301E-2</v>
      </c>
      <c r="H1890" s="3" t="str">
        <f>"AL359643.2"</f>
        <v>AL359643.2</v>
      </c>
      <c r="I1890" s="3" t="str">
        <f>"lincRNA"</f>
        <v>lincRNA</v>
      </c>
    </row>
    <row r="1891" spans="1:9" x14ac:dyDescent="0.2">
      <c r="A1891" s="3" t="str">
        <f>"ENSG00000214113.10"</f>
        <v>ENSG00000214113.10</v>
      </c>
      <c r="B1891" s="3">
        <v>1678.84490143176</v>
      </c>
      <c r="C1891" s="3">
        <v>-1.1930226980952101</v>
      </c>
      <c r="D1891" s="3">
        <v>0.20821304735510299</v>
      </c>
      <c r="E1891" s="3">
        <v>-5.7298171908532698</v>
      </c>
      <c r="F1891" s="4">
        <v>1.0053892536130701E-8</v>
      </c>
      <c r="G1891" s="4">
        <v>1.1915546321529E-7</v>
      </c>
      <c r="H1891" s="3" t="str">
        <f>"LYRM4"</f>
        <v>LYRM4</v>
      </c>
      <c r="I1891" s="3" t="str">
        <f>"protein_coding"</f>
        <v>protein_coding</v>
      </c>
    </row>
    <row r="1892" spans="1:9" x14ac:dyDescent="0.2">
      <c r="A1892" s="3" t="str">
        <f>"ENSG00000124491.15"</f>
        <v>ENSG00000124491.15</v>
      </c>
      <c r="B1892" s="3">
        <v>6.7128974186643804</v>
      </c>
      <c r="C1892" s="3">
        <v>4.6464461447700902</v>
      </c>
      <c r="D1892" s="3">
        <v>1.8733722380712901</v>
      </c>
      <c r="E1892" s="3">
        <v>2.4802578208128998</v>
      </c>
      <c r="F1892" s="3">
        <v>1.31287414817705E-2</v>
      </c>
      <c r="G1892" s="3">
        <v>3.9955190344443399E-2</v>
      </c>
      <c r="H1892" s="3" t="str">
        <f>"F13A1"</f>
        <v>F13A1</v>
      </c>
      <c r="I1892" s="3" t="str">
        <f>"protein_coding"</f>
        <v>protein_coding</v>
      </c>
    </row>
    <row r="1893" spans="1:9" x14ac:dyDescent="0.2">
      <c r="A1893" s="3" t="str">
        <f>"ENSG00000216863.9"</f>
        <v>ENSG00000216863.9</v>
      </c>
      <c r="B1893" s="3">
        <v>4.7710694323342899</v>
      </c>
      <c r="C1893" s="3">
        <v>5.6498655801083801</v>
      </c>
      <c r="D1893" s="3">
        <v>2.0548781453748601</v>
      </c>
      <c r="E1893" s="3">
        <v>2.7494893518747898</v>
      </c>
      <c r="F1893" s="3">
        <v>5.9688202149847996E-3</v>
      </c>
      <c r="G1893" s="3">
        <v>2.05942059513348E-2</v>
      </c>
      <c r="H1893" s="3" t="str">
        <f>"LY86-AS1"</f>
        <v>LY86-AS1</v>
      </c>
      <c r="I1893" s="3" t="str">
        <f>"antisense"</f>
        <v>antisense</v>
      </c>
    </row>
    <row r="1894" spans="1:9" x14ac:dyDescent="0.2">
      <c r="A1894" s="3" t="str">
        <f>"ENSG00000124782.20"</f>
        <v>ENSG00000124782.20</v>
      </c>
      <c r="B1894" s="3">
        <v>7185.8100123549702</v>
      </c>
      <c r="C1894" s="3">
        <v>-1.4488569621054701</v>
      </c>
      <c r="D1894" s="3">
        <v>0.18109293585670699</v>
      </c>
      <c r="E1894" s="3">
        <v>-8.0006266133534201</v>
      </c>
      <c r="F1894" s="4">
        <v>1.23787631769338E-15</v>
      </c>
      <c r="G1894" s="4">
        <v>3.2746034978826702E-14</v>
      </c>
      <c r="H1894" s="3" t="str">
        <f>"RREB1"</f>
        <v>RREB1</v>
      </c>
      <c r="I1894" s="3" t="str">
        <f>"protein_coding"</f>
        <v>protein_coding</v>
      </c>
    </row>
    <row r="1895" spans="1:9" x14ac:dyDescent="0.2">
      <c r="A1895" s="3" t="str">
        <f>"ENSG00000261189.1"</f>
        <v>ENSG00000261189.1</v>
      </c>
      <c r="B1895" s="3">
        <v>363.21473521555203</v>
      </c>
      <c r="C1895" s="3">
        <v>-1.0464739738513</v>
      </c>
      <c r="D1895" s="3">
        <v>0.25169524539634103</v>
      </c>
      <c r="E1895" s="3">
        <v>-4.1577025907002501</v>
      </c>
      <c r="F1895" s="4">
        <v>3.2146415497958901E-5</v>
      </c>
      <c r="G1895" s="3">
        <v>2.0460018291821699E-4</v>
      </c>
      <c r="H1895" s="3" t="str">
        <f>"AL031058.1"</f>
        <v>AL031058.1</v>
      </c>
      <c r="I1895" s="3" t="str">
        <f>"antisense"</f>
        <v>antisense</v>
      </c>
    </row>
    <row r="1896" spans="1:9" x14ac:dyDescent="0.2">
      <c r="A1896" s="3" t="str">
        <f>"ENSG00000239264.8"</f>
        <v>ENSG00000239264.8</v>
      </c>
      <c r="B1896" s="3">
        <v>210.56836440724101</v>
      </c>
      <c r="C1896" s="3">
        <v>-1.16333167082905</v>
      </c>
      <c r="D1896" s="3">
        <v>0.29648147643428402</v>
      </c>
      <c r="E1896" s="3">
        <v>-3.9237920858334099</v>
      </c>
      <c r="F1896" s="4">
        <v>8.7165969420521095E-5</v>
      </c>
      <c r="G1896" s="3">
        <v>5.0693941703328495E-4</v>
      </c>
      <c r="H1896" s="3" t="str">
        <f>"TXNDC5"</f>
        <v>TXNDC5</v>
      </c>
      <c r="I1896" s="3" t="str">
        <f>"protein_coding"</f>
        <v>protein_coding</v>
      </c>
    </row>
    <row r="1897" spans="1:9" x14ac:dyDescent="0.2">
      <c r="A1897" s="3" t="str">
        <f>"ENSG00000285219.1"</f>
        <v>ENSG00000285219.1</v>
      </c>
      <c r="B1897" s="3">
        <v>96.166492305166699</v>
      </c>
      <c r="C1897" s="3">
        <v>1.0035412187716799</v>
      </c>
      <c r="D1897" s="3">
        <v>0.37365619251159798</v>
      </c>
      <c r="E1897" s="3">
        <v>2.6857342093709198</v>
      </c>
      <c r="F1897" s="3">
        <v>7.2370633489079999E-3</v>
      </c>
      <c r="G1897" s="3">
        <v>2.4230591058599101E-2</v>
      </c>
      <c r="H1897" s="3" t="str">
        <f>"AL591485.1"</f>
        <v>AL591485.1</v>
      </c>
      <c r="I1897" s="3" t="str">
        <f>"bidirectional_promoter_lncRNA"</f>
        <v>bidirectional_promoter_lncRNA</v>
      </c>
    </row>
    <row r="1898" spans="1:9" x14ac:dyDescent="0.2">
      <c r="A1898" s="3" t="str">
        <f>"ENSG00000183674.11"</f>
        <v>ENSG00000183674.11</v>
      </c>
      <c r="B1898" s="3">
        <v>4.21848048911448</v>
      </c>
      <c r="C1898" s="3">
        <v>5.4675059121987797</v>
      </c>
      <c r="D1898" s="3">
        <v>2.1651366155771901</v>
      </c>
      <c r="E1898" s="3">
        <v>2.52524753997624</v>
      </c>
      <c r="F1898" s="3">
        <v>1.15616818810764E-2</v>
      </c>
      <c r="G1898" s="3">
        <v>3.5899845722357597E-2</v>
      </c>
      <c r="H1898" s="3" t="str">
        <f>"LINC00518"</f>
        <v>LINC00518</v>
      </c>
      <c r="I1898" s="3" t="str">
        <f>"lincRNA"</f>
        <v>lincRNA</v>
      </c>
    </row>
    <row r="1899" spans="1:9" x14ac:dyDescent="0.2">
      <c r="A1899" s="3" t="str">
        <f>"ENSG00000111846.17"</f>
        <v>ENSG00000111846.17</v>
      </c>
      <c r="B1899" s="3">
        <v>1254.60379777507</v>
      </c>
      <c r="C1899" s="3">
        <v>-2.4562273688208802</v>
      </c>
      <c r="D1899" s="3">
        <v>0.19798073878196901</v>
      </c>
      <c r="E1899" s="3">
        <v>-12.4063956116754</v>
      </c>
      <c r="F1899" s="4">
        <v>2.4127184611198098E-35</v>
      </c>
      <c r="G1899" s="4">
        <v>2.55795096926582E-33</v>
      </c>
      <c r="H1899" s="3" t="str">
        <f>"GCNT2"</f>
        <v>GCNT2</v>
      </c>
      <c r="I1899" s="3" t="str">
        <f t="shared" ref="I1899:I1907" si="93">"protein_coding"</f>
        <v>protein_coding</v>
      </c>
    </row>
    <row r="1900" spans="1:9" x14ac:dyDescent="0.2">
      <c r="A1900" s="3" t="str">
        <f>"ENSG00000137434.11"</f>
        <v>ENSG00000137434.11</v>
      </c>
      <c r="B1900" s="3">
        <v>18.812586685438301</v>
      </c>
      <c r="C1900" s="3">
        <v>1.9436666599071399</v>
      </c>
      <c r="D1900" s="3">
        <v>0.81420558335653304</v>
      </c>
      <c r="E1900" s="3">
        <v>2.3871939712012802</v>
      </c>
      <c r="F1900" s="3">
        <v>1.69775309890755E-2</v>
      </c>
      <c r="G1900" s="3">
        <v>4.9426945919365403E-2</v>
      </c>
      <c r="H1900" s="3" t="str">
        <f>"C6orf52"</f>
        <v>C6orf52</v>
      </c>
      <c r="I1900" s="3" t="str">
        <f t="shared" si="93"/>
        <v>protein_coding</v>
      </c>
    </row>
    <row r="1901" spans="1:9" x14ac:dyDescent="0.2">
      <c r="A1901" s="3" t="str">
        <f>"ENSG00000111837.11"</f>
        <v>ENSG00000111837.11</v>
      </c>
      <c r="B1901" s="3">
        <v>65.460060378879106</v>
      </c>
      <c r="C1901" s="3">
        <v>3.9870633886298901</v>
      </c>
      <c r="D1901" s="3">
        <v>0.57909664613603895</v>
      </c>
      <c r="E1901" s="3">
        <v>6.8849706093674499</v>
      </c>
      <c r="F1901" s="4">
        <v>5.7799466971453003E-12</v>
      </c>
      <c r="G1901" s="4">
        <v>1.0436461740034299E-10</v>
      </c>
      <c r="H1901" s="3" t="str">
        <f>"MAK"</f>
        <v>MAK</v>
      </c>
      <c r="I1901" s="3" t="str">
        <f t="shared" si="93"/>
        <v>protein_coding</v>
      </c>
    </row>
    <row r="1902" spans="1:9" x14ac:dyDescent="0.2">
      <c r="A1902" s="3" t="str">
        <f>"ENSG00000153157.13"</f>
        <v>ENSG00000153157.13</v>
      </c>
      <c r="B1902" s="3">
        <v>9.8106288589852806</v>
      </c>
      <c r="C1902" s="3">
        <v>3.0762338179981801</v>
      </c>
      <c r="D1902" s="3">
        <v>1.2451286120524101</v>
      </c>
      <c r="E1902" s="3">
        <v>2.47061531493318</v>
      </c>
      <c r="F1902" s="3">
        <v>1.34880824506232E-2</v>
      </c>
      <c r="G1902" s="3">
        <v>4.0866205107542498E-2</v>
      </c>
      <c r="H1902" s="3" t="str">
        <f>"SYCP2L"</f>
        <v>SYCP2L</v>
      </c>
      <c r="I1902" s="3" t="str">
        <f t="shared" si="93"/>
        <v>protein_coding</v>
      </c>
    </row>
    <row r="1903" spans="1:9" x14ac:dyDescent="0.2">
      <c r="A1903" s="3" t="str">
        <f>"ENSG00000197977.4"</f>
        <v>ENSG00000197977.4</v>
      </c>
      <c r="B1903" s="3">
        <v>2819.7346169416101</v>
      </c>
      <c r="C1903" s="3">
        <v>-1.37188489630816</v>
      </c>
      <c r="D1903" s="3">
        <v>0.188607607846425</v>
      </c>
      <c r="E1903" s="3">
        <v>-7.2737516369182202</v>
      </c>
      <c r="F1903" s="4">
        <v>3.4963856276248999E-13</v>
      </c>
      <c r="G1903" s="4">
        <v>7.3451055663759202E-12</v>
      </c>
      <c r="H1903" s="3" t="str">
        <f>"ELOVL2"</f>
        <v>ELOVL2</v>
      </c>
      <c r="I1903" s="3" t="str">
        <f t="shared" si="93"/>
        <v>protein_coding</v>
      </c>
    </row>
    <row r="1904" spans="1:9" x14ac:dyDescent="0.2">
      <c r="A1904" s="3" t="str">
        <f>"ENSG00000111859.17"</f>
        <v>ENSG00000111859.17</v>
      </c>
      <c r="B1904" s="3">
        <v>12985.797089438</v>
      </c>
      <c r="C1904" s="3">
        <v>-1.29892251009489</v>
      </c>
      <c r="D1904" s="3">
        <v>0.18515810687100301</v>
      </c>
      <c r="E1904" s="3">
        <v>-7.0152073384495397</v>
      </c>
      <c r="F1904" s="4">
        <v>2.2960820254191499E-12</v>
      </c>
      <c r="G1904" s="4">
        <v>4.3475571192908701E-11</v>
      </c>
      <c r="H1904" s="3" t="str">
        <f>"NEDD9"</f>
        <v>NEDD9</v>
      </c>
      <c r="I1904" s="3" t="str">
        <f t="shared" si="93"/>
        <v>protein_coding</v>
      </c>
    </row>
    <row r="1905" spans="1:9" x14ac:dyDescent="0.2">
      <c r="A1905" s="3" t="str">
        <f>"ENSG00000112137.17"</f>
        <v>ENSG00000112137.17</v>
      </c>
      <c r="B1905" s="3">
        <v>24.0995844204406</v>
      </c>
      <c r="C1905" s="3">
        <v>3.2225368135823902</v>
      </c>
      <c r="D1905" s="3">
        <v>0.81100058826810095</v>
      </c>
      <c r="E1905" s="3">
        <v>3.97353202969204</v>
      </c>
      <c r="F1905" s="4">
        <v>7.0814630405067398E-5</v>
      </c>
      <c r="G1905" s="3">
        <v>4.1899809655740998E-4</v>
      </c>
      <c r="H1905" s="3" t="str">
        <f>"PHACTR1"</f>
        <v>PHACTR1</v>
      </c>
      <c r="I1905" s="3" t="str">
        <f t="shared" si="93"/>
        <v>protein_coding</v>
      </c>
    </row>
    <row r="1906" spans="1:9" x14ac:dyDescent="0.2">
      <c r="A1906" s="3" t="str">
        <f>"ENSG00000145990.11"</f>
        <v>ENSG00000145990.11</v>
      </c>
      <c r="B1906" s="3">
        <v>1021.74371276452</v>
      </c>
      <c r="C1906" s="3">
        <v>-1.30907849539313</v>
      </c>
      <c r="D1906" s="3">
        <v>0.201284748620494</v>
      </c>
      <c r="E1906" s="3">
        <v>-6.5036149254471898</v>
      </c>
      <c r="F1906" s="4">
        <v>7.8412464820889198E-11</v>
      </c>
      <c r="G1906" s="4">
        <v>1.2399909628408401E-9</v>
      </c>
      <c r="H1906" s="3" t="str">
        <f>"GFOD1"</f>
        <v>GFOD1</v>
      </c>
      <c r="I1906" s="3" t="str">
        <f t="shared" si="93"/>
        <v>protein_coding</v>
      </c>
    </row>
    <row r="1907" spans="1:9" x14ac:dyDescent="0.2">
      <c r="A1907" s="3" t="str">
        <f>"ENSG00000180537.13"</f>
        <v>ENSG00000180537.13</v>
      </c>
      <c r="B1907" s="3">
        <v>3.8168555458674298</v>
      </c>
      <c r="C1907" s="3">
        <v>5.3279350919035302</v>
      </c>
      <c r="D1907" s="3">
        <v>2.1809774924298599</v>
      </c>
      <c r="E1907" s="3">
        <v>2.4429115432858599</v>
      </c>
      <c r="F1907" s="3">
        <v>1.4569307781241599E-2</v>
      </c>
      <c r="G1907" s="3">
        <v>4.3474967595607303E-2</v>
      </c>
      <c r="H1907" s="3" t="str">
        <f>"RNF182"</f>
        <v>RNF182</v>
      </c>
      <c r="I1907" s="3" t="str">
        <f t="shared" si="93"/>
        <v>protein_coding</v>
      </c>
    </row>
    <row r="1908" spans="1:9" x14ac:dyDescent="0.2">
      <c r="A1908" s="3" t="str">
        <f>"ENSG00000201367.1"</f>
        <v>ENSG00000201367.1</v>
      </c>
      <c r="B1908" s="3">
        <v>24.6203661234387</v>
      </c>
      <c r="C1908" s="3">
        <v>2.6689677819026301</v>
      </c>
      <c r="D1908" s="3">
        <v>0.76479355694824402</v>
      </c>
      <c r="E1908" s="3">
        <v>3.4897885287535702</v>
      </c>
      <c r="F1908" s="3">
        <v>4.83402910739144E-4</v>
      </c>
      <c r="G1908" s="3">
        <v>2.3266700422027E-3</v>
      </c>
      <c r="H1908" s="3" t="str">
        <f>"RNU6-522P"</f>
        <v>RNU6-522P</v>
      </c>
      <c r="I1908" s="3" t="str">
        <f>"snRNA"</f>
        <v>snRNA</v>
      </c>
    </row>
    <row r="1909" spans="1:9" x14ac:dyDescent="0.2">
      <c r="A1909" s="3" t="str">
        <f>"ENSG00000229931.1"</f>
        <v>ENSG00000229931.1</v>
      </c>
      <c r="B1909" s="3">
        <v>115.070211276664</v>
      </c>
      <c r="C1909" s="3">
        <v>-1.08334109200936</v>
      </c>
      <c r="D1909" s="3">
        <v>0.39533133450160801</v>
      </c>
      <c r="E1909" s="3">
        <v>-2.7403370222983199</v>
      </c>
      <c r="F1909" s="3">
        <v>6.1376212942995398E-3</v>
      </c>
      <c r="G1909" s="3">
        <v>2.1099137951776401E-2</v>
      </c>
      <c r="H1909" s="3" t="str">
        <f>"AL137003.1"</f>
        <v>AL137003.1</v>
      </c>
      <c r="I1909" s="3" t="str">
        <f>"antisense"</f>
        <v>antisense</v>
      </c>
    </row>
    <row r="1910" spans="1:9" x14ac:dyDescent="0.2">
      <c r="A1910" s="3" t="str">
        <f>"ENSG00000137177.20"</f>
        <v>ENSG00000137177.20</v>
      </c>
      <c r="B1910" s="3">
        <v>2583.30298397865</v>
      </c>
      <c r="C1910" s="3">
        <v>-1.08143920526154</v>
      </c>
      <c r="D1910" s="3">
        <v>0.17720799349189501</v>
      </c>
      <c r="E1910" s="3">
        <v>-6.1026547615133397</v>
      </c>
      <c r="F1910" s="4">
        <v>1.04321016362458E-9</v>
      </c>
      <c r="G1910" s="4">
        <v>1.4141466332477001E-8</v>
      </c>
      <c r="H1910" s="3" t="str">
        <f>"KIF13A"</f>
        <v>KIF13A</v>
      </c>
      <c r="I1910" s="3" t="str">
        <f>"protein_coding"</f>
        <v>protein_coding</v>
      </c>
    </row>
    <row r="1911" spans="1:9" x14ac:dyDescent="0.2">
      <c r="A1911" s="3" t="str">
        <f>"ENSG00000137364.5"</f>
        <v>ENSG00000137364.5</v>
      </c>
      <c r="B1911" s="3">
        <v>620.37774739527197</v>
      </c>
      <c r="C1911" s="3">
        <v>-1.0585169874732101</v>
      </c>
      <c r="D1911" s="3">
        <v>0.21936882212344999</v>
      </c>
      <c r="E1911" s="3">
        <v>-4.8252845469422496</v>
      </c>
      <c r="F1911" s="4">
        <v>1.39803524151315E-6</v>
      </c>
      <c r="G1911" s="4">
        <v>1.16919171962888E-5</v>
      </c>
      <c r="H1911" s="3" t="str">
        <f>"TPMT"</f>
        <v>TPMT</v>
      </c>
      <c r="I1911" s="3" t="str">
        <f>"protein_coding"</f>
        <v>protein_coding</v>
      </c>
    </row>
    <row r="1912" spans="1:9" x14ac:dyDescent="0.2">
      <c r="A1912" s="3" t="str">
        <f>"ENSG00000137393.9"</f>
        <v>ENSG00000137393.9</v>
      </c>
      <c r="B1912" s="3">
        <v>1123.69212649117</v>
      </c>
      <c r="C1912" s="3">
        <v>2.2307615091309998</v>
      </c>
      <c r="D1912" s="3">
        <v>0.200569324288213</v>
      </c>
      <c r="E1912" s="3">
        <v>11.1221470035241</v>
      </c>
      <c r="F1912" s="4">
        <v>9.7887551284927205E-29</v>
      </c>
      <c r="G1912" s="4">
        <v>6.9456825777614901E-27</v>
      </c>
      <c r="H1912" s="3" t="str">
        <f>"RNF144B"</f>
        <v>RNF144B</v>
      </c>
      <c r="I1912" s="3" t="str">
        <f>"protein_coding"</f>
        <v>protein_coding</v>
      </c>
    </row>
    <row r="1913" spans="1:9" x14ac:dyDescent="0.2">
      <c r="A1913" s="3" t="str">
        <f>"ENSG00000272168.7"</f>
        <v>ENSG00000272168.7</v>
      </c>
      <c r="B1913" s="3">
        <v>20.298045400144499</v>
      </c>
      <c r="C1913" s="3">
        <v>6.2745578253709704</v>
      </c>
      <c r="D1913" s="3">
        <v>1.6092682178878299</v>
      </c>
      <c r="E1913" s="3">
        <v>3.8990130766432198</v>
      </c>
      <c r="F1913" s="4">
        <v>9.6585559016222497E-5</v>
      </c>
      <c r="G1913" s="3">
        <v>5.5520395074156403E-4</v>
      </c>
      <c r="H1913" s="3" t="str">
        <f>"CASC15"</f>
        <v>CASC15</v>
      </c>
      <c r="I1913" s="3" t="str">
        <f>"lincRNA"</f>
        <v>lincRNA</v>
      </c>
    </row>
    <row r="1914" spans="1:9" x14ac:dyDescent="0.2">
      <c r="A1914" s="3" t="str">
        <f>"ENSG00000146038.12"</f>
        <v>ENSG00000146038.12</v>
      </c>
      <c r="B1914" s="3">
        <v>10427.7351126792</v>
      </c>
      <c r="C1914" s="3">
        <v>-1.14980174209746</v>
      </c>
      <c r="D1914" s="3">
        <v>0.16943208570113399</v>
      </c>
      <c r="E1914" s="3">
        <v>-6.7862101640277803</v>
      </c>
      <c r="F1914" s="4">
        <v>1.15117423446465E-11</v>
      </c>
      <c r="G1914" s="4">
        <v>2.01840697338857E-10</v>
      </c>
      <c r="H1914" s="3" t="str">
        <f>"DCDC2"</f>
        <v>DCDC2</v>
      </c>
      <c r="I1914" s="3" t="str">
        <f>"protein_coding"</f>
        <v>protein_coding</v>
      </c>
    </row>
    <row r="1915" spans="1:9" x14ac:dyDescent="0.2">
      <c r="A1915" s="3" t="str">
        <f>"ENSG00000112293.15"</f>
        <v>ENSG00000112293.15</v>
      </c>
      <c r="B1915" s="3">
        <v>416.83192760089298</v>
      </c>
      <c r="C1915" s="3">
        <v>-1.1123953146338501</v>
      </c>
      <c r="D1915" s="3">
        <v>0.234238007573839</v>
      </c>
      <c r="E1915" s="3">
        <v>-4.7489958019865304</v>
      </c>
      <c r="F1915" s="4">
        <v>2.04429185540275E-6</v>
      </c>
      <c r="G1915" s="4">
        <v>1.6587498565860199E-5</v>
      </c>
      <c r="H1915" s="3" t="str">
        <f>"GPLD1"</f>
        <v>GPLD1</v>
      </c>
      <c r="I1915" s="3" t="str">
        <f>"protein_coding"</f>
        <v>protein_coding</v>
      </c>
    </row>
    <row r="1916" spans="1:9" x14ac:dyDescent="0.2">
      <c r="A1916" s="3" t="str">
        <f>"ENSG00000112294.12"</f>
        <v>ENSG00000112294.12</v>
      </c>
      <c r="B1916" s="3">
        <v>2241.8792582288902</v>
      </c>
      <c r="C1916" s="3">
        <v>-1.0818985403902399</v>
      </c>
      <c r="D1916" s="3">
        <v>0.192548681141334</v>
      </c>
      <c r="E1916" s="3">
        <v>-5.6188312170058703</v>
      </c>
      <c r="F1916" s="4">
        <v>1.92253550431314E-8</v>
      </c>
      <c r="G1916" s="4">
        <v>2.1982091853134799E-7</v>
      </c>
      <c r="H1916" s="3" t="str">
        <f>"ALDH5A1"</f>
        <v>ALDH5A1</v>
      </c>
      <c r="I1916" s="3" t="str">
        <f>"protein_coding"</f>
        <v>protein_coding</v>
      </c>
    </row>
    <row r="1917" spans="1:9" x14ac:dyDescent="0.2">
      <c r="A1917" s="3" t="str">
        <f>"ENSG00000112308.13"</f>
        <v>ENSG00000112308.13</v>
      </c>
      <c r="B1917" s="3">
        <v>4271.17854375976</v>
      </c>
      <c r="C1917" s="3">
        <v>1.16381320034934</v>
      </c>
      <c r="D1917" s="3">
        <v>0.198253364833747</v>
      </c>
      <c r="E1917" s="3">
        <v>5.8703326489580796</v>
      </c>
      <c r="F1917" s="4">
        <v>4.3492160181801998E-9</v>
      </c>
      <c r="G1917" s="4">
        <v>5.43841619308655E-8</v>
      </c>
      <c r="H1917" s="3" t="str">
        <f>"C6orf62"</f>
        <v>C6orf62</v>
      </c>
      <c r="I1917" s="3" t="str">
        <f>"protein_coding"</f>
        <v>protein_coding</v>
      </c>
    </row>
    <row r="1918" spans="1:9" x14ac:dyDescent="0.2">
      <c r="A1918" s="3" t="str">
        <f>"ENSG00000111913.18"</f>
        <v>ENSG00000111913.18</v>
      </c>
      <c r="B1918" s="3">
        <v>36.069919790588202</v>
      </c>
      <c r="C1918" s="3">
        <v>8.5667330995483795</v>
      </c>
      <c r="D1918" s="3">
        <v>1.55399608536095</v>
      </c>
      <c r="E1918" s="3">
        <v>5.5127121491805902</v>
      </c>
      <c r="F1918" s="4">
        <v>3.5334587489693698E-8</v>
      </c>
      <c r="G1918" s="4">
        <v>3.8742917719584799E-7</v>
      </c>
      <c r="H1918" s="3" t="str">
        <f>"RIPOR2"</f>
        <v>RIPOR2</v>
      </c>
      <c r="I1918" s="3" t="str">
        <f>"protein_coding"</f>
        <v>protein_coding</v>
      </c>
    </row>
    <row r="1919" spans="1:9" x14ac:dyDescent="0.2">
      <c r="A1919" s="3" t="str">
        <f>"ENSG00000168405.17"</f>
        <v>ENSG00000168405.17</v>
      </c>
      <c r="B1919" s="3">
        <v>13.4257948373288</v>
      </c>
      <c r="C1919" s="3">
        <v>4.6502081179862502</v>
      </c>
      <c r="D1919" s="3">
        <v>1.3460424394236801</v>
      </c>
      <c r="E1919" s="3">
        <v>3.4547262268916801</v>
      </c>
      <c r="F1919" s="3">
        <v>5.5085186414348798E-4</v>
      </c>
      <c r="G1919" s="3">
        <v>2.60981755213313E-3</v>
      </c>
      <c r="H1919" s="3" t="str">
        <f>"CMAHP"</f>
        <v>CMAHP</v>
      </c>
      <c r="I1919" s="3" t="str">
        <f>"transcribed_unitary_pseudogene"</f>
        <v>transcribed_unitary_pseudogene</v>
      </c>
    </row>
    <row r="1920" spans="1:9" x14ac:dyDescent="0.2">
      <c r="A1920" s="3" t="str">
        <f>"ENSG00000079691.18"</f>
        <v>ENSG00000079691.18</v>
      </c>
      <c r="B1920" s="3">
        <v>502.79760884783798</v>
      </c>
      <c r="C1920" s="3">
        <v>3.0801769629421898</v>
      </c>
      <c r="D1920" s="3">
        <v>0.25619651033088903</v>
      </c>
      <c r="E1920" s="3">
        <v>12.0227124052705</v>
      </c>
      <c r="F1920" s="4">
        <v>2.6996169556788901E-33</v>
      </c>
      <c r="G1920" s="4">
        <v>2.5991683106495599E-31</v>
      </c>
      <c r="H1920" s="3" t="str">
        <f>"CARMIL1"</f>
        <v>CARMIL1</v>
      </c>
      <c r="I1920" s="3" t="str">
        <f t="shared" ref="I1920:I1928" si="94">"protein_coding"</f>
        <v>protein_coding</v>
      </c>
    </row>
    <row r="1921" spans="1:9" x14ac:dyDescent="0.2">
      <c r="A1921" s="3" t="str">
        <f>"ENSG00000079689.14"</f>
        <v>ENSG00000079689.14</v>
      </c>
      <c r="B1921" s="3">
        <v>71.3685334129392</v>
      </c>
      <c r="C1921" s="3">
        <v>-3.2304732107521099</v>
      </c>
      <c r="D1921" s="3">
        <v>0.49792174727209498</v>
      </c>
      <c r="E1921" s="3">
        <v>-6.4879134692359202</v>
      </c>
      <c r="F1921" s="4">
        <v>8.7033238353935802E-11</v>
      </c>
      <c r="G1921" s="4">
        <v>1.3660107404548901E-9</v>
      </c>
      <c r="H1921" s="3" t="str">
        <f>"SCGN"</f>
        <v>SCGN</v>
      </c>
      <c r="I1921" s="3" t="str">
        <f t="shared" si="94"/>
        <v>protein_coding</v>
      </c>
    </row>
    <row r="1922" spans="1:9" x14ac:dyDescent="0.2">
      <c r="A1922" s="3" t="str">
        <f>"ENSG00000112337.10"</f>
        <v>ENSG00000112337.10</v>
      </c>
      <c r="B1922" s="3">
        <v>118.91922796089899</v>
      </c>
      <c r="C1922" s="3">
        <v>-2.5798448251468602</v>
      </c>
      <c r="D1922" s="3">
        <v>0.38595558752051501</v>
      </c>
      <c r="E1922" s="3">
        <v>-6.6843049007801598</v>
      </c>
      <c r="F1922" s="4">
        <v>2.3202328136824302E-11</v>
      </c>
      <c r="G1922" s="4">
        <v>3.9266697810189599E-10</v>
      </c>
      <c r="H1922" s="3" t="str">
        <f>"SLC17A2"</f>
        <v>SLC17A2</v>
      </c>
      <c r="I1922" s="3" t="str">
        <f t="shared" si="94"/>
        <v>protein_coding</v>
      </c>
    </row>
    <row r="1923" spans="1:9" x14ac:dyDescent="0.2">
      <c r="A1923" s="3" t="str">
        <f>"ENSG00000112343.11"</f>
        <v>ENSG00000112343.11</v>
      </c>
      <c r="B1923" s="3">
        <v>1943.33851726743</v>
      </c>
      <c r="C1923" s="3">
        <v>2.5652859800307199</v>
      </c>
      <c r="D1923" s="3">
        <v>0.18543046004682101</v>
      </c>
      <c r="E1923" s="3">
        <v>13.834221084189601</v>
      </c>
      <c r="F1923" s="4">
        <v>1.58443414381725E-43</v>
      </c>
      <c r="G1923" s="4">
        <v>2.4954379836178302E-41</v>
      </c>
      <c r="H1923" s="3" t="str">
        <f>"TRIM38"</f>
        <v>TRIM38</v>
      </c>
      <c r="I1923" s="3" t="str">
        <f t="shared" si="94"/>
        <v>protein_coding</v>
      </c>
    </row>
    <row r="1924" spans="1:9" x14ac:dyDescent="0.2">
      <c r="A1924" s="3" t="str">
        <f>"ENSG00000278637.1"</f>
        <v>ENSG00000278637.1</v>
      </c>
      <c r="B1924" s="3">
        <v>276.24022528079797</v>
      </c>
      <c r="C1924" s="3">
        <v>-1.28738712229472</v>
      </c>
      <c r="D1924" s="3">
        <v>0.36423069741946201</v>
      </c>
      <c r="E1924" s="3">
        <v>-3.5345376746543602</v>
      </c>
      <c r="F1924" s="3">
        <v>4.0848919740241603E-4</v>
      </c>
      <c r="G1924" s="3">
        <v>2.0061472894058398E-3</v>
      </c>
      <c r="H1924" s="3" t="str">
        <f>"HIST1H4A"</f>
        <v>HIST1H4A</v>
      </c>
      <c r="I1924" s="3" t="str">
        <f t="shared" si="94"/>
        <v>protein_coding</v>
      </c>
    </row>
    <row r="1925" spans="1:9" x14ac:dyDescent="0.2">
      <c r="A1925" s="3" t="str">
        <f>"ENSG00000278705.1"</f>
        <v>ENSG00000278705.1</v>
      </c>
      <c r="B1925" s="3">
        <v>8769.7046021623391</v>
      </c>
      <c r="C1925" s="3">
        <v>-2.0953466444748599</v>
      </c>
      <c r="D1925" s="3">
        <v>0.56159990863995402</v>
      </c>
      <c r="E1925" s="3">
        <v>-3.7310309568055899</v>
      </c>
      <c r="F1925" s="3">
        <v>1.9069778658585399E-4</v>
      </c>
      <c r="G1925" s="3">
        <v>1.0208138685864E-3</v>
      </c>
      <c r="H1925" s="3" t="str">
        <f>"HIST1H4B"</f>
        <v>HIST1H4B</v>
      </c>
      <c r="I1925" s="3" t="str">
        <f t="shared" si="94"/>
        <v>protein_coding</v>
      </c>
    </row>
    <row r="1926" spans="1:9" x14ac:dyDescent="0.2">
      <c r="A1926" s="3" t="str">
        <f>"ENSG00000274267.1"</f>
        <v>ENSG00000274267.1</v>
      </c>
      <c r="B1926" s="3">
        <v>17370.365293927101</v>
      </c>
      <c r="C1926" s="3">
        <v>-2.9088051907069201</v>
      </c>
      <c r="D1926" s="3">
        <v>0.530041277839856</v>
      </c>
      <c r="E1926" s="3">
        <v>-5.4878842692432199</v>
      </c>
      <c r="F1926" s="4">
        <v>4.0677641689931301E-8</v>
      </c>
      <c r="G1926" s="4">
        <v>4.4227601880509102E-7</v>
      </c>
      <c r="H1926" s="3" t="str">
        <f>"HIST1H3B"</f>
        <v>HIST1H3B</v>
      </c>
      <c r="I1926" s="3" t="str">
        <f t="shared" si="94"/>
        <v>protein_coding</v>
      </c>
    </row>
    <row r="1927" spans="1:9" x14ac:dyDescent="0.2">
      <c r="A1927" s="3" t="str">
        <f>"ENSG00000278463.1"</f>
        <v>ENSG00000278463.1</v>
      </c>
      <c r="B1927" s="3">
        <v>4060.0105033222399</v>
      </c>
      <c r="C1927" s="3">
        <v>-4.4952466075847397</v>
      </c>
      <c r="D1927" s="3">
        <v>0.57747702511296695</v>
      </c>
      <c r="E1927" s="3">
        <v>-7.7842864946971204</v>
      </c>
      <c r="F1927" s="4">
        <v>7.0107727788832597E-15</v>
      </c>
      <c r="G1927" s="4">
        <v>1.7116713790880999E-13</v>
      </c>
      <c r="H1927" s="3" t="str">
        <f>"HIST1H2AB"</f>
        <v>HIST1H2AB</v>
      </c>
      <c r="I1927" s="3" t="str">
        <f t="shared" si="94"/>
        <v>protein_coding</v>
      </c>
    </row>
    <row r="1928" spans="1:9" x14ac:dyDescent="0.2">
      <c r="A1928" s="3" t="str">
        <f>"ENSG00000276410.3"</f>
        <v>ENSG00000276410.3</v>
      </c>
      <c r="B1928" s="3">
        <v>2527.7933027091999</v>
      </c>
      <c r="C1928" s="3">
        <v>-4.0589727785657299</v>
      </c>
      <c r="D1928" s="3">
        <v>0.25465697628130601</v>
      </c>
      <c r="E1928" s="3">
        <v>-15.938981283128101</v>
      </c>
      <c r="F1928" s="4">
        <v>3.3984885931435001E-57</v>
      </c>
      <c r="G1928" s="4">
        <v>8.9901571550855293E-55</v>
      </c>
      <c r="H1928" s="3" t="str">
        <f>"HIST1H2BB"</f>
        <v>HIST1H2BB</v>
      </c>
      <c r="I1928" s="3" t="str">
        <f t="shared" si="94"/>
        <v>protein_coding</v>
      </c>
    </row>
    <row r="1929" spans="1:9" x14ac:dyDescent="0.2">
      <c r="A1929" s="3" t="str">
        <f>"ENSG00000234816.2"</f>
        <v>ENSG00000234816.2</v>
      </c>
      <c r="B1929" s="3">
        <v>44.988140317088302</v>
      </c>
      <c r="C1929" s="3">
        <v>-2.0189742281384802</v>
      </c>
      <c r="D1929" s="3">
        <v>0.63174570339397895</v>
      </c>
      <c r="E1929" s="3">
        <v>-3.1958653890193198</v>
      </c>
      <c r="F1929" s="3">
        <v>1.3941213699256701E-3</v>
      </c>
      <c r="G1929" s="3">
        <v>5.9002213368071904E-3</v>
      </c>
      <c r="H1929" s="3" t="str">
        <f>"HIST1H2APS5"</f>
        <v>HIST1H2APS5</v>
      </c>
      <c r="I1929" s="3" t="str">
        <f>"unprocessed_pseudogene"</f>
        <v>unprocessed_pseudogene</v>
      </c>
    </row>
    <row r="1930" spans="1:9" x14ac:dyDescent="0.2">
      <c r="A1930" s="3" t="str">
        <f>"ENSG00000278272.1"</f>
        <v>ENSG00000278272.1</v>
      </c>
      <c r="B1930" s="3">
        <v>12828.760175363799</v>
      </c>
      <c r="C1930" s="3">
        <v>-2.4832544963224001</v>
      </c>
      <c r="D1930" s="3">
        <v>0.54939861638807996</v>
      </c>
      <c r="E1930" s="3">
        <v>-4.5199504007638396</v>
      </c>
      <c r="F1930" s="4">
        <v>6.1854121057342101E-6</v>
      </c>
      <c r="G1930" s="4">
        <v>4.5847095659668097E-5</v>
      </c>
      <c r="H1930" s="3" t="str">
        <f>"HIST1H3C"</f>
        <v>HIST1H3C</v>
      </c>
      <c r="I1930" s="3" t="str">
        <f t="shared" ref="I1930:I1936" si="95">"protein_coding"</f>
        <v>protein_coding</v>
      </c>
    </row>
    <row r="1931" spans="1:9" x14ac:dyDescent="0.2">
      <c r="A1931" s="3" t="str">
        <f>"ENSG00000187837.3"</f>
        <v>ENSG00000187837.3</v>
      </c>
      <c r="B1931" s="3">
        <v>30873.726248001502</v>
      </c>
      <c r="C1931" s="3">
        <v>-1.4474098828409101</v>
      </c>
      <c r="D1931" s="3">
        <v>0.24054988462839599</v>
      </c>
      <c r="E1931" s="3">
        <v>-6.0170882437831104</v>
      </c>
      <c r="F1931" s="4">
        <v>1.7758228765649199E-9</v>
      </c>
      <c r="G1931" s="4">
        <v>2.3258500152039601E-8</v>
      </c>
      <c r="H1931" s="3" t="str">
        <f>"HIST1H1C"</f>
        <v>HIST1H1C</v>
      </c>
      <c r="I1931" s="3" t="str">
        <f t="shared" si="95"/>
        <v>protein_coding</v>
      </c>
    </row>
    <row r="1932" spans="1:9" x14ac:dyDescent="0.2">
      <c r="A1932" s="3" t="str">
        <f>"ENSG00000197061.4"</f>
        <v>ENSG00000197061.4</v>
      </c>
      <c r="B1932" s="3">
        <v>13577.111708233801</v>
      </c>
      <c r="C1932" s="3">
        <v>-2.5118897945468199</v>
      </c>
      <c r="D1932" s="3">
        <v>0.51285647226091802</v>
      </c>
      <c r="E1932" s="3">
        <v>-4.8978416582581099</v>
      </c>
      <c r="F1932" s="4">
        <v>9.689506358680179E-7</v>
      </c>
      <c r="G1932" s="4">
        <v>8.3415475436006004E-6</v>
      </c>
      <c r="H1932" s="3" t="str">
        <f>"HIST1H4C"</f>
        <v>HIST1H4C</v>
      </c>
      <c r="I1932" s="3" t="str">
        <f t="shared" si="95"/>
        <v>protein_coding</v>
      </c>
    </row>
    <row r="1933" spans="1:9" x14ac:dyDescent="0.2">
      <c r="A1933" s="3" t="str">
        <f>"ENSG00000180596.7"</f>
        <v>ENSG00000180596.7</v>
      </c>
      <c r="B1933" s="3">
        <v>13335.305712580601</v>
      </c>
      <c r="C1933" s="3">
        <v>-2.8208619426122001</v>
      </c>
      <c r="D1933" s="3">
        <v>0.25392095129083198</v>
      </c>
      <c r="E1933" s="3">
        <v>-11.1092130376484</v>
      </c>
      <c r="F1933" s="4">
        <v>1.1315229717648901E-28</v>
      </c>
      <c r="G1933" s="4">
        <v>8.00794971731897E-27</v>
      </c>
      <c r="H1933" s="3" t="str">
        <f>"HIST1H2BC"</f>
        <v>HIST1H2BC</v>
      </c>
      <c r="I1933" s="3" t="str">
        <f t="shared" si="95"/>
        <v>protein_coding</v>
      </c>
    </row>
    <row r="1934" spans="1:9" x14ac:dyDescent="0.2">
      <c r="A1934" s="3" t="str">
        <f>"ENSG00000180573.9"</f>
        <v>ENSG00000180573.9</v>
      </c>
      <c r="B1934" s="3">
        <v>8715.3852273939592</v>
      </c>
      <c r="C1934" s="3">
        <v>-1.9354864466566499</v>
      </c>
      <c r="D1934" s="3">
        <v>0.25658429274460398</v>
      </c>
      <c r="E1934" s="3">
        <v>-7.5432772051373203</v>
      </c>
      <c r="F1934" s="4">
        <v>4.58305506579623E-14</v>
      </c>
      <c r="G1934" s="4">
        <v>1.0520177032666399E-12</v>
      </c>
      <c r="H1934" s="3" t="str">
        <f>"HIST1H2AC"</f>
        <v>HIST1H2AC</v>
      </c>
      <c r="I1934" s="3" t="str">
        <f t="shared" si="95"/>
        <v>protein_coding</v>
      </c>
    </row>
    <row r="1935" spans="1:9" x14ac:dyDescent="0.2">
      <c r="A1935" s="3" t="str">
        <f>"ENSG00000168298.6"</f>
        <v>ENSG00000168298.6</v>
      </c>
      <c r="B1935" s="3">
        <v>19227.5934735302</v>
      </c>
      <c r="C1935" s="3">
        <v>-1.8832075656721099</v>
      </c>
      <c r="D1935" s="3">
        <v>0.240474038559297</v>
      </c>
      <c r="E1935" s="3">
        <v>-7.8312302523573196</v>
      </c>
      <c r="F1935" s="4">
        <v>4.83118960945744E-15</v>
      </c>
      <c r="G1935" s="4">
        <v>1.20324884176313E-13</v>
      </c>
      <c r="H1935" s="3" t="str">
        <f>"HIST1H1E"</f>
        <v>HIST1H1E</v>
      </c>
      <c r="I1935" s="3" t="str">
        <f t="shared" si="95"/>
        <v>protein_coding</v>
      </c>
    </row>
    <row r="1936" spans="1:9" x14ac:dyDescent="0.2">
      <c r="A1936" s="3" t="str">
        <f>"ENSG00000158373.8"</f>
        <v>ENSG00000158373.8</v>
      </c>
      <c r="B1936" s="3">
        <v>9921.5358120211604</v>
      </c>
      <c r="C1936" s="3">
        <v>-2.0907997564174701</v>
      </c>
      <c r="D1936" s="3">
        <v>0.249409795399641</v>
      </c>
      <c r="E1936" s="3">
        <v>-8.3829897421121</v>
      </c>
      <c r="F1936" s="4">
        <v>5.15999744246182E-17</v>
      </c>
      <c r="G1936" s="4">
        <v>1.5348739117331601E-15</v>
      </c>
      <c r="H1936" s="3" t="str">
        <f>"HIST1H2BD"</f>
        <v>HIST1H2BD</v>
      </c>
      <c r="I1936" s="3" t="str">
        <f t="shared" si="95"/>
        <v>protein_coding</v>
      </c>
    </row>
    <row r="1937" spans="1:9" x14ac:dyDescent="0.2">
      <c r="A1937" s="3" t="str">
        <f>"ENSG00000217159.2"</f>
        <v>ENSG00000217159.2</v>
      </c>
      <c r="B1937" s="3">
        <v>4.1097661746942604</v>
      </c>
      <c r="C1937" s="3">
        <v>5.4328693169605202</v>
      </c>
      <c r="D1937" s="3">
        <v>2.14332345947187</v>
      </c>
      <c r="E1937" s="3">
        <v>2.5347874082893802</v>
      </c>
      <c r="F1937" s="3">
        <v>1.1251558606317101E-2</v>
      </c>
      <c r="G1937" s="3">
        <v>3.5125024902190903E-2</v>
      </c>
      <c r="H1937" s="3" t="str">
        <f>"LARP1P1"</f>
        <v>LARP1P1</v>
      </c>
      <c r="I1937" s="3" t="str">
        <f>"processed_pseudogene"</f>
        <v>processed_pseudogene</v>
      </c>
    </row>
    <row r="1938" spans="1:9" x14ac:dyDescent="0.2">
      <c r="A1938" s="3" t="str">
        <f>"ENSG00000274290.2"</f>
        <v>ENSG00000274290.2</v>
      </c>
      <c r="B1938" s="3">
        <v>38.849414598910897</v>
      </c>
      <c r="C1938" s="3">
        <v>2.1206405585797499</v>
      </c>
      <c r="D1938" s="3">
        <v>0.61798400890316996</v>
      </c>
      <c r="E1938" s="3">
        <v>3.4315460077091302</v>
      </c>
      <c r="F1938" s="3">
        <v>6.0015132134112401E-4</v>
      </c>
      <c r="G1938" s="3">
        <v>2.81499794329172E-3</v>
      </c>
      <c r="H1938" s="3" t="str">
        <f>"HIST1H2BE"</f>
        <v>HIST1H2BE</v>
      </c>
      <c r="I1938" s="3" t="str">
        <f t="shared" ref="I1938:I1948" si="96">"protein_coding"</f>
        <v>protein_coding</v>
      </c>
    </row>
    <row r="1939" spans="1:9" x14ac:dyDescent="0.2">
      <c r="A1939" s="3" t="str">
        <f>"ENSG00000277157.1"</f>
        <v>ENSG00000277157.1</v>
      </c>
      <c r="B1939" s="3">
        <v>7267.1349627151303</v>
      </c>
      <c r="C1939" s="3">
        <v>-2.9871318753932599</v>
      </c>
      <c r="D1939" s="3">
        <v>0.574620552013137</v>
      </c>
      <c r="E1939" s="3">
        <v>-5.1984424589898204</v>
      </c>
      <c r="F1939" s="4">
        <v>2.0096531330493101E-7</v>
      </c>
      <c r="G1939" s="4">
        <v>1.9427547189078301E-6</v>
      </c>
      <c r="H1939" s="3" t="str">
        <f>"HIST1H4D"</f>
        <v>HIST1H4D</v>
      </c>
      <c r="I1939" s="3" t="str">
        <f t="shared" si="96"/>
        <v>protein_coding</v>
      </c>
    </row>
    <row r="1940" spans="1:9" x14ac:dyDescent="0.2">
      <c r="A1940" s="3" t="str">
        <f>"ENSG00000277224.2"</f>
        <v>ENSG00000277224.2</v>
      </c>
      <c r="B1940" s="3">
        <v>4136.7915538832603</v>
      </c>
      <c r="C1940" s="3">
        <v>-3.1333706024612802</v>
      </c>
      <c r="D1940" s="3">
        <v>0.25894741453951298</v>
      </c>
      <c r="E1940" s="3">
        <v>-12.100412773123701</v>
      </c>
      <c r="F1940" s="4">
        <v>1.0508146334924099E-33</v>
      </c>
      <c r="G1940" s="4">
        <v>1.0225552256702801E-31</v>
      </c>
      <c r="H1940" s="3" t="str">
        <f>"HIST1H2BF"</f>
        <v>HIST1H2BF</v>
      </c>
      <c r="I1940" s="3" t="str">
        <f t="shared" si="96"/>
        <v>protein_coding</v>
      </c>
    </row>
    <row r="1941" spans="1:9" x14ac:dyDescent="0.2">
      <c r="A1941" s="3" t="str">
        <f>"ENSG00000276966.2"</f>
        <v>ENSG00000276966.2</v>
      </c>
      <c r="B1941" s="3">
        <v>14278.166489674401</v>
      </c>
      <c r="C1941" s="3">
        <v>-1.74589461735928</v>
      </c>
      <c r="D1941" s="3">
        <v>0.54608328199330203</v>
      </c>
      <c r="E1941" s="3">
        <v>-3.1971215287647201</v>
      </c>
      <c r="F1941" s="3">
        <v>1.3880643213961901E-3</v>
      </c>
      <c r="G1941" s="3">
        <v>5.8791525827890396E-3</v>
      </c>
      <c r="H1941" s="3" t="str">
        <f>"HIST1H4E"</f>
        <v>HIST1H4E</v>
      </c>
      <c r="I1941" s="3" t="str">
        <f t="shared" si="96"/>
        <v>protein_coding</v>
      </c>
    </row>
    <row r="1942" spans="1:9" x14ac:dyDescent="0.2">
      <c r="A1942" s="3" t="str">
        <f>"ENSG00000273802.2"</f>
        <v>ENSG00000273802.2</v>
      </c>
      <c r="B1942" s="3">
        <v>6486.1082692360496</v>
      </c>
      <c r="C1942" s="3">
        <v>-1.8586749071586099</v>
      </c>
      <c r="D1942" s="3">
        <v>0.25398355459980498</v>
      </c>
      <c r="E1942" s="3">
        <v>-7.3180915594604903</v>
      </c>
      <c r="F1942" s="4">
        <v>2.5152223753250102E-13</v>
      </c>
      <c r="G1942" s="4">
        <v>5.3582692775981597E-12</v>
      </c>
      <c r="H1942" s="3" t="str">
        <f>"HIST1H2BG"</f>
        <v>HIST1H2BG</v>
      </c>
      <c r="I1942" s="3" t="str">
        <f t="shared" si="96"/>
        <v>protein_coding</v>
      </c>
    </row>
    <row r="1943" spans="1:9" x14ac:dyDescent="0.2">
      <c r="A1943" s="3" t="str">
        <f>"ENSG00000277075.2"</f>
        <v>ENSG00000277075.2</v>
      </c>
      <c r="B1943" s="3">
        <v>8925.1498650076392</v>
      </c>
      <c r="C1943" s="3">
        <v>-2.37498329141722</v>
      </c>
      <c r="D1943" s="3">
        <v>0.50159183848371602</v>
      </c>
      <c r="E1943" s="3">
        <v>-4.7348922155445496</v>
      </c>
      <c r="F1943" s="4">
        <v>2.1917154301422799E-6</v>
      </c>
      <c r="G1943" s="4">
        <v>1.7678410398190301E-5</v>
      </c>
      <c r="H1943" s="3" t="str">
        <f>"HIST1H2AE"</f>
        <v>HIST1H2AE</v>
      </c>
      <c r="I1943" s="3" t="str">
        <f t="shared" si="96"/>
        <v>protein_coding</v>
      </c>
    </row>
    <row r="1944" spans="1:9" x14ac:dyDescent="0.2">
      <c r="A1944" s="3" t="str">
        <f>"ENSG00000274750.2"</f>
        <v>ENSG00000274750.2</v>
      </c>
      <c r="B1944" s="3">
        <v>255.30291603907699</v>
      </c>
      <c r="C1944" s="3">
        <v>-1.0116097339775001</v>
      </c>
      <c r="D1944" s="3">
        <v>0.27502314822473201</v>
      </c>
      <c r="E1944" s="3">
        <v>-3.6782712310124199</v>
      </c>
      <c r="F1944" s="3">
        <v>2.34820176499859E-4</v>
      </c>
      <c r="G1944" s="3">
        <v>1.22593319584052E-3</v>
      </c>
      <c r="H1944" s="3" t="str">
        <f>"HIST1H3E"</f>
        <v>HIST1H3E</v>
      </c>
      <c r="I1944" s="3" t="str">
        <f t="shared" si="96"/>
        <v>protein_coding</v>
      </c>
    </row>
    <row r="1945" spans="1:9" x14ac:dyDescent="0.2">
      <c r="A1945" s="3" t="str">
        <f>"ENSG00000277775.1"</f>
        <v>ENSG00000277775.1</v>
      </c>
      <c r="B1945" s="3">
        <v>972.47301857350203</v>
      </c>
      <c r="C1945" s="3">
        <v>-1.77605965107109</v>
      </c>
      <c r="D1945" s="3">
        <v>0.29462389329970901</v>
      </c>
      <c r="E1945" s="3">
        <v>-6.0282268052997798</v>
      </c>
      <c r="F1945" s="4">
        <v>1.6576831454399199E-9</v>
      </c>
      <c r="G1945" s="4">
        <v>2.1851423639962099E-8</v>
      </c>
      <c r="H1945" s="3" t="str">
        <f>"HIST1H3F"</f>
        <v>HIST1H3F</v>
      </c>
      <c r="I1945" s="3" t="str">
        <f t="shared" si="96"/>
        <v>protein_coding</v>
      </c>
    </row>
    <row r="1946" spans="1:9" x14ac:dyDescent="0.2">
      <c r="A1946" s="3" t="str">
        <f>"ENSG00000275713.2"</f>
        <v>ENSG00000275713.2</v>
      </c>
      <c r="B1946" s="3">
        <v>994.37146657169399</v>
      </c>
      <c r="C1946" s="3">
        <v>-2.4537072771876902</v>
      </c>
      <c r="D1946" s="3">
        <v>0.55409914833195995</v>
      </c>
      <c r="E1946" s="3">
        <v>-4.42828198630919</v>
      </c>
      <c r="F1946" s="4">
        <v>9.49866646420354E-6</v>
      </c>
      <c r="G1946" s="4">
        <v>6.7929177204764798E-5</v>
      </c>
      <c r="H1946" s="3" t="str">
        <f>"HIST1H2BH"</f>
        <v>HIST1H2BH</v>
      </c>
      <c r="I1946" s="3" t="str">
        <f t="shared" si="96"/>
        <v>protein_coding</v>
      </c>
    </row>
    <row r="1947" spans="1:9" x14ac:dyDescent="0.2">
      <c r="A1947" s="3" t="str">
        <f>"ENSG00000158406.4"</f>
        <v>ENSG00000158406.4</v>
      </c>
      <c r="B1947" s="3">
        <v>2337.9532532112798</v>
      </c>
      <c r="C1947" s="3">
        <v>-2.8472124975756499</v>
      </c>
      <c r="D1947" s="3">
        <v>0.57322997975077605</v>
      </c>
      <c r="E1947" s="3">
        <v>-4.9669636937229598</v>
      </c>
      <c r="F1947" s="4">
        <v>6.8009314452287796E-7</v>
      </c>
      <c r="G1947" s="4">
        <v>5.9969248895840996E-6</v>
      </c>
      <c r="H1947" s="3" t="str">
        <f>"HIST1H4H"</f>
        <v>HIST1H4H</v>
      </c>
      <c r="I1947" s="3" t="str">
        <f t="shared" si="96"/>
        <v>protein_coding</v>
      </c>
    </row>
    <row r="1948" spans="1:9" x14ac:dyDescent="0.2">
      <c r="A1948" s="3" t="str">
        <f>"ENSG00000186470.14"</f>
        <v>ENSG00000186470.14</v>
      </c>
      <c r="B1948" s="3">
        <v>452.11931448251897</v>
      </c>
      <c r="C1948" s="3">
        <v>-1.1932765756591599</v>
      </c>
      <c r="D1948" s="3">
        <v>0.228308547308545</v>
      </c>
      <c r="E1948" s="3">
        <v>-5.2265961556249598</v>
      </c>
      <c r="F1948" s="4">
        <v>1.7265904624084399E-7</v>
      </c>
      <c r="G1948" s="4">
        <v>1.68860051433032E-6</v>
      </c>
      <c r="H1948" s="3" t="str">
        <f>"BTN3A2"</f>
        <v>BTN3A2</v>
      </c>
      <c r="I1948" s="3" t="str">
        <f t="shared" si="96"/>
        <v>protein_coding</v>
      </c>
    </row>
    <row r="1949" spans="1:9" x14ac:dyDescent="0.2">
      <c r="A1949" s="3" t="str">
        <f>"ENSG00000261584.1"</f>
        <v>ENSG00000261584.1</v>
      </c>
      <c r="B1949" s="3">
        <v>3.9034938522860001</v>
      </c>
      <c r="C1949" s="3">
        <v>-5.4781019278940999</v>
      </c>
      <c r="D1949" s="3">
        <v>2.19748511805355</v>
      </c>
      <c r="E1949" s="3">
        <v>-2.4928960305070902</v>
      </c>
      <c r="F1949" s="3">
        <v>1.26705941777106E-2</v>
      </c>
      <c r="G1949" s="3">
        <v>3.8786167796885901E-2</v>
      </c>
      <c r="H1949" s="3" t="str">
        <f>"AL513548.1"</f>
        <v>AL513548.1</v>
      </c>
      <c r="I1949" s="3" t="str">
        <f>"lincRNA"</f>
        <v>lincRNA</v>
      </c>
    </row>
    <row r="1950" spans="1:9" x14ac:dyDescent="0.2">
      <c r="A1950" s="3" t="str">
        <f>"ENSG00000272468.1"</f>
        <v>ENSG00000272468.1</v>
      </c>
      <c r="B1950" s="3">
        <v>39.808623344021399</v>
      </c>
      <c r="C1950" s="3">
        <v>6.2512946021882803</v>
      </c>
      <c r="D1950" s="3">
        <v>1.1571773010630499</v>
      </c>
      <c r="E1950" s="3">
        <v>5.4021925563571598</v>
      </c>
      <c r="F1950" s="4">
        <v>6.5831226147934597E-8</v>
      </c>
      <c r="G1950" s="4">
        <v>6.9015137316382197E-7</v>
      </c>
      <c r="H1950" s="3" t="str">
        <f>"AL021807.1"</f>
        <v>AL021807.1</v>
      </c>
      <c r="I1950" s="3" t="str">
        <f>"lincRNA"</f>
        <v>lincRNA</v>
      </c>
    </row>
    <row r="1951" spans="1:9" x14ac:dyDescent="0.2">
      <c r="A1951" s="3" t="str">
        <f>"ENSG00000124635.8"</f>
        <v>ENSG00000124635.8</v>
      </c>
      <c r="B1951" s="3">
        <v>3513.5082319672601</v>
      </c>
      <c r="C1951" s="3">
        <v>-1.3364759726051401</v>
      </c>
      <c r="D1951" s="3">
        <v>0.25270765393518602</v>
      </c>
      <c r="E1951" s="3">
        <v>-5.2886248271210796</v>
      </c>
      <c r="F1951" s="4">
        <v>1.2323937279717699E-7</v>
      </c>
      <c r="G1951" s="4">
        <v>1.23406952980694E-6</v>
      </c>
      <c r="H1951" s="3" t="str">
        <f>"HIST1H2BJ"</f>
        <v>HIST1H2BJ</v>
      </c>
      <c r="I1951" s="3" t="str">
        <f t="shared" ref="I1951:I1969" si="97">"protein_coding"</f>
        <v>protein_coding</v>
      </c>
    </row>
    <row r="1952" spans="1:9" x14ac:dyDescent="0.2">
      <c r="A1952" s="3" t="str">
        <f>"ENSG00000196787.3"</f>
        <v>ENSG00000196787.3</v>
      </c>
      <c r="B1952" s="3">
        <v>7355.2205539309698</v>
      </c>
      <c r="C1952" s="3">
        <v>-1.5825771347254201</v>
      </c>
      <c r="D1952" s="3">
        <v>0.49499196355909297</v>
      </c>
      <c r="E1952" s="3">
        <v>-3.19717743162205</v>
      </c>
      <c r="F1952" s="3">
        <v>1.3877953252583201E-3</v>
      </c>
      <c r="G1952" s="3">
        <v>5.8789271186743602E-3</v>
      </c>
      <c r="H1952" s="3" t="str">
        <f>"HIST1H2AG"</f>
        <v>HIST1H2AG</v>
      </c>
      <c r="I1952" s="3" t="str">
        <f t="shared" si="97"/>
        <v>protein_coding</v>
      </c>
    </row>
    <row r="1953" spans="1:9" x14ac:dyDescent="0.2">
      <c r="A1953" s="3" t="str">
        <f>"ENSG00000276180.1"</f>
        <v>ENSG00000276180.1</v>
      </c>
      <c r="B1953" s="3">
        <v>15.228600824035199</v>
      </c>
      <c r="C1953" s="3">
        <v>3.1454804888365002</v>
      </c>
      <c r="D1953" s="3">
        <v>0.99795367037618399</v>
      </c>
      <c r="E1953" s="3">
        <v>3.1519303773398502</v>
      </c>
      <c r="F1953" s="3">
        <v>1.6219494187666801E-3</v>
      </c>
      <c r="G1953" s="3">
        <v>6.7295958296232101E-3</v>
      </c>
      <c r="H1953" s="3" t="str">
        <f>"HIST1H4I"</f>
        <v>HIST1H4I</v>
      </c>
      <c r="I1953" s="3" t="str">
        <f t="shared" si="97"/>
        <v>protein_coding</v>
      </c>
    </row>
    <row r="1954" spans="1:9" x14ac:dyDescent="0.2">
      <c r="A1954" s="3" t="str">
        <f>"ENSG00000197903.7"</f>
        <v>ENSG00000197903.7</v>
      </c>
      <c r="B1954" s="3">
        <v>1245.8622440537799</v>
      </c>
      <c r="C1954" s="3">
        <v>-1.1721563328815701</v>
      </c>
      <c r="D1954" s="3">
        <v>0.25699171800033699</v>
      </c>
      <c r="E1954" s="3">
        <v>-4.5610665666666899</v>
      </c>
      <c r="F1954" s="4">
        <v>5.0894442010208502E-6</v>
      </c>
      <c r="G1954" s="4">
        <v>3.8392050427800398E-5</v>
      </c>
      <c r="H1954" s="3" t="str">
        <f>"HIST1H2BK"</f>
        <v>HIST1H2BK</v>
      </c>
      <c r="I1954" s="3" t="str">
        <f t="shared" si="97"/>
        <v>protein_coding</v>
      </c>
    </row>
    <row r="1955" spans="1:9" x14ac:dyDescent="0.2">
      <c r="A1955" s="3" t="str">
        <f>"ENSG00000274997.1"</f>
        <v>ENSG00000274997.1</v>
      </c>
      <c r="B1955" s="3">
        <v>1093.64309471408</v>
      </c>
      <c r="C1955" s="3">
        <v>-2.8609837622841998</v>
      </c>
      <c r="D1955" s="3">
        <v>0.564752355530452</v>
      </c>
      <c r="E1955" s="3">
        <v>-5.0659085070959602</v>
      </c>
      <c r="F1955" s="4">
        <v>4.0645711581490299E-7</v>
      </c>
      <c r="G1955" s="4">
        <v>3.7288676884204198E-6</v>
      </c>
      <c r="H1955" s="3" t="str">
        <f>"HIST1H2AH"</f>
        <v>HIST1H2AH</v>
      </c>
      <c r="I1955" s="3" t="str">
        <f t="shared" si="97"/>
        <v>protein_coding</v>
      </c>
    </row>
    <row r="1956" spans="1:9" x14ac:dyDescent="0.2">
      <c r="A1956" s="3" t="str">
        <f>"ENSG00000096654.15"</f>
        <v>ENSG00000096654.15</v>
      </c>
      <c r="B1956" s="3">
        <v>184.32040445800499</v>
      </c>
      <c r="C1956" s="3">
        <v>-1.26825988181625</v>
      </c>
      <c r="D1956" s="3">
        <v>0.33494511641137797</v>
      </c>
      <c r="E1956" s="3">
        <v>-3.7864707370701902</v>
      </c>
      <c r="F1956" s="3">
        <v>1.5280208128175501E-4</v>
      </c>
      <c r="G1956" s="3">
        <v>8.3905649106892101E-4</v>
      </c>
      <c r="H1956" s="3" t="str">
        <f>"ZNF184"</f>
        <v>ZNF184</v>
      </c>
      <c r="I1956" s="3" t="str">
        <f t="shared" si="97"/>
        <v>protein_coding</v>
      </c>
    </row>
    <row r="1957" spans="1:9" x14ac:dyDescent="0.2">
      <c r="A1957" s="3" t="str">
        <f>"ENSG00000185130.5"</f>
        <v>ENSG00000185130.5</v>
      </c>
      <c r="B1957" s="3">
        <v>2939.8585633800299</v>
      </c>
      <c r="C1957" s="3">
        <v>-3.3903429040296</v>
      </c>
      <c r="D1957" s="3">
        <v>0.26804765898181399</v>
      </c>
      <c r="E1957" s="3">
        <v>-12.648283954084601</v>
      </c>
      <c r="F1957" s="4">
        <v>1.1434510579630901E-36</v>
      </c>
      <c r="G1957" s="4">
        <v>1.3257706798434199E-34</v>
      </c>
      <c r="H1957" s="3" t="str">
        <f>"HIST1H2BL"</f>
        <v>HIST1H2BL</v>
      </c>
      <c r="I1957" s="3" t="str">
        <f t="shared" si="97"/>
        <v>protein_coding</v>
      </c>
    </row>
    <row r="1958" spans="1:9" x14ac:dyDescent="0.2">
      <c r="A1958" s="3" t="str">
        <f>"ENSG00000196747.4"</f>
        <v>ENSG00000196747.4</v>
      </c>
      <c r="B1958" s="3">
        <v>8664.8065582094296</v>
      </c>
      <c r="C1958" s="3">
        <v>-2.5195114842678299</v>
      </c>
      <c r="D1958" s="3">
        <v>0.52236078273026898</v>
      </c>
      <c r="E1958" s="3">
        <v>-4.8233166952137596</v>
      </c>
      <c r="F1958" s="4">
        <v>1.41190522456716E-6</v>
      </c>
      <c r="G1958" s="4">
        <v>1.18006692189514E-5</v>
      </c>
      <c r="H1958" s="3" t="str">
        <f>"HIST1H2AI"</f>
        <v>HIST1H2AI</v>
      </c>
      <c r="I1958" s="3" t="str">
        <f t="shared" si="97"/>
        <v>protein_coding</v>
      </c>
    </row>
    <row r="1959" spans="1:9" x14ac:dyDescent="0.2">
      <c r="A1959" s="3" t="str">
        <f>"ENSG00000278828.1"</f>
        <v>ENSG00000278828.1</v>
      </c>
      <c r="B1959" s="3">
        <v>7881.8984476062897</v>
      </c>
      <c r="C1959" s="3">
        <v>-2.3084040517192799</v>
      </c>
      <c r="D1959" s="3">
        <v>0.58243668325153297</v>
      </c>
      <c r="E1959" s="3">
        <v>-3.96335622068358</v>
      </c>
      <c r="F1959" s="4">
        <v>7.3903380186229897E-5</v>
      </c>
      <c r="G1959" s="3">
        <v>4.3566538293686799E-4</v>
      </c>
      <c r="H1959" s="3" t="str">
        <f>"HIST1H3H"</f>
        <v>HIST1H3H</v>
      </c>
      <c r="I1959" s="3" t="str">
        <f t="shared" si="97"/>
        <v>protein_coding</v>
      </c>
    </row>
    <row r="1960" spans="1:9" x14ac:dyDescent="0.2">
      <c r="A1960" s="3" t="str">
        <f>"ENSG00000276368.1"</f>
        <v>ENSG00000276368.1</v>
      </c>
      <c r="B1960" s="3">
        <v>6560.8903912124897</v>
      </c>
      <c r="C1960" s="3">
        <v>-3.2914768200808302</v>
      </c>
      <c r="D1960" s="3">
        <v>0.61491893893717797</v>
      </c>
      <c r="E1960" s="3">
        <v>-5.3527003506670203</v>
      </c>
      <c r="F1960" s="4">
        <v>8.6651276708025306E-8</v>
      </c>
      <c r="G1960" s="4">
        <v>8.8559164908610898E-7</v>
      </c>
      <c r="H1960" s="3" t="str">
        <f>"HIST1H2AJ"</f>
        <v>HIST1H2AJ</v>
      </c>
      <c r="I1960" s="3" t="str">
        <f t="shared" si="97"/>
        <v>protein_coding</v>
      </c>
    </row>
    <row r="1961" spans="1:9" x14ac:dyDescent="0.2">
      <c r="A1961" s="3" t="str">
        <f>"ENSG00000273703.1"</f>
        <v>ENSG00000273703.1</v>
      </c>
      <c r="B1961" s="3">
        <v>1474.62470639654</v>
      </c>
      <c r="C1961" s="3">
        <v>-4.25880714807474</v>
      </c>
      <c r="D1961" s="3">
        <v>0.63241171647722305</v>
      </c>
      <c r="E1961" s="3">
        <v>-6.7342318889946204</v>
      </c>
      <c r="F1961" s="4">
        <v>1.64798175532874E-11</v>
      </c>
      <c r="G1961" s="4">
        <v>2.8329690149805799E-10</v>
      </c>
      <c r="H1961" s="3" t="str">
        <f>"HIST1H2BM"</f>
        <v>HIST1H2BM</v>
      </c>
      <c r="I1961" s="3" t="str">
        <f t="shared" si="97"/>
        <v>protein_coding</v>
      </c>
    </row>
    <row r="1962" spans="1:9" x14ac:dyDescent="0.2">
      <c r="A1962" s="3" t="str">
        <f>"ENSG00000197238.4"</f>
        <v>ENSG00000197238.4</v>
      </c>
      <c r="B1962" s="3">
        <v>592.17572665713794</v>
      </c>
      <c r="C1962" s="3">
        <v>-1.59836780663804</v>
      </c>
      <c r="D1962" s="3">
        <v>0.24478817930598901</v>
      </c>
      <c r="E1962" s="3">
        <v>-6.5295955514259303</v>
      </c>
      <c r="F1962" s="4">
        <v>6.5947528797573101E-11</v>
      </c>
      <c r="G1962" s="4">
        <v>1.0557416669491599E-9</v>
      </c>
      <c r="H1962" s="3" t="str">
        <f>"HIST1H4J"</f>
        <v>HIST1H4J</v>
      </c>
      <c r="I1962" s="3" t="str">
        <f t="shared" si="97"/>
        <v>protein_coding</v>
      </c>
    </row>
    <row r="1963" spans="1:9" x14ac:dyDescent="0.2">
      <c r="A1963" s="3" t="str">
        <f>"ENSG00000273542.1"</f>
        <v>ENSG00000273542.1</v>
      </c>
      <c r="B1963" s="3">
        <v>4045.9348695738499</v>
      </c>
      <c r="C1963" s="3">
        <v>-1.7513765549564799</v>
      </c>
      <c r="D1963" s="3">
        <v>0.244202264436226</v>
      </c>
      <c r="E1963" s="3">
        <v>-7.1718276609750697</v>
      </c>
      <c r="F1963" s="4">
        <v>7.4003066429908795E-13</v>
      </c>
      <c r="G1963" s="4">
        <v>1.4947083402637001E-11</v>
      </c>
      <c r="H1963" s="3" t="str">
        <f>"HIST1H4K"</f>
        <v>HIST1H4K</v>
      </c>
      <c r="I1963" s="3" t="str">
        <f t="shared" si="97"/>
        <v>protein_coding</v>
      </c>
    </row>
    <row r="1964" spans="1:9" x14ac:dyDescent="0.2">
      <c r="A1964" s="3" t="str">
        <f>"ENSG00000233822.4"</f>
        <v>ENSG00000233822.4</v>
      </c>
      <c r="B1964" s="3">
        <v>4079.18861520053</v>
      </c>
      <c r="C1964" s="3">
        <v>-1.6459450657385</v>
      </c>
      <c r="D1964" s="3">
        <v>0.26008306675493698</v>
      </c>
      <c r="E1964" s="3">
        <v>-6.3285360568644604</v>
      </c>
      <c r="F1964" s="4">
        <v>2.4749802753179199E-10</v>
      </c>
      <c r="G1964" s="4">
        <v>3.6236317872964699E-9</v>
      </c>
      <c r="H1964" s="3" t="str">
        <f>"HIST1H2BN"</f>
        <v>HIST1H2BN</v>
      </c>
      <c r="I1964" s="3" t="str">
        <f t="shared" si="97"/>
        <v>protein_coding</v>
      </c>
    </row>
    <row r="1965" spans="1:9" x14ac:dyDescent="0.2">
      <c r="A1965" s="3" t="str">
        <f>"ENSG00000275221.1"</f>
        <v>ENSG00000275221.1</v>
      </c>
      <c r="B1965" s="3">
        <v>639.88219695992404</v>
      </c>
      <c r="C1965" s="3">
        <v>-1.9206050153893099</v>
      </c>
      <c r="D1965" s="3">
        <v>0.62940265860676103</v>
      </c>
      <c r="E1965" s="3">
        <v>-3.0514726767134102</v>
      </c>
      <c r="F1965" s="3">
        <v>2.2772177332436899E-3</v>
      </c>
      <c r="G1965" s="3">
        <v>9.0015017521675508E-3</v>
      </c>
      <c r="H1965" s="3" t="str">
        <f>"HIST1H2AK"</f>
        <v>HIST1H2AK</v>
      </c>
      <c r="I1965" s="3" t="str">
        <f t="shared" si="97"/>
        <v>protein_coding</v>
      </c>
    </row>
    <row r="1966" spans="1:9" x14ac:dyDescent="0.2">
      <c r="A1966" s="3" t="str">
        <f>"ENSG00000276903.1"</f>
        <v>ENSG00000276903.1</v>
      </c>
      <c r="B1966" s="3">
        <v>393.49660176616601</v>
      </c>
      <c r="C1966" s="3">
        <v>-2.37174557155421</v>
      </c>
      <c r="D1966" s="3">
        <v>0.33584458042027698</v>
      </c>
      <c r="E1966" s="3">
        <v>-7.0620331838798798</v>
      </c>
      <c r="F1966" s="4">
        <v>1.6408378766442801E-12</v>
      </c>
      <c r="G1966" s="4">
        <v>3.1730241039692501E-11</v>
      </c>
      <c r="H1966" s="3" t="str">
        <f>"HIST1H2AL"</f>
        <v>HIST1H2AL</v>
      </c>
      <c r="I1966" s="3" t="str">
        <f t="shared" si="97"/>
        <v>protein_coding</v>
      </c>
    </row>
    <row r="1967" spans="1:9" x14ac:dyDescent="0.2">
      <c r="A1967" s="3" t="str">
        <f>"ENSG00000184357.4"</f>
        <v>ENSG00000184357.4</v>
      </c>
      <c r="B1967" s="3">
        <v>2546.2796428660499</v>
      </c>
      <c r="C1967" s="3">
        <v>-3.1182833158530898</v>
      </c>
      <c r="D1967" s="3">
        <v>0.56955973292213502</v>
      </c>
      <c r="E1967" s="3">
        <v>-5.4749012888511102</v>
      </c>
      <c r="F1967" s="4">
        <v>4.3775556025139698E-8</v>
      </c>
      <c r="G1967" s="4">
        <v>4.73690458704123E-7</v>
      </c>
      <c r="H1967" s="3" t="str">
        <f>"HIST1H1B"</f>
        <v>HIST1H1B</v>
      </c>
      <c r="I1967" s="3" t="str">
        <f t="shared" si="97"/>
        <v>protein_coding</v>
      </c>
    </row>
    <row r="1968" spans="1:9" x14ac:dyDescent="0.2">
      <c r="A1968" s="3" t="str">
        <f>"ENSG00000197153.4"</f>
        <v>ENSG00000197153.4</v>
      </c>
      <c r="B1968" s="3">
        <v>28.554842810199201</v>
      </c>
      <c r="C1968" s="3">
        <v>-3.02368515396594</v>
      </c>
      <c r="D1968" s="3">
        <v>0.73778887046951203</v>
      </c>
      <c r="E1968" s="3">
        <v>-4.0983068124106303</v>
      </c>
      <c r="F1968" s="4">
        <v>4.1618338773910299E-5</v>
      </c>
      <c r="G1968" s="3">
        <v>2.5872116736772401E-4</v>
      </c>
      <c r="H1968" s="3" t="str">
        <f>"HIST1H3J"</f>
        <v>HIST1H3J</v>
      </c>
      <c r="I1968" s="3" t="str">
        <f t="shared" si="97"/>
        <v>protein_coding</v>
      </c>
    </row>
    <row r="1969" spans="1:9" x14ac:dyDescent="0.2">
      <c r="A1969" s="3" t="str">
        <f>"ENSG00000274641.1"</f>
        <v>ENSG00000274641.1</v>
      </c>
      <c r="B1969" s="3">
        <v>5143.3365398599199</v>
      </c>
      <c r="C1969" s="3">
        <v>-2.1713232023087499</v>
      </c>
      <c r="D1969" s="3">
        <v>0.49570146453024699</v>
      </c>
      <c r="E1969" s="3">
        <v>-4.3803041904796798</v>
      </c>
      <c r="F1969" s="4">
        <v>1.18513748363342E-5</v>
      </c>
      <c r="G1969" s="4">
        <v>8.2841049298511605E-5</v>
      </c>
      <c r="H1969" s="3" t="str">
        <f>"HIST1H2BO"</f>
        <v>HIST1H2BO</v>
      </c>
      <c r="I1969" s="3" t="str">
        <f t="shared" si="97"/>
        <v>protein_coding</v>
      </c>
    </row>
    <row r="1970" spans="1:9" x14ac:dyDescent="0.2">
      <c r="A1970" s="3" t="str">
        <f>"ENSG00000168126.3"</f>
        <v>ENSG00000168126.3</v>
      </c>
      <c r="B1970" s="3">
        <v>21.253104358101599</v>
      </c>
      <c r="C1970" s="3">
        <v>2.4180015435775499</v>
      </c>
      <c r="D1970" s="3">
        <v>0.79104783693798997</v>
      </c>
      <c r="E1970" s="3">
        <v>3.0567071050180901</v>
      </c>
      <c r="F1970" s="3">
        <v>2.2378282627402899E-3</v>
      </c>
      <c r="G1970" s="3">
        <v>8.8741240976400494E-3</v>
      </c>
      <c r="H1970" s="3" t="str">
        <f>"OR2W6P"</f>
        <v>OR2W6P</v>
      </c>
      <c r="I1970" s="3" t="str">
        <f>"unprocessed_pseudogene"</f>
        <v>unprocessed_pseudogene</v>
      </c>
    </row>
    <row r="1971" spans="1:9" x14ac:dyDescent="0.2">
      <c r="A1971" s="3" t="str">
        <f>"ENSG00000124657.1"</f>
        <v>ENSG00000124657.1</v>
      </c>
      <c r="B1971" s="3">
        <v>8.4039399316676793</v>
      </c>
      <c r="C1971" s="3">
        <v>3.3036818090961502</v>
      </c>
      <c r="D1971" s="3">
        <v>1.3446065110143599</v>
      </c>
      <c r="E1971" s="3">
        <v>2.45698781170104</v>
      </c>
      <c r="F1971" s="3">
        <v>1.40107440068234E-2</v>
      </c>
      <c r="G1971" s="3">
        <v>4.22290643754335E-2</v>
      </c>
      <c r="H1971" s="3" t="str">
        <f>"OR2B6"</f>
        <v>OR2B6</v>
      </c>
      <c r="I1971" s="3" t="str">
        <f>"protein_coding"</f>
        <v>protein_coding</v>
      </c>
    </row>
    <row r="1972" spans="1:9" x14ac:dyDescent="0.2">
      <c r="A1972" s="3" t="str">
        <f>"ENSG00000197279.4"</f>
        <v>ENSG00000197279.4</v>
      </c>
      <c r="B1972" s="3">
        <v>179.336494688426</v>
      </c>
      <c r="C1972" s="3">
        <v>1.9301338264812899</v>
      </c>
      <c r="D1972" s="3">
        <v>0.32778359265123203</v>
      </c>
      <c r="E1972" s="3">
        <v>5.8884394147665402</v>
      </c>
      <c r="F1972" s="4">
        <v>3.8985941322703501E-9</v>
      </c>
      <c r="G1972" s="4">
        <v>4.9155480944919198E-8</v>
      </c>
      <c r="H1972" s="3" t="str">
        <f>"ZNF165"</f>
        <v>ZNF165</v>
      </c>
      <c r="I1972" s="3" t="str">
        <f>"protein_coding"</f>
        <v>protein_coding</v>
      </c>
    </row>
    <row r="1973" spans="1:9" x14ac:dyDescent="0.2">
      <c r="A1973" s="3" t="str">
        <f>"ENSG00000219891.2"</f>
        <v>ENSG00000219891.2</v>
      </c>
      <c r="B1973" s="3">
        <v>21.572444450022001</v>
      </c>
      <c r="C1973" s="3">
        <v>1.85908544578436</v>
      </c>
      <c r="D1973" s="3">
        <v>0.76708892667587503</v>
      </c>
      <c r="E1973" s="3">
        <v>2.4235592264909598</v>
      </c>
      <c r="F1973" s="3">
        <v>1.53692469075379E-2</v>
      </c>
      <c r="G1973" s="3">
        <v>4.5483422449189299E-2</v>
      </c>
      <c r="H1973" s="3" t="str">
        <f>"ZSCAN12P1"</f>
        <v>ZSCAN12P1</v>
      </c>
      <c r="I1973" s="3" t="str">
        <f>"transcribed_unprocessed_pseudogene"</f>
        <v>transcribed_unprocessed_pseudogene</v>
      </c>
    </row>
    <row r="1974" spans="1:9" x14ac:dyDescent="0.2">
      <c r="A1974" s="3" t="str">
        <f>"ENSG00000226314.8"</f>
        <v>ENSG00000226314.8</v>
      </c>
      <c r="B1974" s="3">
        <v>138.873653840564</v>
      </c>
      <c r="C1974" s="3">
        <v>1.0736245510267901</v>
      </c>
      <c r="D1974" s="3">
        <v>0.36556589497146702</v>
      </c>
      <c r="E1974" s="3">
        <v>2.9368837897489999</v>
      </c>
      <c r="F1974" s="3">
        <v>3.3152831282271E-3</v>
      </c>
      <c r="G1974" s="3">
        <v>1.24870776050323E-2</v>
      </c>
      <c r="H1974" s="3" t="str">
        <f>"ZNF192P1"</f>
        <v>ZNF192P1</v>
      </c>
      <c r="I1974" s="3" t="str">
        <f>"transcribed_unprocessed_pseudogene"</f>
        <v>transcribed_unprocessed_pseudogene</v>
      </c>
    </row>
    <row r="1975" spans="1:9" x14ac:dyDescent="0.2">
      <c r="A1975" s="3" t="str">
        <f>"ENSG00000204701.2"</f>
        <v>ENSG00000204701.2</v>
      </c>
      <c r="B1975" s="3">
        <v>35.059180009529598</v>
      </c>
      <c r="C1975" s="3">
        <v>-2.01707597039033</v>
      </c>
      <c r="D1975" s="3">
        <v>0.60853213964820796</v>
      </c>
      <c r="E1975" s="3">
        <v>-3.3146580746850902</v>
      </c>
      <c r="F1975" s="3">
        <v>9.1755284519379101E-4</v>
      </c>
      <c r="G1975" s="3">
        <v>4.0937344173774303E-3</v>
      </c>
      <c r="H1975" s="3" t="str">
        <f>"OR2J3"</f>
        <v>OR2J3</v>
      </c>
      <c r="I1975" s="3" t="str">
        <f>"protein_coding"</f>
        <v>protein_coding</v>
      </c>
    </row>
    <row r="1976" spans="1:9" x14ac:dyDescent="0.2">
      <c r="A1976" s="3" t="str">
        <f>"ENSG00000197171.6"</f>
        <v>ENSG00000197171.6</v>
      </c>
      <c r="B1976" s="3">
        <v>12.524885101793799</v>
      </c>
      <c r="C1976" s="3">
        <v>-2.67114125214936</v>
      </c>
      <c r="D1976" s="3">
        <v>1.0511490634129499</v>
      </c>
      <c r="E1976" s="3">
        <v>-2.5411631376776298</v>
      </c>
      <c r="F1976" s="3">
        <v>1.1048435465991701E-2</v>
      </c>
      <c r="G1976" s="3">
        <v>3.4613857783359202E-2</v>
      </c>
      <c r="H1976" s="3" t="str">
        <f>"AL672167.1"</f>
        <v>AL672167.1</v>
      </c>
      <c r="I1976" s="3" t="str">
        <f>"transcribed_unprocessed_pseudogene"</f>
        <v>transcribed_unprocessed_pseudogene</v>
      </c>
    </row>
    <row r="1977" spans="1:9" x14ac:dyDescent="0.2">
      <c r="A1977" s="3" t="str">
        <f>"ENSG00000214922.9"</f>
        <v>ENSG00000214922.9</v>
      </c>
      <c r="B1977" s="3">
        <v>106.838655765784</v>
      </c>
      <c r="C1977" s="3">
        <v>-1.4529590271084201</v>
      </c>
      <c r="D1977" s="3">
        <v>0.36471891123993899</v>
      </c>
      <c r="E1977" s="3">
        <v>-3.9837775951040699</v>
      </c>
      <c r="F1977" s="4">
        <v>6.7828355681843504E-5</v>
      </c>
      <c r="G1977" s="3">
        <v>4.0264035016627202E-4</v>
      </c>
      <c r="H1977" s="3" t="str">
        <f>"HLA-F-AS1"</f>
        <v>HLA-F-AS1</v>
      </c>
      <c r="I1977" s="3" t="str">
        <f>"processed_transcript"</f>
        <v>processed_transcript</v>
      </c>
    </row>
    <row r="1978" spans="1:9" x14ac:dyDescent="0.2">
      <c r="A1978" s="3" t="str">
        <f>"ENSG00000273340.1"</f>
        <v>ENSG00000273340.1</v>
      </c>
      <c r="B1978" s="3">
        <v>60.638431240532199</v>
      </c>
      <c r="C1978" s="3">
        <v>-1.85673434811141</v>
      </c>
      <c r="D1978" s="3">
        <v>0.48038568723240899</v>
      </c>
      <c r="E1978" s="3">
        <v>-3.8650908997901299</v>
      </c>
      <c r="F1978" s="3">
        <v>1.1104783470213199E-4</v>
      </c>
      <c r="G1978" s="3">
        <v>6.2917869663734697E-4</v>
      </c>
      <c r="H1978" s="3" t="str">
        <f>"MICE"</f>
        <v>MICE</v>
      </c>
      <c r="I1978" s="3" t="str">
        <f>"transcribed_unprocessed_pseudogene"</f>
        <v>transcribed_unprocessed_pseudogene</v>
      </c>
    </row>
    <row r="1979" spans="1:9" x14ac:dyDescent="0.2">
      <c r="A1979" s="3" t="str">
        <f>"ENSG00000229390.1"</f>
        <v>ENSG00000229390.1</v>
      </c>
      <c r="B1979" s="3">
        <v>57.071922623583198</v>
      </c>
      <c r="C1979" s="3">
        <v>-1.23567519138075</v>
      </c>
      <c r="D1979" s="3">
        <v>0.47142239981067502</v>
      </c>
      <c r="E1979" s="3">
        <v>-2.6211635083038098</v>
      </c>
      <c r="F1979" s="3">
        <v>8.76302219117534E-3</v>
      </c>
      <c r="G1979" s="3">
        <v>2.85161908089041E-2</v>
      </c>
      <c r="H1979" s="3" t="str">
        <f>"MICD"</f>
        <v>MICD</v>
      </c>
      <c r="I1979" s="3" t="str">
        <f>"unprocessed_pseudogene"</f>
        <v>unprocessed_pseudogene</v>
      </c>
    </row>
    <row r="1980" spans="1:9" x14ac:dyDescent="0.2">
      <c r="A1980" s="3" t="str">
        <f>"ENSG00000204618.8"</f>
        <v>ENSG00000204618.8</v>
      </c>
      <c r="B1980" s="3">
        <v>146.79586202125901</v>
      </c>
      <c r="C1980" s="3">
        <v>4.6371730386727297</v>
      </c>
      <c r="D1980" s="3">
        <v>0.43716393655847302</v>
      </c>
      <c r="E1980" s="3">
        <v>10.607400681717699</v>
      </c>
      <c r="F1980" s="4">
        <v>2.7530139452424098E-26</v>
      </c>
      <c r="G1980" s="4">
        <v>1.68186930417085E-24</v>
      </c>
      <c r="H1980" s="3" t="str">
        <f>"RNF39"</f>
        <v>RNF39</v>
      </c>
      <c r="I1980" s="3" t="str">
        <f>"protein_coding"</f>
        <v>protein_coding</v>
      </c>
    </row>
    <row r="1981" spans="1:9" x14ac:dyDescent="0.2">
      <c r="A1981" s="3" t="str">
        <f>"ENSG00000233892.1"</f>
        <v>ENSG00000233892.1</v>
      </c>
      <c r="B1981" s="3">
        <v>81.132919655628697</v>
      </c>
      <c r="C1981" s="3">
        <v>1.33669066655778</v>
      </c>
      <c r="D1981" s="3">
        <v>0.41199629561675499</v>
      </c>
      <c r="E1981" s="3">
        <v>3.2444239930768601</v>
      </c>
      <c r="F1981" s="3">
        <v>1.1768842144230401E-3</v>
      </c>
      <c r="G1981" s="3">
        <v>5.0858943997437803E-3</v>
      </c>
      <c r="H1981" s="3" t="str">
        <f>"PAIP1P1"</f>
        <v>PAIP1P1</v>
      </c>
      <c r="I1981" s="3" t="str">
        <f>"processed_pseudogene"</f>
        <v>processed_pseudogene</v>
      </c>
    </row>
    <row r="1982" spans="1:9" x14ac:dyDescent="0.2">
      <c r="A1982" s="3" t="str">
        <f>"ENSG00000137404.14"</f>
        <v>ENSG00000137404.14</v>
      </c>
      <c r="B1982" s="3">
        <v>531.06613509986801</v>
      </c>
      <c r="C1982" s="3">
        <v>-1.46002561019914</v>
      </c>
      <c r="D1982" s="3">
        <v>0.27586416549326098</v>
      </c>
      <c r="E1982" s="3">
        <v>-5.29255261403208</v>
      </c>
      <c r="F1982" s="4">
        <v>1.2062075088905801E-7</v>
      </c>
      <c r="G1982" s="4">
        <v>1.21051697954849E-6</v>
      </c>
      <c r="H1982" s="3" t="str">
        <f>"NRM"</f>
        <v>NRM</v>
      </c>
      <c r="I1982" s="3" t="str">
        <f>"protein_coding"</f>
        <v>protein_coding</v>
      </c>
    </row>
    <row r="1983" spans="1:9" x14ac:dyDescent="0.2">
      <c r="A1983" s="3" t="str">
        <f>"ENSG00000196230.13"</f>
        <v>ENSG00000196230.13</v>
      </c>
      <c r="B1983" s="3">
        <v>48392.021662369101</v>
      </c>
      <c r="C1983" s="3">
        <v>-1.8643417983686801</v>
      </c>
      <c r="D1983" s="3">
        <v>0.21924967647356999</v>
      </c>
      <c r="E1983" s="3">
        <v>-8.5032818672980692</v>
      </c>
      <c r="F1983" s="4">
        <v>1.8430467750427901E-17</v>
      </c>
      <c r="G1983" s="4">
        <v>5.7260542166010205E-16</v>
      </c>
      <c r="H1983" s="3" t="str">
        <f>"TUBB"</f>
        <v>TUBB</v>
      </c>
      <c r="I1983" s="3" t="str">
        <f>"protein_coding"</f>
        <v>protein_coding</v>
      </c>
    </row>
    <row r="1984" spans="1:9" x14ac:dyDescent="0.2">
      <c r="A1984" s="3" t="str">
        <f>"ENSG00000204580.13"</f>
        <v>ENSG00000204580.13</v>
      </c>
      <c r="B1984" s="3">
        <v>4080.62079517252</v>
      </c>
      <c r="C1984" s="3">
        <v>1.3787630368105801</v>
      </c>
      <c r="D1984" s="3">
        <v>0.19877684711468599</v>
      </c>
      <c r="E1984" s="3">
        <v>6.93623556678659</v>
      </c>
      <c r="F1984" s="4">
        <v>4.0268592357834698E-12</v>
      </c>
      <c r="G1984" s="4">
        <v>7.3985052998915904E-11</v>
      </c>
      <c r="H1984" s="3" t="str">
        <f>"DDR1"</f>
        <v>DDR1</v>
      </c>
      <c r="I1984" s="3" t="str">
        <f>"protein_coding"</f>
        <v>protein_coding</v>
      </c>
    </row>
    <row r="1985" spans="1:9" x14ac:dyDescent="0.2">
      <c r="A1985" s="3" t="str">
        <f>"ENSG00000137411.17"</f>
        <v>ENSG00000137411.17</v>
      </c>
      <c r="B1985" s="3">
        <v>2622.4314196550299</v>
      </c>
      <c r="C1985" s="3">
        <v>-1.6096818257937799</v>
      </c>
      <c r="D1985" s="3">
        <v>0.21263063838214</v>
      </c>
      <c r="E1985" s="3">
        <v>-7.57031930130813</v>
      </c>
      <c r="F1985" s="4">
        <v>3.7230797681573801E-14</v>
      </c>
      <c r="G1985" s="4">
        <v>8.5968435968630599E-13</v>
      </c>
      <c r="H1985" s="3" t="str">
        <f>"VARS2"</f>
        <v>VARS2</v>
      </c>
      <c r="I1985" s="3" t="str">
        <f>"protein_coding"</f>
        <v>protein_coding</v>
      </c>
    </row>
    <row r="1986" spans="1:9" x14ac:dyDescent="0.2">
      <c r="A1986" s="3" t="str">
        <f>"ENSG00000137310.12"</f>
        <v>ENSG00000137310.12</v>
      </c>
      <c r="B1986" s="3">
        <v>541.38982179635104</v>
      </c>
      <c r="C1986" s="3">
        <v>-1.3854551812521001</v>
      </c>
      <c r="D1986" s="3">
        <v>0.23266217813057499</v>
      </c>
      <c r="E1986" s="3">
        <v>-5.9547933075506299</v>
      </c>
      <c r="F1986" s="4">
        <v>2.6040072089388598E-9</v>
      </c>
      <c r="G1986" s="4">
        <v>3.3373181760092703E-8</v>
      </c>
      <c r="H1986" s="3" t="str">
        <f>"TCF19"</f>
        <v>TCF19</v>
      </c>
      <c r="I1986" s="3" t="str">
        <f>"protein_coding"</f>
        <v>protein_coding</v>
      </c>
    </row>
    <row r="1987" spans="1:9" x14ac:dyDescent="0.2">
      <c r="A1987" s="3" t="str">
        <f>"ENSG00000206344.7"</f>
        <v>ENSG00000206344.7</v>
      </c>
      <c r="B1987" s="3">
        <v>165.904657342516</v>
      </c>
      <c r="C1987" s="3">
        <v>1.13658351730292</v>
      </c>
      <c r="D1987" s="3">
        <v>0.30502300838053598</v>
      </c>
      <c r="E1987" s="3">
        <v>3.72622223922518</v>
      </c>
      <c r="F1987" s="3">
        <v>1.94371043229505E-4</v>
      </c>
      <c r="G1987" s="3">
        <v>1.0384368264459501E-3</v>
      </c>
      <c r="H1987" s="3" t="str">
        <f>"HCG27"</f>
        <v>HCG27</v>
      </c>
      <c r="I1987" s="3" t="str">
        <f>"lincRNA"</f>
        <v>lincRNA</v>
      </c>
    </row>
    <row r="1988" spans="1:9" x14ac:dyDescent="0.2">
      <c r="A1988" s="3" t="str">
        <f>"ENSG00000234745.11"</f>
        <v>ENSG00000234745.11</v>
      </c>
      <c r="B1988" s="3">
        <v>1107.8826929325401</v>
      </c>
      <c r="C1988" s="3">
        <v>1.4369929756565001</v>
      </c>
      <c r="D1988" s="3">
        <v>0.22351205528291801</v>
      </c>
      <c r="E1988" s="3">
        <v>6.4291519928872498</v>
      </c>
      <c r="F1988" s="4">
        <v>1.28317772568847E-10</v>
      </c>
      <c r="G1988" s="4">
        <v>1.9664085203506002E-9</v>
      </c>
      <c r="H1988" s="3" t="str">
        <f>"HLA-B"</f>
        <v>HLA-B</v>
      </c>
      <c r="I1988" s="3" t="str">
        <f>"protein_coding"</f>
        <v>protein_coding</v>
      </c>
    </row>
    <row r="1989" spans="1:9" x14ac:dyDescent="0.2">
      <c r="A1989" s="3" t="str">
        <f>"ENSG00000206337.10"</f>
        <v>ENSG00000206337.10</v>
      </c>
      <c r="B1989" s="3">
        <v>43.529567655971199</v>
      </c>
      <c r="C1989" s="3">
        <v>1.7342216448047101</v>
      </c>
      <c r="D1989" s="3">
        <v>0.53912701037687405</v>
      </c>
      <c r="E1989" s="3">
        <v>3.21672186966186</v>
      </c>
      <c r="F1989" s="3">
        <v>1.2966423257694099E-3</v>
      </c>
      <c r="G1989" s="3">
        <v>5.53148793647084E-3</v>
      </c>
      <c r="H1989" s="3" t="str">
        <f>"HCP5"</f>
        <v>HCP5</v>
      </c>
      <c r="I1989" s="3" t="str">
        <f>"sense_overlapping"</f>
        <v>sense_overlapping</v>
      </c>
    </row>
    <row r="1990" spans="1:9" x14ac:dyDescent="0.2">
      <c r="A1990" s="3" t="str">
        <f>"ENSG00000213722.9"</f>
        <v>ENSG00000213722.9</v>
      </c>
      <c r="B1990" s="3">
        <v>566.30343293385101</v>
      </c>
      <c r="C1990" s="3">
        <v>-2.1165581691999602</v>
      </c>
      <c r="D1990" s="3">
        <v>0.254947652982699</v>
      </c>
      <c r="E1990" s="3">
        <v>-8.3019323552807602</v>
      </c>
      <c r="F1990" s="4">
        <v>1.02431526463002E-16</v>
      </c>
      <c r="G1990" s="4">
        <v>2.9849751888100802E-15</v>
      </c>
      <c r="H1990" s="3" t="str">
        <f>"DDAH2"</f>
        <v>DDAH2</v>
      </c>
      <c r="I1990" s="3" t="str">
        <f t="shared" ref="I1990:I1999" si="98">"protein_coding"</f>
        <v>protein_coding</v>
      </c>
    </row>
    <row r="1991" spans="1:9" x14ac:dyDescent="0.2">
      <c r="A1991" s="3" t="str">
        <f>"ENSG00000204396.10"</f>
        <v>ENSG00000204396.10</v>
      </c>
      <c r="B1991" s="3">
        <v>162.230847228345</v>
      </c>
      <c r="C1991" s="3">
        <v>1.46634554723082</v>
      </c>
      <c r="D1991" s="3">
        <v>0.31192553385342098</v>
      </c>
      <c r="E1991" s="3">
        <v>4.7009474636977897</v>
      </c>
      <c r="F1991" s="4">
        <v>2.5895713886772199E-6</v>
      </c>
      <c r="G1991" s="4">
        <v>2.0558872851774001E-5</v>
      </c>
      <c r="H1991" s="3" t="str">
        <f>"VWA7"</f>
        <v>VWA7</v>
      </c>
      <c r="I1991" s="3" t="str">
        <f t="shared" si="98"/>
        <v>protein_coding</v>
      </c>
    </row>
    <row r="1992" spans="1:9" x14ac:dyDescent="0.2">
      <c r="A1992" s="3" t="str">
        <f>"ENSG00000204394.13"</f>
        <v>ENSG00000204394.13</v>
      </c>
      <c r="B1992" s="3">
        <v>6477.9624700586601</v>
      </c>
      <c r="C1992" s="3">
        <v>-1.35638718470913</v>
      </c>
      <c r="D1992" s="3">
        <v>0.20984393777362301</v>
      </c>
      <c r="E1992" s="3">
        <v>-6.4637901818845398</v>
      </c>
      <c r="F1992" s="4">
        <v>1.02112434851817E-10</v>
      </c>
      <c r="G1992" s="4">
        <v>1.58623575393812E-9</v>
      </c>
      <c r="H1992" s="3" t="str">
        <f>"VARS"</f>
        <v>VARS</v>
      </c>
      <c r="I1992" s="3" t="str">
        <f t="shared" si="98"/>
        <v>protein_coding</v>
      </c>
    </row>
    <row r="1993" spans="1:9" x14ac:dyDescent="0.2">
      <c r="A1993" s="3" t="str">
        <f>"ENSG00000204371.11"</f>
        <v>ENSG00000204371.11</v>
      </c>
      <c r="B1993" s="3">
        <v>2882.1363380647699</v>
      </c>
      <c r="C1993" s="3">
        <v>-1.4986681806297499</v>
      </c>
      <c r="D1993" s="3">
        <v>0.205507244892914</v>
      </c>
      <c r="E1993" s="3">
        <v>-7.2925321022656497</v>
      </c>
      <c r="F1993" s="4">
        <v>3.0418305556491302E-13</v>
      </c>
      <c r="G1993" s="4">
        <v>6.4348413936158302E-12</v>
      </c>
      <c r="H1993" s="3" t="str">
        <f>"EHMT2"</f>
        <v>EHMT2</v>
      </c>
      <c r="I1993" s="3" t="str">
        <f t="shared" si="98"/>
        <v>protein_coding</v>
      </c>
    </row>
    <row r="1994" spans="1:9" x14ac:dyDescent="0.2">
      <c r="A1994" s="3" t="str">
        <f>"ENSG00000166278.15"</f>
        <v>ENSG00000166278.15</v>
      </c>
      <c r="B1994" s="3">
        <v>1051.37278887871</v>
      </c>
      <c r="C1994" s="3">
        <v>-1.2576459274087299</v>
      </c>
      <c r="D1994" s="3">
        <v>0.252786338799738</v>
      </c>
      <c r="E1994" s="3">
        <v>-4.9751340732264104</v>
      </c>
      <c r="F1994" s="4">
        <v>6.5202495150703302E-7</v>
      </c>
      <c r="G1994" s="4">
        <v>5.7662200109419501E-6</v>
      </c>
      <c r="H1994" s="3" t="str">
        <f>"C2"</f>
        <v>C2</v>
      </c>
      <c r="I1994" s="3" t="str">
        <f t="shared" si="98"/>
        <v>protein_coding</v>
      </c>
    </row>
    <row r="1995" spans="1:9" x14ac:dyDescent="0.2">
      <c r="A1995" s="3" t="str">
        <f>"ENSG00000204366.3"</f>
        <v>ENSG00000204366.3</v>
      </c>
      <c r="B1995" s="3">
        <v>325.25550916837301</v>
      </c>
      <c r="C1995" s="3">
        <v>-2.7665089364072002</v>
      </c>
      <c r="D1995" s="3">
        <v>0.29314389954972497</v>
      </c>
      <c r="E1995" s="3">
        <v>-9.4373750934493597</v>
      </c>
      <c r="F1995" s="4">
        <v>3.8223464862390997E-21</v>
      </c>
      <c r="G1995" s="4">
        <v>1.6324055597266001E-19</v>
      </c>
      <c r="H1995" s="3" t="str">
        <f>"ZBTB12"</f>
        <v>ZBTB12</v>
      </c>
      <c r="I1995" s="3" t="str">
        <f t="shared" si="98"/>
        <v>protein_coding</v>
      </c>
    </row>
    <row r="1996" spans="1:9" x14ac:dyDescent="0.2">
      <c r="A1996" s="3" t="str">
        <f>"ENSG00000243649.8"</f>
        <v>ENSG00000243649.8</v>
      </c>
      <c r="B1996" s="3">
        <v>253.04870471155499</v>
      </c>
      <c r="C1996" s="3">
        <v>-1.1381886402145001</v>
      </c>
      <c r="D1996" s="3">
        <v>0.29227337945123799</v>
      </c>
      <c r="E1996" s="3">
        <v>-3.8942603748296198</v>
      </c>
      <c r="F1996" s="4">
        <v>9.8498805729266596E-5</v>
      </c>
      <c r="G1996" s="3">
        <v>5.6441576439649399E-4</v>
      </c>
      <c r="H1996" s="3" t="str">
        <f>"CFB"</f>
        <v>CFB</v>
      </c>
      <c r="I1996" s="3" t="str">
        <f t="shared" si="98"/>
        <v>protein_coding</v>
      </c>
    </row>
    <row r="1997" spans="1:9" x14ac:dyDescent="0.2">
      <c r="A1997" s="3" t="str">
        <f>"ENSG00000168477.19"</f>
        <v>ENSG00000168477.19</v>
      </c>
      <c r="B1997" s="3">
        <v>154.11050164326301</v>
      </c>
      <c r="C1997" s="3">
        <v>2.2086531179302802</v>
      </c>
      <c r="D1997" s="3">
        <v>0.33963787278751201</v>
      </c>
      <c r="E1997" s="3">
        <v>6.5029647600934197</v>
      </c>
      <c r="F1997" s="4">
        <v>7.8752249643643903E-11</v>
      </c>
      <c r="G1997" s="4">
        <v>1.2439203165451399E-9</v>
      </c>
      <c r="H1997" s="3" t="str">
        <f>"TNXB"</f>
        <v>TNXB</v>
      </c>
      <c r="I1997" s="3" t="str">
        <f t="shared" si="98"/>
        <v>protein_coding</v>
      </c>
    </row>
    <row r="1998" spans="1:9" x14ac:dyDescent="0.2">
      <c r="A1998" s="3" t="str">
        <f>"ENSG00000204301.6"</f>
        <v>ENSG00000204301.6</v>
      </c>
      <c r="B1998" s="3">
        <v>53.505192505004302</v>
      </c>
      <c r="C1998" s="3">
        <v>1.57769957475784</v>
      </c>
      <c r="D1998" s="3">
        <v>0.51464960402860205</v>
      </c>
      <c r="E1998" s="3">
        <v>3.0655800809091001</v>
      </c>
      <c r="F1998" s="3">
        <v>2.1724819132648999E-3</v>
      </c>
      <c r="G1998" s="3">
        <v>8.6565683958362994E-3</v>
      </c>
      <c r="H1998" s="3" t="str">
        <f>"NOTCH4"</f>
        <v>NOTCH4</v>
      </c>
      <c r="I1998" s="3" t="str">
        <f t="shared" si="98"/>
        <v>protein_coding</v>
      </c>
    </row>
    <row r="1999" spans="1:9" x14ac:dyDescent="0.2">
      <c r="A1999" s="3" t="str">
        <f>"ENSG00000168394.11"</f>
        <v>ENSG00000168394.11</v>
      </c>
      <c r="B1999" s="3">
        <v>2764.7423618501298</v>
      </c>
      <c r="C1999" s="3">
        <v>2.2601458566065098</v>
      </c>
      <c r="D1999" s="3">
        <v>0.20957722740881399</v>
      </c>
      <c r="E1999" s="3">
        <v>10.784310321071899</v>
      </c>
      <c r="F1999" s="4">
        <v>4.0829442643385198E-27</v>
      </c>
      <c r="G1999" s="4">
        <v>2.6237731691139502E-25</v>
      </c>
      <c r="H1999" s="3" t="str">
        <f>"TAP1"</f>
        <v>TAP1</v>
      </c>
      <c r="I1999" s="3" t="str">
        <f t="shared" si="98"/>
        <v>protein_coding</v>
      </c>
    </row>
    <row r="2000" spans="1:9" x14ac:dyDescent="0.2">
      <c r="A2000" s="3" t="str">
        <f>"ENSG00000235301.1"</f>
        <v>ENSG00000235301.1</v>
      </c>
      <c r="B2000" s="3">
        <v>21.9136492820715</v>
      </c>
      <c r="C2000" s="3">
        <v>3.99158010580885</v>
      </c>
      <c r="D2000" s="3">
        <v>0.97614517311554605</v>
      </c>
      <c r="E2000" s="3">
        <v>4.0891254863956297</v>
      </c>
      <c r="F2000" s="4">
        <v>4.3300257027177999E-5</v>
      </c>
      <c r="G2000" s="3">
        <v>2.68258777448731E-4</v>
      </c>
      <c r="H2000" s="3" t="str">
        <f>"HLA-Z"</f>
        <v>HLA-Z</v>
      </c>
      <c r="I2000" s="3" t="str">
        <f>"unprocessed_pseudogene"</f>
        <v>unprocessed_pseudogene</v>
      </c>
    </row>
    <row r="2001" spans="1:9" x14ac:dyDescent="0.2">
      <c r="A2001" s="3" t="str">
        <f>"ENSG00000204252.14"</f>
        <v>ENSG00000204252.14</v>
      </c>
      <c r="B2001" s="3">
        <v>323.09742426004902</v>
      </c>
      <c r="C2001" s="3">
        <v>7.9611719653014603</v>
      </c>
      <c r="D2001" s="3">
        <v>0.691600599468852</v>
      </c>
      <c r="E2001" s="3">
        <v>11.511227681722101</v>
      </c>
      <c r="F2001" s="4">
        <v>1.1581777242921E-30</v>
      </c>
      <c r="G2001" s="4">
        <v>9.5050808595743796E-29</v>
      </c>
      <c r="H2001" s="3" t="str">
        <f>"HLA-DOA"</f>
        <v>HLA-DOA</v>
      </c>
      <c r="I2001" s="3" t="str">
        <f>"protein_coding"</f>
        <v>protein_coding</v>
      </c>
    </row>
    <row r="2002" spans="1:9" x14ac:dyDescent="0.2">
      <c r="A2002" s="3" t="str">
        <f>"ENSG00000112473.18"</f>
        <v>ENSG00000112473.18</v>
      </c>
      <c r="B2002" s="3">
        <v>6857.86217057671</v>
      </c>
      <c r="C2002" s="3">
        <v>-1.03388776626378</v>
      </c>
      <c r="D2002" s="3">
        <v>0.207160701368648</v>
      </c>
      <c r="E2002" s="3">
        <v>-4.9907523938334002</v>
      </c>
      <c r="F2002" s="4">
        <v>6.0144555141321003E-7</v>
      </c>
      <c r="G2002" s="4">
        <v>5.3433945516217804E-6</v>
      </c>
      <c r="H2002" s="3" t="str">
        <f>"SLC39A7"</f>
        <v>SLC39A7</v>
      </c>
      <c r="I2002" s="3" t="str">
        <f>"protein_coding"</f>
        <v>protein_coding</v>
      </c>
    </row>
    <row r="2003" spans="1:9" x14ac:dyDescent="0.2">
      <c r="A2003" s="3" t="str">
        <f>"ENSG00000232940.5"</f>
        <v>ENSG00000232940.5</v>
      </c>
      <c r="B2003" s="3">
        <v>58.1179169083318</v>
      </c>
      <c r="C2003" s="3">
        <v>1.49215357641786</v>
      </c>
      <c r="D2003" s="3">
        <v>0.486469369494061</v>
      </c>
      <c r="E2003" s="3">
        <v>3.06731249691985</v>
      </c>
      <c r="F2003" s="3">
        <v>2.15992921645134E-3</v>
      </c>
      <c r="G2003" s="3">
        <v>8.6138364540363204E-3</v>
      </c>
      <c r="H2003" s="3" t="str">
        <f>"HCG25"</f>
        <v>HCG25</v>
      </c>
      <c r="I2003" s="3" t="str">
        <f>"antisense"</f>
        <v>antisense</v>
      </c>
    </row>
    <row r="2004" spans="1:9" x14ac:dyDescent="0.2">
      <c r="A2004" s="3" t="str">
        <f>"ENSG00000227057.10"</f>
        <v>ENSG00000227057.10</v>
      </c>
      <c r="B2004" s="3">
        <v>2376.7171842704302</v>
      </c>
      <c r="C2004" s="3">
        <v>-1.01565264887249</v>
      </c>
      <c r="D2004" s="3">
        <v>0.23405743239475599</v>
      </c>
      <c r="E2004" s="3">
        <v>-4.3393309004583003</v>
      </c>
      <c r="F2004" s="4">
        <v>1.42917189151771E-5</v>
      </c>
      <c r="G2004" s="4">
        <v>9.8136710000460995E-5</v>
      </c>
      <c r="H2004" s="3" t="str">
        <f>"WDR46"</f>
        <v>WDR46</v>
      </c>
      <c r="I2004" s="3" t="str">
        <f>"protein_coding"</f>
        <v>protein_coding</v>
      </c>
    </row>
    <row r="2005" spans="1:9" x14ac:dyDescent="0.2">
      <c r="A2005" s="3" t="str">
        <f>"ENSG00000204209.13"</f>
        <v>ENSG00000204209.13</v>
      </c>
      <c r="B2005" s="3">
        <v>1525.8428048445101</v>
      </c>
      <c r="C2005" s="3">
        <v>-1.19847107598795</v>
      </c>
      <c r="D2005" s="3">
        <v>0.23152551655148601</v>
      </c>
      <c r="E2005" s="3">
        <v>-5.1764103319533596</v>
      </c>
      <c r="F2005" s="4">
        <v>2.2619568700929301E-7</v>
      </c>
      <c r="G2005" s="4">
        <v>2.16554950243929E-6</v>
      </c>
      <c r="H2005" s="3" t="str">
        <f>"DAXX"</f>
        <v>DAXX</v>
      </c>
      <c r="I2005" s="3" t="str">
        <f>"protein_coding"</f>
        <v>protein_coding</v>
      </c>
    </row>
    <row r="2006" spans="1:9" x14ac:dyDescent="0.2">
      <c r="A2006" s="3" t="str">
        <f>"ENSG00000030110.13"</f>
        <v>ENSG00000030110.13</v>
      </c>
      <c r="B2006" s="3">
        <v>1583.3267192246799</v>
      </c>
      <c r="C2006" s="3">
        <v>1.3128618754777599</v>
      </c>
      <c r="D2006" s="3">
        <v>0.22862732217675399</v>
      </c>
      <c r="E2006" s="3">
        <v>5.7423664983609504</v>
      </c>
      <c r="F2006" s="4">
        <v>9.3362479246862405E-9</v>
      </c>
      <c r="G2006" s="4">
        <v>1.1113357239140499E-7</v>
      </c>
      <c r="H2006" s="3" t="str">
        <f>"BAK1"</f>
        <v>BAK1</v>
      </c>
      <c r="I2006" s="3" t="str">
        <f>"protein_coding"</f>
        <v>protein_coding</v>
      </c>
    </row>
    <row r="2007" spans="1:9" x14ac:dyDescent="0.2">
      <c r="A2007" s="3" t="str">
        <f>"ENSG00000197251.3"</f>
        <v>ENSG00000197251.3</v>
      </c>
      <c r="B2007" s="3">
        <v>12.2235900000355</v>
      </c>
      <c r="C2007" s="3">
        <v>7.0091070309988499</v>
      </c>
      <c r="D2007" s="3">
        <v>1.71160920473811</v>
      </c>
      <c r="E2007" s="3">
        <v>4.0950393416885804</v>
      </c>
      <c r="F2007" s="4">
        <v>4.2209670574533803E-5</v>
      </c>
      <c r="G2007" s="3">
        <v>2.6197879137683901E-4</v>
      </c>
      <c r="H2007" s="3" t="str">
        <f>"LINC00336"</f>
        <v>LINC00336</v>
      </c>
      <c r="I2007" s="3" t="str">
        <f>"lincRNA"</f>
        <v>lincRNA</v>
      </c>
    </row>
    <row r="2008" spans="1:9" x14ac:dyDescent="0.2">
      <c r="A2008" s="3" t="str">
        <f>"ENSG00000161896.12"</f>
        <v>ENSG00000161896.12</v>
      </c>
      <c r="B2008" s="3">
        <v>816.23496516269597</v>
      </c>
      <c r="C2008" s="3">
        <v>7.5299586250413197</v>
      </c>
      <c r="D2008" s="3">
        <v>0.41012006599616102</v>
      </c>
      <c r="E2008" s="3">
        <v>18.360376020011199</v>
      </c>
      <c r="F2008" s="4">
        <v>2.7271229632359199E-75</v>
      </c>
      <c r="G2008" s="4">
        <v>1.5809770080699801E-72</v>
      </c>
      <c r="H2008" s="3" t="str">
        <f>"IP6K3"</f>
        <v>IP6K3</v>
      </c>
      <c r="I2008" s="3" t="str">
        <f>"protein_coding"</f>
        <v>protein_coding</v>
      </c>
    </row>
    <row r="2009" spans="1:9" x14ac:dyDescent="0.2">
      <c r="A2009" s="3" t="str">
        <f>"ENSG00000137309.19"</f>
        <v>ENSG00000137309.19</v>
      </c>
      <c r="B2009" s="3">
        <v>13277.7282815037</v>
      </c>
      <c r="C2009" s="3">
        <v>-1.2347579557923101</v>
      </c>
      <c r="D2009" s="3">
        <v>0.17601628312471901</v>
      </c>
      <c r="E2009" s="3">
        <v>-7.0150211893601098</v>
      </c>
      <c r="F2009" s="4">
        <v>2.29914108760808E-12</v>
      </c>
      <c r="G2009" s="4">
        <v>4.3503261954206397E-11</v>
      </c>
      <c r="H2009" s="3" t="str">
        <f>"HMGA1"</f>
        <v>HMGA1</v>
      </c>
      <c r="I2009" s="3" t="str">
        <f>"protein_coding"</f>
        <v>protein_coding</v>
      </c>
    </row>
    <row r="2010" spans="1:9" x14ac:dyDescent="0.2">
      <c r="A2010" s="3" t="str">
        <f>"ENSG00000225339.3"</f>
        <v>ENSG00000225339.3</v>
      </c>
      <c r="B2010" s="3">
        <v>35.638702126897897</v>
      </c>
      <c r="C2010" s="3">
        <v>3.8459979181339201</v>
      </c>
      <c r="D2010" s="3">
        <v>0.72721875489735399</v>
      </c>
      <c r="E2010" s="3">
        <v>5.2886396180428203</v>
      </c>
      <c r="F2010" s="4">
        <v>1.2322940940683601E-7</v>
      </c>
      <c r="G2010" s="4">
        <v>1.23406952980694E-6</v>
      </c>
      <c r="H2010" s="3" t="str">
        <f>"AL354740.1"</f>
        <v>AL354740.1</v>
      </c>
      <c r="I2010" s="3" t="str">
        <f>"processed_transcript"</f>
        <v>processed_transcript</v>
      </c>
    </row>
    <row r="2011" spans="1:9" x14ac:dyDescent="0.2">
      <c r="A2011" s="3" t="str">
        <f>"ENSG00000272325.2"</f>
        <v>ENSG00000272325.2</v>
      </c>
      <c r="B2011" s="3">
        <v>1783.79731231304</v>
      </c>
      <c r="C2011" s="3">
        <v>-1.11971416273003</v>
      </c>
      <c r="D2011" s="3">
        <v>0.18461571051179801</v>
      </c>
      <c r="E2011" s="3">
        <v>-6.0651076748881296</v>
      </c>
      <c r="F2011" s="4">
        <v>1.31865279273647E-9</v>
      </c>
      <c r="G2011" s="4">
        <v>1.76817581907927E-8</v>
      </c>
      <c r="H2011" s="3" t="str">
        <f>"NUDT3"</f>
        <v>NUDT3</v>
      </c>
      <c r="I2011" s="3" t="str">
        <f>"protein_coding"</f>
        <v>protein_coding</v>
      </c>
    </row>
    <row r="2012" spans="1:9" x14ac:dyDescent="0.2">
      <c r="A2012" s="3" t="str">
        <f>"ENSG00000196821.10"</f>
        <v>ENSG00000196821.10</v>
      </c>
      <c r="B2012" s="3">
        <v>5738.4603629226203</v>
      </c>
      <c r="C2012" s="3">
        <v>-1.0722312301482499</v>
      </c>
      <c r="D2012" s="3">
        <v>0.18785884687437901</v>
      </c>
      <c r="E2012" s="3">
        <v>-5.7076429882764499</v>
      </c>
      <c r="F2012" s="4">
        <v>1.14551377503678E-8</v>
      </c>
      <c r="G2012" s="4">
        <v>1.3488251438386799E-7</v>
      </c>
      <c r="H2012" s="3" t="str">
        <f>"C6orf106"</f>
        <v>C6orf106</v>
      </c>
      <c r="I2012" s="3" t="str">
        <f>"protein_coding"</f>
        <v>protein_coding</v>
      </c>
    </row>
    <row r="2013" spans="1:9" x14ac:dyDescent="0.2">
      <c r="A2013" s="3" t="str">
        <f>"ENSG00000065060.17"</f>
        <v>ENSG00000065060.17</v>
      </c>
      <c r="B2013" s="3">
        <v>3780.1733849557099</v>
      </c>
      <c r="C2013" s="3">
        <v>-1.18166564163915</v>
      </c>
      <c r="D2013" s="3">
        <v>0.17390781194559601</v>
      </c>
      <c r="E2013" s="3">
        <v>-6.7947818353830796</v>
      </c>
      <c r="F2013" s="4">
        <v>1.0847655694800901E-11</v>
      </c>
      <c r="G2013" s="4">
        <v>1.91181160877258E-10</v>
      </c>
      <c r="H2013" s="3" t="str">
        <f>"UHRF1BP1"</f>
        <v>UHRF1BP1</v>
      </c>
      <c r="I2013" s="3" t="str">
        <f>"protein_coding"</f>
        <v>protein_coding</v>
      </c>
    </row>
    <row r="2014" spans="1:9" x14ac:dyDescent="0.2">
      <c r="A2014" s="3" t="str">
        <f>"ENSG00000146197.9"</f>
        <v>ENSG00000146197.9</v>
      </c>
      <c r="B2014" s="3">
        <v>22.496670440547199</v>
      </c>
      <c r="C2014" s="3">
        <v>6.4304071076716101</v>
      </c>
      <c r="D2014" s="3">
        <v>1.5883733206350801</v>
      </c>
      <c r="E2014" s="3">
        <v>4.0484230150003704</v>
      </c>
      <c r="F2014" s="4">
        <v>5.1563889050066097E-5</v>
      </c>
      <c r="G2014" s="3">
        <v>3.1466098207103102E-4</v>
      </c>
      <c r="H2014" s="3" t="str">
        <f>"SCUBE3"</f>
        <v>SCUBE3</v>
      </c>
      <c r="I2014" s="3" t="str">
        <f>"protein_coding"</f>
        <v>protein_coding</v>
      </c>
    </row>
    <row r="2015" spans="1:9" x14ac:dyDescent="0.2">
      <c r="A2015" s="3" t="str">
        <f>"ENSG00000272374.1"</f>
        <v>ENSG00000272374.1</v>
      </c>
      <c r="B2015" s="3">
        <v>114.461262637757</v>
      </c>
      <c r="C2015" s="3">
        <v>1.4035897253282601</v>
      </c>
      <c r="D2015" s="3">
        <v>0.37480673323007302</v>
      </c>
      <c r="E2015" s="3">
        <v>3.7448359404650202</v>
      </c>
      <c r="F2015" s="3">
        <v>1.8051169357122699E-4</v>
      </c>
      <c r="G2015" s="3">
        <v>9.7259286429409201E-4</v>
      </c>
      <c r="H2015" s="3" t="str">
        <f>"Z97832.2"</f>
        <v>Z97832.2</v>
      </c>
      <c r="I2015" s="3" t="str">
        <f>"lincRNA"</f>
        <v>lincRNA</v>
      </c>
    </row>
    <row r="2016" spans="1:9" x14ac:dyDescent="0.2">
      <c r="A2016" s="3" t="str">
        <f>"ENSG00000065029.15"</f>
        <v>ENSG00000065029.15</v>
      </c>
      <c r="B2016" s="3">
        <v>630.73906101448495</v>
      </c>
      <c r="C2016" s="3">
        <v>1.1999790537618</v>
      </c>
      <c r="D2016" s="3">
        <v>0.239860059844762</v>
      </c>
      <c r="E2016" s="3">
        <v>5.0028297939157902</v>
      </c>
      <c r="F2016" s="4">
        <v>5.6494818170936199E-7</v>
      </c>
      <c r="G2016" s="4">
        <v>5.0419728486848998E-6</v>
      </c>
      <c r="H2016" s="3" t="str">
        <f>"ZNF76"</f>
        <v>ZNF76</v>
      </c>
      <c r="I2016" s="3" t="str">
        <f t="shared" ref="I2016:I2021" si="99">"protein_coding"</f>
        <v>protein_coding</v>
      </c>
    </row>
    <row r="2017" spans="1:9" x14ac:dyDescent="0.2">
      <c r="A2017" s="3" t="str">
        <f>"ENSG00000112041.13"</f>
        <v>ENSG00000112041.13</v>
      </c>
      <c r="B2017" s="3">
        <v>19.5707867872019</v>
      </c>
      <c r="C2017" s="3">
        <v>2.5589342815443801</v>
      </c>
      <c r="D2017" s="3">
        <v>0.827872554480092</v>
      </c>
      <c r="E2017" s="3">
        <v>3.0909761021748099</v>
      </c>
      <c r="F2017" s="3">
        <v>1.99499689617837E-3</v>
      </c>
      <c r="G2017" s="3">
        <v>8.0363217667315297E-3</v>
      </c>
      <c r="H2017" s="3" t="str">
        <f>"TULP1"</f>
        <v>TULP1</v>
      </c>
      <c r="I2017" s="3" t="str">
        <f t="shared" si="99"/>
        <v>protein_coding</v>
      </c>
    </row>
    <row r="2018" spans="1:9" x14ac:dyDescent="0.2">
      <c r="A2018" s="3" t="str">
        <f>"ENSG00000096060.14"</f>
        <v>ENSG00000096060.14</v>
      </c>
      <c r="B2018" s="3">
        <v>1913.6396519800501</v>
      </c>
      <c r="C2018" s="3">
        <v>-1.2591011581288301</v>
      </c>
      <c r="D2018" s="3">
        <v>0.18348879050400699</v>
      </c>
      <c r="E2018" s="3">
        <v>-6.8620058733306104</v>
      </c>
      <c r="F2018" s="4">
        <v>6.7900271282774304E-12</v>
      </c>
      <c r="G2018" s="4">
        <v>1.2147594823649101E-10</v>
      </c>
      <c r="H2018" s="3" t="str">
        <f>"FKBP5"</f>
        <v>FKBP5</v>
      </c>
      <c r="I2018" s="3" t="str">
        <f t="shared" si="99"/>
        <v>protein_coding</v>
      </c>
    </row>
    <row r="2019" spans="1:9" x14ac:dyDescent="0.2">
      <c r="A2019" s="3" t="str">
        <f>"ENSG00000156711.17"</f>
        <v>ENSG00000156711.17</v>
      </c>
      <c r="B2019" s="3">
        <v>3028.9239345113801</v>
      </c>
      <c r="C2019" s="3">
        <v>1.2931941127756099</v>
      </c>
      <c r="D2019" s="3">
        <v>0.18538404691951799</v>
      </c>
      <c r="E2019" s="3">
        <v>6.9757572685692297</v>
      </c>
      <c r="F2019" s="4">
        <v>3.0422760062326702E-12</v>
      </c>
      <c r="G2019" s="4">
        <v>5.67759550286448E-11</v>
      </c>
      <c r="H2019" s="3" t="str">
        <f>"MAPK13"</f>
        <v>MAPK13</v>
      </c>
      <c r="I2019" s="3" t="str">
        <f t="shared" si="99"/>
        <v>protein_coding</v>
      </c>
    </row>
    <row r="2020" spans="1:9" x14ac:dyDescent="0.2">
      <c r="A2020" s="3" t="str">
        <f>"ENSG00000180316.12"</f>
        <v>ENSG00000180316.12</v>
      </c>
      <c r="B2020" s="3">
        <v>6.6041831042441599</v>
      </c>
      <c r="C2020" s="3">
        <v>4.6244618539203399</v>
      </c>
      <c r="D2020" s="3">
        <v>1.87943426926155</v>
      </c>
      <c r="E2020" s="3">
        <v>2.4605605684402798</v>
      </c>
      <c r="F2020" s="3">
        <v>1.38720154986405E-2</v>
      </c>
      <c r="G2020" s="3">
        <v>4.1857232147448298E-2</v>
      </c>
      <c r="H2020" s="3" t="str">
        <f>"PNPLA1"</f>
        <v>PNPLA1</v>
      </c>
      <c r="I2020" s="3" t="str">
        <f t="shared" si="99"/>
        <v>protein_coding</v>
      </c>
    </row>
    <row r="2021" spans="1:9" x14ac:dyDescent="0.2">
      <c r="A2021" s="3" t="str">
        <f>"ENSG00000010030.14"</f>
        <v>ENSG00000010030.14</v>
      </c>
      <c r="B2021" s="3">
        <v>39.497260292520302</v>
      </c>
      <c r="C2021" s="3">
        <v>5.2190934418674502</v>
      </c>
      <c r="D2021" s="3">
        <v>0.88819496003770204</v>
      </c>
      <c r="E2021" s="3">
        <v>5.8760673913820796</v>
      </c>
      <c r="F2021" s="4">
        <v>4.2012734745748E-9</v>
      </c>
      <c r="G2021" s="4">
        <v>5.2630849821489502E-8</v>
      </c>
      <c r="H2021" s="3" t="str">
        <f>"ETV7"</f>
        <v>ETV7</v>
      </c>
      <c r="I2021" s="3" t="str">
        <f t="shared" si="99"/>
        <v>protein_coding</v>
      </c>
    </row>
    <row r="2022" spans="1:9" x14ac:dyDescent="0.2">
      <c r="A2022" s="3" t="str">
        <f>"ENSG00000224666.3"</f>
        <v>ENSG00000224666.3</v>
      </c>
      <c r="B2022" s="3">
        <v>3.8530936506741802</v>
      </c>
      <c r="C2022" s="3">
        <v>5.3403250580865702</v>
      </c>
      <c r="D2022" s="3">
        <v>2.1789621139591802</v>
      </c>
      <c r="E2022" s="3">
        <v>2.4508572333014098</v>
      </c>
      <c r="F2022" s="3">
        <v>1.4251646682892799E-2</v>
      </c>
      <c r="G2022" s="3">
        <v>4.2728280938466097E-2</v>
      </c>
      <c r="H2022" s="3" t="str">
        <f>"Z84484.1"</f>
        <v>Z84484.1</v>
      </c>
      <c r="I2022" s="3" t="str">
        <f>"antisense"</f>
        <v>antisense</v>
      </c>
    </row>
    <row r="2023" spans="1:9" x14ac:dyDescent="0.2">
      <c r="A2023" s="3" t="str">
        <f>"ENSG00000179165.11"</f>
        <v>ENSG00000179165.11</v>
      </c>
      <c r="B2023" s="3">
        <v>34.962125712596503</v>
      </c>
      <c r="C2023" s="3">
        <v>2.6165463469348298</v>
      </c>
      <c r="D2023" s="3">
        <v>0.63150161503907198</v>
      </c>
      <c r="E2023" s="3">
        <v>4.1433723756556597</v>
      </c>
      <c r="F2023" s="4">
        <v>3.42235562613847E-5</v>
      </c>
      <c r="G2023" s="3">
        <v>2.1670730755541E-4</v>
      </c>
      <c r="H2023" s="3" t="str">
        <f>"PXT1"</f>
        <v>PXT1</v>
      </c>
      <c r="I2023" s="3" t="str">
        <f>"protein_coding"</f>
        <v>protein_coding</v>
      </c>
    </row>
    <row r="2024" spans="1:9" x14ac:dyDescent="0.2">
      <c r="A2024" s="3" t="str">
        <f>"ENSG00000112078.14"</f>
        <v>ENSG00000112078.14</v>
      </c>
      <c r="B2024" s="3">
        <v>2889.2496566499099</v>
      </c>
      <c r="C2024" s="3">
        <v>-1.2539364903822099</v>
      </c>
      <c r="D2024" s="3">
        <v>0.17767431608391601</v>
      </c>
      <c r="E2024" s="3">
        <v>-7.0575000260025096</v>
      </c>
      <c r="F2024" s="4">
        <v>1.69524734139459E-12</v>
      </c>
      <c r="G2024" s="4">
        <v>3.2712750928454901E-11</v>
      </c>
      <c r="H2024" s="3" t="str">
        <f>"KCTD20"</f>
        <v>KCTD20</v>
      </c>
      <c r="I2024" s="3" t="str">
        <f>"protein_coding"</f>
        <v>protein_coding</v>
      </c>
    </row>
    <row r="2025" spans="1:9" x14ac:dyDescent="0.2">
      <c r="A2025" s="3" t="str">
        <f>"ENSG00000281450.1"</f>
        <v>ENSG00000281450.1</v>
      </c>
      <c r="B2025" s="3">
        <v>8.5998669785508408</v>
      </c>
      <c r="C2025" s="3">
        <v>3.3370960435025001</v>
      </c>
      <c r="D2025" s="3">
        <v>1.3610827997867101</v>
      </c>
      <c r="E2025" s="3">
        <v>2.45179502968185</v>
      </c>
      <c r="F2025" s="3">
        <v>1.4214560599947801E-2</v>
      </c>
      <c r="G2025" s="3">
        <v>4.2701668430736098E-2</v>
      </c>
      <c r="H2025" s="3" t="str">
        <f>"PANDAR"</f>
        <v>PANDAR</v>
      </c>
      <c r="I2025" s="3" t="str">
        <f>"lincRNA"</f>
        <v>lincRNA</v>
      </c>
    </row>
    <row r="2026" spans="1:9" x14ac:dyDescent="0.2">
      <c r="A2026" s="3" t="str">
        <f>"ENSG00000124762.13"</f>
        <v>ENSG00000124762.13</v>
      </c>
      <c r="B2026" s="3">
        <v>18644.932567289401</v>
      </c>
      <c r="C2026" s="3">
        <v>2.9114144949798999</v>
      </c>
      <c r="D2026" s="3">
        <v>0.21038936914454101</v>
      </c>
      <c r="E2026" s="3">
        <v>13.838220566076799</v>
      </c>
      <c r="F2026" s="4">
        <v>1.49870815490479E-43</v>
      </c>
      <c r="G2026" s="4">
        <v>2.3741454125983001E-41</v>
      </c>
      <c r="H2026" s="3" t="str">
        <f>"CDKN1A"</f>
        <v>CDKN1A</v>
      </c>
      <c r="I2026" s="3" t="str">
        <f>"protein_coding"</f>
        <v>protein_coding</v>
      </c>
    </row>
    <row r="2027" spans="1:9" x14ac:dyDescent="0.2">
      <c r="A2027" s="3" t="str">
        <f>"ENSG00000285244.1"</f>
        <v>ENSG00000285244.1</v>
      </c>
      <c r="B2027" s="3">
        <v>38.178141480931501</v>
      </c>
      <c r="C2027" s="3">
        <v>1.7439071866935301</v>
      </c>
      <c r="D2027" s="3">
        <v>0.57156458907471497</v>
      </c>
      <c r="E2027" s="3">
        <v>3.0511113179993798</v>
      </c>
      <c r="F2027" s="3">
        <v>2.2799602839405999E-3</v>
      </c>
      <c r="G2027" s="3">
        <v>9.0099532055017105E-3</v>
      </c>
      <c r="H2027" s="3" t="str">
        <f>"DINOL"</f>
        <v>DINOL</v>
      </c>
      <c r="I2027" s="3" t="str">
        <f>"bidirectional_promoter_lncRNA"</f>
        <v>bidirectional_promoter_lncRNA</v>
      </c>
    </row>
    <row r="2028" spans="1:9" x14ac:dyDescent="0.2">
      <c r="A2028" s="3" t="str">
        <f>"ENSG00000124772.12"</f>
        <v>ENSG00000124772.12</v>
      </c>
      <c r="B2028" s="3">
        <v>8.04139098463774</v>
      </c>
      <c r="C2028" s="3">
        <v>3.86673954215274</v>
      </c>
      <c r="D2028" s="3">
        <v>1.4837861533032699</v>
      </c>
      <c r="E2028" s="3">
        <v>2.6059951655057798</v>
      </c>
      <c r="F2028" s="3">
        <v>9.1607754629048702E-3</v>
      </c>
      <c r="G2028" s="3">
        <v>2.9552882907621199E-2</v>
      </c>
      <c r="H2028" s="3" t="str">
        <f>"CPNE5"</f>
        <v>CPNE5</v>
      </c>
      <c r="I2028" s="3" t="str">
        <f t="shared" ref="I2028:I2035" si="100">"protein_coding"</f>
        <v>protein_coding</v>
      </c>
    </row>
    <row r="2029" spans="1:9" x14ac:dyDescent="0.2">
      <c r="A2029" s="3" t="str">
        <f>"ENSG00000137193.14"</f>
        <v>ENSG00000137193.14</v>
      </c>
      <c r="B2029" s="3">
        <v>1664.3367243544301</v>
      </c>
      <c r="C2029" s="3">
        <v>-1.96777268544239</v>
      </c>
      <c r="D2029" s="3">
        <v>0.224999823191675</v>
      </c>
      <c r="E2029" s="3">
        <v>-8.7456632522153903</v>
      </c>
      <c r="F2029" s="4">
        <v>2.21709417665745E-18</v>
      </c>
      <c r="G2029" s="4">
        <v>7.4487256512189402E-17</v>
      </c>
      <c r="H2029" s="3" t="str">
        <f>"PIM1"</f>
        <v>PIM1</v>
      </c>
      <c r="I2029" s="3" t="str">
        <f t="shared" si="100"/>
        <v>protein_coding</v>
      </c>
    </row>
    <row r="2030" spans="1:9" x14ac:dyDescent="0.2">
      <c r="A2030" s="3" t="str">
        <f>"ENSG00000112139.16"</f>
        <v>ENSG00000112139.16</v>
      </c>
      <c r="B2030" s="3">
        <v>11.749364317122399</v>
      </c>
      <c r="C2030" s="3">
        <v>5.4722237331479002</v>
      </c>
      <c r="D2030" s="3">
        <v>1.7064331899788101</v>
      </c>
      <c r="E2030" s="3">
        <v>3.2068197953978199</v>
      </c>
      <c r="F2030" s="3">
        <v>1.34211039481251E-3</v>
      </c>
      <c r="G2030" s="3">
        <v>5.7066919362447699E-3</v>
      </c>
      <c r="H2030" s="3" t="str">
        <f>"MDGA1"</f>
        <v>MDGA1</v>
      </c>
      <c r="I2030" s="3" t="str">
        <f t="shared" si="100"/>
        <v>protein_coding</v>
      </c>
    </row>
    <row r="2031" spans="1:9" x14ac:dyDescent="0.2">
      <c r="A2031" s="3" t="str">
        <f>"ENSG00000124721.17"</f>
        <v>ENSG00000124721.17</v>
      </c>
      <c r="B2031" s="3">
        <v>36.078812631654401</v>
      </c>
      <c r="C2031" s="3">
        <v>7.1137942881458498</v>
      </c>
      <c r="D2031" s="3">
        <v>1.5408853013974699</v>
      </c>
      <c r="E2031" s="3">
        <v>4.6166929372966097</v>
      </c>
      <c r="F2031" s="4">
        <v>3.8990352501400696E-6</v>
      </c>
      <c r="G2031" s="4">
        <v>3.00699160658269E-5</v>
      </c>
      <c r="H2031" s="3" t="str">
        <f>"DNAH8"</f>
        <v>DNAH8</v>
      </c>
      <c r="I2031" s="3" t="str">
        <f t="shared" si="100"/>
        <v>protein_coding</v>
      </c>
    </row>
    <row r="2032" spans="1:9" x14ac:dyDescent="0.2">
      <c r="A2032" s="3" t="str">
        <f>"ENSG00000146122.17"</f>
        <v>ENSG00000146122.17</v>
      </c>
      <c r="B2032" s="3">
        <v>8.5879683471117492</v>
      </c>
      <c r="C2032" s="3">
        <v>3.9621252235484699</v>
      </c>
      <c r="D2032" s="3">
        <v>1.48194306262793</v>
      </c>
      <c r="E2032" s="3">
        <v>2.6736015191585198</v>
      </c>
      <c r="F2032" s="3">
        <v>7.5041559403789797E-3</v>
      </c>
      <c r="G2032" s="3">
        <v>2.4963250303194202E-2</v>
      </c>
      <c r="H2032" s="3" t="str">
        <f>"DAAM2"</f>
        <v>DAAM2</v>
      </c>
      <c r="I2032" s="3" t="str">
        <f t="shared" si="100"/>
        <v>protein_coding</v>
      </c>
    </row>
    <row r="2033" spans="1:9" x14ac:dyDescent="0.2">
      <c r="A2033" s="3" t="str">
        <f>"ENSG00000001167.14"</f>
        <v>ENSG00000001167.14</v>
      </c>
      <c r="B2033" s="3">
        <v>1444.7146034622399</v>
      </c>
      <c r="C2033" s="3">
        <v>-1.1483561832738201</v>
      </c>
      <c r="D2033" s="3">
        <v>0.189489101177539</v>
      </c>
      <c r="E2033" s="3">
        <v>-6.0602756366334898</v>
      </c>
      <c r="F2033" s="4">
        <v>1.35888478839175E-9</v>
      </c>
      <c r="G2033" s="4">
        <v>1.81854291892485E-8</v>
      </c>
      <c r="H2033" s="3" t="str">
        <f>"NFYA"</f>
        <v>NFYA</v>
      </c>
      <c r="I2033" s="3" t="str">
        <f t="shared" si="100"/>
        <v>protein_coding</v>
      </c>
    </row>
    <row r="2034" spans="1:9" x14ac:dyDescent="0.2">
      <c r="A2034" s="3" t="str">
        <f>"ENSG00000161911.11"</f>
        <v>ENSG00000161911.11</v>
      </c>
      <c r="B2034" s="3">
        <v>18.567926890924099</v>
      </c>
      <c r="C2034" s="3">
        <v>7.6089855850295098</v>
      </c>
      <c r="D2034" s="3">
        <v>1.6322111832850501</v>
      </c>
      <c r="E2034" s="3">
        <v>4.66176537873939</v>
      </c>
      <c r="F2034" s="4">
        <v>3.1350847493187799E-6</v>
      </c>
      <c r="G2034" s="4">
        <v>2.4581770982644301E-5</v>
      </c>
      <c r="H2034" s="3" t="str">
        <f>"TREML1"</f>
        <v>TREML1</v>
      </c>
      <c r="I2034" s="3" t="str">
        <f t="shared" si="100"/>
        <v>protein_coding</v>
      </c>
    </row>
    <row r="2035" spans="1:9" x14ac:dyDescent="0.2">
      <c r="A2035" s="3" t="str">
        <f>"ENSG00000095970.16"</f>
        <v>ENSG00000095970.16</v>
      </c>
      <c r="B2035" s="3">
        <v>2930.7261553308199</v>
      </c>
      <c r="C2035" s="3">
        <v>9.5619585055852596</v>
      </c>
      <c r="D2035" s="3">
        <v>0.427039236577617</v>
      </c>
      <c r="E2035" s="3">
        <v>22.391287934609501</v>
      </c>
      <c r="F2035" s="4">
        <v>4.7855915623535397E-111</v>
      </c>
      <c r="G2035" s="4">
        <v>8.1495633312154395E-108</v>
      </c>
      <c r="H2035" s="3" t="str">
        <f>"TREM2"</f>
        <v>TREM2</v>
      </c>
      <c r="I2035" s="3" t="str">
        <f t="shared" si="100"/>
        <v>protein_coding</v>
      </c>
    </row>
    <row r="2036" spans="1:9" x14ac:dyDescent="0.2">
      <c r="A2036" s="3" t="str">
        <f>"ENSG00000234753.5"</f>
        <v>ENSG00000234753.5</v>
      </c>
      <c r="B2036" s="3">
        <v>84.042866951024195</v>
      </c>
      <c r="C2036" s="3">
        <v>-2.2885925898620698</v>
      </c>
      <c r="D2036" s="3">
        <v>0.43591912097658397</v>
      </c>
      <c r="E2036" s="3">
        <v>-5.25003946772273</v>
      </c>
      <c r="F2036" s="4">
        <v>1.52066625436133E-7</v>
      </c>
      <c r="G2036" s="4">
        <v>1.49579759684415E-6</v>
      </c>
      <c r="H2036" s="3" t="str">
        <f>"FOXP4-AS1"</f>
        <v>FOXP4-AS1</v>
      </c>
      <c r="I2036" s="3" t="str">
        <f>"antisense"</f>
        <v>antisense</v>
      </c>
    </row>
    <row r="2037" spans="1:9" x14ac:dyDescent="0.2">
      <c r="A2037" s="3" t="str">
        <f>"ENSG00000112559.14"</f>
        <v>ENSG00000112559.14</v>
      </c>
      <c r="B2037" s="3">
        <v>403.57981241918498</v>
      </c>
      <c r="C2037" s="3">
        <v>5.1769118515740304</v>
      </c>
      <c r="D2037" s="3">
        <v>0.333542033971925</v>
      </c>
      <c r="E2037" s="3">
        <v>15.5210178157329</v>
      </c>
      <c r="F2037" s="4">
        <v>2.50053000926871E-54</v>
      </c>
      <c r="G2037" s="4">
        <v>5.9476232854607899E-52</v>
      </c>
      <c r="H2037" s="3" t="str">
        <f>"MDFI"</f>
        <v>MDFI</v>
      </c>
      <c r="I2037" s="3" t="str">
        <f>"protein_coding"</f>
        <v>protein_coding</v>
      </c>
    </row>
    <row r="2038" spans="1:9" x14ac:dyDescent="0.2">
      <c r="A2038" s="3" t="str">
        <f>"ENSG00000112576.12"</f>
        <v>ENSG00000112576.12</v>
      </c>
      <c r="B2038" s="3">
        <v>538.43681178786005</v>
      </c>
      <c r="C2038" s="3">
        <v>1.02716143353206</v>
      </c>
      <c r="D2038" s="3">
        <v>0.236993016437888</v>
      </c>
      <c r="E2038" s="3">
        <v>4.3341421995076397</v>
      </c>
      <c r="F2038" s="4">
        <v>1.46329570568895E-5</v>
      </c>
      <c r="G2038" s="3">
        <v>1.00202106290291E-4</v>
      </c>
      <c r="H2038" s="3" t="str">
        <f>"CCND3"</f>
        <v>CCND3</v>
      </c>
      <c r="I2038" s="3" t="str">
        <f>"protein_coding"</f>
        <v>protein_coding</v>
      </c>
    </row>
    <row r="2039" spans="1:9" x14ac:dyDescent="0.2">
      <c r="A2039" s="3" t="str">
        <f>"ENSG00000124496.12"</f>
        <v>ENSG00000124496.12</v>
      </c>
      <c r="B2039" s="3">
        <v>96.299334839249397</v>
      </c>
      <c r="C2039" s="3">
        <v>4.9058462127123397</v>
      </c>
      <c r="D2039" s="3">
        <v>0.56761886391189598</v>
      </c>
      <c r="E2039" s="3">
        <v>8.6428526686065403</v>
      </c>
      <c r="F2039" s="4">
        <v>5.4826600480380303E-18</v>
      </c>
      <c r="G2039" s="4">
        <v>1.7741809777778199E-16</v>
      </c>
      <c r="H2039" s="3" t="str">
        <f>"TRERF1"</f>
        <v>TRERF1</v>
      </c>
      <c r="I2039" s="3" t="str">
        <f>"protein_coding"</f>
        <v>protein_coding</v>
      </c>
    </row>
    <row r="2040" spans="1:9" x14ac:dyDescent="0.2">
      <c r="A2040" s="3" t="str">
        <f>"ENSG00000221821.4"</f>
        <v>ENSG00000221821.4</v>
      </c>
      <c r="B2040" s="3">
        <v>232.062817404588</v>
      </c>
      <c r="C2040" s="3">
        <v>1.29214519794924</v>
      </c>
      <c r="D2040" s="3">
        <v>0.31400311467521902</v>
      </c>
      <c r="E2040" s="3">
        <v>4.1150712765564199</v>
      </c>
      <c r="F2040" s="4">
        <v>3.8705979027033098E-5</v>
      </c>
      <c r="G2040" s="3">
        <v>2.4221431757980599E-4</v>
      </c>
      <c r="H2040" s="3" t="str">
        <f>"C6orf226"</f>
        <v>C6orf226</v>
      </c>
      <c r="I2040" s="3" t="str">
        <f>"protein_coding"</f>
        <v>protein_coding</v>
      </c>
    </row>
    <row r="2041" spans="1:9" x14ac:dyDescent="0.2">
      <c r="A2041" s="3" t="str">
        <f>"ENSG00000137161.16"</f>
        <v>ENSG00000137161.16</v>
      </c>
      <c r="B2041" s="3">
        <v>1911.9066349807099</v>
      </c>
      <c r="C2041" s="3">
        <v>-1.00371358793287</v>
      </c>
      <c r="D2041" s="3">
        <v>0.22797274566328701</v>
      </c>
      <c r="E2041" s="3">
        <v>-4.4027788717136396</v>
      </c>
      <c r="F2041" s="4">
        <v>1.0687308172204001E-5</v>
      </c>
      <c r="G2041" s="4">
        <v>7.5498336989380995E-5</v>
      </c>
      <c r="H2041" s="3" t="str">
        <f>"CNPY3"</f>
        <v>CNPY3</v>
      </c>
      <c r="I2041" s="3" t="str">
        <f>"protein_coding"</f>
        <v>protein_coding</v>
      </c>
    </row>
    <row r="2042" spans="1:9" x14ac:dyDescent="0.2">
      <c r="A2042" s="3" t="str">
        <f>"ENSG00000231113.2"</f>
        <v>ENSG00000231113.2</v>
      </c>
      <c r="B2042" s="3">
        <v>71.846580869075893</v>
      </c>
      <c r="C2042" s="3">
        <v>-1.4843022124477101</v>
      </c>
      <c r="D2042" s="3">
        <v>0.42691828975150697</v>
      </c>
      <c r="E2042" s="3">
        <v>-3.47678290689224</v>
      </c>
      <c r="F2042" s="3">
        <v>5.0746853415536096E-4</v>
      </c>
      <c r="G2042" s="3">
        <v>2.4304790209406101E-3</v>
      </c>
      <c r="H2042" s="3" t="str">
        <f>"AL035587.1"</f>
        <v>AL035587.1</v>
      </c>
      <c r="I2042" s="3" t="str">
        <f>"antisense"</f>
        <v>antisense</v>
      </c>
    </row>
    <row r="2043" spans="1:9" x14ac:dyDescent="0.2">
      <c r="A2043" s="3" t="str">
        <f>"ENSG00000124713.6"</f>
        <v>ENSG00000124713.6</v>
      </c>
      <c r="B2043" s="3">
        <v>75.660658113501995</v>
      </c>
      <c r="C2043" s="3">
        <v>1.78284921967544</v>
      </c>
      <c r="D2043" s="3">
        <v>0.45770508402428101</v>
      </c>
      <c r="E2043" s="3">
        <v>3.89519208307693</v>
      </c>
      <c r="F2043" s="4">
        <v>9.8120940360122794E-5</v>
      </c>
      <c r="G2043" s="3">
        <v>5.6296088902764105E-4</v>
      </c>
      <c r="H2043" s="3" t="str">
        <f>"GNMT"</f>
        <v>GNMT</v>
      </c>
      <c r="I2043" s="3" t="str">
        <f>"protein_coding"</f>
        <v>protein_coding</v>
      </c>
    </row>
    <row r="2044" spans="1:9" x14ac:dyDescent="0.2">
      <c r="A2044" s="3" t="str">
        <f>"ENSG00000112640.15"</f>
        <v>ENSG00000112640.15</v>
      </c>
      <c r="B2044" s="3">
        <v>7094.8166227038801</v>
      </c>
      <c r="C2044" s="3">
        <v>1.7566042322725499</v>
      </c>
      <c r="D2044" s="3">
        <v>0.209022251788853</v>
      </c>
      <c r="E2044" s="3">
        <v>8.4039101925234903</v>
      </c>
      <c r="F2044" s="4">
        <v>4.3185299640055503E-17</v>
      </c>
      <c r="G2044" s="4">
        <v>1.2958919155204801E-15</v>
      </c>
      <c r="H2044" s="3" t="str">
        <f>"PPP2R5D"</f>
        <v>PPP2R5D</v>
      </c>
      <c r="I2044" s="3" t="str">
        <f>"protein_coding"</f>
        <v>protein_coding</v>
      </c>
    </row>
    <row r="2045" spans="1:9" x14ac:dyDescent="0.2">
      <c r="A2045" s="3" t="str">
        <f>"ENSG00000272223.1"</f>
        <v>ENSG00000272223.1</v>
      </c>
      <c r="B2045" s="3">
        <v>28.150663995827699</v>
      </c>
      <c r="C2045" s="3">
        <v>1.98864017063787</v>
      </c>
      <c r="D2045" s="3">
        <v>0.68121506006992405</v>
      </c>
      <c r="E2045" s="3">
        <v>2.91925456027607</v>
      </c>
      <c r="F2045" s="3">
        <v>3.5086957301338401E-3</v>
      </c>
      <c r="G2045" s="3">
        <v>1.3115850261895601E-2</v>
      </c>
      <c r="H2045" s="3" t="str">
        <f>"AL136304.1"</f>
        <v>AL136304.1</v>
      </c>
      <c r="I2045" s="3" t="str">
        <f>"antisense"</f>
        <v>antisense</v>
      </c>
    </row>
    <row r="2046" spans="1:9" x14ac:dyDescent="0.2">
      <c r="A2046" s="3" t="str">
        <f>"ENSG00000112658.8"</f>
        <v>ENSG00000112658.8</v>
      </c>
      <c r="B2046" s="3">
        <v>3001.1854263079599</v>
      </c>
      <c r="C2046" s="3">
        <v>-1.08253407878629</v>
      </c>
      <c r="D2046" s="3">
        <v>0.21059213788476899</v>
      </c>
      <c r="E2046" s="3">
        <v>-5.1404296934324503</v>
      </c>
      <c r="F2046" s="4">
        <v>2.7411087872490897E-7</v>
      </c>
      <c r="G2046" s="4">
        <v>2.5771908601164899E-6</v>
      </c>
      <c r="H2046" s="3" t="str">
        <f>"SRF"</f>
        <v>SRF</v>
      </c>
      <c r="I2046" s="3" t="str">
        <f t="shared" ref="I2046:I2051" si="101">"protein_coding"</f>
        <v>protein_coding</v>
      </c>
    </row>
    <row r="2047" spans="1:9" x14ac:dyDescent="0.2">
      <c r="A2047" s="3" t="str">
        <f>"ENSG00000146215.13"</f>
        <v>ENSG00000146215.13</v>
      </c>
      <c r="B2047" s="3">
        <v>28.082579938969001</v>
      </c>
      <c r="C2047" s="3">
        <v>-2.0664896052277402</v>
      </c>
      <c r="D2047" s="3">
        <v>0.67079746538819196</v>
      </c>
      <c r="E2047" s="3">
        <v>-3.080646114296</v>
      </c>
      <c r="F2047" s="3">
        <v>2.0655198208213701E-3</v>
      </c>
      <c r="G2047" s="3">
        <v>8.2861040279622808E-3</v>
      </c>
      <c r="H2047" s="3" t="str">
        <f>"CRIP3"</f>
        <v>CRIP3</v>
      </c>
      <c r="I2047" s="3" t="str">
        <f t="shared" si="101"/>
        <v>protein_coding</v>
      </c>
    </row>
    <row r="2048" spans="1:9" x14ac:dyDescent="0.2">
      <c r="A2048" s="3" t="str">
        <f>"ENSG00000171462.15"</f>
        <v>ENSG00000171462.15</v>
      </c>
      <c r="B2048" s="3">
        <v>146.00929231955101</v>
      </c>
      <c r="C2048" s="3">
        <v>1.29327454303798</v>
      </c>
      <c r="D2048" s="3">
        <v>0.33401054218225601</v>
      </c>
      <c r="E2048" s="3">
        <v>3.8719572579607102</v>
      </c>
      <c r="F2048" s="3">
        <v>1.0796488773905901E-4</v>
      </c>
      <c r="G2048" s="3">
        <v>6.1336932782029804E-4</v>
      </c>
      <c r="H2048" s="3" t="str">
        <f>"DLK2"</f>
        <v>DLK2</v>
      </c>
      <c r="I2048" s="3" t="str">
        <f t="shared" si="101"/>
        <v>protein_coding</v>
      </c>
    </row>
    <row r="2049" spans="1:9" x14ac:dyDescent="0.2">
      <c r="A2049" s="3" t="str">
        <f>"ENSG00000204052.4"</f>
        <v>ENSG00000204052.4</v>
      </c>
      <c r="B2049" s="3">
        <v>40.482301569741402</v>
      </c>
      <c r="C2049" s="3">
        <v>2.3357838177585299</v>
      </c>
      <c r="D2049" s="3">
        <v>0.61390313079079795</v>
      </c>
      <c r="E2049" s="3">
        <v>3.8048084471400201</v>
      </c>
      <c r="F2049" s="3">
        <v>1.41913970862967E-4</v>
      </c>
      <c r="G2049" s="3">
        <v>7.8416750438111099E-4</v>
      </c>
      <c r="H2049" s="3" t="str">
        <f>"LRRC73"</f>
        <v>LRRC73</v>
      </c>
      <c r="I2049" s="3" t="str">
        <f t="shared" si="101"/>
        <v>protein_coding</v>
      </c>
    </row>
    <row r="2050" spans="1:9" x14ac:dyDescent="0.2">
      <c r="A2050" s="3" t="str">
        <f>"ENSG00000170734.11"</f>
        <v>ENSG00000170734.11</v>
      </c>
      <c r="B2050" s="3">
        <v>3853.7603321183301</v>
      </c>
      <c r="C2050" s="3">
        <v>2.21461333329521</v>
      </c>
      <c r="D2050" s="3">
        <v>0.17702032876267901</v>
      </c>
      <c r="E2050" s="3">
        <v>12.510502882774601</v>
      </c>
      <c r="F2050" s="4">
        <v>6.5408818977105105E-36</v>
      </c>
      <c r="G2050" s="4">
        <v>7.3040741420868098E-34</v>
      </c>
      <c r="H2050" s="3" t="str">
        <f>"POLH"</f>
        <v>POLH</v>
      </c>
      <c r="I2050" s="3" t="str">
        <f t="shared" si="101"/>
        <v>protein_coding</v>
      </c>
    </row>
    <row r="2051" spans="1:9" x14ac:dyDescent="0.2">
      <c r="A2051" s="3" t="str">
        <f>"ENSG00000172432.19"</f>
        <v>ENSG00000172432.19</v>
      </c>
      <c r="B2051" s="3">
        <v>1378.0649722938999</v>
      </c>
      <c r="C2051" s="3">
        <v>-1.0885708326021299</v>
      </c>
      <c r="D2051" s="3">
        <v>0.23604551043661401</v>
      </c>
      <c r="E2051" s="3">
        <v>-4.6116989498702798</v>
      </c>
      <c r="F2051" s="4">
        <v>3.9939114480535401E-6</v>
      </c>
      <c r="G2051" s="4">
        <v>3.0758085139941998E-5</v>
      </c>
      <c r="H2051" s="3" t="str">
        <f>"GTPBP2"</f>
        <v>GTPBP2</v>
      </c>
      <c r="I2051" s="3" t="str">
        <f t="shared" si="101"/>
        <v>protein_coding</v>
      </c>
    </row>
    <row r="2052" spans="1:9" x14ac:dyDescent="0.2">
      <c r="A2052" s="3" t="str">
        <f>"ENSG00000236961.1"</f>
        <v>ENSG00000236961.1</v>
      </c>
      <c r="B2052" s="3">
        <v>9.3941806550687197</v>
      </c>
      <c r="C2052" s="3">
        <v>6.6260767523936703</v>
      </c>
      <c r="D2052" s="3">
        <v>1.7861847686327399</v>
      </c>
      <c r="E2052" s="3">
        <v>3.7096256046711802</v>
      </c>
      <c r="F2052" s="3">
        <v>2.0756596289313501E-4</v>
      </c>
      <c r="G2052" s="3">
        <v>1.10352191042912E-3</v>
      </c>
      <c r="H2052" s="3" t="str">
        <f>"AL136131.2"</f>
        <v>AL136131.2</v>
      </c>
      <c r="I2052" s="3" t="str">
        <f>"lincRNA"</f>
        <v>lincRNA</v>
      </c>
    </row>
    <row r="2053" spans="1:9" x14ac:dyDescent="0.2">
      <c r="A2053" s="3" t="str">
        <f>"ENSG00000112715.21"</f>
        <v>ENSG00000112715.21</v>
      </c>
      <c r="B2053" s="3">
        <v>4713.4052114835704</v>
      </c>
      <c r="C2053" s="3">
        <v>-1.56372681559267</v>
      </c>
      <c r="D2053" s="3">
        <v>0.18565488450364201</v>
      </c>
      <c r="E2053" s="3">
        <v>-8.4227615113568408</v>
      </c>
      <c r="F2053" s="4">
        <v>3.6771249523517198E-17</v>
      </c>
      <c r="G2053" s="4">
        <v>1.10830335814964E-15</v>
      </c>
      <c r="H2053" s="3" t="str">
        <f>"VEGFA"</f>
        <v>VEGFA</v>
      </c>
      <c r="I2053" s="3" t="str">
        <f>"protein_coding"</f>
        <v>protein_coding</v>
      </c>
    </row>
    <row r="2054" spans="1:9" x14ac:dyDescent="0.2">
      <c r="A2054" s="3" t="str">
        <f>"ENSG00000231881.1"</f>
        <v>ENSG00000231881.1</v>
      </c>
      <c r="B2054" s="3">
        <v>21.130537289985</v>
      </c>
      <c r="C2054" s="3">
        <v>-2.66476750220991</v>
      </c>
      <c r="D2054" s="3">
        <v>0.82377629934685903</v>
      </c>
      <c r="E2054" s="3">
        <v>-3.2348193366605802</v>
      </c>
      <c r="F2054" s="3">
        <v>1.2171972218229399E-3</v>
      </c>
      <c r="G2054" s="3">
        <v>5.2426450684492096E-3</v>
      </c>
      <c r="H2054" s="3" t="str">
        <f>"AL109615.2"</f>
        <v>AL109615.2</v>
      </c>
      <c r="I2054" s="3" t="str">
        <f>"lincRNA"</f>
        <v>lincRNA</v>
      </c>
    </row>
    <row r="2055" spans="1:9" x14ac:dyDescent="0.2">
      <c r="A2055" s="3" t="str">
        <f>"ENSG00000180992.7"</f>
        <v>ENSG00000180992.7</v>
      </c>
      <c r="B2055" s="3">
        <v>2030.51626850303</v>
      </c>
      <c r="C2055" s="3">
        <v>-1.1861153959694</v>
      </c>
      <c r="D2055" s="3">
        <v>0.233095139314522</v>
      </c>
      <c r="E2055" s="3">
        <v>-5.0885462453549204</v>
      </c>
      <c r="F2055" s="4">
        <v>3.6081879860140102E-7</v>
      </c>
      <c r="G2055" s="4">
        <v>3.3405469947306799E-6</v>
      </c>
      <c r="H2055" s="3" t="str">
        <f>"MRPL14"</f>
        <v>MRPL14</v>
      </c>
      <c r="I2055" s="3" t="str">
        <f t="shared" ref="I2055:I2064" si="102">"protein_coding"</f>
        <v>protein_coding</v>
      </c>
    </row>
    <row r="2056" spans="1:9" x14ac:dyDescent="0.2">
      <c r="A2056" s="3" t="str">
        <f>"ENSG00000137216.19"</f>
        <v>ENSG00000137216.19</v>
      </c>
      <c r="B2056" s="3">
        <v>3826.62774622897</v>
      </c>
      <c r="C2056" s="3">
        <v>1.0521040621275899</v>
      </c>
      <c r="D2056" s="3">
        <v>0.19795131094353399</v>
      </c>
      <c r="E2056" s="3">
        <v>5.3149638520338502</v>
      </c>
      <c r="F2056" s="4">
        <v>1.0667850194360801E-7</v>
      </c>
      <c r="G2056" s="4">
        <v>1.0789417752255001E-6</v>
      </c>
      <c r="H2056" s="3" t="str">
        <f>"TMEM63B"</f>
        <v>TMEM63B</v>
      </c>
      <c r="I2056" s="3" t="str">
        <f t="shared" si="102"/>
        <v>protein_coding</v>
      </c>
    </row>
    <row r="2057" spans="1:9" x14ac:dyDescent="0.2">
      <c r="A2057" s="3" t="str">
        <f>"ENSG00000262179.2"</f>
        <v>ENSG00000262179.2</v>
      </c>
      <c r="B2057" s="3">
        <v>179.34081834767599</v>
      </c>
      <c r="C2057" s="3">
        <v>8.4364881784850798</v>
      </c>
      <c r="D2057" s="3">
        <v>1.06091864435234</v>
      </c>
      <c r="E2057" s="3">
        <v>7.9520594942841401</v>
      </c>
      <c r="F2057" s="4">
        <v>1.8343611724614699E-15</v>
      </c>
      <c r="G2057" s="4">
        <v>4.7874366729940302E-14</v>
      </c>
      <c r="H2057" s="3" t="str">
        <f>"MYMX"</f>
        <v>MYMX</v>
      </c>
      <c r="I2057" s="3" t="str">
        <f t="shared" si="102"/>
        <v>protein_coding</v>
      </c>
    </row>
    <row r="2058" spans="1:9" x14ac:dyDescent="0.2">
      <c r="A2058" s="3" t="str">
        <f>"ENSG00000124813.22"</f>
        <v>ENSG00000124813.22</v>
      </c>
      <c r="B2058" s="3">
        <v>9.4638189732718399</v>
      </c>
      <c r="C2058" s="3">
        <v>5.1561076504179697</v>
      </c>
      <c r="D2058" s="3">
        <v>1.7709655820716499</v>
      </c>
      <c r="E2058" s="3">
        <v>2.91146688711274</v>
      </c>
      <c r="F2058" s="3">
        <v>3.5973603488143398E-3</v>
      </c>
      <c r="G2058" s="3">
        <v>1.34104908228409E-2</v>
      </c>
      <c r="H2058" s="3" t="str">
        <f>"RUNX2"</f>
        <v>RUNX2</v>
      </c>
      <c r="I2058" s="3" t="str">
        <f t="shared" si="102"/>
        <v>protein_coding</v>
      </c>
    </row>
    <row r="2059" spans="1:9" x14ac:dyDescent="0.2">
      <c r="A2059" s="3" t="str">
        <f>"ENSG00000112782.17"</f>
        <v>ENSG00000112782.17</v>
      </c>
      <c r="B2059" s="3">
        <v>10.4268823318949</v>
      </c>
      <c r="C2059" s="3">
        <v>6.7815675811534302</v>
      </c>
      <c r="D2059" s="3">
        <v>1.7636466754370601</v>
      </c>
      <c r="E2059" s="3">
        <v>3.8451962491142599</v>
      </c>
      <c r="F2059" s="3">
        <v>1.20455994861143E-4</v>
      </c>
      <c r="G2059" s="3">
        <v>6.7769244104513198E-4</v>
      </c>
      <c r="H2059" s="3" t="str">
        <f>"CLIC5"</f>
        <v>CLIC5</v>
      </c>
      <c r="I2059" s="3" t="str">
        <f t="shared" si="102"/>
        <v>protein_coding</v>
      </c>
    </row>
    <row r="2060" spans="1:9" x14ac:dyDescent="0.2">
      <c r="A2060" s="3" t="str">
        <f>"ENSG00000146233.8"</f>
        <v>ENSG00000146233.8</v>
      </c>
      <c r="B2060" s="3">
        <v>13.5794288297494</v>
      </c>
      <c r="C2060" s="3">
        <v>7.1590930774611596</v>
      </c>
      <c r="D2060" s="3">
        <v>1.6859589263452699</v>
      </c>
      <c r="E2060" s="3">
        <v>4.2463033740568301</v>
      </c>
      <c r="F2060" s="4">
        <v>2.1732632535043801E-5</v>
      </c>
      <c r="G2060" s="3">
        <v>1.4334278351061199E-4</v>
      </c>
      <c r="H2060" s="3" t="str">
        <f>"CYP39A1"</f>
        <v>CYP39A1</v>
      </c>
      <c r="I2060" s="3" t="str">
        <f t="shared" si="102"/>
        <v>protein_coding</v>
      </c>
    </row>
    <row r="2061" spans="1:9" x14ac:dyDescent="0.2">
      <c r="A2061" s="3" t="str">
        <f>"ENSG00000153291.16"</f>
        <v>ENSG00000153291.16</v>
      </c>
      <c r="B2061" s="3">
        <v>65.430581756502605</v>
      </c>
      <c r="C2061" s="3">
        <v>4.9393975704216802</v>
      </c>
      <c r="D2061" s="3">
        <v>0.67340731798615705</v>
      </c>
      <c r="E2061" s="3">
        <v>7.33493301675587</v>
      </c>
      <c r="F2061" s="4">
        <v>2.2183240590622999E-13</v>
      </c>
      <c r="G2061" s="4">
        <v>4.7630162046706401E-12</v>
      </c>
      <c r="H2061" s="3" t="str">
        <f>"SLC25A27"</f>
        <v>SLC25A27</v>
      </c>
      <c r="I2061" s="3" t="str">
        <f t="shared" si="102"/>
        <v>protein_coding</v>
      </c>
    </row>
    <row r="2062" spans="1:9" x14ac:dyDescent="0.2">
      <c r="A2062" s="3" t="str">
        <f>"ENSG00000112818.10"</f>
        <v>ENSG00000112818.10</v>
      </c>
      <c r="B2062" s="3">
        <v>44.814115816734102</v>
      </c>
      <c r="C2062" s="3">
        <v>4.1880443600881199</v>
      </c>
      <c r="D2062" s="3">
        <v>0.70006201215098995</v>
      </c>
      <c r="E2062" s="3">
        <v>5.9823905416893801</v>
      </c>
      <c r="F2062" s="4">
        <v>2.1988627375779099E-9</v>
      </c>
      <c r="G2062" s="4">
        <v>2.8434937356803599E-8</v>
      </c>
      <c r="H2062" s="3" t="str">
        <f>"MEP1A"</f>
        <v>MEP1A</v>
      </c>
      <c r="I2062" s="3" t="str">
        <f t="shared" si="102"/>
        <v>protein_coding</v>
      </c>
    </row>
    <row r="2063" spans="1:9" x14ac:dyDescent="0.2">
      <c r="A2063" s="3" t="str">
        <f>"ENSG00000069122.19"</f>
        <v>ENSG00000069122.19</v>
      </c>
      <c r="B2063" s="3">
        <v>11.294094753771301</v>
      </c>
      <c r="C2063" s="3">
        <v>3.7737949672701401</v>
      </c>
      <c r="D2063" s="3">
        <v>1.279867833598</v>
      </c>
      <c r="E2063" s="3">
        <v>2.9485817739954698</v>
      </c>
      <c r="F2063" s="3">
        <v>3.1923567005990102E-3</v>
      </c>
      <c r="G2063" s="3">
        <v>1.20808531973918E-2</v>
      </c>
      <c r="H2063" s="3" t="str">
        <f>"ADGRF5"</f>
        <v>ADGRF5</v>
      </c>
      <c r="I2063" s="3" t="str">
        <f t="shared" si="102"/>
        <v>protein_coding</v>
      </c>
    </row>
    <row r="2064" spans="1:9" x14ac:dyDescent="0.2">
      <c r="A2064" s="3" t="str">
        <f>"ENSG00000124818.15"</f>
        <v>ENSG00000124818.15</v>
      </c>
      <c r="B2064" s="3">
        <v>6.6041831042441599</v>
      </c>
      <c r="C2064" s="3">
        <v>4.6244618539203399</v>
      </c>
      <c r="D2064" s="3">
        <v>1.87943426926155</v>
      </c>
      <c r="E2064" s="3">
        <v>2.4605605684402798</v>
      </c>
      <c r="F2064" s="3">
        <v>1.38720154986405E-2</v>
      </c>
      <c r="G2064" s="3">
        <v>4.1857232147448298E-2</v>
      </c>
      <c r="H2064" s="3" t="str">
        <f>"OPN5"</f>
        <v>OPN5</v>
      </c>
      <c r="I2064" s="3" t="str">
        <f t="shared" si="102"/>
        <v>protein_coding</v>
      </c>
    </row>
    <row r="2065" spans="1:9" x14ac:dyDescent="0.2">
      <c r="A2065" s="3" t="str">
        <f>"ENSG00000216835.3"</f>
        <v>ENSG00000216835.3</v>
      </c>
      <c r="B2065" s="3">
        <v>3.8530936506741802</v>
      </c>
      <c r="C2065" s="3">
        <v>5.3403250580865702</v>
      </c>
      <c r="D2065" s="3">
        <v>2.1789621139591802</v>
      </c>
      <c r="E2065" s="3">
        <v>2.4508572333014098</v>
      </c>
      <c r="F2065" s="3">
        <v>1.4251646682892799E-2</v>
      </c>
      <c r="G2065" s="3">
        <v>4.2728280938466097E-2</v>
      </c>
      <c r="H2065" s="3" t="str">
        <f>"RBMXP1"</f>
        <v>RBMXP1</v>
      </c>
      <c r="I2065" s="3" t="str">
        <f>"processed_pseudogene"</f>
        <v>processed_pseudogene</v>
      </c>
    </row>
    <row r="2066" spans="1:9" x14ac:dyDescent="0.2">
      <c r="A2066" s="3" t="str">
        <f>"ENSG00000217631.1"</f>
        <v>ENSG00000217631.1</v>
      </c>
      <c r="B2066" s="3">
        <v>7.6669434061687101</v>
      </c>
      <c r="C2066" s="3">
        <v>6.3299987330791003</v>
      </c>
      <c r="D2066" s="3">
        <v>1.8876169963456699</v>
      </c>
      <c r="E2066" s="3">
        <v>3.3534338508996502</v>
      </c>
      <c r="F2066" s="3">
        <v>7.9815489603233896E-4</v>
      </c>
      <c r="G2066" s="3">
        <v>3.6239504169627E-3</v>
      </c>
      <c r="H2066" s="3" t="str">
        <f>"FO393413.1"</f>
        <v>FO393413.1</v>
      </c>
      <c r="I2066" s="3" t="str">
        <f>"processed_pseudogene"</f>
        <v>processed_pseudogene</v>
      </c>
    </row>
    <row r="2067" spans="1:9" x14ac:dyDescent="0.2">
      <c r="A2067" s="3" t="str">
        <f>"ENSG00000203972.10"</f>
        <v>ENSG00000203972.10</v>
      </c>
      <c r="B2067" s="3">
        <v>6.6461403607816596</v>
      </c>
      <c r="C2067" s="3">
        <v>4.6196872663277597</v>
      </c>
      <c r="D2067" s="3">
        <v>1.89956431842963</v>
      </c>
      <c r="E2067" s="3">
        <v>2.4319720166921499</v>
      </c>
      <c r="F2067" s="3">
        <v>1.501686745234E-2</v>
      </c>
      <c r="G2067" s="3">
        <v>4.4600456450175303E-2</v>
      </c>
      <c r="H2067" s="3" t="str">
        <f>"GLYATL3"</f>
        <v>GLYATL3</v>
      </c>
      <c r="I2067" s="3" t="str">
        <f t="shared" ref="I2067:I2077" si="103">"protein_coding"</f>
        <v>protein_coding</v>
      </c>
    </row>
    <row r="2068" spans="1:9" x14ac:dyDescent="0.2">
      <c r="A2068" s="3" t="str">
        <f>"ENSG00000170927.14"</f>
        <v>ENSG00000170927.14</v>
      </c>
      <c r="B2068" s="3">
        <v>35.357229801532597</v>
      </c>
      <c r="C2068" s="3">
        <v>3.8271667848692998</v>
      </c>
      <c r="D2068" s="3">
        <v>0.72709383994945098</v>
      </c>
      <c r="E2068" s="3">
        <v>5.2636490293128899</v>
      </c>
      <c r="F2068" s="4">
        <v>1.41223929980051E-7</v>
      </c>
      <c r="G2068" s="4">
        <v>1.3959241939460399E-6</v>
      </c>
      <c r="H2068" s="3" t="str">
        <f>"PKHD1"</f>
        <v>PKHD1</v>
      </c>
      <c r="I2068" s="3" t="str">
        <f t="shared" si="103"/>
        <v>protein_coding</v>
      </c>
    </row>
    <row r="2069" spans="1:9" x14ac:dyDescent="0.2">
      <c r="A2069" s="3" t="str">
        <f>"ENSG00000112118.19"</f>
        <v>ENSG00000112118.19</v>
      </c>
      <c r="B2069" s="3">
        <v>11267.0315459385</v>
      </c>
      <c r="C2069" s="3">
        <v>-2.2792918330057401</v>
      </c>
      <c r="D2069" s="3">
        <v>0.20284429314514499</v>
      </c>
      <c r="E2069" s="3">
        <v>-11.236657426565101</v>
      </c>
      <c r="F2069" s="4">
        <v>2.69390245270725E-29</v>
      </c>
      <c r="G2069" s="4">
        <v>1.9784571463319198E-27</v>
      </c>
      <c r="H2069" s="3" t="str">
        <f>"MCM3"</f>
        <v>MCM3</v>
      </c>
      <c r="I2069" s="3" t="str">
        <f t="shared" si="103"/>
        <v>protein_coding</v>
      </c>
    </row>
    <row r="2070" spans="1:9" x14ac:dyDescent="0.2">
      <c r="A2070" s="3" t="str">
        <f>"ENSG00000096093.16"</f>
        <v>ENSG00000096093.16</v>
      </c>
      <c r="B2070" s="3">
        <v>811.95027432671998</v>
      </c>
      <c r="C2070" s="3">
        <v>1.21014986875339</v>
      </c>
      <c r="D2070" s="3">
        <v>0.214196979985356</v>
      </c>
      <c r="E2070" s="3">
        <v>5.6497055599762698</v>
      </c>
      <c r="F2070" s="4">
        <v>1.60722889384405E-8</v>
      </c>
      <c r="G2070" s="4">
        <v>1.8563868448736201E-7</v>
      </c>
      <c r="H2070" s="3" t="str">
        <f>"EFHC1"</f>
        <v>EFHC1</v>
      </c>
      <c r="I2070" s="3" t="str">
        <f t="shared" si="103"/>
        <v>protein_coding</v>
      </c>
    </row>
    <row r="2071" spans="1:9" x14ac:dyDescent="0.2">
      <c r="A2071" s="3" t="str">
        <f>"ENSG00000096092.6"</f>
        <v>ENSG00000096092.6</v>
      </c>
      <c r="B2071" s="3">
        <v>398.16017265033503</v>
      </c>
      <c r="C2071" s="3">
        <v>-1.19992539679097</v>
      </c>
      <c r="D2071" s="3">
        <v>0.25368057123117399</v>
      </c>
      <c r="E2071" s="3">
        <v>-4.7300642338017402</v>
      </c>
      <c r="F2071" s="4">
        <v>2.2444880996683501E-6</v>
      </c>
      <c r="G2071" s="4">
        <v>1.8071976138198399E-5</v>
      </c>
      <c r="H2071" s="3" t="str">
        <f>"TMEM14A"</f>
        <v>TMEM14A</v>
      </c>
      <c r="I2071" s="3" t="str">
        <f t="shared" si="103"/>
        <v>protein_coding</v>
      </c>
    </row>
    <row r="2072" spans="1:9" x14ac:dyDescent="0.2">
      <c r="A2072" s="3" t="str">
        <f>"ENSG00000001084.12"</f>
        <v>ENSG00000001084.12</v>
      </c>
      <c r="B2072" s="3">
        <v>3345.6807594823199</v>
      </c>
      <c r="C2072" s="3">
        <v>-1.1421498959229901</v>
      </c>
      <c r="D2072" s="3">
        <v>0.204656539568771</v>
      </c>
      <c r="E2072" s="3">
        <v>-5.5808130946100896</v>
      </c>
      <c r="F2072" s="4">
        <v>2.3939679114399401E-8</v>
      </c>
      <c r="G2072" s="4">
        <v>2.7054518325592798E-7</v>
      </c>
      <c r="H2072" s="3" t="str">
        <f>"GCLC"</f>
        <v>GCLC</v>
      </c>
      <c r="I2072" s="3" t="str">
        <f t="shared" si="103"/>
        <v>protein_coding</v>
      </c>
    </row>
    <row r="2073" spans="1:9" x14ac:dyDescent="0.2">
      <c r="A2073" s="3" t="str">
        <f>"ENSG00000146147.15"</f>
        <v>ENSG00000146147.15</v>
      </c>
      <c r="B2073" s="3">
        <v>8.3341337145020393</v>
      </c>
      <c r="C2073" s="3">
        <v>4.9593822497563602</v>
      </c>
      <c r="D2073" s="3">
        <v>1.81794526571486</v>
      </c>
      <c r="E2073" s="3">
        <v>2.7280151626601401</v>
      </c>
      <c r="F2073" s="3">
        <v>6.3716679154583898E-3</v>
      </c>
      <c r="G2073" s="3">
        <v>2.17773250994098E-2</v>
      </c>
      <c r="H2073" s="3" t="str">
        <f>"MLIP"</f>
        <v>MLIP</v>
      </c>
      <c r="I2073" s="3" t="str">
        <f t="shared" si="103"/>
        <v>protein_coding</v>
      </c>
    </row>
    <row r="2074" spans="1:9" x14ac:dyDescent="0.2">
      <c r="A2074" s="3" t="str">
        <f>"ENSG00000124749.17"</f>
        <v>ENSG00000124749.17</v>
      </c>
      <c r="B2074" s="3">
        <v>23.2333745370311</v>
      </c>
      <c r="C2074" s="3">
        <v>4.4239274718356096</v>
      </c>
      <c r="D2074" s="3">
        <v>0.98542776657733999</v>
      </c>
      <c r="E2074" s="3">
        <v>4.48934728843812</v>
      </c>
      <c r="F2074" s="4">
        <v>7.1441742200462999E-6</v>
      </c>
      <c r="G2074" s="4">
        <v>5.2158980432369098E-5</v>
      </c>
      <c r="H2074" s="3" t="str">
        <f>"COL21A1"</f>
        <v>COL21A1</v>
      </c>
      <c r="I2074" s="3" t="str">
        <f t="shared" si="103"/>
        <v>protein_coding</v>
      </c>
    </row>
    <row r="2075" spans="1:9" x14ac:dyDescent="0.2">
      <c r="A2075" s="3" t="str">
        <f>"ENSG00000151914.20"</f>
        <v>ENSG00000151914.20</v>
      </c>
      <c r="B2075" s="3">
        <v>20629.9579743955</v>
      </c>
      <c r="C2075" s="3">
        <v>1.59422318428905</v>
      </c>
      <c r="D2075" s="3">
        <v>0.21425243602840599</v>
      </c>
      <c r="E2075" s="3">
        <v>7.4408637485815596</v>
      </c>
      <c r="F2075" s="4">
        <v>1.00029077694169E-13</v>
      </c>
      <c r="G2075" s="4">
        <v>2.2321804094455501E-12</v>
      </c>
      <c r="H2075" s="3" t="str">
        <f>"DST"</f>
        <v>DST</v>
      </c>
      <c r="I2075" s="3" t="str">
        <f t="shared" si="103"/>
        <v>protein_coding</v>
      </c>
    </row>
    <row r="2076" spans="1:9" x14ac:dyDescent="0.2">
      <c r="A2076" s="3" t="str">
        <f>"ENSG00000112208.11"</f>
        <v>ENSG00000112208.11</v>
      </c>
      <c r="B2076" s="3">
        <v>1576.8303159684101</v>
      </c>
      <c r="C2076" s="3">
        <v>-1.5672037778301899</v>
      </c>
      <c r="D2076" s="3">
        <v>0.18578423091863</v>
      </c>
      <c r="E2076" s="3">
        <v>-8.4356124848755307</v>
      </c>
      <c r="F2076" s="4">
        <v>3.2947276776229297E-17</v>
      </c>
      <c r="G2076" s="4">
        <v>1.0007964886531999E-15</v>
      </c>
      <c r="H2076" s="3" t="str">
        <f>"BAG2"</f>
        <v>BAG2</v>
      </c>
      <c r="I2076" s="3" t="str">
        <f t="shared" si="103"/>
        <v>protein_coding</v>
      </c>
    </row>
    <row r="2077" spans="1:9" x14ac:dyDescent="0.2">
      <c r="A2077" s="3" t="str">
        <f>"ENSG00000146166.16"</f>
        <v>ENSG00000146166.16</v>
      </c>
      <c r="B2077" s="3">
        <v>21.523966339173501</v>
      </c>
      <c r="C2077" s="3">
        <v>3.2307170244754602</v>
      </c>
      <c r="D2077" s="3">
        <v>0.85517146176885594</v>
      </c>
      <c r="E2077" s="3">
        <v>3.7778587907891201</v>
      </c>
      <c r="F2077" s="3">
        <v>1.58182521693486E-4</v>
      </c>
      <c r="G2077" s="3">
        <v>8.6494063186482297E-4</v>
      </c>
      <c r="H2077" s="3" t="str">
        <f>"LGSN"</f>
        <v>LGSN</v>
      </c>
      <c r="I2077" s="3" t="str">
        <f t="shared" si="103"/>
        <v>protein_coding</v>
      </c>
    </row>
    <row r="2078" spans="1:9" x14ac:dyDescent="0.2">
      <c r="A2078" s="3" t="str">
        <f>"ENSG00000218274.2"</f>
        <v>ENSG00000218274.2</v>
      </c>
      <c r="B2078" s="3">
        <v>13.278004526691401</v>
      </c>
      <c r="C2078" s="3">
        <v>4.0237151297386502</v>
      </c>
      <c r="D2078" s="3">
        <v>1.2234238447657999</v>
      </c>
      <c r="E2078" s="3">
        <v>3.2888970956005101</v>
      </c>
      <c r="F2078" s="3">
        <v>1.0058079018977399E-3</v>
      </c>
      <c r="G2078" s="3">
        <v>4.4431335770116201E-3</v>
      </c>
      <c r="H2078" s="3" t="str">
        <f>"AL121949.2"</f>
        <v>AL121949.2</v>
      </c>
      <c r="I2078" s="3" t="str">
        <f>"unprocessed_pseudogene"</f>
        <v>unprocessed_pseudogene</v>
      </c>
    </row>
    <row r="2079" spans="1:9" x14ac:dyDescent="0.2">
      <c r="A2079" s="3" t="str">
        <f>"ENSG00000112245.11"</f>
        <v>ENSG00000112245.11</v>
      </c>
      <c r="B2079" s="3">
        <v>307.73319879388498</v>
      </c>
      <c r="C2079" s="3">
        <v>-1.3440345846736701</v>
      </c>
      <c r="D2079" s="3">
        <v>0.25384051750803199</v>
      </c>
      <c r="E2079" s="3">
        <v>-5.2947992616314599</v>
      </c>
      <c r="F2079" s="4">
        <v>1.1914721987566E-7</v>
      </c>
      <c r="G2079" s="4">
        <v>1.1966105049583899E-6</v>
      </c>
      <c r="H2079" s="3" t="str">
        <f>"PTP4A1"</f>
        <v>PTP4A1</v>
      </c>
      <c r="I2079" s="3" t="str">
        <f>"protein_coding"</f>
        <v>protein_coding</v>
      </c>
    </row>
    <row r="2080" spans="1:9" x14ac:dyDescent="0.2">
      <c r="A2080" s="3" t="str">
        <f>"ENSG00000213312.3"</f>
        <v>ENSG00000213312.3</v>
      </c>
      <c r="B2080" s="3">
        <v>71.164730556123203</v>
      </c>
      <c r="C2080" s="3">
        <v>3.0866321460825898</v>
      </c>
      <c r="D2080" s="3">
        <v>0.48523246941148102</v>
      </c>
      <c r="E2080" s="3">
        <v>6.3611409801702798</v>
      </c>
      <c r="F2080" s="4">
        <v>2.00260527872937E-10</v>
      </c>
      <c r="G2080" s="4">
        <v>2.9719491301492001E-9</v>
      </c>
      <c r="H2080" s="3" t="str">
        <f>"RPL7AP34"</f>
        <v>RPL7AP34</v>
      </c>
      <c r="I2080" s="3" t="str">
        <f>"processed_pseudogene"</f>
        <v>processed_pseudogene</v>
      </c>
    </row>
    <row r="2081" spans="1:9" x14ac:dyDescent="0.2">
      <c r="A2081" s="3" t="str">
        <f>"ENSG00000266680.1"</f>
        <v>ENSG00000266680.1</v>
      </c>
      <c r="B2081" s="3">
        <v>636.45165507936395</v>
      </c>
      <c r="C2081" s="3">
        <v>1.9647210147040199</v>
      </c>
      <c r="D2081" s="3">
        <v>0.221049974760023</v>
      </c>
      <c r="E2081" s="3">
        <v>8.8881304638779994</v>
      </c>
      <c r="F2081" s="4">
        <v>6.2145685844018796E-19</v>
      </c>
      <c r="G2081" s="4">
        <v>2.1736630323388699E-17</v>
      </c>
      <c r="H2081" s="3" t="str">
        <f>"AL135905.1"</f>
        <v>AL135905.1</v>
      </c>
      <c r="I2081" s="3" t="str">
        <f>"antisense"</f>
        <v>antisense</v>
      </c>
    </row>
    <row r="2082" spans="1:9" x14ac:dyDescent="0.2">
      <c r="A2082" s="3" t="str">
        <f>"ENSG00000188107.14"</f>
        <v>ENSG00000188107.14</v>
      </c>
      <c r="B2082" s="3">
        <v>67.224196896450295</v>
      </c>
      <c r="C2082" s="3">
        <v>6.0027643962837196</v>
      </c>
      <c r="D2082" s="3">
        <v>0.84324559877876404</v>
      </c>
      <c r="E2082" s="3">
        <v>7.1186430204643401</v>
      </c>
      <c r="F2082" s="4">
        <v>1.08994799312992E-12</v>
      </c>
      <c r="G2082" s="4">
        <v>2.1473472862480799E-11</v>
      </c>
      <c r="H2082" s="3" t="str">
        <f>"EYS"</f>
        <v>EYS</v>
      </c>
      <c r="I2082" s="3" t="str">
        <f>"protein_coding"</f>
        <v>protein_coding</v>
      </c>
    </row>
    <row r="2083" spans="1:9" x14ac:dyDescent="0.2">
      <c r="A2083" s="3" t="str">
        <f>"ENSG00000236345.1"</f>
        <v>ENSG00000236345.1</v>
      </c>
      <c r="B2083" s="3">
        <v>12.815298308382401</v>
      </c>
      <c r="C2083" s="3">
        <v>5.6018612691263199</v>
      </c>
      <c r="D2083" s="3">
        <v>1.6851113765885899</v>
      </c>
      <c r="E2083" s="3">
        <v>3.3243270130114402</v>
      </c>
      <c r="F2083" s="3">
        <v>8.8632200444527297E-4</v>
      </c>
      <c r="G2083" s="3">
        <v>3.9667568421682597E-3</v>
      </c>
      <c r="H2083" s="3" t="str">
        <f>"SCAT8"</f>
        <v>SCAT8</v>
      </c>
      <c r="I2083" s="3" t="str">
        <f>"antisense"</f>
        <v>antisense</v>
      </c>
    </row>
    <row r="2084" spans="1:9" x14ac:dyDescent="0.2">
      <c r="A2084" s="3" t="str">
        <f>"ENSG00000227706.3"</f>
        <v>ENSG00000227706.3</v>
      </c>
      <c r="B2084" s="3">
        <v>10.116440657718201</v>
      </c>
      <c r="C2084" s="3">
        <v>3.6005165114448299</v>
      </c>
      <c r="D2084" s="3">
        <v>1.3594201397858101</v>
      </c>
      <c r="E2084" s="3">
        <v>2.6485678754267399</v>
      </c>
      <c r="F2084" s="3">
        <v>8.0833615336130607E-3</v>
      </c>
      <c r="G2084" s="3">
        <v>2.6615994163910001E-2</v>
      </c>
      <c r="H2084" s="3" t="str">
        <f>"AL713998.1"</f>
        <v>AL713998.1</v>
      </c>
      <c r="I2084" s="3" t="str">
        <f>"lincRNA"</f>
        <v>lincRNA</v>
      </c>
    </row>
    <row r="2085" spans="1:9" x14ac:dyDescent="0.2">
      <c r="A2085" s="3" t="str">
        <f>"ENSG00000082293.13"</f>
        <v>ENSG00000082293.13</v>
      </c>
      <c r="B2085" s="3">
        <v>21.726528338434399</v>
      </c>
      <c r="C2085" s="3">
        <v>5.3583260912482498</v>
      </c>
      <c r="D2085" s="3">
        <v>1.2336882081092999</v>
      </c>
      <c r="E2085" s="3">
        <v>4.3433389863231397</v>
      </c>
      <c r="F2085" s="4">
        <v>1.4033333999814899E-5</v>
      </c>
      <c r="G2085" s="4">
        <v>9.6532757256489993E-5</v>
      </c>
      <c r="H2085" s="3" t="str">
        <f>"COL19A1"</f>
        <v>COL19A1</v>
      </c>
      <c r="I2085" s="3" t="str">
        <f>"protein_coding"</f>
        <v>protein_coding</v>
      </c>
    </row>
    <row r="2086" spans="1:9" x14ac:dyDescent="0.2">
      <c r="A2086" s="3" t="str">
        <f>"ENSG00000112280.16"</f>
        <v>ENSG00000112280.16</v>
      </c>
      <c r="B2086" s="3">
        <v>9.7625732838819292</v>
      </c>
      <c r="C2086" s="3">
        <v>6.6830677175002897</v>
      </c>
      <c r="D2086" s="3">
        <v>1.7697950602905701</v>
      </c>
      <c r="E2086" s="3">
        <v>3.7761816989154799</v>
      </c>
      <c r="F2086" s="3">
        <v>1.59250840049056E-4</v>
      </c>
      <c r="G2086" s="3">
        <v>8.6973494464153605E-4</v>
      </c>
      <c r="H2086" s="3" t="str">
        <f>"COL9A1"</f>
        <v>COL9A1</v>
      </c>
      <c r="I2086" s="3" t="str">
        <f>"protein_coding"</f>
        <v>protein_coding</v>
      </c>
    </row>
    <row r="2087" spans="1:9" x14ac:dyDescent="0.2">
      <c r="A2087" s="3" t="str">
        <f>"ENSG00000154079.6"</f>
        <v>ENSG00000154079.6</v>
      </c>
      <c r="B2087" s="3">
        <v>213.413184842097</v>
      </c>
      <c r="C2087" s="3">
        <v>1.3498963568769899</v>
      </c>
      <c r="D2087" s="3">
        <v>0.28157581637287499</v>
      </c>
      <c r="E2087" s="3">
        <v>4.7940777523642204</v>
      </c>
      <c r="F2087" s="4">
        <v>1.63424886304651E-6</v>
      </c>
      <c r="G2087" s="4">
        <v>1.34689590960158E-5</v>
      </c>
      <c r="H2087" s="3" t="str">
        <f>"SDHAF4"</f>
        <v>SDHAF4</v>
      </c>
      <c r="I2087" s="3" t="str">
        <f>"protein_coding"</f>
        <v>protein_coding</v>
      </c>
    </row>
    <row r="2088" spans="1:9" x14ac:dyDescent="0.2">
      <c r="A2088" s="3" t="str">
        <f>"ENSG00000232389.1"</f>
        <v>ENSG00000232389.1</v>
      </c>
      <c r="B2088" s="3">
        <v>34.229443930359203</v>
      </c>
      <c r="C2088" s="3">
        <v>-1.5126188081688801</v>
      </c>
      <c r="D2088" s="3">
        <v>0.61696971062058004</v>
      </c>
      <c r="E2088" s="3">
        <v>-2.4516905483859399</v>
      </c>
      <c r="F2088" s="3">
        <v>1.4218688196821001E-2</v>
      </c>
      <c r="G2088" s="3">
        <v>4.27046513777318E-2</v>
      </c>
      <c r="H2088" s="3" t="str">
        <f>"AL583856.1"</f>
        <v>AL583856.1</v>
      </c>
      <c r="I2088" s="3" t="str">
        <f>"processed_pseudogene"</f>
        <v>processed_pseudogene</v>
      </c>
    </row>
    <row r="2089" spans="1:9" x14ac:dyDescent="0.2">
      <c r="A2089" s="3" t="str">
        <f>"ENSG00000262803.1"</f>
        <v>ENSG00000262803.1</v>
      </c>
      <c r="B2089" s="3">
        <v>25.161646869927001</v>
      </c>
      <c r="C2089" s="3">
        <v>2.0552638299911599</v>
      </c>
      <c r="D2089" s="3">
        <v>0.73968902956688898</v>
      </c>
      <c r="E2089" s="3">
        <v>2.7785511854820699</v>
      </c>
      <c r="F2089" s="3">
        <v>5.4601909973009902E-3</v>
      </c>
      <c r="G2089" s="3">
        <v>1.9147210309325601E-2</v>
      </c>
      <c r="H2089" s="3" t="str">
        <f>"AL354943.1"</f>
        <v>AL354943.1</v>
      </c>
      <c r="I2089" s="3" t="str">
        <f>"processed_pseudogene"</f>
        <v>processed_pseudogene</v>
      </c>
    </row>
    <row r="2090" spans="1:9" x14ac:dyDescent="0.2">
      <c r="A2090" s="3" t="str">
        <f>"ENSG00000079841.18"</f>
        <v>ENSG00000079841.18</v>
      </c>
      <c r="B2090" s="3">
        <v>10.897977694382501</v>
      </c>
      <c r="C2090" s="3">
        <v>6.8396543352162</v>
      </c>
      <c r="D2090" s="3">
        <v>1.74857763249908</v>
      </c>
      <c r="E2090" s="3">
        <v>3.9115531435918598</v>
      </c>
      <c r="F2090" s="4">
        <v>9.1704471288849799E-5</v>
      </c>
      <c r="G2090" s="3">
        <v>5.3016586658334195E-4</v>
      </c>
      <c r="H2090" s="3" t="str">
        <f>"RIMS1"</f>
        <v>RIMS1</v>
      </c>
      <c r="I2090" s="3" t="str">
        <f>"protein_coding"</f>
        <v>protein_coding</v>
      </c>
    </row>
    <row r="2091" spans="1:9" x14ac:dyDescent="0.2">
      <c r="A2091" s="3" t="str">
        <f>"ENSG00000119899.13"</f>
        <v>ENSG00000119899.13</v>
      </c>
      <c r="B2091" s="3">
        <v>691.13947273637496</v>
      </c>
      <c r="C2091" s="3">
        <v>-1.19726890246454</v>
      </c>
      <c r="D2091" s="3">
        <v>0.20972775445049399</v>
      </c>
      <c r="E2091" s="3">
        <v>-5.7086812644396696</v>
      </c>
      <c r="F2091" s="4">
        <v>1.13854879192777E-8</v>
      </c>
      <c r="G2091" s="4">
        <v>1.34120358554501E-7</v>
      </c>
      <c r="H2091" s="3" t="str">
        <f>"SLC17A5"</f>
        <v>SLC17A5</v>
      </c>
      <c r="I2091" s="3" t="str">
        <f>"protein_coding"</f>
        <v>protein_coding</v>
      </c>
    </row>
    <row r="2092" spans="1:9" x14ac:dyDescent="0.2">
      <c r="A2092" s="3" t="str">
        <f>"ENSG00000156535.15"</f>
        <v>ENSG00000156535.15</v>
      </c>
      <c r="B2092" s="3">
        <v>1164.2470516145499</v>
      </c>
      <c r="C2092" s="3">
        <v>2.9539397239505298</v>
      </c>
      <c r="D2092" s="3">
        <v>0.20929128611918801</v>
      </c>
      <c r="E2092" s="3">
        <v>14.1140120008069</v>
      </c>
      <c r="F2092" s="4">
        <v>3.1134889209037599E-45</v>
      </c>
      <c r="G2092" s="4">
        <v>5.0798342890937E-43</v>
      </c>
      <c r="H2092" s="3" t="str">
        <f>"CD109"</f>
        <v>CD109</v>
      </c>
      <c r="I2092" s="3" t="str">
        <f>"protein_coding"</f>
        <v>protein_coding</v>
      </c>
    </row>
    <row r="2093" spans="1:9" x14ac:dyDescent="0.2">
      <c r="A2093" s="3" t="str">
        <f>"ENSG00000111799.21"</f>
        <v>ENSG00000111799.21</v>
      </c>
      <c r="B2093" s="3">
        <v>22.880016436759998</v>
      </c>
      <c r="C2093" s="3">
        <v>2.8148873161902701</v>
      </c>
      <c r="D2093" s="3">
        <v>0.79842327244471201</v>
      </c>
      <c r="E2093" s="3">
        <v>3.5255577002049199</v>
      </c>
      <c r="F2093" s="3">
        <v>4.2259210706125798E-4</v>
      </c>
      <c r="G2093" s="3">
        <v>2.0657278688729999E-3</v>
      </c>
      <c r="H2093" s="3" t="str">
        <f>"COL12A1"</f>
        <v>COL12A1</v>
      </c>
      <c r="I2093" s="3" t="str">
        <f>"protein_coding"</f>
        <v>protein_coding</v>
      </c>
    </row>
    <row r="2094" spans="1:9" x14ac:dyDescent="0.2">
      <c r="A2094" s="3" t="str">
        <f>"ENSG00000225793.2"</f>
        <v>ENSG00000225793.2</v>
      </c>
      <c r="B2094" s="3">
        <v>30.910944296156501</v>
      </c>
      <c r="C2094" s="3">
        <v>1.5215824769709001</v>
      </c>
      <c r="D2094" s="3">
        <v>0.63460310977384504</v>
      </c>
      <c r="E2094" s="3">
        <v>2.3976914917942098</v>
      </c>
      <c r="F2094" s="3">
        <v>1.6498754628964399E-2</v>
      </c>
      <c r="G2094" s="3">
        <v>4.8228898978156E-2</v>
      </c>
      <c r="H2094" s="3" t="str">
        <f>"AL080250.1"</f>
        <v>AL080250.1</v>
      </c>
      <c r="I2094" s="3" t="str">
        <f>"lincRNA"</f>
        <v>lincRNA</v>
      </c>
    </row>
    <row r="2095" spans="1:9" x14ac:dyDescent="0.2">
      <c r="A2095" s="3" t="str">
        <f>"ENSG00000118407.15"</f>
        <v>ENSG00000118407.15</v>
      </c>
      <c r="B2095" s="3">
        <v>13.3256375660497</v>
      </c>
      <c r="C2095" s="3">
        <v>5.6565157226724896</v>
      </c>
      <c r="D2095" s="3">
        <v>1.6852608749923399</v>
      </c>
      <c r="E2095" s="3">
        <v>3.3564629705761102</v>
      </c>
      <c r="F2095" s="3">
        <v>7.89462918570945E-4</v>
      </c>
      <c r="G2095" s="3">
        <v>3.5916674139760399E-3</v>
      </c>
      <c r="H2095" s="3" t="str">
        <f>"FILIP1"</f>
        <v>FILIP1</v>
      </c>
      <c r="I2095" s="3" t="str">
        <f>"protein_coding"</f>
        <v>protein_coding</v>
      </c>
    </row>
    <row r="2096" spans="1:9" x14ac:dyDescent="0.2">
      <c r="A2096" s="3" t="str">
        <f>"ENSG00000252498.1"</f>
        <v>ENSG00000252498.1</v>
      </c>
      <c r="B2096" s="3">
        <v>150.70936138709999</v>
      </c>
      <c r="C2096" s="3">
        <v>1.27333500475512</v>
      </c>
      <c r="D2096" s="3">
        <v>0.36895059407004499</v>
      </c>
      <c r="E2096" s="3">
        <v>3.4512344612552099</v>
      </c>
      <c r="F2096" s="3">
        <v>5.5802856917505801E-4</v>
      </c>
      <c r="G2096" s="3">
        <v>2.6401466268992598E-3</v>
      </c>
      <c r="H2096" s="3" t="str">
        <f>"RNU6-1016P"</f>
        <v>RNU6-1016P</v>
      </c>
      <c r="I2096" s="3" t="str">
        <f>"snRNA"</f>
        <v>snRNA</v>
      </c>
    </row>
    <row r="2097" spans="1:9" x14ac:dyDescent="0.2">
      <c r="A2097" s="3" t="str">
        <f>"ENSG00000196586.14"</f>
        <v>ENSG00000196586.14</v>
      </c>
      <c r="B2097" s="3">
        <v>3524.7796103631299</v>
      </c>
      <c r="C2097" s="3">
        <v>1.7188676117978801</v>
      </c>
      <c r="D2097" s="3">
        <v>0.18316303306370099</v>
      </c>
      <c r="E2097" s="3">
        <v>9.3843587488534403</v>
      </c>
      <c r="F2097" s="4">
        <v>6.3300442015020499E-21</v>
      </c>
      <c r="G2097" s="4">
        <v>2.6740265791988601E-19</v>
      </c>
      <c r="H2097" s="3" t="str">
        <f>"MYO6"</f>
        <v>MYO6</v>
      </c>
      <c r="I2097" s="3" t="str">
        <f>"protein_coding"</f>
        <v>protein_coding</v>
      </c>
    </row>
    <row r="2098" spans="1:9" x14ac:dyDescent="0.2">
      <c r="A2098" s="3" t="str">
        <f>"ENSG00000198478.8"</f>
        <v>ENSG00000198478.8</v>
      </c>
      <c r="B2098" s="3">
        <v>1682.97235830202</v>
      </c>
      <c r="C2098" s="3">
        <v>-1.16110019992188</v>
      </c>
      <c r="D2098" s="3">
        <v>0.197585452143927</v>
      </c>
      <c r="E2098" s="3">
        <v>-5.8764457976192297</v>
      </c>
      <c r="F2098" s="4">
        <v>4.1916856699129996E-9</v>
      </c>
      <c r="G2098" s="4">
        <v>5.2534893950376899E-8</v>
      </c>
      <c r="H2098" s="3" t="str">
        <f>"SH3BGRL2"</f>
        <v>SH3BGRL2</v>
      </c>
      <c r="I2098" s="3" t="str">
        <f>"protein_coding"</f>
        <v>protein_coding</v>
      </c>
    </row>
    <row r="2099" spans="1:9" x14ac:dyDescent="0.2">
      <c r="A2099" s="3" t="str">
        <f>"ENSG00000118402.6"</f>
        <v>ENSG00000118402.6</v>
      </c>
      <c r="B2099" s="3">
        <v>18.1860964583928</v>
      </c>
      <c r="C2099" s="3">
        <v>2.4185820149241599</v>
      </c>
      <c r="D2099" s="3">
        <v>0.934409513858939</v>
      </c>
      <c r="E2099" s="3">
        <v>2.5883533708211699</v>
      </c>
      <c r="F2099" s="3">
        <v>9.6435994275125992E-3</v>
      </c>
      <c r="G2099" s="3">
        <v>3.0814958789895101E-2</v>
      </c>
      <c r="H2099" s="3" t="str">
        <f>"ELOVL4"</f>
        <v>ELOVL4</v>
      </c>
      <c r="I2099" s="3" t="str">
        <f>"protein_coding"</f>
        <v>protein_coding</v>
      </c>
    </row>
    <row r="2100" spans="1:9" x14ac:dyDescent="0.2">
      <c r="A2100" s="3" t="str">
        <f>"ENSG00000112773.16"</f>
        <v>ENSG00000112773.16</v>
      </c>
      <c r="B2100" s="3">
        <v>2101.23167545358</v>
      </c>
      <c r="C2100" s="3">
        <v>1.5219328990133401</v>
      </c>
      <c r="D2100" s="3">
        <v>0.213231380947555</v>
      </c>
      <c r="E2100" s="3">
        <v>7.1374714746497299</v>
      </c>
      <c r="F2100" s="4">
        <v>9.5063340897106304E-13</v>
      </c>
      <c r="G2100" s="4">
        <v>1.89166277260959E-11</v>
      </c>
      <c r="H2100" s="3" t="str">
        <f>"TENT5A"</f>
        <v>TENT5A</v>
      </c>
      <c r="I2100" s="3" t="str">
        <f>"protein_coding"</f>
        <v>protein_coding</v>
      </c>
    </row>
    <row r="2101" spans="1:9" x14ac:dyDescent="0.2">
      <c r="A2101" s="3" t="str">
        <f>"ENSG00000065609.14"</f>
        <v>ENSG00000065609.14</v>
      </c>
      <c r="B2101" s="3">
        <v>7.4916399328283001</v>
      </c>
      <c r="C2101" s="3">
        <v>4.80208079489881</v>
      </c>
      <c r="D2101" s="3">
        <v>1.83758299373621</v>
      </c>
      <c r="E2101" s="3">
        <v>2.6132592711555001</v>
      </c>
      <c r="F2101" s="3">
        <v>8.9683238468760799E-3</v>
      </c>
      <c r="G2101" s="3">
        <v>2.9077123863978999E-2</v>
      </c>
      <c r="H2101" s="3" t="str">
        <f>"SNAP91"</f>
        <v>SNAP91</v>
      </c>
      <c r="I2101" s="3" t="str">
        <f>"protein_coding"</f>
        <v>protein_coding</v>
      </c>
    </row>
    <row r="2102" spans="1:9" x14ac:dyDescent="0.2">
      <c r="A2102" s="3" t="str">
        <f>"ENSG00000234155.1"</f>
        <v>ENSG00000234155.1</v>
      </c>
      <c r="B2102" s="3">
        <v>38.436877539861101</v>
      </c>
      <c r="C2102" s="3">
        <v>-1.55052625526175</v>
      </c>
      <c r="D2102" s="3">
        <v>0.564417633303405</v>
      </c>
      <c r="E2102" s="3">
        <v>-2.7471258227473898</v>
      </c>
      <c r="F2102" s="3">
        <v>6.0120065466889496E-3</v>
      </c>
      <c r="G2102" s="3">
        <v>2.07195980745805E-2</v>
      </c>
      <c r="H2102" s="3" t="str">
        <f>"LINC02535"</f>
        <v>LINC02535</v>
      </c>
      <c r="I2102" s="3" t="str">
        <f>"lincRNA"</f>
        <v>lincRNA</v>
      </c>
    </row>
    <row r="2103" spans="1:9" x14ac:dyDescent="0.2">
      <c r="A2103" s="3" t="str">
        <f>"ENSG00000135318.12"</f>
        <v>ENSG00000135318.12</v>
      </c>
      <c r="B2103" s="3">
        <v>91.1739396858558</v>
      </c>
      <c r="C2103" s="3">
        <v>-1.68688998436001</v>
      </c>
      <c r="D2103" s="3">
        <v>0.39550170832798198</v>
      </c>
      <c r="E2103" s="3">
        <v>-4.2651901340489298</v>
      </c>
      <c r="F2103" s="4">
        <v>1.9973203818843801E-5</v>
      </c>
      <c r="G2103" s="3">
        <v>1.3273411815903401E-4</v>
      </c>
      <c r="H2103" s="3" t="str">
        <f>"NT5E"</f>
        <v>NT5E</v>
      </c>
      <c r="I2103" s="3" t="str">
        <f t="shared" ref="I2103:I2114" si="104">"protein_coding"</f>
        <v>protein_coding</v>
      </c>
    </row>
    <row r="2104" spans="1:9" x14ac:dyDescent="0.2">
      <c r="A2104" s="3" t="str">
        <f>"ENSG00000203872.7"</f>
        <v>ENSG00000203872.7</v>
      </c>
      <c r="B2104" s="3">
        <v>84.274593853169605</v>
      </c>
      <c r="C2104" s="3">
        <v>1.08635875026284</v>
      </c>
      <c r="D2104" s="3">
        <v>0.43964540693493298</v>
      </c>
      <c r="E2104" s="3">
        <v>2.47098851284853</v>
      </c>
      <c r="F2104" s="3">
        <v>1.34740146785705E-2</v>
      </c>
      <c r="G2104" s="3">
        <v>4.0832663546547798E-2</v>
      </c>
      <c r="H2104" s="3" t="str">
        <f>"C6orf163"</f>
        <v>C6orf163</v>
      </c>
      <c r="I2104" s="3" t="str">
        <f t="shared" si="104"/>
        <v>protein_coding</v>
      </c>
    </row>
    <row r="2105" spans="1:9" x14ac:dyDescent="0.2">
      <c r="A2105" s="3" t="str">
        <f>"ENSG00000118432.12"</f>
        <v>ENSG00000118432.12</v>
      </c>
      <c r="B2105" s="3">
        <v>5.7615214236078902</v>
      </c>
      <c r="C2105" s="3">
        <v>5.9211747952185396</v>
      </c>
      <c r="D2105" s="3">
        <v>1.9659340584970799</v>
      </c>
      <c r="E2105" s="3">
        <v>3.01188881164467</v>
      </c>
      <c r="F2105" s="3">
        <v>2.59627675744899E-3</v>
      </c>
      <c r="G2105" s="3">
        <v>1.0090311611256401E-2</v>
      </c>
      <c r="H2105" s="3" t="str">
        <f>"CNR1"</f>
        <v>CNR1</v>
      </c>
      <c r="I2105" s="3" t="str">
        <f t="shared" si="104"/>
        <v>protein_coding</v>
      </c>
    </row>
    <row r="2106" spans="1:9" x14ac:dyDescent="0.2">
      <c r="A2106" s="3" t="str">
        <f>"ENSG00000146278.10"</f>
        <v>ENSG00000146278.10</v>
      </c>
      <c r="B2106" s="3">
        <v>3398.4907607581999</v>
      </c>
      <c r="C2106" s="3">
        <v>1.7787335508492199</v>
      </c>
      <c r="D2106" s="3">
        <v>0.18968273219069801</v>
      </c>
      <c r="E2106" s="3">
        <v>9.3774142237732292</v>
      </c>
      <c r="F2106" s="4">
        <v>6.7610443233918903E-21</v>
      </c>
      <c r="G2106" s="4">
        <v>2.8472669965913302E-19</v>
      </c>
      <c r="H2106" s="3" t="str">
        <f>"PNRC1"</f>
        <v>PNRC1</v>
      </c>
      <c r="I2106" s="3" t="str">
        <f t="shared" si="104"/>
        <v>protein_coding</v>
      </c>
    </row>
    <row r="2107" spans="1:9" x14ac:dyDescent="0.2">
      <c r="A2107" s="3" t="str">
        <f>"ENSG00000146281.6"</f>
        <v>ENSG00000146281.6</v>
      </c>
      <c r="B2107" s="3">
        <v>1425.86217220395</v>
      </c>
      <c r="C2107" s="3">
        <v>-1.2189265725663001</v>
      </c>
      <c r="D2107" s="3">
        <v>0.189913087394563</v>
      </c>
      <c r="E2107" s="3">
        <v>-6.4183389848950201</v>
      </c>
      <c r="F2107" s="4">
        <v>1.3776921561065301E-10</v>
      </c>
      <c r="G2107" s="4">
        <v>2.1006143356147001E-9</v>
      </c>
      <c r="H2107" s="3" t="str">
        <f>"PM20D2"</f>
        <v>PM20D2</v>
      </c>
      <c r="I2107" s="3" t="str">
        <f t="shared" si="104"/>
        <v>protein_coding</v>
      </c>
    </row>
    <row r="2108" spans="1:9" x14ac:dyDescent="0.2">
      <c r="A2108" s="3" t="str">
        <f>"ENSG00000198833.7"</f>
        <v>ENSG00000198833.7</v>
      </c>
      <c r="B2108" s="3">
        <v>1728.92860326136</v>
      </c>
      <c r="C2108" s="3">
        <v>-1.5318854673711</v>
      </c>
      <c r="D2108" s="3">
        <v>0.189199605954149</v>
      </c>
      <c r="E2108" s="3">
        <v>-8.0966630963403805</v>
      </c>
      <c r="F2108" s="4">
        <v>5.6487228522172704E-16</v>
      </c>
      <c r="G2108" s="4">
        <v>1.5391075155436399E-14</v>
      </c>
      <c r="H2108" s="3" t="str">
        <f>"UBE2J1"</f>
        <v>UBE2J1</v>
      </c>
      <c r="I2108" s="3" t="str">
        <f t="shared" si="104"/>
        <v>protein_coding</v>
      </c>
    </row>
    <row r="2109" spans="1:9" x14ac:dyDescent="0.2">
      <c r="A2109" s="3" t="str">
        <f>"ENSG00000135299.17"</f>
        <v>ENSG00000135299.17</v>
      </c>
      <c r="B2109" s="3">
        <v>24.3206960121816</v>
      </c>
      <c r="C2109" s="3">
        <v>1.88980029869688</v>
      </c>
      <c r="D2109" s="3">
        <v>0.71398654564077602</v>
      </c>
      <c r="E2109" s="3">
        <v>2.6468290057214698</v>
      </c>
      <c r="F2109" s="3">
        <v>8.1250425788551694E-3</v>
      </c>
      <c r="G2109" s="3">
        <v>2.6729030700712999E-2</v>
      </c>
      <c r="H2109" s="3" t="str">
        <f>"ANKRD6"</f>
        <v>ANKRD6</v>
      </c>
      <c r="I2109" s="3" t="str">
        <f t="shared" si="104"/>
        <v>protein_coding</v>
      </c>
    </row>
    <row r="2110" spans="1:9" x14ac:dyDescent="0.2">
      <c r="A2110" s="3" t="str">
        <f>"ENSG00000112159.12"</f>
        <v>ENSG00000112159.12</v>
      </c>
      <c r="B2110" s="3">
        <v>8903.7359272659505</v>
      </c>
      <c r="C2110" s="3">
        <v>-1.22108517534559</v>
      </c>
      <c r="D2110" s="3">
        <v>0.16965778975132301</v>
      </c>
      <c r="E2110" s="3">
        <v>-7.1973422330645898</v>
      </c>
      <c r="F2110" s="4">
        <v>6.1397524314139899E-13</v>
      </c>
      <c r="G2110" s="4">
        <v>1.2493639619024401E-11</v>
      </c>
      <c r="H2110" s="3" t="str">
        <f>"MDN1"</f>
        <v>MDN1</v>
      </c>
      <c r="I2110" s="3" t="str">
        <f t="shared" si="104"/>
        <v>protein_coding</v>
      </c>
    </row>
    <row r="2111" spans="1:9" x14ac:dyDescent="0.2">
      <c r="A2111" s="3" t="str">
        <f>"ENSG00000112182.15"</f>
        <v>ENSG00000112182.15</v>
      </c>
      <c r="B2111" s="3">
        <v>13.574132213763701</v>
      </c>
      <c r="C2111" s="3">
        <v>2.9706358202965202</v>
      </c>
      <c r="D2111" s="3">
        <v>1.07286552142527</v>
      </c>
      <c r="E2111" s="3">
        <v>2.7688799397245201</v>
      </c>
      <c r="F2111" s="3">
        <v>5.6249358828391596E-3</v>
      </c>
      <c r="G2111" s="3">
        <v>1.96339518318881E-2</v>
      </c>
      <c r="H2111" s="3" t="str">
        <f>"BACH2"</f>
        <v>BACH2</v>
      </c>
      <c r="I2111" s="3" t="str">
        <f t="shared" si="104"/>
        <v>protein_coding</v>
      </c>
    </row>
    <row r="2112" spans="1:9" x14ac:dyDescent="0.2">
      <c r="A2112" s="3" t="str">
        <f>"ENSG00000172469.16"</f>
        <v>ENSG00000172469.16</v>
      </c>
      <c r="B2112" s="3">
        <v>748.40438102845303</v>
      </c>
      <c r="C2112" s="3">
        <v>-1.14419060273439</v>
      </c>
      <c r="D2112" s="3">
        <v>0.22629733731839499</v>
      </c>
      <c r="E2112" s="3">
        <v>-5.0561381600550899</v>
      </c>
      <c r="F2112" s="4">
        <v>4.2783144218787601E-7</v>
      </c>
      <c r="G2112" s="4">
        <v>3.9091627449004199E-6</v>
      </c>
      <c r="H2112" s="3" t="str">
        <f>"MANEA"</f>
        <v>MANEA</v>
      </c>
      <c r="I2112" s="3" t="str">
        <f t="shared" si="104"/>
        <v>protein_coding</v>
      </c>
    </row>
    <row r="2113" spans="1:9" x14ac:dyDescent="0.2">
      <c r="A2113" s="3" t="str">
        <f>"ENSG00000184486.9"</f>
        <v>ENSG00000184486.9</v>
      </c>
      <c r="B2113" s="3">
        <v>13.902945149472201</v>
      </c>
      <c r="C2113" s="3">
        <v>3.6421831064661001</v>
      </c>
      <c r="D2113" s="3">
        <v>1.1275802106736199</v>
      </c>
      <c r="E2113" s="3">
        <v>3.2300878216816402</v>
      </c>
      <c r="F2113" s="3">
        <v>1.23752198720658E-3</v>
      </c>
      <c r="G2113" s="3">
        <v>5.3150633016106202E-3</v>
      </c>
      <c r="H2113" s="3" t="str">
        <f>"POU3F2"</f>
        <v>POU3F2</v>
      </c>
      <c r="I2113" s="3" t="str">
        <f t="shared" si="104"/>
        <v>protein_coding</v>
      </c>
    </row>
    <row r="2114" spans="1:9" x14ac:dyDescent="0.2">
      <c r="A2114" s="3" t="str">
        <f>"ENSG00000112246.9"</f>
        <v>ENSG00000112246.9</v>
      </c>
      <c r="B2114" s="3">
        <v>4.2939624891008599</v>
      </c>
      <c r="C2114" s="3">
        <v>5.4978614945687996</v>
      </c>
      <c r="D2114" s="3">
        <v>2.1119244238519399</v>
      </c>
      <c r="E2114" s="3">
        <v>2.6032472717661199</v>
      </c>
      <c r="F2114" s="3">
        <v>9.2345323669644607E-3</v>
      </c>
      <c r="G2114" s="3">
        <v>2.9695893237658502E-2</v>
      </c>
      <c r="H2114" s="3" t="str">
        <f>"SIM1"</f>
        <v>SIM1</v>
      </c>
      <c r="I2114" s="3" t="str">
        <f t="shared" si="104"/>
        <v>protein_coding</v>
      </c>
    </row>
    <row r="2115" spans="1:9" x14ac:dyDescent="0.2">
      <c r="A2115" s="3" t="str">
        <f>"ENSG00000260000.2"</f>
        <v>ENSG00000260000.2</v>
      </c>
      <c r="B2115" s="3">
        <v>71.781157504672905</v>
      </c>
      <c r="C2115" s="3">
        <v>2.8911997071937701</v>
      </c>
      <c r="D2115" s="3">
        <v>0.48238951102319699</v>
      </c>
      <c r="E2115" s="3">
        <v>5.9934962123476598</v>
      </c>
      <c r="F2115" s="4">
        <v>2.0537695072357102E-9</v>
      </c>
      <c r="G2115" s="4">
        <v>2.6672572813942499E-8</v>
      </c>
      <c r="H2115" s="3" t="str">
        <f>"AL133338.1"</f>
        <v>AL133338.1</v>
      </c>
      <c r="I2115" s="3" t="str">
        <f>"antisense"</f>
        <v>antisense</v>
      </c>
    </row>
    <row r="2116" spans="1:9" x14ac:dyDescent="0.2">
      <c r="A2116" s="3" t="str">
        <f>"ENSG00000164418.20"</f>
        <v>ENSG00000164418.20</v>
      </c>
      <c r="B2116" s="3">
        <v>9.7931356058679295</v>
      </c>
      <c r="C2116" s="3">
        <v>4.1759496989584397</v>
      </c>
      <c r="D2116" s="3">
        <v>1.44189929839652</v>
      </c>
      <c r="E2116" s="3">
        <v>2.8961451771301601</v>
      </c>
      <c r="F2116" s="3">
        <v>3.77777587344451E-3</v>
      </c>
      <c r="G2116" s="3">
        <v>1.3972181243890699E-2</v>
      </c>
      <c r="H2116" s="3" t="str">
        <f>"GRIK2"</f>
        <v>GRIK2</v>
      </c>
      <c r="I2116" s="3" t="str">
        <f t="shared" ref="I2116:I2124" si="105">"protein_coding"</f>
        <v>protein_coding</v>
      </c>
    </row>
    <row r="2117" spans="1:9" x14ac:dyDescent="0.2">
      <c r="A2117" s="3" t="str">
        <f>"ENSG00000187772.8"</f>
        <v>ENSG00000187772.8</v>
      </c>
      <c r="B2117" s="3">
        <v>1932.7864190804</v>
      </c>
      <c r="C2117" s="3">
        <v>-2.2131622266925199</v>
      </c>
      <c r="D2117" s="3">
        <v>0.19286970177598201</v>
      </c>
      <c r="E2117" s="3">
        <v>-11.474908740529401</v>
      </c>
      <c r="F2117" s="4">
        <v>1.7636364750223001E-30</v>
      </c>
      <c r="G2117" s="4">
        <v>1.43017270937299E-28</v>
      </c>
      <c r="H2117" s="3" t="str">
        <f>"LIN28B"</f>
        <v>LIN28B</v>
      </c>
      <c r="I2117" s="3" t="str">
        <f t="shared" si="105"/>
        <v>protein_coding</v>
      </c>
    </row>
    <row r="2118" spans="1:9" x14ac:dyDescent="0.2">
      <c r="A2118" s="3" t="str">
        <f>"ENSG00000057657.17"</f>
        <v>ENSG00000057657.17</v>
      </c>
      <c r="B2118" s="3">
        <v>14.2709586114503</v>
      </c>
      <c r="C2118" s="3">
        <v>7.2271401416654699</v>
      </c>
      <c r="D2118" s="3">
        <v>1.7065455510626799</v>
      </c>
      <c r="E2118" s="3">
        <v>4.2349529651670101</v>
      </c>
      <c r="F2118" s="4">
        <v>2.2859954886876498E-5</v>
      </c>
      <c r="G2118" s="3">
        <v>1.5026904482574801E-4</v>
      </c>
      <c r="H2118" s="3" t="str">
        <f>"PRDM1"</f>
        <v>PRDM1</v>
      </c>
      <c r="I2118" s="3" t="str">
        <f t="shared" si="105"/>
        <v>protein_coding</v>
      </c>
    </row>
    <row r="2119" spans="1:9" x14ac:dyDescent="0.2">
      <c r="A2119" s="3" t="str">
        <f>"ENSG00000272398.6"</f>
        <v>ENSG00000272398.6</v>
      </c>
      <c r="B2119" s="3">
        <v>6323.5780328651599</v>
      </c>
      <c r="C2119" s="3">
        <v>-1.13057454531834</v>
      </c>
      <c r="D2119" s="3">
        <v>0.173016927309463</v>
      </c>
      <c r="E2119" s="3">
        <v>-6.5344736084473398</v>
      </c>
      <c r="F2119" s="4">
        <v>6.3833649247158395E-11</v>
      </c>
      <c r="G2119" s="4">
        <v>1.0255161798569101E-9</v>
      </c>
      <c r="H2119" s="3" t="str">
        <f>"CD24"</f>
        <v>CD24</v>
      </c>
      <c r="I2119" s="3" t="str">
        <f t="shared" si="105"/>
        <v>protein_coding</v>
      </c>
    </row>
    <row r="2120" spans="1:9" x14ac:dyDescent="0.2">
      <c r="A2120" s="3" t="str">
        <f>"ENSG00000130349.10"</f>
        <v>ENSG00000130349.10</v>
      </c>
      <c r="B2120" s="3">
        <v>227.11246433415701</v>
      </c>
      <c r="C2120" s="3">
        <v>1.1824653511376499</v>
      </c>
      <c r="D2120" s="3">
        <v>0.31255599968509801</v>
      </c>
      <c r="E2120" s="3">
        <v>3.78321117601002</v>
      </c>
      <c r="F2120" s="3">
        <v>1.5481795323779701E-4</v>
      </c>
      <c r="G2120" s="3">
        <v>8.48757499370273E-4</v>
      </c>
      <c r="H2120" s="3" t="str">
        <f>"C6orf203"</f>
        <v>C6orf203</v>
      </c>
      <c r="I2120" s="3" t="str">
        <f t="shared" si="105"/>
        <v>protein_coding</v>
      </c>
    </row>
    <row r="2121" spans="1:9" x14ac:dyDescent="0.2">
      <c r="A2121" s="3" t="str">
        <f>"ENSG00000178409.13"</f>
        <v>ENSG00000178409.13</v>
      </c>
      <c r="B2121" s="3">
        <v>821.05959499869095</v>
      </c>
      <c r="C2121" s="3">
        <v>-2.1751001361718001</v>
      </c>
      <c r="D2121" s="3">
        <v>0.20783227823960801</v>
      </c>
      <c r="E2121" s="3">
        <v>-10.465651219317101</v>
      </c>
      <c r="F2121" s="4">
        <v>1.2421941678798601E-25</v>
      </c>
      <c r="G2121" s="4">
        <v>7.3259879853295597E-24</v>
      </c>
      <c r="H2121" s="3" t="str">
        <f>"BEND3"</f>
        <v>BEND3</v>
      </c>
      <c r="I2121" s="3" t="str">
        <f t="shared" si="105"/>
        <v>protein_coding</v>
      </c>
    </row>
    <row r="2122" spans="1:9" x14ac:dyDescent="0.2">
      <c r="A2122" s="3" t="str">
        <f>"ENSG00000112320.12"</f>
        <v>ENSG00000112320.12</v>
      </c>
      <c r="B2122" s="3">
        <v>1485.1617864898601</v>
      </c>
      <c r="C2122" s="3">
        <v>-1.8825541349052599</v>
      </c>
      <c r="D2122" s="3">
        <v>0.19326116803326601</v>
      </c>
      <c r="E2122" s="3">
        <v>-9.7409849793582008</v>
      </c>
      <c r="F2122" s="4">
        <v>2.0159078124610799E-22</v>
      </c>
      <c r="G2122" s="4">
        <v>9.3414013887970903E-21</v>
      </c>
      <c r="H2122" s="3" t="str">
        <f>"SOBP"</f>
        <v>SOBP</v>
      </c>
      <c r="I2122" s="3" t="str">
        <f t="shared" si="105"/>
        <v>protein_coding</v>
      </c>
    </row>
    <row r="2123" spans="1:9" x14ac:dyDescent="0.2">
      <c r="A2123" s="3" t="str">
        <f>"ENSG00000081087.15"</f>
        <v>ENSG00000081087.15</v>
      </c>
      <c r="B2123" s="3">
        <v>1198.5489305521401</v>
      </c>
      <c r="C2123" s="3">
        <v>1.22650843136425</v>
      </c>
      <c r="D2123" s="3">
        <v>0.20293666590596399</v>
      </c>
      <c r="E2123" s="3">
        <v>6.0437990635590104</v>
      </c>
      <c r="F2123" s="4">
        <v>1.5052696160425201E-9</v>
      </c>
      <c r="G2123" s="4">
        <v>1.99484830876997E-8</v>
      </c>
      <c r="H2123" s="3" t="str">
        <f>"OSTM1"</f>
        <v>OSTM1</v>
      </c>
      <c r="I2123" s="3" t="str">
        <f t="shared" si="105"/>
        <v>protein_coding</v>
      </c>
    </row>
    <row r="2124" spans="1:9" x14ac:dyDescent="0.2">
      <c r="A2124" s="3" t="str">
        <f>"ENSG00000080546.13"</f>
        <v>ENSG00000080546.13</v>
      </c>
      <c r="B2124" s="3">
        <v>3243.3559994370798</v>
      </c>
      <c r="C2124" s="3">
        <v>2.3603901169688601</v>
      </c>
      <c r="D2124" s="3">
        <v>0.186550538382487</v>
      </c>
      <c r="E2124" s="3">
        <v>12.652818573642101</v>
      </c>
      <c r="F2124" s="4">
        <v>1.0793201904277201E-36</v>
      </c>
      <c r="G2124" s="4">
        <v>1.2567622747258099E-34</v>
      </c>
      <c r="H2124" s="3" t="str">
        <f>"SESN1"</f>
        <v>SESN1</v>
      </c>
      <c r="I2124" s="3" t="str">
        <f t="shared" si="105"/>
        <v>protein_coding</v>
      </c>
    </row>
    <row r="2125" spans="1:9" x14ac:dyDescent="0.2">
      <c r="A2125" s="3" t="str">
        <f>"ENSG00000203799.13"</f>
        <v>ENSG00000203799.13</v>
      </c>
      <c r="B2125" s="3">
        <v>779.37876150326099</v>
      </c>
      <c r="C2125" s="3">
        <v>1.87013342398361</v>
      </c>
      <c r="D2125" s="3">
        <v>0.20906560255482201</v>
      </c>
      <c r="E2125" s="3">
        <v>8.9451990242786206</v>
      </c>
      <c r="F2125" s="4">
        <v>3.7128009704900301E-19</v>
      </c>
      <c r="G2125" s="4">
        <v>1.31893987018177E-17</v>
      </c>
      <c r="H2125" s="3" t="str">
        <f>"CCDC162P"</f>
        <v>CCDC162P</v>
      </c>
      <c r="I2125" s="3" t="str">
        <f>"transcribed_unitary_pseudogene"</f>
        <v>transcribed_unitary_pseudogene</v>
      </c>
    </row>
    <row r="2126" spans="1:9" x14ac:dyDescent="0.2">
      <c r="A2126" s="3" t="str">
        <f>"ENSG00000135587.9"</f>
        <v>ENSG00000135587.9</v>
      </c>
      <c r="B2126" s="3">
        <v>202.35622708646099</v>
      </c>
      <c r="C2126" s="3">
        <v>-1.0912130251313099</v>
      </c>
      <c r="D2126" s="3">
        <v>0.33669617624140702</v>
      </c>
      <c r="E2126" s="3">
        <v>-3.2409427315530901</v>
      </c>
      <c r="F2126" s="3">
        <v>1.19135115045357E-3</v>
      </c>
      <c r="G2126" s="3">
        <v>5.14082888734758E-3</v>
      </c>
      <c r="H2126" s="3" t="str">
        <f>"SMPD2"</f>
        <v>SMPD2</v>
      </c>
      <c r="I2126" s="3" t="str">
        <f>"protein_coding"</f>
        <v>protein_coding</v>
      </c>
    </row>
    <row r="2127" spans="1:9" x14ac:dyDescent="0.2">
      <c r="A2127" s="3" t="str">
        <f>"ENSG00000004809.14"</f>
        <v>ENSG00000004809.14</v>
      </c>
      <c r="B2127" s="3">
        <v>12.368542419262401</v>
      </c>
      <c r="C2127" s="3">
        <v>7.0245543069096996</v>
      </c>
      <c r="D2127" s="3">
        <v>1.7070511152450301</v>
      </c>
      <c r="E2127" s="3">
        <v>4.1150228274807104</v>
      </c>
      <c r="F2127" s="4">
        <v>3.87141099225623E-5</v>
      </c>
      <c r="G2127" s="3">
        <v>2.4221431757980599E-4</v>
      </c>
      <c r="H2127" s="3" t="str">
        <f>"SLC22A16"</f>
        <v>SLC22A16</v>
      </c>
      <c r="I2127" s="3" t="str">
        <f>"protein_coding"</f>
        <v>protein_coding</v>
      </c>
    </row>
    <row r="2128" spans="1:9" x14ac:dyDescent="0.2">
      <c r="A2128" s="3" t="str">
        <f>"ENSG00000112394.17"</f>
        <v>ENSG00000112394.17</v>
      </c>
      <c r="B2128" s="3">
        <v>1214.3013741181401</v>
      </c>
      <c r="C2128" s="3">
        <v>1.0627737306235601</v>
      </c>
      <c r="D2128" s="3">
        <v>0.20212767047899399</v>
      </c>
      <c r="E2128" s="3">
        <v>5.2579329099526397</v>
      </c>
      <c r="F2128" s="4">
        <v>1.4568364492636301E-7</v>
      </c>
      <c r="G2128" s="4">
        <v>1.4371623002565599E-6</v>
      </c>
      <c r="H2128" s="3" t="str">
        <f>"SLC16A10"</f>
        <v>SLC16A10</v>
      </c>
      <c r="I2128" s="3" t="str">
        <f>"protein_coding"</f>
        <v>protein_coding</v>
      </c>
    </row>
    <row r="2129" spans="1:9" x14ac:dyDescent="0.2">
      <c r="A2129" s="3" t="str">
        <f>"ENSG00000220392.1"</f>
        <v>ENSG00000220392.1</v>
      </c>
      <c r="B2129" s="3">
        <v>7.1535983581285398</v>
      </c>
      <c r="C2129" s="3">
        <v>6.2302369450376496</v>
      </c>
      <c r="D2129" s="3">
        <v>1.90788423932246</v>
      </c>
      <c r="E2129" s="3">
        <v>3.2655214696098001</v>
      </c>
      <c r="F2129" s="3">
        <v>1.0926272222848499E-3</v>
      </c>
      <c r="G2129" s="3">
        <v>4.7610449265304998E-3</v>
      </c>
      <c r="H2129" s="3" t="str">
        <f>"FCF1P5"</f>
        <v>FCF1P5</v>
      </c>
      <c r="I2129" s="3" t="str">
        <f>"processed_pseudogene"</f>
        <v>processed_pseudogene</v>
      </c>
    </row>
    <row r="2130" spans="1:9" x14ac:dyDescent="0.2">
      <c r="A2130" s="3" t="str">
        <f>"ENSG00000074935.14"</f>
        <v>ENSG00000074935.14</v>
      </c>
      <c r="B2130" s="3">
        <v>570.44343874587798</v>
      </c>
      <c r="C2130" s="3">
        <v>-1.37132678825499</v>
      </c>
      <c r="D2130" s="3">
        <v>0.224220698939951</v>
      </c>
      <c r="E2130" s="3">
        <v>-6.1159687519404597</v>
      </c>
      <c r="F2130" s="4">
        <v>9.5972131483639302E-10</v>
      </c>
      <c r="G2130" s="4">
        <v>1.31096241918883E-8</v>
      </c>
      <c r="H2130" s="3" t="str">
        <f>"TUBE1"</f>
        <v>TUBE1</v>
      </c>
      <c r="I2130" s="3" t="str">
        <f>"protein_coding"</f>
        <v>protein_coding</v>
      </c>
    </row>
    <row r="2131" spans="1:9" x14ac:dyDescent="0.2">
      <c r="A2131" s="3" t="str">
        <f>"ENSG00000112769.19"</f>
        <v>ENSG00000112769.19</v>
      </c>
      <c r="B2131" s="3">
        <v>15.231227447573</v>
      </c>
      <c r="C2131" s="3">
        <v>4.8306055607815299</v>
      </c>
      <c r="D2131" s="3">
        <v>1.3045619248799101</v>
      </c>
      <c r="E2131" s="3">
        <v>3.7028564674890401</v>
      </c>
      <c r="F2131" s="3">
        <v>2.1318550713673301E-4</v>
      </c>
      <c r="G2131" s="3">
        <v>1.1289923251612401E-3</v>
      </c>
      <c r="H2131" s="3" t="str">
        <f>"LAMA4"</f>
        <v>LAMA4</v>
      </c>
      <c r="I2131" s="3" t="str">
        <f>"protein_coding"</f>
        <v>protein_coding</v>
      </c>
    </row>
    <row r="2132" spans="1:9" x14ac:dyDescent="0.2">
      <c r="A2132" s="3" t="str">
        <f>"ENSG00000230943.2"</f>
        <v>ENSG00000230943.2</v>
      </c>
      <c r="B2132" s="3">
        <v>45.817967819493298</v>
      </c>
      <c r="C2132" s="3">
        <v>5.8640225190565003</v>
      </c>
      <c r="D2132" s="3">
        <v>0.99827947205369705</v>
      </c>
      <c r="E2132" s="3">
        <v>5.8741291223717402</v>
      </c>
      <c r="F2132" s="4">
        <v>4.2507196779951497E-9</v>
      </c>
      <c r="G2132" s="4">
        <v>5.32258083944549E-8</v>
      </c>
      <c r="H2132" s="3" t="str">
        <f>"LINC02541"</f>
        <v>LINC02541</v>
      </c>
      <c r="I2132" s="3" t="str">
        <f>"lincRNA"</f>
        <v>lincRNA</v>
      </c>
    </row>
    <row r="2133" spans="1:9" x14ac:dyDescent="0.2">
      <c r="A2133" s="3" t="str">
        <f>"ENSG00000228624.7"</f>
        <v>ENSG00000228624.7</v>
      </c>
      <c r="B2133" s="3">
        <v>90.929204519272403</v>
      </c>
      <c r="C2133" s="3">
        <v>1.32288438084497</v>
      </c>
      <c r="D2133" s="3">
        <v>0.42435397079798098</v>
      </c>
      <c r="E2133" s="3">
        <v>3.1174078054633001</v>
      </c>
      <c r="F2133" s="3">
        <v>1.8244900199824599E-3</v>
      </c>
      <c r="G2133" s="3">
        <v>7.4497047166884496E-3</v>
      </c>
      <c r="H2133" s="3" t="str">
        <f>"HDAC2-AS2"</f>
        <v>HDAC2-AS2</v>
      </c>
      <c r="I2133" s="3" t="str">
        <f>"antisense"</f>
        <v>antisense</v>
      </c>
    </row>
    <row r="2134" spans="1:9" x14ac:dyDescent="0.2">
      <c r="A2134" s="3" t="str">
        <f>"ENSG00000123500.10"</f>
        <v>ENSG00000123500.10</v>
      </c>
      <c r="B2134" s="3">
        <v>29.918839954134899</v>
      </c>
      <c r="C2134" s="3">
        <v>5.8327650810206002</v>
      </c>
      <c r="D2134" s="3">
        <v>1.1800177987237599</v>
      </c>
      <c r="E2134" s="3">
        <v>4.9429466973540599</v>
      </c>
      <c r="F2134" s="4">
        <v>7.6950528122353495E-7</v>
      </c>
      <c r="G2134" s="4">
        <v>6.71579448990956E-6</v>
      </c>
      <c r="H2134" s="3" t="str">
        <f>"COL10A1"</f>
        <v>COL10A1</v>
      </c>
      <c r="I2134" s="3" t="str">
        <f>"protein_coding"</f>
        <v>protein_coding</v>
      </c>
    </row>
    <row r="2135" spans="1:9" x14ac:dyDescent="0.2">
      <c r="A2135" s="3" t="str">
        <f>"ENSG00000185002.10"</f>
        <v>ENSG00000185002.10</v>
      </c>
      <c r="B2135" s="3">
        <v>7.7003436195650901</v>
      </c>
      <c r="C2135" s="3">
        <v>4.8471806779224904</v>
      </c>
      <c r="D2135" s="3">
        <v>1.86974743243432</v>
      </c>
      <c r="E2135" s="3">
        <v>2.5924253692444998</v>
      </c>
      <c r="F2135" s="3">
        <v>9.5301856113853695E-3</v>
      </c>
      <c r="G2135" s="3">
        <v>3.0501420188744199E-2</v>
      </c>
      <c r="H2135" s="3" t="str">
        <f>"RFX6"</f>
        <v>RFX6</v>
      </c>
      <c r="I2135" s="3" t="str">
        <f>"protein_coding"</f>
        <v>protein_coding</v>
      </c>
    </row>
    <row r="2136" spans="1:9" x14ac:dyDescent="0.2">
      <c r="A2136" s="3" t="str">
        <f>"ENSG00000047936.10"</f>
        <v>ENSG00000047936.10</v>
      </c>
      <c r="B2136" s="3">
        <v>20.747807079637401</v>
      </c>
      <c r="C2136" s="3">
        <v>5.2866927581719798</v>
      </c>
      <c r="D2136" s="3">
        <v>1.2419854312527101</v>
      </c>
      <c r="E2136" s="3">
        <v>4.2566463544098401</v>
      </c>
      <c r="F2136" s="4">
        <v>2.0751621100005101E-5</v>
      </c>
      <c r="G2136" s="3">
        <v>1.37504722789844E-4</v>
      </c>
      <c r="H2136" s="3" t="str">
        <f>"ROS1"</f>
        <v>ROS1</v>
      </c>
      <c r="I2136" s="3" t="str">
        <f>"protein_coding"</f>
        <v>protein_coding</v>
      </c>
    </row>
    <row r="2137" spans="1:9" x14ac:dyDescent="0.2">
      <c r="A2137" s="3" t="str">
        <f>"ENSG00000196376.11"</f>
        <v>ENSG00000196376.11</v>
      </c>
      <c r="B2137" s="3">
        <v>11.5260920064987</v>
      </c>
      <c r="C2137" s="3">
        <v>4.4131095401039504</v>
      </c>
      <c r="D2137" s="3">
        <v>1.3694190581519901</v>
      </c>
      <c r="E2137" s="3">
        <v>3.2226143734697099</v>
      </c>
      <c r="F2137" s="3">
        <v>1.2702644116852899E-3</v>
      </c>
      <c r="G2137" s="3">
        <v>5.4334214168271899E-3</v>
      </c>
      <c r="H2137" s="3" t="str">
        <f>"SLC35F1"</f>
        <v>SLC35F1</v>
      </c>
      <c r="I2137" s="3" t="str">
        <f>"protein_coding"</f>
        <v>protein_coding</v>
      </c>
    </row>
    <row r="2138" spans="1:9" x14ac:dyDescent="0.2">
      <c r="A2138" s="3" t="str">
        <f>"ENSG00000111860.14"</f>
        <v>ENSG00000111860.14</v>
      </c>
      <c r="B2138" s="3">
        <v>855.09627618248601</v>
      </c>
      <c r="C2138" s="3">
        <v>2.80648411471606</v>
      </c>
      <c r="D2138" s="3">
        <v>0.23851112238599101</v>
      </c>
      <c r="E2138" s="3">
        <v>11.7666802564211</v>
      </c>
      <c r="F2138" s="4">
        <v>5.7960756786134299E-32</v>
      </c>
      <c r="G2138" s="4">
        <v>5.0943765811348403E-30</v>
      </c>
      <c r="H2138" s="3" t="str">
        <f>"CEP85L"</f>
        <v>CEP85L</v>
      </c>
      <c r="I2138" s="3" t="str">
        <f>"protein_coding"</f>
        <v>protein_coding</v>
      </c>
    </row>
    <row r="2139" spans="1:9" x14ac:dyDescent="0.2">
      <c r="A2139" s="3" t="str">
        <f>"ENSG00000217330.1"</f>
        <v>ENSG00000217330.1</v>
      </c>
      <c r="B2139" s="3">
        <v>19.485902672584199</v>
      </c>
      <c r="C2139" s="3">
        <v>7.6788919760520802</v>
      </c>
      <c r="D2139" s="3">
        <v>1.6227155167462901</v>
      </c>
      <c r="E2139" s="3">
        <v>4.7321245756305004</v>
      </c>
      <c r="F2139" s="4">
        <v>2.2218197931646702E-6</v>
      </c>
      <c r="G2139" s="4">
        <v>1.7910628374070299E-5</v>
      </c>
      <c r="H2139" s="3" t="str">
        <f>"SSXP10"</f>
        <v>SSXP10</v>
      </c>
      <c r="I2139" s="3" t="str">
        <f>"processed_pseudogene"</f>
        <v>processed_pseudogene</v>
      </c>
    </row>
    <row r="2140" spans="1:9" x14ac:dyDescent="0.2">
      <c r="A2140" s="3" t="str">
        <f>"ENSG00000111879.19"</f>
        <v>ENSG00000111879.19</v>
      </c>
      <c r="B2140" s="3">
        <v>477.30062255454499</v>
      </c>
      <c r="C2140" s="3">
        <v>1.0447725799515499</v>
      </c>
      <c r="D2140" s="3">
        <v>0.22698529502605699</v>
      </c>
      <c r="E2140" s="3">
        <v>4.6028205476112998</v>
      </c>
      <c r="F2140" s="4">
        <v>4.1680734751979003E-6</v>
      </c>
      <c r="G2140" s="4">
        <v>3.1990844501047099E-5</v>
      </c>
      <c r="H2140" s="3" t="str">
        <f>"FAM184A"</f>
        <v>FAM184A</v>
      </c>
      <c r="I2140" s="3" t="str">
        <f>"protein_coding"</f>
        <v>protein_coding</v>
      </c>
    </row>
    <row r="2141" spans="1:9" x14ac:dyDescent="0.2">
      <c r="A2141" s="3" t="str">
        <f>"ENSG00000279114.1"</f>
        <v>ENSG00000279114.1</v>
      </c>
      <c r="B2141" s="3">
        <v>12.1758324306247</v>
      </c>
      <c r="C2141" s="3">
        <v>3.8902401346847002</v>
      </c>
      <c r="D2141" s="3">
        <v>1.25145979917473</v>
      </c>
      <c r="E2141" s="3">
        <v>3.1085618069794201</v>
      </c>
      <c r="F2141" s="3">
        <v>1.8800031887703001E-3</v>
      </c>
      <c r="G2141" s="3">
        <v>7.6385992968124698E-3</v>
      </c>
      <c r="H2141" s="3" t="str">
        <f>"Z99129.3"</f>
        <v>Z99129.3</v>
      </c>
      <c r="I2141" s="3" t="str">
        <f>"TEC"</f>
        <v>TEC</v>
      </c>
    </row>
    <row r="2142" spans="1:9" x14ac:dyDescent="0.2">
      <c r="A2142" s="3" t="str">
        <f>"ENSG00000172594.13"</f>
        <v>ENSG00000172594.13</v>
      </c>
      <c r="B2142" s="3">
        <v>85.463592834527802</v>
      </c>
      <c r="C2142" s="3">
        <v>1.2319742241180101</v>
      </c>
      <c r="D2142" s="3">
        <v>0.40515200989814798</v>
      </c>
      <c r="E2142" s="3">
        <v>3.0407703627774501</v>
      </c>
      <c r="F2142" s="3">
        <v>2.35973728479135E-3</v>
      </c>
      <c r="G2142" s="3">
        <v>9.2872687850223904E-3</v>
      </c>
      <c r="H2142" s="3" t="str">
        <f>"SMPDL3A"</f>
        <v>SMPDL3A</v>
      </c>
      <c r="I2142" s="3" t="str">
        <f>"protein_coding"</f>
        <v>protein_coding</v>
      </c>
    </row>
    <row r="2143" spans="1:9" x14ac:dyDescent="0.2">
      <c r="A2143" s="3" t="str">
        <f>"ENSG00000186439.13"</f>
        <v>ENSG00000186439.13</v>
      </c>
      <c r="B2143" s="3">
        <v>8.6604011878152107</v>
      </c>
      <c r="C2143" s="3">
        <v>6.5089015725930004</v>
      </c>
      <c r="D2143" s="3">
        <v>1.81074130854136</v>
      </c>
      <c r="E2143" s="3">
        <v>3.5946060002553599</v>
      </c>
      <c r="F2143" s="3">
        <v>3.2488285476885902E-4</v>
      </c>
      <c r="G2143" s="3">
        <v>1.6356399009399699E-3</v>
      </c>
      <c r="H2143" s="3" t="str">
        <f>"TRDN"</f>
        <v>TRDN</v>
      </c>
      <c r="I2143" s="3" t="str">
        <f>"protein_coding"</f>
        <v>protein_coding</v>
      </c>
    </row>
    <row r="2144" spans="1:9" x14ac:dyDescent="0.2">
      <c r="A2144" s="3" t="str">
        <f>"ENSG00000188580.14"</f>
        <v>ENSG00000188580.14</v>
      </c>
      <c r="B2144" s="3">
        <v>8.9085600376041896</v>
      </c>
      <c r="C2144" s="3">
        <v>3.4044516425918898</v>
      </c>
      <c r="D2144" s="3">
        <v>1.3721314555953299</v>
      </c>
      <c r="E2144" s="3">
        <v>2.4811410223919101</v>
      </c>
      <c r="F2144" s="3">
        <v>1.30962548891963E-2</v>
      </c>
      <c r="G2144" s="3">
        <v>3.9874137553461898E-2</v>
      </c>
      <c r="H2144" s="3" t="str">
        <f>"NKAIN2"</f>
        <v>NKAIN2</v>
      </c>
      <c r="I2144" s="3" t="str">
        <f>"protein_coding"</f>
        <v>protein_coding</v>
      </c>
    </row>
    <row r="2145" spans="1:9" x14ac:dyDescent="0.2">
      <c r="A2145" s="3" t="str">
        <f>"ENSG00000146373.16"</f>
        <v>ENSG00000146373.16</v>
      </c>
      <c r="B2145" s="3">
        <v>338.11531452289802</v>
      </c>
      <c r="C2145" s="3">
        <v>-1.3696068754068</v>
      </c>
      <c r="D2145" s="3">
        <v>0.24778500715778801</v>
      </c>
      <c r="E2145" s="3">
        <v>-5.5274001083311903</v>
      </c>
      <c r="F2145" s="4">
        <v>3.2501116880444703E-8</v>
      </c>
      <c r="G2145" s="4">
        <v>3.5896146398114102E-7</v>
      </c>
      <c r="H2145" s="3" t="str">
        <f>"RNF217"</f>
        <v>RNF217</v>
      </c>
      <c r="I2145" s="3" t="str">
        <f>"protein_coding"</f>
        <v>protein_coding</v>
      </c>
    </row>
    <row r="2146" spans="1:9" x14ac:dyDescent="0.2">
      <c r="A2146" s="3" t="str">
        <f>"ENSG00000111912.20"</f>
        <v>ENSG00000111912.20</v>
      </c>
      <c r="B2146" s="3">
        <v>662.81972706629904</v>
      </c>
      <c r="C2146" s="3">
        <v>-2.1442392645381498</v>
      </c>
      <c r="D2146" s="3">
        <v>0.226869968475889</v>
      </c>
      <c r="E2146" s="3">
        <v>-9.4514019592065406</v>
      </c>
      <c r="F2146" s="4">
        <v>3.3432242851127501E-21</v>
      </c>
      <c r="G2146" s="4">
        <v>1.4345327889207401E-19</v>
      </c>
      <c r="H2146" s="3" t="str">
        <f>"NCOA7"</f>
        <v>NCOA7</v>
      </c>
      <c r="I2146" s="3" t="str">
        <f>"protein_coding"</f>
        <v>protein_coding</v>
      </c>
    </row>
    <row r="2147" spans="1:9" x14ac:dyDescent="0.2">
      <c r="A2147" s="3" t="str">
        <f>"ENSG00000286215.1"</f>
        <v>ENSG00000286215.1</v>
      </c>
      <c r="B2147" s="3">
        <v>29.121948599666801</v>
      </c>
      <c r="C2147" s="3">
        <v>2.3937079177088099</v>
      </c>
      <c r="D2147" s="3">
        <v>0.69741241946158905</v>
      </c>
      <c r="E2147" s="3">
        <v>3.4322702763979702</v>
      </c>
      <c r="F2147" s="3">
        <v>5.9855072771637196E-4</v>
      </c>
      <c r="G2147" s="3">
        <v>2.8084573235901502E-3</v>
      </c>
      <c r="H2147" s="3" t="str">
        <f>"AL356534.1"</f>
        <v>AL356534.1</v>
      </c>
      <c r="I2147" s="3" t="str">
        <f>"transcribed_processed_pseudogene"</f>
        <v>transcribed_processed_pseudogene</v>
      </c>
    </row>
    <row r="2148" spans="1:9" x14ac:dyDescent="0.2">
      <c r="A2148" s="3" t="str">
        <f>"ENSG00000203760.8"</f>
        <v>ENSG00000203760.8</v>
      </c>
      <c r="B2148" s="3">
        <v>1375.4243193417899</v>
      </c>
      <c r="C2148" s="3">
        <v>1.2679032423171701</v>
      </c>
      <c r="D2148" s="3">
        <v>0.19271341221081401</v>
      </c>
      <c r="E2148" s="3">
        <v>6.5792164010369296</v>
      </c>
      <c r="F2148" s="4">
        <v>4.7293403449649299E-11</v>
      </c>
      <c r="G2148" s="4">
        <v>7.6839795097948402E-10</v>
      </c>
      <c r="H2148" s="3" t="str">
        <f>"CENPW"</f>
        <v>CENPW</v>
      </c>
      <c r="I2148" s="3" t="str">
        <f t="shared" ref="I2148:I2157" si="106">"protein_coding"</f>
        <v>protein_coding</v>
      </c>
    </row>
    <row r="2149" spans="1:9" x14ac:dyDescent="0.2">
      <c r="A2149" s="3" t="str">
        <f>"ENSG00000172673.10"</f>
        <v>ENSG00000172673.10</v>
      </c>
      <c r="B2149" s="3">
        <v>10.1338471730155</v>
      </c>
      <c r="C2149" s="3">
        <v>5.2523962769703196</v>
      </c>
      <c r="D2149" s="3">
        <v>1.746485165063</v>
      </c>
      <c r="E2149" s="3">
        <v>3.0074096144875302</v>
      </c>
      <c r="F2149" s="3">
        <v>2.63484465628319E-3</v>
      </c>
      <c r="G2149" s="3">
        <v>1.02238126388134E-2</v>
      </c>
      <c r="H2149" s="3" t="str">
        <f>"THEMIS"</f>
        <v>THEMIS</v>
      </c>
      <c r="I2149" s="3" t="str">
        <f t="shared" si="106"/>
        <v>protein_coding</v>
      </c>
    </row>
    <row r="2150" spans="1:9" x14ac:dyDescent="0.2">
      <c r="A2150" s="3" t="str">
        <f>"ENSG00000152894.14"</f>
        <v>ENSG00000152894.14</v>
      </c>
      <c r="B2150" s="3">
        <v>7700.4490045195998</v>
      </c>
      <c r="C2150" s="3">
        <v>-1.61455754486786</v>
      </c>
      <c r="D2150" s="3">
        <v>0.170460771123744</v>
      </c>
      <c r="E2150" s="3">
        <v>-9.4717249853093293</v>
      </c>
      <c r="F2150" s="4">
        <v>2.7525992458987502E-21</v>
      </c>
      <c r="G2150" s="4">
        <v>1.1885906759588499E-19</v>
      </c>
      <c r="H2150" s="3" t="str">
        <f>"PTPRK"</f>
        <v>PTPRK</v>
      </c>
      <c r="I2150" s="3" t="str">
        <f t="shared" si="106"/>
        <v>protein_coding</v>
      </c>
    </row>
    <row r="2151" spans="1:9" x14ac:dyDescent="0.2">
      <c r="A2151" s="3" t="str">
        <f>"ENSG00000196569.12"</f>
        <v>ENSG00000196569.12</v>
      </c>
      <c r="B2151" s="3">
        <v>70.735495280367303</v>
      </c>
      <c r="C2151" s="3">
        <v>4.7192305825516296</v>
      </c>
      <c r="D2151" s="3">
        <v>0.623090209691466</v>
      </c>
      <c r="E2151" s="3">
        <v>7.5739122668745402</v>
      </c>
      <c r="F2151" s="4">
        <v>3.6214903423566E-14</v>
      </c>
      <c r="G2151" s="4">
        <v>8.3693594027303005E-13</v>
      </c>
      <c r="H2151" s="3" t="str">
        <f>"LAMA2"</f>
        <v>LAMA2</v>
      </c>
      <c r="I2151" s="3" t="str">
        <f t="shared" si="106"/>
        <v>protein_coding</v>
      </c>
    </row>
    <row r="2152" spans="1:9" x14ac:dyDescent="0.2">
      <c r="A2152" s="3" t="str">
        <f>"ENSG00000146376.11"</f>
        <v>ENSG00000146376.11</v>
      </c>
      <c r="B2152" s="3">
        <v>7201.5829626168097</v>
      </c>
      <c r="C2152" s="3">
        <v>-1.3400785647320801</v>
      </c>
      <c r="D2152" s="3">
        <v>0.16938359996873201</v>
      </c>
      <c r="E2152" s="3">
        <v>-7.9115012609216997</v>
      </c>
      <c r="F2152" s="4">
        <v>2.5430336512155601E-15</v>
      </c>
      <c r="G2152" s="4">
        <v>6.5677761037602194E-14</v>
      </c>
      <c r="H2152" s="3" t="str">
        <f>"ARHGAP18"</f>
        <v>ARHGAP18</v>
      </c>
      <c r="I2152" s="3" t="str">
        <f t="shared" si="106"/>
        <v>protein_coding</v>
      </c>
    </row>
    <row r="2153" spans="1:9" x14ac:dyDescent="0.2">
      <c r="A2153" s="3" t="str">
        <f>"ENSG00000164484.11"</f>
        <v>ENSG00000164484.11</v>
      </c>
      <c r="B2153" s="3">
        <v>187.20420777245599</v>
      </c>
      <c r="C2153" s="3">
        <v>-2.27583174278401</v>
      </c>
      <c r="D2153" s="3">
        <v>0.31167412040131698</v>
      </c>
      <c r="E2153" s="3">
        <v>-7.3019593024073002</v>
      </c>
      <c r="F2153" s="4">
        <v>2.8360706357256599E-13</v>
      </c>
      <c r="G2153" s="4">
        <v>6.0135732771686503E-12</v>
      </c>
      <c r="H2153" s="3" t="str">
        <f>"TMEM200A"</f>
        <v>TMEM200A</v>
      </c>
      <c r="I2153" s="3" t="str">
        <f t="shared" si="106"/>
        <v>protein_coding</v>
      </c>
    </row>
    <row r="2154" spans="1:9" x14ac:dyDescent="0.2">
      <c r="A2154" s="3" t="str">
        <f>"ENSG00000256162.2"</f>
        <v>ENSG00000256162.2</v>
      </c>
      <c r="B2154" s="3">
        <v>1012.71801359597</v>
      </c>
      <c r="C2154" s="3">
        <v>-1.1084333845542</v>
      </c>
      <c r="D2154" s="3">
        <v>0.20521014955439801</v>
      </c>
      <c r="E2154" s="3">
        <v>-5.4014549814475696</v>
      </c>
      <c r="F2154" s="4">
        <v>6.6102529475357899E-8</v>
      </c>
      <c r="G2154" s="4">
        <v>6.9272908485195198E-7</v>
      </c>
      <c r="H2154" s="3" t="str">
        <f>"SMLR1"</f>
        <v>SMLR1</v>
      </c>
      <c r="I2154" s="3" t="str">
        <f t="shared" si="106"/>
        <v>protein_coding</v>
      </c>
    </row>
    <row r="2155" spans="1:9" x14ac:dyDescent="0.2">
      <c r="A2155" s="3" t="str">
        <f>"ENSG00000118520.14"</f>
        <v>ENSG00000118520.14</v>
      </c>
      <c r="B2155" s="3">
        <v>22.878266902038899</v>
      </c>
      <c r="C2155" s="3">
        <v>-2.0148516744186602</v>
      </c>
      <c r="D2155" s="3">
        <v>0.73313386785193502</v>
      </c>
      <c r="E2155" s="3">
        <v>-2.7482725362588001</v>
      </c>
      <c r="F2155" s="3">
        <v>5.9910187967864102E-3</v>
      </c>
      <c r="G2155" s="3">
        <v>2.06577181923614E-2</v>
      </c>
      <c r="H2155" s="3" t="str">
        <f>"ARG1"</f>
        <v>ARG1</v>
      </c>
      <c r="I2155" s="3" t="str">
        <f t="shared" si="106"/>
        <v>protein_coding</v>
      </c>
    </row>
    <row r="2156" spans="1:9" x14ac:dyDescent="0.2">
      <c r="A2156" s="3" t="str">
        <f>"ENSG00000154269.15"</f>
        <v>ENSG00000154269.15</v>
      </c>
      <c r="B2156" s="3">
        <v>847.85139518968003</v>
      </c>
      <c r="C2156" s="3">
        <v>-1.49172069738766</v>
      </c>
      <c r="D2156" s="3">
        <v>0.21168297670351899</v>
      </c>
      <c r="E2156" s="3">
        <v>-7.0469563524560197</v>
      </c>
      <c r="F2156" s="4">
        <v>1.8287365031540798E-12</v>
      </c>
      <c r="G2156" s="4">
        <v>3.5065153765967E-11</v>
      </c>
      <c r="H2156" s="3" t="str">
        <f>"ENPP3"</f>
        <v>ENPP3</v>
      </c>
      <c r="I2156" s="3" t="str">
        <f t="shared" si="106"/>
        <v>protein_coding</v>
      </c>
    </row>
    <row r="2157" spans="1:9" x14ac:dyDescent="0.2">
      <c r="A2157" s="3" t="str">
        <f>"ENSG00000197594.13"</f>
        <v>ENSG00000197594.13</v>
      </c>
      <c r="B2157" s="3">
        <v>5486.7683755319704</v>
      </c>
      <c r="C2157" s="3">
        <v>-1.23143543748596</v>
      </c>
      <c r="D2157" s="3">
        <v>0.20486781335726301</v>
      </c>
      <c r="E2157" s="3">
        <v>-6.0108780257174699</v>
      </c>
      <c r="F2157" s="4">
        <v>1.8452120209844799E-9</v>
      </c>
      <c r="G2157" s="4">
        <v>2.40557377683081E-8</v>
      </c>
      <c r="H2157" s="3" t="str">
        <f>"ENPP1"</f>
        <v>ENPP1</v>
      </c>
      <c r="I2157" s="3" t="str">
        <f t="shared" si="106"/>
        <v>protein_coding</v>
      </c>
    </row>
    <row r="2158" spans="1:9" x14ac:dyDescent="0.2">
      <c r="A2158" s="3" t="str">
        <f>"ENSG00000200895.1"</f>
        <v>ENSG00000200895.1</v>
      </c>
      <c r="B2158" s="3">
        <v>55.551591500709101</v>
      </c>
      <c r="C2158" s="3">
        <v>-1.1727327753452801</v>
      </c>
      <c r="D2158" s="3">
        <v>0.47131573167921198</v>
      </c>
      <c r="E2158" s="3">
        <v>-2.48821054872717</v>
      </c>
      <c r="F2158" s="3">
        <v>1.2838769931544199E-2</v>
      </c>
      <c r="G2158" s="3">
        <v>3.9217260574527402E-2</v>
      </c>
      <c r="H2158" s="3" t="str">
        <f>"RN7SKP245"</f>
        <v>RN7SKP245</v>
      </c>
      <c r="I2158" s="3" t="str">
        <f>"misc_RNA"</f>
        <v>misc_RNA</v>
      </c>
    </row>
    <row r="2159" spans="1:9" x14ac:dyDescent="0.2">
      <c r="A2159" s="3" t="str">
        <f>"ENSG00000112299.8"</f>
        <v>ENSG00000112299.8</v>
      </c>
      <c r="B2159" s="3">
        <v>13.5711697923008</v>
      </c>
      <c r="C2159" s="3">
        <v>2.4851791630506299</v>
      </c>
      <c r="D2159" s="3">
        <v>1.0030292299152299</v>
      </c>
      <c r="E2159" s="3">
        <v>2.4776737196987302</v>
      </c>
      <c r="F2159" s="3">
        <v>1.32242014929693E-2</v>
      </c>
      <c r="G2159" s="3">
        <v>4.0173912150622597E-2</v>
      </c>
      <c r="H2159" s="3" t="str">
        <f>"VNN1"</f>
        <v>VNN1</v>
      </c>
      <c r="I2159" s="3" t="str">
        <f>"protein_coding"</f>
        <v>protein_coding</v>
      </c>
    </row>
    <row r="2160" spans="1:9" x14ac:dyDescent="0.2">
      <c r="A2160" s="3" t="str">
        <f>"ENSG00000146409.12"</f>
        <v>ENSG00000146409.12</v>
      </c>
      <c r="B2160" s="3">
        <v>342.53375975707098</v>
      </c>
      <c r="C2160" s="3">
        <v>-1.42936339121129</v>
      </c>
      <c r="D2160" s="3">
        <v>0.245769679948631</v>
      </c>
      <c r="E2160" s="3">
        <v>-5.8158654538267003</v>
      </c>
      <c r="F2160" s="4">
        <v>6.0320971436102996E-9</v>
      </c>
      <c r="G2160" s="4">
        <v>7.3702489180246501E-8</v>
      </c>
      <c r="H2160" s="3" t="str">
        <f>"SLC18B1"</f>
        <v>SLC18B1</v>
      </c>
      <c r="I2160" s="3" t="str">
        <f>"protein_coding"</f>
        <v>protein_coding</v>
      </c>
    </row>
    <row r="2161" spans="1:9" x14ac:dyDescent="0.2">
      <c r="A2161" s="3" t="str">
        <f>"ENSG00000112319.19"</f>
        <v>ENSG00000112319.19</v>
      </c>
      <c r="B2161" s="3">
        <v>10.574716011442201</v>
      </c>
      <c r="C2161" s="3">
        <v>5.3160771289564597</v>
      </c>
      <c r="D2161" s="3">
        <v>1.73315779635337</v>
      </c>
      <c r="E2161" s="3">
        <v>3.06727820175501</v>
      </c>
      <c r="F2161" s="3">
        <v>2.1601770650137701E-3</v>
      </c>
      <c r="G2161" s="3">
        <v>8.6138364540363204E-3</v>
      </c>
      <c r="H2161" s="3" t="str">
        <f>"EYA4"</f>
        <v>EYA4</v>
      </c>
      <c r="I2161" s="3" t="str">
        <f>"protein_coding"</f>
        <v>protein_coding</v>
      </c>
    </row>
    <row r="2162" spans="1:9" x14ac:dyDescent="0.2">
      <c r="A2162" s="3" t="str">
        <f>"ENSG00000227954.6"</f>
        <v>ENSG00000227954.6</v>
      </c>
      <c r="B2162" s="3">
        <v>4.7710694323342899</v>
      </c>
      <c r="C2162" s="3">
        <v>5.6498655801083801</v>
      </c>
      <c r="D2162" s="3">
        <v>2.0548781453748601</v>
      </c>
      <c r="E2162" s="3">
        <v>2.7494893518747898</v>
      </c>
      <c r="F2162" s="3">
        <v>5.9688202149847996E-3</v>
      </c>
      <c r="G2162" s="3">
        <v>2.05942059513348E-2</v>
      </c>
      <c r="H2162" s="3" t="str">
        <f>"TARID"</f>
        <v>TARID</v>
      </c>
      <c r="I2162" s="3" t="str">
        <f>"antisense"</f>
        <v>antisense</v>
      </c>
    </row>
    <row r="2163" spans="1:9" x14ac:dyDescent="0.2">
      <c r="A2163" s="3" t="str">
        <f>"ENSG00000236700.5"</f>
        <v>ENSG00000236700.5</v>
      </c>
      <c r="B2163" s="3">
        <v>4.2577243842941197</v>
      </c>
      <c r="C2163" s="3">
        <v>5.4867669360524598</v>
      </c>
      <c r="D2163" s="3">
        <v>2.11613036159978</v>
      </c>
      <c r="E2163" s="3">
        <v>2.5928303074412198</v>
      </c>
      <c r="F2163" s="3">
        <v>9.5189725018600003E-3</v>
      </c>
      <c r="G2163" s="3">
        <v>3.0470329388883902E-2</v>
      </c>
      <c r="H2163" s="3" t="str">
        <f>"LINC01010"</f>
        <v>LINC01010</v>
      </c>
      <c r="I2163" s="3" t="str">
        <f>"lincRNA"</f>
        <v>lincRNA</v>
      </c>
    </row>
    <row r="2164" spans="1:9" x14ac:dyDescent="0.2">
      <c r="A2164" s="3" t="str">
        <f>"ENSG00000135541.21"</f>
        <v>ENSG00000135541.21</v>
      </c>
      <c r="B2164" s="3">
        <v>580.44601842270094</v>
      </c>
      <c r="C2164" s="3">
        <v>-1.5300969861364</v>
      </c>
      <c r="D2164" s="3">
        <v>0.26556127401076302</v>
      </c>
      <c r="E2164" s="3">
        <v>-5.76174742283541</v>
      </c>
      <c r="F2164" s="4">
        <v>8.3247513516646805E-9</v>
      </c>
      <c r="G2164" s="4">
        <v>1.00050765052922E-7</v>
      </c>
      <c r="H2164" s="3" t="str">
        <f>"AHI1"</f>
        <v>AHI1</v>
      </c>
      <c r="I2164" s="3" t="str">
        <f>"protein_coding"</f>
        <v>protein_coding</v>
      </c>
    </row>
    <row r="2165" spans="1:9" x14ac:dyDescent="0.2">
      <c r="A2165" s="3" t="str">
        <f>"ENSG00000231028.8"</f>
        <v>ENSG00000231028.8</v>
      </c>
      <c r="B2165" s="3">
        <v>22.6436750572676</v>
      </c>
      <c r="C2165" s="3">
        <v>2.64455431396151</v>
      </c>
      <c r="D2165" s="3">
        <v>0.83821829853888896</v>
      </c>
      <c r="E2165" s="3">
        <v>3.1549708692488299</v>
      </c>
      <c r="F2165" s="3">
        <v>1.60514131277927E-3</v>
      </c>
      <c r="G2165" s="3">
        <v>6.6669642300757398E-3</v>
      </c>
      <c r="H2165" s="3" t="str">
        <f>"LINC00271"</f>
        <v>LINC00271</v>
      </c>
      <c r="I2165" s="3" t="str">
        <f>"lincRNA"</f>
        <v>lincRNA</v>
      </c>
    </row>
    <row r="2166" spans="1:9" x14ac:dyDescent="0.2">
      <c r="A2166" s="3" t="str">
        <f>"ENSG00000171408.14"</f>
        <v>ENSG00000171408.14</v>
      </c>
      <c r="B2166" s="3">
        <v>5.24817637556772</v>
      </c>
      <c r="C2166" s="3">
        <v>5.7873700827091596</v>
      </c>
      <c r="D2166" s="3">
        <v>2.00710138519183</v>
      </c>
      <c r="E2166" s="3">
        <v>2.88344680812226</v>
      </c>
      <c r="F2166" s="3">
        <v>3.9334907211268401E-3</v>
      </c>
      <c r="G2166" s="3">
        <v>1.44441808192106E-2</v>
      </c>
      <c r="H2166" s="3" t="str">
        <f>"PDE7B"</f>
        <v>PDE7B</v>
      </c>
      <c r="I2166" s="3" t="str">
        <f>"protein_coding"</f>
        <v>protein_coding</v>
      </c>
    </row>
    <row r="2167" spans="1:9" x14ac:dyDescent="0.2">
      <c r="A2167" s="3" t="str">
        <f>"ENSG00000237596.6"</f>
        <v>ENSG00000237596.6</v>
      </c>
      <c r="B2167" s="3">
        <v>13.8027445092831</v>
      </c>
      <c r="C2167" s="3">
        <v>5.7084004759207101</v>
      </c>
      <c r="D2167" s="3">
        <v>1.67754437264126</v>
      </c>
      <c r="E2167" s="3">
        <v>3.4028312866222201</v>
      </c>
      <c r="F2167" s="3">
        <v>6.6691448597320699E-4</v>
      </c>
      <c r="G2167" s="3">
        <v>3.0972249870993601E-3</v>
      </c>
      <c r="H2167" s="3" t="str">
        <f>"AL138828.1"</f>
        <v>AL138828.1</v>
      </c>
      <c r="I2167" s="3" t="str">
        <f>"antisense"</f>
        <v>antisense</v>
      </c>
    </row>
    <row r="2168" spans="1:9" x14ac:dyDescent="0.2">
      <c r="A2168" s="3" t="str">
        <f>"ENSG00000135525.18"</f>
        <v>ENSG00000135525.18</v>
      </c>
      <c r="B2168" s="3">
        <v>23.990994636072799</v>
      </c>
      <c r="C2168" s="3">
        <v>3.4073656736143101</v>
      </c>
      <c r="D2168" s="3">
        <v>0.83597396058209905</v>
      </c>
      <c r="E2168" s="3">
        <v>4.07592321564863</v>
      </c>
      <c r="F2168" s="4">
        <v>4.5832141830831799E-5</v>
      </c>
      <c r="G2168" s="3">
        <v>2.8285127258543001E-4</v>
      </c>
      <c r="H2168" s="3" t="str">
        <f>"MAP7"</f>
        <v>MAP7</v>
      </c>
      <c r="I2168" s="3" t="str">
        <f>"protein_coding"</f>
        <v>protein_coding</v>
      </c>
    </row>
    <row r="2169" spans="1:9" x14ac:dyDescent="0.2">
      <c r="A2169" s="3" t="str">
        <f>"ENSG00000197442.10"</f>
        <v>ENSG00000197442.10</v>
      </c>
      <c r="B2169" s="3">
        <v>9.6814155010748095</v>
      </c>
      <c r="C2169" s="3">
        <v>4.1567546721333803</v>
      </c>
      <c r="D2169" s="3">
        <v>1.4537007901630701</v>
      </c>
      <c r="E2169" s="3">
        <v>2.8594293270399098</v>
      </c>
      <c r="F2169" s="3">
        <v>4.2440397238651603E-3</v>
      </c>
      <c r="G2169" s="3">
        <v>1.5401884703803201E-2</v>
      </c>
      <c r="H2169" s="3" t="str">
        <f>"MAP3K5"</f>
        <v>MAP3K5</v>
      </c>
      <c r="I2169" s="3" t="str">
        <f>"protein_coding"</f>
        <v>protein_coding</v>
      </c>
    </row>
    <row r="2170" spans="1:9" x14ac:dyDescent="0.2">
      <c r="A2170" s="3" t="str">
        <f>"ENSG00000112378.12"</f>
        <v>ENSG00000112378.12</v>
      </c>
      <c r="B2170" s="3">
        <v>11360.8225507772</v>
      </c>
      <c r="C2170" s="3">
        <v>1.7704982368988</v>
      </c>
      <c r="D2170" s="3">
        <v>0.16935615737992199</v>
      </c>
      <c r="E2170" s="3">
        <v>10.454289140057501</v>
      </c>
      <c r="F2170" s="4">
        <v>1.4004499181318699E-25</v>
      </c>
      <c r="G2170" s="4">
        <v>8.2060341762019296E-24</v>
      </c>
      <c r="H2170" s="3" t="str">
        <f>"PERP"</f>
        <v>PERP</v>
      </c>
      <c r="I2170" s="3" t="str">
        <f>"protein_coding"</f>
        <v>protein_coding</v>
      </c>
    </row>
    <row r="2171" spans="1:9" x14ac:dyDescent="0.2">
      <c r="A2171" s="3" t="str">
        <f>"ENSG00000135540.11"</f>
        <v>ENSG00000135540.11</v>
      </c>
      <c r="B2171" s="3">
        <v>6875.5163275347204</v>
      </c>
      <c r="C2171" s="3">
        <v>-2.2240608453361701</v>
      </c>
      <c r="D2171" s="3">
        <v>0.19968197859178299</v>
      </c>
      <c r="E2171" s="3">
        <v>-11.138014862537499</v>
      </c>
      <c r="F2171" s="4">
        <v>8.1925090171548195E-29</v>
      </c>
      <c r="G2171" s="4">
        <v>5.8282321981832197E-27</v>
      </c>
      <c r="H2171" s="3" t="str">
        <f>"NHSL1"</f>
        <v>NHSL1</v>
      </c>
      <c r="I2171" s="3" t="str">
        <f>"protein_coding"</f>
        <v>protein_coding</v>
      </c>
    </row>
    <row r="2172" spans="1:9" x14ac:dyDescent="0.2">
      <c r="A2172" s="3" t="str">
        <f>"ENSG00000266555.1"</f>
        <v>ENSG00000266555.1</v>
      </c>
      <c r="B2172" s="3">
        <v>32.224762725942902</v>
      </c>
      <c r="C2172" s="3">
        <v>-2.1222313058956401</v>
      </c>
      <c r="D2172" s="3">
        <v>0.67760750330046304</v>
      </c>
      <c r="E2172" s="3">
        <v>-3.13194776557043</v>
      </c>
      <c r="F2172" s="3">
        <v>1.7365076707293299E-3</v>
      </c>
      <c r="G2172" s="3">
        <v>7.1509293367706698E-3</v>
      </c>
      <c r="H2172" s="3" t="str">
        <f>"MIR3145"</f>
        <v>MIR3145</v>
      </c>
      <c r="I2172" s="3" t="str">
        <f>"miRNA"</f>
        <v>miRNA</v>
      </c>
    </row>
    <row r="2173" spans="1:9" x14ac:dyDescent="0.2">
      <c r="A2173" s="3" t="str">
        <f>"ENSG00000225177.5"</f>
        <v>ENSG00000225177.5</v>
      </c>
      <c r="B2173" s="3">
        <v>68.207072783541605</v>
      </c>
      <c r="C2173" s="3">
        <v>1.16066946133572</v>
      </c>
      <c r="D2173" s="3">
        <v>0.45596303973713298</v>
      </c>
      <c r="E2173" s="3">
        <v>2.5455340897912699</v>
      </c>
      <c r="F2173" s="3">
        <v>1.09110709553036E-2</v>
      </c>
      <c r="G2173" s="3">
        <v>3.4242565113931998E-2</v>
      </c>
      <c r="H2173" s="3" t="str">
        <f>"AL590617.2"</f>
        <v>AL590617.2</v>
      </c>
      <c r="I2173" s="3" t="str">
        <f>"antisense"</f>
        <v>antisense</v>
      </c>
    </row>
    <row r="2174" spans="1:9" x14ac:dyDescent="0.2">
      <c r="A2174" s="3" t="str">
        <f>"ENSG00000024862.17"</f>
        <v>ENSG00000024862.17</v>
      </c>
      <c r="B2174" s="3">
        <v>421.93768996945698</v>
      </c>
      <c r="C2174" s="3">
        <v>1.0485939849864401</v>
      </c>
      <c r="D2174" s="3">
        <v>0.23682579473770901</v>
      </c>
      <c r="E2174" s="3">
        <v>4.4277017465423896</v>
      </c>
      <c r="F2174" s="4">
        <v>9.5242474571312993E-6</v>
      </c>
      <c r="G2174" s="4">
        <v>6.8076382598231E-5</v>
      </c>
      <c r="H2174" s="3" t="str">
        <f>"CCDC28A"</f>
        <v>CCDC28A</v>
      </c>
      <c r="I2174" s="3" t="str">
        <f>"protein_coding"</f>
        <v>protein_coding</v>
      </c>
    </row>
    <row r="2175" spans="1:9" x14ac:dyDescent="0.2">
      <c r="A2175" s="3" t="str">
        <f>"ENSG00000203734.11"</f>
        <v>ENSG00000203734.11</v>
      </c>
      <c r="B2175" s="3">
        <v>17.951965847029602</v>
      </c>
      <c r="C2175" s="3">
        <v>4.0336201883508203</v>
      </c>
      <c r="D2175" s="3">
        <v>1.03189050127487</v>
      </c>
      <c r="E2175" s="3">
        <v>3.9089614483003601</v>
      </c>
      <c r="F2175" s="4">
        <v>9.2693753220834095E-5</v>
      </c>
      <c r="G2175" s="3">
        <v>5.3531723060789899E-4</v>
      </c>
      <c r="H2175" s="3" t="str">
        <f>"ECT2L"</f>
        <v>ECT2L</v>
      </c>
      <c r="I2175" s="3" t="str">
        <f>"protein_coding"</f>
        <v>protein_coding</v>
      </c>
    </row>
    <row r="2176" spans="1:9" x14ac:dyDescent="0.2">
      <c r="A2176" s="3" t="str">
        <f>"ENSG00000112406.5"</f>
        <v>ENSG00000112406.5</v>
      </c>
      <c r="B2176" s="3">
        <v>178.97488150058399</v>
      </c>
      <c r="C2176" s="3">
        <v>2.3094206308454499</v>
      </c>
      <c r="D2176" s="3">
        <v>0.34971559566482302</v>
      </c>
      <c r="E2176" s="3">
        <v>6.6037107280135796</v>
      </c>
      <c r="F2176" s="4">
        <v>4.0099161765784698E-11</v>
      </c>
      <c r="G2176" s="4">
        <v>6.6096906269348898E-10</v>
      </c>
      <c r="H2176" s="3" t="str">
        <f>"HECA"</f>
        <v>HECA</v>
      </c>
      <c r="I2176" s="3" t="str">
        <f>"protein_coding"</f>
        <v>protein_coding</v>
      </c>
    </row>
    <row r="2177" spans="1:9" x14ac:dyDescent="0.2">
      <c r="A2177" s="3" t="str">
        <f>"ENSG00000226571.2"</f>
        <v>ENSG00000226571.2</v>
      </c>
      <c r="B2177" s="3">
        <v>5.1757001659542397</v>
      </c>
      <c r="C2177" s="3">
        <v>5.7691669903209899</v>
      </c>
      <c r="D2177" s="3">
        <v>2.0146158333858399</v>
      </c>
      <c r="E2177" s="3">
        <v>2.8636561346909999</v>
      </c>
      <c r="F2177" s="3">
        <v>4.1878236407200901E-3</v>
      </c>
      <c r="G2177" s="3">
        <v>1.5236430863760199E-2</v>
      </c>
      <c r="H2177" s="3" t="str">
        <f>"AL592429.2"</f>
        <v>AL592429.2</v>
      </c>
      <c r="I2177" s="3" t="str">
        <f>"antisense"</f>
        <v>antisense</v>
      </c>
    </row>
    <row r="2178" spans="1:9" x14ac:dyDescent="0.2">
      <c r="A2178" s="3" t="str">
        <f>"ENSG00000118495.19"</f>
        <v>ENSG00000118495.19</v>
      </c>
      <c r="B2178" s="3">
        <v>48.037064543139401</v>
      </c>
      <c r="C2178" s="3">
        <v>2.6850950658269901</v>
      </c>
      <c r="D2178" s="3">
        <v>0.56024510670280403</v>
      </c>
      <c r="E2178" s="3">
        <v>4.7927148915757796</v>
      </c>
      <c r="F2178" s="4">
        <v>1.6453937716679301E-6</v>
      </c>
      <c r="G2178" s="4">
        <v>1.35526130884631E-5</v>
      </c>
      <c r="H2178" s="3" t="str">
        <f>"PLAGL1"</f>
        <v>PLAGL1</v>
      </c>
      <c r="I2178" s="3" t="str">
        <f>"protein_coding"</f>
        <v>protein_coding</v>
      </c>
    </row>
    <row r="2179" spans="1:9" x14ac:dyDescent="0.2">
      <c r="A2179" s="3" t="str">
        <f>"ENSG00000152822.14"</f>
        <v>ENSG00000152822.14</v>
      </c>
      <c r="B2179" s="3">
        <v>12.1847686406009</v>
      </c>
      <c r="C2179" s="3">
        <v>2.7853238901416</v>
      </c>
      <c r="D2179" s="3">
        <v>1.06368570302912</v>
      </c>
      <c r="E2179" s="3">
        <v>2.61855911216036</v>
      </c>
      <c r="F2179" s="3">
        <v>8.8301991143021098E-3</v>
      </c>
      <c r="G2179" s="3">
        <v>2.8703941215388901E-2</v>
      </c>
      <c r="H2179" s="3" t="str">
        <f>"GRM1"</f>
        <v>GRM1</v>
      </c>
      <c r="I2179" s="3" t="str">
        <f>"protein_coding"</f>
        <v>protein_coding</v>
      </c>
    </row>
    <row r="2180" spans="1:9" x14ac:dyDescent="0.2">
      <c r="A2180" s="3" t="str">
        <f>"ENSG00000118508.5"</f>
        <v>ENSG00000118508.5</v>
      </c>
      <c r="B2180" s="3">
        <v>567.09959854753595</v>
      </c>
      <c r="C2180" s="3">
        <v>-1.5403691606791501</v>
      </c>
      <c r="D2180" s="3">
        <v>0.221078468854882</v>
      </c>
      <c r="E2180" s="3">
        <v>-6.9675222949470603</v>
      </c>
      <c r="F2180" s="4">
        <v>3.2257134688729601E-12</v>
      </c>
      <c r="G2180" s="4">
        <v>5.9993866816642603E-11</v>
      </c>
      <c r="H2180" s="3" t="str">
        <f>"RAB32"</f>
        <v>RAB32</v>
      </c>
      <c r="I2180" s="3" t="str">
        <f>"protein_coding"</f>
        <v>protein_coding</v>
      </c>
    </row>
    <row r="2181" spans="1:9" x14ac:dyDescent="0.2">
      <c r="A2181" s="3" t="str">
        <f>"ENSG00000118492.17"</f>
        <v>ENSG00000118492.17</v>
      </c>
      <c r="B2181" s="3">
        <v>6.7489676245085999</v>
      </c>
      <c r="C2181" s="3">
        <v>6.1450646006902003</v>
      </c>
      <c r="D2181" s="3">
        <v>1.9622127640039699</v>
      </c>
      <c r="E2181" s="3">
        <v>3.1317014716339799</v>
      </c>
      <c r="F2181" s="3">
        <v>1.7379649506572799E-3</v>
      </c>
      <c r="G2181" s="3">
        <v>7.15538395445135E-3</v>
      </c>
      <c r="H2181" s="3" t="str">
        <f>"ADGB"</f>
        <v>ADGB</v>
      </c>
      <c r="I2181" s="3" t="str">
        <f>"protein_coding"</f>
        <v>protein_coding</v>
      </c>
    </row>
    <row r="2182" spans="1:9" x14ac:dyDescent="0.2">
      <c r="A2182" s="3" t="str">
        <f>"ENSG00000233452.6"</f>
        <v>ENSG00000233452.6</v>
      </c>
      <c r="B2182" s="3">
        <v>17.3113729007523</v>
      </c>
      <c r="C2182" s="3">
        <v>2.6834466836843398</v>
      </c>
      <c r="D2182" s="3">
        <v>0.89517589454281798</v>
      </c>
      <c r="E2182" s="3">
        <v>2.9976753172680399</v>
      </c>
      <c r="F2182" s="3">
        <v>2.72047334599251E-3</v>
      </c>
      <c r="G2182" s="3">
        <v>1.0508185038029199E-2</v>
      </c>
      <c r="H2182" s="3" t="str">
        <f>"STXBP5-AS1"</f>
        <v>STXBP5-AS1</v>
      </c>
      <c r="I2182" s="3" t="str">
        <f>"antisense"</f>
        <v>antisense</v>
      </c>
    </row>
    <row r="2183" spans="1:9" x14ac:dyDescent="0.2">
      <c r="A2183" s="3" t="str">
        <f>"ENSG00000203727.4"</f>
        <v>ENSG00000203727.4</v>
      </c>
      <c r="B2183" s="3">
        <v>24.497499040540301</v>
      </c>
      <c r="C2183" s="3">
        <v>2.0823640702532802</v>
      </c>
      <c r="D2183" s="3">
        <v>0.76248095701888696</v>
      </c>
      <c r="E2183" s="3">
        <v>2.7310374784897098</v>
      </c>
      <c r="F2183" s="3">
        <v>6.31352914293526E-3</v>
      </c>
      <c r="G2183" s="3">
        <v>2.1611146803713201E-2</v>
      </c>
      <c r="H2183" s="3" t="str">
        <f>"SAMD5"</f>
        <v>SAMD5</v>
      </c>
      <c r="I2183" s="3" t="str">
        <f>"protein_coding"</f>
        <v>protein_coding</v>
      </c>
    </row>
    <row r="2184" spans="1:9" x14ac:dyDescent="0.2">
      <c r="A2184" s="3" t="str">
        <f>"ENSG00000215223.3"</f>
        <v>ENSG00000215223.3</v>
      </c>
      <c r="B2184" s="3">
        <v>53.088377391266597</v>
      </c>
      <c r="C2184" s="3">
        <v>1.5300103695356999</v>
      </c>
      <c r="D2184" s="3">
        <v>0.50202202049808897</v>
      </c>
      <c r="E2184" s="3">
        <v>3.0476957325849501</v>
      </c>
      <c r="F2184" s="3">
        <v>2.3060329094556401E-3</v>
      </c>
      <c r="G2184" s="3">
        <v>9.1008804582760304E-3</v>
      </c>
      <c r="H2184" s="3" t="str">
        <f>"CYP51A1P3"</f>
        <v>CYP51A1P3</v>
      </c>
      <c r="I2184" s="3" t="str">
        <f>"processed_pseudogene"</f>
        <v>processed_pseudogene</v>
      </c>
    </row>
    <row r="2185" spans="1:9" x14ac:dyDescent="0.2">
      <c r="A2185" s="3" t="str">
        <f>"ENSG00000111962.8"</f>
        <v>ENSG00000111962.8</v>
      </c>
      <c r="B2185" s="3">
        <v>9.1318323482278991</v>
      </c>
      <c r="C2185" s="3">
        <v>4.0688745819318397</v>
      </c>
      <c r="D2185" s="3">
        <v>1.4689534963337001</v>
      </c>
      <c r="E2185" s="3">
        <v>2.7699138142134401</v>
      </c>
      <c r="F2185" s="3">
        <v>5.6071127345698303E-3</v>
      </c>
      <c r="G2185" s="3">
        <v>1.95943312400698E-2</v>
      </c>
      <c r="H2185" s="3" t="str">
        <f>"UST"</f>
        <v>UST</v>
      </c>
      <c r="I2185" s="3" t="str">
        <f>"protein_coding"</f>
        <v>protein_coding</v>
      </c>
    </row>
    <row r="2186" spans="1:9" x14ac:dyDescent="0.2">
      <c r="A2186" s="3" t="str">
        <f>"ENSG00000198729.5"</f>
        <v>ENSG00000198729.5</v>
      </c>
      <c r="B2186" s="3">
        <v>42.685833627308902</v>
      </c>
      <c r="C2186" s="3">
        <v>7.3585231963312498</v>
      </c>
      <c r="D2186" s="3">
        <v>1.52582867831133</v>
      </c>
      <c r="E2186" s="3">
        <v>4.82264051064704</v>
      </c>
      <c r="F2186" s="4">
        <v>1.4167016412501001E-6</v>
      </c>
      <c r="G2186" s="4">
        <v>1.18263284425249E-5</v>
      </c>
      <c r="H2186" s="3" t="str">
        <f>"PPP1R14C"</f>
        <v>PPP1R14C</v>
      </c>
      <c r="I2186" s="3" t="str">
        <f>"protein_coding"</f>
        <v>protein_coding</v>
      </c>
    </row>
    <row r="2187" spans="1:9" x14ac:dyDescent="0.2">
      <c r="A2187" s="3" t="str">
        <f>"ENSG00000009765.14"</f>
        <v>ENSG00000009765.14</v>
      </c>
      <c r="B2187" s="3">
        <v>4.36643869871435</v>
      </c>
      <c r="C2187" s="3">
        <v>5.51984028109222</v>
      </c>
      <c r="D2187" s="3">
        <v>2.1118253273681198</v>
      </c>
      <c r="E2187" s="3">
        <v>2.6137769111668798</v>
      </c>
      <c r="F2187" s="3">
        <v>8.9547485688279607E-3</v>
      </c>
      <c r="G2187" s="3">
        <v>2.9049890969741098E-2</v>
      </c>
      <c r="H2187" s="3" t="str">
        <f>"IYD"</f>
        <v>IYD</v>
      </c>
      <c r="I2187" s="3" t="str">
        <f>"protein_coding"</f>
        <v>protein_coding</v>
      </c>
    </row>
    <row r="2188" spans="1:9" x14ac:dyDescent="0.2">
      <c r="A2188" s="3" t="str">
        <f>"ENSG00000120278.16"</f>
        <v>ENSG00000120278.16</v>
      </c>
      <c r="B2188" s="3">
        <v>287.17592372840699</v>
      </c>
      <c r="C2188" s="3">
        <v>7.7908146512157401</v>
      </c>
      <c r="D2188" s="3">
        <v>0.69297618359838697</v>
      </c>
      <c r="E2188" s="3">
        <v>11.242543157487299</v>
      </c>
      <c r="F2188" s="4">
        <v>2.52015882486789E-29</v>
      </c>
      <c r="G2188" s="4">
        <v>1.8558585811128502E-27</v>
      </c>
      <c r="H2188" s="3" t="str">
        <f>"PLEKHG1"</f>
        <v>PLEKHG1</v>
      </c>
      <c r="I2188" s="3" t="str">
        <f>"protein_coding"</f>
        <v>protein_coding</v>
      </c>
    </row>
    <row r="2189" spans="1:9" x14ac:dyDescent="0.2">
      <c r="A2189" s="3" t="str">
        <f>"ENSG00000232891.1"</f>
        <v>ENSG00000232891.1</v>
      </c>
      <c r="B2189" s="3">
        <v>17.142617641969601</v>
      </c>
      <c r="C2189" s="3">
        <v>7.4971426129589096</v>
      </c>
      <c r="D2189" s="3">
        <v>1.6418300222351401</v>
      </c>
      <c r="E2189" s="3">
        <v>4.5663330012400003</v>
      </c>
      <c r="F2189" s="4">
        <v>4.9633009919509896E-6</v>
      </c>
      <c r="G2189" s="4">
        <v>3.7482001698361603E-5</v>
      </c>
      <c r="H2189" s="3" t="str">
        <f>"AL450344.3"</f>
        <v>AL450344.3</v>
      </c>
      <c r="I2189" s="3" t="str">
        <f>"sense_intronic"</f>
        <v>sense_intronic</v>
      </c>
    </row>
    <row r="2190" spans="1:9" x14ac:dyDescent="0.2">
      <c r="A2190" s="3" t="str">
        <f>"ENSG00000224029.1"</f>
        <v>ENSG00000224029.1</v>
      </c>
      <c r="B2190" s="3">
        <v>9.8712875983021497</v>
      </c>
      <c r="C2190" s="3">
        <v>6.6976096981378701</v>
      </c>
      <c r="D2190" s="3">
        <v>1.77123875103644</v>
      </c>
      <c r="E2190" s="3">
        <v>3.7813138935780302</v>
      </c>
      <c r="F2190" s="3">
        <v>1.5600282380696999E-4</v>
      </c>
      <c r="G2190" s="3">
        <v>8.5456552880347903E-4</v>
      </c>
      <c r="H2190" s="3" t="str">
        <f>"AL450344.1"</f>
        <v>AL450344.1</v>
      </c>
      <c r="I2190" s="3" t="str">
        <f>"sense_intronic"</f>
        <v>sense_intronic</v>
      </c>
    </row>
    <row r="2191" spans="1:9" x14ac:dyDescent="0.2">
      <c r="A2191" s="3" t="str">
        <f>"ENSG00000213089.4"</f>
        <v>ENSG00000213089.4</v>
      </c>
      <c r="B2191" s="3">
        <v>7.4554018280215599</v>
      </c>
      <c r="C2191" s="3">
        <v>4.7955412483729303</v>
      </c>
      <c r="D2191" s="3">
        <v>1.83650537566144</v>
      </c>
      <c r="E2191" s="3">
        <v>2.6112318057581301</v>
      </c>
      <c r="F2191" s="3">
        <v>9.0216719268274397E-3</v>
      </c>
      <c r="G2191" s="3">
        <v>2.92113481866033E-2</v>
      </c>
      <c r="H2191" s="3" t="str">
        <f>"PDCL3P5"</f>
        <v>PDCL3P5</v>
      </c>
      <c r="I2191" s="3" t="str">
        <f>"processed_pseudogene"</f>
        <v>processed_pseudogene</v>
      </c>
    </row>
    <row r="2192" spans="1:9" x14ac:dyDescent="0.2">
      <c r="A2192" s="3" t="str">
        <f>"ENSG00000120254.15"</f>
        <v>ENSG00000120254.15</v>
      </c>
      <c r="B2192" s="3">
        <v>3219.4320855577898</v>
      </c>
      <c r="C2192" s="3">
        <v>-1.2234060214353799</v>
      </c>
      <c r="D2192" s="3">
        <v>0.17873150131054</v>
      </c>
      <c r="E2192" s="3">
        <v>-6.8449378674985502</v>
      </c>
      <c r="F2192" s="4">
        <v>7.65090707033016E-12</v>
      </c>
      <c r="G2192" s="4">
        <v>1.3634026484322201E-10</v>
      </c>
      <c r="H2192" s="3" t="str">
        <f>"MTHFD1L"</f>
        <v>MTHFD1L</v>
      </c>
      <c r="I2192" s="3" t="str">
        <f t="shared" ref="I2192:I2197" si="107">"protein_coding"</f>
        <v>protein_coding</v>
      </c>
    </row>
    <row r="2193" spans="1:9" x14ac:dyDescent="0.2">
      <c r="A2193" s="3" t="str">
        <f>"ENSG00000091831.23"</f>
        <v>ENSG00000091831.23</v>
      </c>
      <c r="B2193" s="3">
        <v>10.608072855928601</v>
      </c>
      <c r="C2193" s="3">
        <v>6.8042318673040301</v>
      </c>
      <c r="D2193" s="3">
        <v>1.74687561460354</v>
      </c>
      <c r="E2193" s="3">
        <v>3.89508663949624</v>
      </c>
      <c r="F2193" s="4">
        <v>9.8163635480665094E-5</v>
      </c>
      <c r="G2193" s="3">
        <v>5.62968759406795E-4</v>
      </c>
      <c r="H2193" s="3" t="str">
        <f>"ESR1"</f>
        <v>ESR1</v>
      </c>
      <c r="I2193" s="3" t="str">
        <f t="shared" si="107"/>
        <v>protein_coding</v>
      </c>
    </row>
    <row r="2194" spans="1:9" x14ac:dyDescent="0.2">
      <c r="A2194" s="3" t="str">
        <f>"ENSG00000131018.23"</f>
        <v>ENSG00000131018.23</v>
      </c>
      <c r="B2194" s="3">
        <v>1489.66824152206</v>
      </c>
      <c r="C2194" s="3">
        <v>1.02351733139377</v>
      </c>
      <c r="D2194" s="3">
        <v>0.197741705796836</v>
      </c>
      <c r="E2194" s="3">
        <v>5.1760316685310199</v>
      </c>
      <c r="F2194" s="4">
        <v>2.2665500151845099E-7</v>
      </c>
      <c r="G2194" s="4">
        <v>2.1684230429681301E-6</v>
      </c>
      <c r="H2194" s="3" t="str">
        <f>"SYNE1"</f>
        <v>SYNE1</v>
      </c>
      <c r="I2194" s="3" t="str">
        <f t="shared" si="107"/>
        <v>protein_coding</v>
      </c>
    </row>
    <row r="2195" spans="1:9" x14ac:dyDescent="0.2">
      <c r="A2195" s="3" t="str">
        <f>"ENSG00000120279.6"</f>
        <v>ENSG00000120279.6</v>
      </c>
      <c r="B2195" s="3">
        <v>5.3931287947946904</v>
      </c>
      <c r="C2195" s="3">
        <v>5.8232739963666802</v>
      </c>
      <c r="D2195" s="3">
        <v>2.0163845420733102</v>
      </c>
      <c r="E2195" s="3">
        <v>2.8879779004747701</v>
      </c>
      <c r="F2195" s="3">
        <v>3.8772711269785E-3</v>
      </c>
      <c r="G2195" s="3">
        <v>1.42685043755785E-2</v>
      </c>
      <c r="H2195" s="3" t="str">
        <f>"MYCT1"</f>
        <v>MYCT1</v>
      </c>
      <c r="I2195" s="3" t="str">
        <f t="shared" si="107"/>
        <v>protein_coding</v>
      </c>
    </row>
    <row r="2196" spans="1:9" x14ac:dyDescent="0.2">
      <c r="A2196" s="3" t="str">
        <f>"ENSG00000112029.10"</f>
        <v>ENSG00000112029.10</v>
      </c>
      <c r="B2196" s="3">
        <v>1076.5593528099701</v>
      </c>
      <c r="C2196" s="3">
        <v>-1.443669938187</v>
      </c>
      <c r="D2196" s="3">
        <v>0.19966938802318299</v>
      </c>
      <c r="E2196" s="3">
        <v>-7.2303018128115797</v>
      </c>
      <c r="F2196" s="4">
        <v>4.8192180558367195E-13</v>
      </c>
      <c r="G2196" s="4">
        <v>9.9703291091406995E-12</v>
      </c>
      <c r="H2196" s="3" t="str">
        <f>"FBXO5"</f>
        <v>FBXO5</v>
      </c>
      <c r="I2196" s="3" t="str">
        <f t="shared" si="107"/>
        <v>protein_coding</v>
      </c>
    </row>
    <row r="2197" spans="1:9" x14ac:dyDescent="0.2">
      <c r="A2197" s="3" t="str">
        <f>"ENSG00000112038.18"</f>
        <v>ENSG00000112038.18</v>
      </c>
      <c r="B2197" s="3">
        <v>7.8149016157685702</v>
      </c>
      <c r="C2197" s="3">
        <v>6.3588755385260898</v>
      </c>
      <c r="D2197" s="3">
        <v>1.85980141905403</v>
      </c>
      <c r="E2197" s="3">
        <v>3.4191153277861699</v>
      </c>
      <c r="F2197" s="3">
        <v>6.2825092692367205E-4</v>
      </c>
      <c r="G2197" s="3">
        <v>2.9316583329147602E-3</v>
      </c>
      <c r="H2197" s="3" t="str">
        <f>"OPRM1"</f>
        <v>OPRM1</v>
      </c>
      <c r="I2197" s="3" t="str">
        <f t="shared" si="107"/>
        <v>protein_coding</v>
      </c>
    </row>
    <row r="2198" spans="1:9" x14ac:dyDescent="0.2">
      <c r="A2198" s="3" t="str">
        <f>"ENSG00000235381.1"</f>
        <v>ENSG00000235381.1</v>
      </c>
      <c r="B2198" s="3">
        <v>973.73076690367702</v>
      </c>
      <c r="C2198" s="3">
        <v>1.67449281741114</v>
      </c>
      <c r="D2198" s="3">
        <v>0.22412205650665801</v>
      </c>
      <c r="E2198" s="3">
        <v>7.4713432649650899</v>
      </c>
      <c r="F2198" s="4">
        <v>7.9380279708887605E-14</v>
      </c>
      <c r="G2198" s="4">
        <v>1.7860235187680101E-12</v>
      </c>
      <c r="H2198" s="3" t="str">
        <f>"AL596202.1"</f>
        <v>AL596202.1</v>
      </c>
      <c r="I2198" s="3" t="str">
        <f>"antisense"</f>
        <v>antisense</v>
      </c>
    </row>
    <row r="2199" spans="1:9" x14ac:dyDescent="0.2">
      <c r="A2199" s="3" t="str">
        <f>"ENSG00000029639.11"</f>
        <v>ENSG00000029639.11</v>
      </c>
      <c r="B2199" s="3">
        <v>3582.7573167291098</v>
      </c>
      <c r="C2199" s="3">
        <v>1.06062138035357</v>
      </c>
      <c r="D2199" s="3">
        <v>0.18178361700724499</v>
      </c>
      <c r="E2199" s="3">
        <v>5.8345267731761599</v>
      </c>
      <c r="F2199" s="4">
        <v>5.3943446222189597E-9</v>
      </c>
      <c r="G2199" s="4">
        <v>6.6597058414861805E-8</v>
      </c>
      <c r="H2199" s="3" t="str">
        <f>"TFB1M"</f>
        <v>TFB1M</v>
      </c>
      <c r="I2199" s="3" t="str">
        <f t="shared" ref="I2199:I2205" si="108">"protein_coding"</f>
        <v>protein_coding</v>
      </c>
    </row>
    <row r="2200" spans="1:9" x14ac:dyDescent="0.2">
      <c r="A2200" s="3" t="str">
        <f>"ENSG00000175048.17"</f>
        <v>ENSG00000175048.17</v>
      </c>
      <c r="B2200" s="3">
        <v>290.18030512263698</v>
      </c>
      <c r="C2200" s="3">
        <v>-1.1156078035876</v>
      </c>
      <c r="D2200" s="3">
        <v>0.27484695909201301</v>
      </c>
      <c r="E2200" s="3">
        <v>-4.0590145413037604</v>
      </c>
      <c r="F2200" s="4">
        <v>4.9280245148183799E-5</v>
      </c>
      <c r="G2200" s="3">
        <v>3.0262313264651001E-4</v>
      </c>
      <c r="H2200" s="3" t="str">
        <f>"ZDHHC14"</f>
        <v>ZDHHC14</v>
      </c>
      <c r="I2200" s="3" t="str">
        <f t="shared" si="108"/>
        <v>protein_coding</v>
      </c>
    </row>
    <row r="2201" spans="1:9" x14ac:dyDescent="0.2">
      <c r="A2201" s="3" t="str">
        <f>"ENSG00000130340.15"</f>
        <v>ENSG00000130340.15</v>
      </c>
      <c r="B2201" s="3">
        <v>1736.7859001924801</v>
      </c>
      <c r="C2201" s="3">
        <v>-1.1449441767992501</v>
      </c>
      <c r="D2201" s="3">
        <v>0.188883875685947</v>
      </c>
      <c r="E2201" s="3">
        <v>-6.0616300498986098</v>
      </c>
      <c r="F2201" s="4">
        <v>1.3474886919719899E-9</v>
      </c>
      <c r="G2201" s="4">
        <v>1.80417810271061E-8</v>
      </c>
      <c r="H2201" s="3" t="str">
        <f>"SNX9"</f>
        <v>SNX9</v>
      </c>
      <c r="I2201" s="3" t="str">
        <f t="shared" si="108"/>
        <v>protein_coding</v>
      </c>
    </row>
    <row r="2202" spans="1:9" x14ac:dyDescent="0.2">
      <c r="A2202" s="3" t="str">
        <f>"ENSG00000146425.11"</f>
        <v>ENSG00000146425.11</v>
      </c>
      <c r="B2202" s="3">
        <v>1080.02254464409</v>
      </c>
      <c r="C2202" s="3">
        <v>1.00259101335884</v>
      </c>
      <c r="D2202" s="3">
        <v>0.193628441322579</v>
      </c>
      <c r="E2202" s="3">
        <v>5.1779119147509496</v>
      </c>
      <c r="F2202" s="4">
        <v>2.2438312244090299E-7</v>
      </c>
      <c r="G2202" s="4">
        <v>2.15273483702369E-6</v>
      </c>
      <c r="H2202" s="3" t="str">
        <f>"DYNLT1"</f>
        <v>DYNLT1</v>
      </c>
      <c r="I2202" s="3" t="str">
        <f t="shared" si="108"/>
        <v>protein_coding</v>
      </c>
    </row>
    <row r="2203" spans="1:9" x14ac:dyDescent="0.2">
      <c r="A2203" s="3" t="str">
        <f>"ENSG00000164694.17"</f>
        <v>ENSG00000164694.17</v>
      </c>
      <c r="B2203" s="3">
        <v>11.9248356894254</v>
      </c>
      <c r="C2203" s="3">
        <v>5.4997725517018097</v>
      </c>
      <c r="D2203" s="3">
        <v>1.7022665656203999</v>
      </c>
      <c r="E2203" s="3">
        <v>3.2308527129517999</v>
      </c>
      <c r="F2203" s="3">
        <v>1.2342152118679801E-3</v>
      </c>
      <c r="G2203" s="3">
        <v>5.3025326202723001E-3</v>
      </c>
      <c r="H2203" s="3" t="str">
        <f>"FNDC1"</f>
        <v>FNDC1</v>
      </c>
      <c r="I2203" s="3" t="str">
        <f t="shared" si="108"/>
        <v>protein_coding</v>
      </c>
    </row>
    <row r="2204" spans="1:9" x14ac:dyDescent="0.2">
      <c r="A2204" s="3" t="str">
        <f>"ENSG00000112096.18"</f>
        <v>ENSG00000112096.18</v>
      </c>
      <c r="B2204" s="3">
        <v>7629.5638835060699</v>
      </c>
      <c r="C2204" s="3">
        <v>1.18994943823861</v>
      </c>
      <c r="D2204" s="3">
        <v>0.175645179525003</v>
      </c>
      <c r="E2204" s="3">
        <v>6.7747343904147801</v>
      </c>
      <c r="F2204" s="4">
        <v>1.2463502015311201E-11</v>
      </c>
      <c r="G2204" s="4">
        <v>2.17270018817137E-10</v>
      </c>
      <c r="H2204" s="3" t="str">
        <f>"SOD2"</f>
        <v>SOD2</v>
      </c>
      <c r="I2204" s="3" t="str">
        <f t="shared" si="108"/>
        <v>protein_coding</v>
      </c>
    </row>
    <row r="2205" spans="1:9" x14ac:dyDescent="0.2">
      <c r="A2205" s="3" t="str">
        <f>"ENSG00000120437.8"</f>
        <v>ENSG00000120437.8</v>
      </c>
      <c r="B2205" s="3">
        <v>3587.7677080818798</v>
      </c>
      <c r="C2205" s="3">
        <v>-1.6469195477021501</v>
      </c>
      <c r="D2205" s="3">
        <v>0.20313120900322701</v>
      </c>
      <c r="E2205" s="3">
        <v>-8.1076637892505694</v>
      </c>
      <c r="F2205" s="4">
        <v>5.1602284034143501E-16</v>
      </c>
      <c r="G2205" s="4">
        <v>1.41165404927541E-14</v>
      </c>
      <c r="H2205" s="3" t="str">
        <f>"ACAT2"</f>
        <v>ACAT2</v>
      </c>
      <c r="I2205" s="3" t="str">
        <f t="shared" si="108"/>
        <v>protein_coding</v>
      </c>
    </row>
    <row r="2206" spans="1:9" x14ac:dyDescent="0.2">
      <c r="A2206" s="3" t="str">
        <f>"ENSG00000213073.4"</f>
        <v>ENSG00000213073.4</v>
      </c>
      <c r="B2206" s="3">
        <v>733.83366860823799</v>
      </c>
      <c r="C2206" s="3">
        <v>1.7288865289825599</v>
      </c>
      <c r="D2206" s="3">
        <v>0.221530620009986</v>
      </c>
      <c r="E2206" s="3">
        <v>7.8042779318932203</v>
      </c>
      <c r="F2206" s="4">
        <v>5.98431792953014E-15</v>
      </c>
      <c r="G2206" s="4">
        <v>1.47028593891711E-13</v>
      </c>
      <c r="H2206" s="3" t="str">
        <f>"AL353625.1"</f>
        <v>AL353625.1</v>
      </c>
      <c r="I2206" s="3" t="str">
        <f>"transcribed_processed_pseudogene"</f>
        <v>transcribed_processed_pseudogene</v>
      </c>
    </row>
    <row r="2207" spans="1:9" x14ac:dyDescent="0.2">
      <c r="A2207" s="3" t="str">
        <f>"ENSG00000146477.6"</f>
        <v>ENSG00000146477.6</v>
      </c>
      <c r="B2207" s="3">
        <v>457.38287696665401</v>
      </c>
      <c r="C2207" s="3">
        <v>-2.6032742748156701</v>
      </c>
      <c r="D2207" s="3">
        <v>0.23657091620759599</v>
      </c>
      <c r="E2207" s="3">
        <v>-11.0042025306747</v>
      </c>
      <c r="F2207" s="4">
        <v>3.64728520703139E-28</v>
      </c>
      <c r="G2207" s="4">
        <v>2.4906661663154E-26</v>
      </c>
      <c r="H2207" s="3" t="str">
        <f>"SLC22A3"</f>
        <v>SLC22A3</v>
      </c>
      <c r="I2207" s="3" t="str">
        <f>"protein_coding"</f>
        <v>protein_coding</v>
      </c>
    </row>
    <row r="2208" spans="1:9" x14ac:dyDescent="0.2">
      <c r="A2208" s="3" t="str">
        <f>"ENSG00000198670.11"</f>
        <v>ENSG00000198670.11</v>
      </c>
      <c r="B2208" s="3">
        <v>11.6494183137159</v>
      </c>
      <c r="C2208" s="3">
        <v>3.79804787559394</v>
      </c>
      <c r="D2208" s="3">
        <v>1.2745250502680301</v>
      </c>
      <c r="E2208" s="3">
        <v>2.9799711467383099</v>
      </c>
      <c r="F2208" s="3">
        <v>2.8827553530943201E-3</v>
      </c>
      <c r="G2208" s="3">
        <v>1.10457650268262E-2</v>
      </c>
      <c r="H2208" s="3" t="str">
        <f>"LPA"</f>
        <v>LPA</v>
      </c>
      <c r="I2208" s="3" t="str">
        <f>"protein_coding"</f>
        <v>protein_coding</v>
      </c>
    </row>
    <row r="2209" spans="1:9" x14ac:dyDescent="0.2">
      <c r="A2209" s="3" t="str">
        <f>"ENSG00000272841.1"</f>
        <v>ENSG00000272841.1</v>
      </c>
      <c r="B2209" s="3">
        <v>42.499080498923497</v>
      </c>
      <c r="C2209" s="3">
        <v>1.45583252343006</v>
      </c>
      <c r="D2209" s="3">
        <v>0.54903816888315504</v>
      </c>
      <c r="E2209" s="3">
        <v>2.6516053089560101</v>
      </c>
      <c r="F2209" s="3">
        <v>8.0110126737976406E-3</v>
      </c>
      <c r="G2209" s="3">
        <v>2.6396911636590199E-2</v>
      </c>
      <c r="H2209" s="3" t="str">
        <f>"AL139393.2"</f>
        <v>AL139393.2</v>
      </c>
      <c r="I2209" s="3" t="str">
        <f>"antisense"</f>
        <v>antisense</v>
      </c>
    </row>
    <row r="2210" spans="1:9" x14ac:dyDescent="0.2">
      <c r="A2210" s="3" t="str">
        <f>"ENSG00000085511.20"</f>
        <v>ENSG00000085511.20</v>
      </c>
      <c r="B2210" s="3">
        <v>1722.8979563256</v>
      </c>
      <c r="C2210" s="3">
        <v>-1.33548647503749</v>
      </c>
      <c r="D2210" s="3">
        <v>0.19483599815602401</v>
      </c>
      <c r="E2210" s="3">
        <v>-6.8544133921701498</v>
      </c>
      <c r="F2210" s="4">
        <v>7.1605736811520897E-12</v>
      </c>
      <c r="G2210" s="4">
        <v>1.28021096515978E-10</v>
      </c>
      <c r="H2210" s="3" t="str">
        <f>"MAP3K4"</f>
        <v>MAP3K4</v>
      </c>
      <c r="I2210" s="3" t="str">
        <f>"protein_coding"</f>
        <v>protein_coding</v>
      </c>
    </row>
    <row r="2211" spans="1:9" x14ac:dyDescent="0.2">
      <c r="A2211" s="3" t="str">
        <f>"ENSG00000026652.14"</f>
        <v>ENSG00000026652.14</v>
      </c>
      <c r="B2211" s="3">
        <v>24.6707069474772</v>
      </c>
      <c r="C2211" s="3">
        <v>4.5172600173039497</v>
      </c>
      <c r="D2211" s="3">
        <v>0.96346642155321205</v>
      </c>
      <c r="E2211" s="3">
        <v>4.6885495085772</v>
      </c>
      <c r="F2211" s="4">
        <v>2.7514835269923402E-6</v>
      </c>
      <c r="G2211" s="4">
        <v>2.1749252004630201E-5</v>
      </c>
      <c r="H2211" s="3" t="str">
        <f>"AGPAT4"</f>
        <v>AGPAT4</v>
      </c>
      <c r="I2211" s="3" t="str">
        <f>"protein_coding"</f>
        <v>protein_coding</v>
      </c>
    </row>
    <row r="2212" spans="1:9" x14ac:dyDescent="0.2">
      <c r="A2212" s="3" t="str">
        <f>"ENSG00000112530.11"</f>
        <v>ENSG00000112530.11</v>
      </c>
      <c r="B2212" s="3">
        <v>5.4323726899743301</v>
      </c>
      <c r="C2212" s="3">
        <v>5.8384671515102298</v>
      </c>
      <c r="D2212" s="3">
        <v>1.9903824247200499</v>
      </c>
      <c r="E2212" s="3">
        <v>2.9333393819187399</v>
      </c>
      <c r="F2212" s="3">
        <v>3.3533711180266999E-3</v>
      </c>
      <c r="G2212" s="3">
        <v>1.26061400183324E-2</v>
      </c>
      <c r="H2212" s="3" t="str">
        <f>"PACRG"</f>
        <v>PACRG</v>
      </c>
      <c r="I2212" s="3" t="str">
        <f>"protein_coding"</f>
        <v>protein_coding</v>
      </c>
    </row>
    <row r="2213" spans="1:9" x14ac:dyDescent="0.2">
      <c r="A2213" s="3" t="str">
        <f>"ENSG00000112541.14"</f>
        <v>ENSG00000112541.14</v>
      </c>
      <c r="B2213" s="3">
        <v>18.604164995730802</v>
      </c>
      <c r="C2213" s="3">
        <v>7.6115749821176797</v>
      </c>
      <c r="D2213" s="3">
        <v>1.6334852962034101</v>
      </c>
      <c r="E2213" s="3">
        <v>4.6597144154334904</v>
      </c>
      <c r="F2213" s="4">
        <v>3.1664840063519501E-6</v>
      </c>
      <c r="G2213" s="4">
        <v>2.4813687006347899E-5</v>
      </c>
      <c r="H2213" s="3" t="str">
        <f>"PDE10A"</f>
        <v>PDE10A</v>
      </c>
      <c r="I2213" s="3" t="str">
        <f>"protein_coding"</f>
        <v>protein_coding</v>
      </c>
    </row>
    <row r="2214" spans="1:9" x14ac:dyDescent="0.2">
      <c r="A2214" s="3" t="str">
        <f>"ENSG00000071242.12"</f>
        <v>ENSG00000071242.12</v>
      </c>
      <c r="B2214" s="3">
        <v>87.893672704772698</v>
      </c>
      <c r="C2214" s="3">
        <v>-1.80448425248338</v>
      </c>
      <c r="D2214" s="3">
        <v>0.40051131804043699</v>
      </c>
      <c r="E2214" s="3">
        <v>-4.5054513348389102</v>
      </c>
      <c r="F2214" s="4">
        <v>6.6232017294998301E-6</v>
      </c>
      <c r="G2214" s="4">
        <v>4.8760437050440998E-5</v>
      </c>
      <c r="H2214" s="3" t="str">
        <f>"RPS6KA2"</f>
        <v>RPS6KA2</v>
      </c>
      <c r="I2214" s="3" t="str">
        <f>"protein_coding"</f>
        <v>protein_coding</v>
      </c>
    </row>
    <row r="2215" spans="1:9" x14ac:dyDescent="0.2">
      <c r="A2215" s="3" t="str">
        <f>"ENSG00000235008.1"</f>
        <v>ENSG00000235008.1</v>
      </c>
      <c r="B2215" s="3">
        <v>36.398857242181897</v>
      </c>
      <c r="C2215" s="3">
        <v>-1.55138008278803</v>
      </c>
      <c r="D2215" s="3">
        <v>0.62028944881002801</v>
      </c>
      <c r="E2215" s="3">
        <v>-2.5010583136053999</v>
      </c>
      <c r="F2215" s="3">
        <v>1.23822788178783E-2</v>
      </c>
      <c r="G2215" s="3">
        <v>3.8003173868152003E-2</v>
      </c>
      <c r="H2215" s="3" t="str">
        <f>"AL023775.1"</f>
        <v>AL023775.1</v>
      </c>
      <c r="I2215" s="3" t="str">
        <f>"processed_pseudogene"</f>
        <v>processed_pseudogene</v>
      </c>
    </row>
    <row r="2216" spans="1:9" x14ac:dyDescent="0.2">
      <c r="A2216" s="3" t="str">
        <f>"ENSG00000026297.15"</f>
        <v>ENSG00000026297.15</v>
      </c>
      <c r="B2216" s="3">
        <v>4122.6343286625697</v>
      </c>
      <c r="C2216" s="3">
        <v>-1.6958029754484101</v>
      </c>
      <c r="D2216" s="3">
        <v>0.19254397463419601</v>
      </c>
      <c r="E2216" s="3">
        <v>-8.8073541572524991</v>
      </c>
      <c r="F2216" s="4">
        <v>1.28134358431465E-18</v>
      </c>
      <c r="G2216" s="4">
        <v>4.3750336643886197E-17</v>
      </c>
      <c r="H2216" s="3" t="str">
        <f>"RNASET2"</f>
        <v>RNASET2</v>
      </c>
      <c r="I2216" s="3" t="str">
        <f>"protein_coding"</f>
        <v>protein_coding</v>
      </c>
    </row>
    <row r="2217" spans="1:9" x14ac:dyDescent="0.2">
      <c r="A2217" s="3" t="str">
        <f>"ENSG00000166984.11"</f>
        <v>ENSG00000166984.11</v>
      </c>
      <c r="B2217" s="3">
        <v>21.4368761135065</v>
      </c>
      <c r="C2217" s="3">
        <v>-2.37300733388739</v>
      </c>
      <c r="D2217" s="3">
        <v>0.884675687224034</v>
      </c>
      <c r="E2217" s="3">
        <v>-2.68234717892327</v>
      </c>
      <c r="F2217" s="3">
        <v>7.3107545372819204E-3</v>
      </c>
      <c r="G2217" s="3">
        <v>2.44486396300219E-2</v>
      </c>
      <c r="H2217" s="3" t="str">
        <f>"TCP10L2"</f>
        <v>TCP10L2</v>
      </c>
      <c r="I2217" s="3" t="str">
        <f>"protein_coding"</f>
        <v>protein_coding</v>
      </c>
    </row>
    <row r="2218" spans="1:9" x14ac:dyDescent="0.2">
      <c r="A2218" s="3" t="str">
        <f>"ENSG00000231720.1"</f>
        <v>ENSG00000231720.1</v>
      </c>
      <c r="B2218" s="3">
        <v>128.59491937246599</v>
      </c>
      <c r="C2218" s="3">
        <v>-1.42084078386825</v>
      </c>
      <c r="D2218" s="3">
        <v>0.33827816158506702</v>
      </c>
      <c r="E2218" s="3">
        <v>-4.2002143360677602</v>
      </c>
      <c r="F2218" s="4">
        <v>2.66662421507996E-5</v>
      </c>
      <c r="G2218" s="3">
        <v>1.7278837095905801E-4</v>
      </c>
      <c r="H2218" s="3" t="str">
        <f>"AL353747.3"</f>
        <v>AL353747.3</v>
      </c>
      <c r="I2218" s="3" t="str">
        <f>"lincRNA"</f>
        <v>lincRNA</v>
      </c>
    </row>
    <row r="2219" spans="1:9" x14ac:dyDescent="0.2">
      <c r="A2219" s="3" t="str">
        <f>"ENSG00000112494.10"</f>
        <v>ENSG00000112494.10</v>
      </c>
      <c r="B2219" s="3">
        <v>394.913923998266</v>
      </c>
      <c r="C2219" s="3">
        <v>-3.1691753267899498</v>
      </c>
      <c r="D2219" s="3">
        <v>0.281446909655308</v>
      </c>
      <c r="E2219" s="3">
        <v>-11.2602953454749</v>
      </c>
      <c r="F2219" s="4">
        <v>2.0606693095388299E-29</v>
      </c>
      <c r="G2219" s="4">
        <v>1.5382755253973799E-27</v>
      </c>
      <c r="H2219" s="3" t="str">
        <f>"UNC93A"</f>
        <v>UNC93A</v>
      </c>
      <c r="I2219" s="3" t="str">
        <f>"protein_coding"</f>
        <v>protein_coding</v>
      </c>
    </row>
    <row r="2220" spans="1:9" x14ac:dyDescent="0.2">
      <c r="A2220" s="3" t="str">
        <f>"ENSG00000198221.8"</f>
        <v>ENSG00000198221.8</v>
      </c>
      <c r="B2220" s="3">
        <v>101.304805500058</v>
      </c>
      <c r="C2220" s="3">
        <v>-1.0068749122473699</v>
      </c>
      <c r="D2220" s="3">
        <v>0.36495480575463601</v>
      </c>
      <c r="E2220" s="3">
        <v>-2.7589030103752101</v>
      </c>
      <c r="F2220" s="3">
        <v>5.7995744977446797E-3</v>
      </c>
      <c r="G2220" s="3">
        <v>2.0155740604598099E-2</v>
      </c>
      <c r="H2220" s="3" t="str">
        <f>"AFDN-DT"</f>
        <v>AFDN-DT</v>
      </c>
      <c r="I2220" s="3" t="str">
        <f>"lincRNA"</f>
        <v>lincRNA</v>
      </c>
    </row>
    <row r="2221" spans="1:9" x14ac:dyDescent="0.2">
      <c r="A2221" s="3" t="str">
        <f>"ENSG00000153303.17"</f>
        <v>ENSG00000153303.17</v>
      </c>
      <c r="B2221" s="3">
        <v>19.8122135148074</v>
      </c>
      <c r="C2221" s="3">
        <v>6.2423943327602602</v>
      </c>
      <c r="D2221" s="3">
        <v>1.61357074203926</v>
      </c>
      <c r="E2221" s="3">
        <v>3.86868339275353</v>
      </c>
      <c r="F2221" s="3">
        <v>1.0942461814670999E-4</v>
      </c>
      <c r="G2221" s="3">
        <v>6.2075631285517805E-4</v>
      </c>
      <c r="H2221" s="3" t="str">
        <f>"FRMD1"</f>
        <v>FRMD1</v>
      </c>
      <c r="I2221" s="3" t="str">
        <f>"protein_coding"</f>
        <v>protein_coding</v>
      </c>
    </row>
    <row r="2222" spans="1:9" x14ac:dyDescent="0.2">
      <c r="A2222" s="3" t="str">
        <f>"ENSG00000112562.18"</f>
        <v>ENSG00000112562.18</v>
      </c>
      <c r="B2222" s="3">
        <v>4.8073075371410301</v>
      </c>
      <c r="C2222" s="3">
        <v>5.6597867282439296</v>
      </c>
      <c r="D2222" s="3">
        <v>2.0539032196280198</v>
      </c>
      <c r="E2222" s="3">
        <v>2.7556248386761699</v>
      </c>
      <c r="F2222" s="3">
        <v>5.8580144965317896E-3</v>
      </c>
      <c r="G2222" s="3">
        <v>2.0291548561785101E-2</v>
      </c>
      <c r="H2222" s="3" t="str">
        <f>"SMOC2"</f>
        <v>SMOC2</v>
      </c>
      <c r="I2222" s="3" t="str">
        <f>"protein_coding"</f>
        <v>protein_coding</v>
      </c>
    </row>
    <row r="2223" spans="1:9" x14ac:dyDescent="0.2">
      <c r="A2223" s="3" t="str">
        <f>"ENSG00000232640.1"</f>
        <v>ENSG00000232640.1</v>
      </c>
      <c r="B2223" s="3">
        <v>100.102692284228</v>
      </c>
      <c r="C2223" s="3">
        <v>2.5610312864851799</v>
      </c>
      <c r="D2223" s="3">
        <v>0.42978536341734402</v>
      </c>
      <c r="E2223" s="3">
        <v>5.9588611071389197</v>
      </c>
      <c r="F2223" s="4">
        <v>2.5400185872289001E-9</v>
      </c>
      <c r="G2223" s="4">
        <v>3.2614461096242201E-8</v>
      </c>
      <c r="H2223" s="3" t="str">
        <f>"AL354892.2"</f>
        <v>AL354892.2</v>
      </c>
      <c r="I2223" s="3" t="str">
        <f>"antisense"</f>
        <v>antisense</v>
      </c>
    </row>
    <row r="2224" spans="1:9" x14ac:dyDescent="0.2">
      <c r="A2224" s="3" t="str">
        <f>"ENSG00000130023.16"</f>
        <v>ENSG00000130023.16</v>
      </c>
      <c r="B2224" s="3">
        <v>441.51789343225698</v>
      </c>
      <c r="C2224" s="3">
        <v>1.3962791143912301</v>
      </c>
      <c r="D2224" s="3">
        <v>0.255662862778753</v>
      </c>
      <c r="E2224" s="3">
        <v>5.4614076491803498</v>
      </c>
      <c r="F2224" s="4">
        <v>4.7237396033835898E-8</v>
      </c>
      <c r="G2224" s="4">
        <v>5.0812369906590101E-7</v>
      </c>
      <c r="H2224" s="3" t="str">
        <f>"ERMARD"</f>
        <v>ERMARD</v>
      </c>
      <c r="I2224" s="3" t="str">
        <f>"protein_coding"</f>
        <v>protein_coding</v>
      </c>
    </row>
    <row r="2225" spans="1:9" x14ac:dyDescent="0.2">
      <c r="A2225" s="3" t="str">
        <f>"ENSG00000282572.2"</f>
        <v>ENSG00000282572.2</v>
      </c>
      <c r="B2225" s="3">
        <v>13.189832624671499</v>
      </c>
      <c r="C2225" s="3">
        <v>2.6527251535789498</v>
      </c>
      <c r="D2225" s="3">
        <v>1.0060726256672201</v>
      </c>
      <c r="E2225" s="3">
        <v>2.6367133802290699</v>
      </c>
      <c r="F2225" s="3">
        <v>8.3713531457153493E-3</v>
      </c>
      <c r="G2225" s="3">
        <v>2.7405293663499499E-2</v>
      </c>
      <c r="H2225" s="3" t="str">
        <f>"AC215522.2"</f>
        <v>AC215522.2</v>
      </c>
      <c r="I2225" s="3" t="str">
        <f>"processed_transcript"</f>
        <v>processed_transcript</v>
      </c>
    </row>
    <row r="2226" spans="1:9" x14ac:dyDescent="0.2">
      <c r="A2226" s="3" t="str">
        <f>"ENSG00000177706.9"</f>
        <v>ENSG00000177706.9</v>
      </c>
      <c r="B2226" s="3">
        <v>806.81678364346601</v>
      </c>
      <c r="C2226" s="3">
        <v>-1.9484051071137001</v>
      </c>
      <c r="D2226" s="3">
        <v>0.23542806563829599</v>
      </c>
      <c r="E2226" s="3">
        <v>-8.2760103466473094</v>
      </c>
      <c r="F2226" s="4">
        <v>1.2737093566579199E-16</v>
      </c>
      <c r="G2226" s="4">
        <v>3.6802501421906902E-15</v>
      </c>
      <c r="H2226" s="3" t="str">
        <f>"FAM20C"</f>
        <v>FAM20C</v>
      </c>
      <c r="I2226" s="3" t="str">
        <f t="shared" ref="I2226:I2231" si="109">"protein_coding"</f>
        <v>protein_coding</v>
      </c>
    </row>
    <row r="2227" spans="1:9" x14ac:dyDescent="0.2">
      <c r="A2227" s="3" t="str">
        <f>"ENSG00000164818.16"</f>
        <v>ENSG00000164818.16</v>
      </c>
      <c r="B2227" s="3">
        <v>1938.6108491647799</v>
      </c>
      <c r="C2227" s="3">
        <v>-1.0729106536180399</v>
      </c>
      <c r="D2227" s="3">
        <v>0.209887424978695</v>
      </c>
      <c r="E2227" s="3">
        <v>-5.11183866173476</v>
      </c>
      <c r="F2227" s="4">
        <v>3.1903825206738098E-7</v>
      </c>
      <c r="G2227" s="4">
        <v>2.9712340760779401E-6</v>
      </c>
      <c r="H2227" s="3" t="str">
        <f>"DNAAF5"</f>
        <v>DNAAF5</v>
      </c>
      <c r="I2227" s="3" t="str">
        <f t="shared" si="109"/>
        <v>protein_coding</v>
      </c>
    </row>
    <row r="2228" spans="1:9" x14ac:dyDescent="0.2">
      <c r="A2228" s="3" t="str">
        <f>"ENSG00000073067.14"</f>
        <v>ENSG00000073067.14</v>
      </c>
      <c r="B2228" s="3">
        <v>1271.3412063549499</v>
      </c>
      <c r="C2228" s="3">
        <v>-2.02322876611739</v>
      </c>
      <c r="D2228" s="3">
        <v>0.21980865836740501</v>
      </c>
      <c r="E2228" s="3">
        <v>-9.2044998643120408</v>
      </c>
      <c r="F2228" s="4">
        <v>3.4326601370300397E-20</v>
      </c>
      <c r="G2228" s="4">
        <v>1.3515851264979399E-18</v>
      </c>
      <c r="H2228" s="3" t="str">
        <f>"CYP2W1"</f>
        <v>CYP2W1</v>
      </c>
      <c r="I2228" s="3" t="str">
        <f t="shared" si="109"/>
        <v>protein_coding</v>
      </c>
    </row>
    <row r="2229" spans="1:9" x14ac:dyDescent="0.2">
      <c r="A2229" s="3" t="str">
        <f>"ENSG00000164849.10"</f>
        <v>ENSG00000164849.10</v>
      </c>
      <c r="B2229" s="3">
        <v>67.700744488537396</v>
      </c>
      <c r="C2229" s="3">
        <v>-1.86361290820047</v>
      </c>
      <c r="D2229" s="3">
        <v>0.48762526258838801</v>
      </c>
      <c r="E2229" s="3">
        <v>-3.8218136983062299</v>
      </c>
      <c r="F2229" s="3">
        <v>1.3247375733442399E-4</v>
      </c>
      <c r="G2229" s="3">
        <v>7.3783983362449897E-4</v>
      </c>
      <c r="H2229" s="3" t="str">
        <f>"GPR146"</f>
        <v>GPR146</v>
      </c>
      <c r="I2229" s="3" t="str">
        <f t="shared" si="109"/>
        <v>protein_coding</v>
      </c>
    </row>
    <row r="2230" spans="1:9" x14ac:dyDescent="0.2">
      <c r="A2230" s="3" t="str">
        <f>"ENSG00000164850.15"</f>
        <v>ENSG00000164850.15</v>
      </c>
      <c r="B2230" s="3">
        <v>628.83554295505803</v>
      </c>
      <c r="C2230" s="3">
        <v>-2.75850538800927</v>
      </c>
      <c r="D2230" s="3">
        <v>0.24144263514800801</v>
      </c>
      <c r="E2230" s="3">
        <v>-11.4250964263965</v>
      </c>
      <c r="F2230" s="4">
        <v>3.1330765302800901E-30</v>
      </c>
      <c r="G2230" s="4">
        <v>2.4961092462146702E-28</v>
      </c>
      <c r="H2230" s="3" t="str">
        <f>"GPER1"</f>
        <v>GPER1</v>
      </c>
      <c r="I2230" s="3" t="str">
        <f t="shared" si="109"/>
        <v>protein_coding</v>
      </c>
    </row>
    <row r="2231" spans="1:9" x14ac:dyDescent="0.2">
      <c r="A2231" s="3" t="str">
        <f>"ENSG00000164877.19"</f>
        <v>ENSG00000164877.19</v>
      </c>
      <c r="B2231" s="3">
        <v>738.68605022081704</v>
      </c>
      <c r="C2231" s="3">
        <v>1.93033405693064</v>
      </c>
      <c r="D2231" s="3">
        <v>0.24135181803324501</v>
      </c>
      <c r="E2231" s="3">
        <v>7.9980091828632904</v>
      </c>
      <c r="F2231" s="4">
        <v>1.26446944240504E-15</v>
      </c>
      <c r="G2231" s="4">
        <v>3.33846888538857E-14</v>
      </c>
      <c r="H2231" s="3" t="str">
        <f>"MICALL2"</f>
        <v>MICALL2</v>
      </c>
      <c r="I2231" s="3" t="str">
        <f t="shared" si="109"/>
        <v>protein_coding</v>
      </c>
    </row>
    <row r="2232" spans="1:9" x14ac:dyDescent="0.2">
      <c r="A2232" s="3" t="str">
        <f>"ENSG00000225981.1"</f>
        <v>ENSG00000225981.1</v>
      </c>
      <c r="B2232" s="3">
        <v>26.3167864135701</v>
      </c>
      <c r="C2232" s="3">
        <v>4.0031971027292697</v>
      </c>
      <c r="D2232" s="3">
        <v>0.85839661403966405</v>
      </c>
      <c r="E2232" s="3">
        <v>4.6635751321175398</v>
      </c>
      <c r="F2232" s="4">
        <v>3.1076265270004501E-6</v>
      </c>
      <c r="G2232" s="4">
        <v>2.4387528796423199E-5</v>
      </c>
      <c r="H2232" s="3" t="str">
        <f>"AC102953.1"</f>
        <v>AC102953.1</v>
      </c>
      <c r="I2232" s="3" t="str">
        <f>"antisense"</f>
        <v>antisense</v>
      </c>
    </row>
    <row r="2233" spans="1:9" x14ac:dyDescent="0.2">
      <c r="A2233" s="3" t="str">
        <f>"ENSG00000164855.16"</f>
        <v>ENSG00000164855.16</v>
      </c>
      <c r="B2233" s="3">
        <v>919.89132233406497</v>
      </c>
      <c r="C2233" s="3">
        <v>-1.4319505273531901</v>
      </c>
      <c r="D2233" s="3">
        <v>0.216262865502619</v>
      </c>
      <c r="E2233" s="3">
        <v>-6.62134261480894</v>
      </c>
      <c r="F2233" s="4">
        <v>3.5595087494823397E-11</v>
      </c>
      <c r="G2233" s="4">
        <v>5.9101727542440802E-10</v>
      </c>
      <c r="H2233" s="3" t="str">
        <f>"TMEM184A"</f>
        <v>TMEM184A</v>
      </c>
      <c r="I2233" s="3" t="str">
        <f>"protein_coding"</f>
        <v>protein_coding</v>
      </c>
    </row>
    <row r="2234" spans="1:9" x14ac:dyDescent="0.2">
      <c r="A2234" s="3" t="str">
        <f>"ENSG00000230487.8"</f>
        <v>ENSG00000230487.8</v>
      </c>
      <c r="B2234" s="3">
        <v>59.400444888927701</v>
      </c>
      <c r="C2234" s="3">
        <v>1.4379653145654701</v>
      </c>
      <c r="D2234" s="3">
        <v>0.46370648514379198</v>
      </c>
      <c r="E2234" s="3">
        <v>3.10102480908709</v>
      </c>
      <c r="F2234" s="3">
        <v>1.9285213205048901E-3</v>
      </c>
      <c r="G2234" s="3">
        <v>7.8043101767112204E-3</v>
      </c>
      <c r="H2234" s="3" t="str">
        <f>"PSMG3-AS1"</f>
        <v>PSMG3-AS1</v>
      </c>
      <c r="I2234" s="3" t="str">
        <f>"lincRNA"</f>
        <v>lincRNA</v>
      </c>
    </row>
    <row r="2235" spans="1:9" x14ac:dyDescent="0.2">
      <c r="A2235" s="3" t="str">
        <f>"ENSG00000225968.7"</f>
        <v>ENSG00000225968.7</v>
      </c>
      <c r="B2235" s="3">
        <v>219.97530705205699</v>
      </c>
      <c r="C2235" s="3">
        <v>4.0321723130595197</v>
      </c>
      <c r="D2235" s="3">
        <v>0.34824281518372102</v>
      </c>
      <c r="E2235" s="3">
        <v>11.5786231251671</v>
      </c>
      <c r="F2235" s="4">
        <v>5.2888686966537504E-31</v>
      </c>
      <c r="G2235" s="4">
        <v>4.4892774260973403E-29</v>
      </c>
      <c r="H2235" s="3" t="str">
        <f>"ELFN1"</f>
        <v>ELFN1</v>
      </c>
      <c r="I2235" s="3" t="str">
        <f t="shared" ref="I2235:I2241" si="110">"protein_coding"</f>
        <v>protein_coding</v>
      </c>
    </row>
    <row r="2236" spans="1:9" x14ac:dyDescent="0.2">
      <c r="A2236" s="3" t="str">
        <f>"ENSG00000157927.16"</f>
        <v>ENSG00000157927.16</v>
      </c>
      <c r="B2236" s="3">
        <v>87.996163477539895</v>
      </c>
      <c r="C2236" s="3">
        <v>2.6452768214513198</v>
      </c>
      <c r="D2236" s="3">
        <v>0.45095418722135799</v>
      </c>
      <c r="E2236" s="3">
        <v>5.8659546721380096</v>
      </c>
      <c r="F2236" s="4">
        <v>4.4655578728118899E-9</v>
      </c>
      <c r="G2236" s="4">
        <v>5.5736626367615897E-8</v>
      </c>
      <c r="H2236" s="3" t="str">
        <f>"RADIL"</f>
        <v>RADIL</v>
      </c>
      <c r="I2236" s="3" t="str">
        <f t="shared" si="110"/>
        <v>protein_coding</v>
      </c>
    </row>
    <row r="2237" spans="1:9" x14ac:dyDescent="0.2">
      <c r="A2237" s="3" t="str">
        <f>"ENSG00000164638.10"</f>
        <v>ENSG00000164638.10</v>
      </c>
      <c r="B2237" s="3">
        <v>839.97824070620402</v>
      </c>
      <c r="C2237" s="3">
        <v>-1.1576551664186401</v>
      </c>
      <c r="D2237" s="3">
        <v>0.24675725673110499</v>
      </c>
      <c r="E2237" s="3">
        <v>-4.6914736439956304</v>
      </c>
      <c r="F2237" s="4">
        <v>2.7124421806804501E-6</v>
      </c>
      <c r="G2237" s="4">
        <v>2.1465556810049401E-5</v>
      </c>
      <c r="H2237" s="3" t="str">
        <f>"SLC29A4"</f>
        <v>SLC29A4</v>
      </c>
      <c r="I2237" s="3" t="str">
        <f t="shared" si="110"/>
        <v>protein_coding</v>
      </c>
    </row>
    <row r="2238" spans="1:9" x14ac:dyDescent="0.2">
      <c r="A2238" s="3" t="str">
        <f>"ENSG00000182095.14"</f>
        <v>ENSG00000182095.14</v>
      </c>
      <c r="B2238" s="3">
        <v>6940.8850414999297</v>
      </c>
      <c r="C2238" s="3">
        <v>-1.34011587061733</v>
      </c>
      <c r="D2238" s="3">
        <v>0.18950649068659101</v>
      </c>
      <c r="E2238" s="3">
        <v>-7.0716093457381302</v>
      </c>
      <c r="F2238" s="4">
        <v>1.5314705452826399E-12</v>
      </c>
      <c r="G2238" s="4">
        <v>2.9741965750047102E-11</v>
      </c>
      <c r="H2238" s="3" t="str">
        <f>"TNRC18"</f>
        <v>TNRC18</v>
      </c>
      <c r="I2238" s="3" t="str">
        <f t="shared" si="110"/>
        <v>protein_coding</v>
      </c>
    </row>
    <row r="2239" spans="1:9" x14ac:dyDescent="0.2">
      <c r="A2239" s="3" t="str">
        <f>"ENSG00000075624.15"</f>
        <v>ENSG00000075624.15</v>
      </c>
      <c r="B2239" s="3">
        <v>85702.251461057793</v>
      </c>
      <c r="C2239" s="3">
        <v>-1.6653572087144399</v>
      </c>
      <c r="D2239" s="3">
        <v>0.20318982136109801</v>
      </c>
      <c r="E2239" s="3">
        <v>-8.1960661098021195</v>
      </c>
      <c r="F2239" s="4">
        <v>2.48381768711225E-16</v>
      </c>
      <c r="G2239" s="4">
        <v>6.9986122565405798E-15</v>
      </c>
      <c r="H2239" s="3" t="str">
        <f>"ACTB"</f>
        <v>ACTB</v>
      </c>
      <c r="I2239" s="3" t="str">
        <f t="shared" si="110"/>
        <v>protein_coding</v>
      </c>
    </row>
    <row r="2240" spans="1:9" x14ac:dyDescent="0.2">
      <c r="A2240" s="3" t="str">
        <f>"ENSG00000136240.10"</f>
        <v>ENSG00000136240.10</v>
      </c>
      <c r="B2240" s="3">
        <v>5933.5113371277002</v>
      </c>
      <c r="C2240" s="3">
        <v>-1.00410478432018</v>
      </c>
      <c r="D2240" s="3">
        <v>0.173828823428753</v>
      </c>
      <c r="E2240" s="3">
        <v>-5.77639981974409</v>
      </c>
      <c r="F2240" s="4">
        <v>7.6315905871980204E-9</v>
      </c>
      <c r="G2240" s="4">
        <v>9.2293807691693094E-8</v>
      </c>
      <c r="H2240" s="3" t="str">
        <f>"KDELR2"</f>
        <v>KDELR2</v>
      </c>
      <c r="I2240" s="3" t="str">
        <f t="shared" si="110"/>
        <v>protein_coding</v>
      </c>
    </row>
    <row r="2241" spans="1:9" x14ac:dyDescent="0.2">
      <c r="A2241" s="3" t="str">
        <f>"ENSG00000236609.4"</f>
        <v>ENSG00000236609.4</v>
      </c>
      <c r="B2241" s="3">
        <v>406.46539136414799</v>
      </c>
      <c r="C2241" s="3">
        <v>-1.40380108717665</v>
      </c>
      <c r="D2241" s="3">
        <v>0.258304189815033</v>
      </c>
      <c r="E2241" s="3">
        <v>-5.4346818306814404</v>
      </c>
      <c r="F2241" s="4">
        <v>5.4894294141949801E-8</v>
      </c>
      <c r="G2241" s="4">
        <v>5.8312079239208902E-7</v>
      </c>
      <c r="H2241" s="3" t="str">
        <f>"ZNF853"</f>
        <v>ZNF853</v>
      </c>
      <c r="I2241" s="3" t="str">
        <f t="shared" si="110"/>
        <v>protein_coding</v>
      </c>
    </row>
    <row r="2242" spans="1:9" x14ac:dyDescent="0.2">
      <c r="A2242" s="3" t="str">
        <f>"ENSG00000241539.1"</f>
        <v>ENSG00000241539.1</v>
      </c>
      <c r="B2242" s="3">
        <v>4.4419206987007298</v>
      </c>
      <c r="C2242" s="3">
        <v>5.5494320654361804</v>
      </c>
      <c r="D2242" s="3">
        <v>2.0968136374099</v>
      </c>
      <c r="E2242" s="3">
        <v>2.64660242876479</v>
      </c>
      <c r="F2242" s="3">
        <v>8.1304878157815001E-3</v>
      </c>
      <c r="G2242" s="3">
        <v>2.6730449100916698E-2</v>
      </c>
      <c r="H2242" s="3" t="str">
        <f>"AC079804.1"</f>
        <v>AC079804.1</v>
      </c>
      <c r="I2242" s="3" t="str">
        <f>"processed_pseudogene"</f>
        <v>processed_pseudogene</v>
      </c>
    </row>
    <row r="2243" spans="1:9" x14ac:dyDescent="0.2">
      <c r="A2243" s="3" t="str">
        <f>"ENSG00000106392.10"</f>
        <v>ENSG00000106392.10</v>
      </c>
      <c r="B2243" s="3">
        <v>5865.2951308517204</v>
      </c>
      <c r="C2243" s="3">
        <v>-1.0206109223726301</v>
      </c>
      <c r="D2243" s="3">
        <v>0.18809849827648001</v>
      </c>
      <c r="E2243" s="3">
        <v>-5.4259387061797204</v>
      </c>
      <c r="F2243" s="4">
        <v>5.7650741759574398E-8</v>
      </c>
      <c r="G2243" s="4">
        <v>6.1088250564446905E-7</v>
      </c>
      <c r="H2243" s="3" t="str">
        <f>"C1GALT1"</f>
        <v>C1GALT1</v>
      </c>
      <c r="I2243" s="3" t="str">
        <f t="shared" ref="I2243:I2248" si="111">"protein_coding"</f>
        <v>protein_coding</v>
      </c>
    </row>
    <row r="2244" spans="1:9" x14ac:dyDescent="0.2">
      <c r="A2244" s="3" t="str">
        <f>"ENSG00000215018.9"</f>
        <v>ENSG00000215018.9</v>
      </c>
      <c r="B2244" s="3">
        <v>25.674146846477001</v>
      </c>
      <c r="C2244" s="3">
        <v>3.7297683688207401</v>
      </c>
      <c r="D2244" s="3">
        <v>0.86802306318574995</v>
      </c>
      <c r="E2244" s="3">
        <v>4.2968539973258704</v>
      </c>
      <c r="F2244" s="4">
        <v>1.7323921623603199E-5</v>
      </c>
      <c r="G2244" s="3">
        <v>1.16693422120721E-4</v>
      </c>
      <c r="H2244" s="3" t="str">
        <f>"COL28A1"</f>
        <v>COL28A1</v>
      </c>
      <c r="I2244" s="3" t="str">
        <f t="shared" si="111"/>
        <v>protein_coding</v>
      </c>
    </row>
    <row r="2245" spans="1:9" x14ac:dyDescent="0.2">
      <c r="A2245" s="3" t="str">
        <f>"ENSG00000106415.13"</f>
        <v>ENSG00000106415.13</v>
      </c>
      <c r="B2245" s="3">
        <v>522.98301094993201</v>
      </c>
      <c r="C2245" s="3">
        <v>-1.3349299370110901</v>
      </c>
      <c r="D2245" s="3">
        <v>0.235990641147797</v>
      </c>
      <c r="E2245" s="3">
        <v>-5.6567071071901003</v>
      </c>
      <c r="F2245" s="4">
        <v>1.5430475319177201E-8</v>
      </c>
      <c r="G2245" s="4">
        <v>1.7878823772177701E-7</v>
      </c>
      <c r="H2245" s="3" t="str">
        <f>"GLCCI1"</f>
        <v>GLCCI1</v>
      </c>
      <c r="I2245" s="3" t="str">
        <f t="shared" si="111"/>
        <v>protein_coding</v>
      </c>
    </row>
    <row r="2246" spans="1:9" x14ac:dyDescent="0.2">
      <c r="A2246" s="3" t="str">
        <f>"ENSG00000003147.19"</f>
        <v>ENSG00000003147.19</v>
      </c>
      <c r="B2246" s="3">
        <v>10.103664017864601</v>
      </c>
      <c r="C2246" s="3">
        <v>3.5892170970571402</v>
      </c>
      <c r="D2246" s="3">
        <v>1.2853345500103801</v>
      </c>
      <c r="E2246" s="3">
        <v>2.7924380442649501</v>
      </c>
      <c r="F2246" s="3">
        <v>5.2312484488706203E-3</v>
      </c>
      <c r="G2246" s="3">
        <v>1.8429768100126399E-2</v>
      </c>
      <c r="H2246" s="3" t="str">
        <f>"ICA1"</f>
        <v>ICA1</v>
      </c>
      <c r="I2246" s="3" t="str">
        <f t="shared" si="111"/>
        <v>protein_coding</v>
      </c>
    </row>
    <row r="2247" spans="1:9" x14ac:dyDescent="0.2">
      <c r="A2247" s="3" t="str">
        <f>"ENSG00000136267.13"</f>
        <v>ENSG00000136267.13</v>
      </c>
      <c r="B2247" s="3">
        <v>4.0010518602740399</v>
      </c>
      <c r="C2247" s="3">
        <v>5.39773571786733</v>
      </c>
      <c r="D2247" s="3">
        <v>2.1532629357120299</v>
      </c>
      <c r="E2247" s="3">
        <v>2.5067703661942402</v>
      </c>
      <c r="F2247" s="3">
        <v>1.2183983780147E-2</v>
      </c>
      <c r="G2247" s="3">
        <v>3.74945794056546E-2</v>
      </c>
      <c r="H2247" s="3" t="str">
        <f>"DGKB"</f>
        <v>DGKB</v>
      </c>
      <c r="I2247" s="3" t="str">
        <f t="shared" si="111"/>
        <v>protein_coding</v>
      </c>
    </row>
    <row r="2248" spans="1:9" x14ac:dyDescent="0.2">
      <c r="A2248" s="3" t="str">
        <f>"ENSG00000214960.10"</f>
        <v>ENSG00000214960.10</v>
      </c>
      <c r="B2248" s="3">
        <v>99.874497669145299</v>
      </c>
      <c r="C2248" s="3">
        <v>2.4695927506126401</v>
      </c>
      <c r="D2248" s="3">
        <v>0.40830689928832298</v>
      </c>
      <c r="E2248" s="3">
        <v>6.0483737965660902</v>
      </c>
      <c r="F2248" s="4">
        <v>1.46315169759501E-9</v>
      </c>
      <c r="G2248" s="4">
        <v>1.9447070392376301E-8</v>
      </c>
      <c r="H2248" s="3" t="str">
        <f>"ISPD"</f>
        <v>ISPD</v>
      </c>
      <c r="I2248" s="3" t="str">
        <f t="shared" si="111"/>
        <v>protein_coding</v>
      </c>
    </row>
    <row r="2249" spans="1:9" x14ac:dyDescent="0.2">
      <c r="A2249" s="3" t="str">
        <f>"ENSG00000236039.2"</f>
        <v>ENSG00000236039.2</v>
      </c>
      <c r="B2249" s="3">
        <v>14.913852815326001</v>
      </c>
      <c r="C2249" s="3">
        <v>3.7420023897637198</v>
      </c>
      <c r="D2249" s="3">
        <v>1.0904863155097999</v>
      </c>
      <c r="E2249" s="3">
        <v>3.4314987144193001</v>
      </c>
      <c r="F2249" s="3">
        <v>6.0025597532234096E-4</v>
      </c>
      <c r="G2249" s="3">
        <v>2.8150042271269898E-3</v>
      </c>
      <c r="H2249" s="3" t="str">
        <f>"AC019117.1"</f>
        <v>AC019117.1</v>
      </c>
      <c r="I2249" s="3" t="str">
        <f>"lincRNA"</f>
        <v>lincRNA</v>
      </c>
    </row>
    <row r="2250" spans="1:9" x14ac:dyDescent="0.2">
      <c r="A2250" s="3" t="str">
        <f>"ENSG00000048052.21"</f>
        <v>ENSG00000048052.21</v>
      </c>
      <c r="B2250" s="3">
        <v>14.3885657669368</v>
      </c>
      <c r="C2250" s="3">
        <v>5.7686788330118901</v>
      </c>
      <c r="D2250" s="3">
        <v>1.67667332637914</v>
      </c>
      <c r="E2250" s="3">
        <v>3.4405502504591201</v>
      </c>
      <c r="F2250" s="3">
        <v>5.8053262626134002E-4</v>
      </c>
      <c r="G2250" s="3">
        <v>2.73474627727225E-3</v>
      </c>
      <c r="H2250" s="3" t="str">
        <f>"HDAC9"</f>
        <v>HDAC9</v>
      </c>
      <c r="I2250" s="3" t="str">
        <f>"protein_coding"</f>
        <v>protein_coding</v>
      </c>
    </row>
    <row r="2251" spans="1:9" x14ac:dyDescent="0.2">
      <c r="A2251" s="3" t="str">
        <f>"ENSG00000105877.18"</f>
        <v>ENSG00000105877.18</v>
      </c>
      <c r="B2251" s="3">
        <v>18.724777941590201</v>
      </c>
      <c r="C2251" s="3">
        <v>6.1590819797757401</v>
      </c>
      <c r="D2251" s="3">
        <v>1.61450855336062</v>
      </c>
      <c r="E2251" s="3">
        <v>3.8148339115054699</v>
      </c>
      <c r="F2251" s="3">
        <v>1.3627455715501801E-4</v>
      </c>
      <c r="G2251" s="3">
        <v>7.5668898691721596E-4</v>
      </c>
      <c r="H2251" s="3" t="str">
        <f>"DNAH11"</f>
        <v>DNAH11</v>
      </c>
      <c r="I2251" s="3" t="str">
        <f>"protein_coding"</f>
        <v>protein_coding</v>
      </c>
    </row>
    <row r="2252" spans="1:9" x14ac:dyDescent="0.2">
      <c r="A2252" s="3" t="str">
        <f>"ENSG00000164649.20"</f>
        <v>ENSG00000164649.20</v>
      </c>
      <c r="B2252" s="3">
        <v>398.27699765115898</v>
      </c>
      <c r="C2252" s="3">
        <v>-2.1883750494538798</v>
      </c>
      <c r="D2252" s="3">
        <v>0.25326712738131402</v>
      </c>
      <c r="E2252" s="3">
        <v>-8.6405806868062403</v>
      </c>
      <c r="F2252" s="4">
        <v>5.5928025598931598E-18</v>
      </c>
      <c r="G2252" s="4">
        <v>1.80767605396689E-16</v>
      </c>
      <c r="H2252" s="3" t="str">
        <f>"CDCA7L"</f>
        <v>CDCA7L</v>
      </c>
      <c r="I2252" s="3" t="str">
        <f>"protein_coding"</f>
        <v>protein_coding</v>
      </c>
    </row>
    <row r="2253" spans="1:9" x14ac:dyDescent="0.2">
      <c r="A2253" s="3" t="str">
        <f>"ENSG00000196683.10"</f>
        <v>ENSG00000196683.10</v>
      </c>
      <c r="B2253" s="3">
        <v>1056.9459273422899</v>
      </c>
      <c r="C2253" s="3">
        <v>-1.03275658619623</v>
      </c>
      <c r="D2253" s="3">
        <v>0.232594905780897</v>
      </c>
      <c r="E2253" s="3">
        <v>-4.4401513555463401</v>
      </c>
      <c r="F2253" s="4">
        <v>8.9895630960468598E-6</v>
      </c>
      <c r="G2253" s="4">
        <v>6.4644662358930805E-5</v>
      </c>
      <c r="H2253" s="3" t="str">
        <f>"TOMM7"</f>
        <v>TOMM7</v>
      </c>
      <c r="I2253" s="3" t="str">
        <f>"protein_coding"</f>
        <v>protein_coding</v>
      </c>
    </row>
    <row r="2254" spans="1:9" x14ac:dyDescent="0.2">
      <c r="A2254" s="3" t="str">
        <f>"ENSG00000230658.1"</f>
        <v>ENSG00000230658.1</v>
      </c>
      <c r="B2254" s="3">
        <v>92.185247226789798</v>
      </c>
      <c r="C2254" s="3">
        <v>3.1561955331023799</v>
      </c>
      <c r="D2254" s="3">
        <v>0.44488208467520501</v>
      </c>
      <c r="E2254" s="3">
        <v>7.0944541077814502</v>
      </c>
      <c r="F2254" s="4">
        <v>1.2986305882238299E-12</v>
      </c>
      <c r="G2254" s="4">
        <v>2.5364722320670099E-11</v>
      </c>
      <c r="H2254" s="3" t="str">
        <f>"KLHL7-DT"</f>
        <v>KLHL7-DT</v>
      </c>
      <c r="I2254" s="3" t="str">
        <f>"lincRNA"</f>
        <v>lincRNA</v>
      </c>
    </row>
    <row r="2255" spans="1:9" x14ac:dyDescent="0.2">
      <c r="A2255" s="3" t="str">
        <f>"ENSG00000122550.18"</f>
        <v>ENSG00000122550.18</v>
      </c>
      <c r="B2255" s="3">
        <v>1026.98673338188</v>
      </c>
      <c r="C2255" s="3">
        <v>1.1312184401513301</v>
      </c>
      <c r="D2255" s="3">
        <v>0.20380195428417999</v>
      </c>
      <c r="E2255" s="3">
        <v>5.5505770007188602</v>
      </c>
      <c r="F2255" s="4">
        <v>2.8472826483166999E-8</v>
      </c>
      <c r="G2255" s="4">
        <v>3.17560009491139E-7</v>
      </c>
      <c r="H2255" s="3" t="str">
        <f>"KLHL7"</f>
        <v>KLHL7</v>
      </c>
      <c r="I2255" s="3" t="str">
        <f>"protein_coding"</f>
        <v>protein_coding</v>
      </c>
    </row>
    <row r="2256" spans="1:9" x14ac:dyDescent="0.2">
      <c r="A2256" s="3" t="str">
        <f>"ENSG00000230042.1"</f>
        <v>ENSG00000230042.1</v>
      </c>
      <c r="B2256" s="3">
        <v>45.906079424342103</v>
      </c>
      <c r="C2256" s="3">
        <v>2.1917090295342998</v>
      </c>
      <c r="D2256" s="3">
        <v>0.54545831886875495</v>
      </c>
      <c r="E2256" s="3">
        <v>4.0181054238567002</v>
      </c>
      <c r="F2256" s="4">
        <v>5.8667949500325898E-5</v>
      </c>
      <c r="G2256" s="3">
        <v>3.5412618964009298E-4</v>
      </c>
      <c r="H2256" s="3" t="str">
        <f>"AK3P3"</f>
        <v>AK3P3</v>
      </c>
      <c r="I2256" s="3" t="str">
        <f>"processed_pseudogene"</f>
        <v>processed_pseudogene</v>
      </c>
    </row>
    <row r="2257" spans="1:9" x14ac:dyDescent="0.2">
      <c r="A2257" s="3" t="str">
        <f>"ENSG00000196335.13"</f>
        <v>ENSG00000196335.13</v>
      </c>
      <c r="B2257" s="3">
        <v>9.3609483406348808</v>
      </c>
      <c r="C2257" s="3">
        <v>6.62475514511467</v>
      </c>
      <c r="D2257" s="3">
        <v>1.78612402187537</v>
      </c>
      <c r="E2257" s="3">
        <v>3.70901184015145</v>
      </c>
      <c r="F2257" s="3">
        <v>2.0806969911946901E-4</v>
      </c>
      <c r="G2257" s="3">
        <v>1.1055528650366999E-3</v>
      </c>
      <c r="H2257" s="3" t="str">
        <f>"STK31"</f>
        <v>STK31</v>
      </c>
      <c r="I2257" s="3" t="str">
        <f>"protein_coding"</f>
        <v>protein_coding</v>
      </c>
    </row>
    <row r="2258" spans="1:9" x14ac:dyDescent="0.2">
      <c r="A2258" s="3" t="str">
        <f>"ENSG00000105926.15"</f>
        <v>ENSG00000105926.15</v>
      </c>
      <c r="B2258" s="3">
        <v>860.69534956805501</v>
      </c>
      <c r="C2258" s="3">
        <v>-1.1198195210725299</v>
      </c>
      <c r="D2258" s="3">
        <v>0.244605961031403</v>
      </c>
      <c r="E2258" s="3">
        <v>-4.5780549106436803</v>
      </c>
      <c r="F2258" s="4">
        <v>4.6931951027531796E-6</v>
      </c>
      <c r="G2258" s="4">
        <v>3.56392834202913E-5</v>
      </c>
      <c r="H2258" s="3" t="str">
        <f>"MPP6"</f>
        <v>MPP6</v>
      </c>
      <c r="I2258" s="3" t="str">
        <f>"protein_coding"</f>
        <v>protein_coding</v>
      </c>
    </row>
    <row r="2259" spans="1:9" x14ac:dyDescent="0.2">
      <c r="A2259" s="3" t="str">
        <f>"ENSG00000105928.15"</f>
        <v>ENSG00000105928.15</v>
      </c>
      <c r="B2259" s="3">
        <v>3601.5221891223</v>
      </c>
      <c r="C2259" s="3">
        <v>2.60840369130959</v>
      </c>
      <c r="D2259" s="3">
        <v>0.17809615397196599</v>
      </c>
      <c r="E2259" s="3">
        <v>14.646041664213501</v>
      </c>
      <c r="F2259" s="4">
        <v>1.4279588556907901E-48</v>
      </c>
      <c r="G2259" s="4">
        <v>2.6467751660548901E-46</v>
      </c>
      <c r="H2259" s="3" t="str">
        <f>"GSDME"</f>
        <v>GSDME</v>
      </c>
      <c r="I2259" s="3" t="str">
        <f>"protein_coding"</f>
        <v>protein_coding</v>
      </c>
    </row>
    <row r="2260" spans="1:9" x14ac:dyDescent="0.2">
      <c r="A2260" s="3" t="str">
        <f>"ENSG00000070882.13"</f>
        <v>ENSG00000070882.13</v>
      </c>
      <c r="B2260" s="3">
        <v>4439.0544862711504</v>
      </c>
      <c r="C2260" s="3">
        <v>1.04258280060018</v>
      </c>
      <c r="D2260" s="3">
        <v>0.17225461221403501</v>
      </c>
      <c r="E2260" s="3">
        <v>6.0525682720455203</v>
      </c>
      <c r="F2260" s="4">
        <v>1.4255454943662101E-9</v>
      </c>
      <c r="G2260" s="4">
        <v>1.8975006392279601E-8</v>
      </c>
      <c r="H2260" s="3" t="str">
        <f>"OSBPL3"</f>
        <v>OSBPL3</v>
      </c>
      <c r="I2260" s="3" t="str">
        <f>"protein_coding"</f>
        <v>protein_coding</v>
      </c>
    </row>
    <row r="2261" spans="1:9" x14ac:dyDescent="0.2">
      <c r="A2261" s="3" t="str">
        <f>"ENSG00000234999.1"</f>
        <v>ENSG00000234999.1</v>
      </c>
      <c r="B2261" s="3">
        <v>36.6282543261878</v>
      </c>
      <c r="C2261" s="3">
        <v>1.5009594040171901</v>
      </c>
      <c r="D2261" s="3">
        <v>0.58470066115160402</v>
      </c>
      <c r="E2261" s="3">
        <v>2.56705610878045</v>
      </c>
      <c r="F2261" s="3">
        <v>1.02566014629297E-2</v>
      </c>
      <c r="G2261" s="3">
        <v>3.2503096075883399E-2</v>
      </c>
      <c r="H2261" s="3" t="str">
        <f>"SNRPCP19"</f>
        <v>SNRPCP19</v>
      </c>
      <c r="I2261" s="3" t="str">
        <f>"processed_pseudogene"</f>
        <v>processed_pseudogene</v>
      </c>
    </row>
    <row r="2262" spans="1:9" x14ac:dyDescent="0.2">
      <c r="A2262" s="3" t="str">
        <f>"ENSG00000050344.9"</f>
        <v>ENSG00000050344.9</v>
      </c>
      <c r="B2262" s="3">
        <v>795.73017533243296</v>
      </c>
      <c r="C2262" s="3">
        <v>-1.3459651708845799</v>
      </c>
      <c r="D2262" s="3">
        <v>0.211469126033514</v>
      </c>
      <c r="E2262" s="3">
        <v>-6.3648306309795597</v>
      </c>
      <c r="F2262" s="4">
        <v>1.95505347998774E-10</v>
      </c>
      <c r="G2262" s="4">
        <v>2.9061288690248801E-9</v>
      </c>
      <c r="H2262" s="3" t="str">
        <f>"NFE2L3"</f>
        <v>NFE2L3</v>
      </c>
      <c r="I2262" s="3" t="str">
        <f>"protein_coding"</f>
        <v>protein_coding</v>
      </c>
    </row>
    <row r="2263" spans="1:9" x14ac:dyDescent="0.2">
      <c r="A2263" s="3" t="str">
        <f>"ENSG00000122592.8"</f>
        <v>ENSG00000122592.8</v>
      </c>
      <c r="B2263" s="3">
        <v>62.362929805251497</v>
      </c>
      <c r="C2263" s="3">
        <v>2.61224048900637</v>
      </c>
      <c r="D2263" s="3">
        <v>0.49176086611784198</v>
      </c>
      <c r="E2263" s="3">
        <v>5.3120137631699897</v>
      </c>
      <c r="F2263" s="4">
        <v>1.08420412827442E-7</v>
      </c>
      <c r="G2263" s="4">
        <v>1.095745915545E-6</v>
      </c>
      <c r="H2263" s="3" t="str">
        <f>"HOXA7"</f>
        <v>HOXA7</v>
      </c>
      <c r="I2263" s="3" t="str">
        <f>"protein_coding"</f>
        <v>protein_coding</v>
      </c>
    </row>
    <row r="2264" spans="1:9" x14ac:dyDescent="0.2">
      <c r="A2264" s="3" t="str">
        <f>"ENSG00000078399.18"</f>
        <v>ENSG00000078399.18</v>
      </c>
      <c r="B2264" s="3">
        <v>6.3562355223277303</v>
      </c>
      <c r="C2264" s="3">
        <v>4.5591433939742698</v>
      </c>
      <c r="D2264" s="3">
        <v>1.8946246447728401</v>
      </c>
      <c r="E2264" s="3">
        <v>2.4063570620981301</v>
      </c>
      <c r="F2264" s="3">
        <v>1.6112507932879199E-2</v>
      </c>
      <c r="G2264" s="3">
        <v>4.7241741487911298E-2</v>
      </c>
      <c r="H2264" s="3" t="str">
        <f>"HOXA9"</f>
        <v>HOXA9</v>
      </c>
      <c r="I2264" s="3" t="str">
        <f>"protein_coding"</f>
        <v>protein_coding</v>
      </c>
    </row>
    <row r="2265" spans="1:9" x14ac:dyDescent="0.2">
      <c r="A2265" s="3" t="str">
        <f>"ENSG00000253293.5"</f>
        <v>ENSG00000253293.5</v>
      </c>
      <c r="B2265" s="3">
        <v>25.382074608804</v>
      </c>
      <c r="C2265" s="3">
        <v>2.24483208623603</v>
      </c>
      <c r="D2265" s="3">
        <v>0.76470674391580695</v>
      </c>
      <c r="E2265" s="3">
        <v>2.9355463438716298</v>
      </c>
      <c r="F2265" s="3">
        <v>3.3296087084864799E-3</v>
      </c>
      <c r="G2265" s="3">
        <v>1.2534104515077501E-2</v>
      </c>
      <c r="H2265" s="3" t="str">
        <f>"HOXA10"</f>
        <v>HOXA10</v>
      </c>
      <c r="I2265" s="3" t="str">
        <f>"protein_coding"</f>
        <v>protein_coding</v>
      </c>
    </row>
    <row r="2266" spans="1:9" x14ac:dyDescent="0.2">
      <c r="A2266" s="3" t="str">
        <f>"ENSG00000005073.5"</f>
        <v>ENSG00000005073.5</v>
      </c>
      <c r="B2266" s="3">
        <v>10.466001697022</v>
      </c>
      <c r="C2266" s="3">
        <v>5.3022680170635104</v>
      </c>
      <c r="D2266" s="3">
        <v>1.73325181959335</v>
      </c>
      <c r="E2266" s="3">
        <v>3.0591446419525501</v>
      </c>
      <c r="F2266" s="3">
        <v>2.2196995187163801E-3</v>
      </c>
      <c r="G2266" s="3">
        <v>8.8060793224323097E-3</v>
      </c>
      <c r="H2266" s="3" t="str">
        <f>"HOXA11"</f>
        <v>HOXA11</v>
      </c>
      <c r="I2266" s="3" t="str">
        <f>"protein_coding"</f>
        <v>protein_coding</v>
      </c>
    </row>
    <row r="2267" spans="1:9" x14ac:dyDescent="0.2">
      <c r="A2267" s="3" t="str">
        <f>"ENSG00000240990.10"</f>
        <v>ENSG00000240990.10</v>
      </c>
      <c r="B2267" s="3">
        <v>6.9363376282506204</v>
      </c>
      <c r="C2267" s="3">
        <v>4.7008550199375101</v>
      </c>
      <c r="D2267" s="3">
        <v>1.878229044494</v>
      </c>
      <c r="E2267" s="3">
        <v>2.5028124411758998</v>
      </c>
      <c r="F2267" s="3">
        <v>1.23210819562979E-2</v>
      </c>
      <c r="G2267" s="3">
        <v>3.78566215677998E-2</v>
      </c>
      <c r="H2267" s="3" t="str">
        <f>"HOXA11-AS"</f>
        <v>HOXA11-AS</v>
      </c>
      <c r="I2267" s="3" t="str">
        <f>"antisense"</f>
        <v>antisense</v>
      </c>
    </row>
    <row r="2268" spans="1:9" x14ac:dyDescent="0.2">
      <c r="A2268" s="3" t="str">
        <f>"ENSG00000153814.13"</f>
        <v>ENSG00000153814.13</v>
      </c>
      <c r="B2268" s="3">
        <v>7.2653184629216598</v>
      </c>
      <c r="C2268" s="3">
        <v>6.2546498169165003</v>
      </c>
      <c r="D2268" s="3">
        <v>1.87690904629221</v>
      </c>
      <c r="E2268" s="3">
        <v>3.3324203052206598</v>
      </c>
      <c r="F2268" s="3">
        <v>8.6094124409860596E-4</v>
      </c>
      <c r="G2268" s="3">
        <v>3.8716068786853802E-3</v>
      </c>
      <c r="H2268" s="3" t="str">
        <f>"JAZF1"</f>
        <v>JAZF1</v>
      </c>
      <c r="I2268" s="3" t="str">
        <f>"protein_coding"</f>
        <v>protein_coding</v>
      </c>
    </row>
    <row r="2269" spans="1:9" x14ac:dyDescent="0.2">
      <c r="A2269" s="3" t="str">
        <f>"ENSG00000272568.5"</f>
        <v>ENSG00000272568.5</v>
      </c>
      <c r="B2269" s="3">
        <v>44.796775359346398</v>
      </c>
      <c r="C2269" s="3">
        <v>1.8930589153714199</v>
      </c>
      <c r="D2269" s="3">
        <v>0.56853010697668405</v>
      </c>
      <c r="E2269" s="3">
        <v>3.3297425978692399</v>
      </c>
      <c r="F2269" s="3">
        <v>8.6926302336991299E-4</v>
      </c>
      <c r="G2269" s="3">
        <v>3.9038749955101399E-3</v>
      </c>
      <c r="H2269" s="3" t="str">
        <f>"AC005162.3"</f>
        <v>AC005162.3</v>
      </c>
      <c r="I2269" s="3" t="str">
        <f>"antisense"</f>
        <v>antisense</v>
      </c>
    </row>
    <row r="2270" spans="1:9" x14ac:dyDescent="0.2">
      <c r="A2270" s="3" t="str">
        <f>"ENSG00000235669.1"</f>
        <v>ENSG00000235669.1</v>
      </c>
      <c r="B2270" s="3">
        <v>27.773248419218199</v>
      </c>
      <c r="C2270" s="3">
        <v>2.63418752462661</v>
      </c>
      <c r="D2270" s="3">
        <v>0.72798599211271697</v>
      </c>
      <c r="E2270" s="3">
        <v>3.6184590818592901</v>
      </c>
      <c r="F2270" s="3">
        <v>2.9636234452648801E-4</v>
      </c>
      <c r="G2270" s="3">
        <v>1.50680813609129E-3</v>
      </c>
      <c r="H2270" s="3" t="str">
        <f>"AC004593.1"</f>
        <v>AC004593.1</v>
      </c>
      <c r="I2270" s="3" t="str">
        <f>"antisense"</f>
        <v>antisense</v>
      </c>
    </row>
    <row r="2271" spans="1:9" x14ac:dyDescent="0.2">
      <c r="A2271" s="3" t="str">
        <f>"ENSG00000225264.3"</f>
        <v>ENSG00000225264.3</v>
      </c>
      <c r="B2271" s="3">
        <v>34.848926718528098</v>
      </c>
      <c r="C2271" s="3">
        <v>-1.8630220794780701</v>
      </c>
      <c r="D2271" s="3">
        <v>0.60211741623336801</v>
      </c>
      <c r="E2271" s="3">
        <v>-3.09411757449646</v>
      </c>
      <c r="F2271" s="3">
        <v>1.9739924097065199E-3</v>
      </c>
      <c r="G2271" s="3">
        <v>7.9634840372036497E-3</v>
      </c>
      <c r="H2271" s="3" t="str">
        <f>"ZNRF2P2"</f>
        <v>ZNRF2P2</v>
      </c>
      <c r="I2271" s="3" t="str">
        <f>"transcribed_processed_pseudogene"</f>
        <v>transcribed_processed_pseudogene</v>
      </c>
    </row>
    <row r="2272" spans="1:9" x14ac:dyDescent="0.2">
      <c r="A2272" s="3" t="str">
        <f>"ENSG00000122574.10"</f>
        <v>ENSG00000122574.10</v>
      </c>
      <c r="B2272" s="3">
        <v>954.77241409755902</v>
      </c>
      <c r="C2272" s="3">
        <v>7.4526614579269896</v>
      </c>
      <c r="D2272" s="3">
        <v>0.37592334198042499</v>
      </c>
      <c r="E2272" s="3">
        <v>19.824949998223499</v>
      </c>
      <c r="F2272" s="4">
        <v>1.81361287132855E-87</v>
      </c>
      <c r="G2272" s="4">
        <v>1.54423468453403E-84</v>
      </c>
      <c r="H2272" s="3" t="str">
        <f>"WIPF3"</f>
        <v>WIPF3</v>
      </c>
      <c r="I2272" s="3" t="str">
        <f>"protein_coding"</f>
        <v>protein_coding</v>
      </c>
    </row>
    <row r="2273" spans="1:9" x14ac:dyDescent="0.2">
      <c r="A2273" s="3" t="str">
        <f>"ENSG00000238906.1"</f>
        <v>ENSG00000238906.1</v>
      </c>
      <c r="B2273" s="3">
        <v>12.151113790422</v>
      </c>
      <c r="C2273" s="3">
        <v>7.0012937724675401</v>
      </c>
      <c r="D2273" s="3">
        <v>1.7163538602120301</v>
      </c>
      <c r="E2273" s="3">
        <v>4.0791668517601796</v>
      </c>
      <c r="F2273" s="4">
        <v>4.5197389900363102E-5</v>
      </c>
      <c r="G2273" s="3">
        <v>2.7912359080126798E-4</v>
      </c>
      <c r="H2273" s="3" t="str">
        <f>"RF01210"</f>
        <v>RF01210</v>
      </c>
      <c r="I2273" s="3" t="str">
        <f>"snoRNA"</f>
        <v>snoRNA</v>
      </c>
    </row>
    <row r="2274" spans="1:9" x14ac:dyDescent="0.2">
      <c r="A2274" s="3" t="str">
        <f>"ENSG00000106080.10"</f>
        <v>ENSG00000106080.10</v>
      </c>
      <c r="B2274" s="3">
        <v>977.79008511889901</v>
      </c>
      <c r="C2274" s="3">
        <v>-1.53491303644593</v>
      </c>
      <c r="D2274" s="3">
        <v>0.21762890209462299</v>
      </c>
      <c r="E2274" s="3">
        <v>-7.0528915124451697</v>
      </c>
      <c r="F2274" s="4">
        <v>1.7523747848079999E-12</v>
      </c>
      <c r="G2274" s="4">
        <v>3.3672042145037798E-11</v>
      </c>
      <c r="H2274" s="3" t="str">
        <f>"FKBP14"</f>
        <v>FKBP14</v>
      </c>
      <c r="I2274" s="3" t="str">
        <f>"protein_coding"</f>
        <v>protein_coding</v>
      </c>
    </row>
    <row r="2275" spans="1:9" x14ac:dyDescent="0.2">
      <c r="A2275" s="3" t="str">
        <f>"ENSG00000106100.11"</f>
        <v>ENSG00000106100.11</v>
      </c>
      <c r="B2275" s="3">
        <v>155.51079199650201</v>
      </c>
      <c r="C2275" s="3">
        <v>-1.32586534761552</v>
      </c>
      <c r="D2275" s="3">
        <v>0.31839568551449199</v>
      </c>
      <c r="E2275" s="3">
        <v>-4.1642063882651801</v>
      </c>
      <c r="F2275" s="4">
        <v>3.1243740050820699E-5</v>
      </c>
      <c r="G2275" s="3">
        <v>1.9934119384248399E-4</v>
      </c>
      <c r="H2275" s="3" t="str">
        <f>"NOD1"</f>
        <v>NOD1</v>
      </c>
      <c r="I2275" s="3" t="str">
        <f>"protein_coding"</f>
        <v>protein_coding</v>
      </c>
    </row>
    <row r="2276" spans="1:9" x14ac:dyDescent="0.2">
      <c r="A2276" s="3" t="str">
        <f>"ENSG00000272638.1"</f>
        <v>ENSG00000272638.1</v>
      </c>
      <c r="B2276" s="3">
        <v>21.988887982691399</v>
      </c>
      <c r="C2276" s="3">
        <v>-1.76920728852505</v>
      </c>
      <c r="D2276" s="3">
        <v>0.73947067965873603</v>
      </c>
      <c r="E2276" s="3">
        <v>-2.3925320329692199</v>
      </c>
      <c r="F2276" s="3">
        <v>1.6732567406223999E-2</v>
      </c>
      <c r="G2276" s="3">
        <v>4.8781539066700699E-2</v>
      </c>
      <c r="H2276" s="3" t="str">
        <f>"AC006027.1"</f>
        <v>AC006027.1</v>
      </c>
      <c r="I2276" s="3" t="str">
        <f>"antisense"</f>
        <v>antisense</v>
      </c>
    </row>
    <row r="2277" spans="1:9" x14ac:dyDescent="0.2">
      <c r="A2277" s="3" t="str">
        <f>"ENSG00000106105.14"</f>
        <v>ENSG00000106105.14</v>
      </c>
      <c r="B2277" s="3">
        <v>4270.5226410161404</v>
      </c>
      <c r="C2277" s="3">
        <v>-1.49454096507875</v>
      </c>
      <c r="D2277" s="3">
        <v>0.17970493070048399</v>
      </c>
      <c r="E2277" s="3">
        <v>-8.3166386100430394</v>
      </c>
      <c r="F2277" s="4">
        <v>9.04931465126729E-17</v>
      </c>
      <c r="G2277" s="4">
        <v>2.66270708750626E-15</v>
      </c>
      <c r="H2277" s="3" t="str">
        <f>"GARS"</f>
        <v>GARS</v>
      </c>
      <c r="I2277" s="3" t="str">
        <f>"protein_coding"</f>
        <v>protein_coding</v>
      </c>
    </row>
    <row r="2278" spans="1:9" x14ac:dyDescent="0.2">
      <c r="A2278" s="3" t="str">
        <f>"ENSG00000180347.13"</f>
        <v>ENSG00000180347.13</v>
      </c>
      <c r="B2278" s="3">
        <v>4.1097661746942604</v>
      </c>
      <c r="C2278" s="3">
        <v>5.4328693169605202</v>
      </c>
      <c r="D2278" s="3">
        <v>2.14332345947187</v>
      </c>
      <c r="E2278" s="3">
        <v>2.5347874082893802</v>
      </c>
      <c r="F2278" s="3">
        <v>1.1251558606317101E-2</v>
      </c>
      <c r="G2278" s="3">
        <v>3.5125024902190903E-2</v>
      </c>
      <c r="H2278" s="3" t="str">
        <f>"ITPRID1"</f>
        <v>ITPRID1</v>
      </c>
      <c r="I2278" s="3" t="str">
        <f>"protein_coding"</f>
        <v>protein_coding</v>
      </c>
    </row>
    <row r="2279" spans="1:9" x14ac:dyDescent="0.2">
      <c r="A2279" s="3" t="str">
        <f>"ENSG00000154678.17"</f>
        <v>ENSG00000154678.17</v>
      </c>
      <c r="B2279" s="3">
        <v>14.092773877789501</v>
      </c>
      <c r="C2279" s="3">
        <v>7.2122846348029999</v>
      </c>
      <c r="D2279" s="3">
        <v>1.67863821525521</v>
      </c>
      <c r="E2279" s="3">
        <v>4.29650925926674</v>
      </c>
      <c r="F2279" s="4">
        <v>1.73508724075293E-5</v>
      </c>
      <c r="G2279" s="3">
        <v>1.16817202986892E-4</v>
      </c>
      <c r="H2279" s="3" t="str">
        <f>"PDE1C"</f>
        <v>PDE1C</v>
      </c>
      <c r="I2279" s="3" t="str">
        <f>"protein_coding"</f>
        <v>protein_coding</v>
      </c>
    </row>
    <row r="2280" spans="1:9" x14ac:dyDescent="0.2">
      <c r="A2280" s="3" t="str">
        <f>"ENSG00000237004.4"</f>
        <v>ENSG00000237004.4</v>
      </c>
      <c r="B2280" s="3">
        <v>75.680443083495206</v>
      </c>
      <c r="C2280" s="3">
        <v>-1.60621624785247</v>
      </c>
      <c r="D2280" s="3">
        <v>0.435048135542207</v>
      </c>
      <c r="E2280" s="3">
        <v>-3.69204259627644</v>
      </c>
      <c r="F2280" s="3">
        <v>2.2246019381268E-4</v>
      </c>
      <c r="G2280" s="3">
        <v>1.16947190831837E-3</v>
      </c>
      <c r="H2280" s="3" t="str">
        <f>"ZNRF2P1"</f>
        <v>ZNRF2P1</v>
      </c>
      <c r="I2280" s="3" t="str">
        <f>"transcribed_processed_pseudogene"</f>
        <v>transcribed_processed_pseudogene</v>
      </c>
    </row>
    <row r="2281" spans="1:9" x14ac:dyDescent="0.2">
      <c r="A2281" s="3" t="str">
        <f>"ENSG00000281332.1"</f>
        <v>ENSG00000281332.1</v>
      </c>
      <c r="B2281" s="3">
        <v>176.84337358928599</v>
      </c>
      <c r="C2281" s="3">
        <v>-1.6091925010361601</v>
      </c>
      <c r="D2281" s="3">
        <v>0.30581458816311402</v>
      </c>
      <c r="E2281" s="3">
        <v>-5.26198737183151</v>
      </c>
      <c r="F2281" s="4">
        <v>1.4250655677363E-7</v>
      </c>
      <c r="G2281" s="4">
        <v>1.4073490947485E-6</v>
      </c>
      <c r="H2281" s="3" t="str">
        <f>"LINC00997"</f>
        <v>LINC00997</v>
      </c>
      <c r="I2281" s="3" t="str">
        <f>"lincRNA"</f>
        <v>lincRNA</v>
      </c>
    </row>
    <row r="2282" spans="1:9" x14ac:dyDescent="0.2">
      <c r="A2282" s="3" t="str">
        <f>"ENSG00000231952.3"</f>
        <v>ENSG00000231952.3</v>
      </c>
      <c r="B2282" s="3">
        <v>69.863264459550507</v>
      </c>
      <c r="C2282" s="3">
        <v>-1.51990985689442</v>
      </c>
      <c r="D2282" s="3">
        <v>0.46195515776408502</v>
      </c>
      <c r="E2282" s="3">
        <v>-3.2901675224300102</v>
      </c>
      <c r="F2282" s="3">
        <v>1.0012775205848099E-3</v>
      </c>
      <c r="G2282" s="3">
        <v>4.4252730905716504E-3</v>
      </c>
      <c r="H2282" s="3" t="str">
        <f>"DPY19L1P2"</f>
        <v>DPY19L1P2</v>
      </c>
      <c r="I2282" s="3" t="str">
        <f>"unprocessed_pseudogene"</f>
        <v>unprocessed_pseudogene</v>
      </c>
    </row>
    <row r="2283" spans="1:9" x14ac:dyDescent="0.2">
      <c r="A2283" s="3" t="str">
        <f>"ENSG00000238090.1"</f>
        <v>ENSG00000238090.1</v>
      </c>
      <c r="B2283" s="3">
        <v>16.064416284421199</v>
      </c>
      <c r="C2283" s="3">
        <v>2.3842558452947298</v>
      </c>
      <c r="D2283" s="3">
        <v>0.91409154800150205</v>
      </c>
      <c r="E2283" s="3">
        <v>2.6083337609974402</v>
      </c>
      <c r="F2283" s="3">
        <v>9.0984193000519294E-3</v>
      </c>
      <c r="G2283" s="3">
        <v>2.93830307773515E-2</v>
      </c>
      <c r="H2283" s="3" t="str">
        <f>"AC006195.1"</f>
        <v>AC006195.1</v>
      </c>
      <c r="I2283" s="3" t="str">
        <f>"processed_pseudogene"</f>
        <v>processed_pseudogene</v>
      </c>
    </row>
    <row r="2284" spans="1:9" x14ac:dyDescent="0.2">
      <c r="A2284" s="3" t="str">
        <f>"ENSG00000189212.12"</f>
        <v>ENSG00000189212.12</v>
      </c>
      <c r="B2284" s="3">
        <v>6.8244496244949699</v>
      </c>
      <c r="C2284" s="3">
        <v>6.1635651108011498</v>
      </c>
      <c r="D2284" s="3">
        <v>1.9075222193422701</v>
      </c>
      <c r="E2284" s="3">
        <v>3.2311891564368702</v>
      </c>
      <c r="F2284" s="3">
        <v>1.2327632861780301E-3</v>
      </c>
      <c r="G2284" s="3">
        <v>5.2971299887230603E-3</v>
      </c>
      <c r="H2284" s="3" t="str">
        <f>"DPY19L2P1"</f>
        <v>DPY19L2P1</v>
      </c>
      <c r="I2284" s="3" t="str">
        <f>"transcribed_unprocessed_pseudogene"</f>
        <v>transcribed_unprocessed_pseudogene</v>
      </c>
    </row>
    <row r="2285" spans="1:9" x14ac:dyDescent="0.2">
      <c r="A2285" s="3" t="str">
        <f>"ENSG00000155849.15"</f>
        <v>ENSG00000155849.15</v>
      </c>
      <c r="B2285" s="3">
        <v>15.056346509977701</v>
      </c>
      <c r="C2285" s="3">
        <v>2.4571076009833202</v>
      </c>
      <c r="D2285" s="3">
        <v>0.92834765454437296</v>
      </c>
      <c r="E2285" s="3">
        <v>2.6467537123140001</v>
      </c>
      <c r="F2285" s="3">
        <v>8.1268517141265106E-3</v>
      </c>
      <c r="G2285" s="3">
        <v>2.6730121759392201E-2</v>
      </c>
      <c r="H2285" s="3" t="str">
        <f>"ELMO1"</f>
        <v>ELMO1</v>
      </c>
      <c r="I2285" s="3" t="str">
        <f>"protein_coding"</f>
        <v>protein_coding</v>
      </c>
    </row>
    <row r="2286" spans="1:9" x14ac:dyDescent="0.2">
      <c r="A2286" s="3" t="str">
        <f>"ENSG00000106483.12"</f>
        <v>ENSG00000106483.12</v>
      </c>
      <c r="B2286" s="3">
        <v>146.273209806908</v>
      </c>
      <c r="C2286" s="3">
        <v>1.49399714082293</v>
      </c>
      <c r="D2286" s="3">
        <v>0.34291014146875698</v>
      </c>
      <c r="E2286" s="3">
        <v>4.3568181868982396</v>
      </c>
      <c r="F2286" s="4">
        <v>1.3196679810779899E-5</v>
      </c>
      <c r="G2286" s="4">
        <v>9.1330946102189303E-5</v>
      </c>
      <c r="H2286" s="3" t="str">
        <f>"SFRP4"</f>
        <v>SFRP4</v>
      </c>
      <c r="I2286" s="3" t="str">
        <f>"protein_coding"</f>
        <v>protein_coding</v>
      </c>
    </row>
    <row r="2287" spans="1:9" x14ac:dyDescent="0.2">
      <c r="A2287" s="3" t="str">
        <f>"ENSG00000078053.17"</f>
        <v>ENSG00000078053.17</v>
      </c>
      <c r="B2287" s="3">
        <v>9.4000677057620106</v>
      </c>
      <c r="C2287" s="3">
        <v>5.14095968639662</v>
      </c>
      <c r="D2287" s="3">
        <v>1.76625265914754</v>
      </c>
      <c r="E2287" s="3">
        <v>2.9106592761637202</v>
      </c>
      <c r="F2287" s="3">
        <v>3.6066708708441999E-3</v>
      </c>
      <c r="G2287" s="3">
        <v>1.3436007823064301E-2</v>
      </c>
      <c r="H2287" s="3" t="str">
        <f>"AMPH"</f>
        <v>AMPH</v>
      </c>
      <c r="I2287" s="3" t="str">
        <f>"protein_coding"</f>
        <v>protein_coding</v>
      </c>
    </row>
    <row r="2288" spans="1:9" x14ac:dyDescent="0.2">
      <c r="A2288" s="3" t="str">
        <f>"ENSG00000106536.19"</f>
        <v>ENSG00000106536.19</v>
      </c>
      <c r="B2288" s="3">
        <v>7.9209459377409601</v>
      </c>
      <c r="C2288" s="3">
        <v>3.8515640559895501</v>
      </c>
      <c r="D2288" s="3">
        <v>1.5227867050085</v>
      </c>
      <c r="E2288" s="3">
        <v>2.5292866317532301</v>
      </c>
      <c r="F2288" s="3">
        <v>1.14294644218272E-2</v>
      </c>
      <c r="G2288" s="3">
        <v>3.5553095120189997E-2</v>
      </c>
      <c r="H2288" s="3" t="str">
        <f>"POU6F2"</f>
        <v>POU6F2</v>
      </c>
      <c r="I2288" s="3" t="str">
        <f>"protein_coding"</f>
        <v>protein_coding</v>
      </c>
    </row>
    <row r="2289" spans="1:9" x14ac:dyDescent="0.2">
      <c r="A2289" s="3" t="str">
        <f>"ENSG00000175600.15"</f>
        <v>ENSG00000175600.15</v>
      </c>
      <c r="B2289" s="3">
        <v>727.29836154360601</v>
      </c>
      <c r="C2289" s="3">
        <v>1.3310115821180799</v>
      </c>
      <c r="D2289" s="3">
        <v>0.20950799705543999</v>
      </c>
      <c r="E2289" s="3">
        <v>6.3530347329217598</v>
      </c>
      <c r="F2289" s="4">
        <v>2.11108025432473E-10</v>
      </c>
      <c r="G2289" s="4">
        <v>3.1227254988917399E-9</v>
      </c>
      <c r="H2289" s="3" t="str">
        <f>"SUGCT"</f>
        <v>SUGCT</v>
      </c>
      <c r="I2289" s="3" t="str">
        <f>"protein_coding"</f>
        <v>protein_coding</v>
      </c>
    </row>
    <row r="2290" spans="1:9" x14ac:dyDescent="0.2">
      <c r="A2290" s="3" t="str">
        <f>"ENSG00000248711.1"</f>
        <v>ENSG00000248711.1</v>
      </c>
      <c r="B2290" s="3">
        <v>58.133444701775801</v>
      </c>
      <c r="C2290" s="3">
        <v>1.66444946994485</v>
      </c>
      <c r="D2290" s="3">
        <v>0.49773109922810099</v>
      </c>
      <c r="E2290" s="3">
        <v>3.3440736826092099</v>
      </c>
      <c r="F2290" s="3">
        <v>8.2557807457115198E-4</v>
      </c>
      <c r="G2290" s="3">
        <v>3.73291168234985E-3</v>
      </c>
      <c r="H2290" s="3" t="str">
        <f>"THUMPD3P1"</f>
        <v>THUMPD3P1</v>
      </c>
      <c r="I2290" s="3" t="str">
        <f>"unprocessed_pseudogene"</f>
        <v>unprocessed_pseudogene</v>
      </c>
    </row>
    <row r="2291" spans="1:9" x14ac:dyDescent="0.2">
      <c r="A2291" s="3" t="str">
        <f>"ENSG00000106571.14"</f>
        <v>ENSG00000106571.14</v>
      </c>
      <c r="B2291" s="3">
        <v>5.6528071091876697</v>
      </c>
      <c r="C2291" s="3">
        <v>5.89622484767896</v>
      </c>
      <c r="D2291" s="3">
        <v>1.9725902771652399</v>
      </c>
      <c r="E2291" s="3">
        <v>2.9890773141963698</v>
      </c>
      <c r="F2291" s="3">
        <v>2.7982131603369298E-3</v>
      </c>
      <c r="G2291" s="3">
        <v>1.07733381347605E-2</v>
      </c>
      <c r="H2291" s="3" t="str">
        <f>"GLI3"</f>
        <v>GLI3</v>
      </c>
      <c r="I2291" s="3" t="str">
        <f t="shared" ref="I2291:I2299" si="112">"protein_coding"</f>
        <v>protein_coding</v>
      </c>
    </row>
    <row r="2292" spans="1:9" x14ac:dyDescent="0.2">
      <c r="A2292" s="3" t="str">
        <f>"ENSG00000002746.15"</f>
        <v>ENSG00000002746.15</v>
      </c>
      <c r="B2292" s="3">
        <v>13.1387278902852</v>
      </c>
      <c r="C2292" s="3">
        <v>5.6447176387394604</v>
      </c>
      <c r="D2292" s="3">
        <v>1.68370278897393</v>
      </c>
      <c r="E2292" s="3">
        <v>3.3525617916089701</v>
      </c>
      <c r="F2292" s="3">
        <v>8.0067366226834098E-4</v>
      </c>
      <c r="G2292" s="3">
        <v>3.6323601857851302E-3</v>
      </c>
      <c r="H2292" s="3" t="str">
        <f>"HECW1"</f>
        <v>HECW1</v>
      </c>
      <c r="I2292" s="3" t="str">
        <f t="shared" si="112"/>
        <v>protein_coding</v>
      </c>
    </row>
    <row r="2293" spans="1:9" x14ac:dyDescent="0.2">
      <c r="A2293" s="3" t="str">
        <f>"ENSG00000078967.13"</f>
        <v>ENSG00000078967.13</v>
      </c>
      <c r="B2293" s="3">
        <v>337.56354439457999</v>
      </c>
      <c r="C2293" s="3">
        <v>-1.52422637645931</v>
      </c>
      <c r="D2293" s="3">
        <v>0.2617491249035</v>
      </c>
      <c r="E2293" s="3">
        <v>-5.8232338962785599</v>
      </c>
      <c r="F2293" s="4">
        <v>5.7719685826444101E-9</v>
      </c>
      <c r="G2293" s="4">
        <v>7.0714401066237599E-8</v>
      </c>
      <c r="H2293" s="3" t="str">
        <f>"UBE2D4"</f>
        <v>UBE2D4</v>
      </c>
      <c r="I2293" s="3" t="str">
        <f t="shared" si="112"/>
        <v>protein_coding</v>
      </c>
    </row>
    <row r="2294" spans="1:9" x14ac:dyDescent="0.2">
      <c r="A2294" s="3" t="str">
        <f>"ENSG00000106628.10"</f>
        <v>ENSG00000106628.10</v>
      </c>
      <c r="B2294" s="3">
        <v>1974.41486508445</v>
      </c>
      <c r="C2294" s="3">
        <v>-1.8339722208826199</v>
      </c>
      <c r="D2294" s="3">
        <v>0.216589515643448</v>
      </c>
      <c r="E2294" s="3">
        <v>-8.4675022954561108</v>
      </c>
      <c r="F2294" s="4">
        <v>2.5071098498148599E-17</v>
      </c>
      <c r="G2294" s="4">
        <v>7.71878215569553E-16</v>
      </c>
      <c r="H2294" s="3" t="str">
        <f>"POLD2"</f>
        <v>POLD2</v>
      </c>
      <c r="I2294" s="3" t="str">
        <f t="shared" si="112"/>
        <v>protein_coding</v>
      </c>
    </row>
    <row r="2295" spans="1:9" x14ac:dyDescent="0.2">
      <c r="A2295" s="3" t="str">
        <f>"ENSG00000058404.20"</f>
        <v>ENSG00000058404.20</v>
      </c>
      <c r="B2295" s="3">
        <v>41.917506198229098</v>
      </c>
      <c r="C2295" s="3">
        <v>2.4636423037925699</v>
      </c>
      <c r="D2295" s="3">
        <v>0.58461925780810498</v>
      </c>
      <c r="E2295" s="3">
        <v>4.21409707410157</v>
      </c>
      <c r="F2295" s="4">
        <v>2.5077941505996301E-5</v>
      </c>
      <c r="G2295" s="3">
        <v>1.6305838999475201E-4</v>
      </c>
      <c r="H2295" s="3" t="str">
        <f>"CAMK2B"</f>
        <v>CAMK2B</v>
      </c>
      <c r="I2295" s="3" t="str">
        <f t="shared" si="112"/>
        <v>protein_coding</v>
      </c>
    </row>
    <row r="2296" spans="1:9" x14ac:dyDescent="0.2">
      <c r="A2296" s="3" t="str">
        <f>"ENSG00000015520.14"</f>
        <v>ENSG00000015520.14</v>
      </c>
      <c r="B2296" s="3">
        <v>3230.15811667766</v>
      </c>
      <c r="C2296" s="3">
        <v>1.6233468412457199</v>
      </c>
      <c r="D2296" s="3">
        <v>0.211553574237935</v>
      </c>
      <c r="E2296" s="3">
        <v>7.6734550436852302</v>
      </c>
      <c r="F2296" s="4">
        <v>1.6742422909076699E-14</v>
      </c>
      <c r="G2296" s="4">
        <v>3.9462006661212301E-13</v>
      </c>
      <c r="H2296" s="3" t="str">
        <f>"NPC1L1"</f>
        <v>NPC1L1</v>
      </c>
      <c r="I2296" s="3" t="str">
        <f t="shared" si="112"/>
        <v>protein_coding</v>
      </c>
    </row>
    <row r="2297" spans="1:9" x14ac:dyDescent="0.2">
      <c r="A2297" s="3" t="str">
        <f>"ENSG00000136286.16"</f>
        <v>ENSG00000136286.16</v>
      </c>
      <c r="B2297" s="3">
        <v>44.657687301813098</v>
      </c>
      <c r="C2297" s="3">
        <v>3.5035781237286399</v>
      </c>
      <c r="D2297" s="3">
        <v>0.62138501397837798</v>
      </c>
      <c r="E2297" s="3">
        <v>5.6383370131461801</v>
      </c>
      <c r="F2297" s="4">
        <v>1.7170022557816199E-8</v>
      </c>
      <c r="G2297" s="4">
        <v>1.9764748822679301E-7</v>
      </c>
      <c r="H2297" s="3" t="str">
        <f>"MYO1G"</f>
        <v>MYO1G</v>
      </c>
      <c r="I2297" s="3" t="str">
        <f t="shared" si="112"/>
        <v>protein_coding</v>
      </c>
    </row>
    <row r="2298" spans="1:9" x14ac:dyDescent="0.2">
      <c r="A2298" s="3" t="str">
        <f>"ENSG00000136274.9"</f>
        <v>ENSG00000136274.9</v>
      </c>
      <c r="B2298" s="3">
        <v>506.00727864098201</v>
      </c>
      <c r="C2298" s="3">
        <v>3.2774820065891799</v>
      </c>
      <c r="D2298" s="3">
        <v>0.249894119581031</v>
      </c>
      <c r="E2298" s="3">
        <v>13.1154827175772</v>
      </c>
      <c r="F2298" s="4">
        <v>2.6846735642572099E-39</v>
      </c>
      <c r="G2298" s="4">
        <v>3.5337826379379802E-37</v>
      </c>
      <c r="H2298" s="3" t="str">
        <f>"NACAD"</f>
        <v>NACAD</v>
      </c>
      <c r="I2298" s="3" t="str">
        <f t="shared" si="112"/>
        <v>protein_coding</v>
      </c>
    </row>
    <row r="2299" spans="1:9" x14ac:dyDescent="0.2">
      <c r="A2299" s="3" t="str">
        <f>"ENSG00000164742.16"</f>
        <v>ENSG00000164742.16</v>
      </c>
      <c r="B2299" s="3">
        <v>359.16371577989503</v>
      </c>
      <c r="C2299" s="3">
        <v>2.8465663401974801</v>
      </c>
      <c r="D2299" s="3">
        <v>0.25978231696318999</v>
      </c>
      <c r="E2299" s="3">
        <v>10.9575061669837</v>
      </c>
      <c r="F2299" s="4">
        <v>6.1161562468601999E-28</v>
      </c>
      <c r="G2299" s="4">
        <v>4.1147385002024702E-26</v>
      </c>
      <c r="H2299" s="3" t="str">
        <f>"ADCY1"</f>
        <v>ADCY1</v>
      </c>
      <c r="I2299" s="3" t="str">
        <f t="shared" si="112"/>
        <v>protein_coding</v>
      </c>
    </row>
    <row r="2300" spans="1:9" x14ac:dyDescent="0.2">
      <c r="A2300" s="3" t="str">
        <f>"ENSG00000272556.2"</f>
        <v>ENSG00000272556.2</v>
      </c>
      <c r="B2300" s="3">
        <v>419.080138513478</v>
      </c>
      <c r="C2300" s="3">
        <v>1.0383029706999101</v>
      </c>
      <c r="D2300" s="3">
        <v>0.237260612916463</v>
      </c>
      <c r="E2300" s="3">
        <v>4.3762129665638501</v>
      </c>
      <c r="F2300" s="4">
        <v>1.20759031813969E-5</v>
      </c>
      <c r="G2300" s="4">
        <v>8.4259189240338305E-5</v>
      </c>
      <c r="H2300" s="3" t="str">
        <f>"GTF2IP13"</f>
        <v>GTF2IP13</v>
      </c>
      <c r="I2300" s="3" t="str">
        <f>"transcribed_unprocessed_pseudogene"</f>
        <v>transcribed_unprocessed_pseudogene</v>
      </c>
    </row>
    <row r="2301" spans="1:9" x14ac:dyDescent="0.2">
      <c r="A2301" s="3" t="str">
        <f>"ENSG00000283247.2"</f>
        <v>ENSG00000283247.2</v>
      </c>
      <c r="B2301" s="3">
        <v>29.4937969148448</v>
      </c>
      <c r="C2301" s="3">
        <v>4.7908694827861202</v>
      </c>
      <c r="D2301" s="3">
        <v>0.95531655146314198</v>
      </c>
      <c r="E2301" s="3">
        <v>5.0149549648737102</v>
      </c>
      <c r="F2301" s="4">
        <v>5.3045889081430899E-7</v>
      </c>
      <c r="G2301" s="4">
        <v>4.7701034316889297E-6</v>
      </c>
      <c r="H2301" s="3" t="str">
        <f>"AC096582.3"</f>
        <v>AC096582.3</v>
      </c>
      <c r="I2301" s="3" t="str">
        <f t="shared" ref="I2301:I2308" si="113">"protein_coding"</f>
        <v>protein_coding</v>
      </c>
    </row>
    <row r="2302" spans="1:9" x14ac:dyDescent="0.2">
      <c r="A2302" s="3" t="str">
        <f>"ENSG00000146678.10"</f>
        <v>ENSG00000146678.10</v>
      </c>
      <c r="B2302" s="3">
        <v>28351.870895769702</v>
      </c>
      <c r="C2302" s="3">
        <v>2.2608909454864601</v>
      </c>
      <c r="D2302" s="3">
        <v>0.25136302032781499</v>
      </c>
      <c r="E2302" s="3">
        <v>8.9945249008303492</v>
      </c>
      <c r="F2302" s="4">
        <v>2.3725612924298099E-19</v>
      </c>
      <c r="G2302" s="4">
        <v>8.5694313432225102E-18</v>
      </c>
      <c r="H2302" s="3" t="str">
        <f>"IGFBP1"</f>
        <v>IGFBP1</v>
      </c>
      <c r="I2302" s="3" t="str">
        <f t="shared" si="113"/>
        <v>protein_coding</v>
      </c>
    </row>
    <row r="2303" spans="1:9" x14ac:dyDescent="0.2">
      <c r="A2303" s="3" t="str">
        <f>"ENSG00000146674.15"</f>
        <v>ENSG00000146674.15</v>
      </c>
      <c r="B2303" s="3">
        <v>1268.3090518793599</v>
      </c>
      <c r="C2303" s="3">
        <v>4.7073888768723604</v>
      </c>
      <c r="D2303" s="3">
        <v>0.27877452749626103</v>
      </c>
      <c r="E2303" s="3">
        <v>16.8860079116644</v>
      </c>
      <c r="F2303" s="4">
        <v>5.7033903996413803E-64</v>
      </c>
      <c r="G2303" s="4">
        <v>1.9185219533213398E-61</v>
      </c>
      <c r="H2303" s="3" t="str">
        <f>"IGFBP3"</f>
        <v>IGFBP3</v>
      </c>
      <c r="I2303" s="3" t="str">
        <f t="shared" si="113"/>
        <v>protein_coding</v>
      </c>
    </row>
    <row r="2304" spans="1:9" x14ac:dyDescent="0.2">
      <c r="A2304" s="3" t="str">
        <f>"ENSG00000158683.8"</f>
        <v>ENSG00000158683.8</v>
      </c>
      <c r="B2304" s="3">
        <v>40.491649883477002</v>
      </c>
      <c r="C2304" s="3">
        <v>2.7777683746395101</v>
      </c>
      <c r="D2304" s="3">
        <v>0.60260192314980598</v>
      </c>
      <c r="E2304" s="3">
        <v>4.6096241447755197</v>
      </c>
      <c r="F2304" s="4">
        <v>4.0339759260419103E-6</v>
      </c>
      <c r="G2304" s="4">
        <v>3.1031547729210601E-5</v>
      </c>
      <c r="H2304" s="3" t="str">
        <f>"PKD1L1"</f>
        <v>PKD1L1</v>
      </c>
      <c r="I2304" s="3" t="str">
        <f t="shared" si="113"/>
        <v>protein_coding</v>
      </c>
    </row>
    <row r="2305" spans="1:9" x14ac:dyDescent="0.2">
      <c r="A2305" s="3" t="str">
        <f>"ENSG00000164746.14"</f>
        <v>ENSG00000164746.14</v>
      </c>
      <c r="B2305" s="3">
        <v>4.84354564194778</v>
      </c>
      <c r="C2305" s="3">
        <v>5.66966161396478</v>
      </c>
      <c r="D2305" s="3">
        <v>2.0551998500533002</v>
      </c>
      <c r="E2305" s="3">
        <v>2.7586911383911099</v>
      </c>
      <c r="F2305" s="3">
        <v>5.8033355931816598E-3</v>
      </c>
      <c r="G2305" s="3">
        <v>2.01585268877385E-2</v>
      </c>
      <c r="H2305" s="3" t="str">
        <f>"C7orf57"</f>
        <v>C7orf57</v>
      </c>
      <c r="I2305" s="3" t="str">
        <f t="shared" si="113"/>
        <v>protein_coding</v>
      </c>
    </row>
    <row r="2306" spans="1:9" x14ac:dyDescent="0.2">
      <c r="A2306" s="3" t="str">
        <f>"ENSG00000179869.15"</f>
        <v>ENSG00000179869.15</v>
      </c>
      <c r="B2306" s="3">
        <v>41.541536375742197</v>
      </c>
      <c r="C2306" s="3">
        <v>8.7713499909878898</v>
      </c>
      <c r="D2306" s="3">
        <v>1.5359499293910801</v>
      </c>
      <c r="E2306" s="3">
        <v>5.7107004747643497</v>
      </c>
      <c r="F2306" s="4">
        <v>1.1251211373720199E-8</v>
      </c>
      <c r="G2306" s="4">
        <v>1.3265329134563199E-7</v>
      </c>
      <c r="H2306" s="3" t="str">
        <f>"ABCA13"</f>
        <v>ABCA13</v>
      </c>
      <c r="I2306" s="3" t="str">
        <f t="shared" si="113"/>
        <v>protein_coding</v>
      </c>
    </row>
    <row r="2307" spans="1:9" x14ac:dyDescent="0.2">
      <c r="A2307" s="3" t="str">
        <f>"ENSG00000132437.18"</f>
        <v>ENSG00000132437.18</v>
      </c>
      <c r="B2307" s="3">
        <v>299.745700715667</v>
      </c>
      <c r="C2307" s="3">
        <v>-3.61164441842203</v>
      </c>
      <c r="D2307" s="3">
        <v>0.32827165419529702</v>
      </c>
      <c r="E2307" s="3">
        <v>-11.001999022045799</v>
      </c>
      <c r="F2307" s="4">
        <v>3.7375324561479799E-28</v>
      </c>
      <c r="G2307" s="4">
        <v>2.5459136708166001E-26</v>
      </c>
      <c r="H2307" s="3" t="str">
        <f>"DDC"</f>
        <v>DDC</v>
      </c>
      <c r="I2307" s="3" t="str">
        <f t="shared" si="113"/>
        <v>protein_coding</v>
      </c>
    </row>
    <row r="2308" spans="1:9" x14ac:dyDescent="0.2">
      <c r="A2308" s="3" t="str">
        <f>"ENSG00000106070.19"</f>
        <v>ENSG00000106070.19</v>
      </c>
      <c r="B2308" s="3">
        <v>153.90508084611801</v>
      </c>
      <c r="C2308" s="3">
        <v>-1.1017397634005099</v>
      </c>
      <c r="D2308" s="3">
        <v>0.32047204923910499</v>
      </c>
      <c r="E2308" s="3">
        <v>-3.4378653801988799</v>
      </c>
      <c r="F2308" s="3">
        <v>5.8631910756169205E-4</v>
      </c>
      <c r="G2308" s="3">
        <v>2.76057313352919E-3</v>
      </c>
      <c r="H2308" s="3" t="str">
        <f>"GRB10"</f>
        <v>GRB10</v>
      </c>
      <c r="I2308" s="3" t="str">
        <f t="shared" si="113"/>
        <v>protein_coding</v>
      </c>
    </row>
    <row r="2309" spans="1:9" x14ac:dyDescent="0.2">
      <c r="A2309" s="3" t="str">
        <f>"ENSG00000224057.1"</f>
        <v>ENSG00000224057.1</v>
      </c>
      <c r="B2309" s="3">
        <v>182.868691905909</v>
      </c>
      <c r="C2309" s="3">
        <v>-1.98807384771189</v>
      </c>
      <c r="D2309" s="3">
        <v>0.33829989176235498</v>
      </c>
      <c r="E2309" s="3">
        <v>-5.8766611994911599</v>
      </c>
      <c r="F2309" s="4">
        <v>4.1862374757113301E-9</v>
      </c>
      <c r="G2309" s="4">
        <v>5.2490755867789498E-8</v>
      </c>
      <c r="H2309" s="3" t="str">
        <f>"EGFR-AS1"</f>
        <v>EGFR-AS1</v>
      </c>
      <c r="I2309" s="3" t="str">
        <f>"antisense"</f>
        <v>antisense</v>
      </c>
    </row>
    <row r="2310" spans="1:9" x14ac:dyDescent="0.2">
      <c r="A2310" s="3" t="str">
        <f>"ENSG00000223475.1"</f>
        <v>ENSG00000223475.1</v>
      </c>
      <c r="B2310" s="3">
        <v>32.929396454225298</v>
      </c>
      <c r="C2310" s="3">
        <v>8.4395011525181296</v>
      </c>
      <c r="D2310" s="3">
        <v>1.5583335577211801</v>
      </c>
      <c r="E2310" s="3">
        <v>5.4157218848957998</v>
      </c>
      <c r="F2310" s="4">
        <v>6.1041920660884195E-8</v>
      </c>
      <c r="G2310" s="4">
        <v>6.4365681588510604E-7</v>
      </c>
      <c r="H2310" s="3" t="str">
        <f>"AC099681.1"</f>
        <v>AC099681.1</v>
      </c>
      <c r="I2310" s="3" t="str">
        <f>"antisense"</f>
        <v>antisense</v>
      </c>
    </row>
    <row r="2311" spans="1:9" x14ac:dyDescent="0.2">
      <c r="A2311" s="3" t="str">
        <f>"ENSG00000233977.1"</f>
        <v>ENSG00000233977.1</v>
      </c>
      <c r="B2311" s="3">
        <v>19.0148073100966</v>
      </c>
      <c r="C2311" s="3">
        <v>7.6467146191156798</v>
      </c>
      <c r="D2311" s="3">
        <v>1.6244332664454599</v>
      </c>
      <c r="E2311" s="3">
        <v>4.7073122528745204</v>
      </c>
      <c r="F2311" s="4">
        <v>2.5100427559775602E-6</v>
      </c>
      <c r="G2311" s="4">
        <v>1.99740464287735E-5</v>
      </c>
      <c r="H2311" s="3" t="str">
        <f>"AC099681.3"</f>
        <v>AC099681.3</v>
      </c>
      <c r="I2311" s="3" t="str">
        <f>"lincRNA"</f>
        <v>lincRNA</v>
      </c>
    </row>
    <row r="2312" spans="1:9" x14ac:dyDescent="0.2">
      <c r="A2312" s="3" t="str">
        <f>"ENSG00000231394.1"</f>
        <v>ENSG00000231394.1</v>
      </c>
      <c r="B2312" s="3">
        <v>26.714983030699099</v>
      </c>
      <c r="C2312" s="3">
        <v>8.1341054262381292</v>
      </c>
      <c r="D2312" s="3">
        <v>1.57987181012975</v>
      </c>
      <c r="E2312" s="3">
        <v>5.1485857106154098</v>
      </c>
      <c r="F2312" s="4">
        <v>2.6245785143699703E-7</v>
      </c>
      <c r="G2312" s="4">
        <v>2.4821898917403199E-6</v>
      </c>
      <c r="H2312" s="3" t="str">
        <f>"AC099681.2"</f>
        <v>AC099681.2</v>
      </c>
      <c r="I2312" s="3" t="str">
        <f>"lincRNA"</f>
        <v>lincRNA</v>
      </c>
    </row>
    <row r="2313" spans="1:9" x14ac:dyDescent="0.2">
      <c r="A2313" s="3" t="str">
        <f>"ENSG00000185290.4"</f>
        <v>ENSG00000185290.4</v>
      </c>
      <c r="B2313" s="3">
        <v>4.5868731179276896</v>
      </c>
      <c r="C2313" s="3">
        <v>5.5915059184507401</v>
      </c>
      <c r="D2313" s="3">
        <v>2.0812331718906201</v>
      </c>
      <c r="E2313" s="3">
        <v>2.6866311732727901</v>
      </c>
      <c r="F2313" s="3">
        <v>7.2176601926175997E-3</v>
      </c>
      <c r="G2313" s="3">
        <v>2.4195323236743602E-2</v>
      </c>
      <c r="H2313" s="3" t="str">
        <f>"NUPR2"</f>
        <v>NUPR2</v>
      </c>
      <c r="I2313" s="3" t="str">
        <f>"protein_coding"</f>
        <v>protein_coding</v>
      </c>
    </row>
    <row r="2314" spans="1:9" x14ac:dyDescent="0.2">
      <c r="A2314" s="3" t="str">
        <f>"ENSG00000152926.14"</f>
        <v>ENSG00000152926.14</v>
      </c>
      <c r="B2314" s="3">
        <v>997.28934941445198</v>
      </c>
      <c r="C2314" s="3">
        <v>1.3964740837834699</v>
      </c>
      <c r="D2314" s="3">
        <v>0.27597763410160697</v>
      </c>
      <c r="E2314" s="3">
        <v>5.0600987588339503</v>
      </c>
      <c r="F2314" s="4">
        <v>4.1903937974424698E-7</v>
      </c>
      <c r="G2314" s="4">
        <v>3.8352589788013097E-6</v>
      </c>
      <c r="H2314" s="3" t="str">
        <f>"ZNF117"</f>
        <v>ZNF117</v>
      </c>
      <c r="I2314" s="3" t="str">
        <f>"protein_coding"</f>
        <v>protein_coding</v>
      </c>
    </row>
    <row r="2315" spans="1:9" x14ac:dyDescent="0.2">
      <c r="A2315" s="3" t="str">
        <f>"ENSG00000196715.7"</f>
        <v>ENSG00000196715.7</v>
      </c>
      <c r="B2315" s="3">
        <v>2314.8001172068298</v>
      </c>
      <c r="C2315" s="3">
        <v>-1.67006997411943</v>
      </c>
      <c r="D2315" s="3">
        <v>0.17984937990694</v>
      </c>
      <c r="E2315" s="3">
        <v>-9.2859367932409693</v>
      </c>
      <c r="F2315" s="4">
        <v>1.60290838771952E-20</v>
      </c>
      <c r="G2315" s="4">
        <v>6.5283176143787396E-19</v>
      </c>
      <c r="H2315" s="3" t="str">
        <f>"VKORC1L1"</f>
        <v>VKORC1L1</v>
      </c>
      <c r="I2315" s="3" t="str">
        <f>"protein_coding"</f>
        <v>protein_coding</v>
      </c>
    </row>
    <row r="2316" spans="1:9" x14ac:dyDescent="0.2">
      <c r="A2316" s="3" t="str">
        <f>"ENSG00000179406.7"</f>
        <v>ENSG00000179406.7</v>
      </c>
      <c r="B2316" s="3">
        <v>640.47509162351196</v>
      </c>
      <c r="C2316" s="3">
        <v>1.06300084825946</v>
      </c>
      <c r="D2316" s="3">
        <v>0.229482861681574</v>
      </c>
      <c r="E2316" s="3">
        <v>4.63215788957024</v>
      </c>
      <c r="F2316" s="4">
        <v>3.6187400157889199E-6</v>
      </c>
      <c r="G2316" s="4">
        <v>2.8051154825092599E-5</v>
      </c>
      <c r="H2316" s="3" t="str">
        <f>"LINC00174"</f>
        <v>LINC00174</v>
      </c>
      <c r="I2316" s="3" t="str">
        <f>"processed_transcript"</f>
        <v>processed_transcript</v>
      </c>
    </row>
    <row r="2317" spans="1:9" x14ac:dyDescent="0.2">
      <c r="A2317" s="3" t="str">
        <f>"ENSG00000272831.1"</f>
        <v>ENSG00000272831.1</v>
      </c>
      <c r="B2317" s="3">
        <v>108.11713408605399</v>
      </c>
      <c r="C2317" s="3">
        <v>1.0562362957006699</v>
      </c>
      <c r="D2317" s="3">
        <v>0.369197473320374</v>
      </c>
      <c r="E2317" s="3">
        <v>2.8608979530694301</v>
      </c>
      <c r="F2317" s="3">
        <v>4.2244300337515497E-3</v>
      </c>
      <c r="G2317" s="3">
        <v>1.53429812222912E-2</v>
      </c>
      <c r="H2317" s="3" t="str">
        <f>"AC027644.3"</f>
        <v>AC027644.3</v>
      </c>
      <c r="I2317" s="3" t="str">
        <f>"antisense"</f>
        <v>antisense</v>
      </c>
    </row>
    <row r="2318" spans="1:9" x14ac:dyDescent="0.2">
      <c r="A2318" s="3" t="str">
        <f>"ENSG00000155428.12"</f>
        <v>ENSG00000155428.12</v>
      </c>
      <c r="B2318" s="3">
        <v>42.9667419586156</v>
      </c>
      <c r="C2318" s="3">
        <v>2.1277085262380502</v>
      </c>
      <c r="D2318" s="3">
        <v>0.57527753141682503</v>
      </c>
      <c r="E2318" s="3">
        <v>3.6985774865877499</v>
      </c>
      <c r="F2318" s="3">
        <v>2.1681116377537301E-4</v>
      </c>
      <c r="G2318" s="3">
        <v>1.14317644392087E-3</v>
      </c>
      <c r="H2318" s="3" t="str">
        <f>"TRIM74"</f>
        <v>TRIM74</v>
      </c>
      <c r="I2318" s="3" t="str">
        <f>"protein_coding"</f>
        <v>protein_coding</v>
      </c>
    </row>
    <row r="2319" spans="1:9" x14ac:dyDescent="0.2">
      <c r="A2319" s="3" t="str">
        <f>"ENSG00000106635.8"</f>
        <v>ENSG00000106635.8</v>
      </c>
      <c r="B2319" s="3">
        <v>800.22969264199196</v>
      </c>
      <c r="C2319" s="3">
        <v>-1.0649732970938099</v>
      </c>
      <c r="D2319" s="3">
        <v>0.23985736274188699</v>
      </c>
      <c r="E2319" s="3">
        <v>-4.44002754353569</v>
      </c>
      <c r="F2319" s="4">
        <v>8.9947365014162801E-6</v>
      </c>
      <c r="G2319" s="4">
        <v>6.4664798272846794E-5</v>
      </c>
      <c r="H2319" s="3" t="str">
        <f>"BCL7B"</f>
        <v>BCL7B</v>
      </c>
      <c r="I2319" s="3" t="str">
        <f>"protein_coding"</f>
        <v>protein_coding</v>
      </c>
    </row>
    <row r="2320" spans="1:9" x14ac:dyDescent="0.2">
      <c r="A2320" s="3" t="str">
        <f>"ENSG00000009950.16"</f>
        <v>ENSG00000009950.16</v>
      </c>
      <c r="B2320" s="3">
        <v>3444.70451585705</v>
      </c>
      <c r="C2320" s="3">
        <v>-1.0395275171081799</v>
      </c>
      <c r="D2320" s="3">
        <v>0.23033091542232301</v>
      </c>
      <c r="E2320" s="3">
        <v>-4.5131914454564299</v>
      </c>
      <c r="F2320" s="4">
        <v>6.3859329128228401E-6</v>
      </c>
      <c r="G2320" s="4">
        <v>4.71665801235251E-5</v>
      </c>
      <c r="H2320" s="3" t="str">
        <f>"MLXIPL"</f>
        <v>MLXIPL</v>
      </c>
      <c r="I2320" s="3" t="str">
        <f>"protein_coding"</f>
        <v>protein_coding</v>
      </c>
    </row>
    <row r="2321" spans="1:9" x14ac:dyDescent="0.2">
      <c r="A2321" s="3" t="str">
        <f>"ENSG00000274080.1"</f>
        <v>ENSG00000274080.1</v>
      </c>
      <c r="B2321" s="3">
        <v>357.50895625406997</v>
      </c>
      <c r="C2321" s="3">
        <v>-1.8367207054374399</v>
      </c>
      <c r="D2321" s="3">
        <v>0.293814043380414</v>
      </c>
      <c r="E2321" s="3">
        <v>-6.2513033220109202</v>
      </c>
      <c r="F2321" s="4">
        <v>4.0704146339050198E-10</v>
      </c>
      <c r="G2321" s="4">
        <v>5.7944925564268504E-9</v>
      </c>
      <c r="H2321" s="3" t="str">
        <f>"AC005089.1"</f>
        <v>AC005089.1</v>
      </c>
      <c r="I2321" s="3" t="str">
        <f>"sense_intronic"</f>
        <v>sense_intronic</v>
      </c>
    </row>
    <row r="2322" spans="1:9" x14ac:dyDescent="0.2">
      <c r="A2322" s="3" t="str">
        <f>"ENSG00000176428.6"</f>
        <v>ENSG00000176428.6</v>
      </c>
      <c r="B2322" s="3">
        <v>159.611837207305</v>
      </c>
      <c r="C2322" s="3">
        <v>1.3774008275584999</v>
      </c>
      <c r="D2322" s="3">
        <v>0.38580819959472901</v>
      </c>
      <c r="E2322" s="3">
        <v>3.57016991604995</v>
      </c>
      <c r="F2322" s="3">
        <v>3.5674974279780201E-4</v>
      </c>
      <c r="G2322" s="3">
        <v>1.7773560508341001E-3</v>
      </c>
      <c r="H2322" s="3" t="str">
        <f>"VPS37D"</f>
        <v>VPS37D</v>
      </c>
      <c r="I2322" s="3" t="str">
        <f t="shared" ref="I2322:I2329" si="114">"protein_coding"</f>
        <v>protein_coding</v>
      </c>
    </row>
    <row r="2323" spans="1:9" x14ac:dyDescent="0.2">
      <c r="A2323" s="3" t="str">
        <f>"ENSG00000165171.11"</f>
        <v>ENSG00000165171.11</v>
      </c>
      <c r="B2323" s="3">
        <v>246.84364226220799</v>
      </c>
      <c r="C2323" s="3">
        <v>2.88582660766202</v>
      </c>
      <c r="D2323" s="3">
        <v>0.31769780894649302</v>
      </c>
      <c r="E2323" s="3">
        <v>9.0835584205998003</v>
      </c>
      <c r="F2323" s="4">
        <v>1.05081913840069E-19</v>
      </c>
      <c r="G2323" s="4">
        <v>3.9437560694219903E-18</v>
      </c>
      <c r="H2323" s="3" t="str">
        <f>"METTL27"</f>
        <v>METTL27</v>
      </c>
      <c r="I2323" s="3" t="str">
        <f t="shared" si="114"/>
        <v>protein_coding</v>
      </c>
    </row>
    <row r="2324" spans="1:9" x14ac:dyDescent="0.2">
      <c r="A2324" s="3" t="str">
        <f>"ENSG00000106683.15"</f>
        <v>ENSG00000106683.15</v>
      </c>
      <c r="B2324" s="3">
        <v>799.51576532046704</v>
      </c>
      <c r="C2324" s="3">
        <v>-1.2150749204217799</v>
      </c>
      <c r="D2324" s="3">
        <v>0.23872215322273499</v>
      </c>
      <c r="E2324" s="3">
        <v>-5.0899127040299499</v>
      </c>
      <c r="F2324" s="4">
        <v>3.5822839083008798E-7</v>
      </c>
      <c r="G2324" s="4">
        <v>3.3176916944076801E-6</v>
      </c>
      <c r="H2324" s="3" t="str">
        <f>"LIMK1"</f>
        <v>LIMK1</v>
      </c>
      <c r="I2324" s="3" t="str">
        <f t="shared" si="114"/>
        <v>protein_coding</v>
      </c>
    </row>
    <row r="2325" spans="1:9" x14ac:dyDescent="0.2">
      <c r="A2325" s="3" t="str">
        <f>"ENSG00000086730.17"</f>
        <v>ENSG00000086730.17</v>
      </c>
      <c r="B2325" s="3">
        <v>41.250993062423497</v>
      </c>
      <c r="C2325" s="3">
        <v>1.84125979060927</v>
      </c>
      <c r="D2325" s="3">
        <v>0.57301841909775397</v>
      </c>
      <c r="E2325" s="3">
        <v>3.2132645814569498</v>
      </c>
      <c r="F2325" s="3">
        <v>1.3123533458462E-3</v>
      </c>
      <c r="G2325" s="3">
        <v>5.5941319797045202E-3</v>
      </c>
      <c r="H2325" s="3" t="str">
        <f>"LAT2"</f>
        <v>LAT2</v>
      </c>
      <c r="I2325" s="3" t="str">
        <f t="shared" si="114"/>
        <v>protein_coding</v>
      </c>
    </row>
    <row r="2326" spans="1:9" x14ac:dyDescent="0.2">
      <c r="A2326" s="3" t="str">
        <f>"ENSG00000049541.11"</f>
        <v>ENSG00000049541.11</v>
      </c>
      <c r="B2326" s="3">
        <v>721.30099238687501</v>
      </c>
      <c r="C2326" s="3">
        <v>-1.1447768364648401</v>
      </c>
      <c r="D2326" s="3">
        <v>0.21860483436135</v>
      </c>
      <c r="E2326" s="3">
        <v>-5.2367407144004297</v>
      </c>
      <c r="F2326" s="4">
        <v>1.6343704146290999E-7</v>
      </c>
      <c r="G2326" s="4">
        <v>1.60243579299745E-6</v>
      </c>
      <c r="H2326" s="3" t="str">
        <f>"RFC2"</f>
        <v>RFC2</v>
      </c>
      <c r="I2326" s="3" t="str">
        <f t="shared" si="114"/>
        <v>protein_coding</v>
      </c>
    </row>
    <row r="2327" spans="1:9" x14ac:dyDescent="0.2">
      <c r="A2327" s="3" t="str">
        <f>"ENSG00000006704.10"</f>
        <v>ENSG00000006704.10</v>
      </c>
      <c r="B2327" s="3">
        <v>1286.91592075984</v>
      </c>
      <c r="C2327" s="3">
        <v>-1.26896597623086</v>
      </c>
      <c r="D2327" s="3">
        <v>0.21557778835633301</v>
      </c>
      <c r="E2327" s="3">
        <v>-5.8863484309123502</v>
      </c>
      <c r="F2327" s="4">
        <v>3.9482150123293503E-9</v>
      </c>
      <c r="G2327" s="4">
        <v>4.9689152166714902E-8</v>
      </c>
      <c r="H2327" s="3" t="str">
        <f>"GTF2IRD1"</f>
        <v>GTF2IRD1</v>
      </c>
      <c r="I2327" s="3" t="str">
        <f t="shared" si="114"/>
        <v>protein_coding</v>
      </c>
    </row>
    <row r="2328" spans="1:9" x14ac:dyDescent="0.2">
      <c r="A2328" s="3" t="str">
        <f>"ENSG00000274523.5"</f>
        <v>ENSG00000274523.5</v>
      </c>
      <c r="B2328" s="3">
        <v>1639.4362305851</v>
      </c>
      <c r="C2328" s="3">
        <v>-1.0133807785934099</v>
      </c>
      <c r="D2328" s="3">
        <v>0.21934247214549901</v>
      </c>
      <c r="E2328" s="3">
        <v>-4.6200846041399304</v>
      </c>
      <c r="F2328" s="4">
        <v>3.8358359627636904E-6</v>
      </c>
      <c r="G2328" s="4">
        <v>2.9624439477727399E-5</v>
      </c>
      <c r="H2328" s="3" t="str">
        <f>"RCC1L"</f>
        <v>RCC1L</v>
      </c>
      <c r="I2328" s="3" t="str">
        <f t="shared" si="114"/>
        <v>protein_coding</v>
      </c>
    </row>
    <row r="2329" spans="1:9" x14ac:dyDescent="0.2">
      <c r="A2329" s="3" t="str">
        <f>"ENSG00000178809.11"</f>
        <v>ENSG00000178809.11</v>
      </c>
      <c r="B2329" s="3">
        <v>36.415001925149802</v>
      </c>
      <c r="C2329" s="3">
        <v>1.54876275342523</v>
      </c>
      <c r="D2329" s="3">
        <v>0.59021168008138503</v>
      </c>
      <c r="E2329" s="3">
        <v>2.6240801490266499</v>
      </c>
      <c r="F2329" s="3">
        <v>8.6883337085609507E-3</v>
      </c>
      <c r="G2329" s="3">
        <v>2.8303566302864701E-2</v>
      </c>
      <c r="H2329" s="3" t="str">
        <f>"TRIM73"</f>
        <v>TRIM73</v>
      </c>
      <c r="I2329" s="3" t="str">
        <f t="shared" si="114"/>
        <v>protein_coding</v>
      </c>
    </row>
    <row r="2330" spans="1:9" x14ac:dyDescent="0.2">
      <c r="A2330" s="3" t="str">
        <f>"ENSG00000127957.18"</f>
        <v>ENSG00000127957.18</v>
      </c>
      <c r="B2330" s="3">
        <v>599.81131634658095</v>
      </c>
      <c r="C2330" s="3">
        <v>1.00824413991548</v>
      </c>
      <c r="D2330" s="3">
        <v>0.21384826562548101</v>
      </c>
      <c r="E2330" s="3">
        <v>4.7147641668567299</v>
      </c>
      <c r="F2330" s="4">
        <v>2.4199086484138899E-6</v>
      </c>
      <c r="G2330" s="4">
        <v>1.9318854656704701E-5</v>
      </c>
      <c r="H2330" s="3" t="str">
        <f>"PMS2P3"</f>
        <v>PMS2P3</v>
      </c>
      <c r="I2330" s="3" t="str">
        <f>"transcribed_unprocessed_pseudogene"</f>
        <v>transcribed_unprocessed_pseudogene</v>
      </c>
    </row>
    <row r="2331" spans="1:9" x14ac:dyDescent="0.2">
      <c r="A2331" s="3" t="str">
        <f>"ENSG00000127952.17"</f>
        <v>ENSG00000127952.17</v>
      </c>
      <c r="B2331" s="3">
        <v>545.86767919233603</v>
      </c>
      <c r="C2331" s="3">
        <v>1.8395529578801699</v>
      </c>
      <c r="D2331" s="3">
        <v>0.226184577271555</v>
      </c>
      <c r="E2331" s="3">
        <v>8.1329725486615096</v>
      </c>
      <c r="F2331" s="4">
        <v>4.18889514703096E-16</v>
      </c>
      <c r="G2331" s="4">
        <v>1.1540427307497699E-14</v>
      </c>
      <c r="H2331" s="3" t="str">
        <f>"STYXL1"</f>
        <v>STYXL1</v>
      </c>
      <c r="I2331" s="3" t="str">
        <f>"protein_coding"</f>
        <v>protein_coding</v>
      </c>
    </row>
    <row r="2332" spans="1:9" x14ac:dyDescent="0.2">
      <c r="A2332" s="3" t="str">
        <f>"ENSG00000280388.1"</f>
        <v>ENSG00000280388.1</v>
      </c>
      <c r="B2332" s="3">
        <v>163.27103743440401</v>
      </c>
      <c r="C2332" s="3">
        <v>1.4614970210673699</v>
      </c>
      <c r="D2332" s="3">
        <v>0.34238367743310899</v>
      </c>
      <c r="E2332" s="3">
        <v>4.2685943209220296</v>
      </c>
      <c r="F2332" s="4">
        <v>1.9670864795901E-5</v>
      </c>
      <c r="G2332" s="3">
        <v>1.3091647608547E-4</v>
      </c>
      <c r="H2332" s="3" t="str">
        <f>"AC006330.1"</f>
        <v>AC006330.1</v>
      </c>
      <c r="I2332" s="3" t="str">
        <f>"TEC"</f>
        <v>TEC</v>
      </c>
    </row>
    <row r="2333" spans="1:9" x14ac:dyDescent="0.2">
      <c r="A2333" s="3" t="str">
        <f>"ENSG00000230882.1"</f>
        <v>ENSG00000230882.1</v>
      </c>
      <c r="B2333" s="3">
        <v>1145.8214829721301</v>
      </c>
      <c r="C2333" s="3">
        <v>-1.6973375442330501</v>
      </c>
      <c r="D2333" s="3">
        <v>0.22987924730120099</v>
      </c>
      <c r="E2333" s="3">
        <v>-7.3836049324152704</v>
      </c>
      <c r="F2333" s="4">
        <v>1.5406014181092699E-13</v>
      </c>
      <c r="G2333" s="4">
        <v>3.3879553542553202E-12</v>
      </c>
      <c r="H2333" s="3" t="str">
        <f>"AC005077.4"</f>
        <v>AC005077.4</v>
      </c>
      <c r="I2333" s="3" t="str">
        <f>"processed_pseudogene"</f>
        <v>processed_pseudogene</v>
      </c>
    </row>
    <row r="2334" spans="1:9" x14ac:dyDescent="0.2">
      <c r="A2334" s="3" t="str">
        <f>"ENSG00000227038.3"</f>
        <v>ENSG00000227038.3</v>
      </c>
      <c r="B2334" s="3">
        <v>662.757338982325</v>
      </c>
      <c r="C2334" s="3">
        <v>-1.38536872683771</v>
      </c>
      <c r="D2334" s="3">
        <v>0.22853782951366999</v>
      </c>
      <c r="E2334" s="3">
        <v>-6.0618792511759896</v>
      </c>
      <c r="F2334" s="4">
        <v>1.3454020720616801E-9</v>
      </c>
      <c r="G2334" s="4">
        <v>1.8022699241624601E-8</v>
      </c>
      <c r="H2334" s="3" t="str">
        <f>"GTF2IP7"</f>
        <v>GTF2IP7</v>
      </c>
      <c r="I2334" s="3" t="str">
        <f>"transcribed_unprocessed_pseudogene"</f>
        <v>transcribed_unprocessed_pseudogene</v>
      </c>
    </row>
    <row r="2335" spans="1:9" x14ac:dyDescent="0.2">
      <c r="A2335" s="3" t="str">
        <f>"ENSG00000177679.16"</f>
        <v>ENSG00000177679.16</v>
      </c>
      <c r="B2335" s="3">
        <v>156.946227255004</v>
      </c>
      <c r="C2335" s="3">
        <v>2.1014167902433298</v>
      </c>
      <c r="D2335" s="3">
        <v>0.33338489691711098</v>
      </c>
      <c r="E2335" s="3">
        <v>6.3032753123360497</v>
      </c>
      <c r="F2335" s="4">
        <v>2.9142056339883202E-10</v>
      </c>
      <c r="G2335" s="4">
        <v>4.2325885346097903E-9</v>
      </c>
      <c r="H2335" s="3" t="str">
        <f>"SRRM3"</f>
        <v>SRRM3</v>
      </c>
      <c r="I2335" s="3" t="str">
        <f>"protein_coding"</f>
        <v>protein_coding</v>
      </c>
    </row>
    <row r="2336" spans="1:9" x14ac:dyDescent="0.2">
      <c r="A2336" s="3" t="str">
        <f>"ENSG00000146707.14"</f>
        <v>ENSG00000146707.14</v>
      </c>
      <c r="B2336" s="3">
        <v>259.06835426305901</v>
      </c>
      <c r="C2336" s="3">
        <v>1.4644577879462399</v>
      </c>
      <c r="D2336" s="3">
        <v>0.26554761055936499</v>
      </c>
      <c r="E2336" s="3">
        <v>5.5148595947123198</v>
      </c>
      <c r="F2336" s="4">
        <v>3.4905851284321502E-8</v>
      </c>
      <c r="G2336" s="4">
        <v>3.83190866214306E-7</v>
      </c>
      <c r="H2336" s="3" t="str">
        <f>"POMZP3"</f>
        <v>POMZP3</v>
      </c>
      <c r="I2336" s="3" t="str">
        <f>"protein_coding"</f>
        <v>protein_coding</v>
      </c>
    </row>
    <row r="2337" spans="1:9" x14ac:dyDescent="0.2">
      <c r="A2337" s="3" t="str">
        <f>"ENSG00000205482.9"</f>
        <v>ENSG00000205482.9</v>
      </c>
      <c r="B2337" s="3">
        <v>20.1470918321574</v>
      </c>
      <c r="C2337" s="3">
        <v>1.9559303595195201</v>
      </c>
      <c r="D2337" s="3">
        <v>0.80230904560039695</v>
      </c>
      <c r="E2337" s="3">
        <v>2.4378764894216398</v>
      </c>
      <c r="F2337" s="3">
        <v>1.47738208557578E-2</v>
      </c>
      <c r="G2337" s="3">
        <v>4.3993086225606701E-2</v>
      </c>
      <c r="H2337" s="3" t="str">
        <f>"SPDYE18"</f>
        <v>SPDYE18</v>
      </c>
      <c r="I2337" s="3" t="str">
        <f>"unprocessed_pseudogene"</f>
        <v>unprocessed_pseudogene</v>
      </c>
    </row>
    <row r="2338" spans="1:9" x14ac:dyDescent="0.2">
      <c r="A2338" s="3" t="str">
        <f>"ENSG00000214439.4"</f>
        <v>ENSG00000214439.4</v>
      </c>
      <c r="B2338" s="3">
        <v>124.137349224823</v>
      </c>
      <c r="C2338" s="3">
        <v>1.6615078408670201</v>
      </c>
      <c r="D2338" s="3">
        <v>0.38407014945093199</v>
      </c>
      <c r="E2338" s="3">
        <v>4.3260530484920903</v>
      </c>
      <c r="F2338" s="4">
        <v>1.5180487828839001E-5</v>
      </c>
      <c r="G2338" s="3">
        <v>1.03586965157119E-4</v>
      </c>
      <c r="H2338" s="3" t="str">
        <f>"FAM185BP"</f>
        <v>FAM185BP</v>
      </c>
      <c r="I2338" s="3" t="str">
        <f>"transcribed_unprocessed_pseudogene"</f>
        <v>transcribed_unprocessed_pseudogene</v>
      </c>
    </row>
    <row r="2339" spans="1:9" x14ac:dyDescent="0.2">
      <c r="A2339" s="3" t="str">
        <f>"ENSG00000187391.21"</f>
        <v>ENSG00000187391.21</v>
      </c>
      <c r="B2339" s="3">
        <v>713.796238410309</v>
      </c>
      <c r="C2339" s="3">
        <v>-2.0315108305771901</v>
      </c>
      <c r="D2339" s="3">
        <v>0.228486678984683</v>
      </c>
      <c r="E2339" s="3">
        <v>-8.8911565418366294</v>
      </c>
      <c r="F2339" s="4">
        <v>6.0476106720799101E-19</v>
      </c>
      <c r="G2339" s="4">
        <v>2.1179851925727699E-17</v>
      </c>
      <c r="H2339" s="3" t="str">
        <f>"MAGI2"</f>
        <v>MAGI2</v>
      </c>
      <c r="I2339" s="3" t="str">
        <f>"protein_coding"</f>
        <v>protein_coding</v>
      </c>
    </row>
    <row r="2340" spans="1:9" x14ac:dyDescent="0.2">
      <c r="A2340" s="3" t="str">
        <f>"ENSG00000234456.7"</f>
        <v>ENSG00000234456.7</v>
      </c>
      <c r="B2340" s="3">
        <v>1091.1310637070901</v>
      </c>
      <c r="C2340" s="3">
        <v>-1.1241835792853301</v>
      </c>
      <c r="D2340" s="3">
        <v>0.206325470763769</v>
      </c>
      <c r="E2340" s="3">
        <v>-5.4485933080577302</v>
      </c>
      <c r="F2340" s="4">
        <v>5.0769754553860099E-8</v>
      </c>
      <c r="G2340" s="4">
        <v>5.4284590782552095E-7</v>
      </c>
      <c r="H2340" s="3" t="str">
        <f>"MAGI2-AS3"</f>
        <v>MAGI2-AS3</v>
      </c>
      <c r="I2340" s="3" t="str">
        <f>"processed_transcript"</f>
        <v>processed_transcript</v>
      </c>
    </row>
    <row r="2341" spans="1:9" x14ac:dyDescent="0.2">
      <c r="A2341" s="3" t="str">
        <f>"ENSG00000127955.17"</f>
        <v>ENSG00000127955.17</v>
      </c>
      <c r="B2341" s="3">
        <v>1174.6472294540299</v>
      </c>
      <c r="C2341" s="3">
        <v>1.7017611328501701</v>
      </c>
      <c r="D2341" s="3">
        <v>0.198020611510517</v>
      </c>
      <c r="E2341" s="3">
        <v>8.5938585880984899</v>
      </c>
      <c r="F2341" s="4">
        <v>8.4096511032271195E-18</v>
      </c>
      <c r="G2341" s="4">
        <v>2.6643926001119702E-16</v>
      </c>
      <c r="H2341" s="3" t="str">
        <f>"GNAI1"</f>
        <v>GNAI1</v>
      </c>
      <c r="I2341" s="3" t="str">
        <f t="shared" ref="I2341:I2346" si="115">"protein_coding"</f>
        <v>protein_coding</v>
      </c>
    </row>
    <row r="2342" spans="1:9" x14ac:dyDescent="0.2">
      <c r="A2342" s="3" t="str">
        <f>"ENSG00000135218.19"</f>
        <v>ENSG00000135218.19</v>
      </c>
      <c r="B2342" s="3">
        <v>304.030332114158</v>
      </c>
      <c r="C2342" s="3">
        <v>-1.7449922127872599</v>
      </c>
      <c r="D2342" s="3">
        <v>0.27587514080717901</v>
      </c>
      <c r="E2342" s="3">
        <v>-6.3252970444586296</v>
      </c>
      <c r="F2342" s="4">
        <v>2.52745903914822E-10</v>
      </c>
      <c r="G2342" s="4">
        <v>3.6964936360532198E-9</v>
      </c>
      <c r="H2342" s="3" t="str">
        <f>"CD36"</f>
        <v>CD36</v>
      </c>
      <c r="I2342" s="3" t="str">
        <f t="shared" si="115"/>
        <v>protein_coding</v>
      </c>
    </row>
    <row r="2343" spans="1:9" x14ac:dyDescent="0.2">
      <c r="A2343" s="3" t="str">
        <f>"ENSG00000153956.16"</f>
        <v>ENSG00000153956.16</v>
      </c>
      <c r="B2343" s="3">
        <v>9.2462224454688595</v>
      </c>
      <c r="C2343" s="3">
        <v>6.6019574585352601</v>
      </c>
      <c r="D2343" s="3">
        <v>1.8002706447725301</v>
      </c>
      <c r="E2343" s="3">
        <v>3.66720274960071</v>
      </c>
      <c r="F2343" s="3">
        <v>2.4521835590603702E-4</v>
      </c>
      <c r="G2343" s="3">
        <v>1.2726599130232E-3</v>
      </c>
      <c r="H2343" s="3" t="str">
        <f>"CACNA2D1"</f>
        <v>CACNA2D1</v>
      </c>
      <c r="I2343" s="3" t="str">
        <f t="shared" si="115"/>
        <v>protein_coding</v>
      </c>
    </row>
    <row r="2344" spans="1:9" x14ac:dyDescent="0.2">
      <c r="A2344" s="3" t="str">
        <f>"ENSG00000186472.20"</f>
        <v>ENSG00000186472.20</v>
      </c>
      <c r="B2344" s="3">
        <v>94.969677516182898</v>
      </c>
      <c r="C2344" s="3">
        <v>4.6625794392281303</v>
      </c>
      <c r="D2344" s="3">
        <v>0.53922174580948801</v>
      </c>
      <c r="E2344" s="3">
        <v>8.6468683347118898</v>
      </c>
      <c r="F2344" s="4">
        <v>5.2931984124101703E-18</v>
      </c>
      <c r="G2344" s="4">
        <v>1.7189961518824801E-16</v>
      </c>
      <c r="H2344" s="3" t="str">
        <f>"PCLO"</f>
        <v>PCLO</v>
      </c>
      <c r="I2344" s="3" t="str">
        <f t="shared" si="115"/>
        <v>protein_coding</v>
      </c>
    </row>
    <row r="2345" spans="1:9" x14ac:dyDescent="0.2">
      <c r="A2345" s="3" t="str">
        <f>"ENSG00000170381.14"</f>
        <v>ENSG00000170381.14</v>
      </c>
      <c r="B2345" s="3">
        <v>5.72528331880115</v>
      </c>
      <c r="C2345" s="3">
        <v>5.91290183596508</v>
      </c>
      <c r="D2345" s="3">
        <v>1.9664132806819701</v>
      </c>
      <c r="E2345" s="3">
        <v>3.0069476717093999</v>
      </c>
      <c r="F2345" s="3">
        <v>2.6388518374758801E-3</v>
      </c>
      <c r="G2345" s="3">
        <v>1.0232075710218501E-2</v>
      </c>
      <c r="H2345" s="3" t="str">
        <f>"SEMA3E"</f>
        <v>SEMA3E</v>
      </c>
      <c r="I2345" s="3" t="str">
        <f t="shared" si="115"/>
        <v>protein_coding</v>
      </c>
    </row>
    <row r="2346" spans="1:9" x14ac:dyDescent="0.2">
      <c r="A2346" s="3" t="str">
        <f>"ENSG00000164659.15"</f>
        <v>ENSG00000164659.15</v>
      </c>
      <c r="B2346" s="3">
        <v>586.47685921502</v>
      </c>
      <c r="C2346" s="3">
        <v>1.0367228216501201</v>
      </c>
      <c r="D2346" s="3">
        <v>0.24821921825743301</v>
      </c>
      <c r="E2346" s="3">
        <v>4.1766420381475697</v>
      </c>
      <c r="F2346" s="4">
        <v>2.95844035435014E-5</v>
      </c>
      <c r="G2346" s="3">
        <v>1.90114680035326E-4</v>
      </c>
      <c r="H2346" s="3" t="str">
        <f>"KIAA1324L"</f>
        <v>KIAA1324L</v>
      </c>
      <c r="I2346" s="3" t="str">
        <f t="shared" si="115"/>
        <v>protein_coding</v>
      </c>
    </row>
    <row r="2347" spans="1:9" x14ac:dyDescent="0.2">
      <c r="A2347" s="3" t="str">
        <f>"ENSG00000182165.17"</f>
        <v>ENSG00000182165.17</v>
      </c>
      <c r="B2347" s="3">
        <v>596.51433819874296</v>
      </c>
      <c r="C2347" s="3">
        <v>2.0819728122251902</v>
      </c>
      <c r="D2347" s="3">
        <v>0.229459510168776</v>
      </c>
      <c r="E2347" s="3">
        <v>9.0733777418674695</v>
      </c>
      <c r="F2347" s="4">
        <v>1.1538344189827599E-19</v>
      </c>
      <c r="G2347" s="4">
        <v>4.2890213388844696E-18</v>
      </c>
      <c r="H2347" s="3" t="str">
        <f>"TP53TG1"</f>
        <v>TP53TG1</v>
      </c>
      <c r="I2347" s="3" t="str">
        <f>"lincRNA"</f>
        <v>lincRNA</v>
      </c>
    </row>
    <row r="2348" spans="1:9" x14ac:dyDescent="0.2">
      <c r="A2348" s="3" t="str">
        <f>"ENSG00000005469.11"</f>
        <v>ENSG00000005469.11</v>
      </c>
      <c r="B2348" s="3">
        <v>611.73557167932995</v>
      </c>
      <c r="C2348" s="3">
        <v>1.6610533180465401</v>
      </c>
      <c r="D2348" s="3">
        <v>0.23504439675574601</v>
      </c>
      <c r="E2348" s="3">
        <v>7.0669768817023604</v>
      </c>
      <c r="F2348" s="4">
        <v>1.58345318991774E-12</v>
      </c>
      <c r="G2348" s="4">
        <v>3.0707721754938502E-11</v>
      </c>
      <c r="H2348" s="3" t="str">
        <f>"CROT"</f>
        <v>CROT</v>
      </c>
      <c r="I2348" s="3" t="str">
        <f>"protein_coding"</f>
        <v>protein_coding</v>
      </c>
    </row>
    <row r="2349" spans="1:9" x14ac:dyDescent="0.2">
      <c r="A2349" s="3" t="str">
        <f>"ENSG00000085563.14"</f>
        <v>ENSG00000085563.14</v>
      </c>
      <c r="B2349" s="3">
        <v>289.06591634842903</v>
      </c>
      <c r="C2349" s="3">
        <v>-1.0572138644118201</v>
      </c>
      <c r="D2349" s="3">
        <v>0.257525072739269</v>
      </c>
      <c r="E2349" s="3">
        <v>-4.1052851792889102</v>
      </c>
      <c r="F2349" s="4">
        <v>4.0381639743801701E-5</v>
      </c>
      <c r="G2349" s="3">
        <v>2.5166480743352398E-4</v>
      </c>
      <c r="H2349" s="3" t="str">
        <f>"ABCB1"</f>
        <v>ABCB1</v>
      </c>
      <c r="I2349" s="3" t="str">
        <f>"protein_coding"</f>
        <v>protein_coding</v>
      </c>
    </row>
    <row r="2350" spans="1:9" x14ac:dyDescent="0.2">
      <c r="A2350" s="3" t="str">
        <f>"ENSG00000075303.13"</f>
        <v>ENSG00000075303.13</v>
      </c>
      <c r="B2350" s="3">
        <v>584.41197691544301</v>
      </c>
      <c r="C2350" s="3">
        <v>-1.36434776562759</v>
      </c>
      <c r="D2350" s="3">
        <v>0.21708068641935099</v>
      </c>
      <c r="E2350" s="3">
        <v>-6.28497996819475</v>
      </c>
      <c r="F2350" s="4">
        <v>3.2789596901112301E-10</v>
      </c>
      <c r="G2350" s="4">
        <v>4.7295825662499103E-9</v>
      </c>
      <c r="H2350" s="3" t="str">
        <f>"SLC25A40"</f>
        <v>SLC25A40</v>
      </c>
      <c r="I2350" s="3" t="str">
        <f>"protein_coding"</f>
        <v>protein_coding</v>
      </c>
    </row>
    <row r="2351" spans="1:9" x14ac:dyDescent="0.2">
      <c r="A2351" s="3" t="str">
        <f>"ENSG00000006634.8"</f>
        <v>ENSG00000006634.8</v>
      </c>
      <c r="B2351" s="3">
        <v>868.08739282100805</v>
      </c>
      <c r="C2351" s="3">
        <v>-1.44273179859683</v>
      </c>
      <c r="D2351" s="3">
        <v>0.20370547505363401</v>
      </c>
      <c r="E2351" s="3">
        <v>-7.0824399698484903</v>
      </c>
      <c r="F2351" s="4">
        <v>1.4163812464672899E-12</v>
      </c>
      <c r="G2351" s="4">
        <v>2.7625010610232099E-11</v>
      </c>
      <c r="H2351" s="3" t="str">
        <f>"DBF4"</f>
        <v>DBF4</v>
      </c>
      <c r="I2351" s="3" t="str">
        <f>"protein_coding"</f>
        <v>protein_coding</v>
      </c>
    </row>
    <row r="2352" spans="1:9" x14ac:dyDescent="0.2">
      <c r="A2352" s="3" t="str">
        <f>"ENSG00000008277.14"</f>
        <v>ENSG00000008277.14</v>
      </c>
      <c r="B2352" s="3">
        <v>254.06524515448399</v>
      </c>
      <c r="C2352" s="3">
        <v>-1.06888828806297</v>
      </c>
      <c r="D2352" s="3">
        <v>0.290193249323981</v>
      </c>
      <c r="E2352" s="3">
        <v>-3.6833671718862999</v>
      </c>
      <c r="F2352" s="3">
        <v>2.3017324633088201E-4</v>
      </c>
      <c r="G2352" s="3">
        <v>1.20490498420318E-3</v>
      </c>
      <c r="H2352" s="3" t="str">
        <f>"ADAM22"</f>
        <v>ADAM22</v>
      </c>
      <c r="I2352" s="3" t="str">
        <f>"protein_coding"</f>
        <v>protein_coding</v>
      </c>
    </row>
    <row r="2353" spans="1:9" x14ac:dyDescent="0.2">
      <c r="A2353" s="3" t="str">
        <f>"ENSG00000228113.7"</f>
        <v>ENSG00000228113.7</v>
      </c>
      <c r="B2353" s="3">
        <v>5.7615214236078902</v>
      </c>
      <c r="C2353" s="3">
        <v>5.9211747952185396</v>
      </c>
      <c r="D2353" s="3">
        <v>1.9659340584970799</v>
      </c>
      <c r="E2353" s="3">
        <v>3.01188881164467</v>
      </c>
      <c r="F2353" s="3">
        <v>2.59627675744899E-3</v>
      </c>
      <c r="G2353" s="3">
        <v>1.0090311611256401E-2</v>
      </c>
      <c r="H2353" s="3" t="str">
        <f>"AC003991.1"</f>
        <v>AC003991.1</v>
      </c>
      <c r="I2353" s="3" t="str">
        <f>"antisense"</f>
        <v>antisense</v>
      </c>
    </row>
    <row r="2354" spans="1:9" x14ac:dyDescent="0.2">
      <c r="A2354" s="3" t="str">
        <f>"ENSG00000164647.9"</f>
        <v>ENSG00000164647.9</v>
      </c>
      <c r="B2354" s="3">
        <v>110.494066154517</v>
      </c>
      <c r="C2354" s="3">
        <v>-2.4444619677234698</v>
      </c>
      <c r="D2354" s="3">
        <v>0.37947422074186998</v>
      </c>
      <c r="E2354" s="3">
        <v>-6.4417075893707798</v>
      </c>
      <c r="F2354" s="4">
        <v>1.1813672272802901E-10</v>
      </c>
      <c r="G2354" s="4">
        <v>1.8206285543951399E-9</v>
      </c>
      <c r="H2354" s="3" t="str">
        <f>"STEAP1"</f>
        <v>STEAP1</v>
      </c>
      <c r="I2354" s="3" t="str">
        <f>"protein_coding"</f>
        <v>protein_coding</v>
      </c>
    </row>
    <row r="2355" spans="1:9" x14ac:dyDescent="0.2">
      <c r="A2355" s="3" t="str">
        <f>"ENSG00000157224.16"</f>
        <v>ENSG00000157224.16</v>
      </c>
      <c r="B2355" s="3">
        <v>1983.1604850302599</v>
      </c>
      <c r="C2355" s="3">
        <v>-1.03395309682716</v>
      </c>
      <c r="D2355" s="3">
        <v>0.18093283143372599</v>
      </c>
      <c r="E2355" s="3">
        <v>-5.7145687083656096</v>
      </c>
      <c r="F2355" s="4">
        <v>1.0998260527078501E-8</v>
      </c>
      <c r="G2355" s="4">
        <v>1.29783284790519E-7</v>
      </c>
      <c r="H2355" s="3" t="str">
        <f>"CLDN12"</f>
        <v>CLDN12</v>
      </c>
      <c r="I2355" s="3" t="str">
        <f>"protein_coding"</f>
        <v>protein_coding</v>
      </c>
    </row>
    <row r="2356" spans="1:9" x14ac:dyDescent="0.2">
      <c r="A2356" s="3" t="str">
        <f>"ENSG00000157240.3"</f>
        <v>ENSG00000157240.3</v>
      </c>
      <c r="B2356" s="3">
        <v>102.784517702787</v>
      </c>
      <c r="C2356" s="3">
        <v>-1.0398351499763101</v>
      </c>
      <c r="D2356" s="3">
        <v>0.37022537448378201</v>
      </c>
      <c r="E2356" s="3">
        <v>-2.8086544619643701</v>
      </c>
      <c r="F2356" s="3">
        <v>4.9749010851860599E-3</v>
      </c>
      <c r="G2356" s="3">
        <v>1.7640698837593002E-2</v>
      </c>
      <c r="H2356" s="3" t="str">
        <f>"FZD1"</f>
        <v>FZD1</v>
      </c>
      <c r="I2356" s="3" t="str">
        <f>"protein_coding"</f>
        <v>protein_coding</v>
      </c>
    </row>
    <row r="2357" spans="1:9" x14ac:dyDescent="0.2">
      <c r="A2357" s="3" t="str">
        <f>"ENSG00000127914.16"</f>
        <v>ENSG00000127914.16</v>
      </c>
      <c r="B2357" s="3">
        <v>6168.0356296727496</v>
      </c>
      <c r="C2357" s="3">
        <v>1.06698266828816</v>
      </c>
      <c r="D2357" s="3">
        <v>0.206520528419635</v>
      </c>
      <c r="E2357" s="3">
        <v>5.1664726816897</v>
      </c>
      <c r="F2357" s="4">
        <v>2.38553050339519E-7</v>
      </c>
      <c r="G2357" s="4">
        <v>2.2734714804480099E-6</v>
      </c>
      <c r="H2357" s="3" t="str">
        <f>"AKAP9"</f>
        <v>AKAP9</v>
      </c>
      <c r="I2357" s="3" t="str">
        <f>"protein_coding"</f>
        <v>protein_coding</v>
      </c>
    </row>
    <row r="2358" spans="1:9" x14ac:dyDescent="0.2">
      <c r="A2358" s="3" t="str">
        <f>"ENSG00000001630.17"</f>
        <v>ENSG00000001630.17</v>
      </c>
      <c r="B2358" s="3">
        <v>360.652296318048</v>
      </c>
      <c r="C2358" s="3">
        <v>-2.5827225658333601</v>
      </c>
      <c r="D2358" s="3">
        <v>0.30546913282339799</v>
      </c>
      <c r="E2358" s="3">
        <v>-8.4549379571078394</v>
      </c>
      <c r="F2358" s="4">
        <v>2.7923578586183501E-17</v>
      </c>
      <c r="G2358" s="4">
        <v>8.5486937723341702E-16</v>
      </c>
      <c r="H2358" s="3" t="str">
        <f>"CYP51A1"</f>
        <v>CYP51A1</v>
      </c>
      <c r="I2358" s="3" t="str">
        <f>"protein_coding"</f>
        <v>protein_coding</v>
      </c>
    </row>
    <row r="2359" spans="1:9" x14ac:dyDescent="0.2">
      <c r="A2359" s="3" t="str">
        <f>"ENSG00000244055.1"</f>
        <v>ENSG00000244055.1</v>
      </c>
      <c r="B2359" s="3">
        <v>29.925577652996001</v>
      </c>
      <c r="C2359" s="3">
        <v>2.0923519598643101</v>
      </c>
      <c r="D2359" s="3">
        <v>0.67817481637500798</v>
      </c>
      <c r="E2359" s="3">
        <v>3.0852693278237502</v>
      </c>
      <c r="F2359" s="3">
        <v>2.03367905612332E-3</v>
      </c>
      <c r="G2359" s="3">
        <v>8.1728102127127094E-3</v>
      </c>
      <c r="H2359" s="3" t="str">
        <f>"AC007566.1"</f>
        <v>AC007566.1</v>
      </c>
      <c r="I2359" s="3" t="str">
        <f>"antisense"</f>
        <v>antisense</v>
      </c>
    </row>
    <row r="2360" spans="1:9" x14ac:dyDescent="0.2">
      <c r="A2360" s="3" t="str">
        <f>"ENSG00000127980.16"</f>
        <v>ENSG00000127980.16</v>
      </c>
      <c r="B2360" s="3">
        <v>1015.35150955963</v>
      </c>
      <c r="C2360" s="3">
        <v>1.20325447749032</v>
      </c>
      <c r="D2360" s="3">
        <v>0.21613036653043899</v>
      </c>
      <c r="E2360" s="3">
        <v>5.5672624666597299</v>
      </c>
      <c r="F2360" s="4">
        <v>2.5877247061756802E-8</v>
      </c>
      <c r="G2360" s="4">
        <v>2.9075354667698402E-7</v>
      </c>
      <c r="H2360" s="3" t="str">
        <f>"PEX1"</f>
        <v>PEX1</v>
      </c>
      <c r="I2360" s="3" t="str">
        <f>"protein_coding"</f>
        <v>protein_coding</v>
      </c>
    </row>
    <row r="2361" spans="1:9" x14ac:dyDescent="0.2">
      <c r="A2361" s="3" t="str">
        <f>"ENSG00000188175.9"</f>
        <v>ENSG00000188175.9</v>
      </c>
      <c r="B2361" s="3">
        <v>3.9255698602876601</v>
      </c>
      <c r="C2361" s="3">
        <v>5.3649036796241196</v>
      </c>
      <c r="D2361" s="3">
        <v>2.1862776153234802</v>
      </c>
      <c r="E2361" s="3">
        <v>2.45389864581783</v>
      </c>
      <c r="F2361" s="3">
        <v>1.4131680591543599E-2</v>
      </c>
      <c r="G2361" s="3">
        <v>4.2476106020715901E-2</v>
      </c>
      <c r="H2361" s="3" t="str">
        <f>"HEPACAM2"</f>
        <v>HEPACAM2</v>
      </c>
      <c r="I2361" s="3" t="str">
        <f>"protein_coding"</f>
        <v>protein_coding</v>
      </c>
    </row>
    <row r="2362" spans="1:9" x14ac:dyDescent="0.2">
      <c r="A2362" s="3" t="str">
        <f>"ENSG00000004948.14"</f>
        <v>ENSG00000004948.14</v>
      </c>
      <c r="B2362" s="3">
        <v>3.9648137554673002</v>
      </c>
      <c r="C2362" s="3">
        <v>5.38581965917892</v>
      </c>
      <c r="D2362" s="3">
        <v>2.16320773319238</v>
      </c>
      <c r="E2362" s="3">
        <v>2.4897376135165499</v>
      </c>
      <c r="F2362" s="3">
        <v>1.2783743375967001E-2</v>
      </c>
      <c r="G2362" s="3">
        <v>3.9066695352733702E-2</v>
      </c>
      <c r="H2362" s="3" t="str">
        <f>"CALCR"</f>
        <v>CALCR</v>
      </c>
      <c r="I2362" s="3" t="str">
        <f>"protein_coding"</f>
        <v>protein_coding</v>
      </c>
    </row>
    <row r="2363" spans="1:9" x14ac:dyDescent="0.2">
      <c r="A2363" s="3" t="str">
        <f>"ENSG00000105825.13"</f>
        <v>ENSG00000105825.13</v>
      </c>
      <c r="B2363" s="3">
        <v>20.4743618439377</v>
      </c>
      <c r="C2363" s="3">
        <v>2.35742757397733</v>
      </c>
      <c r="D2363" s="3">
        <v>0.81059234969067395</v>
      </c>
      <c r="E2363" s="3">
        <v>2.90827760079025</v>
      </c>
      <c r="F2363" s="3">
        <v>3.6342557170632398E-3</v>
      </c>
      <c r="G2363" s="3">
        <v>1.35221310286525E-2</v>
      </c>
      <c r="H2363" s="3" t="str">
        <f>"TFPI2"</f>
        <v>TFPI2</v>
      </c>
      <c r="I2363" s="3" t="str">
        <f>"protein_coding"</f>
        <v>protein_coding</v>
      </c>
    </row>
    <row r="2364" spans="1:9" x14ac:dyDescent="0.2">
      <c r="A2364" s="3" t="str">
        <f>"ENSG00000236197.3"</f>
        <v>ENSG00000236197.3</v>
      </c>
      <c r="B2364" s="3">
        <v>6.8606877293017199</v>
      </c>
      <c r="C2364" s="3">
        <v>6.1706072827813099</v>
      </c>
      <c r="D2364" s="3">
        <v>1.91251448943764</v>
      </c>
      <c r="E2364" s="3">
        <v>3.2264368802746901</v>
      </c>
      <c r="F2364" s="3">
        <v>1.2534187471246201E-3</v>
      </c>
      <c r="G2364" s="3">
        <v>5.3706401325529897E-3</v>
      </c>
      <c r="H2364" s="3" t="str">
        <f>"AC002429.2"</f>
        <v>AC002429.2</v>
      </c>
      <c r="I2364" s="3" t="str">
        <f>"antisense"</f>
        <v>antisense</v>
      </c>
    </row>
    <row r="2365" spans="1:9" x14ac:dyDescent="0.2">
      <c r="A2365" s="3" t="str">
        <f>"ENSG00000005981.13"</f>
        <v>ENSG00000005981.13</v>
      </c>
      <c r="B2365" s="3">
        <v>74.982279283181597</v>
      </c>
      <c r="C2365" s="3">
        <v>1.8798282664957899</v>
      </c>
      <c r="D2365" s="3">
        <v>0.43650266500220802</v>
      </c>
      <c r="E2365" s="3">
        <v>4.3065676735015703</v>
      </c>
      <c r="F2365" s="4">
        <v>1.6580721929991899E-5</v>
      </c>
      <c r="G2365" s="3">
        <v>1.12199108436088E-4</v>
      </c>
      <c r="H2365" s="3" t="str">
        <f>"ASB4"</f>
        <v>ASB4</v>
      </c>
      <c r="I2365" s="3" t="str">
        <f>"protein_coding"</f>
        <v>protein_coding</v>
      </c>
    </row>
    <row r="2366" spans="1:9" x14ac:dyDescent="0.2">
      <c r="A2366" s="3" t="str">
        <f>"ENSG00000158560.14"</f>
        <v>ENSG00000158560.14</v>
      </c>
      <c r="B2366" s="3">
        <v>7.9266217205616902</v>
      </c>
      <c r="C2366" s="3">
        <v>6.3813652613408598</v>
      </c>
      <c r="D2366" s="3">
        <v>1.8395505172553801</v>
      </c>
      <c r="E2366" s="3">
        <v>3.4689807110390798</v>
      </c>
      <c r="F2366" s="3">
        <v>5.2243696189452501E-4</v>
      </c>
      <c r="G2366" s="3">
        <v>2.4918997860432202E-3</v>
      </c>
      <c r="H2366" s="3" t="str">
        <f>"DYNC1I1"</f>
        <v>DYNC1I1</v>
      </c>
      <c r="I2366" s="3" t="str">
        <f>"protein_coding"</f>
        <v>protein_coding</v>
      </c>
    </row>
    <row r="2367" spans="1:9" x14ac:dyDescent="0.2">
      <c r="A2367" s="3" t="str">
        <f>"ENSG00000070669.17"</f>
        <v>ENSG00000070669.17</v>
      </c>
      <c r="B2367" s="3">
        <v>151.167515919919</v>
      </c>
      <c r="C2367" s="3">
        <v>-2.6821476368955</v>
      </c>
      <c r="D2367" s="3">
        <v>0.336933862720591</v>
      </c>
      <c r="E2367" s="3">
        <v>-7.9604573290388503</v>
      </c>
      <c r="F2367" s="4">
        <v>1.71404560050822E-15</v>
      </c>
      <c r="G2367" s="4">
        <v>4.4820154008682799E-14</v>
      </c>
      <c r="H2367" s="3" t="str">
        <f>"ASNS"</f>
        <v>ASNS</v>
      </c>
      <c r="I2367" s="3" t="str">
        <f>"protein_coding"</f>
        <v>protein_coding</v>
      </c>
    </row>
    <row r="2368" spans="1:9" x14ac:dyDescent="0.2">
      <c r="A2368" s="3" t="str">
        <f>"ENSG00000284707.1"</f>
        <v>ENSG00000284707.1</v>
      </c>
      <c r="B2368" s="3">
        <v>31.1919242620503</v>
      </c>
      <c r="C2368" s="3">
        <v>-1.7955567275226201</v>
      </c>
      <c r="D2368" s="3">
        <v>0.64805219490724697</v>
      </c>
      <c r="E2368" s="3">
        <v>-2.7706977024892399</v>
      </c>
      <c r="F2368" s="3">
        <v>5.5936331225155999E-3</v>
      </c>
      <c r="G2368" s="3">
        <v>1.9550217697377401E-2</v>
      </c>
      <c r="H2368" s="3" t="str">
        <f>"AC079781.5"</f>
        <v>AC079781.5</v>
      </c>
      <c r="I2368" s="3" t="str">
        <f>"processed_transcript"</f>
        <v>processed_transcript</v>
      </c>
    </row>
    <row r="2369" spans="1:9" x14ac:dyDescent="0.2">
      <c r="A2369" s="3" t="str">
        <f>"ENSG00000180535.3"</f>
        <v>ENSG00000180535.3</v>
      </c>
      <c r="B2369" s="3">
        <v>30.582427342883999</v>
      </c>
      <c r="C2369" s="3">
        <v>-2.6445431782669302</v>
      </c>
      <c r="D2369" s="3">
        <v>0.68236189191891605</v>
      </c>
      <c r="E2369" s="3">
        <v>-3.8755727856226501</v>
      </c>
      <c r="F2369" s="3">
        <v>1.06374175854005E-4</v>
      </c>
      <c r="G2369" s="3">
        <v>6.0521552923242295E-4</v>
      </c>
      <c r="H2369" s="3" t="str">
        <f>"BHLHA15"</f>
        <v>BHLHA15</v>
      </c>
      <c r="I2369" s="3" t="str">
        <f>"protein_coding"</f>
        <v>protein_coding</v>
      </c>
    </row>
    <row r="2370" spans="1:9" x14ac:dyDescent="0.2">
      <c r="A2370" s="3" t="str">
        <f>"ENSG00000002079.14"</f>
        <v>ENSG00000002079.14</v>
      </c>
      <c r="B2370" s="3">
        <v>218.56295369350201</v>
      </c>
      <c r="C2370" s="3">
        <v>6.7115946453330304</v>
      </c>
      <c r="D2370" s="3">
        <v>0.57982942276962401</v>
      </c>
      <c r="E2370" s="3">
        <v>11.575119132924099</v>
      </c>
      <c r="F2370" s="4">
        <v>5.5094673432870304E-31</v>
      </c>
      <c r="G2370" s="4">
        <v>4.6475683189641401E-29</v>
      </c>
      <c r="H2370" s="3" t="str">
        <f>"MYH16"</f>
        <v>MYH16</v>
      </c>
      <c r="I2370" s="3" t="str">
        <f>"transcribed_unitary_pseudogene"</f>
        <v>transcribed_unitary_pseudogene</v>
      </c>
    </row>
    <row r="2371" spans="1:9" x14ac:dyDescent="0.2">
      <c r="A2371" s="3" t="str">
        <f>"ENSG00000160917.15"</f>
        <v>ENSG00000160917.15</v>
      </c>
      <c r="B2371" s="3">
        <v>3492.0383410740501</v>
      </c>
      <c r="C2371" s="3">
        <v>1.6065174927886501</v>
      </c>
      <c r="D2371" s="3">
        <v>0.199618724799867</v>
      </c>
      <c r="E2371" s="3">
        <v>8.0479298442533498</v>
      </c>
      <c r="F2371" s="4">
        <v>8.4206191492469797E-16</v>
      </c>
      <c r="G2371" s="4">
        <v>2.2626884611393701E-14</v>
      </c>
      <c r="H2371" s="3" t="str">
        <f>"CPSF4"</f>
        <v>CPSF4</v>
      </c>
      <c r="I2371" s="3" t="str">
        <f t="shared" ref="I2371:I2389" si="116">"protein_coding"</f>
        <v>protein_coding</v>
      </c>
    </row>
    <row r="2372" spans="1:9" x14ac:dyDescent="0.2">
      <c r="A2372" s="3" t="str">
        <f>"ENSG00000106258.15"</f>
        <v>ENSG00000106258.15</v>
      </c>
      <c r="B2372" s="3">
        <v>162.03403266065999</v>
      </c>
      <c r="C2372" s="3">
        <v>2.46877489198853</v>
      </c>
      <c r="D2372" s="3">
        <v>0.33269512172420601</v>
      </c>
      <c r="E2372" s="3">
        <v>7.4205322855171598</v>
      </c>
      <c r="F2372" s="4">
        <v>1.166505676987E-13</v>
      </c>
      <c r="G2372" s="4">
        <v>2.5879985299624502E-12</v>
      </c>
      <c r="H2372" s="3" t="str">
        <f>"CYP3A5"</f>
        <v>CYP3A5</v>
      </c>
      <c r="I2372" s="3" t="str">
        <f t="shared" si="116"/>
        <v>protein_coding</v>
      </c>
    </row>
    <row r="2373" spans="1:9" x14ac:dyDescent="0.2">
      <c r="A2373" s="3" t="str">
        <f>"ENSG00000160870.14"</f>
        <v>ENSG00000160870.14</v>
      </c>
      <c r="B2373" s="3">
        <v>43.957096780083397</v>
      </c>
      <c r="C2373" s="3">
        <v>3.7191966413914899</v>
      </c>
      <c r="D2373" s="3">
        <v>0.64449168718364602</v>
      </c>
      <c r="E2373" s="3">
        <v>5.7707441621845303</v>
      </c>
      <c r="F2373" s="4">
        <v>7.8922219986393608E-9</v>
      </c>
      <c r="G2373" s="4">
        <v>9.5234443222731003E-8</v>
      </c>
      <c r="H2373" s="3" t="str">
        <f>"CYP3A7"</f>
        <v>CYP3A7</v>
      </c>
      <c r="I2373" s="3" t="str">
        <f t="shared" si="116"/>
        <v>protein_coding</v>
      </c>
    </row>
    <row r="2374" spans="1:9" x14ac:dyDescent="0.2">
      <c r="A2374" s="3" t="str">
        <f>"ENSG00000160868.15"</f>
        <v>ENSG00000160868.15</v>
      </c>
      <c r="B2374" s="3">
        <v>11.9277169497458</v>
      </c>
      <c r="C2374" s="3">
        <v>4.4628465033734201</v>
      </c>
      <c r="D2374" s="3">
        <v>1.37194512603527</v>
      </c>
      <c r="E2374" s="3">
        <v>3.25293367692512</v>
      </c>
      <c r="F2374" s="3">
        <v>1.1422015333552599E-3</v>
      </c>
      <c r="G2374" s="3">
        <v>4.9572419846019003E-3</v>
      </c>
      <c r="H2374" s="3" t="str">
        <f>"CYP3A4"</f>
        <v>CYP3A4</v>
      </c>
      <c r="I2374" s="3" t="str">
        <f t="shared" si="116"/>
        <v>protein_coding</v>
      </c>
    </row>
    <row r="2375" spans="1:9" x14ac:dyDescent="0.2">
      <c r="A2375" s="3" t="str">
        <f>"ENSG00000021461.16"</f>
        <v>ENSG00000021461.16</v>
      </c>
      <c r="B2375" s="3">
        <v>135.375934011477</v>
      </c>
      <c r="C2375" s="3">
        <v>5.3010515206243296</v>
      </c>
      <c r="D2375" s="3">
        <v>0.51977091026339395</v>
      </c>
      <c r="E2375" s="3">
        <v>10.198823012119</v>
      </c>
      <c r="F2375" s="4">
        <v>2.0068975776782401E-24</v>
      </c>
      <c r="G2375" s="4">
        <v>1.0680066074023201E-22</v>
      </c>
      <c r="H2375" s="3" t="str">
        <f>"CYP3A43"</f>
        <v>CYP3A43</v>
      </c>
      <c r="I2375" s="3" t="str">
        <f t="shared" si="116"/>
        <v>protein_coding</v>
      </c>
    </row>
    <row r="2376" spans="1:9" x14ac:dyDescent="0.2">
      <c r="A2376" s="3" t="str">
        <f>"ENSG00000160862.13"</f>
        <v>ENSG00000160862.13</v>
      </c>
      <c r="B2376" s="3">
        <v>801.82685521209805</v>
      </c>
      <c r="C2376" s="3">
        <v>-1.8755682543680301</v>
      </c>
      <c r="D2376" s="3">
        <v>0.26301868816797802</v>
      </c>
      <c r="E2376" s="3">
        <v>-7.1309315221365202</v>
      </c>
      <c r="F2376" s="4">
        <v>9.9691910991484697E-13</v>
      </c>
      <c r="G2376" s="4">
        <v>1.9754949082072599E-11</v>
      </c>
      <c r="H2376" s="3" t="str">
        <f>"AZGP1"</f>
        <v>AZGP1</v>
      </c>
      <c r="I2376" s="3" t="str">
        <f t="shared" si="116"/>
        <v>protein_coding</v>
      </c>
    </row>
    <row r="2377" spans="1:9" x14ac:dyDescent="0.2">
      <c r="A2377" s="3" t="str">
        <f>"ENSG00000166508.17"</f>
        <v>ENSG00000166508.17</v>
      </c>
      <c r="B2377" s="3">
        <v>6412.9681752629804</v>
      </c>
      <c r="C2377" s="3">
        <v>-1.98809233500128</v>
      </c>
      <c r="D2377" s="3">
        <v>0.228533821610862</v>
      </c>
      <c r="E2377" s="3">
        <v>-8.6993352711990308</v>
      </c>
      <c r="F2377" s="4">
        <v>3.3383386709909201E-18</v>
      </c>
      <c r="G2377" s="4">
        <v>1.09722212024716E-16</v>
      </c>
      <c r="H2377" s="3" t="str">
        <f>"MCM7"</f>
        <v>MCM7</v>
      </c>
      <c r="I2377" s="3" t="str">
        <f t="shared" si="116"/>
        <v>protein_coding</v>
      </c>
    </row>
    <row r="2378" spans="1:9" x14ac:dyDescent="0.2">
      <c r="A2378" s="3" t="str">
        <f>"ENSG00000166997.8"</f>
        <v>ENSG00000166997.8</v>
      </c>
      <c r="B2378" s="3">
        <v>174.228514459059</v>
      </c>
      <c r="C2378" s="3">
        <v>-1.2671147970561401</v>
      </c>
      <c r="D2378" s="3">
        <v>0.32866313718390699</v>
      </c>
      <c r="E2378" s="3">
        <v>-3.85536025704981</v>
      </c>
      <c r="F2378" s="3">
        <v>1.15559326899042E-4</v>
      </c>
      <c r="G2378" s="3">
        <v>6.5267319810827695E-4</v>
      </c>
      <c r="H2378" s="3" t="str">
        <f>"CNPY4"</f>
        <v>CNPY4</v>
      </c>
      <c r="I2378" s="3" t="str">
        <f t="shared" si="116"/>
        <v>protein_coding</v>
      </c>
    </row>
    <row r="2379" spans="1:9" x14ac:dyDescent="0.2">
      <c r="A2379" s="3" t="str">
        <f>"ENSG00000197093.11"</f>
        <v>ENSG00000197093.11</v>
      </c>
      <c r="B2379" s="3">
        <v>654.30848679684595</v>
      </c>
      <c r="C2379" s="3">
        <v>5.7883704391262603</v>
      </c>
      <c r="D2379" s="3">
        <v>0.318020843000832</v>
      </c>
      <c r="E2379" s="3">
        <v>18.201229782637601</v>
      </c>
      <c r="F2379" s="4">
        <v>5.0462099793034297E-74</v>
      </c>
      <c r="G2379" s="4">
        <v>2.8644600688766799E-71</v>
      </c>
      <c r="H2379" s="3" t="str">
        <f>"GAL3ST4"</f>
        <v>GAL3ST4</v>
      </c>
      <c r="I2379" s="3" t="str">
        <f t="shared" si="116"/>
        <v>protein_coding</v>
      </c>
    </row>
    <row r="2380" spans="1:9" x14ac:dyDescent="0.2">
      <c r="A2380" s="3" t="str">
        <f>"ENSG00000239521.8"</f>
        <v>ENSG00000239521.8</v>
      </c>
      <c r="B2380" s="3">
        <v>1547.93407327604</v>
      </c>
      <c r="C2380" s="3">
        <v>1.05092561725151</v>
      </c>
      <c r="D2380" s="3">
        <v>0.18885787141888899</v>
      </c>
      <c r="E2380" s="3">
        <v>5.56463762593481</v>
      </c>
      <c r="F2380" s="4">
        <v>2.6269773286556299E-8</v>
      </c>
      <c r="G2380" s="4">
        <v>2.9492068922076602E-7</v>
      </c>
      <c r="H2380" s="3" t="str">
        <f>"CASTOR3"</f>
        <v>CASTOR3</v>
      </c>
      <c r="I2380" s="3" t="str">
        <f t="shared" si="116"/>
        <v>protein_coding</v>
      </c>
    </row>
    <row r="2381" spans="1:9" x14ac:dyDescent="0.2">
      <c r="A2381" s="3" t="str">
        <f>"ENSG00000166924.9"</f>
        <v>ENSG00000166924.9</v>
      </c>
      <c r="B2381" s="3">
        <v>83.461413641128701</v>
      </c>
      <c r="C2381" s="3">
        <v>1.77903210733888</v>
      </c>
      <c r="D2381" s="3">
        <v>0.42115784029016101</v>
      </c>
      <c r="E2381" s="3">
        <v>4.2241457647166198</v>
      </c>
      <c r="F2381" s="4">
        <v>2.3984878146938899E-5</v>
      </c>
      <c r="G2381" s="3">
        <v>1.56868932997994E-4</v>
      </c>
      <c r="H2381" s="3" t="str">
        <f>"NYAP1"</f>
        <v>NYAP1</v>
      </c>
      <c r="I2381" s="3" t="str">
        <f t="shared" si="116"/>
        <v>protein_coding</v>
      </c>
    </row>
    <row r="2382" spans="1:9" x14ac:dyDescent="0.2">
      <c r="A2382" s="3" t="str">
        <f>"ENSG00000106351.13"</f>
        <v>ENSG00000106351.13</v>
      </c>
      <c r="B2382" s="3">
        <v>4200.0985875954702</v>
      </c>
      <c r="C2382" s="3">
        <v>-2.4733965854662401</v>
      </c>
      <c r="D2382" s="3">
        <v>0.21738760244563701</v>
      </c>
      <c r="E2382" s="3">
        <v>-11.377818043164501</v>
      </c>
      <c r="F2382" s="4">
        <v>5.3932228110091202E-30</v>
      </c>
      <c r="G2382" s="4">
        <v>4.2105771327096103E-28</v>
      </c>
      <c r="H2382" s="3" t="str">
        <f>"AGFG2"</f>
        <v>AGFG2</v>
      </c>
      <c r="I2382" s="3" t="str">
        <f t="shared" si="116"/>
        <v>protein_coding</v>
      </c>
    </row>
    <row r="2383" spans="1:9" x14ac:dyDescent="0.2">
      <c r="A2383" s="3" t="str">
        <f>"ENSG00000106333.13"</f>
        <v>ENSG00000106333.13</v>
      </c>
      <c r="B2383" s="3">
        <v>436.70044804585001</v>
      </c>
      <c r="C2383" s="3">
        <v>-1.0087314494276001</v>
      </c>
      <c r="D2383" s="3">
        <v>0.27807684731618698</v>
      </c>
      <c r="E2383" s="3">
        <v>-3.62752763907966</v>
      </c>
      <c r="F2383" s="3">
        <v>2.8614815164521202E-4</v>
      </c>
      <c r="G2383" s="3">
        <v>1.46083002515126E-3</v>
      </c>
      <c r="H2383" s="3" t="str">
        <f>"PCOLCE"</f>
        <v>PCOLCE</v>
      </c>
      <c r="I2383" s="3" t="str">
        <f t="shared" si="116"/>
        <v>protein_coding</v>
      </c>
    </row>
    <row r="2384" spans="1:9" x14ac:dyDescent="0.2">
      <c r="A2384" s="3" t="str">
        <f>"ENSG00000106327.13"</f>
        <v>ENSG00000106327.13</v>
      </c>
      <c r="B2384" s="3">
        <v>383.37212197912402</v>
      </c>
      <c r="C2384" s="3">
        <v>-1.4299770931859701</v>
      </c>
      <c r="D2384" s="3">
        <v>0.28376590992533002</v>
      </c>
      <c r="E2384" s="3">
        <v>-5.0392842944462597</v>
      </c>
      <c r="F2384" s="4">
        <v>4.6727594285723999E-7</v>
      </c>
      <c r="G2384" s="4">
        <v>4.2439558716770699E-6</v>
      </c>
      <c r="H2384" s="3" t="str">
        <f>"TFR2"</f>
        <v>TFR2</v>
      </c>
      <c r="I2384" s="3" t="str">
        <f t="shared" si="116"/>
        <v>protein_coding</v>
      </c>
    </row>
    <row r="2385" spans="1:9" x14ac:dyDescent="0.2">
      <c r="A2385" s="3" t="str">
        <f>"ENSG00000172336.5"</f>
        <v>ENSG00000172336.5</v>
      </c>
      <c r="B2385" s="3">
        <v>1034.84222001794</v>
      </c>
      <c r="C2385" s="3">
        <v>-1.3767161834475501</v>
      </c>
      <c r="D2385" s="3">
        <v>0.25079073048553702</v>
      </c>
      <c r="E2385" s="3">
        <v>-5.4895018678808096</v>
      </c>
      <c r="F2385" s="4">
        <v>4.0306885533445698E-8</v>
      </c>
      <c r="G2385" s="4">
        <v>4.38419844363192E-7</v>
      </c>
      <c r="H2385" s="3" t="str">
        <f>"POP7"</f>
        <v>POP7</v>
      </c>
      <c r="I2385" s="3" t="str">
        <f t="shared" si="116"/>
        <v>protein_coding</v>
      </c>
    </row>
    <row r="2386" spans="1:9" x14ac:dyDescent="0.2">
      <c r="A2386" s="3" t="str">
        <f>"ENSG00000130427.3"</f>
        <v>ENSG00000130427.3</v>
      </c>
      <c r="B2386" s="3">
        <v>133.83669072018299</v>
      </c>
      <c r="C2386" s="3">
        <v>-1.95871557836348</v>
      </c>
      <c r="D2386" s="3">
        <v>0.34414608723127799</v>
      </c>
      <c r="E2386" s="3">
        <v>-5.6915236030190801</v>
      </c>
      <c r="F2386" s="4">
        <v>1.25910746580216E-8</v>
      </c>
      <c r="G2386" s="4">
        <v>1.4755656396004901E-7</v>
      </c>
      <c r="H2386" s="3" t="str">
        <f>"EPO"</f>
        <v>EPO</v>
      </c>
      <c r="I2386" s="3" t="str">
        <f t="shared" si="116"/>
        <v>protein_coding</v>
      </c>
    </row>
    <row r="2387" spans="1:9" x14ac:dyDescent="0.2">
      <c r="A2387" s="3" t="str">
        <f>"ENSG00000087087.20"</f>
        <v>ENSG00000087087.20</v>
      </c>
      <c r="B2387" s="3">
        <v>4158.2942674304504</v>
      </c>
      <c r="C2387" s="3">
        <v>-1.43025709210778</v>
      </c>
      <c r="D2387" s="3">
        <v>0.215132327965807</v>
      </c>
      <c r="E2387" s="3">
        <v>-6.6482666999963804</v>
      </c>
      <c r="F2387" s="4">
        <v>2.9656458260389401E-11</v>
      </c>
      <c r="G2387" s="4">
        <v>4.9664998046762697E-10</v>
      </c>
      <c r="H2387" s="3" t="str">
        <f>"SRRT"</f>
        <v>SRRT</v>
      </c>
      <c r="I2387" s="3" t="str">
        <f t="shared" si="116"/>
        <v>protein_coding</v>
      </c>
    </row>
    <row r="2388" spans="1:9" x14ac:dyDescent="0.2">
      <c r="A2388" s="3" t="str">
        <f>"ENSG00000087085.15"</f>
        <v>ENSG00000087085.15</v>
      </c>
      <c r="B2388" s="3">
        <v>692.38611847853997</v>
      </c>
      <c r="C2388" s="3">
        <v>5.5760929202004998</v>
      </c>
      <c r="D2388" s="3">
        <v>0.312564536367469</v>
      </c>
      <c r="E2388" s="3">
        <v>17.839813131087102</v>
      </c>
      <c r="F2388" s="4">
        <v>3.4685392279374599E-71</v>
      </c>
      <c r="G2388" s="4">
        <v>1.65802260251951E-68</v>
      </c>
      <c r="H2388" s="3" t="str">
        <f>"ACHE"</f>
        <v>ACHE</v>
      </c>
      <c r="I2388" s="3" t="str">
        <f t="shared" si="116"/>
        <v>protein_coding</v>
      </c>
    </row>
    <row r="2389" spans="1:9" x14ac:dyDescent="0.2">
      <c r="A2389" s="3" t="str">
        <f>"ENSG00000205277.9"</f>
        <v>ENSG00000205277.9</v>
      </c>
      <c r="B2389" s="3">
        <v>11.490065169564501</v>
      </c>
      <c r="C2389" s="3">
        <v>2.9849874125199598</v>
      </c>
      <c r="D2389" s="3">
        <v>1.11110030214986</v>
      </c>
      <c r="E2389" s="3">
        <v>2.6865148058589599</v>
      </c>
      <c r="F2389" s="3">
        <v>7.2201748183616E-3</v>
      </c>
      <c r="G2389" s="3">
        <v>2.4197255275334398E-2</v>
      </c>
      <c r="H2389" s="3" t="str">
        <f>"MUC12"</f>
        <v>MUC12</v>
      </c>
      <c r="I2389" s="3" t="str">
        <f t="shared" si="116"/>
        <v>protein_coding</v>
      </c>
    </row>
    <row r="2390" spans="1:9" x14ac:dyDescent="0.2">
      <c r="A2390" s="3" t="str">
        <f>"ENSG00000227053.1"</f>
        <v>ENSG00000227053.1</v>
      </c>
      <c r="B2390" s="3">
        <v>9.9888947537885606</v>
      </c>
      <c r="C2390" s="3">
        <v>5.2331195203925001</v>
      </c>
      <c r="D2390" s="3">
        <v>1.7455424224332901</v>
      </c>
      <c r="E2390" s="3">
        <v>2.99799045450726</v>
      </c>
      <c r="F2390" s="3">
        <v>2.71766185231891E-3</v>
      </c>
      <c r="G2390" s="3">
        <v>1.0501791588446101E-2</v>
      </c>
      <c r="H2390" s="3" t="str">
        <f>"AC105446.1"</f>
        <v>AC105446.1</v>
      </c>
      <c r="I2390" s="3" t="str">
        <f>"antisense"</f>
        <v>antisense</v>
      </c>
    </row>
    <row r="2391" spans="1:9" x14ac:dyDescent="0.2">
      <c r="A2391" s="3" t="str">
        <f>"ENSG00000169876.13"</f>
        <v>ENSG00000169876.13</v>
      </c>
      <c r="B2391" s="3">
        <v>9.6508531790888092</v>
      </c>
      <c r="C2391" s="3">
        <v>6.6647636720749102</v>
      </c>
      <c r="D2391" s="3">
        <v>1.7793306056818099</v>
      </c>
      <c r="E2391" s="3">
        <v>3.7456578618907401</v>
      </c>
      <c r="F2391" s="3">
        <v>1.79921664435083E-4</v>
      </c>
      <c r="G2391" s="3">
        <v>9.6960553616746504E-4</v>
      </c>
      <c r="H2391" s="3" t="str">
        <f>"MUC17"</f>
        <v>MUC17</v>
      </c>
      <c r="I2391" s="3" t="str">
        <f>"protein_coding"</f>
        <v>protein_coding</v>
      </c>
    </row>
    <row r="2392" spans="1:9" x14ac:dyDescent="0.2">
      <c r="A2392" s="3" t="str">
        <f>"ENSG00000106366.8"</f>
        <v>ENSG00000106366.8</v>
      </c>
      <c r="B2392" s="3">
        <v>25955.452606427199</v>
      </c>
      <c r="C2392" s="3">
        <v>2.4439714452902899</v>
      </c>
      <c r="D2392" s="3">
        <v>0.196687783748447</v>
      </c>
      <c r="E2392" s="3">
        <v>12.4256392477125</v>
      </c>
      <c r="F2392" s="4">
        <v>1.89703921816812E-35</v>
      </c>
      <c r="G2392" s="4">
        <v>2.0277629749103999E-33</v>
      </c>
      <c r="H2392" s="3" t="str">
        <f>"SERPINE1"</f>
        <v>SERPINE1</v>
      </c>
      <c r="I2392" s="3" t="str">
        <f>"protein_coding"</f>
        <v>protein_coding</v>
      </c>
    </row>
    <row r="2393" spans="1:9" x14ac:dyDescent="0.2">
      <c r="A2393" s="3" t="str">
        <f>"ENSG00000106384.12"</f>
        <v>ENSG00000106384.12</v>
      </c>
      <c r="B2393" s="3">
        <v>845.36652574380798</v>
      </c>
      <c r="C2393" s="3">
        <v>1.4767963127193799</v>
      </c>
      <c r="D2393" s="3">
        <v>0.21040440957832501</v>
      </c>
      <c r="E2393" s="3">
        <v>7.0188467802507102</v>
      </c>
      <c r="F2393" s="4">
        <v>2.2370693458566199E-12</v>
      </c>
      <c r="G2393" s="4">
        <v>4.2387641492736702E-11</v>
      </c>
      <c r="H2393" s="3" t="str">
        <f>"MOGAT3"</f>
        <v>MOGAT3</v>
      </c>
      <c r="I2393" s="3" t="str">
        <f>"protein_coding"</f>
        <v>protein_coding</v>
      </c>
    </row>
    <row r="2394" spans="1:9" x14ac:dyDescent="0.2">
      <c r="A2394" s="3" t="str">
        <f>"ENSG00000232445.1"</f>
        <v>ENSG00000232445.1</v>
      </c>
      <c r="B2394" s="3">
        <v>146.71650998132901</v>
      </c>
      <c r="C2394" s="3">
        <v>-1.0022589463906599</v>
      </c>
      <c r="D2394" s="3">
        <v>0.33012235878891499</v>
      </c>
      <c r="E2394" s="3">
        <v>-3.0360226131533099</v>
      </c>
      <c r="F2394" s="3">
        <v>2.39721384930041E-3</v>
      </c>
      <c r="G2394" s="3">
        <v>9.4116550074766804E-3</v>
      </c>
      <c r="H2394" s="3" t="str">
        <f>"AC006329.1"</f>
        <v>AC006329.1</v>
      </c>
      <c r="I2394" s="3" t="str">
        <f>"antisense"</f>
        <v>antisense</v>
      </c>
    </row>
    <row r="2395" spans="1:9" x14ac:dyDescent="0.2">
      <c r="A2395" s="3" t="str">
        <f>"ENSG00000160963.14"</f>
        <v>ENSG00000160963.14</v>
      </c>
      <c r="B2395" s="3">
        <v>10.0674259130579</v>
      </c>
      <c r="C2395" s="3">
        <v>3.5841330022046498</v>
      </c>
      <c r="D2395" s="3">
        <v>1.2908965974904301</v>
      </c>
      <c r="E2395" s="3">
        <v>2.7764679287035099</v>
      </c>
      <c r="F2395" s="3">
        <v>5.4953056289175602E-3</v>
      </c>
      <c r="G2395" s="3">
        <v>1.92678667444495E-2</v>
      </c>
      <c r="H2395" s="3" t="str">
        <f>"COL26A1"</f>
        <v>COL26A1</v>
      </c>
      <c r="I2395" s="3" t="str">
        <f>"protein_coding"</f>
        <v>protein_coding</v>
      </c>
    </row>
    <row r="2396" spans="1:9" x14ac:dyDescent="0.2">
      <c r="A2396" s="3" t="str">
        <f>"ENSG00000160991.16"</f>
        <v>ENSG00000160991.16</v>
      </c>
      <c r="B2396" s="3">
        <v>885.76850233105199</v>
      </c>
      <c r="C2396" s="3">
        <v>1.2724985196905101</v>
      </c>
      <c r="D2396" s="3">
        <v>0.219467898708673</v>
      </c>
      <c r="E2396" s="3">
        <v>5.7981077286371203</v>
      </c>
      <c r="F2396" s="4">
        <v>6.7067365745848001E-9</v>
      </c>
      <c r="G2396" s="4">
        <v>8.1579665824871504E-8</v>
      </c>
      <c r="H2396" s="3" t="str">
        <f>"ORAI2"</f>
        <v>ORAI2</v>
      </c>
      <c r="I2396" s="3" t="str">
        <f>"protein_coding"</f>
        <v>protein_coding</v>
      </c>
    </row>
    <row r="2397" spans="1:9" x14ac:dyDescent="0.2">
      <c r="A2397" s="3" t="str">
        <f>"ENSG00000222011.9"</f>
        <v>ENSG00000222011.9</v>
      </c>
      <c r="B2397" s="3">
        <v>475.14371678146102</v>
      </c>
      <c r="C2397" s="3">
        <v>1.0697423618441699</v>
      </c>
      <c r="D2397" s="3">
        <v>0.240130981404131</v>
      </c>
      <c r="E2397" s="3">
        <v>4.4548285922499904</v>
      </c>
      <c r="F2397" s="4">
        <v>8.3960246428672592E-6</v>
      </c>
      <c r="G2397" s="4">
        <v>6.0648590520732803E-5</v>
      </c>
      <c r="H2397" s="3" t="str">
        <f>"FAM185A"</f>
        <v>FAM185A</v>
      </c>
      <c r="I2397" s="3" t="str">
        <f>"protein_coding"</f>
        <v>protein_coding</v>
      </c>
    </row>
    <row r="2398" spans="1:9" x14ac:dyDescent="0.2">
      <c r="A2398" s="3" t="str">
        <f>"ENSG00000213385.3"</f>
        <v>ENSG00000213385.3</v>
      </c>
      <c r="B2398" s="3">
        <v>64.923252946288002</v>
      </c>
      <c r="C2398" s="3">
        <v>1.31496046938786</v>
      </c>
      <c r="D2398" s="3">
        <v>0.448437516183116</v>
      </c>
      <c r="E2398" s="3">
        <v>2.9323159234761902</v>
      </c>
      <c r="F2398" s="3">
        <v>3.3644430445203401E-3</v>
      </c>
      <c r="G2398" s="3">
        <v>1.26404630466601E-2</v>
      </c>
      <c r="H2398" s="3" t="str">
        <f>"AC105052.2"</f>
        <v>AC105052.2</v>
      </c>
      <c r="I2398" s="3" t="str">
        <f>"processed_pseudogene"</f>
        <v>processed_pseudogene</v>
      </c>
    </row>
    <row r="2399" spans="1:9" x14ac:dyDescent="0.2">
      <c r="A2399" s="3" t="str">
        <f>"ENSG00000170629.14"</f>
        <v>ENSG00000170629.14</v>
      </c>
      <c r="B2399" s="3">
        <v>30.785927845958899</v>
      </c>
      <c r="C2399" s="3">
        <v>4.2391804061195701</v>
      </c>
      <c r="D2399" s="3">
        <v>0.84229073605930804</v>
      </c>
      <c r="E2399" s="3">
        <v>5.0329182367038197</v>
      </c>
      <c r="F2399" s="4">
        <v>4.8306919491882898E-7</v>
      </c>
      <c r="G2399" s="4">
        <v>4.3786381749678398E-6</v>
      </c>
      <c r="H2399" s="3" t="str">
        <f>"DPY19L2P2"</f>
        <v>DPY19L2P2</v>
      </c>
      <c r="I2399" s="3" t="str">
        <f>"transcribed_unprocessed_pseudogene"</f>
        <v>transcribed_unprocessed_pseudogene</v>
      </c>
    </row>
    <row r="2400" spans="1:9" x14ac:dyDescent="0.2">
      <c r="A2400" s="3" t="str">
        <f>"ENSG00000197258.5"</f>
        <v>ENSG00000197258.5</v>
      </c>
      <c r="B2400" s="3">
        <v>148.06839317943999</v>
      </c>
      <c r="C2400" s="3">
        <v>-1.2478601355835801</v>
      </c>
      <c r="D2400" s="3">
        <v>0.33032159640983899</v>
      </c>
      <c r="E2400" s="3">
        <v>-3.7777128384767198</v>
      </c>
      <c r="F2400" s="3">
        <v>1.58275225640358E-4</v>
      </c>
      <c r="G2400" s="3">
        <v>8.6510031555121802E-4</v>
      </c>
      <c r="H2400" s="3" t="str">
        <f>"EIF4BP6"</f>
        <v>EIF4BP6</v>
      </c>
      <c r="I2400" s="3" t="str">
        <f>"processed_pseudogene"</f>
        <v>processed_pseudogene</v>
      </c>
    </row>
    <row r="2401" spans="1:9" x14ac:dyDescent="0.2">
      <c r="A2401" s="3" t="str">
        <f>"ENSG00000185055.11"</f>
        <v>ENSG00000185055.11</v>
      </c>
      <c r="B2401" s="3">
        <v>143.49710107362</v>
      </c>
      <c r="C2401" s="3">
        <v>5.6287604344223698</v>
      </c>
      <c r="D2401" s="3">
        <v>0.53560954982618503</v>
      </c>
      <c r="E2401" s="3">
        <v>10.509074075040299</v>
      </c>
      <c r="F2401" s="4">
        <v>7.84600705310755E-26</v>
      </c>
      <c r="G2401" s="4">
        <v>4.6881612757899397E-24</v>
      </c>
      <c r="H2401" s="3" t="str">
        <f>"EFCAB10"</f>
        <v>EFCAB10</v>
      </c>
      <c r="I2401" s="3" t="str">
        <f t="shared" ref="I2401:I2406" si="117">"protein_coding"</f>
        <v>protein_coding</v>
      </c>
    </row>
    <row r="2402" spans="1:9" x14ac:dyDescent="0.2">
      <c r="A2402" s="3" t="str">
        <f>"ENSG00000253276.3"</f>
        <v>ENSG00000253276.3</v>
      </c>
      <c r="B2402" s="3">
        <v>13.217091150591999</v>
      </c>
      <c r="C2402" s="3">
        <v>4.6218153510090003</v>
      </c>
      <c r="D2402" s="3">
        <v>1.33274451425642</v>
      </c>
      <c r="E2402" s="3">
        <v>3.4678929844161801</v>
      </c>
      <c r="F2402" s="3">
        <v>5.2455613769112404E-4</v>
      </c>
      <c r="G2402" s="3">
        <v>2.4995769646152599E-3</v>
      </c>
      <c r="H2402" s="3" t="str">
        <f>"CCDC71L"</f>
        <v>CCDC71L</v>
      </c>
      <c r="I2402" s="3" t="str">
        <f t="shared" si="117"/>
        <v>protein_coding</v>
      </c>
    </row>
    <row r="2403" spans="1:9" x14ac:dyDescent="0.2">
      <c r="A2403" s="3" t="str">
        <f>"ENSG00000005249.13"</f>
        <v>ENSG00000005249.13</v>
      </c>
      <c r="B2403" s="3">
        <v>12.9519483212508</v>
      </c>
      <c r="C2403" s="3">
        <v>2.6317782082060499</v>
      </c>
      <c r="D2403" s="3">
        <v>1.0250310299426599</v>
      </c>
      <c r="E2403" s="3">
        <v>2.5675107692625301</v>
      </c>
      <c r="F2403" s="3">
        <v>1.02431607616193E-2</v>
      </c>
      <c r="G2403" s="3">
        <v>3.2468055057217601E-2</v>
      </c>
      <c r="H2403" s="3" t="str">
        <f>"PRKAR2B"</f>
        <v>PRKAR2B</v>
      </c>
      <c r="I2403" s="3" t="str">
        <f t="shared" si="117"/>
        <v>protein_coding</v>
      </c>
    </row>
    <row r="2404" spans="1:9" x14ac:dyDescent="0.2">
      <c r="A2404" s="3" t="str">
        <f>"ENSG00000105856.14"</f>
        <v>ENSG00000105856.14</v>
      </c>
      <c r="B2404" s="3">
        <v>1066.7783070707301</v>
      </c>
      <c r="C2404" s="3">
        <v>1.2443056132588901</v>
      </c>
      <c r="D2404" s="3">
        <v>0.19519540969614199</v>
      </c>
      <c r="E2404" s="3">
        <v>6.37466636738987</v>
      </c>
      <c r="F2404" s="4">
        <v>1.8336167430768001E-10</v>
      </c>
      <c r="G2404" s="4">
        <v>2.74508546146229E-9</v>
      </c>
      <c r="H2404" s="3" t="str">
        <f>"HBP1"</f>
        <v>HBP1</v>
      </c>
      <c r="I2404" s="3" t="str">
        <f t="shared" si="117"/>
        <v>protein_coding</v>
      </c>
    </row>
    <row r="2405" spans="1:9" x14ac:dyDescent="0.2">
      <c r="A2405" s="3" t="str">
        <f>"ENSG00000091128.13"</f>
        <v>ENSG00000091128.13</v>
      </c>
      <c r="B2405" s="3">
        <v>20.627194133778101</v>
      </c>
      <c r="C2405" s="3">
        <v>6.2975692922422901</v>
      </c>
      <c r="D2405" s="3">
        <v>1.6108530841543001</v>
      </c>
      <c r="E2405" s="3">
        <v>3.9094622310317702</v>
      </c>
      <c r="F2405" s="4">
        <v>9.2501816102624797E-5</v>
      </c>
      <c r="G2405" s="3">
        <v>5.3432202318172905E-4</v>
      </c>
      <c r="H2405" s="3" t="str">
        <f>"LAMB4"</f>
        <v>LAMB4</v>
      </c>
      <c r="I2405" s="3" t="str">
        <f t="shared" si="117"/>
        <v>protein_coding</v>
      </c>
    </row>
    <row r="2406" spans="1:9" x14ac:dyDescent="0.2">
      <c r="A2406" s="3" t="str">
        <f>"ENSG00000091129.20"</f>
        <v>ENSG00000091129.20</v>
      </c>
      <c r="B2406" s="3">
        <v>86.944002889694602</v>
      </c>
      <c r="C2406" s="3">
        <v>1.3679821838375601</v>
      </c>
      <c r="D2406" s="3">
        <v>0.39959506419233898</v>
      </c>
      <c r="E2406" s="3">
        <v>3.42342112408851</v>
      </c>
      <c r="F2406" s="3">
        <v>6.1838195041064004E-4</v>
      </c>
      <c r="G2406" s="3">
        <v>2.89006054937199E-3</v>
      </c>
      <c r="H2406" s="3" t="str">
        <f>"NRCAM"</f>
        <v>NRCAM</v>
      </c>
      <c r="I2406" s="3" t="str">
        <f t="shared" si="117"/>
        <v>protein_coding</v>
      </c>
    </row>
    <row r="2407" spans="1:9" x14ac:dyDescent="0.2">
      <c r="A2407" s="3" t="str">
        <f>"ENSG00000226965.1"</f>
        <v>ENSG00000226965.1</v>
      </c>
      <c r="B2407" s="3">
        <v>139.368601200591</v>
      </c>
      <c r="C2407" s="3">
        <v>4.2419812297636401</v>
      </c>
      <c r="D2407" s="3">
        <v>0.45393232414301798</v>
      </c>
      <c r="E2407" s="3">
        <v>9.3449640048703397</v>
      </c>
      <c r="F2407" s="4">
        <v>9.1920733614896199E-21</v>
      </c>
      <c r="G2407" s="4">
        <v>3.84135617914889E-19</v>
      </c>
      <c r="H2407" s="3" t="str">
        <f>"AC092167.1"</f>
        <v>AC092167.1</v>
      </c>
      <c r="I2407" s="3" t="str">
        <f>"lincRNA"</f>
        <v>lincRNA</v>
      </c>
    </row>
    <row r="2408" spans="1:9" x14ac:dyDescent="0.2">
      <c r="A2408" s="3" t="str">
        <f>"ENSG00000173114.13"</f>
        <v>ENSG00000173114.13</v>
      </c>
      <c r="B2408" s="3">
        <v>6.3473426812615497</v>
      </c>
      <c r="C2408" s="3">
        <v>6.0588050892948804</v>
      </c>
      <c r="D2408" s="3">
        <v>1.9387374818076699</v>
      </c>
      <c r="E2408" s="3">
        <v>3.1251291864670998</v>
      </c>
      <c r="F2408" s="3">
        <v>1.7772698861429101E-3</v>
      </c>
      <c r="G2408" s="3">
        <v>7.2830910795211199E-3</v>
      </c>
      <c r="H2408" s="3" t="str">
        <f>"LRRN3"</f>
        <v>LRRN3</v>
      </c>
      <c r="I2408" s="3" t="str">
        <f>"protein_coding"</f>
        <v>protein_coding</v>
      </c>
    </row>
    <row r="2409" spans="1:9" x14ac:dyDescent="0.2">
      <c r="A2409" s="3" t="str">
        <f>"ENSG00000135272.10"</f>
        <v>ENSG00000135272.10</v>
      </c>
      <c r="B2409" s="3">
        <v>14.9981031263261</v>
      </c>
      <c r="C2409" s="3">
        <v>3.1066619967460798</v>
      </c>
      <c r="D2409" s="3">
        <v>1.0256223326152201</v>
      </c>
      <c r="E2409" s="3">
        <v>3.0290506533964101</v>
      </c>
      <c r="F2409" s="3">
        <v>2.45323546808561E-3</v>
      </c>
      <c r="G2409" s="3">
        <v>9.6025437148295496E-3</v>
      </c>
      <c r="H2409" s="3" t="str">
        <f>"MDFIC"</f>
        <v>MDFIC</v>
      </c>
      <c r="I2409" s="3" t="str">
        <f>"protein_coding"</f>
        <v>protein_coding</v>
      </c>
    </row>
    <row r="2410" spans="1:9" x14ac:dyDescent="0.2">
      <c r="A2410" s="3" t="str">
        <f>"ENSG00000105967.16"</f>
        <v>ENSG00000105967.16</v>
      </c>
      <c r="B2410" s="3">
        <v>5.7977595284146304</v>
      </c>
      <c r="C2410" s="3">
        <v>5.9294163547480299</v>
      </c>
      <c r="D2410" s="3">
        <v>1.9670536146389099</v>
      </c>
      <c r="E2410" s="3">
        <v>3.0143643826589299</v>
      </c>
      <c r="F2410" s="3">
        <v>2.5751831268762998E-3</v>
      </c>
      <c r="G2410" s="3">
        <v>1.00280141000427E-2</v>
      </c>
      <c r="H2410" s="3" t="str">
        <f>"TFEC"</f>
        <v>TFEC</v>
      </c>
      <c r="I2410" s="3" t="str">
        <f>"protein_coding"</f>
        <v>protein_coding</v>
      </c>
    </row>
    <row r="2411" spans="1:9" x14ac:dyDescent="0.2">
      <c r="A2411" s="3" t="str">
        <f>"ENSG00000105971.15"</f>
        <v>ENSG00000105971.15</v>
      </c>
      <c r="B2411" s="3">
        <v>44.915405733210299</v>
      </c>
      <c r="C2411" s="3">
        <v>3.5159199699620198</v>
      </c>
      <c r="D2411" s="3">
        <v>0.64365039470054197</v>
      </c>
      <c r="E2411" s="3">
        <v>5.4624684439101499</v>
      </c>
      <c r="F2411" s="4">
        <v>4.6955902184896402E-8</v>
      </c>
      <c r="G2411" s="4">
        <v>5.05494850585489E-7</v>
      </c>
      <c r="H2411" s="3" t="str">
        <f>"CAV2"</f>
        <v>CAV2</v>
      </c>
      <c r="I2411" s="3" t="str">
        <f>"protein_coding"</f>
        <v>protein_coding</v>
      </c>
    </row>
    <row r="2412" spans="1:9" x14ac:dyDescent="0.2">
      <c r="A2412" s="3" t="str">
        <f>"ENSG00000105976.15"</f>
        <v>ENSG00000105976.15</v>
      </c>
      <c r="B2412" s="3">
        <v>3901.65037002603</v>
      </c>
      <c r="C2412" s="3">
        <v>-1.81395445918905</v>
      </c>
      <c r="D2412" s="3">
        <v>0.175929777401127</v>
      </c>
      <c r="E2412" s="3">
        <v>-10.310673303775999</v>
      </c>
      <c r="F2412" s="4">
        <v>6.3057978416595401E-25</v>
      </c>
      <c r="G2412" s="4">
        <v>3.4992683053298901E-23</v>
      </c>
      <c r="H2412" s="3" t="str">
        <f>"MET"</f>
        <v>MET</v>
      </c>
      <c r="I2412" s="3" t="str">
        <f>"protein_coding"</f>
        <v>protein_coding</v>
      </c>
    </row>
    <row r="2413" spans="1:9" x14ac:dyDescent="0.2">
      <c r="A2413" s="3" t="str">
        <f>"ENSG00000227199.1"</f>
        <v>ENSG00000227199.1</v>
      </c>
      <c r="B2413" s="3">
        <v>17.178065381612299</v>
      </c>
      <c r="C2413" s="3">
        <v>-2.3706953140445899</v>
      </c>
      <c r="D2413" s="3">
        <v>0.882127013078573</v>
      </c>
      <c r="E2413" s="3">
        <v>-2.68747615581003</v>
      </c>
      <c r="F2413" s="3">
        <v>7.1994242211907101E-3</v>
      </c>
      <c r="G2413" s="3">
        <v>2.4163087852262601E-2</v>
      </c>
      <c r="H2413" s="3" t="str">
        <f>"ST7-AS1"</f>
        <v>ST7-AS1</v>
      </c>
      <c r="I2413" s="3" t="str">
        <f>"antisense"</f>
        <v>antisense</v>
      </c>
    </row>
    <row r="2414" spans="1:9" x14ac:dyDescent="0.2">
      <c r="A2414" s="3" t="str">
        <f>"ENSG00000277583.1"</f>
        <v>ENSG00000277583.1</v>
      </c>
      <c r="B2414" s="3">
        <v>3.6234843933652998</v>
      </c>
      <c r="C2414" s="3">
        <v>-5.3714453130802902</v>
      </c>
      <c r="D2414" s="3">
        <v>2.21866052156542</v>
      </c>
      <c r="E2414" s="3">
        <v>-2.4210307349275602</v>
      </c>
      <c r="F2414" s="3">
        <v>1.54765686907347E-2</v>
      </c>
      <c r="G2414" s="3">
        <v>4.5761266100536997E-2</v>
      </c>
      <c r="H2414" s="3" t="str">
        <f>"RF02180"</f>
        <v>RF02180</v>
      </c>
      <c r="I2414" s="3" t="str">
        <f>"misc_RNA"</f>
        <v>misc_RNA</v>
      </c>
    </row>
    <row r="2415" spans="1:9" x14ac:dyDescent="0.2">
      <c r="A2415" s="3" t="str">
        <f>"ENSG00000004866.20"</f>
        <v>ENSG00000004866.20</v>
      </c>
      <c r="B2415" s="3">
        <v>560.276755271056</v>
      </c>
      <c r="C2415" s="3">
        <v>-1.27326938153036</v>
      </c>
      <c r="D2415" s="3">
        <v>0.217762078334475</v>
      </c>
      <c r="E2415" s="3">
        <v>-5.8470666300982996</v>
      </c>
      <c r="F2415" s="4">
        <v>5.0031713894095101E-9</v>
      </c>
      <c r="G2415" s="4">
        <v>6.2133733294093495E-8</v>
      </c>
      <c r="H2415" s="3" t="str">
        <f>"ST7"</f>
        <v>ST7</v>
      </c>
      <c r="I2415" s="3" t="str">
        <f>"protein_coding"</f>
        <v>protein_coding</v>
      </c>
    </row>
    <row r="2416" spans="1:9" x14ac:dyDescent="0.2">
      <c r="A2416" s="3" t="str">
        <f>"ENSG00000226367.5"</f>
        <v>ENSG00000226367.5</v>
      </c>
      <c r="B2416" s="3">
        <v>5.50184310921491</v>
      </c>
      <c r="C2416" s="3">
        <v>5.8501288002725103</v>
      </c>
      <c r="D2416" s="3">
        <v>2.0503512973690499</v>
      </c>
      <c r="E2416" s="3">
        <v>2.85323242303854</v>
      </c>
      <c r="F2416" s="3">
        <v>4.3276956408065401E-3</v>
      </c>
      <c r="G2416" s="3">
        <v>1.5669996428578799E-2</v>
      </c>
      <c r="H2416" s="3" t="str">
        <f>"ST7-AS2"</f>
        <v>ST7-AS2</v>
      </c>
      <c r="I2416" s="3" t="str">
        <f>"antisense"</f>
        <v>antisense</v>
      </c>
    </row>
    <row r="2417" spans="1:9" x14ac:dyDescent="0.2">
      <c r="A2417" s="3" t="str">
        <f>"ENSG00000001626.15"</f>
        <v>ENSG00000001626.15</v>
      </c>
      <c r="B2417" s="3">
        <v>10.194760549114999</v>
      </c>
      <c r="C2417" s="3">
        <v>4.2347095819912104</v>
      </c>
      <c r="D2417" s="3">
        <v>1.4392756876860899</v>
      </c>
      <c r="E2417" s="3">
        <v>2.9422504793361099</v>
      </c>
      <c r="F2417" s="3">
        <v>3.2583625528913502E-3</v>
      </c>
      <c r="G2417" s="3">
        <v>1.22992976762408E-2</v>
      </c>
      <c r="H2417" s="3" t="str">
        <f>"CFTR"</f>
        <v>CFTR</v>
      </c>
      <c r="I2417" s="3" t="str">
        <f>"protein_coding"</f>
        <v>protein_coding</v>
      </c>
    </row>
    <row r="2418" spans="1:9" x14ac:dyDescent="0.2">
      <c r="A2418" s="3" t="str">
        <f>"ENSG00000184408.10"</f>
        <v>ENSG00000184408.10</v>
      </c>
      <c r="B2418" s="3">
        <v>6.0544320524347199</v>
      </c>
      <c r="C2418" s="3">
        <v>5.9916019353454102</v>
      </c>
      <c r="D2418" s="3">
        <v>1.95008244803396</v>
      </c>
      <c r="E2418" s="3">
        <v>3.07248646916752</v>
      </c>
      <c r="F2418" s="3">
        <v>2.1228345712561102E-3</v>
      </c>
      <c r="G2418" s="3">
        <v>8.4947677431363201E-3</v>
      </c>
      <c r="H2418" s="3" t="str">
        <f>"KCND2"</f>
        <v>KCND2</v>
      </c>
      <c r="I2418" s="3" t="str">
        <f>"protein_coding"</f>
        <v>protein_coding</v>
      </c>
    </row>
    <row r="2419" spans="1:9" x14ac:dyDescent="0.2">
      <c r="A2419" s="3" t="str">
        <f>"ENSG00000106034.18"</f>
        <v>ENSG00000106034.18</v>
      </c>
      <c r="B2419" s="3">
        <v>3072.2308632538102</v>
      </c>
      <c r="C2419" s="3">
        <v>-1.5560110698308001</v>
      </c>
      <c r="D2419" s="3">
        <v>0.19510794501235401</v>
      </c>
      <c r="E2419" s="3">
        <v>-7.9751292021053999</v>
      </c>
      <c r="F2419" s="4">
        <v>1.52221495445791E-15</v>
      </c>
      <c r="G2419" s="4">
        <v>3.99574093103224E-14</v>
      </c>
      <c r="H2419" s="3" t="str">
        <f>"CPED1"</f>
        <v>CPED1</v>
      </c>
      <c r="I2419" s="3" t="str">
        <f>"protein_coding"</f>
        <v>protein_coding</v>
      </c>
    </row>
    <row r="2420" spans="1:9" x14ac:dyDescent="0.2">
      <c r="A2420" s="3" t="str">
        <f>"ENSG00000106278.12"</f>
        <v>ENSG00000106278.12</v>
      </c>
      <c r="B2420" s="3">
        <v>15.0863183972561</v>
      </c>
      <c r="C2420" s="3">
        <v>3.7634934296946398</v>
      </c>
      <c r="D2420" s="3">
        <v>1.0901101234261501</v>
      </c>
      <c r="E2420" s="3">
        <v>3.4523974677587601</v>
      </c>
      <c r="F2420" s="3">
        <v>5.5562859907099199E-4</v>
      </c>
      <c r="G2420" s="3">
        <v>2.6301619942472802E-3</v>
      </c>
      <c r="H2420" s="3" t="str">
        <f>"PTPRZ1"</f>
        <v>PTPRZ1</v>
      </c>
      <c r="I2420" s="3" t="str">
        <f>"protein_coding"</f>
        <v>protein_coding</v>
      </c>
    </row>
    <row r="2421" spans="1:9" x14ac:dyDescent="0.2">
      <c r="A2421" s="3" t="str">
        <f>"ENSG00000008311.15"</f>
        <v>ENSG00000008311.15</v>
      </c>
      <c r="B2421" s="3">
        <v>1140.93412611747</v>
      </c>
      <c r="C2421" s="3">
        <v>-1.7252190611951499</v>
      </c>
      <c r="D2421" s="3">
        <v>0.19958199104678401</v>
      </c>
      <c r="E2421" s="3">
        <v>-8.6441619915032408</v>
      </c>
      <c r="F2421" s="4">
        <v>5.4201613181424096E-18</v>
      </c>
      <c r="G2421" s="4">
        <v>1.7560420384711799E-16</v>
      </c>
      <c r="H2421" s="3" t="str">
        <f>"AASS"</f>
        <v>AASS</v>
      </c>
      <c r="I2421" s="3" t="str">
        <f>"protein_coding"</f>
        <v>protein_coding</v>
      </c>
    </row>
    <row r="2422" spans="1:9" x14ac:dyDescent="0.2">
      <c r="A2422" s="3" t="str">
        <f>"ENSG00000240499.7"</f>
        <v>ENSG00000240499.7</v>
      </c>
      <c r="B2422" s="3">
        <v>3.8893317554809199</v>
      </c>
      <c r="C2422" s="3">
        <v>5.35263968609567</v>
      </c>
      <c r="D2422" s="3">
        <v>2.1805139762792298</v>
      </c>
      <c r="E2422" s="3">
        <v>2.4547605492670499</v>
      </c>
      <c r="F2422" s="3">
        <v>1.40978459500909E-2</v>
      </c>
      <c r="G2422" s="3">
        <v>4.2402473628670397E-2</v>
      </c>
      <c r="H2422" s="3" t="str">
        <f>"AC004594.1"</f>
        <v>AC004594.1</v>
      </c>
      <c r="I2422" s="3" t="str">
        <f>"antisense"</f>
        <v>antisense</v>
      </c>
    </row>
    <row r="2423" spans="1:9" x14ac:dyDescent="0.2">
      <c r="A2423" s="3" t="str">
        <f>"ENSG00000164675.11"</f>
        <v>ENSG00000164675.11</v>
      </c>
      <c r="B2423" s="3">
        <v>14.9837457703117</v>
      </c>
      <c r="C2423" s="3">
        <v>2.2601401070516198</v>
      </c>
      <c r="D2423" s="3">
        <v>0.93727791969806995</v>
      </c>
      <c r="E2423" s="3">
        <v>2.4113873372581902</v>
      </c>
      <c r="F2423" s="3">
        <v>1.58919608854656E-2</v>
      </c>
      <c r="G2423" s="3">
        <v>4.6715746924833601E-2</v>
      </c>
      <c r="H2423" s="3" t="str">
        <f>"IQUB"</f>
        <v>IQUB</v>
      </c>
      <c r="I2423" s="3" t="str">
        <f>"protein_coding"</f>
        <v>protein_coding</v>
      </c>
    </row>
    <row r="2424" spans="1:9" x14ac:dyDescent="0.2">
      <c r="A2424" s="3" t="str">
        <f>"ENSG00000146809.13"</f>
        <v>ENSG00000146809.13</v>
      </c>
      <c r="B2424" s="3">
        <v>6.1269082620482003</v>
      </c>
      <c r="C2424" s="3">
        <v>6.0073657383146903</v>
      </c>
      <c r="D2424" s="3">
        <v>1.9588820874050299</v>
      </c>
      <c r="E2424" s="3">
        <v>3.0667316715692401</v>
      </c>
      <c r="F2424" s="3">
        <v>2.1641303174908802E-3</v>
      </c>
      <c r="G2424" s="3">
        <v>8.6245515226962E-3</v>
      </c>
      <c r="H2424" s="3" t="str">
        <f>"ASB15"</f>
        <v>ASB15</v>
      </c>
      <c r="I2424" s="3" t="str">
        <f>"protein_coding"</f>
        <v>protein_coding</v>
      </c>
    </row>
    <row r="2425" spans="1:9" x14ac:dyDescent="0.2">
      <c r="A2425" s="3" t="str">
        <f>"ENSG00000179603.17"</f>
        <v>ENSG00000179603.17</v>
      </c>
      <c r="B2425" s="3">
        <v>18.390040162955898</v>
      </c>
      <c r="C2425" s="3">
        <v>3.1978723507131699</v>
      </c>
      <c r="D2425" s="3">
        <v>0.91429789483458601</v>
      </c>
      <c r="E2425" s="3">
        <v>3.4976262865526202</v>
      </c>
      <c r="F2425" s="3">
        <v>4.6941840921721701E-4</v>
      </c>
      <c r="G2425" s="3">
        <v>2.2645615077800099E-3</v>
      </c>
      <c r="H2425" s="3" t="str">
        <f>"GRM8"</f>
        <v>GRM8</v>
      </c>
      <c r="I2425" s="3" t="str">
        <f>"protein_coding"</f>
        <v>protein_coding</v>
      </c>
    </row>
    <row r="2426" spans="1:9" x14ac:dyDescent="0.2">
      <c r="A2426" s="3" t="str">
        <f>"ENSG00000197157.11"</f>
        <v>ENSG00000197157.11</v>
      </c>
      <c r="B2426" s="3">
        <v>9935.3223890336794</v>
      </c>
      <c r="C2426" s="3">
        <v>-1.2117759621630599</v>
      </c>
      <c r="D2426" s="3">
        <v>0.204664937568688</v>
      </c>
      <c r="E2426" s="3">
        <v>-5.9207794777079297</v>
      </c>
      <c r="F2426" s="4">
        <v>3.2041927395265E-9</v>
      </c>
      <c r="G2426" s="4">
        <v>4.0758468521885398E-8</v>
      </c>
      <c r="H2426" s="3" t="str">
        <f>"SND1"</f>
        <v>SND1</v>
      </c>
      <c r="I2426" s="3" t="str">
        <f>"protein_coding"</f>
        <v>protein_coding</v>
      </c>
    </row>
    <row r="2427" spans="1:9" x14ac:dyDescent="0.2">
      <c r="A2427" s="3" t="str">
        <f>"ENSG00000207588.1"</f>
        <v>ENSG00000207588.1</v>
      </c>
      <c r="B2427" s="3">
        <v>13.251650449834401</v>
      </c>
      <c r="C2427" s="3">
        <v>-2.5752569787775799</v>
      </c>
      <c r="D2427" s="3">
        <v>0.98641537452611705</v>
      </c>
      <c r="E2427" s="3">
        <v>-2.6107226684445801</v>
      </c>
      <c r="F2427" s="3">
        <v>9.0351131372903796E-3</v>
      </c>
      <c r="G2427" s="3">
        <v>2.9240970145118301E-2</v>
      </c>
      <c r="H2427" s="3" t="str">
        <f>"MIR593"</f>
        <v>MIR593</v>
      </c>
      <c r="I2427" s="3" t="str">
        <f>"miRNA"</f>
        <v>miRNA</v>
      </c>
    </row>
    <row r="2428" spans="1:9" x14ac:dyDescent="0.2">
      <c r="A2428" s="3" t="str">
        <f>"ENSG00000273270.1"</f>
        <v>ENSG00000273270.1</v>
      </c>
      <c r="B2428" s="3">
        <v>123.818147023628</v>
      </c>
      <c r="C2428" s="3">
        <v>1.7009397697633</v>
      </c>
      <c r="D2428" s="3">
        <v>0.36104036929689298</v>
      </c>
      <c r="E2428" s="3">
        <v>4.71121767650469</v>
      </c>
      <c r="F2428" s="4">
        <v>2.4624104765193102E-6</v>
      </c>
      <c r="G2428" s="4">
        <v>1.9617923466000499E-5</v>
      </c>
      <c r="H2428" s="3" t="str">
        <f>"AC090114.2"</f>
        <v>AC090114.2</v>
      </c>
      <c r="I2428" s="3" t="str">
        <f>"lincRNA"</f>
        <v>lincRNA</v>
      </c>
    </row>
    <row r="2429" spans="1:9" x14ac:dyDescent="0.2">
      <c r="A2429" s="3" t="str">
        <f>"ENSG00000280828.1"</f>
        <v>ENSG00000280828.1</v>
      </c>
      <c r="B2429" s="3">
        <v>71.948522635257007</v>
      </c>
      <c r="C2429" s="3">
        <v>1.5544183804484699</v>
      </c>
      <c r="D2429" s="3">
        <v>0.49709000194193498</v>
      </c>
      <c r="E2429" s="3">
        <v>3.1270360988472201</v>
      </c>
      <c r="F2429" s="3">
        <v>1.7657824458485599E-3</v>
      </c>
      <c r="G2429" s="3">
        <v>7.2480075778902997E-3</v>
      </c>
      <c r="H2429" s="3" t="str">
        <f>"AC090114.3"</f>
        <v>AC090114.3</v>
      </c>
      <c r="I2429" s="3" t="str">
        <f>"unprocessed_pseudogene"</f>
        <v>unprocessed_pseudogene</v>
      </c>
    </row>
    <row r="2430" spans="1:9" x14ac:dyDescent="0.2">
      <c r="A2430" s="3" t="str">
        <f>"ENSG00000205085.11"</f>
        <v>ENSG00000205085.11</v>
      </c>
      <c r="B2430" s="3">
        <v>3.7806174410606901</v>
      </c>
      <c r="C2430" s="3">
        <v>5.3154478000652503</v>
      </c>
      <c r="D2430" s="3">
        <v>2.1865395084011801</v>
      </c>
      <c r="E2430" s="3">
        <v>2.43098639637752</v>
      </c>
      <c r="F2430" s="3">
        <v>1.5057779905063901E-2</v>
      </c>
      <c r="G2430" s="3">
        <v>4.4683002512881202E-2</v>
      </c>
      <c r="H2430" s="3" t="str">
        <f>"FAM71F2"</f>
        <v>FAM71F2</v>
      </c>
      <c r="I2430" s="3" t="str">
        <f t="shared" ref="I2430:I2440" si="118">"protein_coding"</f>
        <v>protein_coding</v>
      </c>
    </row>
    <row r="2431" spans="1:9" x14ac:dyDescent="0.2">
      <c r="A2431" s="3" t="str">
        <f>"ENSG00000128596.17"</f>
        <v>ENSG00000128596.17</v>
      </c>
      <c r="B2431" s="3">
        <v>47.332049837161001</v>
      </c>
      <c r="C2431" s="3">
        <v>2.9569425544863099</v>
      </c>
      <c r="D2431" s="3">
        <v>0.59021127091214298</v>
      </c>
      <c r="E2431" s="3">
        <v>5.0099730388348904</v>
      </c>
      <c r="F2431" s="4">
        <v>5.4437661347994804E-7</v>
      </c>
      <c r="G2431" s="4">
        <v>4.88075998272068E-6</v>
      </c>
      <c r="H2431" s="3" t="str">
        <f>"CCDC136"</f>
        <v>CCDC136</v>
      </c>
      <c r="I2431" s="3" t="str">
        <f t="shared" si="118"/>
        <v>protein_coding</v>
      </c>
    </row>
    <row r="2432" spans="1:9" x14ac:dyDescent="0.2">
      <c r="A2432" s="3" t="str">
        <f>"ENSG00000135253.13"</f>
        <v>ENSG00000135253.13</v>
      </c>
      <c r="B2432" s="3">
        <v>267.61707243111198</v>
      </c>
      <c r="C2432" s="3">
        <v>2.5090423817892198</v>
      </c>
      <c r="D2432" s="3">
        <v>0.29872689949793102</v>
      </c>
      <c r="E2432" s="3">
        <v>8.3991176757304409</v>
      </c>
      <c r="F2432" s="4">
        <v>4.4984584241916503E-17</v>
      </c>
      <c r="G2432" s="4">
        <v>1.3469175459774699E-15</v>
      </c>
      <c r="H2432" s="3" t="str">
        <f>"KCP"</f>
        <v>KCP</v>
      </c>
      <c r="I2432" s="3" t="str">
        <f t="shared" si="118"/>
        <v>protein_coding</v>
      </c>
    </row>
    <row r="2433" spans="1:9" x14ac:dyDescent="0.2">
      <c r="A2433" s="3" t="str">
        <f>"ENSG00000158457.6"</f>
        <v>ENSG00000158457.6</v>
      </c>
      <c r="B2433" s="3">
        <v>671.76214208358897</v>
      </c>
      <c r="C2433" s="3">
        <v>1.05696499934098</v>
      </c>
      <c r="D2433" s="3">
        <v>0.22468586460691101</v>
      </c>
      <c r="E2433" s="3">
        <v>4.7041900085265702</v>
      </c>
      <c r="F2433" s="4">
        <v>2.5487579846024002E-6</v>
      </c>
      <c r="G2433" s="4">
        <v>2.0270288618348399E-5</v>
      </c>
      <c r="H2433" s="3" t="str">
        <f>"TSPAN33"</f>
        <v>TSPAN33</v>
      </c>
      <c r="I2433" s="3" t="str">
        <f t="shared" si="118"/>
        <v>protein_coding</v>
      </c>
    </row>
    <row r="2434" spans="1:9" x14ac:dyDescent="0.2">
      <c r="A2434" s="3" t="str">
        <f>"ENSG00000128602.10"</f>
        <v>ENSG00000128602.10</v>
      </c>
      <c r="B2434" s="3">
        <v>1196.66991508046</v>
      </c>
      <c r="C2434" s="3">
        <v>-2.17152151831674</v>
      </c>
      <c r="D2434" s="3">
        <v>0.22651027351519101</v>
      </c>
      <c r="E2434" s="3">
        <v>-9.5868566339932499</v>
      </c>
      <c r="F2434" s="4">
        <v>9.0809454072963302E-22</v>
      </c>
      <c r="G2434" s="4">
        <v>4.0562052379115299E-20</v>
      </c>
      <c r="H2434" s="3" t="str">
        <f>"SMO"</f>
        <v>SMO</v>
      </c>
      <c r="I2434" s="3" t="str">
        <f t="shared" si="118"/>
        <v>protein_coding</v>
      </c>
    </row>
    <row r="2435" spans="1:9" x14ac:dyDescent="0.2">
      <c r="A2435" s="3" t="str">
        <f>"ENSG00000106459.15"</f>
        <v>ENSG00000106459.15</v>
      </c>
      <c r="B2435" s="3">
        <v>658.09952325959296</v>
      </c>
      <c r="C2435" s="3">
        <v>-1.09687364725065</v>
      </c>
      <c r="D2435" s="3">
        <v>0.22448830839419301</v>
      </c>
      <c r="E2435" s="3">
        <v>-4.8861058961011699</v>
      </c>
      <c r="F2435" s="4">
        <v>1.0284989421209899E-6</v>
      </c>
      <c r="G2435" s="4">
        <v>8.8041189682596794E-6</v>
      </c>
      <c r="H2435" s="3" t="str">
        <f>"NRF1"</f>
        <v>NRF1</v>
      </c>
      <c r="I2435" s="3" t="str">
        <f t="shared" si="118"/>
        <v>protein_coding</v>
      </c>
    </row>
    <row r="2436" spans="1:9" x14ac:dyDescent="0.2">
      <c r="A2436" s="3" t="str">
        <f>"ENSG00000186591.12"</f>
        <v>ENSG00000186591.12</v>
      </c>
      <c r="B2436" s="3">
        <v>2127.6726893988698</v>
      </c>
      <c r="C2436" s="3">
        <v>1.5065760907578101</v>
      </c>
      <c r="D2436" s="3">
        <v>0.18027307227307501</v>
      </c>
      <c r="E2436" s="3">
        <v>8.3571887457249492</v>
      </c>
      <c r="F2436" s="4">
        <v>6.4230491333537099E-17</v>
      </c>
      <c r="G2436" s="4">
        <v>1.9002043402441801E-15</v>
      </c>
      <c r="H2436" s="3" t="str">
        <f>"UBE2H"</f>
        <v>UBE2H</v>
      </c>
      <c r="I2436" s="3" t="str">
        <f t="shared" si="118"/>
        <v>protein_coding</v>
      </c>
    </row>
    <row r="2437" spans="1:9" x14ac:dyDescent="0.2">
      <c r="A2437" s="3" t="str">
        <f>"ENSG00000158516.12"</f>
        <v>ENSG00000158516.12</v>
      </c>
      <c r="B2437" s="3">
        <v>5.2119382707609798</v>
      </c>
      <c r="C2437" s="3">
        <v>5.7782987852918604</v>
      </c>
      <c r="D2437" s="3">
        <v>2.0098581009298102</v>
      </c>
      <c r="E2437" s="3">
        <v>2.8749784786392101</v>
      </c>
      <c r="F2437" s="3">
        <v>4.0405503809231398E-3</v>
      </c>
      <c r="G2437" s="3">
        <v>1.47775672790621E-2</v>
      </c>
      <c r="H2437" s="3" t="str">
        <f>"CPA2"</f>
        <v>CPA2</v>
      </c>
      <c r="I2437" s="3" t="str">
        <f t="shared" si="118"/>
        <v>protein_coding</v>
      </c>
    </row>
    <row r="2438" spans="1:9" x14ac:dyDescent="0.2">
      <c r="A2438" s="3" t="str">
        <f>"ENSG00000128510.12"</f>
        <v>ENSG00000128510.12</v>
      </c>
      <c r="B2438" s="3">
        <v>23.317917277046199</v>
      </c>
      <c r="C2438" s="3">
        <v>3.81482980244648</v>
      </c>
      <c r="D2438" s="3">
        <v>0.88528905210029896</v>
      </c>
      <c r="E2438" s="3">
        <v>4.30913473220527</v>
      </c>
      <c r="F2438" s="4">
        <v>1.63894504455315E-5</v>
      </c>
      <c r="G2438" s="3">
        <v>1.10974989137524E-4</v>
      </c>
      <c r="H2438" s="3" t="str">
        <f>"CPA4"</f>
        <v>CPA4</v>
      </c>
      <c r="I2438" s="3" t="str">
        <f t="shared" si="118"/>
        <v>protein_coding</v>
      </c>
    </row>
    <row r="2439" spans="1:9" x14ac:dyDescent="0.2">
      <c r="A2439" s="3" t="str">
        <f>"ENSG00000158525.15"</f>
        <v>ENSG00000158525.15</v>
      </c>
      <c r="B2439" s="3">
        <v>8.7447760288677792</v>
      </c>
      <c r="C2439" s="3">
        <v>5.0397424964492696</v>
      </c>
      <c r="D2439" s="3">
        <v>1.8099089952572101</v>
      </c>
      <c r="E2439" s="3">
        <v>2.7845281224943901</v>
      </c>
      <c r="F2439" s="3">
        <v>5.3605672301345201E-3</v>
      </c>
      <c r="G2439" s="3">
        <v>1.8826936751672501E-2</v>
      </c>
      <c r="H2439" s="3" t="str">
        <f>"CPA5"</f>
        <v>CPA5</v>
      </c>
      <c r="I2439" s="3" t="str">
        <f t="shared" si="118"/>
        <v>protein_coding</v>
      </c>
    </row>
    <row r="2440" spans="1:9" x14ac:dyDescent="0.2">
      <c r="A2440" s="3" t="str">
        <f>"ENSG00000091704.10"</f>
        <v>ENSG00000091704.10</v>
      </c>
      <c r="B2440" s="3">
        <v>241.72460477791199</v>
      </c>
      <c r="C2440" s="3">
        <v>6.1522914930114698</v>
      </c>
      <c r="D2440" s="3">
        <v>0.48753263597835</v>
      </c>
      <c r="E2440" s="3">
        <v>12.619240311298199</v>
      </c>
      <c r="F2440" s="4">
        <v>1.6540922297031499E-36</v>
      </c>
      <c r="G2440" s="4">
        <v>1.9016477207899399E-34</v>
      </c>
      <c r="H2440" s="3" t="str">
        <f>"CPA1"</f>
        <v>CPA1</v>
      </c>
      <c r="I2440" s="3" t="str">
        <f t="shared" si="118"/>
        <v>protein_coding</v>
      </c>
    </row>
    <row r="2441" spans="1:9" x14ac:dyDescent="0.2">
      <c r="A2441" s="3" t="str">
        <f>"ENSG00000285106.1"</f>
        <v>ENSG00000285106.1</v>
      </c>
      <c r="B2441" s="3">
        <v>248.182671295212</v>
      </c>
      <c r="C2441" s="3">
        <v>1.61278523935745</v>
      </c>
      <c r="D2441" s="3">
        <v>0.270819392124589</v>
      </c>
      <c r="E2441" s="3">
        <v>5.9552058909263597</v>
      </c>
      <c r="F2441" s="4">
        <v>2.59744617866465E-9</v>
      </c>
      <c r="G2441" s="4">
        <v>3.33047604847415E-8</v>
      </c>
      <c r="H2441" s="3" t="str">
        <f>"AC016831.7"</f>
        <v>AC016831.7</v>
      </c>
      <c r="I2441" s="3" t="str">
        <f>"lincRNA"</f>
        <v>lincRNA</v>
      </c>
    </row>
    <row r="2442" spans="1:9" x14ac:dyDescent="0.2">
      <c r="A2442" s="3" t="str">
        <f>"ENSG00000226380.9"</f>
        <v>ENSG00000226380.9</v>
      </c>
      <c r="B2442" s="3">
        <v>666.40254684663898</v>
      </c>
      <c r="C2442" s="3">
        <v>1.7413304146019699</v>
      </c>
      <c r="D2442" s="3">
        <v>0.215474000742466</v>
      </c>
      <c r="E2442" s="3">
        <v>8.0813945469142592</v>
      </c>
      <c r="F2442" s="4">
        <v>6.4030283135329498E-16</v>
      </c>
      <c r="G2442" s="4">
        <v>1.74115082294244E-14</v>
      </c>
      <c r="H2442" s="3" t="str">
        <f>"AC016831.1"</f>
        <v>AC016831.1</v>
      </c>
      <c r="I2442" s="3" t="str">
        <f>"lincRNA"</f>
        <v>lincRNA</v>
      </c>
    </row>
    <row r="2443" spans="1:9" x14ac:dyDescent="0.2">
      <c r="A2443" s="3" t="str">
        <f>"ENSG00000236753.6"</f>
        <v>ENSG00000236753.6</v>
      </c>
      <c r="B2443" s="3">
        <v>94.668497403754401</v>
      </c>
      <c r="C2443" s="3">
        <v>1.1323297815006901</v>
      </c>
      <c r="D2443" s="3">
        <v>0.41622441877269001</v>
      </c>
      <c r="E2443" s="3">
        <v>2.7204789782386101</v>
      </c>
      <c r="F2443" s="3">
        <v>6.5187416535795496E-3</v>
      </c>
      <c r="G2443" s="3">
        <v>2.2199244323844802E-2</v>
      </c>
      <c r="H2443" s="3" t="str">
        <f>"MKLN1-AS"</f>
        <v>MKLN1-AS</v>
      </c>
      <c r="I2443" s="3" t="str">
        <f>"processed_transcript"</f>
        <v>processed_transcript</v>
      </c>
    </row>
    <row r="2444" spans="1:9" x14ac:dyDescent="0.2">
      <c r="A2444" s="3" t="str">
        <f>"ENSG00000273489.1"</f>
        <v>ENSG00000273489.1</v>
      </c>
      <c r="B2444" s="3">
        <v>4.1097661746942604</v>
      </c>
      <c r="C2444" s="3">
        <v>5.4328693169605202</v>
      </c>
      <c r="D2444" s="3">
        <v>2.14332345947187</v>
      </c>
      <c r="E2444" s="3">
        <v>2.5347874082893802</v>
      </c>
      <c r="F2444" s="3">
        <v>1.1251558606317101E-2</v>
      </c>
      <c r="G2444" s="3">
        <v>3.5125024902190903E-2</v>
      </c>
      <c r="H2444" s="3" t="str">
        <f>"AC008264.2"</f>
        <v>AC008264.2</v>
      </c>
      <c r="I2444" s="3" t="str">
        <f>"antisense"</f>
        <v>antisense</v>
      </c>
    </row>
    <row r="2445" spans="1:9" x14ac:dyDescent="0.2">
      <c r="A2445" s="3" t="str">
        <f>"ENSG00000128567.17"</f>
        <v>ENSG00000128567.17</v>
      </c>
      <c r="B2445" s="3">
        <v>975.758204970257</v>
      </c>
      <c r="C2445" s="3">
        <v>3.5009745529199501</v>
      </c>
      <c r="D2445" s="3">
        <v>0.21151833696306999</v>
      </c>
      <c r="E2445" s="3">
        <v>16.551636152146902</v>
      </c>
      <c r="F2445" s="4">
        <v>1.5581001373564099E-61</v>
      </c>
      <c r="G2445" s="4">
        <v>4.8242675502897802E-59</v>
      </c>
      <c r="H2445" s="3" t="str">
        <f>"PODXL"</f>
        <v>PODXL</v>
      </c>
      <c r="I2445" s="3" t="str">
        <f>"protein_coding"</f>
        <v>protein_coding</v>
      </c>
    </row>
    <row r="2446" spans="1:9" x14ac:dyDescent="0.2">
      <c r="A2446" s="3" t="str">
        <f>"ENSG00000221866.9"</f>
        <v>ENSG00000221866.9</v>
      </c>
      <c r="B2446" s="3">
        <v>19.685090146622901</v>
      </c>
      <c r="C2446" s="3">
        <v>3.8317221835585298</v>
      </c>
      <c r="D2446" s="3">
        <v>0.95835412985091495</v>
      </c>
      <c r="E2446" s="3">
        <v>3.99823203574508</v>
      </c>
      <c r="F2446" s="4">
        <v>6.3817374731747899E-5</v>
      </c>
      <c r="G2446" s="3">
        <v>3.81657596425798E-4</v>
      </c>
      <c r="H2446" s="3" t="str">
        <f>"PLXNA4"</f>
        <v>PLXNA4</v>
      </c>
      <c r="I2446" s="3" t="str">
        <f>"protein_coding"</f>
        <v>protein_coding</v>
      </c>
    </row>
    <row r="2447" spans="1:9" x14ac:dyDescent="0.2">
      <c r="A2447" s="3" t="str">
        <f>"ENSG00000227197.1"</f>
        <v>ENSG00000227197.1</v>
      </c>
      <c r="B2447" s="3">
        <v>3.8530936506741802</v>
      </c>
      <c r="C2447" s="3">
        <v>5.3403250580865702</v>
      </c>
      <c r="D2447" s="3">
        <v>2.1789621139591802</v>
      </c>
      <c r="E2447" s="3">
        <v>2.4508572333014098</v>
      </c>
      <c r="F2447" s="3">
        <v>1.4251646682892799E-2</v>
      </c>
      <c r="G2447" s="3">
        <v>4.2728280938466097E-2</v>
      </c>
      <c r="H2447" s="3" t="str">
        <f>"AC009365.3"</f>
        <v>AC009365.3</v>
      </c>
      <c r="I2447" s="3" t="str">
        <f>"antisense"</f>
        <v>antisense</v>
      </c>
    </row>
    <row r="2448" spans="1:9" x14ac:dyDescent="0.2">
      <c r="A2448" s="3" t="str">
        <f>"ENSG00000164707.15"</f>
        <v>ENSG00000164707.15</v>
      </c>
      <c r="B2448" s="3">
        <v>24.9300494639451</v>
      </c>
      <c r="C2448" s="3">
        <v>5.5577399173901698</v>
      </c>
      <c r="D2448" s="3">
        <v>1.21161560221249</v>
      </c>
      <c r="E2448" s="3">
        <v>4.5870488191480803</v>
      </c>
      <c r="F2448" s="4">
        <v>4.49555586639666E-6</v>
      </c>
      <c r="G2448" s="4">
        <v>3.42726386938192E-5</v>
      </c>
      <c r="H2448" s="3" t="str">
        <f>"SLC13A4"</f>
        <v>SLC13A4</v>
      </c>
      <c r="I2448" s="3" t="str">
        <f>"protein_coding"</f>
        <v>protein_coding</v>
      </c>
    </row>
    <row r="2449" spans="1:9" x14ac:dyDescent="0.2">
      <c r="A2449" s="3" t="str">
        <f>"ENSG00000234352.9"</f>
        <v>ENSG00000234352.9</v>
      </c>
      <c r="B2449" s="3">
        <v>5.3931287947946904</v>
      </c>
      <c r="C2449" s="3">
        <v>5.8232739963666802</v>
      </c>
      <c r="D2449" s="3">
        <v>2.0163845420733102</v>
      </c>
      <c r="E2449" s="3">
        <v>2.8879779004747701</v>
      </c>
      <c r="F2449" s="3">
        <v>3.8772711269785E-3</v>
      </c>
      <c r="G2449" s="3">
        <v>1.42685043755785E-2</v>
      </c>
      <c r="H2449" s="3" t="str">
        <f>"AC009264.1"</f>
        <v>AC009264.1</v>
      </c>
      <c r="I2449" s="3" t="str">
        <f>"antisense"</f>
        <v>antisense</v>
      </c>
    </row>
    <row r="2450" spans="1:9" x14ac:dyDescent="0.2">
      <c r="A2450" s="3" t="str">
        <f>"ENSG00000157680.15"</f>
        <v>ENSG00000157680.15</v>
      </c>
      <c r="B2450" s="3">
        <v>45.131409287838601</v>
      </c>
      <c r="C2450" s="3">
        <v>4.0370087187561099</v>
      </c>
      <c r="D2450" s="3">
        <v>0.68309708061570695</v>
      </c>
      <c r="E2450" s="3">
        <v>5.9098608870021296</v>
      </c>
      <c r="F2450" s="4">
        <v>3.4239676300464901E-9</v>
      </c>
      <c r="G2450" s="4">
        <v>4.34122131297705E-8</v>
      </c>
      <c r="H2450" s="3" t="str">
        <f>"DGKI"</f>
        <v>DGKI</v>
      </c>
      <c r="I2450" s="3" t="str">
        <f>"protein_coding"</f>
        <v>protein_coding</v>
      </c>
    </row>
    <row r="2451" spans="1:9" x14ac:dyDescent="0.2">
      <c r="A2451" s="3" t="str">
        <f>"ENSG00000182158.15"</f>
        <v>ENSG00000182158.15</v>
      </c>
      <c r="B2451" s="3">
        <v>8139.6075917281196</v>
      </c>
      <c r="C2451" s="3">
        <v>-1.19582111382685</v>
      </c>
      <c r="D2451" s="3">
        <v>0.176815306418561</v>
      </c>
      <c r="E2451" s="3">
        <v>-6.7631085681918996</v>
      </c>
      <c r="F2451" s="4">
        <v>1.3506194768146899E-11</v>
      </c>
      <c r="G2451" s="4">
        <v>2.3394996112377602E-10</v>
      </c>
      <c r="H2451" s="3" t="str">
        <f>"CREB3L2"</f>
        <v>CREB3L2</v>
      </c>
      <c r="I2451" s="3" t="str">
        <f>"protein_coding"</f>
        <v>protein_coding</v>
      </c>
    </row>
    <row r="2452" spans="1:9" x14ac:dyDescent="0.2">
      <c r="A2452" s="3" t="str">
        <f>"ENSG00000122787.15"</f>
        <v>ENSG00000122787.15</v>
      </c>
      <c r="B2452" s="3">
        <v>252.10504625066</v>
      </c>
      <c r="C2452" s="3">
        <v>-1.9457362199894399</v>
      </c>
      <c r="D2452" s="3">
        <v>0.27533519475358198</v>
      </c>
      <c r="E2452" s="3">
        <v>-7.0667907956003404</v>
      </c>
      <c r="F2452" s="4">
        <v>1.5855771035528699E-12</v>
      </c>
      <c r="G2452" s="4">
        <v>3.0727040782720602E-11</v>
      </c>
      <c r="H2452" s="3" t="str">
        <f>"AKR1D1"</f>
        <v>AKR1D1</v>
      </c>
      <c r="I2452" s="3" t="str">
        <f>"protein_coding"</f>
        <v>protein_coding</v>
      </c>
    </row>
    <row r="2453" spans="1:9" x14ac:dyDescent="0.2">
      <c r="A2453" s="3" t="str">
        <f>"ENSG00000122778.9"</f>
        <v>ENSG00000122778.9</v>
      </c>
      <c r="B2453" s="3">
        <v>1010.91220073932</v>
      </c>
      <c r="C2453" s="3">
        <v>-1.1043807100273999</v>
      </c>
      <c r="D2453" s="3">
        <v>0.19891720305102301</v>
      </c>
      <c r="E2453" s="3">
        <v>-5.5519617865535604</v>
      </c>
      <c r="F2453" s="4">
        <v>2.8248135416426499E-8</v>
      </c>
      <c r="G2453" s="4">
        <v>3.1557070344049702E-7</v>
      </c>
      <c r="H2453" s="3" t="str">
        <f>"KIAA1549"</f>
        <v>KIAA1549</v>
      </c>
      <c r="I2453" s="3" t="str">
        <f>"protein_coding"</f>
        <v>protein_coding</v>
      </c>
    </row>
    <row r="2454" spans="1:9" x14ac:dyDescent="0.2">
      <c r="A2454" s="3" t="str">
        <f>"ENSG00000146858.8"</f>
        <v>ENSG00000146858.8</v>
      </c>
      <c r="B2454" s="3">
        <v>615.55917409654398</v>
      </c>
      <c r="C2454" s="3">
        <v>-1.61002741657689</v>
      </c>
      <c r="D2454" s="3">
        <v>0.213970856462016</v>
      </c>
      <c r="E2454" s="3">
        <v>-7.5245173253895796</v>
      </c>
      <c r="F2454" s="4">
        <v>5.2915436773443797E-14</v>
      </c>
      <c r="G2454" s="4">
        <v>1.2065162391347501E-12</v>
      </c>
      <c r="H2454" s="3" t="str">
        <f>"ZC3HAV1L"</f>
        <v>ZC3HAV1L</v>
      </c>
      <c r="I2454" s="3" t="str">
        <f>"protein_coding"</f>
        <v>protein_coding</v>
      </c>
    </row>
    <row r="2455" spans="1:9" x14ac:dyDescent="0.2">
      <c r="A2455" s="3" t="str">
        <f>"ENSG00000229677.1"</f>
        <v>ENSG00000229677.1</v>
      </c>
      <c r="B2455" s="3">
        <v>33.000096688468801</v>
      </c>
      <c r="C2455" s="3">
        <v>2.1910504463109199</v>
      </c>
      <c r="D2455" s="3">
        <v>0.63961067104689695</v>
      </c>
      <c r="E2455" s="3">
        <v>3.42560020570743</v>
      </c>
      <c r="F2455" s="3">
        <v>6.1344260450810597E-4</v>
      </c>
      <c r="G2455" s="3">
        <v>2.8705572147468901E-3</v>
      </c>
      <c r="H2455" s="3" t="str">
        <f>"AC018644.1"</f>
        <v>AC018644.1</v>
      </c>
      <c r="I2455" s="3" t="str">
        <f>"processed_pseudogene"</f>
        <v>processed_pseudogene</v>
      </c>
    </row>
    <row r="2456" spans="1:9" x14ac:dyDescent="0.2">
      <c r="A2456" s="3" t="str">
        <f>"ENSG00000105948.13"</f>
        <v>ENSG00000105948.13</v>
      </c>
      <c r="B2456" s="3">
        <v>241.41715424317999</v>
      </c>
      <c r="C2456" s="3">
        <v>-1.11314920737277</v>
      </c>
      <c r="D2456" s="3">
        <v>0.28201905256221099</v>
      </c>
      <c r="E2456" s="3">
        <v>-3.9470709416954</v>
      </c>
      <c r="F2456" s="4">
        <v>7.9113120819225799E-5</v>
      </c>
      <c r="G2456" s="3">
        <v>4.6416778702873502E-4</v>
      </c>
      <c r="H2456" s="3" t="str">
        <f>"TTC26"</f>
        <v>TTC26</v>
      </c>
      <c r="I2456" s="3" t="str">
        <f>"protein_coding"</f>
        <v>protein_coding</v>
      </c>
    </row>
    <row r="2457" spans="1:9" x14ac:dyDescent="0.2">
      <c r="A2457" s="3" t="str">
        <f>"ENSG00000064393.16"</f>
        <v>ENSG00000064393.16</v>
      </c>
      <c r="B2457" s="3">
        <v>10825.423656798201</v>
      </c>
      <c r="C2457" s="3">
        <v>-1.1377377910120201</v>
      </c>
      <c r="D2457" s="3">
        <v>0.177116246521582</v>
      </c>
      <c r="E2457" s="3">
        <v>-6.4236783093378298</v>
      </c>
      <c r="F2457" s="4">
        <v>1.33020161882147E-10</v>
      </c>
      <c r="G2457" s="4">
        <v>2.0338946974202302E-9</v>
      </c>
      <c r="H2457" s="3" t="str">
        <f>"HIPK2"</f>
        <v>HIPK2</v>
      </c>
      <c r="I2457" s="3" t="str">
        <f>"protein_coding"</f>
        <v>protein_coding</v>
      </c>
    </row>
    <row r="2458" spans="1:9" x14ac:dyDescent="0.2">
      <c r="A2458" s="3" t="str">
        <f>"ENSG00000059378.12"</f>
        <v>ENSG00000059378.12</v>
      </c>
      <c r="B2458" s="3">
        <v>494.74544559721397</v>
      </c>
      <c r="C2458" s="3">
        <v>-1.21276600587258</v>
      </c>
      <c r="D2458" s="3">
        <v>0.22713747069691601</v>
      </c>
      <c r="E2458" s="3">
        <v>-5.3393480263362001</v>
      </c>
      <c r="F2458" s="4">
        <v>9.3281425448477694E-8</v>
      </c>
      <c r="G2458" s="4">
        <v>9.4979035844344998E-7</v>
      </c>
      <c r="H2458" s="3" t="str">
        <f>"PARP12"</f>
        <v>PARP12</v>
      </c>
      <c r="I2458" s="3" t="str">
        <f>"protein_coding"</f>
        <v>protein_coding</v>
      </c>
    </row>
    <row r="2459" spans="1:9" x14ac:dyDescent="0.2">
      <c r="A2459" s="3" t="str">
        <f>"ENSG00000260231.2"</f>
        <v>ENSG00000260231.2</v>
      </c>
      <c r="B2459" s="3">
        <v>606.29142304877303</v>
      </c>
      <c r="C2459" s="3">
        <v>1.2908535122531899</v>
      </c>
      <c r="D2459" s="3">
        <v>0.22141131952941701</v>
      </c>
      <c r="E2459" s="3">
        <v>5.8301152578682096</v>
      </c>
      <c r="F2459" s="4">
        <v>5.5389104963817999E-9</v>
      </c>
      <c r="G2459" s="4">
        <v>6.81348506974785E-8</v>
      </c>
      <c r="H2459" s="3" t="str">
        <f>"KDM7A-DT"</f>
        <v>KDM7A-DT</v>
      </c>
      <c r="I2459" s="3" t="str">
        <f>"bidirectional_promoter_lncRNA"</f>
        <v>bidirectional_promoter_lncRNA</v>
      </c>
    </row>
    <row r="2460" spans="1:9" x14ac:dyDescent="0.2">
      <c r="A2460" s="3" t="str">
        <f>"ENSG00000199283.1"</f>
        <v>ENSG00000199283.1</v>
      </c>
      <c r="B2460" s="3">
        <v>5.9457177380145003</v>
      </c>
      <c r="C2460" s="3">
        <v>5.9678110559896602</v>
      </c>
      <c r="D2460" s="3">
        <v>1.9490680149737301</v>
      </c>
      <c r="E2460" s="3">
        <v>3.0618793239342601</v>
      </c>
      <c r="F2460" s="3">
        <v>2.1995210751093899E-3</v>
      </c>
      <c r="G2460" s="3">
        <v>8.7349294175055308E-3</v>
      </c>
      <c r="H2460" s="3" t="str">
        <f>"RNU1-58P"</f>
        <v>RNU1-58P</v>
      </c>
      <c r="I2460" s="3" t="str">
        <f>"snRNA"</f>
        <v>snRNA</v>
      </c>
    </row>
    <row r="2461" spans="1:9" x14ac:dyDescent="0.2">
      <c r="A2461" s="3" t="str">
        <f>"ENSG00000146966.13"</f>
        <v>ENSG00000146966.13</v>
      </c>
      <c r="B2461" s="3">
        <v>6.9088244655475402</v>
      </c>
      <c r="C2461" s="3">
        <v>4.6874297279135</v>
      </c>
      <c r="D2461" s="3">
        <v>1.8870614164122901</v>
      </c>
      <c r="E2461" s="3">
        <v>2.4839836621879998</v>
      </c>
      <c r="F2461" s="3">
        <v>1.2992176859937501E-2</v>
      </c>
      <c r="G2461" s="3">
        <v>3.9610366219393199E-2</v>
      </c>
      <c r="H2461" s="3" t="str">
        <f>"DENND2A"</f>
        <v>DENND2A</v>
      </c>
      <c r="I2461" s="3" t="str">
        <f t="shared" ref="I2461:I2468" si="119">"protein_coding"</f>
        <v>protein_coding</v>
      </c>
    </row>
    <row r="2462" spans="1:9" x14ac:dyDescent="0.2">
      <c r="A2462" s="3" t="str">
        <f>"ENSG00000133597.11"</f>
        <v>ENSG00000133597.11</v>
      </c>
      <c r="B2462" s="3">
        <v>370.17078152212798</v>
      </c>
      <c r="C2462" s="3">
        <v>-1.2372323971100001</v>
      </c>
      <c r="D2462" s="3">
        <v>0.25725573434348697</v>
      </c>
      <c r="E2462" s="3">
        <v>-4.8093481774755897</v>
      </c>
      <c r="F2462" s="4">
        <v>1.5142325404101699E-6</v>
      </c>
      <c r="G2462" s="4">
        <v>1.2578748179437801E-5</v>
      </c>
      <c r="H2462" s="3" t="str">
        <f>"ADCK2"</f>
        <v>ADCK2</v>
      </c>
      <c r="I2462" s="3" t="str">
        <f t="shared" si="119"/>
        <v>protein_coding</v>
      </c>
    </row>
    <row r="2463" spans="1:9" x14ac:dyDescent="0.2">
      <c r="A2463" s="3" t="str">
        <f>"ENSG00000257093.7"</f>
        <v>ENSG00000257093.7</v>
      </c>
      <c r="B2463" s="3">
        <v>1075.42269705326</v>
      </c>
      <c r="C2463" s="3">
        <v>-1.8046583913654499</v>
      </c>
      <c r="D2463" s="3">
        <v>0.19593228072595101</v>
      </c>
      <c r="E2463" s="3">
        <v>-9.2106231024259397</v>
      </c>
      <c r="F2463" s="4">
        <v>3.2423722323760202E-20</v>
      </c>
      <c r="G2463" s="4">
        <v>1.2785081941468801E-18</v>
      </c>
      <c r="H2463" s="3" t="str">
        <f>"KIAA1147"</f>
        <v>KIAA1147</v>
      </c>
      <c r="I2463" s="3" t="str">
        <f t="shared" si="119"/>
        <v>protein_coding</v>
      </c>
    </row>
    <row r="2464" spans="1:9" x14ac:dyDescent="0.2">
      <c r="A2464" s="3" t="str">
        <f>"ENSG00000197993.9"</f>
        <v>ENSG00000197993.9</v>
      </c>
      <c r="B2464" s="3">
        <v>50.422214515793897</v>
      </c>
      <c r="C2464" s="3">
        <v>3.69379108785837</v>
      </c>
      <c r="D2464" s="3">
        <v>0.60315548796443996</v>
      </c>
      <c r="E2464" s="3">
        <v>6.1241108827913804</v>
      </c>
      <c r="F2464" s="4">
        <v>9.11913772434834E-10</v>
      </c>
      <c r="G2464" s="4">
        <v>1.24984479665654E-8</v>
      </c>
      <c r="H2464" s="3" t="str">
        <f>"KEL"</f>
        <v>KEL</v>
      </c>
      <c r="I2464" s="3" t="str">
        <f t="shared" si="119"/>
        <v>protein_coding</v>
      </c>
    </row>
    <row r="2465" spans="1:9" x14ac:dyDescent="0.2">
      <c r="A2465" s="3" t="str">
        <f>"ENSG00000159840.16"</f>
        <v>ENSG00000159840.16</v>
      </c>
      <c r="B2465" s="3">
        <v>2764.3456539271301</v>
      </c>
      <c r="C2465" s="3">
        <v>-1.54459352409575</v>
      </c>
      <c r="D2465" s="3">
        <v>0.20264287260439601</v>
      </c>
      <c r="E2465" s="3">
        <v>-7.6222445144229001</v>
      </c>
      <c r="F2465" s="4">
        <v>2.4930221600738E-14</v>
      </c>
      <c r="G2465" s="4">
        <v>5.8206833586573003E-13</v>
      </c>
      <c r="H2465" s="3" t="str">
        <f>"ZYX"</f>
        <v>ZYX</v>
      </c>
      <c r="I2465" s="3" t="str">
        <f t="shared" si="119"/>
        <v>protein_coding</v>
      </c>
    </row>
    <row r="2466" spans="1:9" x14ac:dyDescent="0.2">
      <c r="A2466" s="3" t="str">
        <f>"ENSG00000146904.9"</f>
        <v>ENSG00000146904.9</v>
      </c>
      <c r="B2466" s="3">
        <v>165.68587670758001</v>
      </c>
      <c r="C2466" s="3">
        <v>-1.1582491848826699</v>
      </c>
      <c r="D2466" s="3">
        <v>0.381360620782357</v>
      </c>
      <c r="E2466" s="3">
        <v>-3.0371494112489499</v>
      </c>
      <c r="F2466" s="3">
        <v>2.3882704377332399E-3</v>
      </c>
      <c r="G2466" s="3">
        <v>9.3792454045715894E-3</v>
      </c>
      <c r="H2466" s="3" t="str">
        <f>"EPHA1"</f>
        <v>EPHA1</v>
      </c>
      <c r="I2466" s="3" t="str">
        <f t="shared" si="119"/>
        <v>protein_coding</v>
      </c>
    </row>
    <row r="2467" spans="1:9" x14ac:dyDescent="0.2">
      <c r="A2467" s="3" t="str">
        <f>"ENSG00000155660.11"</f>
        <v>ENSG00000155660.11</v>
      </c>
      <c r="B2467" s="3">
        <v>20565.295724158299</v>
      </c>
      <c r="C2467" s="3">
        <v>-1.07423803343931</v>
      </c>
      <c r="D2467" s="3">
        <v>0.20352645750773499</v>
      </c>
      <c r="E2467" s="3">
        <v>-5.2781247538712801</v>
      </c>
      <c r="F2467" s="4">
        <v>1.30512602797947E-7</v>
      </c>
      <c r="G2467" s="4">
        <v>1.30306958169133E-6</v>
      </c>
      <c r="H2467" s="3" t="str">
        <f>"PDIA4"</f>
        <v>PDIA4</v>
      </c>
      <c r="I2467" s="3" t="str">
        <f t="shared" si="119"/>
        <v>protein_coding</v>
      </c>
    </row>
    <row r="2468" spans="1:9" x14ac:dyDescent="0.2">
      <c r="A2468" s="3" t="str">
        <f>"ENSG00000204947.9"</f>
        <v>ENSG00000204947.9</v>
      </c>
      <c r="B2468" s="3">
        <v>107.17086614227701</v>
      </c>
      <c r="C2468" s="3">
        <v>3.14968858931609</v>
      </c>
      <c r="D2468" s="3">
        <v>0.40669808442223698</v>
      </c>
      <c r="E2468" s="3">
        <v>7.7445375573642004</v>
      </c>
      <c r="F2468" s="4">
        <v>9.5930338773533098E-15</v>
      </c>
      <c r="G2468" s="4">
        <v>2.3233901693888501E-13</v>
      </c>
      <c r="H2468" s="3" t="str">
        <f>"ZNF425"</f>
        <v>ZNF425</v>
      </c>
      <c r="I2468" s="3" t="str">
        <f t="shared" si="119"/>
        <v>protein_coding</v>
      </c>
    </row>
    <row r="2469" spans="1:9" x14ac:dyDescent="0.2">
      <c r="A2469" s="3" t="str">
        <f>"ENSG00000133624.13"</f>
        <v>ENSG00000133624.13</v>
      </c>
      <c r="B2469" s="3">
        <v>1290.8411690708299</v>
      </c>
      <c r="C2469" s="3">
        <v>1.5102001378976899</v>
      </c>
      <c r="D2469" s="3">
        <v>0.19422663636094101</v>
      </c>
      <c r="E2469" s="3">
        <v>7.77545328587789</v>
      </c>
      <c r="F2469" s="4">
        <v>7.5177718399057701E-15</v>
      </c>
      <c r="G2469" s="4">
        <v>1.8321711030582499E-13</v>
      </c>
      <c r="H2469" s="3" t="str">
        <f>"ZNF767P"</f>
        <v>ZNF767P</v>
      </c>
      <c r="I2469" s="3" t="str">
        <f>"transcribed_unprocessed_pseudogene"</f>
        <v>transcribed_unprocessed_pseudogene</v>
      </c>
    </row>
    <row r="2470" spans="1:9" x14ac:dyDescent="0.2">
      <c r="A2470" s="3" t="str">
        <f>"ENSG00000133619.17"</f>
        <v>ENSG00000133619.17</v>
      </c>
      <c r="B2470" s="3">
        <v>958.18653681387605</v>
      </c>
      <c r="C2470" s="3">
        <v>1.6418787962105299</v>
      </c>
      <c r="D2470" s="3">
        <v>0.22529501356162801</v>
      </c>
      <c r="E2470" s="3">
        <v>7.2876836919491002</v>
      </c>
      <c r="F2470" s="4">
        <v>3.1532921666983598E-13</v>
      </c>
      <c r="G2470" s="4">
        <v>6.6551318099171503E-12</v>
      </c>
      <c r="H2470" s="3" t="str">
        <f>"KRBA1"</f>
        <v>KRBA1</v>
      </c>
      <c r="I2470" s="3" t="str">
        <f t="shared" ref="I2470:I2481" si="120">"protein_coding"</f>
        <v>protein_coding</v>
      </c>
    </row>
    <row r="2471" spans="1:9" x14ac:dyDescent="0.2">
      <c r="A2471" s="3" t="str">
        <f>"ENSG00000181444.13"</f>
        <v>ENSG00000181444.13</v>
      </c>
      <c r="B2471" s="3">
        <v>12.078724318628501</v>
      </c>
      <c r="C2471" s="3">
        <v>3.4172243623489602</v>
      </c>
      <c r="D2471" s="3">
        <v>1.14508453323579</v>
      </c>
      <c r="E2471" s="3">
        <v>2.98425510358833</v>
      </c>
      <c r="F2471" s="3">
        <v>2.8426965802640799E-3</v>
      </c>
      <c r="G2471" s="3">
        <v>1.0916836324518E-2</v>
      </c>
      <c r="H2471" s="3" t="str">
        <f>"ZNF467"</f>
        <v>ZNF467</v>
      </c>
      <c r="I2471" s="3" t="str">
        <f t="shared" si="120"/>
        <v>protein_coding</v>
      </c>
    </row>
    <row r="2472" spans="1:9" x14ac:dyDescent="0.2">
      <c r="A2472" s="3" t="str">
        <f>"ENSG00000197558.11"</f>
        <v>ENSG00000197558.11</v>
      </c>
      <c r="B2472" s="3">
        <v>1224.47406661225</v>
      </c>
      <c r="C2472" s="3">
        <v>5.6571776165837404</v>
      </c>
      <c r="D2472" s="3">
        <v>0.262805258388212</v>
      </c>
      <c r="E2472" s="3">
        <v>21.526120334422799</v>
      </c>
      <c r="F2472" s="4">
        <v>8.8651799593625301E-103</v>
      </c>
      <c r="G2472" s="4">
        <v>1.15023599215596E-99</v>
      </c>
      <c r="H2472" s="3" t="str">
        <f>"SSPO"</f>
        <v>SSPO</v>
      </c>
      <c r="I2472" s="3" t="str">
        <f t="shared" si="120"/>
        <v>protein_coding</v>
      </c>
    </row>
    <row r="2473" spans="1:9" x14ac:dyDescent="0.2">
      <c r="A2473" s="3" t="str">
        <f>"ENSG00000171130.18"</f>
        <v>ENSG00000171130.18</v>
      </c>
      <c r="B2473" s="3">
        <v>1922.67826655555</v>
      </c>
      <c r="C2473" s="3">
        <v>-1.5509958491437199</v>
      </c>
      <c r="D2473" s="3">
        <v>0.25678862797093599</v>
      </c>
      <c r="E2473" s="3">
        <v>-6.0399709340682701</v>
      </c>
      <c r="F2473" s="4">
        <v>1.5414199177389399E-9</v>
      </c>
      <c r="G2473" s="4">
        <v>2.0407710640735201E-8</v>
      </c>
      <c r="H2473" s="3" t="str">
        <f>"ATP6V0E2"</f>
        <v>ATP6V0E2</v>
      </c>
      <c r="I2473" s="3" t="str">
        <f t="shared" si="120"/>
        <v>protein_coding</v>
      </c>
    </row>
    <row r="2474" spans="1:9" x14ac:dyDescent="0.2">
      <c r="A2474" s="3" t="str">
        <f>"ENSG00000106538.10"</f>
        <v>ENSG00000106538.10</v>
      </c>
      <c r="B2474" s="3">
        <v>1779.3959179594201</v>
      </c>
      <c r="C2474" s="3">
        <v>-1.5432594934791299</v>
      </c>
      <c r="D2474" s="3">
        <v>0.264091363929712</v>
      </c>
      <c r="E2474" s="3">
        <v>-5.8436575528833599</v>
      </c>
      <c r="F2474" s="4">
        <v>5.10669536132584E-9</v>
      </c>
      <c r="G2474" s="4">
        <v>6.32751834970646E-8</v>
      </c>
      <c r="H2474" s="3" t="str">
        <f>"RARRES2"</f>
        <v>RARRES2</v>
      </c>
      <c r="I2474" s="3" t="str">
        <f t="shared" si="120"/>
        <v>protein_coding</v>
      </c>
    </row>
    <row r="2475" spans="1:9" x14ac:dyDescent="0.2">
      <c r="A2475" s="3" t="str">
        <f>"ENSG00000214022.11"</f>
        <v>ENSG00000214022.11</v>
      </c>
      <c r="B2475" s="3">
        <v>3855.8606988350998</v>
      </c>
      <c r="C2475" s="3">
        <v>-1.1021952588305699</v>
      </c>
      <c r="D2475" s="3">
        <v>0.200858239495915</v>
      </c>
      <c r="E2475" s="3">
        <v>-5.4874286541428399</v>
      </c>
      <c r="F2475" s="4">
        <v>4.0782664872412001E-8</v>
      </c>
      <c r="G2475" s="4">
        <v>4.4324103301898998E-7</v>
      </c>
      <c r="H2475" s="3" t="str">
        <f>"REPIN1"</f>
        <v>REPIN1</v>
      </c>
      <c r="I2475" s="3" t="str">
        <f t="shared" si="120"/>
        <v>protein_coding</v>
      </c>
    </row>
    <row r="2476" spans="1:9" x14ac:dyDescent="0.2">
      <c r="A2476" s="3" t="str">
        <f>"ENSG00000164885.13"</f>
        <v>ENSG00000164885.13</v>
      </c>
      <c r="B2476" s="3">
        <v>391.37264937406201</v>
      </c>
      <c r="C2476" s="3">
        <v>-1.279275667534</v>
      </c>
      <c r="D2476" s="3">
        <v>0.27210667413092599</v>
      </c>
      <c r="E2476" s="3">
        <v>-4.7013755602277802</v>
      </c>
      <c r="F2476" s="4">
        <v>2.58414728310585E-6</v>
      </c>
      <c r="G2476" s="4">
        <v>2.0521789863825501E-5</v>
      </c>
      <c r="H2476" s="3" t="str">
        <f>"CDK5"</f>
        <v>CDK5</v>
      </c>
      <c r="I2476" s="3" t="str">
        <f t="shared" si="120"/>
        <v>protein_coding</v>
      </c>
    </row>
    <row r="2477" spans="1:9" x14ac:dyDescent="0.2">
      <c r="A2477" s="3" t="str">
        <f>"ENSG00000164897.13"</f>
        <v>ENSG00000164897.13</v>
      </c>
      <c r="B2477" s="3">
        <v>1226.8132332883399</v>
      </c>
      <c r="C2477" s="3">
        <v>-1.1839890921143199</v>
      </c>
      <c r="D2477" s="3">
        <v>0.23386192849031701</v>
      </c>
      <c r="E2477" s="3">
        <v>-5.0627697280934099</v>
      </c>
      <c r="F2477" s="4">
        <v>4.1320883958509701E-7</v>
      </c>
      <c r="G2477" s="4">
        <v>3.7857099032196099E-6</v>
      </c>
      <c r="H2477" s="3" t="str">
        <f>"TMUB1"</f>
        <v>TMUB1</v>
      </c>
      <c r="I2477" s="3" t="str">
        <f t="shared" si="120"/>
        <v>protein_coding</v>
      </c>
    </row>
    <row r="2478" spans="1:9" x14ac:dyDescent="0.2">
      <c r="A2478" s="3" t="str">
        <f>"ENSG00000278685.4"</f>
        <v>ENSG00000278685.4</v>
      </c>
      <c r="B2478" s="3">
        <v>16.626266803556501</v>
      </c>
      <c r="C2478" s="3">
        <v>7.4515337992355803</v>
      </c>
      <c r="D2478" s="3">
        <v>1.6449675356932201</v>
      </c>
      <c r="E2478" s="3">
        <v>4.5298971788494198</v>
      </c>
      <c r="F2478" s="4">
        <v>5.9012398682918898E-6</v>
      </c>
      <c r="G2478" s="4">
        <v>4.39079963657425E-5</v>
      </c>
      <c r="H2478" s="3" t="str">
        <f>"IQCA1L"</f>
        <v>IQCA1L</v>
      </c>
      <c r="I2478" s="3" t="str">
        <f t="shared" si="120"/>
        <v>protein_coding</v>
      </c>
    </row>
    <row r="2479" spans="1:9" x14ac:dyDescent="0.2">
      <c r="A2479" s="3" t="str">
        <f>"ENSG00000082014.16"</f>
        <v>ENSG00000082014.16</v>
      </c>
      <c r="B2479" s="3">
        <v>88.272717250095795</v>
      </c>
      <c r="C2479" s="3">
        <v>2.1723687198983699</v>
      </c>
      <c r="D2479" s="3">
        <v>0.44353297523983098</v>
      </c>
      <c r="E2479" s="3">
        <v>4.8978742081661597</v>
      </c>
      <c r="F2479" s="4">
        <v>9.6879018503116405E-7</v>
      </c>
      <c r="G2479" s="4">
        <v>8.3415475436006004E-6</v>
      </c>
      <c r="H2479" s="3" t="str">
        <f>"SMARCD3"</f>
        <v>SMARCD3</v>
      </c>
      <c r="I2479" s="3" t="str">
        <f t="shared" si="120"/>
        <v>protein_coding</v>
      </c>
    </row>
    <row r="2480" spans="1:9" x14ac:dyDescent="0.2">
      <c r="A2480" s="3" t="str">
        <f>"ENSG00000106617.14"</f>
        <v>ENSG00000106617.14</v>
      </c>
      <c r="B2480" s="3">
        <v>72.630188149320801</v>
      </c>
      <c r="C2480" s="3">
        <v>1.73285110638172</v>
      </c>
      <c r="D2480" s="3">
        <v>0.44708286355951399</v>
      </c>
      <c r="E2480" s="3">
        <v>3.8759058949058698</v>
      </c>
      <c r="F2480" s="3">
        <v>1.06228736834574E-4</v>
      </c>
      <c r="G2480" s="3">
        <v>6.0451428415447502E-4</v>
      </c>
      <c r="H2480" s="3" t="str">
        <f>"PRKAG2"</f>
        <v>PRKAG2</v>
      </c>
      <c r="I2480" s="3" t="str">
        <f t="shared" si="120"/>
        <v>protein_coding</v>
      </c>
    </row>
    <row r="2481" spans="1:9" x14ac:dyDescent="0.2">
      <c r="A2481" s="3" t="str">
        <f>"ENSG00000178234.13"</f>
        <v>ENSG00000178234.13</v>
      </c>
      <c r="B2481" s="3">
        <v>2770.7578343476298</v>
      </c>
      <c r="C2481" s="3">
        <v>2.3348626710687999</v>
      </c>
      <c r="D2481" s="3">
        <v>0.18374261500678801</v>
      </c>
      <c r="E2481" s="3">
        <v>12.707246334676</v>
      </c>
      <c r="F2481" s="4">
        <v>5.3899176492734802E-37</v>
      </c>
      <c r="G2481" s="4">
        <v>6.3301330254204497E-35</v>
      </c>
      <c r="H2481" s="3" t="str">
        <f>"GALNT11"</f>
        <v>GALNT11</v>
      </c>
      <c r="I2481" s="3" t="str">
        <f t="shared" si="120"/>
        <v>protein_coding</v>
      </c>
    </row>
    <row r="2482" spans="1:9" x14ac:dyDescent="0.2">
      <c r="A2482" s="3" t="str">
        <f>"ENSG00000213188.3"</f>
        <v>ENSG00000213188.3</v>
      </c>
      <c r="B2482" s="3">
        <v>23.063253581609501</v>
      </c>
      <c r="C2482" s="3">
        <v>2.3001572404421</v>
      </c>
      <c r="D2482" s="3">
        <v>0.77809958770219501</v>
      </c>
      <c r="E2482" s="3">
        <v>2.9561219113798698</v>
      </c>
      <c r="F2482" s="3">
        <v>3.1153392592939001E-3</v>
      </c>
      <c r="G2482" s="3">
        <v>1.1835422308697901E-2</v>
      </c>
      <c r="H2482" s="3" t="str">
        <f>"YBX1P4"</f>
        <v>YBX1P4</v>
      </c>
      <c r="I2482" s="3" t="str">
        <f>"processed_pseudogene"</f>
        <v>processed_pseudogene</v>
      </c>
    </row>
    <row r="2483" spans="1:9" x14ac:dyDescent="0.2">
      <c r="A2483" s="3" t="str">
        <f>"ENSG00000130675.15"</f>
        <v>ENSG00000130675.15</v>
      </c>
      <c r="B2483" s="3">
        <v>344.99488206592702</v>
      </c>
      <c r="C2483" s="3">
        <v>-1.3275631652987201</v>
      </c>
      <c r="D2483" s="3">
        <v>0.25443597373480897</v>
      </c>
      <c r="E2483" s="3">
        <v>-5.2176708576688897</v>
      </c>
      <c r="F2483" s="4">
        <v>1.8118706384891599E-7</v>
      </c>
      <c r="G2483" s="4">
        <v>1.76693053997546E-6</v>
      </c>
      <c r="H2483" s="3" t="str">
        <f>"MNX1"</f>
        <v>MNX1</v>
      </c>
      <c r="I2483" s="3" t="str">
        <f>"protein_coding"</f>
        <v>protein_coding</v>
      </c>
    </row>
    <row r="2484" spans="1:9" x14ac:dyDescent="0.2">
      <c r="A2484" s="3" t="str">
        <f>"ENSG00000117868.16"</f>
        <v>ENSG00000117868.16</v>
      </c>
      <c r="B2484" s="3">
        <v>6850.1961399383999</v>
      </c>
      <c r="C2484" s="3">
        <v>1.5075202905731999</v>
      </c>
      <c r="D2484" s="3">
        <v>0.17165655278583999</v>
      </c>
      <c r="E2484" s="3">
        <v>8.7821890053564893</v>
      </c>
      <c r="F2484" s="4">
        <v>1.6032338261228299E-18</v>
      </c>
      <c r="G2484" s="4">
        <v>5.4400139552140399E-17</v>
      </c>
      <c r="H2484" s="3" t="str">
        <f>"ESYT2"</f>
        <v>ESYT2</v>
      </c>
      <c r="I2484" s="3" t="str">
        <f>"protein_coding"</f>
        <v>protein_coding</v>
      </c>
    </row>
    <row r="2485" spans="1:9" x14ac:dyDescent="0.2">
      <c r="A2485" s="3" t="str">
        <f>"ENSG00000223508.5"</f>
        <v>ENSG00000223508.5</v>
      </c>
      <c r="B2485" s="3">
        <v>326.19690764235099</v>
      </c>
      <c r="C2485" s="3">
        <v>1.40450883527243</v>
      </c>
      <c r="D2485" s="3">
        <v>0.25433928161353903</v>
      </c>
      <c r="E2485" s="3">
        <v>5.5221860593541399</v>
      </c>
      <c r="F2485" s="4">
        <v>3.3480766842393502E-8</v>
      </c>
      <c r="G2485" s="4">
        <v>3.6903335524057198E-7</v>
      </c>
      <c r="H2485" s="3" t="str">
        <f>"RPL23AP53"</f>
        <v>RPL23AP53</v>
      </c>
      <c r="I2485" s="3" t="str">
        <f>"transcribed_processed_pseudogene"</f>
        <v>transcribed_processed_pseudogene</v>
      </c>
    </row>
    <row r="2486" spans="1:9" x14ac:dyDescent="0.2">
      <c r="A2486" s="3" t="str">
        <f>"ENSG00000172748.14"</f>
        <v>ENSG00000172748.14</v>
      </c>
      <c r="B2486" s="3">
        <v>118.18833152486</v>
      </c>
      <c r="C2486" s="3">
        <v>1.0666120157340999</v>
      </c>
      <c r="D2486" s="3">
        <v>0.36402346024940202</v>
      </c>
      <c r="E2486" s="3">
        <v>2.93006394423956</v>
      </c>
      <c r="F2486" s="3">
        <v>3.3889225879484499E-3</v>
      </c>
      <c r="G2486" s="3">
        <v>1.27204812996048E-2</v>
      </c>
      <c r="H2486" s="3" t="str">
        <f>"ZNF596"</f>
        <v>ZNF596</v>
      </c>
      <c r="I2486" s="3" t="str">
        <f>"protein_coding"</f>
        <v>protein_coding</v>
      </c>
    </row>
    <row r="2487" spans="1:9" x14ac:dyDescent="0.2">
      <c r="A2487" s="3" t="str">
        <f>"ENSG00000182366.9"</f>
        <v>ENSG00000182366.9</v>
      </c>
      <c r="B2487" s="3">
        <v>95.991974539910601</v>
      </c>
      <c r="C2487" s="3">
        <v>6.1966933421897696</v>
      </c>
      <c r="D2487" s="3">
        <v>0.73904950641773803</v>
      </c>
      <c r="E2487" s="3">
        <v>8.3846796302265201</v>
      </c>
      <c r="F2487" s="4">
        <v>5.0864093097400301E-17</v>
      </c>
      <c r="G2487" s="4">
        <v>1.5146381908468501E-15</v>
      </c>
      <c r="H2487" s="3" t="str">
        <f>"FAM87A"</f>
        <v>FAM87A</v>
      </c>
      <c r="I2487" s="3" t="str">
        <f>"lincRNA"</f>
        <v>lincRNA</v>
      </c>
    </row>
    <row r="2488" spans="1:9" x14ac:dyDescent="0.2">
      <c r="A2488" s="3" t="str">
        <f>"ENSG00000272293.1"</f>
        <v>ENSG00000272293.1</v>
      </c>
      <c r="B2488" s="3">
        <v>25.3007168955405</v>
      </c>
      <c r="C2488" s="3">
        <v>-2.3665612651661099</v>
      </c>
      <c r="D2488" s="3">
        <v>0.73176214855834898</v>
      </c>
      <c r="E2488" s="3">
        <v>-3.2340580471789799</v>
      </c>
      <c r="F2488" s="3">
        <v>1.2204464767985399E-3</v>
      </c>
      <c r="G2488" s="3">
        <v>5.2533183496571399E-3</v>
      </c>
      <c r="H2488" s="3" t="str">
        <f>"AC083964.1"</f>
        <v>AC083964.1</v>
      </c>
      <c r="I2488" s="3" t="str">
        <f>"antisense"</f>
        <v>antisense</v>
      </c>
    </row>
    <row r="2489" spans="1:9" x14ac:dyDescent="0.2">
      <c r="A2489" s="3" t="str">
        <f>"ENSG00000279852.1"</f>
        <v>ENSG00000279852.1</v>
      </c>
      <c r="B2489" s="3">
        <v>121.59857455974</v>
      </c>
      <c r="C2489" s="3">
        <v>-1.77349296439326</v>
      </c>
      <c r="D2489" s="3">
        <v>0.36261377917391902</v>
      </c>
      <c r="E2489" s="3">
        <v>-4.8908592730080596</v>
      </c>
      <c r="F2489" s="4">
        <v>1.00396726895019E-6</v>
      </c>
      <c r="G2489" s="4">
        <v>8.6212090063302204E-6</v>
      </c>
      <c r="H2489" s="3" t="str">
        <f>"AC083964.2"</f>
        <v>AC083964.2</v>
      </c>
      <c r="I2489" s="3" t="str">
        <f>"TEC"</f>
        <v>TEC</v>
      </c>
    </row>
    <row r="2490" spans="1:9" x14ac:dyDescent="0.2">
      <c r="A2490" s="3" t="str">
        <f>"ENSG00000198010.12"</f>
        <v>ENSG00000198010.12</v>
      </c>
      <c r="B2490" s="3">
        <v>3.7806174410606901</v>
      </c>
      <c r="C2490" s="3">
        <v>5.3154478000652503</v>
      </c>
      <c r="D2490" s="3">
        <v>2.1865395084011801</v>
      </c>
      <c r="E2490" s="3">
        <v>2.43098639637752</v>
      </c>
      <c r="F2490" s="3">
        <v>1.5057779905063901E-2</v>
      </c>
      <c r="G2490" s="3">
        <v>4.4683002512881202E-2</v>
      </c>
      <c r="H2490" s="3" t="str">
        <f>"DLGAP2"</f>
        <v>DLGAP2</v>
      </c>
      <c r="I2490" s="3" t="str">
        <f>"protein_coding"</f>
        <v>protein_coding</v>
      </c>
    </row>
    <row r="2491" spans="1:9" x14ac:dyDescent="0.2">
      <c r="A2491" s="3" t="str">
        <f>"ENSG00000182372.9"</f>
        <v>ENSG00000182372.9</v>
      </c>
      <c r="B2491" s="3">
        <v>1927.45614422582</v>
      </c>
      <c r="C2491" s="3">
        <v>1.19220705708732</v>
      </c>
      <c r="D2491" s="3">
        <v>0.19460888866436099</v>
      </c>
      <c r="E2491" s="3">
        <v>6.12616959723512</v>
      </c>
      <c r="F2491" s="4">
        <v>9.0019852509580695E-10</v>
      </c>
      <c r="G2491" s="4">
        <v>1.2344091199439099E-8</v>
      </c>
      <c r="H2491" s="3" t="str">
        <f>"CLN8"</f>
        <v>CLN8</v>
      </c>
      <c r="I2491" s="3" t="str">
        <f>"protein_coding"</f>
        <v>protein_coding</v>
      </c>
    </row>
    <row r="2492" spans="1:9" x14ac:dyDescent="0.2">
      <c r="A2492" s="3" t="str">
        <f>"ENSG00000253982.1"</f>
        <v>ENSG00000253982.1</v>
      </c>
      <c r="B2492" s="3">
        <v>115.753298325686</v>
      </c>
      <c r="C2492" s="3">
        <v>1.38750059957537</v>
      </c>
      <c r="D2492" s="3">
        <v>0.38079501334003502</v>
      </c>
      <c r="E2492" s="3">
        <v>3.6436942474779399</v>
      </c>
      <c r="F2492" s="3">
        <v>2.6875265410670102E-4</v>
      </c>
      <c r="G2492" s="3">
        <v>1.3819029187479299E-3</v>
      </c>
      <c r="H2492" s="3" t="str">
        <f>"AC100810.1"</f>
        <v>AC100810.1</v>
      </c>
      <c r="I2492" s="3" t="str">
        <f>"antisense"</f>
        <v>antisense</v>
      </c>
    </row>
    <row r="2493" spans="1:9" x14ac:dyDescent="0.2">
      <c r="A2493" s="3" t="str">
        <f>"ENSG00000183117.19"</f>
        <v>ENSG00000183117.19</v>
      </c>
      <c r="B2493" s="3">
        <v>11.6681631654053</v>
      </c>
      <c r="C2493" s="3">
        <v>5.4679427954778603</v>
      </c>
      <c r="D2493" s="3">
        <v>1.70712951687641</v>
      </c>
      <c r="E2493" s="3">
        <v>3.2030040728735898</v>
      </c>
      <c r="F2493" s="3">
        <v>1.36002057604871E-3</v>
      </c>
      <c r="G2493" s="3">
        <v>5.77473595692679E-3</v>
      </c>
      <c r="H2493" s="3" t="str">
        <f>"CSMD1"</f>
        <v>CSMD1</v>
      </c>
      <c r="I2493" s="3" t="str">
        <f>"protein_coding"</f>
        <v>protein_coding</v>
      </c>
    </row>
    <row r="2494" spans="1:9" x14ac:dyDescent="0.2">
      <c r="A2494" s="3" t="str">
        <f>"ENSG00000245857.2"</f>
        <v>ENSG00000245857.2</v>
      </c>
      <c r="B2494" s="3">
        <v>3.8530936506741802</v>
      </c>
      <c r="C2494" s="3">
        <v>5.3403250580865702</v>
      </c>
      <c r="D2494" s="3">
        <v>2.1789621139591802</v>
      </c>
      <c r="E2494" s="3">
        <v>2.4508572333014098</v>
      </c>
      <c r="F2494" s="3">
        <v>1.4251646682892799E-2</v>
      </c>
      <c r="G2494" s="3">
        <v>4.2728280938466097E-2</v>
      </c>
      <c r="H2494" s="3" t="str">
        <f>"AF233439.1"</f>
        <v>AF233439.1</v>
      </c>
      <c r="I2494" s="3" t="str">
        <f>"lincRNA"</f>
        <v>lincRNA</v>
      </c>
    </row>
    <row r="2495" spans="1:9" x14ac:dyDescent="0.2">
      <c r="A2495" s="3" t="str">
        <f>"ENSG00000164825.4"</f>
        <v>ENSG00000164825.4</v>
      </c>
      <c r="B2495" s="3">
        <v>212.74440754789001</v>
      </c>
      <c r="C2495" s="3">
        <v>5.8555921612555402</v>
      </c>
      <c r="D2495" s="3">
        <v>0.48289980103129798</v>
      </c>
      <c r="E2495" s="3">
        <v>12.1258947482482</v>
      </c>
      <c r="F2495" s="4">
        <v>7.70144363344755E-34</v>
      </c>
      <c r="G2495" s="4">
        <v>7.5482458518181797E-32</v>
      </c>
      <c r="H2495" s="3" t="str">
        <f>"DEFB1"</f>
        <v>DEFB1</v>
      </c>
      <c r="I2495" s="3" t="str">
        <f>"protein_coding"</f>
        <v>protein_coding</v>
      </c>
    </row>
    <row r="2496" spans="1:9" x14ac:dyDescent="0.2">
      <c r="A2496" s="3" t="str">
        <f>"ENSG00000254625.1"</f>
        <v>ENSG00000254625.1</v>
      </c>
      <c r="B2496" s="3">
        <v>12.6282207336554</v>
      </c>
      <c r="C2496" s="3">
        <v>7.0567558576053599</v>
      </c>
      <c r="D2496" s="3">
        <v>1.70669992844667</v>
      </c>
      <c r="E2496" s="3">
        <v>4.1347373020797997</v>
      </c>
      <c r="F2496" s="4">
        <v>3.5536089181751197E-5</v>
      </c>
      <c r="G2496" s="3">
        <v>2.24184260693488E-4</v>
      </c>
      <c r="H2496" s="3" t="str">
        <f>"AF233439.2"</f>
        <v>AF233439.2</v>
      </c>
      <c r="I2496" s="3" t="str">
        <f>"antisense"</f>
        <v>antisense</v>
      </c>
    </row>
    <row r="2497" spans="1:9" x14ac:dyDescent="0.2">
      <c r="A2497" s="3" t="str">
        <f>"ENSG00000284606.1"</f>
        <v>ENSG00000284606.1</v>
      </c>
      <c r="B2497" s="3">
        <v>22.536044442456902</v>
      </c>
      <c r="C2497" s="3">
        <v>3.5193226033567102</v>
      </c>
      <c r="D2497" s="3">
        <v>0.86797253364184901</v>
      </c>
      <c r="E2497" s="3">
        <v>4.05464743059356</v>
      </c>
      <c r="F2497" s="4">
        <v>5.0209975212290899E-5</v>
      </c>
      <c r="G2497" s="3">
        <v>3.07569962816837E-4</v>
      </c>
      <c r="H2497" s="3" t="str">
        <f>"AC105233.5"</f>
        <v>AC105233.5</v>
      </c>
      <c r="I2497" s="3" t="str">
        <f>"processed_transcript"</f>
        <v>processed_transcript</v>
      </c>
    </row>
    <row r="2498" spans="1:9" x14ac:dyDescent="0.2">
      <c r="A2498" s="3" t="str">
        <f>"ENSG00000248538.7"</f>
        <v>ENSG00000248538.7</v>
      </c>
      <c r="B2498" s="3">
        <v>12.1177569459356</v>
      </c>
      <c r="C2498" s="3">
        <v>5.5191261041254203</v>
      </c>
      <c r="D2498" s="3">
        <v>1.6975796181646201</v>
      </c>
      <c r="E2498" s="3">
        <v>3.2511736386730199</v>
      </c>
      <c r="F2498" s="3">
        <v>1.14929641911296E-3</v>
      </c>
      <c r="G2498" s="3">
        <v>4.9856518916686502E-3</v>
      </c>
      <c r="H2498" s="3" t="str">
        <f>"AC022784.1"</f>
        <v>AC022784.1</v>
      </c>
      <c r="I2498" s="3" t="str">
        <f>"lincRNA"</f>
        <v>lincRNA</v>
      </c>
    </row>
    <row r="2499" spans="1:9" x14ac:dyDescent="0.2">
      <c r="A2499" s="3" t="str">
        <f>"ENSG00000249050.1"</f>
        <v>ENSG00000249050.1</v>
      </c>
      <c r="B2499" s="3">
        <v>5.9427119476415999</v>
      </c>
      <c r="C2499" s="3">
        <v>5.9622456665118602</v>
      </c>
      <c r="D2499" s="3">
        <v>1.9902663590535301</v>
      </c>
      <c r="E2499" s="3">
        <v>2.9957023789254</v>
      </c>
      <c r="F2499" s="3">
        <v>2.7381353765725401E-3</v>
      </c>
      <c r="G2499" s="3">
        <v>1.05704129506194E-2</v>
      </c>
      <c r="H2499" s="3" t="str">
        <f>"AC021242.1"</f>
        <v>AC021242.1</v>
      </c>
      <c r="I2499" s="3" t="str">
        <f>"processed_pseudogene"</f>
        <v>processed_pseudogene</v>
      </c>
    </row>
    <row r="2500" spans="1:9" x14ac:dyDescent="0.2">
      <c r="A2500" s="3" t="str">
        <f>"ENSG00000253649.5"</f>
        <v>ENSG00000253649.5</v>
      </c>
      <c r="B2500" s="3">
        <v>10.828382745089399</v>
      </c>
      <c r="C2500" s="3">
        <v>5.3480341025772002</v>
      </c>
      <c r="D2500" s="3">
        <v>1.7520667092412801</v>
      </c>
      <c r="E2500" s="3">
        <v>3.0524146565704302</v>
      </c>
      <c r="F2500" s="3">
        <v>2.2700827295135998E-3</v>
      </c>
      <c r="G2500" s="3">
        <v>8.9798118657167508E-3</v>
      </c>
      <c r="H2500" s="3" t="str">
        <f>"PRSS51"</f>
        <v>PRSS51</v>
      </c>
      <c r="I2500" s="3" t="str">
        <f>"protein_coding"</f>
        <v>protein_coding</v>
      </c>
    </row>
    <row r="2501" spans="1:9" x14ac:dyDescent="0.2">
      <c r="A2501" s="3" t="str">
        <f>"ENSG00000171056.8"</f>
        <v>ENSG00000171056.8</v>
      </c>
      <c r="B2501" s="3">
        <v>85.130072628049902</v>
      </c>
      <c r="C2501" s="3">
        <v>4.8536419140168103</v>
      </c>
      <c r="D2501" s="3">
        <v>0.58422450798129799</v>
      </c>
      <c r="E2501" s="3">
        <v>8.3078368807016698</v>
      </c>
      <c r="F2501" s="4">
        <v>9.7462377472426206E-17</v>
      </c>
      <c r="G2501" s="4">
        <v>2.8462565905586201E-15</v>
      </c>
      <c r="H2501" s="3" t="str">
        <f>"SOX7"</f>
        <v>SOX7</v>
      </c>
      <c r="I2501" s="3" t="str">
        <f>"protein_coding"</f>
        <v>protein_coding</v>
      </c>
    </row>
    <row r="2502" spans="1:9" x14ac:dyDescent="0.2">
      <c r="A2502" s="3" t="str">
        <f>"ENSG00000171044.10"</f>
        <v>ENSG00000171044.10</v>
      </c>
      <c r="B2502" s="3">
        <v>9.4696626550550995</v>
      </c>
      <c r="C2502" s="3">
        <v>6.6398874426185301</v>
      </c>
      <c r="D2502" s="3">
        <v>1.77857742695178</v>
      </c>
      <c r="E2502" s="3">
        <v>3.7332574573367299</v>
      </c>
      <c r="F2502" s="3">
        <v>1.8901920777412E-4</v>
      </c>
      <c r="G2502" s="3">
        <v>1.0132217891444899E-3</v>
      </c>
      <c r="H2502" s="3" t="str">
        <f>"XKR6"</f>
        <v>XKR6</v>
      </c>
      <c r="I2502" s="3" t="str">
        <f>"protein_coding"</f>
        <v>protein_coding</v>
      </c>
    </row>
    <row r="2503" spans="1:9" x14ac:dyDescent="0.2">
      <c r="A2503" s="3" t="str">
        <f>"ENSG00000255310.2"</f>
        <v>ENSG00000255310.2</v>
      </c>
      <c r="B2503" s="3">
        <v>7.5974729869281301</v>
      </c>
      <c r="C2503" s="3">
        <v>6.3217104747599198</v>
      </c>
      <c r="D2503" s="3">
        <v>1.8511442131981699</v>
      </c>
      <c r="E2503" s="3">
        <v>3.4150286237494698</v>
      </c>
      <c r="F2503" s="3">
        <v>6.3775309221655895E-4</v>
      </c>
      <c r="G2503" s="3">
        <v>2.97091101104882E-3</v>
      </c>
      <c r="H2503" s="3" t="str">
        <f>"AF131215.5"</f>
        <v>AF131215.5</v>
      </c>
      <c r="I2503" s="3" t="str">
        <f>"sense_intronic"</f>
        <v>sense_intronic</v>
      </c>
    </row>
    <row r="2504" spans="1:9" x14ac:dyDescent="0.2">
      <c r="A2504" s="3" t="str">
        <f>"ENSG00000136574.17"</f>
        <v>ENSG00000136574.17</v>
      </c>
      <c r="B2504" s="3">
        <v>1332.34301318391</v>
      </c>
      <c r="C2504" s="3">
        <v>-1.5350518048762301</v>
      </c>
      <c r="D2504" s="3">
        <v>0.222645241277589</v>
      </c>
      <c r="E2504" s="3">
        <v>-6.89460864318389</v>
      </c>
      <c r="F2504" s="4">
        <v>5.4013292980497298E-12</v>
      </c>
      <c r="G2504" s="4">
        <v>9.7787388294990595E-11</v>
      </c>
      <c r="H2504" s="3" t="str">
        <f>"GATA4"</f>
        <v>GATA4</v>
      </c>
      <c r="I2504" s="3" t="str">
        <f>"protein_coding"</f>
        <v>protein_coding</v>
      </c>
    </row>
    <row r="2505" spans="1:9" x14ac:dyDescent="0.2">
      <c r="A2505" s="3" t="str">
        <f>"ENSG00000255394.4"</f>
        <v>ENSG00000255394.4</v>
      </c>
      <c r="B2505" s="3">
        <v>60.9931777264418</v>
      </c>
      <c r="C2505" s="3">
        <v>-1.70084693154932</v>
      </c>
      <c r="D2505" s="3">
        <v>0.46713097920354901</v>
      </c>
      <c r="E2505" s="3">
        <v>-3.6410493143683902</v>
      </c>
      <c r="F2505" s="3">
        <v>2.7152911534876202E-4</v>
      </c>
      <c r="G2505" s="3">
        <v>1.3940745818556101E-3</v>
      </c>
      <c r="H2505" s="3" t="str">
        <f>"C8orf49"</f>
        <v>C8orf49</v>
      </c>
      <c r="I2505" s="3" t="str">
        <f>"lincRNA"</f>
        <v>lincRNA</v>
      </c>
    </row>
    <row r="2506" spans="1:9" x14ac:dyDescent="0.2">
      <c r="A2506" s="3" t="str">
        <f>"ENSG00000154328.16"</f>
        <v>ENSG00000154328.16</v>
      </c>
      <c r="B2506" s="3">
        <v>418.95789599501001</v>
      </c>
      <c r="C2506" s="3">
        <v>-1.1724112678551899</v>
      </c>
      <c r="D2506" s="3">
        <v>0.25576418386056099</v>
      </c>
      <c r="E2506" s="3">
        <v>-4.5839540554840497</v>
      </c>
      <c r="F2506" s="4">
        <v>4.5626453311928901E-6</v>
      </c>
      <c r="G2506" s="4">
        <v>3.4764652499723897E-5</v>
      </c>
      <c r="H2506" s="3" t="str">
        <f>"NEIL2"</f>
        <v>NEIL2</v>
      </c>
      <c r="I2506" s="3" t="str">
        <f>"protein_coding"</f>
        <v>protein_coding</v>
      </c>
    </row>
    <row r="2507" spans="1:9" x14ac:dyDescent="0.2">
      <c r="A2507" s="3" t="str">
        <f>"ENSG00000205879.5"</f>
        <v>ENSG00000205879.5</v>
      </c>
      <c r="B2507" s="3">
        <v>6.0936759476143596</v>
      </c>
      <c r="C2507" s="3">
        <v>6.0052274683767202</v>
      </c>
      <c r="D2507" s="3">
        <v>1.9413763682855201</v>
      </c>
      <c r="E2507" s="3">
        <v>3.09328349024877</v>
      </c>
      <c r="F2507" s="3">
        <v>1.9795493731592298E-3</v>
      </c>
      <c r="G2507" s="3">
        <v>7.9823563372013705E-3</v>
      </c>
      <c r="H2507" s="3" t="str">
        <f>"FAM90A2P"</f>
        <v>FAM90A2P</v>
      </c>
      <c r="I2507" s="3" t="str">
        <f>"unprocessed_pseudogene"</f>
        <v>unprocessed_pseudogene</v>
      </c>
    </row>
    <row r="2508" spans="1:9" x14ac:dyDescent="0.2">
      <c r="A2508" s="3" t="str">
        <f>"ENSG00000251402.3"</f>
        <v>ENSG00000251402.3</v>
      </c>
      <c r="B2508" s="3">
        <v>8.1442182483646697</v>
      </c>
      <c r="C2508" s="3">
        <v>4.9349959620993404</v>
      </c>
      <c r="D2508" s="3">
        <v>1.80722281131412</v>
      </c>
      <c r="E2508" s="3">
        <v>2.7307069893118898</v>
      </c>
      <c r="F2508" s="3">
        <v>6.3198632636851599E-3</v>
      </c>
      <c r="G2508" s="3">
        <v>2.1627394416682901E-2</v>
      </c>
      <c r="H2508" s="3" t="str">
        <f>"FAM90A25P"</f>
        <v>FAM90A25P</v>
      </c>
      <c r="I2508" s="3" t="str">
        <f>"unprocessed_pseudogene"</f>
        <v>unprocessed_pseudogene</v>
      </c>
    </row>
    <row r="2509" spans="1:9" x14ac:dyDescent="0.2">
      <c r="A2509" s="3" t="str">
        <f>"ENSG00000283674.2"</f>
        <v>ENSG00000283674.2</v>
      </c>
      <c r="B2509" s="3">
        <v>87.292243624526094</v>
      </c>
      <c r="C2509" s="3">
        <v>2.4642880893641799</v>
      </c>
      <c r="D2509" s="3">
        <v>0.426626117695936</v>
      </c>
      <c r="E2509" s="3">
        <v>5.7762241624422002</v>
      </c>
      <c r="F2509" s="4">
        <v>7.6395580339667398E-9</v>
      </c>
      <c r="G2509" s="4">
        <v>9.2349173802791299E-8</v>
      </c>
      <c r="H2509" s="3" t="str">
        <f>"AC068587.4"</f>
        <v>AC068587.4</v>
      </c>
      <c r="I2509" s="3" t="str">
        <f>"processed_transcript"</f>
        <v>processed_transcript</v>
      </c>
    </row>
    <row r="2510" spans="1:9" x14ac:dyDescent="0.2">
      <c r="A2510" s="3" t="str">
        <f>"ENSG00000250305.9"</f>
        <v>ENSG00000250305.9</v>
      </c>
      <c r="B2510" s="3">
        <v>9.7263351790751909</v>
      </c>
      <c r="C2510" s="3">
        <v>6.6781971111289398</v>
      </c>
      <c r="D2510" s="3">
        <v>1.7705594020051501</v>
      </c>
      <c r="E2510" s="3">
        <v>3.7718006543953999</v>
      </c>
      <c r="F2510" s="3">
        <v>1.6207371820538299E-4</v>
      </c>
      <c r="G2510" s="3">
        <v>8.8408860859701198E-4</v>
      </c>
      <c r="H2510" s="3" t="str">
        <f>"TRMT9B"</f>
        <v>TRMT9B</v>
      </c>
      <c r="I2510" s="3" t="str">
        <f>"protein_coding"</f>
        <v>protein_coding</v>
      </c>
    </row>
    <row r="2511" spans="1:9" x14ac:dyDescent="0.2">
      <c r="A2511" s="3" t="str">
        <f>"ENSG00000003987.14"</f>
        <v>ENSG00000003987.14</v>
      </c>
      <c r="B2511" s="3">
        <v>26.382996405655199</v>
      </c>
      <c r="C2511" s="3">
        <v>6.66092684526184</v>
      </c>
      <c r="D2511" s="3">
        <v>1.5710511890374601</v>
      </c>
      <c r="E2511" s="3">
        <v>4.2397898246350696</v>
      </c>
      <c r="F2511" s="4">
        <v>2.2372916372938901E-5</v>
      </c>
      <c r="G2511" s="3">
        <v>1.4717403486563601E-4</v>
      </c>
      <c r="H2511" s="3" t="str">
        <f>"MTMR7"</f>
        <v>MTMR7</v>
      </c>
      <c r="I2511" s="3" t="str">
        <f>"protein_coding"</f>
        <v>protein_coding</v>
      </c>
    </row>
    <row r="2512" spans="1:9" x14ac:dyDescent="0.2">
      <c r="A2512" s="3" t="str">
        <f>"ENSG00000253671.2"</f>
        <v>ENSG00000253671.2</v>
      </c>
      <c r="B2512" s="3">
        <v>130.26202613546701</v>
      </c>
      <c r="C2512" s="3">
        <v>2.79069235583118</v>
      </c>
      <c r="D2512" s="3">
        <v>0.44293531785986301</v>
      </c>
      <c r="E2512" s="3">
        <v>6.3004512020287899</v>
      </c>
      <c r="F2512" s="4">
        <v>2.96780437428055E-10</v>
      </c>
      <c r="G2512" s="4">
        <v>4.3081388271721999E-9</v>
      </c>
      <c r="H2512" s="3" t="str">
        <f>"AC027117.1"</f>
        <v>AC027117.1</v>
      </c>
      <c r="I2512" s="3" t="str">
        <f>"processed_transcript"</f>
        <v>processed_transcript</v>
      </c>
    </row>
    <row r="2513" spans="1:9" x14ac:dyDescent="0.2">
      <c r="A2513" s="3" t="str">
        <f>"ENSG00000253557.5"</f>
        <v>ENSG00000253557.5</v>
      </c>
      <c r="B2513" s="3">
        <v>4.36643869871435</v>
      </c>
      <c r="C2513" s="3">
        <v>5.51984028109222</v>
      </c>
      <c r="D2513" s="3">
        <v>2.1118253273681198</v>
      </c>
      <c r="E2513" s="3">
        <v>2.6137769111668798</v>
      </c>
      <c r="F2513" s="3">
        <v>8.9547485688279607E-3</v>
      </c>
      <c r="G2513" s="3">
        <v>2.9049890969741098E-2</v>
      </c>
      <c r="H2513" s="3" t="str">
        <f>"AC100849.1"</f>
        <v>AC100849.1</v>
      </c>
      <c r="I2513" s="3" t="str">
        <f>"lincRNA"</f>
        <v>lincRNA</v>
      </c>
    </row>
    <row r="2514" spans="1:9" x14ac:dyDescent="0.2">
      <c r="A2514" s="3" t="str">
        <f>"ENSG00000104611.12"</f>
        <v>ENSG00000104611.12</v>
      </c>
      <c r="B2514" s="3">
        <v>546.90079670958096</v>
      </c>
      <c r="C2514" s="3">
        <v>-2.0764197866270901</v>
      </c>
      <c r="D2514" s="3">
        <v>0.22231281126574101</v>
      </c>
      <c r="E2514" s="3">
        <v>-9.3400815490792404</v>
      </c>
      <c r="F2514" s="4">
        <v>9.6259948910760594E-21</v>
      </c>
      <c r="G2514" s="4">
        <v>4.0103896452163498E-19</v>
      </c>
      <c r="H2514" s="3" t="str">
        <f>"SH2D4A"</f>
        <v>SH2D4A</v>
      </c>
      <c r="I2514" s="3" t="str">
        <f>"protein_coding"</f>
        <v>protein_coding</v>
      </c>
    </row>
    <row r="2515" spans="1:9" x14ac:dyDescent="0.2">
      <c r="A2515" s="3" t="str">
        <f>"ENSG00000147408.14"</f>
        <v>ENSG00000147408.14</v>
      </c>
      <c r="B2515" s="3">
        <v>1009.24219814422</v>
      </c>
      <c r="C2515" s="3">
        <v>1.11294143148737</v>
      </c>
      <c r="D2515" s="3">
        <v>0.215107331104126</v>
      </c>
      <c r="E2515" s="3">
        <v>5.1738888943242598</v>
      </c>
      <c r="F2515" s="4">
        <v>2.2927119012416801E-7</v>
      </c>
      <c r="G2515" s="4">
        <v>2.19191302361867E-6</v>
      </c>
      <c r="H2515" s="3" t="str">
        <f>"CSGALNACT1"</f>
        <v>CSGALNACT1</v>
      </c>
      <c r="I2515" s="3" t="str">
        <f>"protein_coding"</f>
        <v>protein_coding</v>
      </c>
    </row>
    <row r="2516" spans="1:9" x14ac:dyDescent="0.2">
      <c r="A2516" s="3" t="str">
        <f>"ENSG00000275074.2"</f>
        <v>ENSG00000275074.2</v>
      </c>
      <c r="B2516" s="3">
        <v>168.892811563235</v>
      </c>
      <c r="C2516" s="3">
        <v>1.44081573111757</v>
      </c>
      <c r="D2516" s="3">
        <v>0.329363363021623</v>
      </c>
      <c r="E2516" s="3">
        <v>4.3745476664414999</v>
      </c>
      <c r="F2516" s="4">
        <v>1.2168453289373199E-5</v>
      </c>
      <c r="G2516" s="4">
        <v>8.4834793852586499E-5</v>
      </c>
      <c r="H2516" s="3" t="str">
        <f>"NUDT18"</f>
        <v>NUDT18</v>
      </c>
      <c r="I2516" s="3" t="str">
        <f>"protein_coding"</f>
        <v>protein_coding</v>
      </c>
    </row>
    <row r="2517" spans="1:9" x14ac:dyDescent="0.2">
      <c r="A2517" s="3" t="str">
        <f>"ENSG00000168487.19"</f>
        <v>ENSG00000168487.19</v>
      </c>
      <c r="B2517" s="3">
        <v>1324.1897522864599</v>
      </c>
      <c r="C2517" s="3">
        <v>1.5793518445063099</v>
      </c>
      <c r="D2517" s="3">
        <v>0.221736791541296</v>
      </c>
      <c r="E2517" s="3">
        <v>7.1226422711730004</v>
      </c>
      <c r="F2517" s="4">
        <v>1.05877369235324E-12</v>
      </c>
      <c r="G2517" s="4">
        <v>2.0904642605470098E-11</v>
      </c>
      <c r="H2517" s="3" t="str">
        <f>"BMP1"</f>
        <v>BMP1</v>
      </c>
      <c r="I2517" s="3" t="str">
        <f>"protein_coding"</f>
        <v>protein_coding</v>
      </c>
    </row>
    <row r="2518" spans="1:9" x14ac:dyDescent="0.2">
      <c r="A2518" s="3" t="str">
        <f>"ENSG00000177725.5"</f>
        <v>ENSG00000177725.5</v>
      </c>
      <c r="B2518" s="3">
        <v>34.8306271057508</v>
      </c>
      <c r="C2518" s="3">
        <v>1.8104952028190899</v>
      </c>
      <c r="D2518" s="3">
        <v>0.61759848302980502</v>
      </c>
      <c r="E2518" s="3">
        <v>2.9315085003725998</v>
      </c>
      <c r="F2518" s="3">
        <v>3.3732013466670598E-3</v>
      </c>
      <c r="G2518" s="3">
        <v>1.26649603269447E-2</v>
      </c>
      <c r="H2518" s="3" t="str">
        <f>"AC105206.1"</f>
        <v>AC105206.1</v>
      </c>
      <c r="I2518" s="3" t="str">
        <f>"sense_overlapping"</f>
        <v>sense_overlapping</v>
      </c>
    </row>
    <row r="2519" spans="1:9" x14ac:dyDescent="0.2">
      <c r="A2519" s="3" t="str">
        <f>"ENSG00000168490.14"</f>
        <v>ENSG00000168490.14</v>
      </c>
      <c r="B2519" s="3">
        <v>29.0074717646058</v>
      </c>
      <c r="C2519" s="3">
        <v>2.5926531508251101</v>
      </c>
      <c r="D2519" s="3">
        <v>0.68837050829899205</v>
      </c>
      <c r="E2519" s="3">
        <v>3.7663629100434899</v>
      </c>
      <c r="F2519" s="3">
        <v>1.65642969276439E-4</v>
      </c>
      <c r="G2519" s="3">
        <v>9.0103293748755001E-4</v>
      </c>
      <c r="H2519" s="3" t="str">
        <f>"PHYHIP"</f>
        <v>PHYHIP</v>
      </c>
      <c r="I2519" s="3" t="str">
        <f t="shared" ref="I2519:I2524" si="121">"protein_coding"</f>
        <v>protein_coding</v>
      </c>
    </row>
    <row r="2520" spans="1:9" x14ac:dyDescent="0.2">
      <c r="A2520" s="3" t="str">
        <f>"ENSG00000104635.14"</f>
        <v>ENSG00000104635.14</v>
      </c>
      <c r="B2520" s="3">
        <v>15364.065274348201</v>
      </c>
      <c r="C2520" s="3">
        <v>-2.4584497830278198</v>
      </c>
      <c r="D2520" s="3">
        <v>0.19326926278001999</v>
      </c>
      <c r="E2520" s="3">
        <v>-12.720335078972401</v>
      </c>
      <c r="F2520" s="4">
        <v>4.5590096589250704E-37</v>
      </c>
      <c r="G2520" s="4">
        <v>5.5208593856325105E-35</v>
      </c>
      <c r="H2520" s="3" t="str">
        <f>"SLC39A14"</f>
        <v>SLC39A14</v>
      </c>
      <c r="I2520" s="3" t="str">
        <f t="shared" si="121"/>
        <v>protein_coding</v>
      </c>
    </row>
    <row r="2521" spans="1:9" x14ac:dyDescent="0.2">
      <c r="A2521" s="3" t="str">
        <f>"ENSG00000120910.14"</f>
        <v>ENSG00000120910.14</v>
      </c>
      <c r="B2521" s="3">
        <v>307.06504987738799</v>
      </c>
      <c r="C2521" s="3">
        <v>-1.0268825417501499</v>
      </c>
      <c r="D2521" s="3">
        <v>0.26729632977900702</v>
      </c>
      <c r="E2521" s="3">
        <v>-3.8417382782589802</v>
      </c>
      <c r="F2521" s="3">
        <v>1.22166061677428E-4</v>
      </c>
      <c r="G2521" s="3">
        <v>6.8646291658587197E-4</v>
      </c>
      <c r="H2521" s="3" t="str">
        <f>"PPP3CC"</f>
        <v>PPP3CC</v>
      </c>
      <c r="I2521" s="3" t="str">
        <f t="shared" si="121"/>
        <v>protein_coding</v>
      </c>
    </row>
    <row r="2522" spans="1:9" x14ac:dyDescent="0.2">
      <c r="A2522" s="3" t="str">
        <f>"ENSG00000120896.13"</f>
        <v>ENSG00000120896.13</v>
      </c>
      <c r="B2522" s="3">
        <v>1822.24059460177</v>
      </c>
      <c r="C2522" s="3">
        <v>-1.7074353944015199</v>
      </c>
      <c r="D2522" s="3">
        <v>0.21593417767695999</v>
      </c>
      <c r="E2522" s="3">
        <v>-7.9072030781336604</v>
      </c>
      <c r="F2522" s="4">
        <v>2.6323602124622798E-15</v>
      </c>
      <c r="G2522" s="4">
        <v>6.7727968563701302E-14</v>
      </c>
      <c r="H2522" s="3" t="str">
        <f>"SORBS3"</f>
        <v>SORBS3</v>
      </c>
      <c r="I2522" s="3" t="str">
        <f t="shared" si="121"/>
        <v>protein_coding</v>
      </c>
    </row>
    <row r="2523" spans="1:9" x14ac:dyDescent="0.2">
      <c r="A2523" s="3" t="str">
        <f>"ENSG00000120913.23"</f>
        <v>ENSG00000120913.23</v>
      </c>
      <c r="B2523" s="3">
        <v>261.492583530454</v>
      </c>
      <c r="C2523" s="3">
        <v>-2.0145253641878802</v>
      </c>
      <c r="D2523" s="3">
        <v>0.26891340358723798</v>
      </c>
      <c r="E2523" s="3">
        <v>-7.4913534889470403</v>
      </c>
      <c r="F2523" s="4">
        <v>6.8166949552597495E-14</v>
      </c>
      <c r="G2523" s="4">
        <v>1.5388109978953001E-12</v>
      </c>
      <c r="H2523" s="3" t="str">
        <f>"PDLIM2"</f>
        <v>PDLIM2</v>
      </c>
      <c r="I2523" s="3" t="str">
        <f t="shared" si="121"/>
        <v>protein_coding</v>
      </c>
    </row>
    <row r="2524" spans="1:9" x14ac:dyDescent="0.2">
      <c r="A2524" s="3" t="str">
        <f>"ENSG00000241852.10"</f>
        <v>ENSG00000241852.10</v>
      </c>
      <c r="B2524" s="3">
        <v>54.827186787840198</v>
      </c>
      <c r="C2524" s="3">
        <v>-2.46691343319837</v>
      </c>
      <c r="D2524" s="3">
        <v>0.52447036271498404</v>
      </c>
      <c r="E2524" s="3">
        <v>-4.7036279045932998</v>
      </c>
      <c r="F2524" s="4">
        <v>2.5557885788755001E-6</v>
      </c>
      <c r="G2524" s="4">
        <v>2.0320271785416101E-5</v>
      </c>
      <c r="H2524" s="3" t="str">
        <f>"C8orf58"</f>
        <v>C8orf58</v>
      </c>
      <c r="I2524" s="3" t="str">
        <f t="shared" si="121"/>
        <v>protein_coding</v>
      </c>
    </row>
    <row r="2525" spans="1:9" x14ac:dyDescent="0.2">
      <c r="A2525" s="3" t="str">
        <f>"ENSG00000253125.1"</f>
        <v>ENSG00000253125.1</v>
      </c>
      <c r="B2525" s="3">
        <v>22.544807176793</v>
      </c>
      <c r="C2525" s="3">
        <v>5.4179931284513696</v>
      </c>
      <c r="D2525" s="3">
        <v>1.2354845269202499</v>
      </c>
      <c r="E2525" s="3">
        <v>4.3853184806426002</v>
      </c>
      <c r="F2525" s="4">
        <v>1.15816202655296E-5</v>
      </c>
      <c r="G2525" s="4">
        <v>8.1101107009736299E-5</v>
      </c>
      <c r="H2525" s="3" t="str">
        <f>"AC055854.1"</f>
        <v>AC055854.1</v>
      </c>
      <c r="I2525" s="3" t="str">
        <f>"processed_transcript"</f>
        <v>processed_transcript</v>
      </c>
    </row>
    <row r="2526" spans="1:9" x14ac:dyDescent="0.2">
      <c r="A2526" s="3" t="str">
        <f>"ENSG00000120889.13"</f>
        <v>ENSG00000120889.13</v>
      </c>
      <c r="B2526" s="3">
        <v>14997.2822295237</v>
      </c>
      <c r="C2526" s="3">
        <v>1.2355742381930099</v>
      </c>
      <c r="D2526" s="3">
        <v>0.18257549540043699</v>
      </c>
      <c r="E2526" s="3">
        <v>6.7674702756964598</v>
      </c>
      <c r="F2526" s="4">
        <v>1.31053563576437E-11</v>
      </c>
      <c r="G2526" s="4">
        <v>2.2744053801064799E-10</v>
      </c>
      <c r="H2526" s="3" t="str">
        <f>"TNFRSF10B"</f>
        <v>TNFRSF10B</v>
      </c>
      <c r="I2526" s="3" t="str">
        <f>"protein_coding"</f>
        <v>protein_coding</v>
      </c>
    </row>
    <row r="2527" spans="1:9" x14ac:dyDescent="0.2">
      <c r="A2527" s="3" t="str">
        <f>"ENSG00000246130.1"</f>
        <v>ENSG00000246130.1</v>
      </c>
      <c r="B2527" s="3">
        <v>4.1460042795009997</v>
      </c>
      <c r="C2527" s="3">
        <v>5.4444419213328796</v>
      </c>
      <c r="D2527" s="3">
        <v>2.1466105364649501</v>
      </c>
      <c r="E2527" s="3">
        <v>2.5362970267996601</v>
      </c>
      <c r="F2527" s="3">
        <v>1.1203166618934E-2</v>
      </c>
      <c r="G2527" s="3">
        <v>3.5022106570226502E-2</v>
      </c>
      <c r="H2527" s="3" t="str">
        <f>"AC107959.2"</f>
        <v>AC107959.2</v>
      </c>
      <c r="I2527" s="3" t="str">
        <f>"antisense"</f>
        <v>antisense</v>
      </c>
    </row>
    <row r="2528" spans="1:9" x14ac:dyDescent="0.2">
      <c r="A2528" s="3" t="str">
        <f>"ENSG00000253616.5"</f>
        <v>ENSG00000253616.5</v>
      </c>
      <c r="B2528" s="3">
        <v>31.8771482089622</v>
      </c>
      <c r="C2528" s="3">
        <v>-2.0826215824504399</v>
      </c>
      <c r="D2528" s="3">
        <v>0.63822172012307898</v>
      </c>
      <c r="E2528" s="3">
        <v>-3.2631631246407702</v>
      </c>
      <c r="F2528" s="3">
        <v>1.1017608315549399E-3</v>
      </c>
      <c r="G2528" s="3">
        <v>4.7970082098717599E-3</v>
      </c>
      <c r="H2528" s="3" t="str">
        <f>"AC107959.3"</f>
        <v>AC107959.3</v>
      </c>
      <c r="I2528" s="3" t="str">
        <f>"antisense"</f>
        <v>antisense</v>
      </c>
    </row>
    <row r="2529" spans="1:9" x14ac:dyDescent="0.2">
      <c r="A2529" s="3" t="str">
        <f>"ENSG00000104689.9"</f>
        <v>ENSG00000104689.9</v>
      </c>
      <c r="B2529" s="3">
        <v>1332.39822721274</v>
      </c>
      <c r="C2529" s="3">
        <v>1.78985596109246</v>
      </c>
      <c r="D2529" s="3">
        <v>0.19336179575025</v>
      </c>
      <c r="E2529" s="3">
        <v>9.2565129225644398</v>
      </c>
      <c r="F2529" s="4">
        <v>2.1121763030849401E-20</v>
      </c>
      <c r="G2529" s="4">
        <v>8.5008076410864803E-19</v>
      </c>
      <c r="H2529" s="3" t="str">
        <f>"TNFRSF10A"</f>
        <v>TNFRSF10A</v>
      </c>
      <c r="I2529" s="3" t="str">
        <f>"protein_coding"</f>
        <v>protein_coding</v>
      </c>
    </row>
    <row r="2530" spans="1:9" x14ac:dyDescent="0.2">
      <c r="A2530" s="3" t="str">
        <f>"ENSG00000134013.15"</f>
        <v>ENSG00000134013.15</v>
      </c>
      <c r="B2530" s="3">
        <v>61.641925221124197</v>
      </c>
      <c r="C2530" s="3">
        <v>-1.4182895753267999</v>
      </c>
      <c r="D2530" s="3">
        <v>0.52173066792770095</v>
      </c>
      <c r="E2530" s="3">
        <v>-2.7184324451545199</v>
      </c>
      <c r="F2530" s="3">
        <v>6.5592048383011298E-3</v>
      </c>
      <c r="G2530" s="3">
        <v>2.2309156688202599E-2</v>
      </c>
      <c r="H2530" s="3" t="str">
        <f>"LOXL2"</f>
        <v>LOXL2</v>
      </c>
      <c r="I2530" s="3" t="str">
        <f>"protein_coding"</f>
        <v>protein_coding</v>
      </c>
    </row>
    <row r="2531" spans="1:9" x14ac:dyDescent="0.2">
      <c r="A2531" s="3" t="str">
        <f>"ENSG00000147454.14"</f>
        <v>ENSG00000147454.14</v>
      </c>
      <c r="B2531" s="3">
        <v>912.51175185293903</v>
      </c>
      <c r="C2531" s="3">
        <v>-1.17256348948428</v>
      </c>
      <c r="D2531" s="3">
        <v>0.203106567815104</v>
      </c>
      <c r="E2531" s="3">
        <v>-5.7731441287103298</v>
      </c>
      <c r="F2531" s="4">
        <v>7.7805833370081498E-9</v>
      </c>
      <c r="G2531" s="4">
        <v>9.3970547067136995E-8</v>
      </c>
      <c r="H2531" s="3" t="str">
        <f>"SLC25A37"</f>
        <v>SLC25A37</v>
      </c>
      <c r="I2531" s="3" t="str">
        <f>"protein_coding"</f>
        <v>protein_coding</v>
      </c>
    </row>
    <row r="2532" spans="1:9" x14ac:dyDescent="0.2">
      <c r="A2532" s="3" t="str">
        <f>"ENSG00000042980.12"</f>
        <v>ENSG00000042980.12</v>
      </c>
      <c r="B2532" s="3">
        <v>11.815953476042599</v>
      </c>
      <c r="C2532" s="3">
        <v>6.9568545049456096</v>
      </c>
      <c r="D2532" s="3">
        <v>1.72424960904518</v>
      </c>
      <c r="E2532" s="3">
        <v>4.0347142713275996</v>
      </c>
      <c r="F2532" s="4">
        <v>5.4668782194269702E-5</v>
      </c>
      <c r="G2532" s="3">
        <v>3.3175062548936903E-4</v>
      </c>
      <c r="H2532" s="3" t="str">
        <f>"ADAM28"</f>
        <v>ADAM28</v>
      </c>
      <c r="I2532" s="3" t="str">
        <f>"protein_coding"</f>
        <v>protein_coding</v>
      </c>
    </row>
    <row r="2533" spans="1:9" x14ac:dyDescent="0.2">
      <c r="A2533" s="3" t="str">
        <f>"ENSG00000221818.9"</f>
        <v>ENSG00000221818.9</v>
      </c>
      <c r="B2533" s="3">
        <v>6.3835807860682898</v>
      </c>
      <c r="C2533" s="3">
        <v>6.0663805584349602</v>
      </c>
      <c r="D2533" s="3">
        <v>1.94430333655855</v>
      </c>
      <c r="E2533" s="3">
        <v>3.1200792820592298</v>
      </c>
      <c r="F2533" s="3">
        <v>1.8080236976030901E-3</v>
      </c>
      <c r="G2533" s="3">
        <v>7.3880056521582697E-3</v>
      </c>
      <c r="H2533" s="3" t="str">
        <f>"EBF2"</f>
        <v>EBF2</v>
      </c>
      <c r="I2533" s="3" t="str">
        <f>"protein_coding"</f>
        <v>protein_coding</v>
      </c>
    </row>
    <row r="2534" spans="1:9" x14ac:dyDescent="0.2">
      <c r="A2534" s="3" t="str">
        <f>"ENSG00000228451.4"</f>
        <v>ENSG00000228451.4</v>
      </c>
      <c r="B2534" s="3">
        <v>75.469124138971395</v>
      </c>
      <c r="C2534" s="3">
        <v>1.5354147612251701</v>
      </c>
      <c r="D2534" s="3">
        <v>0.42026263788676499</v>
      </c>
      <c r="E2534" s="3">
        <v>3.6534648165390098</v>
      </c>
      <c r="F2534" s="3">
        <v>2.5872525448203301E-4</v>
      </c>
      <c r="G2534" s="3">
        <v>1.3348772976466501E-3</v>
      </c>
      <c r="H2534" s="3" t="str">
        <f>"SDAD1P1"</f>
        <v>SDAD1P1</v>
      </c>
      <c r="I2534" s="3" t="str">
        <f>"transcribed_processed_pseudogene"</f>
        <v>transcribed_processed_pseudogene</v>
      </c>
    </row>
    <row r="2535" spans="1:9" x14ac:dyDescent="0.2">
      <c r="A2535" s="3" t="str">
        <f>"ENSG00000092964.18"</f>
        <v>ENSG00000092964.18</v>
      </c>
      <c r="B2535" s="3">
        <v>4210.7948552990301</v>
      </c>
      <c r="C2535" s="3">
        <v>-2.4478830026789402</v>
      </c>
      <c r="D2535" s="3">
        <v>0.19082750023994399</v>
      </c>
      <c r="E2535" s="3">
        <v>-12.827726609639599</v>
      </c>
      <c r="F2535" s="4">
        <v>1.14680022262573E-37</v>
      </c>
      <c r="G2535" s="4">
        <v>1.4012047383804199E-35</v>
      </c>
      <c r="H2535" s="3" t="str">
        <f>"DPYSL2"</f>
        <v>DPYSL2</v>
      </c>
      <c r="I2535" s="3" t="str">
        <f t="shared" ref="I2535:I2545" si="122">"protein_coding"</f>
        <v>protein_coding</v>
      </c>
    </row>
    <row r="2536" spans="1:9" x14ac:dyDescent="0.2">
      <c r="A2536" s="3" t="str">
        <f>"ENSG00000120899.18"</f>
        <v>ENSG00000120899.18</v>
      </c>
      <c r="B2536" s="3">
        <v>408.20738073475798</v>
      </c>
      <c r="C2536" s="3">
        <v>2.4335412843725699</v>
      </c>
      <c r="D2536" s="3">
        <v>0.250779636073867</v>
      </c>
      <c r="E2536" s="3">
        <v>9.7039030858780304</v>
      </c>
      <c r="F2536" s="4">
        <v>2.90180679551686E-22</v>
      </c>
      <c r="G2536" s="4">
        <v>1.33106952453616E-20</v>
      </c>
      <c r="H2536" s="3" t="str">
        <f>"PTK2B"</f>
        <v>PTK2B</v>
      </c>
      <c r="I2536" s="3" t="str">
        <f t="shared" si="122"/>
        <v>protein_coding</v>
      </c>
    </row>
    <row r="2537" spans="1:9" x14ac:dyDescent="0.2">
      <c r="A2537" s="3" t="str">
        <f>"ENSG00000120903.13"</f>
        <v>ENSG00000120903.13</v>
      </c>
      <c r="B2537" s="3">
        <v>6.1299140524210998</v>
      </c>
      <c r="C2537" s="3">
        <v>6.0129926677642098</v>
      </c>
      <c r="D2537" s="3">
        <v>1.93646501795776</v>
      </c>
      <c r="E2537" s="3">
        <v>3.1051388029233098</v>
      </c>
      <c r="F2537" s="3">
        <v>1.9018975097317601E-3</v>
      </c>
      <c r="G2537" s="3">
        <v>7.7114585487591302E-3</v>
      </c>
      <c r="H2537" s="3" t="str">
        <f>"CHRNA2"</f>
        <v>CHRNA2</v>
      </c>
      <c r="I2537" s="3" t="str">
        <f t="shared" si="122"/>
        <v>protein_coding</v>
      </c>
    </row>
    <row r="2538" spans="1:9" x14ac:dyDescent="0.2">
      <c r="A2538" s="3" t="str">
        <f>"ENSG00000120915.13"</f>
        <v>ENSG00000120915.13</v>
      </c>
      <c r="B2538" s="3">
        <v>527.93731028538605</v>
      </c>
      <c r="C2538" s="3">
        <v>-1.50937396472053</v>
      </c>
      <c r="D2538" s="3">
        <v>0.22098841483112799</v>
      </c>
      <c r="E2538" s="3">
        <v>-6.8301044915587203</v>
      </c>
      <c r="F2538" s="4">
        <v>8.4852804519404597E-12</v>
      </c>
      <c r="G2538" s="4">
        <v>1.50617873924444E-10</v>
      </c>
      <c r="H2538" s="3" t="str">
        <f>"EPHX2"</f>
        <v>EPHX2</v>
      </c>
      <c r="I2538" s="3" t="str">
        <f t="shared" si="122"/>
        <v>protein_coding</v>
      </c>
    </row>
    <row r="2539" spans="1:9" x14ac:dyDescent="0.2">
      <c r="A2539" s="3" t="str">
        <f>"ENSG00000120885.21"</f>
        <v>ENSG00000120885.21</v>
      </c>
      <c r="B2539" s="3">
        <v>4257.6981461097603</v>
      </c>
      <c r="C2539" s="3">
        <v>-1.67946275464676</v>
      </c>
      <c r="D2539" s="3">
        <v>0.242501076173609</v>
      </c>
      <c r="E2539" s="3">
        <v>-6.9255888722094303</v>
      </c>
      <c r="F2539" s="4">
        <v>4.3416566457996499E-12</v>
      </c>
      <c r="G2539" s="4">
        <v>7.9500751766198206E-11</v>
      </c>
      <c r="H2539" s="3" t="str">
        <f>"CLU"</f>
        <v>CLU</v>
      </c>
      <c r="I2539" s="3" t="str">
        <f t="shared" si="122"/>
        <v>protein_coding</v>
      </c>
    </row>
    <row r="2540" spans="1:9" x14ac:dyDescent="0.2">
      <c r="A2540" s="3" t="str">
        <f>"ENSG00000168077.14"</f>
        <v>ENSG00000168077.14</v>
      </c>
      <c r="B2540" s="3">
        <v>65.334568386668195</v>
      </c>
      <c r="C2540" s="3">
        <v>-2.1930100686551102</v>
      </c>
      <c r="D2540" s="3">
        <v>0.494398849952845</v>
      </c>
      <c r="E2540" s="3">
        <v>-4.4357102951681204</v>
      </c>
      <c r="F2540" s="4">
        <v>9.1769195054265608E-6</v>
      </c>
      <c r="G2540" s="4">
        <v>6.5852916977708005E-5</v>
      </c>
      <c r="H2540" s="3" t="str">
        <f>"SCARA3"</f>
        <v>SCARA3</v>
      </c>
      <c r="I2540" s="3" t="str">
        <f t="shared" si="122"/>
        <v>protein_coding</v>
      </c>
    </row>
    <row r="2541" spans="1:9" x14ac:dyDescent="0.2">
      <c r="A2541" s="3" t="str">
        <f>"ENSG00000168078.10"</f>
        <v>ENSG00000168078.10</v>
      </c>
      <c r="B2541" s="3">
        <v>833.94054485597906</v>
      </c>
      <c r="C2541" s="3">
        <v>-1.0534978312964001</v>
      </c>
      <c r="D2541" s="3">
        <v>0.204861674214559</v>
      </c>
      <c r="E2541" s="3">
        <v>-5.1424837531740302</v>
      </c>
      <c r="F2541" s="4">
        <v>2.7112989529999002E-7</v>
      </c>
      <c r="G2541" s="4">
        <v>2.5535693941371699E-6</v>
      </c>
      <c r="H2541" s="3" t="str">
        <f>"PBK"</f>
        <v>PBK</v>
      </c>
      <c r="I2541" s="3" t="str">
        <f t="shared" si="122"/>
        <v>protein_coding</v>
      </c>
    </row>
    <row r="2542" spans="1:9" x14ac:dyDescent="0.2">
      <c r="A2542" s="3" t="str">
        <f>"ENSG00000168079.17"</f>
        <v>ENSG00000168079.17</v>
      </c>
      <c r="B2542" s="3">
        <v>6.2807535223413504</v>
      </c>
      <c r="C2542" s="3">
        <v>4.5372163835240604</v>
      </c>
      <c r="D2542" s="3">
        <v>1.9006003954099899</v>
      </c>
      <c r="E2542" s="3">
        <v>2.3872542563295198</v>
      </c>
      <c r="F2542" s="3">
        <v>1.6974747028427901E-2</v>
      </c>
      <c r="G2542" s="3">
        <v>4.9426143862026602E-2</v>
      </c>
      <c r="H2542" s="3" t="str">
        <f>"SCARA5"</f>
        <v>SCARA5</v>
      </c>
      <c r="I2542" s="3" t="str">
        <f t="shared" si="122"/>
        <v>protein_coding</v>
      </c>
    </row>
    <row r="2543" spans="1:9" x14ac:dyDescent="0.2">
      <c r="A2543" s="3" t="str">
        <f>"ENSG00000189233.12"</f>
        <v>ENSG00000189233.12</v>
      </c>
      <c r="B2543" s="3">
        <v>60.305642912908098</v>
      </c>
      <c r="C2543" s="3">
        <v>-1.591149290238</v>
      </c>
      <c r="D2543" s="3">
        <v>0.46844660349817502</v>
      </c>
      <c r="E2543" s="3">
        <v>-3.3966502870464299</v>
      </c>
      <c r="F2543" s="3">
        <v>6.8216086488951701E-4</v>
      </c>
      <c r="G2543" s="3">
        <v>3.16048921707952E-3</v>
      </c>
      <c r="H2543" s="3" t="str">
        <f>"NUGGC"</f>
        <v>NUGGC</v>
      </c>
      <c r="I2543" s="3" t="str">
        <f t="shared" si="122"/>
        <v>protein_coding</v>
      </c>
    </row>
    <row r="2544" spans="1:9" x14ac:dyDescent="0.2">
      <c r="A2544" s="3" t="str">
        <f>"ENSG00000186918.14"</f>
        <v>ENSG00000186918.14</v>
      </c>
      <c r="B2544" s="3">
        <v>644.058917814756</v>
      </c>
      <c r="C2544" s="3">
        <v>-2.3356379885662899</v>
      </c>
      <c r="D2544" s="3">
        <v>0.22916017669106101</v>
      </c>
      <c r="E2544" s="3">
        <v>-10.1921635001837</v>
      </c>
      <c r="F2544" s="4">
        <v>2.1492699460654601E-24</v>
      </c>
      <c r="G2544" s="4">
        <v>1.1340044483636501E-22</v>
      </c>
      <c r="H2544" s="3" t="str">
        <f>"ZNF395"</f>
        <v>ZNF395</v>
      </c>
      <c r="I2544" s="3" t="str">
        <f t="shared" si="122"/>
        <v>protein_coding</v>
      </c>
    </row>
    <row r="2545" spans="1:9" x14ac:dyDescent="0.2">
      <c r="A2545" s="3" t="str">
        <f>"ENSG00000104290.11"</f>
        <v>ENSG00000104290.11</v>
      </c>
      <c r="B2545" s="3">
        <v>176.79807383902099</v>
      </c>
      <c r="C2545" s="3">
        <v>-1.0613056004324799</v>
      </c>
      <c r="D2545" s="3">
        <v>0.29742957002521803</v>
      </c>
      <c r="E2545" s="3">
        <v>-3.5682585303892198</v>
      </c>
      <c r="F2545" s="3">
        <v>3.5936182866132E-4</v>
      </c>
      <c r="G2545" s="3">
        <v>1.78906116307966E-3</v>
      </c>
      <c r="H2545" s="3" t="str">
        <f>"FZD3"</f>
        <v>FZD3</v>
      </c>
      <c r="I2545" s="3" t="str">
        <f t="shared" si="122"/>
        <v>protein_coding</v>
      </c>
    </row>
    <row r="2546" spans="1:9" x14ac:dyDescent="0.2">
      <c r="A2546" s="3" t="str">
        <f>"ENSG00000246339.5"</f>
        <v>ENSG00000246339.5</v>
      </c>
      <c r="B2546" s="3">
        <v>38.673527371199199</v>
      </c>
      <c r="C2546" s="3">
        <v>2.3927625234296199</v>
      </c>
      <c r="D2546" s="3">
        <v>0.59565987035255397</v>
      </c>
      <c r="E2546" s="3">
        <v>4.0169946684731501</v>
      </c>
      <c r="F2546" s="4">
        <v>5.8945057163541999E-5</v>
      </c>
      <c r="G2546" s="3">
        <v>3.5548383632913401E-4</v>
      </c>
      <c r="H2546" s="3" t="str">
        <f>"EXTL3-AS1"</f>
        <v>EXTL3-AS1</v>
      </c>
      <c r="I2546" s="3" t="str">
        <f>"antisense"</f>
        <v>antisense</v>
      </c>
    </row>
    <row r="2547" spans="1:9" x14ac:dyDescent="0.2">
      <c r="A2547" s="3" t="str">
        <f>"ENSG00000177669.3"</f>
        <v>ENSG00000177669.3</v>
      </c>
      <c r="B2547" s="3">
        <v>153.090549246043</v>
      </c>
      <c r="C2547" s="3">
        <v>1.8871619915724001</v>
      </c>
      <c r="D2547" s="3">
        <v>0.328569507879172</v>
      </c>
      <c r="E2547" s="3">
        <v>5.7435700706177002</v>
      </c>
      <c r="F2547" s="4">
        <v>9.27009771425989E-9</v>
      </c>
      <c r="G2547" s="4">
        <v>1.1039438479914299E-7</v>
      </c>
      <c r="H2547" s="3" t="str">
        <f>"MBOAT4"</f>
        <v>MBOAT4</v>
      </c>
      <c r="I2547" s="3" t="str">
        <f>"protein_coding"</f>
        <v>protein_coding</v>
      </c>
    </row>
    <row r="2548" spans="1:9" x14ac:dyDescent="0.2">
      <c r="A2548" s="3" t="str">
        <f>"ENSG00000285669.1"</f>
        <v>ENSG00000285669.1</v>
      </c>
      <c r="B2548" s="3">
        <v>54.3054488581394</v>
      </c>
      <c r="C2548" s="3">
        <v>1.2940978693152201</v>
      </c>
      <c r="D2548" s="3">
        <v>0.50575405396672901</v>
      </c>
      <c r="E2548" s="3">
        <v>2.5587493746522698</v>
      </c>
      <c r="F2548" s="3">
        <v>1.05049445562359E-2</v>
      </c>
      <c r="G2548" s="3">
        <v>3.3162811299242201E-2</v>
      </c>
      <c r="H2548" s="3" t="str">
        <f>"AC026979.4"</f>
        <v>AC026979.4</v>
      </c>
      <c r="I2548" s="3" t="str">
        <f>"lincRNA"</f>
        <v>lincRNA</v>
      </c>
    </row>
    <row r="2549" spans="1:9" x14ac:dyDescent="0.2">
      <c r="A2549" s="3" t="str">
        <f>"ENSG00000127589.4"</f>
        <v>ENSG00000127589.4</v>
      </c>
      <c r="B2549" s="3">
        <v>173.312522793726</v>
      </c>
      <c r="C2549" s="3">
        <v>-1.8394387866806901</v>
      </c>
      <c r="D2549" s="3">
        <v>0.32468969625769001</v>
      </c>
      <c r="E2549" s="3">
        <v>-5.6652206949641597</v>
      </c>
      <c r="F2549" s="4">
        <v>1.4683542274853599E-8</v>
      </c>
      <c r="G2549" s="4">
        <v>1.70610864120655E-7</v>
      </c>
      <c r="H2549" s="3" t="str">
        <f>"TUBBP1"</f>
        <v>TUBBP1</v>
      </c>
      <c r="I2549" s="3" t="str">
        <f>"transcribed_processed_pseudogene"</f>
        <v>transcribed_processed_pseudogene</v>
      </c>
    </row>
    <row r="2550" spans="1:9" x14ac:dyDescent="0.2">
      <c r="A2550" s="3" t="str">
        <f>"ENSG00000254109.5"</f>
        <v>ENSG00000254109.5</v>
      </c>
      <c r="B2550" s="3">
        <v>149.96243473428299</v>
      </c>
      <c r="C2550" s="3">
        <v>2.6446147375829998</v>
      </c>
      <c r="D2550" s="3">
        <v>0.34334096276968001</v>
      </c>
      <c r="E2550" s="3">
        <v>7.7025902072659402</v>
      </c>
      <c r="F2550" s="4">
        <v>1.33335427234068E-14</v>
      </c>
      <c r="G2550" s="4">
        <v>3.1673848176518201E-13</v>
      </c>
      <c r="H2550" s="3" t="str">
        <f>"RBPMS-AS1"</f>
        <v>RBPMS-AS1</v>
      </c>
      <c r="I2550" s="3" t="str">
        <f>"antisense"</f>
        <v>antisense</v>
      </c>
    </row>
    <row r="2551" spans="1:9" x14ac:dyDescent="0.2">
      <c r="A2551" s="3" t="str">
        <f>"ENSG00000157110.16"</f>
        <v>ENSG00000157110.16</v>
      </c>
      <c r="B2551" s="3">
        <v>2345.4742313348502</v>
      </c>
      <c r="C2551" s="3">
        <v>-1.2574137987665399</v>
      </c>
      <c r="D2551" s="3">
        <v>0.180539784873883</v>
      </c>
      <c r="E2551" s="3">
        <v>-6.9647463003509804</v>
      </c>
      <c r="F2551" s="4">
        <v>3.2899608262879399E-12</v>
      </c>
      <c r="G2551" s="4">
        <v>6.1105359668621294E-11</v>
      </c>
      <c r="H2551" s="3" t="str">
        <f>"RBPMS"</f>
        <v>RBPMS</v>
      </c>
      <c r="I2551" s="3" t="str">
        <f>"protein_coding"</f>
        <v>protein_coding</v>
      </c>
    </row>
    <row r="2552" spans="1:9" x14ac:dyDescent="0.2">
      <c r="A2552" s="3" t="str">
        <f>"ENSG00000253457.2"</f>
        <v>ENSG00000253457.2</v>
      </c>
      <c r="B2552" s="3">
        <v>5.2874202707473597</v>
      </c>
      <c r="C2552" s="3">
        <v>5.8029394278270798</v>
      </c>
      <c r="D2552" s="3">
        <v>2.02483954767309</v>
      </c>
      <c r="E2552" s="3">
        <v>2.8658761799154502</v>
      </c>
      <c r="F2552" s="3">
        <v>4.1585686434663103E-3</v>
      </c>
      <c r="G2552" s="3">
        <v>1.5142124793335101E-2</v>
      </c>
      <c r="H2552" s="3" t="str">
        <f>"SMIM18"</f>
        <v>SMIM18</v>
      </c>
      <c r="I2552" s="3" t="str">
        <f>"protein_coding"</f>
        <v>protein_coding</v>
      </c>
    </row>
    <row r="2553" spans="1:9" x14ac:dyDescent="0.2">
      <c r="A2553" s="3" t="str">
        <f>"ENSG00000104687.14"</f>
        <v>ENSG00000104687.14</v>
      </c>
      <c r="B2553" s="3">
        <v>6884.9007560212704</v>
      </c>
      <c r="C2553" s="3">
        <v>-1.3562677026730099</v>
      </c>
      <c r="D2553" s="3">
        <v>0.183747761646958</v>
      </c>
      <c r="E2553" s="3">
        <v>-7.38113863546738</v>
      </c>
      <c r="F2553" s="4">
        <v>1.5694147920245599E-13</v>
      </c>
      <c r="G2553" s="4">
        <v>3.4457570377351402E-12</v>
      </c>
      <c r="H2553" s="3" t="str">
        <f>"GSR"</f>
        <v>GSR</v>
      </c>
      <c r="I2553" s="3" t="str">
        <f>"protein_coding"</f>
        <v>protein_coding</v>
      </c>
    </row>
    <row r="2554" spans="1:9" x14ac:dyDescent="0.2">
      <c r="A2554" s="3" t="str">
        <f>"ENSG00000133863.8"</f>
        <v>ENSG00000133863.8</v>
      </c>
      <c r="B2554" s="3">
        <v>118.366919856916</v>
      </c>
      <c r="C2554" s="3">
        <v>1.13611468867246</v>
      </c>
      <c r="D2554" s="3">
        <v>0.36230524043519802</v>
      </c>
      <c r="E2554" s="3">
        <v>3.1357942471595801</v>
      </c>
      <c r="F2554" s="3">
        <v>1.7138940032411501E-3</v>
      </c>
      <c r="G2554" s="3">
        <v>7.0712401432937002E-3</v>
      </c>
      <c r="H2554" s="3" t="str">
        <f>"TEX15"</f>
        <v>TEX15</v>
      </c>
      <c r="I2554" s="3" t="str">
        <f>"protein_coding"</f>
        <v>protein_coding</v>
      </c>
    </row>
    <row r="2555" spans="1:9" x14ac:dyDescent="0.2">
      <c r="A2555" s="3" t="str">
        <f>"ENSG00000157168.19"</f>
        <v>ENSG00000157168.19</v>
      </c>
      <c r="B2555" s="3">
        <v>22.511406963396599</v>
      </c>
      <c r="C2555" s="3">
        <v>6.4309457811431203</v>
      </c>
      <c r="D2555" s="3">
        <v>1.6005576549037099</v>
      </c>
      <c r="E2555" s="3">
        <v>4.0179407229975901</v>
      </c>
      <c r="F2555" s="4">
        <v>5.87089604906536E-5</v>
      </c>
      <c r="G2555" s="3">
        <v>3.5421679505953001E-4</v>
      </c>
      <c r="H2555" s="3" t="str">
        <f>"NRG1"</f>
        <v>NRG1</v>
      </c>
      <c r="I2555" s="3" t="str">
        <f>"protein_coding"</f>
        <v>protein_coding</v>
      </c>
    </row>
    <row r="2556" spans="1:9" x14ac:dyDescent="0.2">
      <c r="A2556" s="3" t="str">
        <f>"ENSG00000272338.2"</f>
        <v>ENSG00000272338.2</v>
      </c>
      <c r="B2556" s="3">
        <v>40.725565461151099</v>
      </c>
      <c r="C2556" s="3">
        <v>-1.60769621415834</v>
      </c>
      <c r="D2556" s="3">
        <v>0.56393409624359303</v>
      </c>
      <c r="E2556" s="3">
        <v>-2.8508583270054499</v>
      </c>
      <c r="F2556" s="3">
        <v>4.3601391675286098E-3</v>
      </c>
      <c r="G2556" s="3">
        <v>1.57707038228663E-2</v>
      </c>
      <c r="H2556" s="3" t="str">
        <f>"AC067838.1"</f>
        <v>AC067838.1</v>
      </c>
      <c r="I2556" s="3" t="str">
        <f>"lincRNA"</f>
        <v>lincRNA</v>
      </c>
    </row>
    <row r="2557" spans="1:9" x14ac:dyDescent="0.2">
      <c r="A2557" s="3" t="str">
        <f>"ENSG00000172728.15"</f>
        <v>ENSG00000172728.15</v>
      </c>
      <c r="B2557" s="3">
        <v>522.41910539629203</v>
      </c>
      <c r="C2557" s="3">
        <v>-1.12328954890842</v>
      </c>
      <c r="D2557" s="3">
        <v>0.221495993304786</v>
      </c>
      <c r="E2557" s="3">
        <v>-5.0713763808934296</v>
      </c>
      <c r="F2557" s="4">
        <v>3.9494877927146902E-7</v>
      </c>
      <c r="G2557" s="4">
        <v>3.6293994565968699E-6</v>
      </c>
      <c r="H2557" s="3" t="str">
        <f>"FUT10"</f>
        <v>FUT10</v>
      </c>
      <c r="I2557" s="3" t="str">
        <f>"protein_coding"</f>
        <v>protein_coding</v>
      </c>
    </row>
    <row r="2558" spans="1:9" x14ac:dyDescent="0.2">
      <c r="A2558" s="3" t="str">
        <f>"ENSG00000254061.1"</f>
        <v>ENSG00000254061.1</v>
      </c>
      <c r="B2558" s="3">
        <v>38.496247992032302</v>
      </c>
      <c r="C2558" s="3">
        <v>-1.5265957457108601</v>
      </c>
      <c r="D2558" s="3">
        <v>0.56825103957129897</v>
      </c>
      <c r="E2558" s="3">
        <v>-2.6864812193965499</v>
      </c>
      <c r="F2558" s="3">
        <v>7.2209007466416198E-3</v>
      </c>
      <c r="G2558" s="3">
        <v>2.4197255275334398E-2</v>
      </c>
      <c r="H2558" s="3" t="str">
        <f>"AC091144.2"</f>
        <v>AC091144.2</v>
      </c>
      <c r="I2558" s="3" t="str">
        <f>"processed_pseudogene"</f>
        <v>processed_pseudogene</v>
      </c>
    </row>
    <row r="2559" spans="1:9" x14ac:dyDescent="0.2">
      <c r="A2559" s="3" t="str">
        <f>"ENSG00000215262.8"</f>
        <v>ENSG00000215262.8</v>
      </c>
      <c r="B2559" s="3">
        <v>4.4751530131345696</v>
      </c>
      <c r="C2559" s="3">
        <v>5.5525519767611096</v>
      </c>
      <c r="D2559" s="3">
        <v>2.1369168650759498</v>
      </c>
      <c r="E2559" s="3">
        <v>2.59839400751033</v>
      </c>
      <c r="F2559" s="3">
        <v>9.3660955354147105E-3</v>
      </c>
      <c r="G2559" s="3">
        <v>3.0065740463412399E-2</v>
      </c>
      <c r="H2559" s="3" t="str">
        <f>"KCNU1"</f>
        <v>KCNU1</v>
      </c>
      <c r="I2559" s="3" t="str">
        <f>"protein_coding"</f>
        <v>protein_coding</v>
      </c>
    </row>
    <row r="2560" spans="1:9" x14ac:dyDescent="0.2">
      <c r="A2560" s="3" t="str">
        <f>"ENSG00000020181.17"</f>
        <v>ENSG00000020181.17</v>
      </c>
      <c r="B2560" s="3">
        <v>290.92334755269701</v>
      </c>
      <c r="C2560" s="3">
        <v>4.40208042552816</v>
      </c>
      <c r="D2560" s="3">
        <v>0.32770486563991702</v>
      </c>
      <c r="E2560" s="3">
        <v>13.433063976429301</v>
      </c>
      <c r="F2560" s="4">
        <v>3.8705917625789398E-41</v>
      </c>
      <c r="G2560" s="4">
        <v>5.6700007395155098E-39</v>
      </c>
      <c r="H2560" s="3" t="str">
        <f>"ADGRA2"</f>
        <v>ADGRA2</v>
      </c>
      <c r="I2560" s="3" t="str">
        <f>"protein_coding"</f>
        <v>protein_coding</v>
      </c>
    </row>
    <row r="2561" spans="1:9" x14ac:dyDescent="0.2">
      <c r="A2561" s="3" t="str">
        <f>"ENSG00000187840.5"</f>
        <v>ENSG00000187840.5</v>
      </c>
      <c r="B2561" s="3">
        <v>2022.9607492633199</v>
      </c>
      <c r="C2561" s="3">
        <v>-2.83722313749985</v>
      </c>
      <c r="D2561" s="3">
        <v>0.22765197004475601</v>
      </c>
      <c r="E2561" s="3">
        <v>-12.4629852179274</v>
      </c>
      <c r="F2561" s="4">
        <v>1.18837397366479E-35</v>
      </c>
      <c r="G2561" s="4">
        <v>1.3056300669534099E-33</v>
      </c>
      <c r="H2561" s="3" t="str">
        <f>"EIF4EBP1"</f>
        <v>EIF4EBP1</v>
      </c>
      <c r="I2561" s="3" t="str">
        <f>"protein_coding"</f>
        <v>protein_coding</v>
      </c>
    </row>
    <row r="2562" spans="1:9" x14ac:dyDescent="0.2">
      <c r="A2562" s="3" t="str">
        <f>"ENSG00000260949.1"</f>
        <v>ENSG00000260949.1</v>
      </c>
      <c r="B2562" s="3">
        <v>56.948628333692497</v>
      </c>
      <c r="C2562" s="3">
        <v>-3.1315381006684202</v>
      </c>
      <c r="D2562" s="3">
        <v>0.54634328863190496</v>
      </c>
      <c r="E2562" s="3">
        <v>-5.7318139818466198</v>
      </c>
      <c r="F2562" s="4">
        <v>9.9362209565053294E-9</v>
      </c>
      <c r="G2562" s="4">
        <v>1.1786339242573E-7</v>
      </c>
      <c r="H2562" s="3" t="str">
        <f>"AP006545.1"</f>
        <v>AP006545.1</v>
      </c>
      <c r="I2562" s="3" t="str">
        <f>"sense_overlapping"</f>
        <v>sense_overlapping</v>
      </c>
    </row>
    <row r="2563" spans="1:9" x14ac:dyDescent="0.2">
      <c r="A2563" s="3" t="str">
        <f>"ENSG00000147465.11"</f>
        <v>ENSG00000147465.11</v>
      </c>
      <c r="B2563" s="3">
        <v>87.412313256237198</v>
      </c>
      <c r="C2563" s="3">
        <v>2.1830013329806199</v>
      </c>
      <c r="D2563" s="3">
        <v>0.42169625134183197</v>
      </c>
      <c r="E2563" s="3">
        <v>5.1767150550528704</v>
      </c>
      <c r="F2563" s="4">
        <v>2.2582671450062201E-7</v>
      </c>
      <c r="G2563" s="4">
        <v>2.1635374437406699E-6</v>
      </c>
      <c r="H2563" s="3" t="str">
        <f>"STAR"</f>
        <v>STAR</v>
      </c>
      <c r="I2563" s="3" t="str">
        <f>"protein_coding"</f>
        <v>protein_coding</v>
      </c>
    </row>
    <row r="2564" spans="1:9" x14ac:dyDescent="0.2">
      <c r="A2564" s="3" t="str">
        <f>"ENSG00000165046.12"</f>
        <v>ENSG00000165046.12</v>
      </c>
      <c r="B2564" s="3">
        <v>100.089413956576</v>
      </c>
      <c r="C2564" s="3">
        <v>1.5478073873246601</v>
      </c>
      <c r="D2564" s="3">
        <v>0.39405962059383198</v>
      </c>
      <c r="E2564" s="3">
        <v>3.9278507779918401</v>
      </c>
      <c r="F2564" s="4">
        <v>8.5708360082397805E-5</v>
      </c>
      <c r="G2564" s="3">
        <v>4.9931487858992797E-4</v>
      </c>
      <c r="H2564" s="3" t="str">
        <f>"LETM2"</f>
        <v>LETM2</v>
      </c>
      <c r="I2564" s="3" t="str">
        <f>"protein_coding"</f>
        <v>protein_coding</v>
      </c>
    </row>
    <row r="2565" spans="1:9" x14ac:dyDescent="0.2">
      <c r="A2565" s="3" t="str">
        <f>"ENSG00000077782.20"</f>
        <v>ENSG00000077782.20</v>
      </c>
      <c r="B2565" s="3">
        <v>4187.1169515338397</v>
      </c>
      <c r="C2565" s="3">
        <v>-1.13037405070998</v>
      </c>
      <c r="D2565" s="3">
        <v>0.200827472097277</v>
      </c>
      <c r="E2565" s="3">
        <v>-5.6285827775716504</v>
      </c>
      <c r="F2565" s="4">
        <v>1.81696300975387E-8</v>
      </c>
      <c r="G2565" s="4">
        <v>2.0844964684953101E-7</v>
      </c>
      <c r="H2565" s="3" t="str">
        <f>"FGFR1"</f>
        <v>FGFR1</v>
      </c>
      <c r="I2565" s="3" t="str">
        <f>"protein_coding"</f>
        <v>protein_coding</v>
      </c>
    </row>
    <row r="2566" spans="1:9" x14ac:dyDescent="0.2">
      <c r="A2566" s="3" t="str">
        <f>"ENSG00000253361.2"</f>
        <v>ENSG00000253361.2</v>
      </c>
      <c r="B2566" s="3">
        <v>203.13718938137799</v>
      </c>
      <c r="C2566" s="3">
        <v>1.3735125872912901</v>
      </c>
      <c r="D2566" s="3">
        <v>0.32031278329535001</v>
      </c>
      <c r="E2566" s="3">
        <v>4.2880355044238598</v>
      </c>
      <c r="F2566" s="4">
        <v>1.8026028528717101E-5</v>
      </c>
      <c r="G2566" s="3">
        <v>1.20825387287074E-4</v>
      </c>
      <c r="H2566" s="3" t="str">
        <f>"AC069120.1"</f>
        <v>AC069120.1</v>
      </c>
      <c r="I2566" s="3" t="str">
        <f>"lincRNA"</f>
        <v>lincRNA</v>
      </c>
    </row>
    <row r="2567" spans="1:9" x14ac:dyDescent="0.2">
      <c r="A2567" s="3" t="str">
        <f>"ENSG00000169499.15"</f>
        <v>ENSG00000169499.15</v>
      </c>
      <c r="B2567" s="3">
        <v>413.77725633476598</v>
      </c>
      <c r="C2567" s="3">
        <v>-1.0316315968510601</v>
      </c>
      <c r="D2567" s="3">
        <v>0.24120481497350099</v>
      </c>
      <c r="E2567" s="3">
        <v>-4.2769942091097599</v>
      </c>
      <c r="F2567" s="4">
        <v>1.8943372857770901E-5</v>
      </c>
      <c r="G2567" s="3">
        <v>1.2644538957758001E-4</v>
      </c>
      <c r="H2567" s="3" t="str">
        <f>"PLEKHA2"</f>
        <v>PLEKHA2</v>
      </c>
      <c r="I2567" s="3" t="str">
        <f t="shared" ref="I2567:I2574" si="123">"protein_coding"</f>
        <v>protein_coding</v>
      </c>
    </row>
    <row r="2568" spans="1:9" x14ac:dyDescent="0.2">
      <c r="A2568" s="3" t="str">
        <f>"ENSG00000169495.5"</f>
        <v>ENSG00000169495.5</v>
      </c>
      <c r="B2568" s="3">
        <v>8.0049849808684694</v>
      </c>
      <c r="C2568" s="3">
        <v>4.9006647577520104</v>
      </c>
      <c r="D2568" s="3">
        <v>1.818826800719</v>
      </c>
      <c r="E2568" s="3">
        <v>2.6944098007653801</v>
      </c>
      <c r="F2568" s="3">
        <v>7.05134091211552E-3</v>
      </c>
      <c r="G2568" s="3">
        <v>2.3763498556884501E-2</v>
      </c>
      <c r="H2568" s="3" t="str">
        <f>"HTRA4"</f>
        <v>HTRA4</v>
      </c>
      <c r="I2568" s="3" t="str">
        <f t="shared" si="123"/>
        <v>protein_coding</v>
      </c>
    </row>
    <row r="2569" spans="1:9" x14ac:dyDescent="0.2">
      <c r="A2569" s="3" t="str">
        <f>"ENSG00000029534.20"</f>
        <v>ENSG00000029534.20</v>
      </c>
      <c r="B2569" s="3">
        <v>621.24154123080302</v>
      </c>
      <c r="C2569" s="3">
        <v>2.9131369439066499</v>
      </c>
      <c r="D2569" s="3">
        <v>0.235164124921597</v>
      </c>
      <c r="E2569" s="3">
        <v>12.3876758195064</v>
      </c>
      <c r="F2569" s="4">
        <v>3.0474799939377001E-35</v>
      </c>
      <c r="G2569" s="4">
        <v>3.20597248628651E-33</v>
      </c>
      <c r="H2569" s="3" t="str">
        <f>"ANK1"</f>
        <v>ANK1</v>
      </c>
      <c r="I2569" s="3" t="str">
        <f t="shared" si="123"/>
        <v>protein_coding</v>
      </c>
    </row>
    <row r="2570" spans="1:9" x14ac:dyDescent="0.2">
      <c r="A2570" s="3" t="str">
        <f>"ENSG00000176209.11"</f>
        <v>ENSG00000176209.11</v>
      </c>
      <c r="B2570" s="3">
        <v>283.13122422788501</v>
      </c>
      <c r="C2570" s="3">
        <v>1.0276223109774301</v>
      </c>
      <c r="D2570" s="3">
        <v>0.256907342142774</v>
      </c>
      <c r="E2570" s="3">
        <v>3.9999725286416101</v>
      </c>
      <c r="F2570" s="4">
        <v>6.3349837066438306E-5</v>
      </c>
      <c r="G2570" s="3">
        <v>3.7902788988784499E-4</v>
      </c>
      <c r="H2570" s="3" t="str">
        <f>"SMIM19"</f>
        <v>SMIM19</v>
      </c>
      <c r="I2570" s="3" t="str">
        <f t="shared" si="123"/>
        <v>protein_coding</v>
      </c>
    </row>
    <row r="2571" spans="1:9" x14ac:dyDescent="0.2">
      <c r="A2571" s="3" t="str">
        <f>"ENSG00000147434.8"</f>
        <v>ENSG00000147434.8</v>
      </c>
      <c r="B2571" s="3">
        <v>4.36643869871435</v>
      </c>
      <c r="C2571" s="3">
        <v>5.51984028109222</v>
      </c>
      <c r="D2571" s="3">
        <v>2.1118253273681198</v>
      </c>
      <c r="E2571" s="3">
        <v>2.6137769111668798</v>
      </c>
      <c r="F2571" s="3">
        <v>8.9547485688279607E-3</v>
      </c>
      <c r="G2571" s="3">
        <v>2.9049890969741098E-2</v>
      </c>
      <c r="H2571" s="3" t="str">
        <f>"CHRNA6"</f>
        <v>CHRNA6</v>
      </c>
      <c r="I2571" s="3" t="str">
        <f t="shared" si="123"/>
        <v>protein_coding</v>
      </c>
    </row>
    <row r="2572" spans="1:9" x14ac:dyDescent="0.2">
      <c r="A2572" s="3" t="str">
        <f>"ENSG00000221869.4"</f>
        <v>ENSG00000221869.4</v>
      </c>
      <c r="B2572" s="3">
        <v>191.478579699476</v>
      </c>
      <c r="C2572" s="3">
        <v>-2.3138730595231101</v>
      </c>
      <c r="D2572" s="3">
        <v>0.322977258819996</v>
      </c>
      <c r="E2572" s="3">
        <v>-7.16419808619621</v>
      </c>
      <c r="F2572" s="4">
        <v>7.8243199685380296E-13</v>
      </c>
      <c r="G2572" s="4">
        <v>1.57103350171522E-11</v>
      </c>
      <c r="H2572" s="3" t="str">
        <f>"CEBPD"</f>
        <v>CEBPD</v>
      </c>
      <c r="I2572" s="3" t="str">
        <f t="shared" si="123"/>
        <v>protein_coding</v>
      </c>
    </row>
    <row r="2573" spans="1:9" x14ac:dyDescent="0.2">
      <c r="A2573" s="3" t="str">
        <f>"ENSG00000104738.17"</f>
        <v>ENSG00000104738.17</v>
      </c>
      <c r="B2573" s="3">
        <v>6930.5339570860197</v>
      </c>
      <c r="C2573" s="3">
        <v>-1.1165319752438501</v>
      </c>
      <c r="D2573" s="3">
        <v>0.191933389693794</v>
      </c>
      <c r="E2573" s="3">
        <v>-5.8172888887396601</v>
      </c>
      <c r="F2573" s="4">
        <v>5.9809725755902098E-9</v>
      </c>
      <c r="G2573" s="4">
        <v>7.3110614520909104E-8</v>
      </c>
      <c r="H2573" s="3" t="str">
        <f>"MCM4"</f>
        <v>MCM4</v>
      </c>
      <c r="I2573" s="3" t="str">
        <f t="shared" si="123"/>
        <v>protein_coding</v>
      </c>
    </row>
    <row r="2574" spans="1:9" x14ac:dyDescent="0.2">
      <c r="A2574" s="3" t="str">
        <f>"ENSG00000019549.12"</f>
        <v>ENSG00000019549.12</v>
      </c>
      <c r="B2574" s="3">
        <v>9.5755390780649599</v>
      </c>
      <c r="C2574" s="3">
        <v>5.1753137004293404</v>
      </c>
      <c r="D2574" s="3">
        <v>1.75898108282868</v>
      </c>
      <c r="E2574" s="3">
        <v>2.9422224894577802</v>
      </c>
      <c r="F2574" s="3">
        <v>3.2586570971036202E-3</v>
      </c>
      <c r="G2574" s="3">
        <v>1.22992976762408E-2</v>
      </c>
      <c r="H2574" s="3" t="str">
        <f>"SNAI2"</f>
        <v>SNAI2</v>
      </c>
      <c r="I2574" s="3" t="str">
        <f t="shared" si="123"/>
        <v>protein_coding</v>
      </c>
    </row>
    <row r="2575" spans="1:9" x14ac:dyDescent="0.2">
      <c r="A2575" s="3" t="str">
        <f>"ENSG00000253474.1"</f>
        <v>ENSG00000253474.1</v>
      </c>
      <c r="B2575" s="3">
        <v>6.8606877293017199</v>
      </c>
      <c r="C2575" s="3">
        <v>6.1706072827813099</v>
      </c>
      <c r="D2575" s="3">
        <v>1.91251448943764</v>
      </c>
      <c r="E2575" s="3">
        <v>3.2264368802746901</v>
      </c>
      <c r="F2575" s="3">
        <v>1.2534187471246201E-3</v>
      </c>
      <c r="G2575" s="3">
        <v>5.3706401325529897E-3</v>
      </c>
      <c r="H2575" s="3" t="str">
        <f>"AC022568.1"</f>
        <v>AC022568.1</v>
      </c>
      <c r="I2575" s="3" t="str">
        <f>"lincRNA"</f>
        <v>lincRNA</v>
      </c>
    </row>
    <row r="2576" spans="1:9" x14ac:dyDescent="0.2">
      <c r="A2576" s="3" t="str">
        <f>"ENSG00000147488.11"</f>
        <v>ENSG00000147488.11</v>
      </c>
      <c r="B2576" s="3">
        <v>7.8541455109482099</v>
      </c>
      <c r="C2576" s="3">
        <v>6.3693182333457798</v>
      </c>
      <c r="D2576" s="3">
        <v>1.83954513396996</v>
      </c>
      <c r="E2576" s="3">
        <v>3.4624419459608702</v>
      </c>
      <c r="F2576" s="3">
        <v>5.3529738163837803E-4</v>
      </c>
      <c r="G2576" s="3">
        <v>2.5445915764343002E-3</v>
      </c>
      <c r="H2576" s="3" t="str">
        <f>"ST18"</f>
        <v>ST18</v>
      </c>
      <c r="I2576" s="3" t="str">
        <f>"protein_coding"</f>
        <v>protein_coding</v>
      </c>
    </row>
    <row r="2577" spans="1:9" x14ac:dyDescent="0.2">
      <c r="A2577" s="3" t="str">
        <f>"ENSG00000147509.14"</f>
        <v>ENSG00000147509.14</v>
      </c>
      <c r="B2577" s="3">
        <v>132.59507349234801</v>
      </c>
      <c r="C2577" s="3">
        <v>1.8284913933568201</v>
      </c>
      <c r="D2577" s="3">
        <v>0.35156077351426002</v>
      </c>
      <c r="E2577" s="3">
        <v>5.2010677274341903</v>
      </c>
      <c r="F2577" s="4">
        <v>1.98146873917424E-7</v>
      </c>
      <c r="G2577" s="4">
        <v>1.9172258073963298E-6</v>
      </c>
      <c r="H2577" s="3" t="str">
        <f>"RGS20"</f>
        <v>RGS20</v>
      </c>
      <c r="I2577" s="3" t="str">
        <f>"protein_coding"</f>
        <v>protein_coding</v>
      </c>
    </row>
    <row r="2578" spans="1:9" x14ac:dyDescent="0.2">
      <c r="A2578" s="3" t="str">
        <f>"ENSG00000272457.1"</f>
        <v>ENSG00000272457.1</v>
      </c>
      <c r="B2578" s="3">
        <v>10.0526893902084</v>
      </c>
      <c r="C2578" s="3">
        <v>3.5822731153510201</v>
      </c>
      <c r="D2578" s="3">
        <v>1.3029731838296501</v>
      </c>
      <c r="E2578" s="3">
        <v>2.7493068620354499</v>
      </c>
      <c r="F2578" s="3">
        <v>5.9721446780531002E-3</v>
      </c>
      <c r="G2578" s="3">
        <v>2.06030673642584E-2</v>
      </c>
      <c r="H2578" s="3" t="str">
        <f>"AC113194.1"</f>
        <v>AC113194.1</v>
      </c>
      <c r="I2578" s="3" t="str">
        <f>"antisense"</f>
        <v>antisense</v>
      </c>
    </row>
    <row r="2579" spans="1:9" x14ac:dyDescent="0.2">
      <c r="A2579" s="3" t="str">
        <f>"ENSG00000104237.10"</f>
        <v>ENSG00000104237.10</v>
      </c>
      <c r="B2579" s="3">
        <v>7.8511397205753202</v>
      </c>
      <c r="C2579" s="3">
        <v>6.3650475628735101</v>
      </c>
      <c r="D2579" s="3">
        <v>1.86474886106755</v>
      </c>
      <c r="E2579" s="3">
        <v>3.41335377420722</v>
      </c>
      <c r="F2579" s="3">
        <v>6.4168583753384004E-4</v>
      </c>
      <c r="G2579" s="3">
        <v>2.98718845297874E-3</v>
      </c>
      <c r="H2579" s="3" t="str">
        <f>"RP1"</f>
        <v>RP1</v>
      </c>
      <c r="I2579" s="3" t="str">
        <f t="shared" ref="I2579:I2585" si="124">"protein_coding"</f>
        <v>protein_coding</v>
      </c>
    </row>
    <row r="2580" spans="1:9" x14ac:dyDescent="0.2">
      <c r="A2580" s="3" t="str">
        <f>"ENSG00000167904.15"</f>
        <v>ENSG00000167904.15</v>
      </c>
      <c r="B2580" s="3">
        <v>1586.95785510776</v>
      </c>
      <c r="C2580" s="3">
        <v>1.8825950539521601</v>
      </c>
      <c r="D2580" s="3">
        <v>0.20469066265243499</v>
      </c>
      <c r="E2580" s="3">
        <v>9.1972688424425701</v>
      </c>
      <c r="F2580" s="4">
        <v>3.6716298164670101E-20</v>
      </c>
      <c r="G2580" s="4">
        <v>1.4415114929290601E-18</v>
      </c>
      <c r="H2580" s="3" t="str">
        <f>"TMEM68"</f>
        <v>TMEM68</v>
      </c>
      <c r="I2580" s="3" t="str">
        <f t="shared" si="124"/>
        <v>protein_coding</v>
      </c>
    </row>
    <row r="2581" spans="1:9" x14ac:dyDescent="0.2">
      <c r="A2581" s="3" t="str">
        <f>"ENSG00000137574.10"</f>
        <v>ENSG00000137574.10</v>
      </c>
      <c r="B2581" s="3">
        <v>1506.7949164740301</v>
      </c>
      <c r="C2581" s="3">
        <v>1.0732528623326201</v>
      </c>
      <c r="D2581" s="3">
        <v>0.215376033126324</v>
      </c>
      <c r="E2581" s="3">
        <v>4.9831582778903396</v>
      </c>
      <c r="F2581" s="4">
        <v>6.2554739971349701E-7</v>
      </c>
      <c r="G2581" s="4">
        <v>5.5428585365833002E-6</v>
      </c>
      <c r="H2581" s="3" t="str">
        <f>"TGS1"</f>
        <v>TGS1</v>
      </c>
      <c r="I2581" s="3" t="str">
        <f t="shared" si="124"/>
        <v>protein_coding</v>
      </c>
    </row>
    <row r="2582" spans="1:9" x14ac:dyDescent="0.2">
      <c r="A2582" s="3" t="str">
        <f>"ENSG00000254087.8"</f>
        <v>ENSG00000254087.8</v>
      </c>
      <c r="B2582" s="3">
        <v>230.41943595588901</v>
      </c>
      <c r="C2582" s="3">
        <v>-1.5647148630263199</v>
      </c>
      <c r="D2582" s="3">
        <v>0.29129428692031101</v>
      </c>
      <c r="E2582" s="3">
        <v>-5.3715947524036798</v>
      </c>
      <c r="F2582" s="4">
        <v>7.8043341522843804E-8</v>
      </c>
      <c r="G2582" s="4">
        <v>8.0730710951895405E-7</v>
      </c>
      <c r="H2582" s="3" t="str">
        <f>"LYN"</f>
        <v>LYN</v>
      </c>
      <c r="I2582" s="3" t="str">
        <f t="shared" si="124"/>
        <v>protein_coding</v>
      </c>
    </row>
    <row r="2583" spans="1:9" x14ac:dyDescent="0.2">
      <c r="A2583" s="3" t="str">
        <f>"ENSG00000170786.12"</f>
        <v>ENSG00000170786.12</v>
      </c>
      <c r="B2583" s="3">
        <v>3.9618079650943998</v>
      </c>
      <c r="C2583" s="3">
        <v>5.3771408192735599</v>
      </c>
      <c r="D2583" s="3">
        <v>2.19654804218851</v>
      </c>
      <c r="E2583" s="3">
        <v>2.4479959991751898</v>
      </c>
      <c r="F2583" s="3">
        <v>1.43653250707227E-2</v>
      </c>
      <c r="G2583" s="3">
        <v>4.3002857855634E-2</v>
      </c>
      <c r="H2583" s="3" t="str">
        <f>"SDR16C5"</f>
        <v>SDR16C5</v>
      </c>
      <c r="I2583" s="3" t="str">
        <f t="shared" si="124"/>
        <v>protein_coding</v>
      </c>
    </row>
    <row r="2584" spans="1:9" x14ac:dyDescent="0.2">
      <c r="A2584" s="3" t="str">
        <f>"ENSG00000169122.11"</f>
        <v>ENSG00000169122.11</v>
      </c>
      <c r="B2584" s="3">
        <v>544.29306477626403</v>
      </c>
      <c r="C2584" s="3">
        <v>1.50761052909218</v>
      </c>
      <c r="D2584" s="3">
        <v>0.22053231014019301</v>
      </c>
      <c r="E2584" s="3">
        <v>6.8362342376669503</v>
      </c>
      <c r="F2584" s="4">
        <v>8.1301969973811196E-12</v>
      </c>
      <c r="G2584" s="4">
        <v>1.44503246958672E-10</v>
      </c>
      <c r="H2584" s="3" t="str">
        <f>"FAM110B"</f>
        <v>FAM110B</v>
      </c>
      <c r="I2584" s="3" t="str">
        <f t="shared" si="124"/>
        <v>protein_coding</v>
      </c>
    </row>
    <row r="2585" spans="1:9" x14ac:dyDescent="0.2">
      <c r="A2585" s="3" t="str">
        <f>"ENSG00000035681.9"</f>
        <v>ENSG00000035681.9</v>
      </c>
      <c r="B2585" s="3">
        <v>928.54897192266003</v>
      </c>
      <c r="C2585" s="3">
        <v>-1.12956624323669</v>
      </c>
      <c r="D2585" s="3">
        <v>0.21188455404600001</v>
      </c>
      <c r="E2585" s="3">
        <v>-5.3310457117674801</v>
      </c>
      <c r="F2585" s="4">
        <v>9.7648833044788594E-8</v>
      </c>
      <c r="G2585" s="4">
        <v>9.9314585814533601E-7</v>
      </c>
      <c r="H2585" s="3" t="str">
        <f>"NSMAF"</f>
        <v>NSMAF</v>
      </c>
      <c r="I2585" s="3" t="str">
        <f t="shared" si="124"/>
        <v>protein_coding</v>
      </c>
    </row>
    <row r="2586" spans="1:9" x14ac:dyDescent="0.2">
      <c r="A2586" s="3" t="str">
        <f>"ENSG00000254119.5"</f>
        <v>ENSG00000254119.5</v>
      </c>
      <c r="B2586" s="3">
        <v>8.44013466756439</v>
      </c>
      <c r="C2586" s="3">
        <v>4.9912215014769501</v>
      </c>
      <c r="D2586" s="3">
        <v>1.79894865498944</v>
      </c>
      <c r="E2586" s="3">
        <v>2.7745213781581</v>
      </c>
      <c r="F2586" s="3">
        <v>5.5283000521456002E-3</v>
      </c>
      <c r="G2586" s="3">
        <v>1.9364969941100402E-2</v>
      </c>
      <c r="H2586" s="3" t="str">
        <f>"AC025524.2"</f>
        <v>AC025524.2</v>
      </c>
      <c r="I2586" s="3" t="str">
        <f>"lincRNA"</f>
        <v>lincRNA</v>
      </c>
    </row>
    <row r="2587" spans="1:9" x14ac:dyDescent="0.2">
      <c r="A2587" s="3" t="str">
        <f>"ENSG00000172817.4"</f>
        <v>ENSG00000172817.4</v>
      </c>
      <c r="B2587" s="3">
        <v>23.017911367864102</v>
      </c>
      <c r="C2587" s="3">
        <v>2.8165558038533098</v>
      </c>
      <c r="D2587" s="3">
        <v>0.83081779759117103</v>
      </c>
      <c r="E2587" s="3">
        <v>3.39010046729799</v>
      </c>
      <c r="F2587" s="3">
        <v>6.9867013464619098E-4</v>
      </c>
      <c r="G2587" s="3">
        <v>3.23258026128456E-3</v>
      </c>
      <c r="H2587" s="3" t="str">
        <f>"CYP7B1"</f>
        <v>CYP7B1</v>
      </c>
      <c r="I2587" s="3" t="str">
        <f>"protein_coding"</f>
        <v>protein_coding</v>
      </c>
    </row>
    <row r="2588" spans="1:9" x14ac:dyDescent="0.2">
      <c r="A2588" s="3" t="str">
        <f>"ENSG00000066855.16"</f>
        <v>ENSG00000066855.16</v>
      </c>
      <c r="B2588" s="3">
        <v>1173.7566959092901</v>
      </c>
      <c r="C2588" s="3">
        <v>-1.0461781967927</v>
      </c>
      <c r="D2588" s="3">
        <v>0.191146218481722</v>
      </c>
      <c r="E2588" s="3">
        <v>-5.4731828079180298</v>
      </c>
      <c r="F2588" s="4">
        <v>4.4202370996443703E-8</v>
      </c>
      <c r="G2588" s="4">
        <v>4.7773978680686305E-7</v>
      </c>
      <c r="H2588" s="3" t="str">
        <f>"MTFR1"</f>
        <v>MTFR1</v>
      </c>
      <c r="I2588" s="3" t="str">
        <f>"protein_coding"</f>
        <v>protein_coding</v>
      </c>
    </row>
    <row r="2589" spans="1:9" x14ac:dyDescent="0.2">
      <c r="A2589" s="3" t="str">
        <f>"ENSG00000253190.3"</f>
        <v>ENSG00000253190.3</v>
      </c>
      <c r="B2589" s="3">
        <v>43.9076755083412</v>
      </c>
      <c r="C2589" s="3">
        <v>2.3372536469854701</v>
      </c>
      <c r="D2589" s="3">
        <v>0.58615633493017205</v>
      </c>
      <c r="E2589" s="3">
        <v>3.9874236747162399</v>
      </c>
      <c r="F2589" s="4">
        <v>6.6794682688227697E-5</v>
      </c>
      <c r="G2589" s="3">
        <v>3.9728328295266099E-4</v>
      </c>
      <c r="H2589" s="3" t="str">
        <f>"AC084082.1"</f>
        <v>AC084082.1</v>
      </c>
      <c r="I2589" s="3" t="str">
        <f>"lincRNA"</f>
        <v>lincRNA</v>
      </c>
    </row>
    <row r="2590" spans="1:9" x14ac:dyDescent="0.2">
      <c r="A2590" s="3" t="str">
        <f>"ENSG00000147573.17"</f>
        <v>ENSG00000147573.17</v>
      </c>
      <c r="B2590" s="3">
        <v>21.119373397785999</v>
      </c>
      <c r="C2590" s="3">
        <v>4.7162432571264503</v>
      </c>
      <c r="D2590" s="3">
        <v>1.10379376865157</v>
      </c>
      <c r="E2590" s="3">
        <v>4.2727576392173203</v>
      </c>
      <c r="F2590" s="4">
        <v>1.93070272682373E-5</v>
      </c>
      <c r="G2590" s="3">
        <v>1.2868360371273501E-4</v>
      </c>
      <c r="H2590" s="3" t="str">
        <f>"TRIM55"</f>
        <v>TRIM55</v>
      </c>
      <c r="I2590" s="3" t="str">
        <f>"protein_coding"</f>
        <v>protein_coding</v>
      </c>
    </row>
    <row r="2591" spans="1:9" x14ac:dyDescent="0.2">
      <c r="A2591" s="3" t="str">
        <f>"ENSG00000179041.4"</f>
        <v>ENSG00000179041.4</v>
      </c>
      <c r="B2591" s="3">
        <v>884.93331793975699</v>
      </c>
      <c r="C2591" s="3">
        <v>-1.5962380902257001</v>
      </c>
      <c r="D2591" s="3">
        <v>0.22908518034046599</v>
      </c>
      <c r="E2591" s="3">
        <v>-6.9678801913479003</v>
      </c>
      <c r="F2591" s="4">
        <v>3.21752040446423E-12</v>
      </c>
      <c r="G2591" s="4">
        <v>5.9882362336364102E-11</v>
      </c>
      <c r="H2591" s="3" t="str">
        <f>"RRS1"</f>
        <v>RRS1</v>
      </c>
      <c r="I2591" s="3" t="str">
        <f>"protein_coding"</f>
        <v>protein_coding</v>
      </c>
    </row>
    <row r="2592" spans="1:9" x14ac:dyDescent="0.2">
      <c r="A2592" s="3" t="str">
        <f>"ENSG00000104205.14"</f>
        <v>ENSG00000104205.14</v>
      </c>
      <c r="B2592" s="3">
        <v>444.60802064599199</v>
      </c>
      <c r="C2592" s="3">
        <v>-1.91698386599506</v>
      </c>
      <c r="D2592" s="3">
        <v>0.244456995167111</v>
      </c>
      <c r="E2592" s="3">
        <v>-7.8418040959908302</v>
      </c>
      <c r="F2592" s="4">
        <v>4.4411886831511697E-15</v>
      </c>
      <c r="G2592" s="4">
        <v>1.11631981595775E-13</v>
      </c>
      <c r="H2592" s="3" t="str">
        <f>"SGK3"</f>
        <v>SGK3</v>
      </c>
      <c r="I2592" s="3" t="str">
        <f>"protein_coding"</f>
        <v>protein_coding</v>
      </c>
    </row>
    <row r="2593" spans="1:9" x14ac:dyDescent="0.2">
      <c r="A2593" s="3" t="str">
        <f>"ENSG00000261787.2"</f>
        <v>ENSG00000261787.2</v>
      </c>
      <c r="B2593" s="3">
        <v>13.482488616715701</v>
      </c>
      <c r="C2593" s="3">
        <v>4.6440685671730897</v>
      </c>
      <c r="D2593" s="3">
        <v>1.34187937833338</v>
      </c>
      <c r="E2593" s="3">
        <v>3.46086886955595</v>
      </c>
      <c r="F2593" s="3">
        <v>5.3843501614248197E-4</v>
      </c>
      <c r="G2593" s="3">
        <v>2.5572143776946498E-3</v>
      </c>
      <c r="H2593" s="3" t="str">
        <f>"TCF24"</f>
        <v>TCF24</v>
      </c>
      <c r="I2593" s="3" t="str">
        <f>"protein_coding"</f>
        <v>protein_coding</v>
      </c>
    </row>
    <row r="2594" spans="1:9" x14ac:dyDescent="0.2">
      <c r="A2594" s="3" t="str">
        <f>"ENSG00000271966.1"</f>
        <v>ENSG00000271966.1</v>
      </c>
      <c r="B2594" s="3">
        <v>31.871743085754701</v>
      </c>
      <c r="C2594" s="3">
        <v>2.2765976490599802</v>
      </c>
      <c r="D2594" s="3">
        <v>0.68346020365714899</v>
      </c>
      <c r="E2594" s="3">
        <v>3.33098787153672</v>
      </c>
      <c r="F2594" s="3">
        <v>8.6538372773756504E-4</v>
      </c>
      <c r="G2594" s="3">
        <v>3.88837573048573E-3</v>
      </c>
      <c r="H2594" s="3" t="str">
        <f>"AC021321.1"</f>
        <v>AC021321.1</v>
      </c>
      <c r="I2594" s="3" t="str">
        <f>"lincRNA"</f>
        <v>lincRNA</v>
      </c>
    </row>
    <row r="2595" spans="1:9" x14ac:dyDescent="0.2">
      <c r="A2595" s="3" t="str">
        <f>"ENSG00000165078.12"</f>
        <v>ENSG00000165078.12</v>
      </c>
      <c r="B2595" s="3">
        <v>427.14672756108598</v>
      </c>
      <c r="C2595" s="3">
        <v>-1.77737854547251</v>
      </c>
      <c r="D2595" s="3">
        <v>0.236893410951974</v>
      </c>
      <c r="E2595" s="3">
        <v>-7.5028618918946597</v>
      </c>
      <c r="F2595" s="4">
        <v>6.2439330062352302E-14</v>
      </c>
      <c r="G2595" s="4">
        <v>1.4165565580423899E-12</v>
      </c>
      <c r="H2595" s="3" t="str">
        <f>"CPA6"</f>
        <v>CPA6</v>
      </c>
      <c r="I2595" s="3" t="str">
        <f>"protein_coding"</f>
        <v>protein_coding</v>
      </c>
    </row>
    <row r="2596" spans="1:9" x14ac:dyDescent="0.2">
      <c r="A2596" s="3" t="str">
        <f>"ENSG00000046889.19"</f>
        <v>ENSG00000046889.19</v>
      </c>
      <c r="B2596" s="3">
        <v>19.8245780509016</v>
      </c>
      <c r="C2596" s="3">
        <v>2.7435036019160099</v>
      </c>
      <c r="D2596" s="3">
        <v>0.83691417030779403</v>
      </c>
      <c r="E2596" s="3">
        <v>3.2781182339247801</v>
      </c>
      <c r="F2596" s="3">
        <v>1.0450161426938801E-3</v>
      </c>
      <c r="G2596" s="3">
        <v>4.58557475561947E-3</v>
      </c>
      <c r="H2596" s="3" t="str">
        <f>"PREX2"</f>
        <v>PREX2</v>
      </c>
      <c r="I2596" s="3" t="str">
        <f>"protein_coding"</f>
        <v>protein_coding</v>
      </c>
    </row>
    <row r="2597" spans="1:9" x14ac:dyDescent="0.2">
      <c r="A2597" s="3" t="str">
        <f>"ENSG00000246366.6"</f>
        <v>ENSG00000246366.6</v>
      </c>
      <c r="B2597" s="3">
        <v>12.5285293670314</v>
      </c>
      <c r="C2597" s="3">
        <v>2.56551336828525</v>
      </c>
      <c r="D2597" s="3">
        <v>1.0235930927498</v>
      </c>
      <c r="E2597" s="3">
        <v>2.5063801098864502</v>
      </c>
      <c r="F2597" s="3">
        <v>1.2197441497086001E-2</v>
      </c>
      <c r="G2597" s="3">
        <v>3.7529745379825702E-2</v>
      </c>
      <c r="H2597" s="3" t="str">
        <f>"LACTB2-AS1"</f>
        <v>LACTB2-AS1</v>
      </c>
      <c r="I2597" s="3" t="str">
        <f>"antisense"</f>
        <v>antisense</v>
      </c>
    </row>
    <row r="2598" spans="1:9" x14ac:dyDescent="0.2">
      <c r="A2598" s="3" t="str">
        <f>"ENSG00000147592.9"</f>
        <v>ENSG00000147592.9</v>
      </c>
      <c r="B2598" s="3">
        <v>504.66205703584001</v>
      </c>
      <c r="C2598" s="3">
        <v>1.17890356582727</v>
      </c>
      <c r="D2598" s="3">
        <v>0.23036237885580199</v>
      </c>
      <c r="E2598" s="3">
        <v>5.1176045831911603</v>
      </c>
      <c r="F2598" s="4">
        <v>3.0944048573298902E-7</v>
      </c>
      <c r="G2598" s="4">
        <v>2.8894190934773E-6</v>
      </c>
      <c r="H2598" s="3" t="str">
        <f>"LACTB2"</f>
        <v>LACTB2</v>
      </c>
      <c r="I2598" s="3" t="str">
        <f>"protein_coding"</f>
        <v>protein_coding</v>
      </c>
    </row>
    <row r="2599" spans="1:9" x14ac:dyDescent="0.2">
      <c r="A2599" s="3" t="str">
        <f>"ENSG00000221947.7"</f>
        <v>ENSG00000221947.7</v>
      </c>
      <c r="B2599" s="3">
        <v>25.2954089421387</v>
      </c>
      <c r="C2599" s="3">
        <v>1.78251501447355</v>
      </c>
      <c r="D2599" s="3">
        <v>0.70177684927918704</v>
      </c>
      <c r="E2599" s="3">
        <v>2.5400025895759</v>
      </c>
      <c r="F2599" s="3">
        <v>1.10851648094178E-2</v>
      </c>
      <c r="G2599" s="3">
        <v>3.4720943276492298E-2</v>
      </c>
      <c r="H2599" s="3" t="str">
        <f>"XKR9"</f>
        <v>XKR9</v>
      </c>
      <c r="I2599" s="3" t="str">
        <f>"protein_coding"</f>
        <v>protein_coding</v>
      </c>
    </row>
    <row r="2600" spans="1:9" x14ac:dyDescent="0.2">
      <c r="A2600" s="3" t="str">
        <f>"ENSG00000104313.19"</f>
        <v>ENSG00000104313.19</v>
      </c>
      <c r="B2600" s="3">
        <v>5.9457177380145003</v>
      </c>
      <c r="C2600" s="3">
        <v>5.9678110559896602</v>
      </c>
      <c r="D2600" s="3">
        <v>1.9490680149737301</v>
      </c>
      <c r="E2600" s="3">
        <v>3.0618793239342601</v>
      </c>
      <c r="F2600" s="3">
        <v>2.1995210751093899E-3</v>
      </c>
      <c r="G2600" s="3">
        <v>8.7349294175055308E-3</v>
      </c>
      <c r="H2600" s="3" t="str">
        <f>"EYA1"</f>
        <v>EYA1</v>
      </c>
      <c r="I2600" s="3" t="str">
        <f>"protein_coding"</f>
        <v>protein_coding</v>
      </c>
    </row>
    <row r="2601" spans="1:9" x14ac:dyDescent="0.2">
      <c r="A2601" s="3" t="str">
        <f>"ENSG00000154589.6"</f>
        <v>ENSG00000154589.6</v>
      </c>
      <c r="B2601" s="3">
        <v>35.269101268422702</v>
      </c>
      <c r="C2601" s="3">
        <v>3.0116730431646199</v>
      </c>
      <c r="D2601" s="3">
        <v>0.68092580848200301</v>
      </c>
      <c r="E2601" s="3">
        <v>4.42290922983016</v>
      </c>
      <c r="F2601" s="4">
        <v>9.7380661317230502E-6</v>
      </c>
      <c r="G2601" s="4">
        <v>6.9404417444692096E-5</v>
      </c>
      <c r="H2601" s="3" t="str">
        <f>"LY96"</f>
        <v>LY96</v>
      </c>
      <c r="I2601" s="3" t="str">
        <f>"protein_coding"</f>
        <v>protein_coding</v>
      </c>
    </row>
    <row r="2602" spans="1:9" x14ac:dyDescent="0.2">
      <c r="A2602" s="3" t="str">
        <f>"ENSG00000164749.11"</f>
        <v>ENSG00000164749.11</v>
      </c>
      <c r="B2602" s="3">
        <v>467.29898240190403</v>
      </c>
      <c r="C2602" s="3">
        <v>-2.53860879638375</v>
      </c>
      <c r="D2602" s="3">
        <v>0.23388989324795401</v>
      </c>
      <c r="E2602" s="3">
        <v>-10.853862734857399</v>
      </c>
      <c r="F2602" s="4">
        <v>1.91171645588848E-27</v>
      </c>
      <c r="G2602" s="4">
        <v>1.25212832388446E-25</v>
      </c>
      <c r="H2602" s="3" t="str">
        <f>"HNF4G"</f>
        <v>HNF4G</v>
      </c>
      <c r="I2602" s="3" t="str">
        <f>"protein_coding"</f>
        <v>protein_coding</v>
      </c>
    </row>
    <row r="2603" spans="1:9" x14ac:dyDescent="0.2">
      <c r="A2603" s="3" t="str">
        <f>"ENSG00000254266.5"</f>
        <v>ENSG00000254266.5</v>
      </c>
      <c r="B2603" s="3">
        <v>9.9075257031089006</v>
      </c>
      <c r="C2603" s="3">
        <v>6.7024431444442998</v>
      </c>
      <c r="D2603" s="3">
        <v>1.7729686704724601</v>
      </c>
      <c r="E2603" s="3">
        <v>3.78035058152394</v>
      </c>
      <c r="F2603" s="3">
        <v>1.5660768296794E-4</v>
      </c>
      <c r="G2603" s="3">
        <v>8.5753407110680596E-4</v>
      </c>
      <c r="H2603" s="3" t="str">
        <f>"PKIA-AS1"</f>
        <v>PKIA-AS1</v>
      </c>
      <c r="I2603" s="3" t="str">
        <f>"lincRNA"</f>
        <v>lincRNA</v>
      </c>
    </row>
    <row r="2604" spans="1:9" x14ac:dyDescent="0.2">
      <c r="A2604" s="3" t="str">
        <f>"ENSG00000171033.13"</f>
        <v>ENSG00000171033.13</v>
      </c>
      <c r="B2604" s="3">
        <v>4.7348313275275498</v>
      </c>
      <c r="C2604" s="3">
        <v>5.6398842652474501</v>
      </c>
      <c r="D2604" s="3">
        <v>2.05830840027062</v>
      </c>
      <c r="E2604" s="3">
        <v>2.7400579351986001</v>
      </c>
      <c r="F2604" s="3">
        <v>6.1428355245557601E-3</v>
      </c>
      <c r="G2604" s="3">
        <v>2.1109072964758599E-2</v>
      </c>
      <c r="H2604" s="3" t="str">
        <f>"PKIA"</f>
        <v>PKIA</v>
      </c>
      <c r="I2604" s="3" t="str">
        <f>"protein_coding"</f>
        <v>protein_coding</v>
      </c>
    </row>
    <row r="2605" spans="1:9" x14ac:dyDescent="0.2">
      <c r="A2605" s="3" t="str">
        <f>"ENSG00000285744.1"</f>
        <v>ENSG00000285744.1</v>
      </c>
      <c r="B2605" s="3">
        <v>121.93569771413701</v>
      </c>
      <c r="C2605" s="3">
        <v>1.2865356835237001</v>
      </c>
      <c r="D2605" s="3">
        <v>0.35526293426626099</v>
      </c>
      <c r="E2605" s="3">
        <v>3.62136198131908</v>
      </c>
      <c r="F2605" s="3">
        <v>2.9305613591245499E-4</v>
      </c>
      <c r="G2605" s="3">
        <v>1.49222585221578E-3</v>
      </c>
      <c r="H2605" s="3" t="str">
        <f>"AC083837.1"</f>
        <v>AC083837.1</v>
      </c>
      <c r="I2605" s="3" t="str">
        <f>"bidirectional_promoter_lncRNA"</f>
        <v>bidirectional_promoter_lncRNA</v>
      </c>
    </row>
    <row r="2606" spans="1:9" x14ac:dyDescent="0.2">
      <c r="A2606" s="3" t="str">
        <f>"ENSG00000261618.2"</f>
        <v>ENSG00000261618.2</v>
      </c>
      <c r="B2606" s="3">
        <v>226.04369914599101</v>
      </c>
      <c r="C2606" s="3">
        <v>2.11936742629416</v>
      </c>
      <c r="D2606" s="3">
        <v>0.32749074282396101</v>
      </c>
      <c r="E2606" s="3">
        <v>6.4715338455640099</v>
      </c>
      <c r="F2606" s="4">
        <v>9.7013021749271096E-11</v>
      </c>
      <c r="G2606" s="4">
        <v>1.5130588457941499E-9</v>
      </c>
      <c r="H2606" s="3" t="str">
        <f>"LINC02605"</f>
        <v>LINC02605</v>
      </c>
      <c r="I2606" s="3" t="str">
        <f>"lincRNA"</f>
        <v>lincRNA</v>
      </c>
    </row>
    <row r="2607" spans="1:9" x14ac:dyDescent="0.2">
      <c r="A2607" s="3" t="str">
        <f>"ENSG00000164683.17"</f>
        <v>ENSG00000164683.17</v>
      </c>
      <c r="B2607" s="3">
        <v>514.16854651618496</v>
      </c>
      <c r="C2607" s="3">
        <v>1.89380373302606</v>
      </c>
      <c r="D2607" s="3">
        <v>0.22799873669472401</v>
      </c>
      <c r="E2607" s="3">
        <v>8.3062027469114899</v>
      </c>
      <c r="F2607" s="4">
        <v>9.88133387379944E-17</v>
      </c>
      <c r="G2607" s="4">
        <v>2.88261995780956E-15</v>
      </c>
      <c r="H2607" s="3" t="str">
        <f>"HEY1"</f>
        <v>HEY1</v>
      </c>
      <c r="I2607" s="3" t="str">
        <f t="shared" ref="I2607:I2614" si="125">"protein_coding"</f>
        <v>protein_coding</v>
      </c>
    </row>
    <row r="2608" spans="1:9" x14ac:dyDescent="0.2">
      <c r="A2608" s="3" t="str">
        <f>"ENSG00000076554.15"</f>
        <v>ENSG00000076554.15</v>
      </c>
      <c r="B2608" s="3">
        <v>796.11233873083802</v>
      </c>
      <c r="C2608" s="3">
        <v>-1.16519485398102</v>
      </c>
      <c r="D2608" s="3">
        <v>0.234300950709458</v>
      </c>
      <c r="E2608" s="3">
        <v>-4.9730692532524401</v>
      </c>
      <c r="F2608" s="4">
        <v>6.5901105379216896E-7</v>
      </c>
      <c r="G2608" s="4">
        <v>5.8185593592596403E-6</v>
      </c>
      <c r="H2608" s="3" t="str">
        <f>"TPD52"</f>
        <v>TPD52</v>
      </c>
      <c r="I2608" s="3" t="str">
        <f t="shared" si="125"/>
        <v>protein_coding</v>
      </c>
    </row>
    <row r="2609" spans="1:9" x14ac:dyDescent="0.2">
      <c r="A2609" s="3" t="str">
        <f>"ENSG00000164684.13"</f>
        <v>ENSG00000164684.13</v>
      </c>
      <c r="B2609" s="3">
        <v>1418.02678829303</v>
      </c>
      <c r="C2609" s="3">
        <v>-3.4091843936042698</v>
      </c>
      <c r="D2609" s="3">
        <v>0.205683159460119</v>
      </c>
      <c r="E2609" s="3">
        <v>-16.5749320583793</v>
      </c>
      <c r="F2609" s="4">
        <v>1.0578241370165401E-61</v>
      </c>
      <c r="G2609" s="4">
        <v>3.35145747224297E-59</v>
      </c>
      <c r="H2609" s="3" t="str">
        <f>"ZNF704"</f>
        <v>ZNF704</v>
      </c>
      <c r="I2609" s="3" t="str">
        <f t="shared" si="125"/>
        <v>protein_coding</v>
      </c>
    </row>
    <row r="2610" spans="1:9" x14ac:dyDescent="0.2">
      <c r="A2610" s="3" t="str">
        <f>"ENSG00000184672.12"</f>
        <v>ENSG00000184672.12</v>
      </c>
      <c r="B2610" s="3">
        <v>3.8893317554809199</v>
      </c>
      <c r="C2610" s="3">
        <v>5.35263968609567</v>
      </c>
      <c r="D2610" s="3">
        <v>2.1805139762792298</v>
      </c>
      <c r="E2610" s="3">
        <v>2.4547605492670499</v>
      </c>
      <c r="F2610" s="3">
        <v>1.40978459500909E-2</v>
      </c>
      <c r="G2610" s="3">
        <v>4.2402473628670397E-2</v>
      </c>
      <c r="H2610" s="3" t="str">
        <f>"RALYL"</f>
        <v>RALYL</v>
      </c>
      <c r="I2610" s="3" t="str">
        <f t="shared" si="125"/>
        <v>protein_coding</v>
      </c>
    </row>
    <row r="2611" spans="1:9" x14ac:dyDescent="0.2">
      <c r="A2611" s="3" t="str">
        <f>"ENSG00000185015.8"</f>
        <v>ENSG00000185015.8</v>
      </c>
      <c r="B2611" s="3">
        <v>526.13107019765596</v>
      </c>
      <c r="C2611" s="3">
        <v>-1.6790093220208999</v>
      </c>
      <c r="D2611" s="3">
        <v>0.22624110632251301</v>
      </c>
      <c r="E2611" s="3">
        <v>-7.42132740293194</v>
      </c>
      <c r="F2611" s="4">
        <v>1.1595228704371799E-13</v>
      </c>
      <c r="G2611" s="4">
        <v>2.57485897724545E-12</v>
      </c>
      <c r="H2611" s="3" t="str">
        <f>"CA13"</f>
        <v>CA13</v>
      </c>
      <c r="I2611" s="3" t="str">
        <f t="shared" si="125"/>
        <v>protein_coding</v>
      </c>
    </row>
    <row r="2612" spans="1:9" x14ac:dyDescent="0.2">
      <c r="A2612" s="3" t="str">
        <f>"ENSG00000104267.10"</f>
        <v>ENSG00000104267.10</v>
      </c>
      <c r="B2612" s="3">
        <v>33.355404239750001</v>
      </c>
      <c r="C2612" s="3">
        <v>7.0019682742296201</v>
      </c>
      <c r="D2612" s="3">
        <v>1.5470181820903299</v>
      </c>
      <c r="E2612" s="3">
        <v>4.5261059988115697</v>
      </c>
      <c r="F2612" s="4">
        <v>6.0080453249044503E-6</v>
      </c>
      <c r="G2612" s="4">
        <v>4.4631089068974703E-5</v>
      </c>
      <c r="H2612" s="3" t="str">
        <f>"CA2"</f>
        <v>CA2</v>
      </c>
      <c r="I2612" s="3" t="str">
        <f t="shared" si="125"/>
        <v>protein_coding</v>
      </c>
    </row>
    <row r="2613" spans="1:9" x14ac:dyDescent="0.2">
      <c r="A2613" s="3" t="str">
        <f>"ENSG00000147614.4"</f>
        <v>ENSG00000147614.4</v>
      </c>
      <c r="B2613" s="3">
        <v>6.7519734148814896</v>
      </c>
      <c r="C2613" s="3">
        <v>6.1494628660046899</v>
      </c>
      <c r="D2613" s="3">
        <v>1.90159178459093</v>
      </c>
      <c r="E2613" s="3">
        <v>3.2338501437770799</v>
      </c>
      <c r="F2613" s="3">
        <v>1.22133521966576E-3</v>
      </c>
      <c r="G2613" s="3">
        <v>5.2554833749578096E-3</v>
      </c>
      <c r="H2613" s="3" t="str">
        <f>"ATP6V0D2"</f>
        <v>ATP6V0D2</v>
      </c>
      <c r="I2613" s="3" t="str">
        <f t="shared" si="125"/>
        <v>protein_coding</v>
      </c>
    </row>
    <row r="2614" spans="1:9" x14ac:dyDescent="0.2">
      <c r="A2614" s="3" t="str">
        <f>"ENSG00000164893.9"</f>
        <v>ENSG00000164893.9</v>
      </c>
      <c r="B2614" s="3">
        <v>6.7157353100747503</v>
      </c>
      <c r="C2614" s="3">
        <v>6.14239025792617</v>
      </c>
      <c r="D2614" s="3">
        <v>1.90050470221933</v>
      </c>
      <c r="E2614" s="3">
        <v>3.23197845853965</v>
      </c>
      <c r="F2614" s="3">
        <v>1.22936323297014E-3</v>
      </c>
      <c r="G2614" s="3">
        <v>5.28418678162762E-3</v>
      </c>
      <c r="H2614" s="3" t="str">
        <f>"SLC7A13"</f>
        <v>SLC7A13</v>
      </c>
      <c r="I2614" s="3" t="str">
        <f t="shared" si="125"/>
        <v>protein_coding</v>
      </c>
    </row>
    <row r="2615" spans="1:9" x14ac:dyDescent="0.2">
      <c r="A2615" s="3" t="str">
        <f>"ENSG00000254231.2"</f>
        <v>ENSG00000254231.2</v>
      </c>
      <c r="B2615" s="3">
        <v>56.260886298799399</v>
      </c>
      <c r="C2615" s="3">
        <v>1.23493971903886</v>
      </c>
      <c r="D2615" s="3">
        <v>0.47156554780798199</v>
      </c>
      <c r="E2615" s="3">
        <v>2.6188081906732399</v>
      </c>
      <c r="F2615" s="3">
        <v>8.8237546288981901E-3</v>
      </c>
      <c r="G2615" s="3">
        <v>2.8689837992075098E-2</v>
      </c>
      <c r="H2615" s="3" t="str">
        <f>"AC103760.1"</f>
        <v>AC103760.1</v>
      </c>
      <c r="I2615" s="3" t="str">
        <f>"processed_transcript"</f>
        <v>processed_transcript</v>
      </c>
    </row>
    <row r="2616" spans="1:9" x14ac:dyDescent="0.2">
      <c r="A2616" s="3" t="str">
        <f>"ENSG00000250569.1"</f>
        <v>ENSG00000250569.1</v>
      </c>
      <c r="B2616" s="3">
        <v>60.047011623718298</v>
      </c>
      <c r="C2616" s="3">
        <v>1.4585746761226801</v>
      </c>
      <c r="D2616" s="3">
        <v>0.46727794060713501</v>
      </c>
      <c r="E2616" s="3">
        <v>3.1214284890648898</v>
      </c>
      <c r="F2616" s="3">
        <v>1.7997595284629899E-3</v>
      </c>
      <c r="G2616" s="3">
        <v>7.3648740103651996E-3</v>
      </c>
      <c r="H2616" s="3" t="str">
        <f>"NTAN1P2"</f>
        <v>NTAN1P2</v>
      </c>
      <c r="I2616" s="3" t="str">
        <f>"processed_pseudogene"</f>
        <v>processed_pseudogene</v>
      </c>
    </row>
    <row r="2617" spans="1:9" x14ac:dyDescent="0.2">
      <c r="A2617" s="3" t="str">
        <f>"ENSG00000104312.8"</f>
        <v>ENSG00000104312.8</v>
      </c>
      <c r="B2617" s="3">
        <v>491.03164376864697</v>
      </c>
      <c r="C2617" s="3">
        <v>-1.2476537905887599</v>
      </c>
      <c r="D2617" s="3">
        <v>0.228281707236027</v>
      </c>
      <c r="E2617" s="3">
        <v>-5.4654129132597298</v>
      </c>
      <c r="F2617" s="4">
        <v>4.6183048574349198E-8</v>
      </c>
      <c r="G2617" s="4">
        <v>4.9815895665292702E-7</v>
      </c>
      <c r="H2617" s="3" t="str">
        <f>"RIPK2"</f>
        <v>RIPK2</v>
      </c>
      <c r="I2617" s="3" t="str">
        <f>"protein_coding"</f>
        <v>protein_coding</v>
      </c>
    </row>
    <row r="2618" spans="1:9" x14ac:dyDescent="0.2">
      <c r="A2618" s="3" t="str">
        <f>"ENSG00000104320.13"</f>
        <v>ENSG00000104320.13</v>
      </c>
      <c r="B2618" s="3">
        <v>1031.9176653726699</v>
      </c>
      <c r="C2618" s="3">
        <v>-1.1730905362761299</v>
      </c>
      <c r="D2618" s="3">
        <v>0.222421575358007</v>
      </c>
      <c r="E2618" s="3">
        <v>-5.2741760073767301</v>
      </c>
      <c r="F2618" s="4">
        <v>1.3335387925365101E-7</v>
      </c>
      <c r="G2618" s="4">
        <v>1.32851669031964E-6</v>
      </c>
      <c r="H2618" s="3" t="str">
        <f>"NBN"</f>
        <v>NBN</v>
      </c>
      <c r="I2618" s="3" t="str">
        <f>"protein_coding"</f>
        <v>protein_coding</v>
      </c>
    </row>
    <row r="2619" spans="1:9" x14ac:dyDescent="0.2">
      <c r="A2619" s="3" t="str">
        <f>"ENSG00000123119.12"</f>
        <v>ENSG00000123119.12</v>
      </c>
      <c r="B2619" s="3">
        <v>7.7394196157822002</v>
      </c>
      <c r="C2619" s="3">
        <v>6.34281637764356</v>
      </c>
      <c r="D2619" s="3">
        <v>1.90790320796502</v>
      </c>
      <c r="E2619" s="3">
        <v>3.3244958922254999</v>
      </c>
      <c r="F2619" s="3">
        <v>8.8578538351915897E-4</v>
      </c>
      <c r="G2619" s="3">
        <v>3.9650064637336098E-3</v>
      </c>
      <c r="H2619" s="3" t="str">
        <f>"NECAB1"</f>
        <v>NECAB1</v>
      </c>
      <c r="I2619" s="3" t="str">
        <f>"protein_coding"</f>
        <v>protein_coding</v>
      </c>
    </row>
    <row r="2620" spans="1:9" x14ac:dyDescent="0.2">
      <c r="A2620" s="3" t="str">
        <f>"ENSG00000248858.7"</f>
        <v>ENSG00000248858.7</v>
      </c>
      <c r="B2620" s="3">
        <v>60.421800576789998</v>
      </c>
      <c r="C2620" s="3">
        <v>1.1394773495723001</v>
      </c>
      <c r="D2620" s="3">
        <v>0.467335098381017</v>
      </c>
      <c r="E2620" s="3">
        <v>2.43824474883179</v>
      </c>
      <c r="F2620" s="3">
        <v>1.47587776492758E-2</v>
      </c>
      <c r="G2620" s="3">
        <v>4.3963311972211302E-2</v>
      </c>
      <c r="H2620" s="3" t="str">
        <f>"AC104211.1"</f>
        <v>AC104211.1</v>
      </c>
      <c r="I2620" s="3" t="str">
        <f>"processed_transcript"</f>
        <v>processed_transcript</v>
      </c>
    </row>
    <row r="2621" spans="1:9" x14ac:dyDescent="0.2">
      <c r="A2621" s="3" t="str">
        <f>"ENSG00000271971.1"</f>
        <v>ENSG00000271971.1</v>
      </c>
      <c r="B2621" s="3">
        <v>92.125428887715998</v>
      </c>
      <c r="C2621" s="3">
        <v>1.44592426653895</v>
      </c>
      <c r="D2621" s="3">
        <v>0.40062405547182001</v>
      </c>
      <c r="E2621" s="3">
        <v>3.60917984526932</v>
      </c>
      <c r="F2621" s="3">
        <v>3.07166608988864E-4</v>
      </c>
      <c r="G2621" s="3">
        <v>1.5570775957612301E-3</v>
      </c>
      <c r="H2621" s="3" t="str">
        <f>"AC120053.1"</f>
        <v>AC120053.1</v>
      </c>
      <c r="I2621" s="3" t="str">
        <f>"antisense"</f>
        <v>antisense</v>
      </c>
    </row>
    <row r="2622" spans="1:9" x14ac:dyDescent="0.2">
      <c r="A2622" s="3" t="str">
        <f>"ENSG00000265817.3"</f>
        <v>ENSG00000265817.3</v>
      </c>
      <c r="B2622" s="3">
        <v>342.58696701889397</v>
      </c>
      <c r="C2622" s="3">
        <v>-1.37881084725812</v>
      </c>
      <c r="D2622" s="3">
        <v>0.26956891970001901</v>
      </c>
      <c r="E2622" s="3">
        <v>-5.1148732160683901</v>
      </c>
      <c r="F2622" s="4">
        <v>3.1395175728149398E-7</v>
      </c>
      <c r="G2622" s="4">
        <v>2.9275302979633399E-6</v>
      </c>
      <c r="H2622" s="3" t="str">
        <f>"FSBP"</f>
        <v>FSBP</v>
      </c>
      <c r="I2622" s="3" t="str">
        <f>"protein_coding"</f>
        <v>protein_coding</v>
      </c>
    </row>
    <row r="2623" spans="1:9" x14ac:dyDescent="0.2">
      <c r="A2623" s="3" t="str">
        <f>"ENSG00000175305.17"</f>
        <v>ENSG00000175305.17</v>
      </c>
      <c r="B2623" s="3">
        <v>114.952616378191</v>
      </c>
      <c r="C2623" s="3">
        <v>-1.2111050122168201</v>
      </c>
      <c r="D2623" s="3">
        <v>0.349046048143551</v>
      </c>
      <c r="E2623" s="3">
        <v>-3.4697571241910401</v>
      </c>
      <c r="F2623" s="3">
        <v>5.2092918943071704E-4</v>
      </c>
      <c r="G2623" s="3">
        <v>2.4866428914538802E-3</v>
      </c>
      <c r="H2623" s="3" t="str">
        <f>"CCNE2"</f>
        <v>CCNE2</v>
      </c>
      <c r="I2623" s="3" t="str">
        <f>"protein_coding"</f>
        <v>protein_coding</v>
      </c>
    </row>
    <row r="2624" spans="1:9" x14ac:dyDescent="0.2">
      <c r="A2624" s="3" t="str">
        <f>"ENSG00000164938.14"</f>
        <v>ENSG00000164938.14</v>
      </c>
      <c r="B2624" s="3">
        <v>8346.0306599899304</v>
      </c>
      <c r="C2624" s="3">
        <v>3.8577223896015602</v>
      </c>
      <c r="D2624" s="3">
        <v>0.17856783145031399</v>
      </c>
      <c r="E2624" s="3">
        <v>21.6036805636795</v>
      </c>
      <c r="F2624" s="4">
        <v>1.65859576732464E-103</v>
      </c>
      <c r="G2624" s="4">
        <v>2.2595879436147201E-100</v>
      </c>
      <c r="H2624" s="3" t="str">
        <f>"TP53INP1"</f>
        <v>TP53INP1</v>
      </c>
      <c r="I2624" s="3" t="str">
        <f>"protein_coding"</f>
        <v>protein_coding</v>
      </c>
    </row>
    <row r="2625" spans="1:9" x14ac:dyDescent="0.2">
      <c r="A2625" s="3" t="str">
        <f>"ENSG00000253878.5"</f>
        <v>ENSG00000253878.5</v>
      </c>
      <c r="B2625" s="3">
        <v>201.420754623232</v>
      </c>
      <c r="C2625" s="3">
        <v>1.9008292454949101</v>
      </c>
      <c r="D2625" s="3">
        <v>0.30469541064354799</v>
      </c>
      <c r="E2625" s="3">
        <v>6.2384570922159996</v>
      </c>
      <c r="F2625" s="4">
        <v>4.4190779716823098E-10</v>
      </c>
      <c r="G2625" s="4">
        <v>6.2516416144562702E-9</v>
      </c>
      <c r="H2625" s="3" t="str">
        <f>"AC087752.3"</f>
        <v>AC087752.3</v>
      </c>
      <c r="I2625" s="3" t="str">
        <f>"sense_intronic"</f>
        <v>sense_intronic</v>
      </c>
    </row>
    <row r="2626" spans="1:9" x14ac:dyDescent="0.2">
      <c r="A2626" s="3" t="str">
        <f>"ENSG00000156469.8"</f>
        <v>ENSG00000156469.8</v>
      </c>
      <c r="B2626" s="3">
        <v>231.87446337493799</v>
      </c>
      <c r="C2626" s="3">
        <v>-1.0147150296854599</v>
      </c>
      <c r="D2626" s="3">
        <v>0.29901975278292497</v>
      </c>
      <c r="E2626" s="3">
        <v>-3.3934715691578399</v>
      </c>
      <c r="F2626" s="3">
        <v>6.90127219036697E-4</v>
      </c>
      <c r="G2626" s="3">
        <v>3.1968541885570999E-3</v>
      </c>
      <c r="H2626" s="3" t="str">
        <f>"MTERF3"</f>
        <v>MTERF3</v>
      </c>
      <c r="I2626" s="3" t="str">
        <f t="shared" ref="I2626:I2632" si="126">"protein_coding"</f>
        <v>protein_coding</v>
      </c>
    </row>
    <row r="2627" spans="1:9" x14ac:dyDescent="0.2">
      <c r="A2627" s="3" t="str">
        <f>"ENSG00000156471.12"</f>
        <v>ENSG00000156471.12</v>
      </c>
      <c r="B2627" s="3">
        <v>2047.57796987396</v>
      </c>
      <c r="C2627" s="3">
        <v>-1.9698451882941801</v>
      </c>
      <c r="D2627" s="3">
        <v>0.18941005885662901</v>
      </c>
      <c r="E2627" s="3">
        <v>-10.399897450986099</v>
      </c>
      <c r="F2627" s="4">
        <v>2.4820016291506599E-25</v>
      </c>
      <c r="G2627" s="4">
        <v>1.42673203353308E-23</v>
      </c>
      <c r="H2627" s="3" t="str">
        <f>"PTDSS1"</f>
        <v>PTDSS1</v>
      </c>
      <c r="I2627" s="3" t="str">
        <f t="shared" si="126"/>
        <v>protein_coding</v>
      </c>
    </row>
    <row r="2628" spans="1:9" x14ac:dyDescent="0.2">
      <c r="A2628" s="3" t="str">
        <f>"ENSG00000180543.4"</f>
        <v>ENSG00000180543.4</v>
      </c>
      <c r="B2628" s="3">
        <v>7.1566041485014402</v>
      </c>
      <c r="C2628" s="3">
        <v>6.2348322409822696</v>
      </c>
      <c r="D2628" s="3">
        <v>1.8739066662439701</v>
      </c>
      <c r="E2628" s="3">
        <v>3.32718398055506</v>
      </c>
      <c r="F2628" s="3">
        <v>8.7728431726666605E-4</v>
      </c>
      <c r="G2628" s="3">
        <v>3.9334154669351399E-3</v>
      </c>
      <c r="H2628" s="3" t="str">
        <f>"TSPYL5"</f>
        <v>TSPYL5</v>
      </c>
      <c r="I2628" s="3" t="str">
        <f t="shared" si="126"/>
        <v>protein_coding</v>
      </c>
    </row>
    <row r="2629" spans="1:9" x14ac:dyDescent="0.2">
      <c r="A2629" s="3" t="str">
        <f>"ENSG00000177459.11"</f>
        <v>ENSG00000177459.11</v>
      </c>
      <c r="B2629" s="3">
        <v>7.8179507750515</v>
      </c>
      <c r="C2629" s="3">
        <v>3.8180540520935402</v>
      </c>
      <c r="D2629" s="3">
        <v>1.5079636239337899</v>
      </c>
      <c r="E2629" s="3">
        <v>2.5319271575884899</v>
      </c>
      <c r="F2629" s="3">
        <v>1.1343755412540501E-2</v>
      </c>
      <c r="G2629" s="3">
        <v>3.5335921313077598E-2</v>
      </c>
      <c r="H2629" s="3" t="str">
        <f>"ERICH5"</f>
        <v>ERICH5</v>
      </c>
      <c r="I2629" s="3" t="str">
        <f t="shared" si="126"/>
        <v>protein_coding</v>
      </c>
    </row>
    <row r="2630" spans="1:9" x14ac:dyDescent="0.2">
      <c r="A2630" s="3" t="str">
        <f>"ENSG00000132554.20"</f>
        <v>ENSG00000132554.20</v>
      </c>
      <c r="B2630" s="3">
        <v>11.595730324701799</v>
      </c>
      <c r="C2630" s="3">
        <v>3.8059524816440198</v>
      </c>
      <c r="D2630" s="3">
        <v>1.2384171727579301</v>
      </c>
      <c r="E2630" s="3">
        <v>3.07323942639478</v>
      </c>
      <c r="F2630" s="3">
        <v>2.1174852273343598E-3</v>
      </c>
      <c r="G2630" s="3">
        <v>8.4758513279241006E-3</v>
      </c>
      <c r="H2630" s="3" t="str">
        <f>"RGS22"</f>
        <v>RGS22</v>
      </c>
      <c r="I2630" s="3" t="str">
        <f t="shared" si="126"/>
        <v>protein_coding</v>
      </c>
    </row>
    <row r="2631" spans="1:9" x14ac:dyDescent="0.2">
      <c r="A2631" s="3" t="str">
        <f>"ENSG00000156509.14"</f>
        <v>ENSG00000156509.14</v>
      </c>
      <c r="B2631" s="3">
        <v>140.01252726976799</v>
      </c>
      <c r="C2631" s="3">
        <v>-1.2066028413657901</v>
      </c>
      <c r="D2631" s="3">
        <v>0.340141743784378</v>
      </c>
      <c r="E2631" s="3">
        <v>-3.5473530180132098</v>
      </c>
      <c r="F2631" s="3">
        <v>3.8912280794106598E-4</v>
      </c>
      <c r="G2631" s="3">
        <v>1.92212276069076E-3</v>
      </c>
      <c r="H2631" s="3" t="str">
        <f>"FBXO43"</f>
        <v>FBXO43</v>
      </c>
      <c r="I2631" s="3" t="str">
        <f t="shared" si="126"/>
        <v>protein_coding</v>
      </c>
    </row>
    <row r="2632" spans="1:9" x14ac:dyDescent="0.2">
      <c r="A2632" s="3" t="str">
        <f>"ENSG00000104450.12"</f>
        <v>ENSG00000104450.12</v>
      </c>
      <c r="B2632" s="3">
        <v>1144.6801943881401</v>
      </c>
      <c r="C2632" s="3">
        <v>1.75812915223105</v>
      </c>
      <c r="D2632" s="3">
        <v>0.20572795576271699</v>
      </c>
      <c r="E2632" s="3">
        <v>8.5458932681897899</v>
      </c>
      <c r="F2632" s="4">
        <v>1.27545853175469E-17</v>
      </c>
      <c r="G2632" s="4">
        <v>4.0129813642863802E-16</v>
      </c>
      <c r="H2632" s="3" t="str">
        <f>"SPAG1"</f>
        <v>SPAG1</v>
      </c>
      <c r="I2632" s="3" t="str">
        <f t="shared" si="126"/>
        <v>protein_coding</v>
      </c>
    </row>
    <row r="2633" spans="1:9" x14ac:dyDescent="0.2">
      <c r="A2633" s="3" t="str">
        <f>"ENSG00000253666.1"</f>
        <v>ENSG00000253666.1</v>
      </c>
      <c r="B2633" s="3">
        <v>167.54768300641399</v>
      </c>
      <c r="C2633" s="3">
        <v>4.4202648338792798</v>
      </c>
      <c r="D2633" s="3">
        <v>0.40212583551750097</v>
      </c>
      <c r="E2633" s="3">
        <v>10.992242834113799</v>
      </c>
      <c r="F2633" s="4">
        <v>4.1644685156683398E-28</v>
      </c>
      <c r="G2633" s="4">
        <v>2.8296576969180902E-26</v>
      </c>
      <c r="H2633" s="3" t="str">
        <f>"AP000424.1"</f>
        <v>AP000424.1</v>
      </c>
      <c r="I2633" s="3" t="str">
        <f>"antisense"</f>
        <v>antisense</v>
      </c>
    </row>
    <row r="2634" spans="1:9" x14ac:dyDescent="0.2">
      <c r="A2634" s="3" t="str">
        <f>"ENSG00000254364.1"</f>
        <v>ENSG00000254364.1</v>
      </c>
      <c r="B2634" s="3">
        <v>15.052999345002201</v>
      </c>
      <c r="C2634" s="3">
        <v>7.3112976470902904</v>
      </c>
      <c r="D2634" s="3">
        <v>1.6778110466952001</v>
      </c>
      <c r="E2634" s="3">
        <v>4.3576406660877698</v>
      </c>
      <c r="F2634" s="4">
        <v>1.3147200061689999E-5</v>
      </c>
      <c r="G2634" s="4">
        <v>9.1104211617718005E-5</v>
      </c>
      <c r="H2634" s="3" t="str">
        <f>"AP000424.2"</f>
        <v>AP000424.2</v>
      </c>
      <c r="I2634" s="3" t="str">
        <f>"antisense"</f>
        <v>antisense</v>
      </c>
    </row>
    <row r="2635" spans="1:9" x14ac:dyDescent="0.2">
      <c r="A2635" s="3" t="str">
        <f>"ENSG00000048392.11"</f>
        <v>ENSG00000048392.11</v>
      </c>
      <c r="B2635" s="3">
        <v>8931.7823565424096</v>
      </c>
      <c r="C2635" s="3">
        <v>3.2387140040939002</v>
      </c>
      <c r="D2635" s="3">
        <v>0.17880597321924399</v>
      </c>
      <c r="E2635" s="3">
        <v>18.113007892206799</v>
      </c>
      <c r="F2635" s="4">
        <v>2.5161689660139802E-73</v>
      </c>
      <c r="G2635" s="4">
        <v>1.37116111633966E-70</v>
      </c>
      <c r="H2635" s="3" t="str">
        <f>"RRM2B"</f>
        <v>RRM2B</v>
      </c>
      <c r="I2635" s="3" t="str">
        <f>"protein_coding"</f>
        <v>protein_coding</v>
      </c>
    </row>
    <row r="2636" spans="1:9" x14ac:dyDescent="0.2">
      <c r="A2636" s="3" t="str">
        <f>"ENSG00000246263.2"</f>
        <v>ENSG00000246263.2</v>
      </c>
      <c r="B2636" s="3">
        <v>159.027965497297</v>
      </c>
      <c r="C2636" s="3">
        <v>2.8485090699905999</v>
      </c>
      <c r="D2636" s="3">
        <v>0.34562316599609</v>
      </c>
      <c r="E2636" s="3">
        <v>8.2416612954203003</v>
      </c>
      <c r="F2636" s="4">
        <v>1.69835778908967E-16</v>
      </c>
      <c r="G2636" s="4">
        <v>4.8455659350079796E-15</v>
      </c>
      <c r="H2636" s="3" t="str">
        <f>"UBR5-AS1"</f>
        <v>UBR5-AS1</v>
      </c>
      <c r="I2636" s="3" t="str">
        <f>"antisense"</f>
        <v>antisense</v>
      </c>
    </row>
    <row r="2637" spans="1:9" x14ac:dyDescent="0.2">
      <c r="A2637" s="3" t="str">
        <f>"ENSG00000272037.1"</f>
        <v>ENSG00000272037.1</v>
      </c>
      <c r="B2637" s="3">
        <v>8.9810362472176699</v>
      </c>
      <c r="C2637" s="3">
        <v>3.4160962422572201</v>
      </c>
      <c r="D2637" s="3">
        <v>1.3760934512387599</v>
      </c>
      <c r="E2637" s="3">
        <v>2.48245948644117</v>
      </c>
      <c r="F2637" s="3">
        <v>1.3047890416515001E-2</v>
      </c>
      <c r="G2637" s="3">
        <v>3.9744647308975298E-2</v>
      </c>
      <c r="H2637" s="3" t="str">
        <f>"AP002907.1"</f>
        <v>AP002907.1</v>
      </c>
      <c r="I2637" s="3" t="str">
        <f>"antisense"</f>
        <v>antisense</v>
      </c>
    </row>
    <row r="2638" spans="1:9" x14ac:dyDescent="0.2">
      <c r="A2638" s="3" t="str">
        <f>"ENSG00000283959.1"</f>
        <v>ENSG00000283959.1</v>
      </c>
      <c r="B2638" s="3">
        <v>15.6809457581559</v>
      </c>
      <c r="C2638" s="3">
        <v>5.9006399765780602</v>
      </c>
      <c r="D2638" s="3">
        <v>1.6498714192750601</v>
      </c>
      <c r="E2638" s="3">
        <v>3.57642414290124</v>
      </c>
      <c r="F2638" s="3">
        <v>3.4832633218230601E-4</v>
      </c>
      <c r="G2638" s="3">
        <v>1.73920607897587E-3</v>
      </c>
      <c r="H2638" s="3" t="str">
        <f>"AP002851.1"</f>
        <v>AP002851.1</v>
      </c>
      <c r="I2638" s="3" t="str">
        <f>"bidirectional_promoter_lncRNA"</f>
        <v>bidirectional_promoter_lncRNA</v>
      </c>
    </row>
    <row r="2639" spans="1:9" x14ac:dyDescent="0.2">
      <c r="A2639" s="3" t="str">
        <f>"ENSG00000164929.17"</f>
        <v>ENSG00000164929.17</v>
      </c>
      <c r="B2639" s="3">
        <v>3.7443793362539499</v>
      </c>
      <c r="C2639" s="3">
        <v>5.3028405840866704</v>
      </c>
      <c r="D2639" s="3">
        <v>2.1958005004532399</v>
      </c>
      <c r="E2639" s="3">
        <v>2.4149919735386298</v>
      </c>
      <c r="F2639" s="3">
        <v>1.5735556439619401E-2</v>
      </c>
      <c r="G2639" s="3">
        <v>4.6361019280959197E-2</v>
      </c>
      <c r="H2639" s="3" t="str">
        <f>"BAALC"</f>
        <v>BAALC</v>
      </c>
      <c r="I2639" s="3" t="str">
        <f>"protein_coding"</f>
        <v>protein_coding</v>
      </c>
    </row>
    <row r="2640" spans="1:9" x14ac:dyDescent="0.2">
      <c r="A2640" s="3" t="str">
        <f>"ENSG00000247081.7"</f>
        <v>ENSG00000247081.7</v>
      </c>
      <c r="B2640" s="3">
        <v>100.155688917079</v>
      </c>
      <c r="C2640" s="3">
        <v>4.4436408360235804</v>
      </c>
      <c r="D2640" s="3">
        <v>0.51016634143263395</v>
      </c>
      <c r="E2640" s="3">
        <v>8.7101803375445694</v>
      </c>
      <c r="F2640" s="4">
        <v>3.0339173175953899E-18</v>
      </c>
      <c r="G2640" s="4">
        <v>1.00443675762481E-16</v>
      </c>
      <c r="H2640" s="3" t="str">
        <f>"BAALC-AS1"</f>
        <v>BAALC-AS1</v>
      </c>
      <c r="I2640" s="3" t="str">
        <f>"antisense"</f>
        <v>antisense</v>
      </c>
    </row>
    <row r="2641" spans="1:9" x14ac:dyDescent="0.2">
      <c r="A2641" s="3" t="str">
        <f>"ENSG00000253851.1"</f>
        <v>ENSG00000253851.1</v>
      </c>
      <c r="B2641" s="3">
        <v>4.6985932227208096</v>
      </c>
      <c r="C2641" s="3">
        <v>5.62982837124685</v>
      </c>
      <c r="D2641" s="3">
        <v>2.0642529017708502</v>
      </c>
      <c r="E2641" s="3">
        <v>2.7272958494655399</v>
      </c>
      <c r="F2641" s="3">
        <v>6.3855757645927104E-3</v>
      </c>
      <c r="G2641" s="3">
        <v>2.1811179999731398E-2</v>
      </c>
      <c r="H2641" s="3" t="str">
        <f>"AC025370.1"</f>
        <v>AC025370.1</v>
      </c>
      <c r="I2641" s="3" t="str">
        <f>"antisense"</f>
        <v>antisense</v>
      </c>
    </row>
    <row r="2642" spans="1:9" x14ac:dyDescent="0.2">
      <c r="A2642" s="3" t="str">
        <f>"ENSG00000164930.12"</f>
        <v>ENSG00000164930.12</v>
      </c>
      <c r="B2642" s="3">
        <v>1263.3643260860099</v>
      </c>
      <c r="C2642" s="3">
        <v>1.3988372822614099</v>
      </c>
      <c r="D2642" s="3">
        <v>0.20039367041426501</v>
      </c>
      <c r="E2642" s="3">
        <v>6.9804464351077398</v>
      </c>
      <c r="F2642" s="4">
        <v>2.9424353389626999E-12</v>
      </c>
      <c r="G2642" s="4">
        <v>5.5063554725766898E-11</v>
      </c>
      <c r="H2642" s="3" t="str">
        <f>"FZD6"</f>
        <v>FZD6</v>
      </c>
      <c r="I2642" s="3" t="str">
        <f t="shared" ref="I2642:I2653" si="127">"protein_coding"</f>
        <v>protein_coding</v>
      </c>
    </row>
    <row r="2643" spans="1:9" x14ac:dyDescent="0.2">
      <c r="A2643" s="3" t="str">
        <f>"ENSG00000164932.13"</f>
        <v>ENSG00000164932.13</v>
      </c>
      <c r="B2643" s="3">
        <v>377.01990877853899</v>
      </c>
      <c r="C2643" s="3">
        <v>1.01144354254904</v>
      </c>
      <c r="D2643" s="3">
        <v>0.249757610437574</v>
      </c>
      <c r="E2643" s="3">
        <v>4.0497005908128303</v>
      </c>
      <c r="F2643" s="4">
        <v>5.1283203810910298E-5</v>
      </c>
      <c r="G2643" s="3">
        <v>3.1301824691663799E-4</v>
      </c>
      <c r="H2643" s="3" t="str">
        <f>"CTHRC1"</f>
        <v>CTHRC1</v>
      </c>
      <c r="I2643" s="3" t="str">
        <f t="shared" si="127"/>
        <v>protein_coding</v>
      </c>
    </row>
    <row r="2644" spans="1:9" x14ac:dyDescent="0.2">
      <c r="A2644" s="3" t="str">
        <f>"ENSG00000164933.12"</f>
        <v>ENSG00000164933.12</v>
      </c>
      <c r="B2644" s="3">
        <v>347.71174837638398</v>
      </c>
      <c r="C2644" s="3">
        <v>-1.1084022254452699</v>
      </c>
      <c r="D2644" s="3">
        <v>0.27127050162272498</v>
      </c>
      <c r="E2644" s="3">
        <v>-4.0859666599017004</v>
      </c>
      <c r="F2644" s="4">
        <v>4.3893681460376702E-5</v>
      </c>
      <c r="G2644" s="3">
        <v>2.7137988172246103E-4</v>
      </c>
      <c r="H2644" s="3" t="str">
        <f>"SLC25A32"</f>
        <v>SLC25A32</v>
      </c>
      <c r="I2644" s="3" t="str">
        <f t="shared" si="127"/>
        <v>protein_coding</v>
      </c>
    </row>
    <row r="2645" spans="1:9" x14ac:dyDescent="0.2">
      <c r="A2645" s="3" t="str">
        <f>"ENSG00000176406.22"</f>
        <v>ENSG00000176406.22</v>
      </c>
      <c r="B2645" s="3">
        <v>55.006282679235603</v>
      </c>
      <c r="C2645" s="3">
        <v>6.7195081759130204</v>
      </c>
      <c r="D2645" s="3">
        <v>1.1295493880374901</v>
      </c>
      <c r="E2645" s="3">
        <v>5.9488396409011299</v>
      </c>
      <c r="F2645" s="4">
        <v>2.7005004463643399E-9</v>
      </c>
      <c r="G2645" s="4">
        <v>3.4593575769670601E-8</v>
      </c>
      <c r="H2645" s="3" t="str">
        <f>"RIMS2"</f>
        <v>RIMS2</v>
      </c>
      <c r="I2645" s="3" t="str">
        <f t="shared" si="127"/>
        <v>protein_coding</v>
      </c>
    </row>
    <row r="2646" spans="1:9" x14ac:dyDescent="0.2">
      <c r="A2646" s="3" t="str">
        <f>"ENSG00000169946.14"</f>
        <v>ENSG00000169946.14</v>
      </c>
      <c r="B2646" s="3">
        <v>7.7120743520416397</v>
      </c>
      <c r="C2646" s="3">
        <v>4.8458906252752403</v>
      </c>
      <c r="D2646" s="3">
        <v>1.82629528019091</v>
      </c>
      <c r="E2646" s="3">
        <v>2.6533993039552102</v>
      </c>
      <c r="F2646" s="3">
        <v>7.9685542442490404E-3</v>
      </c>
      <c r="G2646" s="3">
        <v>2.6291983227543399E-2</v>
      </c>
      <c r="H2646" s="3" t="str">
        <f>"ZFPM2"</f>
        <v>ZFPM2</v>
      </c>
      <c r="I2646" s="3" t="str">
        <f t="shared" si="127"/>
        <v>protein_coding</v>
      </c>
    </row>
    <row r="2647" spans="1:9" x14ac:dyDescent="0.2">
      <c r="A2647" s="3" t="str">
        <f>"ENSG00000154188.10"</f>
        <v>ENSG00000154188.10</v>
      </c>
      <c r="B2647" s="3">
        <v>6.3835807860682898</v>
      </c>
      <c r="C2647" s="3">
        <v>6.0663805584349602</v>
      </c>
      <c r="D2647" s="3">
        <v>1.94430333655855</v>
      </c>
      <c r="E2647" s="3">
        <v>3.1200792820592298</v>
      </c>
      <c r="F2647" s="3">
        <v>1.8080236976030901E-3</v>
      </c>
      <c r="G2647" s="3">
        <v>7.3880056521582697E-3</v>
      </c>
      <c r="H2647" s="3" t="str">
        <f>"ANGPT1"</f>
        <v>ANGPT1</v>
      </c>
      <c r="I2647" s="3" t="str">
        <f t="shared" si="127"/>
        <v>protein_coding</v>
      </c>
    </row>
    <row r="2648" spans="1:9" x14ac:dyDescent="0.2">
      <c r="A2648" s="3" t="str">
        <f>"ENSG00000205038.12"</f>
        <v>ENSG00000205038.12</v>
      </c>
      <c r="B2648" s="3">
        <v>20.5458250830984</v>
      </c>
      <c r="C2648" s="3">
        <v>7.7536065166182198</v>
      </c>
      <c r="D2648" s="3">
        <v>1.63214494392882</v>
      </c>
      <c r="E2648" s="3">
        <v>4.7505624702387896</v>
      </c>
      <c r="F2648" s="4">
        <v>2.02851614057324E-6</v>
      </c>
      <c r="G2648" s="4">
        <v>1.6469302527472899E-5</v>
      </c>
      <c r="H2648" s="3" t="str">
        <f>"PKHD1L1"</f>
        <v>PKHD1L1</v>
      </c>
      <c r="I2648" s="3" t="str">
        <f t="shared" si="127"/>
        <v>protein_coding</v>
      </c>
    </row>
    <row r="2649" spans="1:9" x14ac:dyDescent="0.2">
      <c r="A2649" s="3" t="str">
        <f>"ENSG00000147642.17"</f>
        <v>ENSG00000147642.17</v>
      </c>
      <c r="B2649" s="3">
        <v>182.400513030452</v>
      </c>
      <c r="C2649" s="3">
        <v>-2.05313082160042</v>
      </c>
      <c r="D2649" s="3">
        <v>0.31982896292872398</v>
      </c>
      <c r="E2649" s="3">
        <v>-6.4194649627712899</v>
      </c>
      <c r="F2649" s="4">
        <v>1.3675412567547999E-10</v>
      </c>
      <c r="G2649" s="4">
        <v>2.0863044021723399E-9</v>
      </c>
      <c r="H2649" s="3" t="str">
        <f>"SYBU"</f>
        <v>SYBU</v>
      </c>
      <c r="I2649" s="3" t="str">
        <f t="shared" si="127"/>
        <v>protein_coding</v>
      </c>
    </row>
    <row r="2650" spans="1:9" x14ac:dyDescent="0.2">
      <c r="A2650" s="3" t="str">
        <f>"ENSG00000164796.18"</f>
        <v>ENSG00000164796.18</v>
      </c>
      <c r="B2650" s="3">
        <v>203.106137192185</v>
      </c>
      <c r="C2650" s="3">
        <v>4.6057630927417303</v>
      </c>
      <c r="D2650" s="3">
        <v>0.41716795533030299</v>
      </c>
      <c r="E2650" s="3">
        <v>11.0405486181099</v>
      </c>
      <c r="F2650" s="4">
        <v>2.4354159802838299E-28</v>
      </c>
      <c r="G2650" s="4">
        <v>1.6799437775897099E-26</v>
      </c>
      <c r="H2650" s="3" t="str">
        <f>"CSMD3"</f>
        <v>CSMD3</v>
      </c>
      <c r="I2650" s="3" t="str">
        <f t="shared" si="127"/>
        <v>protein_coding</v>
      </c>
    </row>
    <row r="2651" spans="1:9" x14ac:dyDescent="0.2">
      <c r="A2651" s="3" t="str">
        <f>"ENSG00000177570.14"</f>
        <v>ENSG00000177570.14</v>
      </c>
      <c r="B2651" s="3">
        <v>18.181591113001701</v>
      </c>
      <c r="C2651" s="3">
        <v>2.2819552399174299</v>
      </c>
      <c r="D2651" s="3">
        <v>0.838943452795338</v>
      </c>
      <c r="E2651" s="3">
        <v>2.7200346248773002</v>
      </c>
      <c r="F2651" s="3">
        <v>6.5275080889932802E-3</v>
      </c>
      <c r="G2651" s="3">
        <v>2.2223542784056E-2</v>
      </c>
      <c r="H2651" s="3" t="str">
        <f>"SAMD12"</f>
        <v>SAMD12</v>
      </c>
      <c r="I2651" s="3" t="str">
        <f t="shared" si="127"/>
        <v>protein_coding</v>
      </c>
    </row>
    <row r="2652" spans="1:9" x14ac:dyDescent="0.2">
      <c r="A2652" s="3" t="str">
        <f>"ENSG00000187955.12"</f>
        <v>ENSG00000187955.12</v>
      </c>
      <c r="B2652" s="3">
        <v>22.505438751560899</v>
      </c>
      <c r="C2652" s="3">
        <v>4.8073480609900496</v>
      </c>
      <c r="D2652" s="3">
        <v>1.06995645802921</v>
      </c>
      <c r="E2652" s="3">
        <v>4.4930314919962804</v>
      </c>
      <c r="F2652" s="4">
        <v>7.0216396310143404E-6</v>
      </c>
      <c r="G2652" s="4">
        <v>5.1374493830893597E-5</v>
      </c>
      <c r="H2652" s="3" t="str">
        <f>"COL14A1"</f>
        <v>COL14A1</v>
      </c>
      <c r="I2652" s="3" t="str">
        <f t="shared" si="127"/>
        <v>protein_coding</v>
      </c>
    </row>
    <row r="2653" spans="1:9" x14ac:dyDescent="0.2">
      <c r="A2653" s="3" t="str">
        <f>"ENSG00000172164.15"</f>
        <v>ENSG00000172164.15</v>
      </c>
      <c r="B2653" s="3">
        <v>6260.7494425621098</v>
      </c>
      <c r="C2653" s="3">
        <v>-2.0646745816836201</v>
      </c>
      <c r="D2653" s="3">
        <v>0.173647720532773</v>
      </c>
      <c r="E2653" s="3">
        <v>-11.8900183391348</v>
      </c>
      <c r="F2653" s="4">
        <v>1.3337729582433801E-32</v>
      </c>
      <c r="G2653" s="4">
        <v>1.21137705977524E-30</v>
      </c>
      <c r="H2653" s="3" t="str">
        <f>"SNTB1"</f>
        <v>SNTB1</v>
      </c>
      <c r="I2653" s="3" t="str">
        <f t="shared" si="127"/>
        <v>protein_coding</v>
      </c>
    </row>
    <row r="2654" spans="1:9" x14ac:dyDescent="0.2">
      <c r="A2654" s="3" t="str">
        <f>"ENSG00000250290.1"</f>
        <v>ENSG00000250290.1</v>
      </c>
      <c r="B2654" s="3">
        <v>120.2258821379</v>
      </c>
      <c r="C2654" s="3">
        <v>-1.5735566471473501</v>
      </c>
      <c r="D2654" s="3">
        <v>0.367313176879425</v>
      </c>
      <c r="E2654" s="3">
        <v>-4.28396460076869</v>
      </c>
      <c r="F2654" s="4">
        <v>1.83592135572772E-5</v>
      </c>
      <c r="G2654" s="3">
        <v>1.2278681683729301E-4</v>
      </c>
      <c r="H2654" s="3" t="str">
        <f>"NCAPGP1"</f>
        <v>NCAPGP1</v>
      </c>
      <c r="I2654" s="3" t="str">
        <f>"processed_pseudogene"</f>
        <v>processed_pseudogene</v>
      </c>
    </row>
    <row r="2655" spans="1:9" x14ac:dyDescent="0.2">
      <c r="A2655" s="3" t="str">
        <f>"ENSG00000272502.1"</f>
        <v>ENSG00000272502.1</v>
      </c>
      <c r="B2655" s="3">
        <v>379.300195935001</v>
      </c>
      <c r="C2655" s="3">
        <v>-1.74238853102692</v>
      </c>
      <c r="D2655" s="3">
        <v>0.246327030885579</v>
      </c>
      <c r="E2655" s="3">
        <v>-7.0734767709528201</v>
      </c>
      <c r="F2655" s="4">
        <v>1.51099226509096E-12</v>
      </c>
      <c r="G2655" s="4">
        <v>2.9365197037755597E-11</v>
      </c>
      <c r="H2655" s="3" t="str">
        <f>"AC104958.2"</f>
        <v>AC104958.2</v>
      </c>
      <c r="I2655" s="3" t="str">
        <f>"antisense"</f>
        <v>antisense</v>
      </c>
    </row>
    <row r="2656" spans="1:9" x14ac:dyDescent="0.2">
      <c r="A2656" s="3" t="str">
        <f>"ENSG00000156802.13"</f>
        <v>ENSG00000156802.13</v>
      </c>
      <c r="B2656" s="3">
        <v>6645.1346485399999</v>
      </c>
      <c r="C2656" s="3">
        <v>-1.77061964168803</v>
      </c>
      <c r="D2656" s="3">
        <v>0.17177959677343099</v>
      </c>
      <c r="E2656" s="3">
        <v>-10.3075084290912</v>
      </c>
      <c r="F2656" s="4">
        <v>6.5168944997925899E-25</v>
      </c>
      <c r="G2656" s="4">
        <v>3.6090614722733498E-23</v>
      </c>
      <c r="H2656" s="3" t="str">
        <f>"ATAD2"</f>
        <v>ATAD2</v>
      </c>
      <c r="I2656" s="3" t="str">
        <f>"protein_coding"</f>
        <v>protein_coding</v>
      </c>
    </row>
    <row r="2657" spans="1:9" x14ac:dyDescent="0.2">
      <c r="A2657" s="3" t="str">
        <f>"ENSG00000283172.1"</f>
        <v>ENSG00000283172.1</v>
      </c>
      <c r="B2657" s="3">
        <v>50.2618126038792</v>
      </c>
      <c r="C2657" s="3">
        <v>-2.26838098042602</v>
      </c>
      <c r="D2657" s="3">
        <v>0.54811828641945504</v>
      </c>
      <c r="E2657" s="3">
        <v>-4.1384880538178397</v>
      </c>
      <c r="F2657" s="4">
        <v>3.4960207221752003E-5</v>
      </c>
      <c r="G2657" s="3">
        <v>2.2085804919338701E-4</v>
      </c>
      <c r="H2657" s="3" t="str">
        <f>"MIR548D1"</f>
        <v>MIR548D1</v>
      </c>
      <c r="I2657" s="3" t="str">
        <f>"miRNA"</f>
        <v>miRNA</v>
      </c>
    </row>
    <row r="2658" spans="1:9" x14ac:dyDescent="0.2">
      <c r="A2658" s="3" t="str">
        <f>"ENSG00000156804.7"</f>
        <v>ENSG00000156804.7</v>
      </c>
      <c r="B2658" s="3">
        <v>24.711673922561602</v>
      </c>
      <c r="C2658" s="3">
        <v>2.4368555679534398</v>
      </c>
      <c r="D2658" s="3">
        <v>0.80004729590118495</v>
      </c>
      <c r="E2658" s="3">
        <v>3.04588938733745</v>
      </c>
      <c r="F2658" s="3">
        <v>2.3199316496757502E-3</v>
      </c>
      <c r="G2658" s="3">
        <v>9.1477825844739607E-3</v>
      </c>
      <c r="H2658" s="3" t="str">
        <f>"FBXO32"</f>
        <v>FBXO32</v>
      </c>
      <c r="I2658" s="3" t="str">
        <f>"protein_coding"</f>
        <v>protein_coding</v>
      </c>
    </row>
    <row r="2659" spans="1:9" x14ac:dyDescent="0.2">
      <c r="A2659" s="3" t="str">
        <f>"ENSG00000104537.17"</f>
        <v>ENSG00000104537.17</v>
      </c>
      <c r="B2659" s="3">
        <v>33.526015517219101</v>
      </c>
      <c r="C2659" s="3">
        <v>-1.57229125529434</v>
      </c>
      <c r="D2659" s="3">
        <v>0.61879390760538899</v>
      </c>
      <c r="E2659" s="3">
        <v>-2.5408964696805101</v>
      </c>
      <c r="F2659" s="3">
        <v>1.10568654667343E-2</v>
      </c>
      <c r="G2659" s="3">
        <v>3.4636285740642703E-2</v>
      </c>
      <c r="H2659" s="3" t="str">
        <f>"ANXA13"</f>
        <v>ANXA13</v>
      </c>
      <c r="I2659" s="3" t="str">
        <f>"protein_coding"</f>
        <v>protein_coding</v>
      </c>
    </row>
    <row r="2660" spans="1:9" x14ac:dyDescent="0.2">
      <c r="A2660" s="3" t="str">
        <f>"ENSG00000214814.7"</f>
        <v>ENSG00000214814.7</v>
      </c>
      <c r="B2660" s="3">
        <v>19.960171724407299</v>
      </c>
      <c r="C2660" s="3">
        <v>6.25381298672339</v>
      </c>
      <c r="D2660" s="3">
        <v>1.6090658831609901</v>
      </c>
      <c r="E2660" s="3">
        <v>3.8866108915552098</v>
      </c>
      <c r="F2660" s="3">
        <v>1.0165350061001299E-4</v>
      </c>
      <c r="G2660" s="3">
        <v>5.81295803024562E-4</v>
      </c>
      <c r="H2660" s="3" t="str">
        <f>"FER1L6"</f>
        <v>FER1L6</v>
      </c>
      <c r="I2660" s="3" t="str">
        <f>"protein_coding"</f>
        <v>protein_coding</v>
      </c>
    </row>
    <row r="2661" spans="1:9" x14ac:dyDescent="0.2">
      <c r="A2661" s="3" t="str">
        <f>"ENSG00000245149.3"</f>
        <v>ENSG00000245149.3</v>
      </c>
      <c r="B2661" s="3">
        <v>92.499186824247701</v>
      </c>
      <c r="C2661" s="3">
        <v>-1.0633007251336699</v>
      </c>
      <c r="D2661" s="3">
        <v>0.40710607602246401</v>
      </c>
      <c r="E2661" s="3">
        <v>-2.6118517697461199</v>
      </c>
      <c r="F2661" s="3">
        <v>9.0053290051539496E-3</v>
      </c>
      <c r="G2661" s="3">
        <v>2.9168830171591699E-2</v>
      </c>
      <c r="H2661" s="3" t="str">
        <f>"RNF139-AS1"</f>
        <v>RNF139-AS1</v>
      </c>
      <c r="I2661" s="3" t="str">
        <f>"lincRNA"</f>
        <v>lincRNA</v>
      </c>
    </row>
    <row r="2662" spans="1:9" x14ac:dyDescent="0.2">
      <c r="A2662" s="3" t="str">
        <f>"ENSG00000170873.18"</f>
        <v>ENSG00000170873.18</v>
      </c>
      <c r="B2662" s="3">
        <v>1394.8721232579601</v>
      </c>
      <c r="C2662" s="3">
        <v>-1.8997384011385501</v>
      </c>
      <c r="D2662" s="3">
        <v>0.207661967259168</v>
      </c>
      <c r="E2662" s="3">
        <v>-9.1482250034144403</v>
      </c>
      <c r="F2662" s="4">
        <v>5.7876650857813101E-20</v>
      </c>
      <c r="G2662" s="4">
        <v>2.2242103045456102E-18</v>
      </c>
      <c r="H2662" s="3" t="str">
        <f>"MTSS1"</f>
        <v>MTSS1</v>
      </c>
      <c r="I2662" s="3" t="str">
        <f>"protein_coding"</f>
        <v>protein_coding</v>
      </c>
    </row>
    <row r="2663" spans="1:9" x14ac:dyDescent="0.2">
      <c r="A2663" s="3" t="str">
        <f>"ENSG00000249816.6"</f>
        <v>ENSG00000249816.6</v>
      </c>
      <c r="B2663" s="3">
        <v>8.32841456277127</v>
      </c>
      <c r="C2663" s="3">
        <v>4.9692162781752804</v>
      </c>
      <c r="D2663" s="3">
        <v>1.79884534164371</v>
      </c>
      <c r="E2663" s="3">
        <v>2.7624477564227998</v>
      </c>
      <c r="F2663" s="3">
        <v>5.7369742254835604E-3</v>
      </c>
      <c r="G2663" s="3">
        <v>1.9976400859009699E-2</v>
      </c>
      <c r="H2663" s="3" t="str">
        <f>"LINC00964"</f>
        <v>LINC00964</v>
      </c>
      <c r="I2663" s="3" t="str">
        <f>"lincRNA"</f>
        <v>lincRNA</v>
      </c>
    </row>
    <row r="2664" spans="1:9" x14ac:dyDescent="0.2">
      <c r="A2664" s="3" t="str">
        <f>"ENSG00000104549.12"</f>
        <v>ENSG00000104549.12</v>
      </c>
      <c r="B2664" s="3">
        <v>4790.3006546796796</v>
      </c>
      <c r="C2664" s="3">
        <v>-2.9240792855799902</v>
      </c>
      <c r="D2664" s="3">
        <v>0.19737898047788699</v>
      </c>
      <c r="E2664" s="3">
        <v>-14.814542452799699</v>
      </c>
      <c r="F2664" s="4">
        <v>1.17989944567286E-49</v>
      </c>
      <c r="G2664" s="4">
        <v>2.34662191213492E-47</v>
      </c>
      <c r="H2664" s="3" t="str">
        <f>"SQLE"</f>
        <v>SQLE</v>
      </c>
      <c r="I2664" s="3" t="str">
        <f>"protein_coding"</f>
        <v>protein_coding</v>
      </c>
    </row>
    <row r="2665" spans="1:9" x14ac:dyDescent="0.2">
      <c r="A2665" s="3" t="str">
        <f>"ENSG00000253111.2"</f>
        <v>ENSG00000253111.2</v>
      </c>
      <c r="B2665" s="3">
        <v>16.333610811512301</v>
      </c>
      <c r="C2665" s="3">
        <v>3.5440815209515</v>
      </c>
      <c r="D2665" s="3">
        <v>1.0059914327845501</v>
      </c>
      <c r="E2665" s="3">
        <v>3.52297385986838</v>
      </c>
      <c r="F2665" s="3">
        <v>4.2673344642699302E-4</v>
      </c>
      <c r="G2665" s="3">
        <v>2.08298212375426E-3</v>
      </c>
      <c r="H2665" s="3" t="str">
        <f>"AC091114.1"</f>
        <v>AC091114.1</v>
      </c>
      <c r="I2665" s="3" t="str">
        <f>"lincRNA"</f>
        <v>lincRNA</v>
      </c>
    </row>
    <row r="2666" spans="1:9" x14ac:dyDescent="0.2">
      <c r="A2666" s="3" t="str">
        <f>"ENSG00000286122.1"</f>
        <v>ENSG00000286122.1</v>
      </c>
      <c r="B2666" s="3">
        <v>21.083140869656798</v>
      </c>
      <c r="C2666" s="3">
        <v>2.8343080610119</v>
      </c>
      <c r="D2666" s="3">
        <v>0.84769302308900096</v>
      </c>
      <c r="E2666" s="3">
        <v>3.34355478199367</v>
      </c>
      <c r="F2666" s="3">
        <v>8.2712361605528299E-4</v>
      </c>
      <c r="G2666" s="3">
        <v>3.7367993975556801E-3</v>
      </c>
      <c r="H2666" s="3" t="str">
        <f>"AC016074.2"</f>
        <v>AC016074.2</v>
      </c>
      <c r="I2666" s="3" t="str">
        <f>"lincRNA"</f>
        <v>lincRNA</v>
      </c>
    </row>
    <row r="2667" spans="1:9" x14ac:dyDescent="0.2">
      <c r="A2667" s="3" t="str">
        <f>"ENSG00000168672.4"</f>
        <v>ENSG00000168672.4</v>
      </c>
      <c r="B2667" s="3">
        <v>518.11891245450295</v>
      </c>
      <c r="C2667" s="3">
        <v>3.23126130052264</v>
      </c>
      <c r="D2667" s="3">
        <v>0.246062745461854</v>
      </c>
      <c r="E2667" s="3">
        <v>13.1318590892646</v>
      </c>
      <c r="F2667" s="4">
        <v>2.1628077616701099E-39</v>
      </c>
      <c r="G2667" s="4">
        <v>2.87463527230369E-37</v>
      </c>
      <c r="H2667" s="3" t="str">
        <f>"FAM84B"</f>
        <v>FAM84B</v>
      </c>
      <c r="I2667" s="3" t="str">
        <f>"protein_coding"</f>
        <v>protein_coding</v>
      </c>
    </row>
    <row r="2668" spans="1:9" x14ac:dyDescent="0.2">
      <c r="A2668" s="3" t="str">
        <f>"ENSG00000253438.3"</f>
        <v>ENSG00000253438.3</v>
      </c>
      <c r="B2668" s="3">
        <v>95.571069936190497</v>
      </c>
      <c r="C2668" s="3">
        <v>5.0446251532404496</v>
      </c>
      <c r="D2668" s="3">
        <v>1.16604744720048</v>
      </c>
      <c r="E2668" s="3">
        <v>4.3262606211710501</v>
      </c>
      <c r="F2668" s="4">
        <v>1.51661968424402E-5</v>
      </c>
      <c r="G2668" s="3">
        <v>1.03540319413375E-4</v>
      </c>
      <c r="H2668" s="3" t="str">
        <f>"PCAT1"</f>
        <v>PCAT1</v>
      </c>
      <c r="I2668" s="3" t="str">
        <f>"antisense"</f>
        <v>antisense</v>
      </c>
    </row>
    <row r="2669" spans="1:9" x14ac:dyDescent="0.2">
      <c r="A2669" s="3" t="str">
        <f>"ENSG00000254166.2"</f>
        <v>ENSG00000254166.2</v>
      </c>
      <c r="B2669" s="3">
        <v>10318.259296144201</v>
      </c>
      <c r="C2669" s="3">
        <v>1.1571573872622301</v>
      </c>
      <c r="D2669" s="3">
        <v>0.20916011712949301</v>
      </c>
      <c r="E2669" s="3">
        <v>5.5323997860730998</v>
      </c>
      <c r="F2669" s="4">
        <v>3.1587892110988497E-8</v>
      </c>
      <c r="G2669" s="4">
        <v>3.50010287250144E-7</v>
      </c>
      <c r="H2669" s="3" t="str">
        <f>"CASC19"</f>
        <v>CASC19</v>
      </c>
      <c r="I2669" s="3" t="str">
        <f>"processed_transcript"</f>
        <v>processed_transcript</v>
      </c>
    </row>
    <row r="2670" spans="1:9" x14ac:dyDescent="0.2">
      <c r="A2670" s="3" t="str">
        <f>"ENSG00000282961.1"</f>
        <v>ENSG00000282961.1</v>
      </c>
      <c r="B2670" s="3">
        <v>71.738680542584504</v>
      </c>
      <c r="C2670" s="3">
        <v>5.0760001636794998</v>
      </c>
      <c r="D2670" s="3">
        <v>0.67155228928090205</v>
      </c>
      <c r="E2670" s="3">
        <v>7.5586074899913998</v>
      </c>
      <c r="F2670" s="4">
        <v>4.0740726206830602E-14</v>
      </c>
      <c r="G2670" s="4">
        <v>9.3913922754442809E-13</v>
      </c>
      <c r="H2670" s="3" t="str">
        <f>"PRNCR1"</f>
        <v>PRNCR1</v>
      </c>
      <c r="I2670" s="3" t="str">
        <f>"lincRNA"</f>
        <v>lincRNA</v>
      </c>
    </row>
    <row r="2671" spans="1:9" x14ac:dyDescent="0.2">
      <c r="A2671" s="3" t="str">
        <f>"ENSG00000246228.6"</f>
        <v>ENSG00000246228.6</v>
      </c>
      <c r="B2671" s="3">
        <v>10.007726343298</v>
      </c>
      <c r="C2671" s="3">
        <v>3.5846562096264099</v>
      </c>
      <c r="D2671" s="3">
        <v>1.34112088290203</v>
      </c>
      <c r="E2671" s="3">
        <v>2.6728807636412499</v>
      </c>
      <c r="F2671" s="3">
        <v>7.5202975384618103E-3</v>
      </c>
      <c r="G2671" s="3">
        <v>2.5000676797275401E-2</v>
      </c>
      <c r="H2671" s="3" t="str">
        <f>"CASC8"</f>
        <v>CASC8</v>
      </c>
      <c r="I2671" s="3" t="str">
        <f>"antisense"</f>
        <v>antisense</v>
      </c>
    </row>
    <row r="2672" spans="1:9" x14ac:dyDescent="0.2">
      <c r="A2672" s="3" t="str">
        <f>"ENSG00000286010.1"</f>
        <v>ENSG00000286010.1</v>
      </c>
      <c r="B2672" s="3">
        <v>7.3742006763044099</v>
      </c>
      <c r="C2672" s="3">
        <v>4.7880582450455504</v>
      </c>
      <c r="D2672" s="3">
        <v>1.83861232792217</v>
      </c>
      <c r="E2672" s="3">
        <v>2.6041695534896001</v>
      </c>
      <c r="F2672" s="3">
        <v>9.2097182968161294E-3</v>
      </c>
      <c r="G2672" s="3">
        <v>2.9654596364139599E-2</v>
      </c>
      <c r="H2672" s="3" t="str">
        <f>"AC108925.1"</f>
        <v>AC108925.1</v>
      </c>
      <c r="I2672" s="3" t="str">
        <f>"lincRNA"</f>
        <v>lincRNA</v>
      </c>
    </row>
    <row r="2673" spans="1:9" x14ac:dyDescent="0.2">
      <c r="A2673" s="3" t="str">
        <f>"ENSG00000249375.7"</f>
        <v>ENSG00000249375.7</v>
      </c>
      <c r="B2673" s="3">
        <v>10.505288961111701</v>
      </c>
      <c r="C2673" s="3">
        <v>3.6475088785062799</v>
      </c>
      <c r="D2673" s="3">
        <v>1.2639238646693201</v>
      </c>
      <c r="E2673" s="3">
        <v>2.8858612298301498</v>
      </c>
      <c r="F2673" s="3">
        <v>3.9034422704939701E-3</v>
      </c>
      <c r="G2673" s="3">
        <v>1.4343505265562899E-2</v>
      </c>
      <c r="H2673" s="3" t="str">
        <f>"CASC11"</f>
        <v>CASC11</v>
      </c>
      <c r="I2673" s="3" t="str">
        <f>"lincRNA"</f>
        <v>lincRNA</v>
      </c>
    </row>
    <row r="2674" spans="1:9" x14ac:dyDescent="0.2">
      <c r="A2674" s="3" t="str">
        <f>"ENSG00000136997.18"</f>
        <v>ENSG00000136997.18</v>
      </c>
      <c r="B2674" s="3">
        <v>6436.2673135426203</v>
      </c>
      <c r="C2674" s="3">
        <v>-2.0688161805582101</v>
      </c>
      <c r="D2674" s="3">
        <v>0.21592739171389599</v>
      </c>
      <c r="E2674" s="3">
        <v>-9.5810733605275402</v>
      </c>
      <c r="F2674" s="4">
        <v>9.6041563069999291E-22</v>
      </c>
      <c r="G2674" s="4">
        <v>4.28288783791861E-20</v>
      </c>
      <c r="H2674" s="3" t="str">
        <f>"MYC"</f>
        <v>MYC</v>
      </c>
      <c r="I2674" s="3" t="str">
        <f>"protein_coding"</f>
        <v>protein_coding</v>
      </c>
    </row>
    <row r="2675" spans="1:9" x14ac:dyDescent="0.2">
      <c r="A2675" s="3" t="str">
        <f>"ENSG00000249859.10"</f>
        <v>ENSG00000249859.10</v>
      </c>
      <c r="B2675" s="3">
        <v>3692.8068801568102</v>
      </c>
      <c r="C2675" s="3">
        <v>1.11528964162671</v>
      </c>
      <c r="D2675" s="3">
        <v>0.179402090050515</v>
      </c>
      <c r="E2675" s="3">
        <v>6.2167037257630202</v>
      </c>
      <c r="F2675" s="4">
        <v>5.0770708199712897E-10</v>
      </c>
      <c r="G2675" s="4">
        <v>7.1306674552452401E-9</v>
      </c>
      <c r="H2675" s="3" t="str">
        <f>"PVT1"</f>
        <v>PVT1</v>
      </c>
      <c r="I2675" s="3" t="str">
        <f>"lincRNA"</f>
        <v>lincRNA</v>
      </c>
    </row>
    <row r="2676" spans="1:9" x14ac:dyDescent="0.2">
      <c r="A2676" s="3" t="str">
        <f>"ENSG00000221771.1"</f>
        <v>ENSG00000221771.1</v>
      </c>
      <c r="B2676" s="3">
        <v>58.387403864437999</v>
      </c>
      <c r="C2676" s="3">
        <v>1.6749992099212601</v>
      </c>
      <c r="D2676" s="3">
        <v>0.48049257327126599</v>
      </c>
      <c r="E2676" s="3">
        <v>3.48600436946947</v>
      </c>
      <c r="F2676" s="3">
        <v>4.9029299636734695E-4</v>
      </c>
      <c r="G2676" s="3">
        <v>2.3565026057542899E-3</v>
      </c>
      <c r="H2676" s="3" t="str">
        <f>"MIR1205"</f>
        <v>MIR1205</v>
      </c>
      <c r="I2676" s="3" t="str">
        <f>"miRNA"</f>
        <v>miRNA</v>
      </c>
    </row>
    <row r="2677" spans="1:9" x14ac:dyDescent="0.2">
      <c r="A2677" s="3" t="str">
        <f>"ENSG00000207110.1"</f>
        <v>ENSG00000207110.1</v>
      </c>
      <c r="B2677" s="3">
        <v>93.442943374546601</v>
      </c>
      <c r="C2677" s="3">
        <v>1.3307031704132399</v>
      </c>
      <c r="D2677" s="3">
        <v>0.38263928329637498</v>
      </c>
      <c r="E2677" s="3">
        <v>3.4776961710503098</v>
      </c>
      <c r="F2677" s="3">
        <v>5.0574282720018801E-4</v>
      </c>
      <c r="G2677" s="3">
        <v>2.4226397350076501E-3</v>
      </c>
      <c r="H2677" s="3" t="str">
        <f>"RNU1-106P"</f>
        <v>RNU1-106P</v>
      </c>
      <c r="I2677" s="3" t="str">
        <f>"snRNA"</f>
        <v>snRNA</v>
      </c>
    </row>
    <row r="2678" spans="1:9" x14ac:dyDescent="0.2">
      <c r="A2678" s="3" t="str">
        <f>"ENSG00000286034.1"</f>
        <v>ENSG00000286034.1</v>
      </c>
      <c r="B2678" s="3">
        <v>53.871002798787501</v>
      </c>
      <c r="C2678" s="3">
        <v>7.6978361164804401</v>
      </c>
      <c r="D2678" s="3">
        <v>1.5100815988221701</v>
      </c>
      <c r="E2678" s="3">
        <v>5.0976292423433298</v>
      </c>
      <c r="F2678" s="4">
        <v>3.4393359429369798E-7</v>
      </c>
      <c r="G2678" s="4">
        <v>3.1907247680355401E-6</v>
      </c>
      <c r="H2678" s="3" t="str">
        <f>"AC100822.1"</f>
        <v>AC100822.1</v>
      </c>
      <c r="I2678" s="3" t="str">
        <f>"lincRNA"</f>
        <v>lincRNA</v>
      </c>
    </row>
    <row r="2679" spans="1:9" x14ac:dyDescent="0.2">
      <c r="A2679" s="3" t="str">
        <f>"ENSG00000254275.6"</f>
        <v>ENSG00000254275.6</v>
      </c>
      <c r="B2679" s="3">
        <v>29.755977322723101</v>
      </c>
      <c r="C2679" s="3">
        <v>6.8350725592019597</v>
      </c>
      <c r="D2679" s="3">
        <v>1.5640420842912399</v>
      </c>
      <c r="E2679" s="3">
        <v>4.3701334048817202</v>
      </c>
      <c r="F2679" s="4">
        <v>1.24170653265771E-5</v>
      </c>
      <c r="G2679" s="4">
        <v>8.63099590513395E-5</v>
      </c>
      <c r="H2679" s="3" t="str">
        <f>"LINC00824"</f>
        <v>LINC00824</v>
      </c>
      <c r="I2679" s="3" t="str">
        <f>"processed_transcript"</f>
        <v>processed_transcript</v>
      </c>
    </row>
    <row r="2680" spans="1:9" x14ac:dyDescent="0.2">
      <c r="A2680" s="3" t="str">
        <f>"ENSG00000229140.9"</f>
        <v>ENSG00000229140.9</v>
      </c>
      <c r="B2680" s="3">
        <v>35.998245283554901</v>
      </c>
      <c r="C2680" s="3">
        <v>3.6980498931748702</v>
      </c>
      <c r="D2680" s="3">
        <v>0.71430767899415304</v>
      </c>
      <c r="E2680" s="3">
        <v>5.1771106512284097</v>
      </c>
      <c r="F2680" s="4">
        <v>2.25348576229275E-7</v>
      </c>
      <c r="G2680" s="4">
        <v>2.1597160241009701E-6</v>
      </c>
      <c r="H2680" s="3" t="str">
        <f>"CCDC26"</f>
        <v>CCDC26</v>
      </c>
      <c r="I2680" s="3" t="str">
        <f>"lincRNA"</f>
        <v>lincRNA</v>
      </c>
    </row>
    <row r="2681" spans="1:9" x14ac:dyDescent="0.2">
      <c r="A2681" s="3" t="str">
        <f>"ENSG00000285108.1"</f>
        <v>ENSG00000285108.1</v>
      </c>
      <c r="B2681" s="3">
        <v>10.867626640269</v>
      </c>
      <c r="C2681" s="3">
        <v>5.35584566427318</v>
      </c>
      <c r="D2681" s="3">
        <v>1.72921799892843</v>
      </c>
      <c r="E2681" s="3">
        <v>3.09726458294565</v>
      </c>
      <c r="F2681" s="3">
        <v>1.9531546201536601E-3</v>
      </c>
      <c r="G2681" s="3">
        <v>7.8852576582200198E-3</v>
      </c>
      <c r="H2681" s="3" t="str">
        <f>"AC103718.1"</f>
        <v>AC103718.1</v>
      </c>
      <c r="I2681" s="3" t="str">
        <f>"lincRNA"</f>
        <v>lincRNA</v>
      </c>
    </row>
    <row r="2682" spans="1:9" x14ac:dyDescent="0.2">
      <c r="A2682" s="3" t="str">
        <f>"ENSG00000264653.1"</f>
        <v>ENSG00000264653.1</v>
      </c>
      <c r="B2682" s="3">
        <v>22.213584462096801</v>
      </c>
      <c r="C2682" s="3">
        <v>1.9253023549859201</v>
      </c>
      <c r="D2682" s="3">
        <v>0.75403997247693</v>
      </c>
      <c r="E2682" s="3">
        <v>2.5533160379568902</v>
      </c>
      <c r="F2682" s="3">
        <v>1.06702628341027E-2</v>
      </c>
      <c r="G2682" s="3">
        <v>3.36223720875213E-2</v>
      </c>
      <c r="H2682" s="3" t="str">
        <f>"MIR5194"</f>
        <v>MIR5194</v>
      </c>
      <c r="I2682" s="3" t="str">
        <f>"miRNA"</f>
        <v>miRNA</v>
      </c>
    </row>
    <row r="2683" spans="1:9" x14ac:dyDescent="0.2">
      <c r="A2683" s="3" t="str">
        <f>"ENSG00000155897.10"</f>
        <v>ENSG00000155897.10</v>
      </c>
      <c r="B2683" s="3">
        <v>3.8168555458674298</v>
      </c>
      <c r="C2683" s="3">
        <v>5.3279350919035302</v>
      </c>
      <c r="D2683" s="3">
        <v>2.1809774924298599</v>
      </c>
      <c r="E2683" s="3">
        <v>2.4429115432858599</v>
      </c>
      <c r="F2683" s="3">
        <v>1.4569307781241599E-2</v>
      </c>
      <c r="G2683" s="3">
        <v>4.3474967595607303E-2</v>
      </c>
      <c r="H2683" s="3" t="str">
        <f>"ADCY8"</f>
        <v>ADCY8</v>
      </c>
      <c r="I2683" s="3" t="str">
        <f>"protein_coding"</f>
        <v>protein_coding</v>
      </c>
    </row>
    <row r="2684" spans="1:9" x14ac:dyDescent="0.2">
      <c r="A2684" s="3" t="str">
        <f>"ENSG00000165071.14"</f>
        <v>ENSG00000165071.14</v>
      </c>
      <c r="B2684" s="3">
        <v>7.7150801424145401</v>
      </c>
      <c r="C2684" s="3">
        <v>4.8509220906491199</v>
      </c>
      <c r="D2684" s="3">
        <v>1.8298238980066699</v>
      </c>
      <c r="E2684" s="3">
        <v>2.6510322091287102</v>
      </c>
      <c r="F2684" s="3">
        <v>8.0246188397527906E-3</v>
      </c>
      <c r="G2684" s="3">
        <v>2.64385477057732E-2</v>
      </c>
      <c r="H2684" s="3" t="str">
        <f>"TMEM71"</f>
        <v>TMEM71</v>
      </c>
      <c r="I2684" s="3" t="str">
        <f>"protein_coding"</f>
        <v>protein_coding</v>
      </c>
    </row>
    <row r="2685" spans="1:9" x14ac:dyDescent="0.2">
      <c r="A2685" s="3" t="str">
        <f>"ENSG00000042832.12"</f>
        <v>ENSG00000042832.12</v>
      </c>
      <c r="B2685" s="3">
        <v>14.138327359407601</v>
      </c>
      <c r="C2685" s="3">
        <v>2.7758450762665099</v>
      </c>
      <c r="D2685" s="3">
        <v>0.99606699439414004</v>
      </c>
      <c r="E2685" s="3">
        <v>2.7868055983070898</v>
      </c>
      <c r="F2685" s="3">
        <v>5.3230401357608603E-3</v>
      </c>
      <c r="G2685" s="3">
        <v>1.87096071438437E-2</v>
      </c>
      <c r="H2685" s="3" t="str">
        <f>"TG"</f>
        <v>TG</v>
      </c>
      <c r="I2685" s="3" t="str">
        <f>"protein_coding"</f>
        <v>protein_coding</v>
      </c>
    </row>
    <row r="2686" spans="1:9" x14ac:dyDescent="0.2">
      <c r="A2686" s="3" t="str">
        <f>"ENSG00000008513.16"</f>
        <v>ENSG00000008513.16</v>
      </c>
      <c r="B2686" s="3">
        <v>1915.92240721025</v>
      </c>
      <c r="C2686" s="3">
        <v>-2.5755971478345798</v>
      </c>
      <c r="D2686" s="3">
        <v>0.21697834277366199</v>
      </c>
      <c r="E2686" s="3">
        <v>-11.870295970143401</v>
      </c>
      <c r="F2686" s="4">
        <v>1.68869148219499E-32</v>
      </c>
      <c r="G2686" s="4">
        <v>1.52356876872076E-30</v>
      </c>
      <c r="H2686" s="3" t="str">
        <f>"ST3GAL1"</f>
        <v>ST3GAL1</v>
      </c>
      <c r="I2686" s="3" t="str">
        <f>"protein_coding"</f>
        <v>protein_coding</v>
      </c>
    </row>
    <row r="2687" spans="1:9" x14ac:dyDescent="0.2">
      <c r="A2687" s="3" t="str">
        <f>"ENSG00000261220.2"</f>
        <v>ENSG00000261220.2</v>
      </c>
      <c r="B2687" s="3">
        <v>19.986146620261799</v>
      </c>
      <c r="C2687" s="3">
        <v>-2.2313231288978299</v>
      </c>
      <c r="D2687" s="3">
        <v>0.79966443494689299</v>
      </c>
      <c r="E2687" s="3">
        <v>-2.7903243302873899</v>
      </c>
      <c r="F2687" s="3">
        <v>5.2655265707121004E-3</v>
      </c>
      <c r="G2687" s="3">
        <v>1.8526575732462899E-2</v>
      </c>
      <c r="H2687" s="3" t="str">
        <f>"AC103706.1"</f>
        <v>AC103706.1</v>
      </c>
      <c r="I2687" s="3" t="str">
        <f>"lincRNA"</f>
        <v>lincRNA</v>
      </c>
    </row>
    <row r="2688" spans="1:9" x14ac:dyDescent="0.2">
      <c r="A2688" s="3" t="str">
        <f>"ENSG00000279518.1"</f>
        <v>ENSG00000279518.1</v>
      </c>
      <c r="B2688" s="3">
        <v>52.598694644066398</v>
      </c>
      <c r="C2688" s="3">
        <v>1.99120810101495</v>
      </c>
      <c r="D2688" s="3">
        <v>0.53314650745218695</v>
      </c>
      <c r="E2688" s="3">
        <v>3.7348234925716501</v>
      </c>
      <c r="F2688" s="3">
        <v>1.8784688950860201E-4</v>
      </c>
      <c r="G2688" s="3">
        <v>1.0078295280899899E-3</v>
      </c>
      <c r="H2688" s="3" t="str">
        <f>"AC083843.4"</f>
        <v>AC083843.4</v>
      </c>
      <c r="I2688" s="3" t="str">
        <f>"TEC"</f>
        <v>TEC</v>
      </c>
    </row>
    <row r="2689" spans="1:9" x14ac:dyDescent="0.2">
      <c r="A2689" s="3" t="str">
        <f>"ENSG00000259820.1"</f>
        <v>ENSG00000259820.1</v>
      </c>
      <c r="B2689" s="3">
        <v>690.24763377226202</v>
      </c>
      <c r="C2689" s="3">
        <v>1.26055725640927</v>
      </c>
      <c r="D2689" s="3">
        <v>0.23186563078633099</v>
      </c>
      <c r="E2689" s="3">
        <v>5.4365851986528497</v>
      </c>
      <c r="F2689" s="4">
        <v>5.4311375355434903E-8</v>
      </c>
      <c r="G2689" s="4">
        <v>5.7782977130399705E-7</v>
      </c>
      <c r="H2689" s="3" t="str">
        <f>"AC083843.3"</f>
        <v>AC083843.3</v>
      </c>
      <c r="I2689" s="3" t="str">
        <f>"lincRNA"</f>
        <v>lincRNA</v>
      </c>
    </row>
    <row r="2690" spans="1:9" x14ac:dyDescent="0.2">
      <c r="A2690" s="3" t="str">
        <f>"ENSG00000254101.6"</f>
        <v>ENSG00000254101.6</v>
      </c>
      <c r="B2690" s="3">
        <v>6.2748664716480604</v>
      </c>
      <c r="C2690" s="3">
        <v>6.0436307079929099</v>
      </c>
      <c r="D2690" s="3">
        <v>1.9320769159683999</v>
      </c>
      <c r="E2690" s="3">
        <v>3.1280487117479501</v>
      </c>
      <c r="F2690" s="3">
        <v>1.7597101450729099E-3</v>
      </c>
      <c r="G2690" s="3">
        <v>7.2285274118500898E-3</v>
      </c>
      <c r="H2690" s="3" t="str">
        <f>"LINC02055"</f>
        <v>LINC02055</v>
      </c>
      <c r="I2690" s="3" t="str">
        <f>"lincRNA"</f>
        <v>lincRNA</v>
      </c>
    </row>
    <row r="2691" spans="1:9" x14ac:dyDescent="0.2">
      <c r="A2691" s="3" t="str">
        <f>"ENSG00000169436.17"</f>
        <v>ENSG00000169436.17</v>
      </c>
      <c r="B2691" s="3">
        <v>12.0393936856289</v>
      </c>
      <c r="C2691" s="3">
        <v>6.9866441689233101</v>
      </c>
      <c r="D2691" s="3">
        <v>1.71389088575245</v>
      </c>
      <c r="E2691" s="3">
        <v>4.0764813133690003</v>
      </c>
      <c r="F2691" s="4">
        <v>4.5722328080542599E-5</v>
      </c>
      <c r="G2691" s="3">
        <v>2.8223748826700101E-4</v>
      </c>
      <c r="H2691" s="3" t="str">
        <f>"COL22A1"</f>
        <v>COL22A1</v>
      </c>
      <c r="I2691" s="3" t="str">
        <f>"protein_coding"</f>
        <v>protein_coding</v>
      </c>
    </row>
    <row r="2692" spans="1:9" x14ac:dyDescent="0.2">
      <c r="A2692" s="3" t="str">
        <f>"ENSG00000282164.3"</f>
        <v>ENSG00000282164.3</v>
      </c>
      <c r="B2692" s="3">
        <v>657.61811644976797</v>
      </c>
      <c r="C2692" s="3">
        <v>-1.54701387369285</v>
      </c>
      <c r="D2692" s="3">
        <v>0.223988911719703</v>
      </c>
      <c r="E2692" s="3">
        <v>-6.9066538241355904</v>
      </c>
      <c r="F2692" s="4">
        <v>4.9621883115424101E-12</v>
      </c>
      <c r="G2692" s="4">
        <v>9.0196627701531794E-11</v>
      </c>
      <c r="H2692" s="3" t="str">
        <f>"PEG13"</f>
        <v>PEG13</v>
      </c>
      <c r="I2692" s="3" t="str">
        <f>"sense_intronic"</f>
        <v>sense_intronic</v>
      </c>
    </row>
    <row r="2693" spans="1:9" x14ac:dyDescent="0.2">
      <c r="A2693" s="3" t="str">
        <f>"ENSG00000104472.10"</f>
        <v>ENSG00000104472.10</v>
      </c>
      <c r="B2693" s="3">
        <v>1313.0600733501999</v>
      </c>
      <c r="C2693" s="3">
        <v>-1.6896370081816601</v>
      </c>
      <c r="D2693" s="3">
        <v>0.18931417473840301</v>
      </c>
      <c r="E2693" s="3">
        <v>-8.9250422506208107</v>
      </c>
      <c r="F2693" s="4">
        <v>4.4552911476220602E-19</v>
      </c>
      <c r="G2693" s="4">
        <v>1.5765365960942599E-17</v>
      </c>
      <c r="H2693" s="3" t="str">
        <f>"CHRAC1"</f>
        <v>CHRAC1</v>
      </c>
      <c r="I2693" s="3" t="str">
        <f>"protein_coding"</f>
        <v>protein_coding</v>
      </c>
    </row>
    <row r="2694" spans="1:9" x14ac:dyDescent="0.2">
      <c r="A2694" s="3" t="str">
        <f>"ENSG00000105339.10"</f>
        <v>ENSG00000105339.10</v>
      </c>
      <c r="B2694" s="3">
        <v>328.02515702710502</v>
      </c>
      <c r="C2694" s="3">
        <v>1.1162639061097499</v>
      </c>
      <c r="D2694" s="3">
        <v>0.27337332303540901</v>
      </c>
      <c r="E2694" s="3">
        <v>4.0832949379086303</v>
      </c>
      <c r="F2694" s="4">
        <v>4.4401610978547497E-5</v>
      </c>
      <c r="G2694" s="3">
        <v>2.7433349077834101E-4</v>
      </c>
      <c r="H2694" s="3" t="str">
        <f>"DENND3"</f>
        <v>DENND3</v>
      </c>
      <c r="I2694" s="3" t="str">
        <f>"protein_coding"</f>
        <v>protein_coding</v>
      </c>
    </row>
    <row r="2695" spans="1:9" x14ac:dyDescent="0.2">
      <c r="A2695" s="3" t="str">
        <f>"ENSG00000022567.9"</f>
        <v>ENSG00000022567.9</v>
      </c>
      <c r="B2695" s="3">
        <v>26.717988821072002</v>
      </c>
      <c r="C2695" s="3">
        <v>8.1353321483894891</v>
      </c>
      <c r="D2695" s="3">
        <v>1.5755091087014199</v>
      </c>
      <c r="E2695" s="3">
        <v>5.1636211453546199</v>
      </c>
      <c r="F2695" s="4">
        <v>2.4221769365769801E-7</v>
      </c>
      <c r="G2695" s="4">
        <v>2.3059767641828401E-6</v>
      </c>
      <c r="H2695" s="3" t="str">
        <f>"SLC45A4"</f>
        <v>SLC45A4</v>
      </c>
      <c r="I2695" s="3" t="str">
        <f>"protein_coding"</f>
        <v>protein_coding</v>
      </c>
    </row>
    <row r="2696" spans="1:9" x14ac:dyDescent="0.2">
      <c r="A2696" s="3" t="str">
        <f>"ENSG00000184489.11"</f>
        <v>ENSG00000184489.11</v>
      </c>
      <c r="B2696" s="3">
        <v>204.39478452521101</v>
      </c>
      <c r="C2696" s="3">
        <v>1.30893462258479</v>
      </c>
      <c r="D2696" s="3">
        <v>0.30238451468821598</v>
      </c>
      <c r="E2696" s="3">
        <v>4.3287091732670602</v>
      </c>
      <c r="F2696" s="4">
        <v>1.49985838451489E-5</v>
      </c>
      <c r="G2696" s="3">
        <v>1.0252544255613999E-4</v>
      </c>
      <c r="H2696" s="3" t="str">
        <f>"PTP4A3"</f>
        <v>PTP4A3</v>
      </c>
      <c r="I2696" s="3" t="str">
        <f>"protein_coding"</f>
        <v>protein_coding</v>
      </c>
    </row>
    <row r="2697" spans="1:9" x14ac:dyDescent="0.2">
      <c r="A2697" s="3" t="str">
        <f>"ENSG00000181790.11"</f>
        <v>ENSG00000181790.11</v>
      </c>
      <c r="B2697" s="3">
        <v>22.962804984974198</v>
      </c>
      <c r="C2697" s="3">
        <v>3.16578398556284</v>
      </c>
      <c r="D2697" s="3">
        <v>0.881559521563548</v>
      </c>
      <c r="E2697" s="3">
        <v>3.5911176819325301</v>
      </c>
      <c r="F2697" s="3">
        <v>3.2926291126849001E-4</v>
      </c>
      <c r="G2697" s="3">
        <v>1.6540240677235501E-3</v>
      </c>
      <c r="H2697" s="3" t="str">
        <f>"ADGRB1"</f>
        <v>ADGRB1</v>
      </c>
      <c r="I2697" s="3" t="str">
        <f>"protein_coding"</f>
        <v>protein_coding</v>
      </c>
    </row>
    <row r="2698" spans="1:9" x14ac:dyDescent="0.2">
      <c r="A2698" s="3" t="str">
        <f>"ENSG00000232722.3"</f>
        <v>ENSG00000232722.3</v>
      </c>
      <c r="B2698" s="3">
        <v>7.0116517292744698</v>
      </c>
      <c r="C2698" s="3">
        <v>6.20803181703715</v>
      </c>
      <c r="D2698" s="3">
        <v>1.8858709417813699</v>
      </c>
      <c r="E2698" s="3">
        <v>3.29186461252388</v>
      </c>
      <c r="F2698" s="3">
        <v>9.9525511485245395E-4</v>
      </c>
      <c r="G2698" s="3">
        <v>4.4000837440183E-3</v>
      </c>
      <c r="H2698" s="3" t="str">
        <f>"MROH4P"</f>
        <v>MROH4P</v>
      </c>
      <c r="I2698" s="3" t="str">
        <f>"transcribed_unitary_pseudogene"</f>
        <v>transcribed_unitary_pseudogene</v>
      </c>
    </row>
    <row r="2699" spans="1:9" x14ac:dyDescent="0.2">
      <c r="A2699" s="3" t="str">
        <f>"ENSG00000198576.4"</f>
        <v>ENSG00000198576.4</v>
      </c>
      <c r="B2699" s="3">
        <v>82.047407931825902</v>
      </c>
      <c r="C2699" s="3">
        <v>6.7160651016903703</v>
      </c>
      <c r="D2699" s="3">
        <v>0.92693875788857205</v>
      </c>
      <c r="E2699" s="3">
        <v>7.2454248401356702</v>
      </c>
      <c r="F2699" s="4">
        <v>4.31085783535329E-13</v>
      </c>
      <c r="G2699" s="4">
        <v>8.97310492283202E-12</v>
      </c>
      <c r="H2699" s="3" t="str">
        <f>"ARC"</f>
        <v>ARC</v>
      </c>
      <c r="I2699" s="3" t="str">
        <f>"protein_coding"</f>
        <v>protein_coding</v>
      </c>
    </row>
    <row r="2700" spans="1:9" x14ac:dyDescent="0.2">
      <c r="A2700" s="3" t="str">
        <f>"ENSG00000234616.8"</f>
        <v>ENSG00000234616.8</v>
      </c>
      <c r="B2700" s="3">
        <v>1498.9648961498101</v>
      </c>
      <c r="C2700" s="3">
        <v>-1.14293138094845</v>
      </c>
      <c r="D2700" s="3">
        <v>0.20255056311776801</v>
      </c>
      <c r="E2700" s="3">
        <v>-5.6426966351306298</v>
      </c>
      <c r="F2700" s="4">
        <v>1.67407168722726E-8</v>
      </c>
      <c r="G2700" s="4">
        <v>1.9286863112846201E-7</v>
      </c>
      <c r="H2700" s="3" t="str">
        <f>"JRK"</f>
        <v>JRK</v>
      </c>
      <c r="I2700" s="3" t="str">
        <f>"protein_coding"</f>
        <v>protein_coding</v>
      </c>
    </row>
    <row r="2701" spans="1:9" x14ac:dyDescent="0.2">
      <c r="A2701" s="3" t="str">
        <f>"ENSG00000130193.8"</f>
        <v>ENSG00000130193.8</v>
      </c>
      <c r="B2701" s="3">
        <v>976.38511916989</v>
      </c>
      <c r="C2701" s="3">
        <v>-1.7482322750599</v>
      </c>
      <c r="D2701" s="3">
        <v>0.20483139694199701</v>
      </c>
      <c r="E2701" s="3">
        <v>-8.5349819469080508</v>
      </c>
      <c r="F2701" s="4">
        <v>1.4017731424215099E-17</v>
      </c>
      <c r="G2701" s="4">
        <v>4.3951798402254199E-16</v>
      </c>
      <c r="H2701" s="3" t="str">
        <f>"THEM6"</f>
        <v>THEM6</v>
      </c>
      <c r="I2701" s="3" t="str">
        <f>"protein_coding"</f>
        <v>protein_coding</v>
      </c>
    </row>
    <row r="2702" spans="1:9" x14ac:dyDescent="0.2">
      <c r="A2702" s="3" t="str">
        <f>"ENSG00000253196.1"</f>
        <v>ENSG00000253196.1</v>
      </c>
      <c r="B2702" s="3">
        <v>48.798000400396703</v>
      </c>
      <c r="C2702" s="3">
        <v>-4.8509698054300703</v>
      </c>
      <c r="D2702" s="3">
        <v>0.76214420148987305</v>
      </c>
      <c r="E2702" s="3">
        <v>-6.3648976085459701</v>
      </c>
      <c r="F2702" s="4">
        <v>1.95420055663558E-10</v>
      </c>
      <c r="G2702" s="4">
        <v>2.9061288690248801E-9</v>
      </c>
      <c r="H2702" s="3" t="str">
        <f>"AC083841.1"</f>
        <v>AC083841.1</v>
      </c>
      <c r="I2702" s="3" t="str">
        <f>"antisense"</f>
        <v>antisense</v>
      </c>
    </row>
    <row r="2703" spans="1:9" x14ac:dyDescent="0.2">
      <c r="A2703" s="3" t="str">
        <f>"ENSG00000180155.20"</f>
        <v>ENSG00000180155.20</v>
      </c>
      <c r="B2703" s="3">
        <v>418.73716836460699</v>
      </c>
      <c r="C2703" s="3">
        <v>2.0780519452414898</v>
      </c>
      <c r="D2703" s="3">
        <v>0.25782450050787897</v>
      </c>
      <c r="E2703" s="3">
        <v>8.0599475268952592</v>
      </c>
      <c r="F2703" s="4">
        <v>7.6327205725347801E-16</v>
      </c>
      <c r="G2703" s="4">
        <v>2.0590964102956001E-14</v>
      </c>
      <c r="H2703" s="3" t="str">
        <f>"LYNX1"</f>
        <v>LYNX1</v>
      </c>
      <c r="I2703" s="3" t="str">
        <f>"protein_coding"</f>
        <v>protein_coding</v>
      </c>
    </row>
    <row r="2704" spans="1:9" x14ac:dyDescent="0.2">
      <c r="A2704" s="3" t="str">
        <f>"ENSG00000167656.5"</f>
        <v>ENSG00000167656.5</v>
      </c>
      <c r="B2704" s="3">
        <v>127.68900164417801</v>
      </c>
      <c r="C2704" s="3">
        <v>1.15334665475917</v>
      </c>
      <c r="D2704" s="3">
        <v>0.38306528353377201</v>
      </c>
      <c r="E2704" s="3">
        <v>3.01083576177815</v>
      </c>
      <c r="F2704" s="3">
        <v>2.60529729093274E-3</v>
      </c>
      <c r="G2704" s="3">
        <v>1.01192495062073E-2</v>
      </c>
      <c r="H2704" s="3" t="str">
        <f>"LY6D"</f>
        <v>LY6D</v>
      </c>
      <c r="I2704" s="3" t="str">
        <f>"protein_coding"</f>
        <v>protein_coding</v>
      </c>
    </row>
    <row r="2705" spans="1:9" x14ac:dyDescent="0.2">
      <c r="A2705" s="3" t="str">
        <f>"ENSG00000160882.11"</f>
        <v>ENSG00000160882.11</v>
      </c>
      <c r="B2705" s="3">
        <v>26.980672925837901</v>
      </c>
      <c r="C2705" s="3">
        <v>8.1515560414010597</v>
      </c>
      <c r="D2705" s="3">
        <v>1.5765042153198401</v>
      </c>
      <c r="E2705" s="3">
        <v>5.1706528673932501</v>
      </c>
      <c r="F2705" s="4">
        <v>2.3327755265759299E-7</v>
      </c>
      <c r="G2705" s="4">
        <v>2.22708951550857E-6</v>
      </c>
      <c r="H2705" s="3" t="str">
        <f>"CYP11B1"</f>
        <v>CYP11B1</v>
      </c>
      <c r="I2705" s="3" t="str">
        <f>"protein_coding"</f>
        <v>protein_coding</v>
      </c>
    </row>
    <row r="2706" spans="1:9" x14ac:dyDescent="0.2">
      <c r="A2706" s="3" t="str">
        <f>"ENSG00000247317.3"</f>
        <v>ENSG00000247317.3</v>
      </c>
      <c r="B2706" s="3">
        <v>20.383308681597299</v>
      </c>
      <c r="C2706" s="3">
        <v>1.9799796410707899</v>
      </c>
      <c r="D2706" s="3">
        <v>0.77854652961827797</v>
      </c>
      <c r="E2706" s="3">
        <v>2.5431744484707699</v>
      </c>
      <c r="F2706" s="3">
        <v>1.09850369530321E-2</v>
      </c>
      <c r="G2706" s="3">
        <v>3.4438994575913803E-2</v>
      </c>
      <c r="H2706" s="3" t="str">
        <f>"LY6E-DT"</f>
        <v>LY6E-DT</v>
      </c>
      <c r="I2706" s="3" t="str">
        <f>"lincRNA"</f>
        <v>lincRNA</v>
      </c>
    </row>
    <row r="2707" spans="1:9" x14ac:dyDescent="0.2">
      <c r="A2707" s="3" t="str">
        <f>"ENSG00000177335.10"</f>
        <v>ENSG00000177335.10</v>
      </c>
      <c r="B2707" s="3">
        <v>167.09722053162801</v>
      </c>
      <c r="C2707" s="3">
        <v>1.6298072014617999</v>
      </c>
      <c r="D2707" s="3">
        <v>0.31356121070582099</v>
      </c>
      <c r="E2707" s="3">
        <v>5.1977321996975698</v>
      </c>
      <c r="F2707" s="4">
        <v>2.01734469385255E-7</v>
      </c>
      <c r="G2707" s="4">
        <v>1.9484789391492502E-6</v>
      </c>
      <c r="H2707" s="3" t="str">
        <f>"C8orf31"</f>
        <v>C8orf31</v>
      </c>
      <c r="I2707" s="3" t="str">
        <f>"processed_transcript"</f>
        <v>processed_transcript</v>
      </c>
    </row>
    <row r="2708" spans="1:9" x14ac:dyDescent="0.2">
      <c r="A2708" s="3" t="str">
        <f>"ENSG00000254389.3"</f>
        <v>ENSG00000254389.3</v>
      </c>
      <c r="B2708" s="3">
        <v>39.774257266564298</v>
      </c>
      <c r="C2708" s="3">
        <v>-1.3745542227859799</v>
      </c>
      <c r="D2708" s="3">
        <v>0.56064865898529004</v>
      </c>
      <c r="E2708" s="3">
        <v>-2.4517212353165498</v>
      </c>
      <c r="F2708" s="3">
        <v>1.4217475781372099E-2</v>
      </c>
      <c r="G2708" s="3">
        <v>4.27046513777318E-2</v>
      </c>
      <c r="H2708" s="3" t="str">
        <f>"RHPN1-AS1"</f>
        <v>RHPN1-AS1</v>
      </c>
      <c r="I2708" s="3" t="str">
        <f>"antisense"</f>
        <v>antisense</v>
      </c>
    </row>
    <row r="2709" spans="1:9" x14ac:dyDescent="0.2">
      <c r="A2709" s="3" t="str">
        <f>"ENSG00000158106.14"</f>
        <v>ENSG00000158106.14</v>
      </c>
      <c r="B2709" s="3">
        <v>51.055490665918597</v>
      </c>
      <c r="C2709" s="3">
        <v>1.64905106905254</v>
      </c>
      <c r="D2709" s="3">
        <v>0.540128130511775</v>
      </c>
      <c r="E2709" s="3">
        <v>3.05307384655202</v>
      </c>
      <c r="F2709" s="3">
        <v>2.26510189800894E-3</v>
      </c>
      <c r="G2709" s="3">
        <v>8.9640132774218492E-3</v>
      </c>
      <c r="H2709" s="3" t="str">
        <f>"RHPN1"</f>
        <v>RHPN1</v>
      </c>
      <c r="I2709" s="3" t="str">
        <f>"protein_coding"</f>
        <v>protein_coding</v>
      </c>
    </row>
    <row r="2710" spans="1:9" x14ac:dyDescent="0.2">
      <c r="A2710" s="3" t="str">
        <f>"ENSG00000253931.1"</f>
        <v>ENSG00000253931.1</v>
      </c>
      <c r="B2710" s="3">
        <v>47.9208061560308</v>
      </c>
      <c r="C2710" s="3">
        <v>1.91579895428498</v>
      </c>
      <c r="D2710" s="3">
        <v>0.53034078550409003</v>
      </c>
      <c r="E2710" s="3">
        <v>3.61239227049832</v>
      </c>
      <c r="F2710" s="3">
        <v>3.03385159875698E-4</v>
      </c>
      <c r="G2710" s="3">
        <v>1.5387817295482401E-3</v>
      </c>
      <c r="H2710" s="3" t="str">
        <f>"AC105118.1"</f>
        <v>AC105118.1</v>
      </c>
      <c r="I2710" s="3" t="str">
        <f>"antisense"</f>
        <v>antisense</v>
      </c>
    </row>
    <row r="2711" spans="1:9" x14ac:dyDescent="0.2">
      <c r="A2711" s="3" t="str">
        <f>"ENSG00000182759.3"</f>
        <v>ENSG00000182759.3</v>
      </c>
      <c r="B2711" s="3">
        <v>96.390761591747307</v>
      </c>
      <c r="C2711" s="3">
        <v>5.9363229511397302</v>
      </c>
      <c r="D2711" s="3">
        <v>0.68963250217526295</v>
      </c>
      <c r="E2711" s="3">
        <v>8.6079512383989698</v>
      </c>
      <c r="F2711" s="4">
        <v>7.4377880853550306E-18</v>
      </c>
      <c r="G2711" s="4">
        <v>2.36749313039332E-16</v>
      </c>
      <c r="H2711" s="3" t="str">
        <f>"MAFA"</f>
        <v>MAFA</v>
      </c>
      <c r="I2711" s="3" t="str">
        <f t="shared" ref="I2711:I2724" si="128">"protein_coding"</f>
        <v>protein_coding</v>
      </c>
    </row>
    <row r="2712" spans="1:9" x14ac:dyDescent="0.2">
      <c r="A2712" s="3" t="str">
        <f>"ENSG00000180921.7"</f>
        <v>ENSG00000180921.7</v>
      </c>
      <c r="B2712" s="3">
        <v>3798.4126696843</v>
      </c>
      <c r="C2712" s="3">
        <v>1.21553963279212</v>
      </c>
      <c r="D2712" s="3">
        <v>0.19623273330706101</v>
      </c>
      <c r="E2712" s="3">
        <v>6.1943775246205597</v>
      </c>
      <c r="F2712" s="4">
        <v>5.8515820525232197E-10</v>
      </c>
      <c r="G2712" s="4">
        <v>8.1679332062039002E-9</v>
      </c>
      <c r="H2712" s="3" t="str">
        <f>"FAM83H"</f>
        <v>FAM83H</v>
      </c>
      <c r="I2712" s="3" t="str">
        <f t="shared" si="128"/>
        <v>protein_coding</v>
      </c>
    </row>
    <row r="2713" spans="1:9" x14ac:dyDescent="0.2">
      <c r="A2713" s="3" t="str">
        <f>"ENSG00000261150.2"</f>
        <v>ENSG00000261150.2</v>
      </c>
      <c r="B2713" s="3">
        <v>10008.772087335299</v>
      </c>
      <c r="C2713" s="3">
        <v>2.1833284824960399</v>
      </c>
      <c r="D2713" s="3">
        <v>0.202427051101668</v>
      </c>
      <c r="E2713" s="3">
        <v>10.785754525463499</v>
      </c>
      <c r="F2713" s="4">
        <v>4.01931251366401E-27</v>
      </c>
      <c r="G2713" s="4">
        <v>2.5889883702081202E-25</v>
      </c>
      <c r="H2713" s="3" t="str">
        <f>"EPPK1"</f>
        <v>EPPK1</v>
      </c>
      <c r="I2713" s="3" t="str">
        <f t="shared" si="128"/>
        <v>protein_coding</v>
      </c>
    </row>
    <row r="2714" spans="1:9" x14ac:dyDescent="0.2">
      <c r="A2714" s="3" t="str">
        <f>"ENSG00000197858.11"</f>
        <v>ENSG00000197858.11</v>
      </c>
      <c r="B2714" s="3">
        <v>2375.8829724541501</v>
      </c>
      <c r="C2714" s="3">
        <v>1.44396029656173</v>
      </c>
      <c r="D2714" s="3">
        <v>0.217019150553592</v>
      </c>
      <c r="E2714" s="3">
        <v>6.6536077248406</v>
      </c>
      <c r="F2714" s="4">
        <v>2.8599430971106799E-11</v>
      </c>
      <c r="G2714" s="4">
        <v>4.8012858636460097E-10</v>
      </c>
      <c r="H2714" s="3" t="str">
        <f>"GPAA1"</f>
        <v>GPAA1</v>
      </c>
      <c r="I2714" s="3" t="str">
        <f t="shared" si="128"/>
        <v>protein_coding</v>
      </c>
    </row>
    <row r="2715" spans="1:9" x14ac:dyDescent="0.2">
      <c r="A2715" s="3" t="str">
        <f>"ENSG00000235173.7"</f>
        <v>ENSG00000235173.7</v>
      </c>
      <c r="B2715" s="3">
        <v>707.98732710514798</v>
      </c>
      <c r="C2715" s="3">
        <v>-1.1781307557063601</v>
      </c>
      <c r="D2715" s="3">
        <v>0.250756924486568</v>
      </c>
      <c r="E2715" s="3">
        <v>-4.6982979956330704</v>
      </c>
      <c r="F2715" s="4">
        <v>2.6233847950392102E-6</v>
      </c>
      <c r="G2715" s="4">
        <v>2.0809131152964601E-5</v>
      </c>
      <c r="H2715" s="3" t="str">
        <f>"HGH1"</f>
        <v>HGH1</v>
      </c>
      <c r="I2715" s="3" t="str">
        <f t="shared" si="128"/>
        <v>protein_coding</v>
      </c>
    </row>
    <row r="2716" spans="1:9" x14ac:dyDescent="0.2">
      <c r="A2716" s="3" t="str">
        <f>"ENSG00000261236.8"</f>
        <v>ENSG00000261236.8</v>
      </c>
      <c r="B2716" s="3">
        <v>1663.4278825101301</v>
      </c>
      <c r="C2716" s="3">
        <v>-1.78367223196811</v>
      </c>
      <c r="D2716" s="3">
        <v>0.225033786097003</v>
      </c>
      <c r="E2716" s="3">
        <v>-7.9262419341744401</v>
      </c>
      <c r="F2716" s="4">
        <v>2.25877330437424E-15</v>
      </c>
      <c r="G2716" s="4">
        <v>5.8558321811879094E-14</v>
      </c>
      <c r="H2716" s="3" t="str">
        <f>"BOP1"</f>
        <v>BOP1</v>
      </c>
      <c r="I2716" s="3" t="str">
        <f t="shared" si="128"/>
        <v>protein_coding</v>
      </c>
    </row>
    <row r="2717" spans="1:9" x14ac:dyDescent="0.2">
      <c r="A2717" s="3" t="str">
        <f>"ENSG00000185803.9"</f>
        <v>ENSG00000185803.9</v>
      </c>
      <c r="B2717" s="3">
        <v>905.52103810801998</v>
      </c>
      <c r="C2717" s="3">
        <v>-1.05079747673932</v>
      </c>
      <c r="D2717" s="3">
        <v>0.22788962151324901</v>
      </c>
      <c r="E2717" s="3">
        <v>-4.6109931192203497</v>
      </c>
      <c r="F2717" s="4">
        <v>4.0074980418718901E-6</v>
      </c>
      <c r="G2717" s="4">
        <v>3.0845282244882299E-5</v>
      </c>
      <c r="H2717" s="3" t="str">
        <f>"SLC52A2"</f>
        <v>SLC52A2</v>
      </c>
      <c r="I2717" s="3" t="str">
        <f t="shared" si="128"/>
        <v>protein_coding</v>
      </c>
    </row>
    <row r="2718" spans="1:9" x14ac:dyDescent="0.2">
      <c r="A2718" s="3" t="str">
        <f>"ENSG00000071894.17"</f>
        <v>ENSG00000071894.17</v>
      </c>
      <c r="B2718" s="3">
        <v>3948.0082929633299</v>
      </c>
      <c r="C2718" s="3">
        <v>-1.268150035701</v>
      </c>
      <c r="D2718" s="3">
        <v>0.214987710218768</v>
      </c>
      <c r="E2718" s="3">
        <v>-5.8987094397654296</v>
      </c>
      <c r="F2718" s="4">
        <v>3.6635572553281099E-9</v>
      </c>
      <c r="G2718" s="4">
        <v>4.6363652826718502E-8</v>
      </c>
      <c r="H2718" s="3" t="str">
        <f>"CPSF1"</f>
        <v>CPSF1</v>
      </c>
      <c r="I2718" s="3" t="str">
        <f t="shared" si="128"/>
        <v>protein_coding</v>
      </c>
    </row>
    <row r="2719" spans="1:9" x14ac:dyDescent="0.2">
      <c r="A2719" s="3" t="str">
        <f>"ENSG00000160972.9"</f>
        <v>ENSG00000160972.9</v>
      </c>
      <c r="B2719" s="3">
        <v>904.69186105679705</v>
      </c>
      <c r="C2719" s="3">
        <v>-1.329497669992</v>
      </c>
      <c r="D2719" s="3">
        <v>0.25006850735477998</v>
      </c>
      <c r="E2719" s="3">
        <v>-5.3165337933008896</v>
      </c>
      <c r="F2719" s="4">
        <v>1.0576258771829501E-7</v>
      </c>
      <c r="G2719" s="4">
        <v>1.07047296714724E-6</v>
      </c>
      <c r="H2719" s="3" t="str">
        <f>"PPP1R16A"</f>
        <v>PPP1R16A</v>
      </c>
      <c r="I2719" s="3" t="str">
        <f t="shared" si="128"/>
        <v>protein_coding</v>
      </c>
    </row>
    <row r="2720" spans="1:9" x14ac:dyDescent="0.2">
      <c r="A2720" s="3" t="str">
        <f>"ENSG00000167701.14"</f>
        <v>ENSG00000167701.14</v>
      </c>
      <c r="B2720" s="3">
        <v>113.466417347568</v>
      </c>
      <c r="C2720" s="3">
        <v>-2.8039922611509498</v>
      </c>
      <c r="D2720" s="3">
        <v>0.38210733992565898</v>
      </c>
      <c r="E2720" s="3">
        <v>-7.3382318740500496</v>
      </c>
      <c r="F2720" s="4">
        <v>2.16433972178801E-13</v>
      </c>
      <c r="G2720" s="4">
        <v>4.65444075766046E-12</v>
      </c>
      <c r="H2720" s="3" t="str">
        <f>"GPT"</f>
        <v>GPT</v>
      </c>
      <c r="I2720" s="3" t="str">
        <f t="shared" si="128"/>
        <v>protein_coding</v>
      </c>
    </row>
    <row r="2721" spans="1:9" x14ac:dyDescent="0.2">
      <c r="A2721" s="3" t="str">
        <f>"ENSG00000160957.13"</f>
        <v>ENSG00000160957.13</v>
      </c>
      <c r="B2721" s="3">
        <v>1336.0989954357001</v>
      </c>
      <c r="C2721" s="3">
        <v>-1.53255889440069</v>
      </c>
      <c r="D2721" s="3">
        <v>0.232258655402378</v>
      </c>
      <c r="E2721" s="3">
        <v>-6.5985006747998201</v>
      </c>
      <c r="F2721" s="4">
        <v>4.1533659053546002E-11</v>
      </c>
      <c r="G2721" s="4">
        <v>6.8131704288498897E-10</v>
      </c>
      <c r="H2721" s="3" t="str">
        <f>"RECQL4"</f>
        <v>RECQL4</v>
      </c>
      <c r="I2721" s="3" t="str">
        <f t="shared" si="128"/>
        <v>protein_coding</v>
      </c>
    </row>
    <row r="2722" spans="1:9" x14ac:dyDescent="0.2">
      <c r="A2722" s="3" t="str">
        <f>"ENSG00000213563.6"</f>
        <v>ENSG00000213563.6</v>
      </c>
      <c r="B2722" s="3">
        <v>468.90899947448298</v>
      </c>
      <c r="C2722" s="3">
        <v>-1.4416523947411599</v>
      </c>
      <c r="D2722" s="3">
        <v>0.22805514782695799</v>
      </c>
      <c r="E2722" s="3">
        <v>-6.3215077952770002</v>
      </c>
      <c r="F2722" s="4">
        <v>2.5902330855015201E-10</v>
      </c>
      <c r="G2722" s="4">
        <v>3.7822122658445803E-9</v>
      </c>
      <c r="H2722" s="3" t="str">
        <f>"C8orf82"</f>
        <v>C8orf82</v>
      </c>
      <c r="I2722" s="3" t="str">
        <f t="shared" si="128"/>
        <v>protein_coding</v>
      </c>
    </row>
    <row r="2723" spans="1:9" x14ac:dyDescent="0.2">
      <c r="A2723" s="3" t="str">
        <f>"ENSG00000183784.7"</f>
        <v>ENSG00000183784.7</v>
      </c>
      <c r="B2723" s="3">
        <v>14.425139669668599</v>
      </c>
      <c r="C2723" s="3">
        <v>4.14377506077932</v>
      </c>
      <c r="D2723" s="3">
        <v>1.17163515230212</v>
      </c>
      <c r="E2723" s="3">
        <v>3.5367452509745001</v>
      </c>
      <c r="F2723" s="3">
        <v>4.0509019760579499E-4</v>
      </c>
      <c r="G2723" s="3">
        <v>1.9919676257291298E-3</v>
      </c>
      <c r="H2723" s="3" t="str">
        <f>"C9orf66"</f>
        <v>C9orf66</v>
      </c>
      <c r="I2723" s="3" t="str">
        <f t="shared" si="128"/>
        <v>protein_coding</v>
      </c>
    </row>
    <row r="2724" spans="1:9" x14ac:dyDescent="0.2">
      <c r="A2724" s="3" t="str">
        <f>"ENSG00000107099.15"</f>
        <v>ENSG00000107099.15</v>
      </c>
      <c r="B2724" s="3">
        <v>554.77611737621305</v>
      </c>
      <c r="C2724" s="3">
        <v>2.8077599419922099</v>
      </c>
      <c r="D2724" s="3">
        <v>0.24414900453098701</v>
      </c>
      <c r="E2724" s="3">
        <v>11.500190006451</v>
      </c>
      <c r="F2724" s="4">
        <v>1.3162535319303899E-30</v>
      </c>
      <c r="G2724" s="4">
        <v>1.0769957953305501E-28</v>
      </c>
      <c r="H2724" s="3" t="str">
        <f>"DOCK8"</f>
        <v>DOCK8</v>
      </c>
      <c r="I2724" s="3" t="str">
        <f t="shared" si="128"/>
        <v>protein_coding</v>
      </c>
    </row>
    <row r="2725" spans="1:9" x14ac:dyDescent="0.2">
      <c r="A2725" s="3" t="str">
        <f>"ENSG00000235330.2"</f>
        <v>ENSG00000235330.2</v>
      </c>
      <c r="B2725" s="3">
        <v>10.931545806741401</v>
      </c>
      <c r="C2725" s="3">
        <v>4.3429557520111697</v>
      </c>
      <c r="D2725" s="3">
        <v>1.4049030263865301</v>
      </c>
      <c r="E2725" s="3">
        <v>3.09128507124184</v>
      </c>
      <c r="F2725" s="3">
        <v>1.9929220112529398E-3</v>
      </c>
      <c r="G2725" s="3">
        <v>8.0291506787829002E-3</v>
      </c>
      <c r="H2725" s="3" t="str">
        <f>"RPL12P25"</f>
        <v>RPL12P25</v>
      </c>
      <c r="I2725" s="3" t="str">
        <f>"transcribed_processed_pseudogene"</f>
        <v>transcribed_processed_pseudogene</v>
      </c>
    </row>
    <row r="2726" spans="1:9" x14ac:dyDescent="0.2">
      <c r="A2726" s="3" t="str">
        <f>"ENSG00000147852.16"</f>
        <v>ENSG00000147852.16</v>
      </c>
      <c r="B2726" s="3">
        <v>161.38273709555699</v>
      </c>
      <c r="C2726" s="3">
        <v>-1.1933162727848401</v>
      </c>
      <c r="D2726" s="3">
        <v>0.33677201003432899</v>
      </c>
      <c r="E2726" s="3">
        <v>-3.5433950483687702</v>
      </c>
      <c r="F2726" s="3">
        <v>3.9501050034166502E-4</v>
      </c>
      <c r="G2726" s="3">
        <v>1.94626602220784E-3</v>
      </c>
      <c r="H2726" s="3" t="str">
        <f>"VLDLR"</f>
        <v>VLDLR</v>
      </c>
      <c r="I2726" s="3" t="str">
        <f>"protein_coding"</f>
        <v>protein_coding</v>
      </c>
    </row>
    <row r="2727" spans="1:9" x14ac:dyDescent="0.2">
      <c r="A2727" s="3" t="str">
        <f>"ENSG00000107249.23"</f>
        <v>ENSG00000107249.23</v>
      </c>
      <c r="B2727" s="3">
        <v>171.34737441675301</v>
      </c>
      <c r="C2727" s="3">
        <v>4.5577792094855702</v>
      </c>
      <c r="D2727" s="3">
        <v>0.40429103816661899</v>
      </c>
      <c r="E2727" s="3">
        <v>11.273510365587599</v>
      </c>
      <c r="F2727" s="4">
        <v>1.7735503310030799E-29</v>
      </c>
      <c r="G2727" s="4">
        <v>1.3275803810121201E-27</v>
      </c>
      <c r="H2727" s="3" t="str">
        <f>"GLIS3"</f>
        <v>GLIS3</v>
      </c>
      <c r="I2727" s="3" t="str">
        <f>"protein_coding"</f>
        <v>protein_coding</v>
      </c>
    </row>
    <row r="2728" spans="1:9" x14ac:dyDescent="0.2">
      <c r="A2728" s="3" t="str">
        <f>"ENSG00000230001.1"</f>
        <v>ENSG00000230001.1</v>
      </c>
      <c r="B2728" s="3">
        <v>13.358994410536001</v>
      </c>
      <c r="C2728" s="3">
        <v>7.1353065945262504</v>
      </c>
      <c r="D2728" s="3">
        <v>1.6898795332778</v>
      </c>
      <c r="E2728" s="3">
        <v>4.2223758877570097</v>
      </c>
      <c r="F2728" s="4">
        <v>2.4174051806972601E-5</v>
      </c>
      <c r="G2728" s="3">
        <v>1.57992417746362E-4</v>
      </c>
      <c r="H2728" s="3" t="str">
        <f>"AL359095.1"</f>
        <v>AL359095.1</v>
      </c>
      <c r="I2728" s="3" t="str">
        <f>"sense_intronic"</f>
        <v>sense_intronic</v>
      </c>
    </row>
    <row r="2729" spans="1:9" x14ac:dyDescent="0.2">
      <c r="A2729" s="3" t="str">
        <f>"ENSG00000106688.12"</f>
        <v>ENSG00000106688.12</v>
      </c>
      <c r="B2729" s="3">
        <v>5.1364562707746</v>
      </c>
      <c r="C2729" s="3">
        <v>5.7531737618863001</v>
      </c>
      <c r="D2729" s="3">
        <v>2.0366314197419402</v>
      </c>
      <c r="E2729" s="3">
        <v>2.8248477884207799</v>
      </c>
      <c r="F2729" s="3">
        <v>4.7303081241233903E-3</v>
      </c>
      <c r="G2729" s="3">
        <v>1.69342669107857E-2</v>
      </c>
      <c r="H2729" s="3" t="str">
        <f>"SLC1A1"</f>
        <v>SLC1A1</v>
      </c>
      <c r="I2729" s="3" t="str">
        <f t="shared" ref="I2729:I2734" si="129">"protein_coding"</f>
        <v>protein_coding</v>
      </c>
    </row>
    <row r="2730" spans="1:9" x14ac:dyDescent="0.2">
      <c r="A2730" s="3" t="str">
        <f>"ENSG00000106686.16"</f>
        <v>ENSG00000106686.16</v>
      </c>
      <c r="B2730" s="3">
        <v>174.58207454137801</v>
      </c>
      <c r="C2730" s="3">
        <v>2.08225464414007</v>
      </c>
      <c r="D2730" s="3">
        <v>0.31606005946282001</v>
      </c>
      <c r="E2730" s="3">
        <v>6.58816127440807</v>
      </c>
      <c r="F2730" s="4">
        <v>4.4530680268624899E-11</v>
      </c>
      <c r="G2730" s="4">
        <v>7.2697869699174502E-10</v>
      </c>
      <c r="H2730" s="3" t="str">
        <f>"SPATA6L"</f>
        <v>SPATA6L</v>
      </c>
      <c r="I2730" s="3" t="str">
        <f t="shared" si="129"/>
        <v>protein_coding</v>
      </c>
    </row>
    <row r="2731" spans="1:9" x14ac:dyDescent="0.2">
      <c r="A2731" s="3" t="str">
        <f>"ENSG00000205808.5"</f>
        <v>ENSG00000205808.5</v>
      </c>
      <c r="B2731" s="3">
        <v>901.17750056862303</v>
      </c>
      <c r="C2731" s="3">
        <v>1.7172938469712</v>
      </c>
      <c r="D2731" s="3">
        <v>0.21304429156641799</v>
      </c>
      <c r="E2731" s="3">
        <v>8.0607362644862004</v>
      </c>
      <c r="F2731" s="4">
        <v>7.5836286525970202E-16</v>
      </c>
      <c r="G2731" s="4">
        <v>2.0478803755927801E-14</v>
      </c>
      <c r="H2731" s="3" t="str">
        <f>"PLPP6"</f>
        <v>PLPP6</v>
      </c>
      <c r="I2731" s="3" t="str">
        <f t="shared" si="129"/>
        <v>protein_coding</v>
      </c>
    </row>
    <row r="2732" spans="1:9" x14ac:dyDescent="0.2">
      <c r="A2732" s="3" t="str">
        <f>"ENSG00000099219.14"</f>
        <v>ENSG00000099219.14</v>
      </c>
      <c r="B2732" s="3">
        <v>3161.1618745118599</v>
      </c>
      <c r="C2732" s="3">
        <v>-1.76699372108111</v>
      </c>
      <c r="D2732" s="3">
        <v>0.19628516615104399</v>
      </c>
      <c r="E2732" s="3">
        <v>-9.0021765563342804</v>
      </c>
      <c r="F2732" s="4">
        <v>2.2128632805641902E-19</v>
      </c>
      <c r="G2732" s="4">
        <v>8.0178039635016602E-18</v>
      </c>
      <c r="H2732" s="3" t="str">
        <f>"ERMP1"</f>
        <v>ERMP1</v>
      </c>
      <c r="I2732" s="3" t="str">
        <f t="shared" si="129"/>
        <v>protein_coding</v>
      </c>
    </row>
    <row r="2733" spans="1:9" x14ac:dyDescent="0.2">
      <c r="A2733" s="3" t="str">
        <f>"ENSG00000137033.11"</f>
        <v>ENSG00000137033.11</v>
      </c>
      <c r="B2733" s="3">
        <v>202.87637138749699</v>
      </c>
      <c r="C2733" s="3">
        <v>8.6132464628510199</v>
      </c>
      <c r="D2733" s="3">
        <v>1.07455886890926</v>
      </c>
      <c r="E2733" s="3">
        <v>8.0156115333113398</v>
      </c>
      <c r="F2733" s="4">
        <v>1.0959036677754001E-15</v>
      </c>
      <c r="G2733" s="4">
        <v>2.9160241441285502E-14</v>
      </c>
      <c r="H2733" s="3" t="str">
        <f>"IL33"</f>
        <v>IL33</v>
      </c>
      <c r="I2733" s="3" t="str">
        <f t="shared" si="129"/>
        <v>protein_coding</v>
      </c>
    </row>
    <row r="2734" spans="1:9" x14ac:dyDescent="0.2">
      <c r="A2734" s="3" t="str">
        <f>"ENSG00000178445.9"</f>
        <v>ENSG00000178445.9</v>
      </c>
      <c r="B2734" s="3">
        <v>4836.9726437899399</v>
      </c>
      <c r="C2734" s="3">
        <v>-1.26784879300974</v>
      </c>
      <c r="D2734" s="3">
        <v>0.186417477748094</v>
      </c>
      <c r="E2734" s="3">
        <v>-6.8011262051457901</v>
      </c>
      <c r="F2734" s="4">
        <v>1.03804433165309E-11</v>
      </c>
      <c r="G2734" s="4">
        <v>1.8330261765749599E-10</v>
      </c>
      <c r="H2734" s="3" t="str">
        <f>"GLDC"</f>
        <v>GLDC</v>
      </c>
      <c r="I2734" s="3" t="str">
        <f t="shared" si="129"/>
        <v>protein_coding</v>
      </c>
    </row>
    <row r="2735" spans="1:9" x14ac:dyDescent="0.2">
      <c r="A2735" s="3" t="str">
        <f>"ENSG00000236924.1"</f>
        <v>ENSG00000236924.1</v>
      </c>
      <c r="B2735" s="3">
        <v>81.353529545404101</v>
      </c>
      <c r="C2735" s="3">
        <v>-1.9558326394265599</v>
      </c>
      <c r="D2735" s="3">
        <v>0.42099875393361103</v>
      </c>
      <c r="E2735" s="3">
        <v>-4.6456969792717704</v>
      </c>
      <c r="F2735" s="4">
        <v>3.3893019590747201E-6</v>
      </c>
      <c r="G2735" s="4">
        <v>2.6445678831302702E-5</v>
      </c>
      <c r="H2735" s="3" t="str">
        <f>"AL162411.1"</f>
        <v>AL162411.1</v>
      </c>
      <c r="I2735" s="3" t="str">
        <f>"lincRNA"</f>
        <v>lincRNA</v>
      </c>
    </row>
    <row r="2736" spans="1:9" x14ac:dyDescent="0.2">
      <c r="A2736" s="3" t="str">
        <f>"ENSG00000153707.17"</f>
        <v>ENSG00000153707.17</v>
      </c>
      <c r="B2736" s="3">
        <v>23.935980567680598</v>
      </c>
      <c r="C2736" s="3">
        <v>2.1665003693930198</v>
      </c>
      <c r="D2736" s="3">
        <v>0.80482385261480305</v>
      </c>
      <c r="E2736" s="3">
        <v>2.6918938378307802</v>
      </c>
      <c r="F2736" s="3">
        <v>7.1047557100021802E-3</v>
      </c>
      <c r="G2736" s="3">
        <v>2.3922797680478201E-2</v>
      </c>
      <c r="H2736" s="3" t="str">
        <f>"PTPRD"</f>
        <v>PTPRD</v>
      </c>
      <c r="I2736" s="3" t="str">
        <f t="shared" ref="I2736:I2742" si="130">"protein_coding"</f>
        <v>protein_coding</v>
      </c>
    </row>
    <row r="2737" spans="1:9" x14ac:dyDescent="0.2">
      <c r="A2737" s="3" t="str">
        <f>"ENSG00000107165.12"</f>
        <v>ENSG00000107165.12</v>
      </c>
      <c r="B2737" s="3">
        <v>69.467449185838305</v>
      </c>
      <c r="C2737" s="3">
        <v>7.0595937916597604</v>
      </c>
      <c r="D2737" s="3">
        <v>1.10829431052868</v>
      </c>
      <c r="E2737" s="3">
        <v>6.3697825790445703</v>
      </c>
      <c r="F2737" s="4">
        <v>1.8929635184604899E-10</v>
      </c>
      <c r="G2737" s="4">
        <v>2.8292691710089398E-9</v>
      </c>
      <c r="H2737" s="3" t="str">
        <f>"TYRP1"</f>
        <v>TYRP1</v>
      </c>
      <c r="I2737" s="3" t="str">
        <f t="shared" si="130"/>
        <v>protein_coding</v>
      </c>
    </row>
    <row r="2738" spans="1:9" x14ac:dyDescent="0.2">
      <c r="A2738" s="3" t="str">
        <f>"ENSG00000147862.17"</f>
        <v>ENSG00000147862.17</v>
      </c>
      <c r="B2738" s="3">
        <v>427.19495801035299</v>
      </c>
      <c r="C2738" s="3">
        <v>-1.18635525504927</v>
      </c>
      <c r="D2738" s="3">
        <v>0.23849484385316899</v>
      </c>
      <c r="E2738" s="3">
        <v>-4.9743434108775002</v>
      </c>
      <c r="F2738" s="4">
        <v>6.54691600911371E-7</v>
      </c>
      <c r="G2738" s="4">
        <v>5.7856849763987696E-6</v>
      </c>
      <c r="H2738" s="3" t="str">
        <f>"NFIB"</f>
        <v>NFIB</v>
      </c>
      <c r="I2738" s="3" t="str">
        <f t="shared" si="130"/>
        <v>protein_coding</v>
      </c>
    </row>
    <row r="2739" spans="1:9" x14ac:dyDescent="0.2">
      <c r="A2739" s="3" t="str">
        <f>"ENSG00000164946.19"</f>
        <v>ENSG00000164946.19</v>
      </c>
      <c r="B2739" s="3">
        <v>1477.5405656553601</v>
      </c>
      <c r="C2739" s="3">
        <v>-1.9498915366794001</v>
      </c>
      <c r="D2739" s="3">
        <v>0.19694052346338001</v>
      </c>
      <c r="E2739" s="3">
        <v>-9.9009157810122694</v>
      </c>
      <c r="F2739" s="4">
        <v>4.1248046724789698E-23</v>
      </c>
      <c r="G2739" s="4">
        <v>2.0069384448398998E-21</v>
      </c>
      <c r="H2739" s="3" t="str">
        <f>"FREM1"</f>
        <v>FREM1</v>
      </c>
      <c r="I2739" s="3" t="str">
        <f t="shared" si="130"/>
        <v>protein_coding</v>
      </c>
    </row>
    <row r="2740" spans="1:9" x14ac:dyDescent="0.2">
      <c r="A2740" s="3" t="str">
        <f>"ENSG00000155158.20"</f>
        <v>ENSG00000155158.20</v>
      </c>
      <c r="B2740" s="3">
        <v>629.59043920237502</v>
      </c>
      <c r="C2740" s="3">
        <v>-2.0430215051881202</v>
      </c>
      <c r="D2740" s="3">
        <v>0.235426739036356</v>
      </c>
      <c r="E2740" s="3">
        <v>-8.6779501493779705</v>
      </c>
      <c r="F2740" s="4">
        <v>4.0296558383086903E-18</v>
      </c>
      <c r="G2740" s="4">
        <v>1.3149225464239099E-16</v>
      </c>
      <c r="H2740" s="3" t="str">
        <f>"TTC39B"</f>
        <v>TTC39B</v>
      </c>
      <c r="I2740" s="3" t="str">
        <f t="shared" si="130"/>
        <v>protein_coding</v>
      </c>
    </row>
    <row r="2741" spans="1:9" x14ac:dyDescent="0.2">
      <c r="A2741" s="3" t="str">
        <f>"ENSG00000173068.18"</f>
        <v>ENSG00000173068.18</v>
      </c>
      <c r="B2741" s="3">
        <v>9.24639034443139</v>
      </c>
      <c r="C2741" s="3">
        <v>5.1249119646496899</v>
      </c>
      <c r="D2741" s="3">
        <v>1.76773309424528</v>
      </c>
      <c r="E2741" s="3">
        <v>2.8991435309626001</v>
      </c>
      <c r="F2741" s="3">
        <v>3.7418355920389198E-3</v>
      </c>
      <c r="G2741" s="3">
        <v>1.38580663825315E-2</v>
      </c>
      <c r="H2741" s="3" t="str">
        <f>"BNC2"</f>
        <v>BNC2</v>
      </c>
      <c r="I2741" s="3" t="str">
        <f t="shared" si="130"/>
        <v>protein_coding</v>
      </c>
    </row>
    <row r="2742" spans="1:9" x14ac:dyDescent="0.2">
      <c r="A2742" s="3" t="str">
        <f>"ENSG00000178031.17"</f>
        <v>ENSG00000178031.17</v>
      </c>
      <c r="B2742" s="3">
        <v>12.1118698952423</v>
      </c>
      <c r="C2742" s="3">
        <v>6.9945058841445702</v>
      </c>
      <c r="D2742" s="3">
        <v>1.71195129545554</v>
      </c>
      <c r="E2742" s="3">
        <v>4.08569210041889</v>
      </c>
      <c r="F2742" s="4">
        <v>4.3945623633597901E-5</v>
      </c>
      <c r="G2742" s="3">
        <v>2.7163938456094402E-4</v>
      </c>
      <c r="H2742" s="3" t="str">
        <f>"ADAMTSL1"</f>
        <v>ADAMTSL1</v>
      </c>
      <c r="I2742" s="3" t="str">
        <f t="shared" si="130"/>
        <v>protein_coding</v>
      </c>
    </row>
    <row r="2743" spans="1:9" x14ac:dyDescent="0.2">
      <c r="A2743" s="3" t="str">
        <f>"ENSG00000285911.1"</f>
        <v>ENSG00000285911.1</v>
      </c>
      <c r="B2743" s="3">
        <v>14.5063841902957</v>
      </c>
      <c r="C2743" s="3">
        <v>3.3513939639461499</v>
      </c>
      <c r="D2743" s="3">
        <v>1.0430520409385999</v>
      </c>
      <c r="E2743" s="3">
        <v>3.2130649597601701</v>
      </c>
      <c r="F2743" s="3">
        <v>1.31326583306589E-3</v>
      </c>
      <c r="G2743" s="3">
        <v>5.59646125095822E-3</v>
      </c>
      <c r="H2743" s="3" t="str">
        <f>"AL391834.3"</f>
        <v>AL391834.3</v>
      </c>
      <c r="I2743" s="3" t="str">
        <f>"bidirectional_promoter_lncRNA"</f>
        <v>bidirectional_promoter_lncRNA</v>
      </c>
    </row>
    <row r="2744" spans="1:9" x14ac:dyDescent="0.2">
      <c r="A2744" s="3" t="str">
        <f>"ENSG00000177076.6"</f>
        <v>ENSG00000177076.6</v>
      </c>
      <c r="B2744" s="3">
        <v>1632.1126106454799</v>
      </c>
      <c r="C2744" s="3">
        <v>4.2665456077895998</v>
      </c>
      <c r="D2744" s="3">
        <v>0.20938019199657701</v>
      </c>
      <c r="E2744" s="3">
        <v>20.377025959835599</v>
      </c>
      <c r="F2744" s="4">
        <v>2.6741768642003199E-92</v>
      </c>
      <c r="G2744" s="4">
        <v>2.51252748340917E-89</v>
      </c>
      <c r="H2744" s="3" t="str">
        <f>"ACER2"</f>
        <v>ACER2</v>
      </c>
      <c r="I2744" s="3" t="str">
        <f>"protein_coding"</f>
        <v>protein_coding</v>
      </c>
    </row>
    <row r="2745" spans="1:9" x14ac:dyDescent="0.2">
      <c r="A2745" s="3" t="str">
        <f>"ENSG00000260912.1"</f>
        <v>ENSG00000260912.1</v>
      </c>
      <c r="B2745" s="3">
        <v>912.39841749210495</v>
      </c>
      <c r="C2745" s="3">
        <v>4.5870872733682404</v>
      </c>
      <c r="D2745" s="3">
        <v>0.26423707550616798</v>
      </c>
      <c r="E2745" s="3">
        <v>17.359741302696801</v>
      </c>
      <c r="F2745" s="4">
        <v>1.6647181438534601E-67</v>
      </c>
      <c r="G2745" s="4">
        <v>6.2135034610377101E-65</v>
      </c>
      <c r="H2745" s="3" t="str">
        <f>"AL158206.1"</f>
        <v>AL158206.1</v>
      </c>
      <c r="I2745" s="3" t="str">
        <f>"sense_overlapping"</f>
        <v>sense_overlapping</v>
      </c>
    </row>
    <row r="2746" spans="1:9" x14ac:dyDescent="0.2">
      <c r="A2746" s="3" t="str">
        <f>"ENSG00000155886.11"</f>
        <v>ENSG00000155886.11</v>
      </c>
      <c r="B2746" s="3">
        <v>6.5345447860410504</v>
      </c>
      <c r="C2746" s="3">
        <v>6.1065584322363398</v>
      </c>
      <c r="D2746" s="3">
        <v>1.9147670694155401</v>
      </c>
      <c r="E2746" s="3">
        <v>3.18919127541727</v>
      </c>
      <c r="F2746" s="3">
        <v>1.42671441136191E-3</v>
      </c>
      <c r="G2746" s="3">
        <v>6.0250600691844399E-3</v>
      </c>
      <c r="H2746" s="3" t="str">
        <f>"SLC24A2"</f>
        <v>SLC24A2</v>
      </c>
      <c r="I2746" s="3" t="str">
        <f t="shared" ref="I2746:I2752" si="131">"protein_coding"</f>
        <v>protein_coding</v>
      </c>
    </row>
    <row r="2747" spans="1:9" x14ac:dyDescent="0.2">
      <c r="A2747" s="3" t="str">
        <f>"ENSG00000171843.16"</f>
        <v>ENSG00000171843.16</v>
      </c>
      <c r="B2747" s="3">
        <v>418.86647245189499</v>
      </c>
      <c r="C2747" s="3">
        <v>-1.02935757017049</v>
      </c>
      <c r="D2747" s="3">
        <v>0.238731423748097</v>
      </c>
      <c r="E2747" s="3">
        <v>-4.3117808037564203</v>
      </c>
      <c r="F2747" s="4">
        <v>1.6194493770242499E-5</v>
      </c>
      <c r="G2747" s="3">
        <v>1.0992809460831999E-4</v>
      </c>
      <c r="H2747" s="3" t="str">
        <f>"MLLT3"</f>
        <v>MLLT3</v>
      </c>
      <c r="I2747" s="3" t="str">
        <f t="shared" si="131"/>
        <v>protein_coding</v>
      </c>
    </row>
    <row r="2748" spans="1:9" x14ac:dyDescent="0.2">
      <c r="A2748" s="3" t="str">
        <f>"ENSG00000147889.17"</f>
        <v>ENSG00000147889.17</v>
      </c>
      <c r="B2748" s="3">
        <v>61.302978916664401</v>
      </c>
      <c r="C2748" s="3">
        <v>-1.24432075609315</v>
      </c>
      <c r="D2748" s="3">
        <v>0.47652329740129801</v>
      </c>
      <c r="E2748" s="3">
        <v>-2.6112485221163499</v>
      </c>
      <c r="F2748" s="3">
        <v>9.0212309183476305E-3</v>
      </c>
      <c r="G2748" s="3">
        <v>2.92113481866033E-2</v>
      </c>
      <c r="H2748" s="3" t="str">
        <f>"CDKN2A"</f>
        <v>CDKN2A</v>
      </c>
      <c r="I2748" s="3" t="str">
        <f t="shared" si="131"/>
        <v>protein_coding</v>
      </c>
    </row>
    <row r="2749" spans="1:9" x14ac:dyDescent="0.2">
      <c r="A2749" s="3" t="str">
        <f>"ENSG00000147883.11"</f>
        <v>ENSG00000147883.11</v>
      </c>
      <c r="B2749" s="3">
        <v>206.72406961141201</v>
      </c>
      <c r="C2749" s="3">
        <v>4.0033566717829903</v>
      </c>
      <c r="D2749" s="3">
        <v>0.34440019170959102</v>
      </c>
      <c r="E2749" s="3">
        <v>11.624141821496901</v>
      </c>
      <c r="F2749" s="4">
        <v>3.1069988056575999E-31</v>
      </c>
      <c r="G2749" s="4">
        <v>2.67054878415624E-29</v>
      </c>
      <c r="H2749" s="3" t="str">
        <f>"CDKN2B"</f>
        <v>CDKN2B</v>
      </c>
      <c r="I2749" s="3" t="str">
        <f t="shared" si="131"/>
        <v>protein_coding</v>
      </c>
    </row>
    <row r="2750" spans="1:9" x14ac:dyDescent="0.2">
      <c r="A2750" s="3" t="str">
        <f>"ENSG00000184434.7"</f>
        <v>ENSG00000184434.7</v>
      </c>
      <c r="B2750" s="3">
        <v>12.5223876795556</v>
      </c>
      <c r="C2750" s="3">
        <v>5.5683887460639303</v>
      </c>
      <c r="D2750" s="3">
        <v>1.6909609282349201</v>
      </c>
      <c r="E2750" s="3">
        <v>3.29303217660765</v>
      </c>
      <c r="F2750" s="3">
        <v>9.9113131155239903E-4</v>
      </c>
      <c r="G2750" s="3">
        <v>4.3854100106963702E-3</v>
      </c>
      <c r="H2750" s="3" t="str">
        <f>"LRRC19"</f>
        <v>LRRC19</v>
      </c>
      <c r="I2750" s="3" t="str">
        <f t="shared" si="131"/>
        <v>protein_coding</v>
      </c>
    </row>
    <row r="2751" spans="1:9" x14ac:dyDescent="0.2">
      <c r="A2751" s="3" t="str">
        <f>"ENSG00000120156.21"</f>
        <v>ENSG00000120156.21</v>
      </c>
      <c r="B2751" s="3">
        <v>7.0900149895812499</v>
      </c>
      <c r="C2751" s="3">
        <v>4.7228370487368796</v>
      </c>
      <c r="D2751" s="3">
        <v>1.8526910941083501</v>
      </c>
      <c r="E2751" s="3">
        <v>2.5491767428233101</v>
      </c>
      <c r="F2751" s="3">
        <v>1.07977561963775E-2</v>
      </c>
      <c r="G2751" s="3">
        <v>3.3969110158491897E-2</v>
      </c>
      <c r="H2751" s="3" t="str">
        <f>"TEK"</f>
        <v>TEK</v>
      </c>
      <c r="I2751" s="3" t="str">
        <f t="shared" si="131"/>
        <v>protein_coding</v>
      </c>
    </row>
    <row r="2752" spans="1:9" x14ac:dyDescent="0.2">
      <c r="A2752" s="3" t="str">
        <f>"ENSG00000137074.18"</f>
        <v>ENSG00000137074.18</v>
      </c>
      <c r="B2752" s="3">
        <v>1296.9957608301299</v>
      </c>
      <c r="C2752" s="3">
        <v>1.2558726313612401</v>
      </c>
      <c r="D2752" s="3">
        <v>0.190629017150034</v>
      </c>
      <c r="E2752" s="3">
        <v>6.5880454620022801</v>
      </c>
      <c r="F2752" s="4">
        <v>4.4565420318744698E-11</v>
      </c>
      <c r="G2752" s="4">
        <v>7.27110184086729E-10</v>
      </c>
      <c r="H2752" s="3" t="str">
        <f>"APTX"</f>
        <v>APTX</v>
      </c>
      <c r="I2752" s="3" t="str">
        <f t="shared" si="131"/>
        <v>protein_coding</v>
      </c>
    </row>
    <row r="2753" spans="1:9" x14ac:dyDescent="0.2">
      <c r="A2753" s="3" t="str">
        <f>"ENSG00000236184.1"</f>
        <v>ENSG00000236184.1</v>
      </c>
      <c r="B2753" s="3">
        <v>51.689313697779902</v>
      </c>
      <c r="C2753" s="3">
        <v>2.24217752632596</v>
      </c>
      <c r="D2753" s="3">
        <v>0.52183601819801695</v>
      </c>
      <c r="E2753" s="3">
        <v>4.2967090199495299</v>
      </c>
      <c r="F2753" s="4">
        <v>1.7335250738823001E-5</v>
      </c>
      <c r="G2753" s="3">
        <v>1.16740874167254E-4</v>
      </c>
      <c r="H2753" s="3" t="str">
        <f>"TCEA1P4"</f>
        <v>TCEA1P4</v>
      </c>
      <c r="I2753" s="3" t="str">
        <f>"processed_pseudogene"</f>
        <v>processed_pseudogene</v>
      </c>
    </row>
    <row r="2754" spans="1:9" x14ac:dyDescent="0.2">
      <c r="A2754" s="3" t="str">
        <f>"ENSG00000225693.1"</f>
        <v>ENSG00000225693.1</v>
      </c>
      <c r="B2754" s="3">
        <v>39.415581884564503</v>
      </c>
      <c r="C2754" s="3">
        <v>1.5924447106127999</v>
      </c>
      <c r="D2754" s="3">
        <v>0.568447158216695</v>
      </c>
      <c r="E2754" s="3">
        <v>2.8013944437835501</v>
      </c>
      <c r="F2754" s="3">
        <v>5.0882284033272303E-3</v>
      </c>
      <c r="G2754" s="3">
        <v>1.7990097551313498E-2</v>
      </c>
      <c r="H2754" s="3" t="str">
        <f>"LAGE3P1"</f>
        <v>LAGE3P1</v>
      </c>
      <c r="I2754" s="3" t="str">
        <f>"processed_pseudogene"</f>
        <v>processed_pseudogene</v>
      </c>
    </row>
    <row r="2755" spans="1:9" x14ac:dyDescent="0.2">
      <c r="A2755" s="3" t="str">
        <f>"ENSG00000086062.12"</f>
        <v>ENSG00000086062.12</v>
      </c>
      <c r="B2755" s="3">
        <v>2880.3391703942698</v>
      </c>
      <c r="C2755" s="3">
        <v>-1.71817224591914</v>
      </c>
      <c r="D2755" s="3">
        <v>0.18728936604818799</v>
      </c>
      <c r="E2755" s="3">
        <v>-9.1738910872124695</v>
      </c>
      <c r="F2755" s="4">
        <v>4.5624598157700999E-20</v>
      </c>
      <c r="G2755" s="4">
        <v>1.77337150642351E-18</v>
      </c>
      <c r="H2755" s="3" t="str">
        <f>"B4GALT1"</f>
        <v>B4GALT1</v>
      </c>
      <c r="I2755" s="3" t="str">
        <f>"protein_coding"</f>
        <v>protein_coding</v>
      </c>
    </row>
    <row r="2756" spans="1:9" x14ac:dyDescent="0.2">
      <c r="A2756" s="3" t="str">
        <f>"ENSG00000165269.13"</f>
        <v>ENSG00000165269.13</v>
      </c>
      <c r="B2756" s="3">
        <v>441.16009437773897</v>
      </c>
      <c r="C2756" s="3">
        <v>3.9340461643679001</v>
      </c>
      <c r="D2756" s="3">
        <v>0.26582407946272202</v>
      </c>
      <c r="E2756" s="3">
        <v>14.799434920716401</v>
      </c>
      <c r="F2756" s="4">
        <v>1.47718385066532E-49</v>
      </c>
      <c r="G2756" s="4">
        <v>2.8749163127912798E-47</v>
      </c>
      <c r="H2756" s="3" t="str">
        <f>"AQP7"</f>
        <v>AQP7</v>
      </c>
      <c r="I2756" s="3" t="str">
        <f>"protein_coding"</f>
        <v>protein_coding</v>
      </c>
    </row>
    <row r="2757" spans="1:9" x14ac:dyDescent="0.2">
      <c r="A2757" s="3" t="str">
        <f>"ENSG00000165272.16"</f>
        <v>ENSG00000165272.16</v>
      </c>
      <c r="B2757" s="3">
        <v>563.483945287457</v>
      </c>
      <c r="C2757" s="3">
        <v>3.3920387250872102</v>
      </c>
      <c r="D2757" s="3">
        <v>0.237589274480761</v>
      </c>
      <c r="E2757" s="3">
        <v>14.276901735149201</v>
      </c>
      <c r="F2757" s="4">
        <v>3.04856532393017E-46</v>
      </c>
      <c r="G2757" s="4">
        <v>5.1915162113203402E-44</v>
      </c>
      <c r="H2757" s="3" t="str">
        <f>"AQP3"</f>
        <v>AQP3</v>
      </c>
      <c r="I2757" s="3" t="str">
        <f>"protein_coding"</f>
        <v>protein_coding</v>
      </c>
    </row>
    <row r="2758" spans="1:9" x14ac:dyDescent="0.2">
      <c r="A2758" s="3" t="str">
        <f>"ENSG00000165271.17"</f>
        <v>ENSG00000165271.17</v>
      </c>
      <c r="B2758" s="3">
        <v>1817.5821193168799</v>
      </c>
      <c r="C2758" s="3">
        <v>-1.38205416098154</v>
      </c>
      <c r="D2758" s="3">
        <v>0.22178076719421499</v>
      </c>
      <c r="E2758" s="3">
        <v>-6.2316231405731903</v>
      </c>
      <c r="F2758" s="4">
        <v>4.61626915496005E-10</v>
      </c>
      <c r="G2758" s="4">
        <v>6.5170717961241702E-9</v>
      </c>
      <c r="H2758" s="3" t="str">
        <f>"NOL6"</f>
        <v>NOL6</v>
      </c>
      <c r="I2758" s="3" t="str">
        <f>"protein_coding"</f>
        <v>protein_coding</v>
      </c>
    </row>
    <row r="2759" spans="1:9" x14ac:dyDescent="0.2">
      <c r="A2759" s="3" t="str">
        <f>"ENSG00000231991.4"</f>
        <v>ENSG00000231991.4</v>
      </c>
      <c r="B2759" s="3">
        <v>99.083940585037098</v>
      </c>
      <c r="C2759" s="3">
        <v>-1.0572210719192801</v>
      </c>
      <c r="D2759" s="3">
        <v>0.382208174979698</v>
      </c>
      <c r="E2759" s="3">
        <v>-2.7660870204449099</v>
      </c>
      <c r="F2759" s="3">
        <v>5.6733393317619099E-3</v>
      </c>
      <c r="G2759" s="3">
        <v>1.9769980403186699E-2</v>
      </c>
      <c r="H2759" s="3" t="str">
        <f>"ANXA2P2"</f>
        <v>ANXA2P2</v>
      </c>
      <c r="I2759" s="3" t="str">
        <f>"processed_pseudogene"</f>
        <v>processed_pseudogene</v>
      </c>
    </row>
    <row r="2760" spans="1:9" x14ac:dyDescent="0.2">
      <c r="A2760" s="3" t="str">
        <f>"ENSG00000260947.1"</f>
        <v>ENSG00000260947.1</v>
      </c>
      <c r="B2760" s="3">
        <v>3.9255698602876601</v>
      </c>
      <c r="C2760" s="3">
        <v>5.3649036796241196</v>
      </c>
      <c r="D2760" s="3">
        <v>2.1862776153234802</v>
      </c>
      <c r="E2760" s="3">
        <v>2.45389864581783</v>
      </c>
      <c r="F2760" s="3">
        <v>1.4131680591543599E-2</v>
      </c>
      <c r="G2760" s="3">
        <v>4.2476106020715901E-2</v>
      </c>
      <c r="H2760" s="3" t="str">
        <f>"AL356489.2"</f>
        <v>AL356489.2</v>
      </c>
      <c r="I2760" s="3" t="str">
        <f>"lincRNA"</f>
        <v>lincRNA</v>
      </c>
    </row>
    <row r="2761" spans="1:9" x14ac:dyDescent="0.2">
      <c r="A2761" s="3" t="str">
        <f>"ENSG00000228352.2"</f>
        <v>ENSG00000228352.2</v>
      </c>
      <c r="B2761" s="3">
        <v>4.6593493275411699</v>
      </c>
      <c r="C2761" s="3">
        <v>5.6122139252814298</v>
      </c>
      <c r="D2761" s="3">
        <v>2.0896389950956702</v>
      </c>
      <c r="E2761" s="3">
        <v>2.6857337264729302</v>
      </c>
      <c r="F2761" s="3">
        <v>7.2370738075707101E-3</v>
      </c>
      <c r="G2761" s="3">
        <v>2.4230591058599101E-2</v>
      </c>
      <c r="H2761" s="3" t="str">
        <f>"AL354989.1"</f>
        <v>AL354989.1</v>
      </c>
      <c r="I2761" s="3" t="str">
        <f>"antisense"</f>
        <v>antisense</v>
      </c>
    </row>
    <row r="2762" spans="1:9" x14ac:dyDescent="0.2">
      <c r="A2762" s="3" t="str">
        <f>"ENSG00000227383.1"</f>
        <v>ENSG00000227383.1</v>
      </c>
      <c r="B2762" s="3">
        <v>42.0428913832761</v>
      </c>
      <c r="C2762" s="3">
        <v>1.6754088890586101</v>
      </c>
      <c r="D2762" s="3">
        <v>0.57946416939133505</v>
      </c>
      <c r="E2762" s="3">
        <v>2.8913071377967099</v>
      </c>
      <c r="F2762" s="3">
        <v>3.8364298352468098E-3</v>
      </c>
      <c r="G2762" s="3">
        <v>1.41411260445035E-2</v>
      </c>
      <c r="H2762" s="3" t="str">
        <f>"AL353662.1"</f>
        <v>AL353662.1</v>
      </c>
      <c r="I2762" s="3" t="str">
        <f>"processed_pseudogene"</f>
        <v>processed_pseudogene</v>
      </c>
    </row>
    <row r="2763" spans="1:9" x14ac:dyDescent="0.2">
      <c r="A2763" s="3" t="str">
        <f>"ENSG00000164976.9"</f>
        <v>ENSG00000164976.9</v>
      </c>
      <c r="B2763" s="3">
        <v>2392.0504047587001</v>
      </c>
      <c r="C2763" s="3">
        <v>-2.1264156820296898</v>
      </c>
      <c r="D2763" s="3">
        <v>0.217943071909796</v>
      </c>
      <c r="E2763" s="3">
        <v>-9.7567482342810692</v>
      </c>
      <c r="F2763" s="4">
        <v>1.7260079217535699E-22</v>
      </c>
      <c r="G2763" s="4">
        <v>8.0253477549521496E-21</v>
      </c>
      <c r="H2763" s="3" t="str">
        <f>"MYORG"</f>
        <v>MYORG</v>
      </c>
      <c r="I2763" s="3" t="str">
        <f>"protein_coding"</f>
        <v>protein_coding</v>
      </c>
    </row>
    <row r="2764" spans="1:9" x14ac:dyDescent="0.2">
      <c r="A2764" s="3" t="str">
        <f>"ENSG00000168913.7"</f>
        <v>ENSG00000168913.7</v>
      </c>
      <c r="B2764" s="3">
        <v>20.1739278223328</v>
      </c>
      <c r="C2764" s="3">
        <v>3.8666342361236201</v>
      </c>
      <c r="D2764" s="3">
        <v>0.97669294123970496</v>
      </c>
      <c r="E2764" s="3">
        <v>3.9589046596525499</v>
      </c>
      <c r="F2764" s="4">
        <v>7.52942839173954E-5</v>
      </c>
      <c r="G2764" s="3">
        <v>4.43576941383194E-4</v>
      </c>
      <c r="H2764" s="3" t="str">
        <f>"ENHO"</f>
        <v>ENHO</v>
      </c>
      <c r="I2764" s="3" t="str">
        <f>"protein_coding"</f>
        <v>protein_coding</v>
      </c>
    </row>
    <row r="2765" spans="1:9" x14ac:dyDescent="0.2">
      <c r="A2765" s="3" t="str">
        <f>"ENSG00000122756.15"</f>
        <v>ENSG00000122756.15</v>
      </c>
      <c r="B2765" s="3">
        <v>4.9884980611747398</v>
      </c>
      <c r="C2765" s="3">
        <v>5.7089767879157503</v>
      </c>
      <c r="D2765" s="3">
        <v>2.08929110101219</v>
      </c>
      <c r="E2765" s="3">
        <v>2.7324946653675801</v>
      </c>
      <c r="F2765" s="3">
        <v>6.2856689374679604E-3</v>
      </c>
      <c r="G2765" s="3">
        <v>2.15347191675078E-2</v>
      </c>
      <c r="H2765" s="3" t="str">
        <f>"CNTFR"</f>
        <v>CNTFR</v>
      </c>
      <c r="I2765" s="3" t="str">
        <f>"protein_coding"</f>
        <v>protein_coding</v>
      </c>
    </row>
    <row r="2766" spans="1:9" x14ac:dyDescent="0.2">
      <c r="A2766" s="3" t="str">
        <f>"ENSG00000164967.10"</f>
        <v>ENSG00000164967.10</v>
      </c>
      <c r="B2766" s="3">
        <v>349.05909073911101</v>
      </c>
      <c r="C2766" s="3">
        <v>1.2887845964198199</v>
      </c>
      <c r="D2766" s="3">
        <v>0.281516983798142</v>
      </c>
      <c r="E2766" s="3">
        <v>4.5779994479619797</v>
      </c>
      <c r="F2766" s="4">
        <v>4.6944393215922998E-6</v>
      </c>
      <c r="G2766" s="4">
        <v>3.56392834202913E-5</v>
      </c>
      <c r="H2766" s="3" t="str">
        <f>"RPP25L"</f>
        <v>RPP25L</v>
      </c>
      <c r="I2766" s="3" t="str">
        <f>"protein_coding"</f>
        <v>protein_coding</v>
      </c>
    </row>
    <row r="2767" spans="1:9" x14ac:dyDescent="0.2">
      <c r="A2767" s="3" t="str">
        <f>"ENSG00000137070.17"</f>
        <v>ENSG00000137070.17</v>
      </c>
      <c r="B2767" s="3">
        <v>105.510363248093</v>
      </c>
      <c r="C2767" s="3">
        <v>1.1640552408226399</v>
      </c>
      <c r="D2767" s="3">
        <v>0.36733737194094002</v>
      </c>
      <c r="E2767" s="3">
        <v>3.1688995722705702</v>
      </c>
      <c r="F2767" s="3">
        <v>1.53017257726667E-3</v>
      </c>
      <c r="G2767" s="3">
        <v>6.3886932596973704E-3</v>
      </c>
      <c r="H2767" s="3" t="str">
        <f>"IL11RA"</f>
        <v>IL11RA</v>
      </c>
      <c r="I2767" s="3" t="str">
        <f>"protein_coding"</f>
        <v>protein_coding</v>
      </c>
    </row>
    <row r="2768" spans="1:9" x14ac:dyDescent="0.2">
      <c r="A2768" s="3" t="str">
        <f>"ENSG00000230074.1"</f>
        <v>ENSG00000230074.1</v>
      </c>
      <c r="B2768" s="3">
        <v>44.223366677944099</v>
      </c>
      <c r="C2768" s="3">
        <v>5.3888810401276404</v>
      </c>
      <c r="D2768" s="3">
        <v>0.87695562156929996</v>
      </c>
      <c r="E2768" s="3">
        <v>6.1449871664934603</v>
      </c>
      <c r="F2768" s="4">
        <v>7.9969980247480805E-10</v>
      </c>
      <c r="G2768" s="4">
        <v>1.10326179838132E-8</v>
      </c>
      <c r="H2768" s="3" t="str">
        <f>"AL162231.2"</f>
        <v>AL162231.2</v>
      </c>
      <c r="I2768" s="3" t="str">
        <f>"antisense"</f>
        <v>antisense</v>
      </c>
    </row>
    <row r="2769" spans="1:9" x14ac:dyDescent="0.2">
      <c r="A2769" s="3" t="str">
        <f>"ENSG00000137094.14"</f>
        <v>ENSG00000137094.14</v>
      </c>
      <c r="B2769" s="3">
        <v>240.538766111049</v>
      </c>
      <c r="C2769" s="3">
        <v>2.7043026860518302</v>
      </c>
      <c r="D2769" s="3">
        <v>0.313183762390293</v>
      </c>
      <c r="E2769" s="3">
        <v>8.6348751461823898</v>
      </c>
      <c r="F2769" s="4">
        <v>5.8791214314375997E-18</v>
      </c>
      <c r="G2769" s="4">
        <v>1.8934801612574499E-16</v>
      </c>
      <c r="H2769" s="3" t="str">
        <f>"DNAJB5"</f>
        <v>DNAJB5</v>
      </c>
      <c r="I2769" s="3" t="str">
        <f>"protein_coding"</f>
        <v>protein_coding</v>
      </c>
    </row>
    <row r="2770" spans="1:9" x14ac:dyDescent="0.2">
      <c r="A2770" s="3" t="str">
        <f>"ENSG00000279608.1"</f>
        <v>ENSG00000279608.1</v>
      </c>
      <c r="B2770" s="3">
        <v>38.332187577111497</v>
      </c>
      <c r="C2770" s="3">
        <v>2.4449880243956401</v>
      </c>
      <c r="D2770" s="3">
        <v>0.63571804215821703</v>
      </c>
      <c r="E2770" s="3">
        <v>3.8460258514845398</v>
      </c>
      <c r="F2770" s="3">
        <v>1.20049102508473E-4</v>
      </c>
      <c r="G2770" s="3">
        <v>6.7558611862755498E-4</v>
      </c>
      <c r="H2770" s="3" t="str">
        <f>"AL353795.3"</f>
        <v>AL353795.3</v>
      </c>
      <c r="I2770" s="3" t="str">
        <f>"TEC"</f>
        <v>TEC</v>
      </c>
    </row>
    <row r="2771" spans="1:9" x14ac:dyDescent="0.2">
      <c r="A2771" s="3" t="str">
        <f>"ENSG00000165283.16"</f>
        <v>ENSG00000165283.16</v>
      </c>
      <c r="B2771" s="3">
        <v>3910.2603672791001</v>
      </c>
      <c r="C2771" s="3">
        <v>-1.14523978640213</v>
      </c>
      <c r="D2771" s="3">
        <v>0.22369589422851099</v>
      </c>
      <c r="E2771" s="3">
        <v>-5.1196281020349801</v>
      </c>
      <c r="F2771" s="4">
        <v>3.0613876135407901E-7</v>
      </c>
      <c r="G2771" s="4">
        <v>2.85956901975132E-6</v>
      </c>
      <c r="H2771" s="3" t="str">
        <f>"STOML2"</f>
        <v>STOML2</v>
      </c>
      <c r="I2771" s="3" t="str">
        <f>"protein_coding"</f>
        <v>protein_coding</v>
      </c>
    </row>
    <row r="2772" spans="1:9" x14ac:dyDescent="0.2">
      <c r="A2772" s="3" t="str">
        <f>"ENSG00000159884.12"</f>
        <v>ENSG00000159884.12</v>
      </c>
      <c r="B2772" s="3">
        <v>242.06391148346501</v>
      </c>
      <c r="C2772" s="3">
        <v>-1.0868950494402001</v>
      </c>
      <c r="D2772" s="3">
        <v>0.30144469680262398</v>
      </c>
      <c r="E2772" s="3">
        <v>-3.6056200721682199</v>
      </c>
      <c r="F2772" s="3">
        <v>3.1140846047615297E-4</v>
      </c>
      <c r="G2772" s="3">
        <v>1.57507821098826E-3</v>
      </c>
      <c r="H2772" s="3" t="str">
        <f>"CCDC107"</f>
        <v>CCDC107</v>
      </c>
      <c r="I2772" s="3" t="str">
        <f>"protein_coding"</f>
        <v>protein_coding</v>
      </c>
    </row>
    <row r="2773" spans="1:9" x14ac:dyDescent="0.2">
      <c r="A2773" s="3" t="str">
        <f>"ENSG00000107159.13"</f>
        <v>ENSG00000107159.13</v>
      </c>
      <c r="B2773" s="3">
        <v>108.27583280080999</v>
      </c>
      <c r="C2773" s="3">
        <v>-3.6674957501705601</v>
      </c>
      <c r="D2773" s="3">
        <v>0.44810558271378997</v>
      </c>
      <c r="E2773" s="3">
        <v>-8.1844455674033298</v>
      </c>
      <c r="F2773" s="4">
        <v>2.7356015383087301E-16</v>
      </c>
      <c r="G2773" s="4">
        <v>7.6684089623763501E-15</v>
      </c>
      <c r="H2773" s="3" t="str">
        <f>"CA9"</f>
        <v>CA9</v>
      </c>
      <c r="I2773" s="3" t="str">
        <f>"protein_coding"</f>
        <v>protein_coding</v>
      </c>
    </row>
    <row r="2774" spans="1:9" x14ac:dyDescent="0.2">
      <c r="A2774" s="3" t="str">
        <f>"ENSG00000137103.20"</f>
        <v>ENSG00000137103.20</v>
      </c>
      <c r="B2774" s="3">
        <v>390.18348664934302</v>
      </c>
      <c r="C2774" s="3">
        <v>2.0212480071293801</v>
      </c>
      <c r="D2774" s="3">
        <v>0.25180761670258001</v>
      </c>
      <c r="E2774" s="3">
        <v>8.0269534083107494</v>
      </c>
      <c r="F2774" s="4">
        <v>9.9923011088840001E-16</v>
      </c>
      <c r="G2774" s="4">
        <v>2.66660360738259E-14</v>
      </c>
      <c r="H2774" s="3" t="str">
        <f>"TMEM8B"</f>
        <v>TMEM8B</v>
      </c>
      <c r="I2774" s="3" t="str">
        <f>"protein_coding"</f>
        <v>protein_coding</v>
      </c>
    </row>
    <row r="2775" spans="1:9" x14ac:dyDescent="0.2">
      <c r="A2775" s="3" t="str">
        <f>"ENSG00000196196.3"</f>
        <v>ENSG00000196196.3</v>
      </c>
      <c r="B2775" s="3">
        <v>31.926595935520801</v>
      </c>
      <c r="C2775" s="3">
        <v>3.0869669287653498</v>
      </c>
      <c r="D2775" s="3">
        <v>0.69592580205481502</v>
      </c>
      <c r="E2775" s="3">
        <v>4.43577019223983</v>
      </c>
      <c r="F2775" s="4">
        <v>9.1743679687600093E-6</v>
      </c>
      <c r="G2775" s="4">
        <v>6.5851950485986294E-5</v>
      </c>
      <c r="H2775" s="3" t="str">
        <f>"HRCT1"</f>
        <v>HRCT1</v>
      </c>
      <c r="I2775" s="3" t="str">
        <f>"protein_coding"</f>
        <v>protein_coding</v>
      </c>
    </row>
    <row r="2776" spans="1:9" x14ac:dyDescent="0.2">
      <c r="A2776" s="3" t="str">
        <f>"ENSG00000213866.3"</f>
        <v>ENSG00000213866.3</v>
      </c>
      <c r="B2776" s="3">
        <v>112.60510799921499</v>
      </c>
      <c r="C2776" s="3">
        <v>-1.09096514905708</v>
      </c>
      <c r="D2776" s="3">
        <v>0.35397632237387799</v>
      </c>
      <c r="E2776" s="3">
        <v>-3.0820285993727601</v>
      </c>
      <c r="F2776" s="3">
        <v>2.0559508341923601E-3</v>
      </c>
      <c r="G2776" s="3">
        <v>8.2537928951288003E-3</v>
      </c>
      <c r="H2776" s="3" t="str">
        <f>"YBX1P10"</f>
        <v>YBX1P10</v>
      </c>
      <c r="I2776" s="3" t="str">
        <f>"processed_pseudogene"</f>
        <v>processed_pseudogene</v>
      </c>
    </row>
    <row r="2777" spans="1:9" x14ac:dyDescent="0.2">
      <c r="A2777" s="3" t="str">
        <f>"ENSG00000122707.12"</f>
        <v>ENSG00000122707.12</v>
      </c>
      <c r="B2777" s="3">
        <v>222.44085249563599</v>
      </c>
      <c r="C2777" s="3">
        <v>1.00225490373652</v>
      </c>
      <c r="D2777" s="3">
        <v>0.27655805560760999</v>
      </c>
      <c r="E2777" s="3">
        <v>3.62403077189171</v>
      </c>
      <c r="F2777" s="3">
        <v>2.9004707389967401E-4</v>
      </c>
      <c r="G2777" s="3">
        <v>1.4782851894022499E-3</v>
      </c>
      <c r="H2777" s="3" t="str">
        <f>"RECK"</f>
        <v>RECK</v>
      </c>
      <c r="I2777" s="3" t="str">
        <f>"protein_coding"</f>
        <v>protein_coding</v>
      </c>
    </row>
    <row r="2778" spans="1:9" x14ac:dyDescent="0.2">
      <c r="A2778" s="3" t="str">
        <f>"ENSG00000122694.16"</f>
        <v>ENSG00000122694.16</v>
      </c>
      <c r="B2778" s="3">
        <v>154.79731015461999</v>
      </c>
      <c r="C2778" s="3">
        <v>3.8055448770204001</v>
      </c>
      <c r="D2778" s="3">
        <v>0.375839780323386</v>
      </c>
      <c r="E2778" s="3">
        <v>10.1254446076622</v>
      </c>
      <c r="F2778" s="4">
        <v>4.2603805124936601E-24</v>
      </c>
      <c r="G2778" s="4">
        <v>2.2153165615250902E-22</v>
      </c>
      <c r="H2778" s="3" t="str">
        <f>"GLIPR2"</f>
        <v>GLIPR2</v>
      </c>
      <c r="I2778" s="3" t="str">
        <f>"protein_coding"</f>
        <v>protein_coding</v>
      </c>
    </row>
    <row r="2779" spans="1:9" x14ac:dyDescent="0.2">
      <c r="A2779" s="3" t="str">
        <f>"ENSG00000196092.13"</f>
        <v>ENSG00000196092.13</v>
      </c>
      <c r="B2779" s="3">
        <v>16.877263544755898</v>
      </c>
      <c r="C2779" s="3">
        <v>4.9919952902578997</v>
      </c>
      <c r="D2779" s="3">
        <v>1.2868713905333899</v>
      </c>
      <c r="E2779" s="3">
        <v>3.8791718636225001</v>
      </c>
      <c r="F2779" s="3">
        <v>1.04812684859616E-4</v>
      </c>
      <c r="G2779" s="3">
        <v>5.9770431652782696E-4</v>
      </c>
      <c r="H2779" s="3" t="str">
        <f>"PAX5"</f>
        <v>PAX5</v>
      </c>
      <c r="I2779" s="3" t="str">
        <f>"protein_coding"</f>
        <v>protein_coding</v>
      </c>
    </row>
    <row r="2780" spans="1:9" x14ac:dyDescent="0.2">
      <c r="A2780" s="3" t="str">
        <f>"ENSG00000168795.5"</f>
        <v>ENSG00000168795.5</v>
      </c>
      <c r="B2780" s="3">
        <v>2660.73574616614</v>
      </c>
      <c r="C2780" s="3">
        <v>1.7406786462667301</v>
      </c>
      <c r="D2780" s="3">
        <v>0.181279619726846</v>
      </c>
      <c r="E2780" s="3">
        <v>9.6021750756626592</v>
      </c>
      <c r="F2780" s="4">
        <v>7.8274879375602597E-22</v>
      </c>
      <c r="G2780" s="4">
        <v>3.5078217735971098E-20</v>
      </c>
      <c r="H2780" s="3" t="str">
        <f>"ZBTB5"</f>
        <v>ZBTB5</v>
      </c>
      <c r="I2780" s="3" t="str">
        <f>"protein_coding"</f>
        <v>protein_coding</v>
      </c>
    </row>
    <row r="2781" spans="1:9" x14ac:dyDescent="0.2">
      <c r="A2781" s="3" t="str">
        <f>"ENSG00000137054.16"</f>
        <v>ENSG00000137054.16</v>
      </c>
      <c r="B2781" s="3">
        <v>768.07045265261797</v>
      </c>
      <c r="C2781" s="3">
        <v>-1.1908117082710299</v>
      </c>
      <c r="D2781" s="3">
        <v>0.206460664669354</v>
      </c>
      <c r="E2781" s="3">
        <v>-5.76774132824821</v>
      </c>
      <c r="F2781" s="4">
        <v>8.0340992384477895E-9</v>
      </c>
      <c r="G2781" s="4">
        <v>9.6775022966395604E-8</v>
      </c>
      <c r="H2781" s="3" t="str">
        <f>"POLR1E"</f>
        <v>POLR1E</v>
      </c>
      <c r="I2781" s="3" t="str">
        <f>"protein_coding"</f>
        <v>protein_coding</v>
      </c>
    </row>
    <row r="2782" spans="1:9" x14ac:dyDescent="0.2">
      <c r="A2782" s="3" t="str">
        <f>"ENSG00000234160.1"</f>
        <v>ENSG00000234160.1</v>
      </c>
      <c r="B2782" s="3">
        <v>74.828168020354994</v>
      </c>
      <c r="C2782" s="3">
        <v>-1.29317859113496</v>
      </c>
      <c r="D2782" s="3">
        <v>0.41925085812919599</v>
      </c>
      <c r="E2782" s="3">
        <v>-3.0844983762357701</v>
      </c>
      <c r="F2782" s="3">
        <v>2.0389572303546599E-3</v>
      </c>
      <c r="G2782" s="3">
        <v>8.1928133985361001E-3</v>
      </c>
      <c r="H2782" s="3" t="str">
        <f>"AL513165.1"</f>
        <v>AL513165.1</v>
      </c>
      <c r="I2782" s="3" t="str">
        <f>"antisense"</f>
        <v>antisense</v>
      </c>
    </row>
    <row r="2783" spans="1:9" x14ac:dyDescent="0.2">
      <c r="A2783" s="3" t="str">
        <f>"ENSG00000175768.13"</f>
        <v>ENSG00000175768.13</v>
      </c>
      <c r="B2783" s="3">
        <v>180.71798017350099</v>
      </c>
      <c r="C2783" s="3">
        <v>-1.06871783993931</v>
      </c>
      <c r="D2783" s="3">
        <v>0.32617676700799297</v>
      </c>
      <c r="E2783" s="3">
        <v>-3.2764989663200801</v>
      </c>
      <c r="F2783" s="3">
        <v>1.05102697431252E-3</v>
      </c>
      <c r="G2783" s="3">
        <v>4.6055535492269496E-3</v>
      </c>
      <c r="H2783" s="3" t="str">
        <f>"TOMM5"</f>
        <v>TOMM5</v>
      </c>
      <c r="I2783" s="3" t="str">
        <f>"protein_coding"</f>
        <v>protein_coding</v>
      </c>
    </row>
    <row r="2784" spans="1:9" x14ac:dyDescent="0.2">
      <c r="A2784" s="3" t="str">
        <f>"ENSG00000070601.10"</f>
        <v>ENSG00000070601.10</v>
      </c>
      <c r="B2784" s="3">
        <v>18.785523418727099</v>
      </c>
      <c r="C2784" s="3">
        <v>6.1650191381985797</v>
      </c>
      <c r="D2784" s="3">
        <v>1.61923028334115</v>
      </c>
      <c r="E2784" s="3">
        <v>3.8073763822385902</v>
      </c>
      <c r="F2784" s="3">
        <v>1.4044890527756601E-4</v>
      </c>
      <c r="G2784" s="3">
        <v>7.7733319563230404E-4</v>
      </c>
      <c r="H2784" s="3" t="str">
        <f>"FRMPD1"</f>
        <v>FRMPD1</v>
      </c>
      <c r="I2784" s="3" t="str">
        <f>"protein_coding"</f>
        <v>protein_coding</v>
      </c>
    </row>
    <row r="2785" spans="1:9" x14ac:dyDescent="0.2">
      <c r="A2785" s="3" t="str">
        <f>"ENSG00000137124.8"</f>
        <v>ENSG00000137124.8</v>
      </c>
      <c r="B2785" s="3">
        <v>4601.3270899102499</v>
      </c>
      <c r="C2785" s="3">
        <v>-1.42344926247351</v>
      </c>
      <c r="D2785" s="3">
        <v>0.18866360438823401</v>
      </c>
      <c r="E2785" s="3">
        <v>-7.5449065392831303</v>
      </c>
      <c r="F2785" s="4">
        <v>4.5261197121454697E-14</v>
      </c>
      <c r="G2785" s="4">
        <v>1.0398244839530199E-12</v>
      </c>
      <c r="H2785" s="3" t="str">
        <f>"ALDH1B1"</f>
        <v>ALDH1B1</v>
      </c>
      <c r="I2785" s="3" t="str">
        <f>"protein_coding"</f>
        <v>protein_coding</v>
      </c>
    </row>
    <row r="2786" spans="1:9" x14ac:dyDescent="0.2">
      <c r="A2786" s="3" t="str">
        <f>"ENSG00000283162.1"</f>
        <v>ENSG00000283162.1</v>
      </c>
      <c r="B2786" s="3">
        <v>173.860266443809</v>
      </c>
      <c r="C2786" s="3">
        <v>1.7094859068911701</v>
      </c>
      <c r="D2786" s="3">
        <v>0.31226337298095502</v>
      </c>
      <c r="E2786" s="3">
        <v>5.4745002289955904</v>
      </c>
      <c r="F2786" s="4">
        <v>4.3874807410863802E-8</v>
      </c>
      <c r="G2786" s="4">
        <v>4.7457597361008502E-7</v>
      </c>
      <c r="H2786" s="3" t="str">
        <f>"AL390726.6"</f>
        <v>AL390726.6</v>
      </c>
      <c r="I2786" s="3" t="str">
        <f>"transcribed_unprocessed_pseudogene"</f>
        <v>transcribed_unprocessed_pseudogene</v>
      </c>
    </row>
    <row r="2787" spans="1:9" x14ac:dyDescent="0.2">
      <c r="A2787" s="3" t="str">
        <f>"ENSG00000215165.3"</f>
        <v>ENSG00000215165.3</v>
      </c>
      <c r="B2787" s="3">
        <v>52.447113952797999</v>
      </c>
      <c r="C2787" s="3">
        <v>1.66534271631705</v>
      </c>
      <c r="D2787" s="3">
        <v>0.54633670241395105</v>
      </c>
      <c r="E2787" s="3">
        <v>3.0481984991285498</v>
      </c>
      <c r="F2787" s="3">
        <v>2.3021780141118E-3</v>
      </c>
      <c r="G2787" s="3">
        <v>9.0869831016231108E-3</v>
      </c>
      <c r="H2787" s="3" t="str">
        <f>"TCEA1P3"</f>
        <v>TCEA1P3</v>
      </c>
      <c r="I2787" s="3" t="str">
        <f>"processed_pseudogene"</f>
        <v>processed_pseudogene</v>
      </c>
    </row>
    <row r="2788" spans="1:9" x14ac:dyDescent="0.2">
      <c r="A2788" s="3" t="str">
        <f>"ENSG00000204860.4"</f>
        <v>ENSG00000204860.4</v>
      </c>
      <c r="B2788" s="3">
        <v>91.761101022461602</v>
      </c>
      <c r="C2788" s="3">
        <v>-1.0027521158514701</v>
      </c>
      <c r="D2788" s="3">
        <v>0.38081685452707698</v>
      </c>
      <c r="E2788" s="3">
        <v>-2.6331610692408902</v>
      </c>
      <c r="F2788" s="3">
        <v>8.4594219465049005E-3</v>
      </c>
      <c r="G2788" s="3">
        <v>2.76504162399735E-2</v>
      </c>
      <c r="H2788" s="3" t="str">
        <f>"FAM201A"</f>
        <v>FAM201A</v>
      </c>
      <c r="I2788" s="3" t="str">
        <f>"antisense"</f>
        <v>antisense</v>
      </c>
    </row>
    <row r="2789" spans="1:9" x14ac:dyDescent="0.2">
      <c r="A2789" s="3" t="str">
        <f>"ENSG00000198416.9"</f>
        <v>ENSG00000198416.9</v>
      </c>
      <c r="B2789" s="3">
        <v>13.0387818868787</v>
      </c>
      <c r="C2789" s="3">
        <v>3.9827849259591899</v>
      </c>
      <c r="D2789" s="3">
        <v>1.19840076464797</v>
      </c>
      <c r="E2789" s="3">
        <v>3.3234165426530899</v>
      </c>
      <c r="F2789" s="3">
        <v>8.8922025859959597E-4</v>
      </c>
      <c r="G2789" s="3">
        <v>3.9784210814553696E-3</v>
      </c>
      <c r="H2789" s="3" t="str">
        <f>"ZNF658B"</f>
        <v>ZNF658B</v>
      </c>
      <c r="I2789" s="3" t="str">
        <f>"transcribed_unprocessed_pseudogene"</f>
        <v>transcribed_unprocessed_pseudogene</v>
      </c>
    </row>
    <row r="2790" spans="1:9" x14ac:dyDescent="0.2">
      <c r="A2790" s="3" t="str">
        <f>"ENSG00000278175.3"</f>
        <v>ENSG00000278175.3</v>
      </c>
      <c r="B2790" s="3">
        <v>10.1311771805677</v>
      </c>
      <c r="C2790" s="3">
        <v>3.6006342281435</v>
      </c>
      <c r="D2790" s="3">
        <v>1.2814226895657199</v>
      </c>
      <c r="E2790" s="3">
        <v>2.8098723843915701</v>
      </c>
      <c r="F2790" s="3">
        <v>4.9561147389773604E-3</v>
      </c>
      <c r="G2790" s="3">
        <v>1.7587816917545698E-2</v>
      </c>
      <c r="H2790" s="3" t="str">
        <f>"GLIDR"</f>
        <v>GLIDR</v>
      </c>
      <c r="I2790" s="3" t="str">
        <f>"lincRNA"</f>
        <v>lincRNA</v>
      </c>
    </row>
    <row r="2791" spans="1:9" x14ac:dyDescent="0.2">
      <c r="A2791" s="3" t="str">
        <f>"ENSG00000276462.1"</f>
        <v>ENSG00000276462.1</v>
      </c>
      <c r="B2791" s="3">
        <v>15.342904183456101</v>
      </c>
      <c r="C2791" s="3">
        <v>7.3364615219517297</v>
      </c>
      <c r="D2791" s="3">
        <v>1.6606974429969299</v>
      </c>
      <c r="E2791" s="3">
        <v>4.4176990534243297</v>
      </c>
      <c r="F2791" s="4">
        <v>9.9757186349944096E-6</v>
      </c>
      <c r="G2791" s="4">
        <v>7.0968252127334895E-5</v>
      </c>
      <c r="H2791" s="3" t="str">
        <f>"BX255923.2"</f>
        <v>BX255923.2</v>
      </c>
      <c r="I2791" s="3" t="str">
        <f>"lincRNA"</f>
        <v>lincRNA</v>
      </c>
    </row>
    <row r="2792" spans="1:9" x14ac:dyDescent="0.2">
      <c r="A2792" s="3" t="str">
        <f>"ENSG00000154529.14"</f>
        <v>ENSG00000154529.14</v>
      </c>
      <c r="B2792" s="3">
        <v>156.859850944572</v>
      </c>
      <c r="C2792" s="3">
        <v>-1.26685399142066</v>
      </c>
      <c r="D2792" s="3">
        <v>0.31810328000849297</v>
      </c>
      <c r="E2792" s="3">
        <v>-3.9825241392884698</v>
      </c>
      <c r="F2792" s="4">
        <v>6.8187196595289001E-5</v>
      </c>
      <c r="G2792" s="3">
        <v>4.0459419547731699E-4</v>
      </c>
      <c r="H2792" s="3" t="str">
        <f>"CNTNAP3B"</f>
        <v>CNTNAP3B</v>
      </c>
      <c r="I2792" s="3" t="str">
        <f>"protein_coding"</f>
        <v>protein_coding</v>
      </c>
    </row>
    <row r="2793" spans="1:9" x14ac:dyDescent="0.2">
      <c r="A2793" s="3" t="str">
        <f>"ENSG00000236816.2"</f>
        <v>ENSG00000236816.2</v>
      </c>
      <c r="B2793" s="3">
        <v>89.410298175746604</v>
      </c>
      <c r="C2793" s="3">
        <v>-1.1044688097600399</v>
      </c>
      <c r="D2793" s="3">
        <v>0.39072154991139102</v>
      </c>
      <c r="E2793" s="3">
        <v>-2.82674147359038</v>
      </c>
      <c r="F2793" s="3">
        <v>4.7024274970490602E-3</v>
      </c>
      <c r="G2793" s="3">
        <v>1.6847737279697E-2</v>
      </c>
      <c r="H2793" s="3" t="str">
        <f>"ANKRD20A7P"</f>
        <v>ANKRD20A7P</v>
      </c>
      <c r="I2793" s="3" t="str">
        <f>"unprocessed_pseudogene"</f>
        <v>unprocessed_pseudogene</v>
      </c>
    </row>
    <row r="2794" spans="1:9" x14ac:dyDescent="0.2">
      <c r="A2794" s="3" t="str">
        <f>"ENSG00000230635.2"</f>
        <v>ENSG00000230635.2</v>
      </c>
      <c r="B2794" s="3">
        <v>19.248023026243299</v>
      </c>
      <c r="C2794" s="3">
        <v>-2.6300393568343301</v>
      </c>
      <c r="D2794" s="3">
        <v>0.85837704197011699</v>
      </c>
      <c r="E2794" s="3">
        <v>-3.0639674970779298</v>
      </c>
      <c r="F2794" s="3">
        <v>2.1842263939759899E-3</v>
      </c>
      <c r="G2794" s="3">
        <v>8.6926200351946196E-3</v>
      </c>
      <c r="H2794" s="3" t="str">
        <f>"CYP4F60P"</f>
        <v>CYP4F60P</v>
      </c>
      <c r="I2794" s="3" t="str">
        <f>"unprocessed_pseudogene"</f>
        <v>unprocessed_pseudogene</v>
      </c>
    </row>
    <row r="2795" spans="1:9" x14ac:dyDescent="0.2">
      <c r="A2795" s="3" t="str">
        <f>"ENSG00000238113.6"</f>
        <v>ENSG00000238113.6</v>
      </c>
      <c r="B2795" s="3">
        <v>211.63140875778601</v>
      </c>
      <c r="C2795" s="3">
        <v>1.0246851132200701</v>
      </c>
      <c r="D2795" s="3">
        <v>0.28682538862629697</v>
      </c>
      <c r="E2795" s="3">
        <v>3.5725049240851101</v>
      </c>
      <c r="F2795" s="3">
        <v>3.5358283249409402E-4</v>
      </c>
      <c r="G2795" s="3">
        <v>1.7635129849838201E-3</v>
      </c>
      <c r="H2795" s="3" t="str">
        <f>"LINC01410"</f>
        <v>LINC01410</v>
      </c>
      <c r="I2795" s="3" t="str">
        <f>"lincRNA"</f>
        <v>lincRNA</v>
      </c>
    </row>
    <row r="2796" spans="1:9" x14ac:dyDescent="0.2">
      <c r="A2796" s="3" t="str">
        <f>"ENSG00000229422.2"</f>
        <v>ENSG00000229422.2</v>
      </c>
      <c r="B2796" s="3">
        <v>76.5398641151383</v>
      </c>
      <c r="C2796" s="3">
        <v>-1.22287625945756</v>
      </c>
      <c r="D2796" s="3">
        <v>0.42715154418261098</v>
      </c>
      <c r="E2796" s="3">
        <v>-2.8628627851448698</v>
      </c>
      <c r="F2796" s="3">
        <v>4.19832332704411E-3</v>
      </c>
      <c r="G2796" s="3">
        <v>1.52644403111784E-2</v>
      </c>
      <c r="H2796" s="3" t="str">
        <f>"AL512625.2"</f>
        <v>AL512625.2</v>
      </c>
      <c r="I2796" s="3" t="str">
        <f>"lincRNA"</f>
        <v>lincRNA</v>
      </c>
    </row>
    <row r="2797" spans="1:9" x14ac:dyDescent="0.2">
      <c r="A2797" s="3" t="str">
        <f>"ENSG00000234665.8"</f>
        <v>ENSG00000234665.8</v>
      </c>
      <c r="B2797" s="3">
        <v>4.47815880350747</v>
      </c>
      <c r="C2797" s="3">
        <v>5.56007165364207</v>
      </c>
      <c r="D2797" s="3">
        <v>2.0887876854237399</v>
      </c>
      <c r="E2797" s="3">
        <v>2.6618653932336498</v>
      </c>
      <c r="F2797" s="3">
        <v>7.7708947408654102E-3</v>
      </c>
      <c r="G2797" s="3">
        <v>2.57364250643442E-2</v>
      </c>
      <c r="H2797" s="3" t="str">
        <f>"AL512625.3"</f>
        <v>AL512625.3</v>
      </c>
      <c r="I2797" s="3" t="str">
        <f>"lincRNA"</f>
        <v>lincRNA</v>
      </c>
    </row>
    <row r="2798" spans="1:9" x14ac:dyDescent="0.2">
      <c r="A2798" s="3" t="str">
        <f>"ENSG00000232815.1"</f>
        <v>ENSG00000232815.1</v>
      </c>
      <c r="B2798" s="3">
        <v>44.425180775520602</v>
      </c>
      <c r="C2798" s="3">
        <v>5.0622075099987596</v>
      </c>
      <c r="D2798" s="3">
        <v>0.81346764236014901</v>
      </c>
      <c r="E2798" s="3">
        <v>6.2229979981890304</v>
      </c>
      <c r="F2798" s="4">
        <v>4.8774360602155197E-10</v>
      </c>
      <c r="G2798" s="4">
        <v>6.8644370006556E-9</v>
      </c>
      <c r="H2798" s="3" t="str">
        <f>"DUX4L50"</f>
        <v>DUX4L50</v>
      </c>
      <c r="I2798" s="3" t="str">
        <f>"unprocessed_pseudogene"</f>
        <v>unprocessed_pseudogene</v>
      </c>
    </row>
    <row r="2799" spans="1:9" x14ac:dyDescent="0.2">
      <c r="A2799" s="3" t="str">
        <f>"ENSG00000266017.1"</f>
        <v>ENSG00000266017.1</v>
      </c>
      <c r="B2799" s="3">
        <v>82.473859838436596</v>
      </c>
      <c r="C2799" s="3">
        <v>2.8456817079657601</v>
      </c>
      <c r="D2799" s="3">
        <v>0.443468610222299</v>
      </c>
      <c r="E2799" s="3">
        <v>6.4168729023217503</v>
      </c>
      <c r="F2799" s="4">
        <v>1.39101958294208E-10</v>
      </c>
      <c r="G2799" s="4">
        <v>2.1197489136701902E-9</v>
      </c>
      <c r="H2799" s="3" t="str">
        <f>"MIR4477B"</f>
        <v>MIR4477B</v>
      </c>
      <c r="I2799" s="3" t="str">
        <f>"miRNA"</f>
        <v>miRNA</v>
      </c>
    </row>
    <row r="2800" spans="1:9" x14ac:dyDescent="0.2">
      <c r="A2800" s="3" t="str">
        <f>"ENSG00000274349.4"</f>
        <v>ENSG00000274349.4</v>
      </c>
      <c r="B2800" s="3">
        <v>275.23380565728098</v>
      </c>
      <c r="C2800" s="3">
        <v>3.0174403316516201</v>
      </c>
      <c r="D2800" s="3">
        <v>0.30938331549699399</v>
      </c>
      <c r="E2800" s="3">
        <v>9.7530803392044394</v>
      </c>
      <c r="F2800" s="4">
        <v>1.78954191263589E-22</v>
      </c>
      <c r="G2800" s="4">
        <v>8.3065840704582605E-21</v>
      </c>
      <c r="H2800" s="3" t="str">
        <f>"ZNF658"</f>
        <v>ZNF658</v>
      </c>
      <c r="I2800" s="3" t="str">
        <f>"protein_coding"</f>
        <v>protein_coding</v>
      </c>
    </row>
    <row r="2801" spans="1:9" x14ac:dyDescent="0.2">
      <c r="A2801" s="3" t="str">
        <f>"ENSG00000276386.1"</f>
        <v>ENSG00000276386.1</v>
      </c>
      <c r="B2801" s="3">
        <v>187.35059306405799</v>
      </c>
      <c r="C2801" s="3">
        <v>-1.0853024001284599</v>
      </c>
      <c r="D2801" s="3">
        <v>0.29529846624661799</v>
      </c>
      <c r="E2801" s="3">
        <v>-3.6752727297339498</v>
      </c>
      <c r="F2801" s="3">
        <v>2.3759546611703999E-4</v>
      </c>
      <c r="G2801" s="3">
        <v>1.2389978306776999E-3</v>
      </c>
      <c r="H2801" s="3" t="str">
        <f>"CNTNAP3P2"</f>
        <v>CNTNAP3P2</v>
      </c>
      <c r="I2801" s="3" t="str">
        <f>"unprocessed_pseudogene"</f>
        <v>unprocessed_pseudogene</v>
      </c>
    </row>
    <row r="2802" spans="1:9" x14ac:dyDescent="0.2">
      <c r="A2802" s="3" t="str">
        <f>"ENSG00000278763.1"</f>
        <v>ENSG00000278763.1</v>
      </c>
      <c r="B2802" s="3">
        <v>30.3907370192027</v>
      </c>
      <c r="C2802" s="3">
        <v>3.1450684435837801</v>
      </c>
      <c r="D2802" s="3">
        <v>0.72109738477049301</v>
      </c>
      <c r="E2802" s="3">
        <v>4.3615030507769399</v>
      </c>
      <c r="F2802" s="4">
        <v>1.29171994908415E-5</v>
      </c>
      <c r="G2802" s="4">
        <v>8.9555962983959195E-5</v>
      </c>
      <c r="H2802" s="3" t="str">
        <f>"FAM27B"</f>
        <v>FAM27B</v>
      </c>
      <c r="I2802" s="3" t="str">
        <f>"processed_pseudogene"</f>
        <v>processed_pseudogene</v>
      </c>
    </row>
    <row r="2803" spans="1:9" x14ac:dyDescent="0.2">
      <c r="A2803" s="3" t="str">
        <f>"ENSG00000107242.18"</f>
        <v>ENSG00000107242.18</v>
      </c>
      <c r="B2803" s="3">
        <v>516.01332585469504</v>
      </c>
      <c r="C2803" s="3">
        <v>-2.62882811272519</v>
      </c>
      <c r="D2803" s="3">
        <v>0.23045136631152</v>
      </c>
      <c r="E2803" s="3">
        <v>-11.4073010492443</v>
      </c>
      <c r="F2803" s="4">
        <v>3.84474289293676E-30</v>
      </c>
      <c r="G2803" s="4">
        <v>3.0364553508361701E-28</v>
      </c>
      <c r="H2803" s="3" t="str">
        <f>"PIP5K1B"</f>
        <v>PIP5K1B</v>
      </c>
      <c r="I2803" s="3" t="str">
        <f t="shared" ref="I2803:I2814" si="132">"protein_coding"</f>
        <v>protein_coding</v>
      </c>
    </row>
    <row r="2804" spans="1:9" x14ac:dyDescent="0.2">
      <c r="A2804" s="3" t="str">
        <f>"ENSG00000165060.13"</f>
        <v>ENSG00000165060.13</v>
      </c>
      <c r="B2804" s="3">
        <v>601.605506666412</v>
      </c>
      <c r="C2804" s="3">
        <v>-1.7005292927992799</v>
      </c>
      <c r="D2804" s="3">
        <v>0.21786399552824401</v>
      </c>
      <c r="E2804" s="3">
        <v>-7.8054627093205502</v>
      </c>
      <c r="F2804" s="4">
        <v>5.9283631913156001E-15</v>
      </c>
      <c r="G2804" s="4">
        <v>1.45785299525069E-13</v>
      </c>
      <c r="H2804" s="3" t="str">
        <f>"FXN"</f>
        <v>FXN</v>
      </c>
      <c r="I2804" s="3" t="str">
        <f t="shared" si="132"/>
        <v>protein_coding</v>
      </c>
    </row>
    <row r="2805" spans="1:9" x14ac:dyDescent="0.2">
      <c r="A2805" s="3" t="str">
        <f>"ENSG00000119139.19"</f>
        <v>ENSG00000119139.19</v>
      </c>
      <c r="B2805" s="3">
        <v>1053.71244077903</v>
      </c>
      <c r="C2805" s="3">
        <v>-1.6999471550374301</v>
      </c>
      <c r="D2805" s="3">
        <v>0.20171790233051801</v>
      </c>
      <c r="E2805" s="3">
        <v>-8.4273489630684004</v>
      </c>
      <c r="F2805" s="4">
        <v>3.5358421737686098E-17</v>
      </c>
      <c r="G2805" s="4">
        <v>1.06690024040613E-15</v>
      </c>
      <c r="H2805" s="3" t="str">
        <f>"TJP2"</f>
        <v>TJP2</v>
      </c>
      <c r="I2805" s="3" t="str">
        <f t="shared" si="132"/>
        <v>protein_coding</v>
      </c>
    </row>
    <row r="2806" spans="1:9" x14ac:dyDescent="0.2">
      <c r="A2806" s="3" t="str">
        <f>"ENSG00000107282.8"</f>
        <v>ENSG00000107282.8</v>
      </c>
      <c r="B2806" s="3">
        <v>12.843234006830601</v>
      </c>
      <c r="C2806" s="3">
        <v>2.6192661191891999</v>
      </c>
      <c r="D2806" s="3">
        <v>1.0305880882674401</v>
      </c>
      <c r="E2806" s="3">
        <v>2.5415257065434802</v>
      </c>
      <c r="F2806" s="3">
        <v>1.1036982973715401E-2</v>
      </c>
      <c r="G2806" s="3">
        <v>3.4581954356580499E-2</v>
      </c>
      <c r="H2806" s="3" t="str">
        <f>"APBA1"</f>
        <v>APBA1</v>
      </c>
      <c r="I2806" s="3" t="str">
        <f t="shared" si="132"/>
        <v>protein_coding</v>
      </c>
    </row>
    <row r="2807" spans="1:9" x14ac:dyDescent="0.2">
      <c r="A2807" s="3" t="str">
        <f>"ENSG00000165072.10"</f>
        <v>ENSG00000165072.10</v>
      </c>
      <c r="B2807" s="3">
        <v>7.9990979301751803</v>
      </c>
      <c r="C2807" s="3">
        <v>6.3933593586813897</v>
      </c>
      <c r="D2807" s="3">
        <v>1.8432454210622999</v>
      </c>
      <c r="E2807" s="3">
        <v>3.4685339703688398</v>
      </c>
      <c r="F2807" s="3">
        <v>5.23306362090474E-4</v>
      </c>
      <c r="G2807" s="3">
        <v>2.4948214445992098E-3</v>
      </c>
      <c r="H2807" s="3" t="str">
        <f>"MAMDC2"</f>
        <v>MAMDC2</v>
      </c>
      <c r="I2807" s="3" t="str">
        <f t="shared" si="132"/>
        <v>protein_coding</v>
      </c>
    </row>
    <row r="2808" spans="1:9" x14ac:dyDescent="0.2">
      <c r="A2808" s="3" t="str">
        <f>"ENSG00000165091.17"</f>
        <v>ENSG00000165091.17</v>
      </c>
      <c r="B2808" s="3">
        <v>10.1672040175019</v>
      </c>
      <c r="C2808" s="3">
        <v>6.7425917088524399</v>
      </c>
      <c r="D2808" s="3">
        <v>1.75801816718179</v>
      </c>
      <c r="E2808" s="3">
        <v>3.8353367642731602</v>
      </c>
      <c r="F2808" s="3">
        <v>1.25392364190879E-4</v>
      </c>
      <c r="G2808" s="3">
        <v>7.0227456261230897E-4</v>
      </c>
      <c r="H2808" s="3" t="str">
        <f>"TMC1"</f>
        <v>TMC1</v>
      </c>
      <c r="I2808" s="3" t="str">
        <f t="shared" si="132"/>
        <v>protein_coding</v>
      </c>
    </row>
    <row r="2809" spans="1:9" x14ac:dyDescent="0.2">
      <c r="A2809" s="3" t="str">
        <f>"ENSG00000165092.13"</f>
        <v>ENSG00000165092.13</v>
      </c>
      <c r="B2809" s="3">
        <v>10700.5245581692</v>
      </c>
      <c r="C2809" s="3">
        <v>-1.2332697225370099</v>
      </c>
      <c r="D2809" s="3">
        <v>0.18937479294404599</v>
      </c>
      <c r="E2809" s="3">
        <v>-6.5123224868760596</v>
      </c>
      <c r="F2809" s="4">
        <v>7.3997638194630606E-11</v>
      </c>
      <c r="G2809" s="4">
        <v>1.17494967825705E-9</v>
      </c>
      <c r="H2809" s="3" t="str">
        <f>"ALDH1A1"</f>
        <v>ALDH1A1</v>
      </c>
      <c r="I2809" s="3" t="str">
        <f t="shared" si="132"/>
        <v>protein_coding</v>
      </c>
    </row>
    <row r="2810" spans="1:9" x14ac:dyDescent="0.2">
      <c r="A2810" s="3" t="str">
        <f>"ENSG00000198963.11"</f>
        <v>ENSG00000198963.11</v>
      </c>
      <c r="B2810" s="3">
        <v>5.2814086900015704</v>
      </c>
      <c r="C2810" s="3">
        <v>5.7907053538980504</v>
      </c>
      <c r="D2810" s="3">
        <v>2.0890277923639702</v>
      </c>
      <c r="E2810" s="3">
        <v>2.77196185472727</v>
      </c>
      <c r="F2810" s="3">
        <v>5.5719565573606597E-3</v>
      </c>
      <c r="G2810" s="3">
        <v>1.9491475198151999E-2</v>
      </c>
      <c r="H2810" s="3" t="str">
        <f>"RORB"</f>
        <v>RORB</v>
      </c>
      <c r="I2810" s="3" t="str">
        <f t="shared" si="132"/>
        <v>protein_coding</v>
      </c>
    </row>
    <row r="2811" spans="1:9" x14ac:dyDescent="0.2">
      <c r="A2811" s="3" t="str">
        <f>"ENSG00000119121.22"</f>
        <v>ENSG00000119121.22</v>
      </c>
      <c r="B2811" s="3">
        <v>72.327843388536195</v>
      </c>
      <c r="C2811" s="3">
        <v>4.7577850124226302</v>
      </c>
      <c r="D2811" s="3">
        <v>0.61807660347210003</v>
      </c>
      <c r="E2811" s="3">
        <v>7.6977270870558003</v>
      </c>
      <c r="F2811" s="4">
        <v>1.38507797001664E-14</v>
      </c>
      <c r="G2811" s="4">
        <v>3.2788201085180998E-13</v>
      </c>
      <c r="H2811" s="3" t="str">
        <f>"TRPM6"</f>
        <v>TRPM6</v>
      </c>
      <c r="I2811" s="3" t="str">
        <f t="shared" si="132"/>
        <v>protein_coding</v>
      </c>
    </row>
    <row r="2812" spans="1:9" x14ac:dyDescent="0.2">
      <c r="A2812" s="3" t="str">
        <f>"ENSG00000106733.21"</f>
        <v>ENSG00000106733.21</v>
      </c>
      <c r="B2812" s="3">
        <v>82.398245708463506</v>
      </c>
      <c r="C2812" s="3">
        <v>1.23101424019682</v>
      </c>
      <c r="D2812" s="3">
        <v>0.42394321635390497</v>
      </c>
      <c r="E2812" s="3">
        <v>2.9037243496524798</v>
      </c>
      <c r="F2812" s="3">
        <v>3.6875266608087198E-3</v>
      </c>
      <c r="G2812" s="3">
        <v>1.36904263424247E-2</v>
      </c>
      <c r="H2812" s="3" t="str">
        <f>"NMRK1"</f>
        <v>NMRK1</v>
      </c>
      <c r="I2812" s="3" t="str">
        <f t="shared" si="132"/>
        <v>protein_coding</v>
      </c>
    </row>
    <row r="2813" spans="1:9" x14ac:dyDescent="0.2">
      <c r="A2813" s="3" t="str">
        <f>"ENSG00000099139.13"</f>
        <v>ENSG00000099139.13</v>
      </c>
      <c r="B2813" s="3">
        <v>294.25244864100301</v>
      </c>
      <c r="C2813" s="3">
        <v>-1.2667844806009301</v>
      </c>
      <c r="D2813" s="3">
        <v>0.25628852359978899</v>
      </c>
      <c r="E2813" s="3">
        <v>-4.9428061108935699</v>
      </c>
      <c r="F2813" s="4">
        <v>7.7006059222959297E-7</v>
      </c>
      <c r="G2813" s="4">
        <v>6.7184889389944603E-6</v>
      </c>
      <c r="H2813" s="3" t="str">
        <f>"PCSK5"</f>
        <v>PCSK5</v>
      </c>
      <c r="I2813" s="3" t="str">
        <f t="shared" si="132"/>
        <v>protein_coding</v>
      </c>
    </row>
    <row r="2814" spans="1:9" x14ac:dyDescent="0.2">
      <c r="A2814" s="3" t="str">
        <f>"ENSG00000106772.18"</f>
        <v>ENSG00000106772.18</v>
      </c>
      <c r="B2814" s="3">
        <v>17.078953112279802</v>
      </c>
      <c r="C2814" s="3">
        <v>3.9515047275114701</v>
      </c>
      <c r="D2814" s="3">
        <v>1.0544015548610099</v>
      </c>
      <c r="E2814" s="3">
        <v>3.7476279405073001</v>
      </c>
      <c r="F2814" s="3">
        <v>1.7851478657026601E-4</v>
      </c>
      <c r="G2814" s="3">
        <v>9.6297612149673904E-4</v>
      </c>
      <c r="H2814" s="3" t="str">
        <f>"PRUNE2"</f>
        <v>PRUNE2</v>
      </c>
      <c r="I2814" s="3" t="str">
        <f t="shared" si="132"/>
        <v>protein_coding</v>
      </c>
    </row>
    <row r="2815" spans="1:9" x14ac:dyDescent="0.2">
      <c r="A2815" s="3" t="str">
        <f>"ENSG00000228430.9"</f>
        <v>ENSG00000228430.9</v>
      </c>
      <c r="B2815" s="3">
        <v>4.5868731179276896</v>
      </c>
      <c r="C2815" s="3">
        <v>5.5915059184507401</v>
      </c>
      <c r="D2815" s="3">
        <v>2.0812331718906201</v>
      </c>
      <c r="E2815" s="3">
        <v>2.6866311732727901</v>
      </c>
      <c r="F2815" s="3">
        <v>7.2176601926175997E-3</v>
      </c>
      <c r="G2815" s="3">
        <v>2.4195323236743602E-2</v>
      </c>
      <c r="H2815" s="3" t="str">
        <f>"AL162726.3"</f>
        <v>AL162726.3</v>
      </c>
      <c r="I2815" s="3" t="str">
        <f>"transcribed_unprocessed_pseudogene"</f>
        <v>transcribed_unprocessed_pseudogene</v>
      </c>
    </row>
    <row r="2816" spans="1:9" x14ac:dyDescent="0.2">
      <c r="A2816" s="3" t="str">
        <f>"ENSG00000165105.10"</f>
        <v>ENSG00000165105.10</v>
      </c>
      <c r="B2816" s="3">
        <v>6.7940985703815198</v>
      </c>
      <c r="C2816" s="3">
        <v>4.6548474543160898</v>
      </c>
      <c r="D2816" s="3">
        <v>1.8745848410622501</v>
      </c>
      <c r="E2816" s="3">
        <v>2.48313512002923</v>
      </c>
      <c r="F2816" s="3">
        <v>1.3023167801294699E-2</v>
      </c>
      <c r="G2816" s="3">
        <v>3.96782123540061E-2</v>
      </c>
      <c r="H2816" s="3" t="str">
        <f>"RASEF"</f>
        <v>RASEF</v>
      </c>
      <c r="I2816" s="3" t="str">
        <f>"protein_coding"</f>
        <v>protein_coding</v>
      </c>
    </row>
    <row r="2817" spans="1:9" x14ac:dyDescent="0.2">
      <c r="A2817" s="3" t="str">
        <f>"ENSG00000229109.1"</f>
        <v>ENSG00000229109.1</v>
      </c>
      <c r="B2817" s="3">
        <v>25.990475571346899</v>
      </c>
      <c r="C2817" s="3">
        <v>4.2611152250148203</v>
      </c>
      <c r="D2817" s="3">
        <v>0.89987051898400305</v>
      </c>
      <c r="E2817" s="3">
        <v>4.7352537227531597</v>
      </c>
      <c r="F2817" s="4">
        <v>2.1878122641620002E-6</v>
      </c>
      <c r="G2817" s="4">
        <v>1.7652153023873801E-5</v>
      </c>
      <c r="H2817" s="3" t="str">
        <f>"AL137847.1"</f>
        <v>AL137847.1</v>
      </c>
      <c r="I2817" s="3" t="str">
        <f>"antisense"</f>
        <v>antisense</v>
      </c>
    </row>
    <row r="2818" spans="1:9" x14ac:dyDescent="0.2">
      <c r="A2818" s="3" t="str">
        <f>"ENSG00000172159.16"</f>
        <v>ENSG00000172159.16</v>
      </c>
      <c r="B2818" s="3">
        <v>616.99296650423298</v>
      </c>
      <c r="C2818" s="3">
        <v>-2.8390393483569301</v>
      </c>
      <c r="D2818" s="3">
        <v>0.22326842527621099</v>
      </c>
      <c r="E2818" s="3">
        <v>-12.715812120969099</v>
      </c>
      <c r="F2818" s="4">
        <v>4.8306454762265501E-37</v>
      </c>
      <c r="G2818" s="4">
        <v>5.77283321450635E-35</v>
      </c>
      <c r="H2818" s="3" t="str">
        <f>"FRMD3"</f>
        <v>FRMD3</v>
      </c>
      <c r="I2818" s="3" t="str">
        <f>"protein_coding"</f>
        <v>protein_coding</v>
      </c>
    </row>
    <row r="2819" spans="1:9" x14ac:dyDescent="0.2">
      <c r="A2819" s="3" t="str">
        <f>"ENSG00000237529.2"</f>
        <v>ENSG00000237529.2</v>
      </c>
      <c r="B2819" s="3">
        <v>11.8975337945948</v>
      </c>
      <c r="C2819" s="3">
        <v>3.3959306244441199</v>
      </c>
      <c r="D2819" s="3">
        <v>1.1459981977775699</v>
      </c>
      <c r="E2819" s="3">
        <v>2.9632949083426601</v>
      </c>
      <c r="F2819" s="3">
        <v>3.0436481185370499E-3</v>
      </c>
      <c r="G2819" s="3">
        <v>1.16035092046704E-2</v>
      </c>
      <c r="H2819" s="3" t="str">
        <f>"AL137847.2"</f>
        <v>AL137847.2</v>
      </c>
      <c r="I2819" s="3" t="str">
        <f>"antisense"</f>
        <v>antisense</v>
      </c>
    </row>
    <row r="2820" spans="1:9" x14ac:dyDescent="0.2">
      <c r="A2820" s="3" t="str">
        <f>"ENSG00000148057.16"</f>
        <v>ENSG00000148057.16</v>
      </c>
      <c r="B2820" s="3">
        <v>130.78657479456001</v>
      </c>
      <c r="C2820" s="3">
        <v>1.3082283762749101</v>
      </c>
      <c r="D2820" s="3">
        <v>0.34109333439131201</v>
      </c>
      <c r="E2820" s="3">
        <v>3.8353970727967299</v>
      </c>
      <c r="F2820" s="3">
        <v>1.2536159796041799E-4</v>
      </c>
      <c r="G2820" s="3">
        <v>7.0224659942999599E-4</v>
      </c>
      <c r="H2820" s="3" t="str">
        <f>"IDNK"</f>
        <v>IDNK</v>
      </c>
      <c r="I2820" s="3" t="str">
        <f>"protein_coding"</f>
        <v>protein_coding</v>
      </c>
    </row>
    <row r="2821" spans="1:9" x14ac:dyDescent="0.2">
      <c r="A2821" s="3" t="str">
        <f>"ENSG00000165115.15"</f>
        <v>ENSG00000165115.15</v>
      </c>
      <c r="B2821" s="3">
        <v>340.62491995121502</v>
      </c>
      <c r="C2821" s="3">
        <v>1.01255396821141</v>
      </c>
      <c r="D2821" s="3">
        <v>0.25707200017221898</v>
      </c>
      <c r="E2821" s="3">
        <v>3.9387952306477301</v>
      </c>
      <c r="F2821" s="4">
        <v>8.1891783107824903E-5</v>
      </c>
      <c r="G2821" s="3">
        <v>4.7882090436457203E-4</v>
      </c>
      <c r="H2821" s="3" t="str">
        <f>"KIF27"</f>
        <v>KIF27</v>
      </c>
      <c r="I2821" s="3" t="str">
        <f>"protein_coding"</f>
        <v>protein_coding</v>
      </c>
    </row>
    <row r="2822" spans="1:9" x14ac:dyDescent="0.2">
      <c r="A2822" s="3" t="str">
        <f>"ENSG00000148053.16"</f>
        <v>ENSG00000148053.16</v>
      </c>
      <c r="B2822" s="3">
        <v>11.2609058082475</v>
      </c>
      <c r="C2822" s="3">
        <v>2.95817816444531</v>
      </c>
      <c r="D2822" s="3">
        <v>1.13969891801705</v>
      </c>
      <c r="E2822" s="3">
        <v>2.5955786372002598</v>
      </c>
      <c r="F2822" s="3">
        <v>9.4431791430350104E-3</v>
      </c>
      <c r="G2822" s="3">
        <v>3.02739501247529E-2</v>
      </c>
      <c r="H2822" s="3" t="str">
        <f>"NTRK2"</f>
        <v>NTRK2</v>
      </c>
      <c r="I2822" s="3" t="str">
        <f>"protein_coding"</f>
        <v>protein_coding</v>
      </c>
    </row>
    <row r="2823" spans="1:9" x14ac:dyDescent="0.2">
      <c r="A2823" s="3" t="str">
        <f>"ENSG00000234424.2"</f>
        <v>ENSG00000234424.2</v>
      </c>
      <c r="B2823" s="3">
        <v>8.2557704541952592</v>
      </c>
      <c r="C2823" s="3">
        <v>6.4387214764332601</v>
      </c>
      <c r="D2823" s="3">
        <v>1.8342385393426199</v>
      </c>
      <c r="E2823" s="3">
        <v>3.5102966916946601</v>
      </c>
      <c r="F2823" s="3">
        <v>4.4760695456473799E-4</v>
      </c>
      <c r="G2823" s="3">
        <v>2.1722442754795301E-3</v>
      </c>
      <c r="H2823" s="3" t="str">
        <f>"AL353743.4"</f>
        <v>AL353743.4</v>
      </c>
      <c r="I2823" s="3" t="str">
        <f>"unprocessed_pseudogene"</f>
        <v>unprocessed_pseudogene</v>
      </c>
    </row>
    <row r="2824" spans="1:9" x14ac:dyDescent="0.2">
      <c r="A2824" s="3" t="str">
        <f>"ENSG00000187753.13"</f>
        <v>ENSG00000187753.13</v>
      </c>
      <c r="B2824" s="3">
        <v>41.550770577243597</v>
      </c>
      <c r="C2824" s="3">
        <v>-1.46002361089948</v>
      </c>
      <c r="D2824" s="3">
        <v>0.55653993510664401</v>
      </c>
      <c r="E2824" s="3">
        <v>-2.62339415161592</v>
      </c>
      <c r="F2824" s="3">
        <v>8.7058491752080806E-3</v>
      </c>
      <c r="G2824" s="3">
        <v>2.8357235203454199E-2</v>
      </c>
      <c r="H2824" s="3" t="str">
        <f>"C9orf153"</f>
        <v>C9orf153</v>
      </c>
      <c r="I2824" s="3" t="str">
        <f>"protein_coding"</f>
        <v>protein_coding</v>
      </c>
    </row>
    <row r="2825" spans="1:9" x14ac:dyDescent="0.2">
      <c r="A2825" s="3" t="str">
        <f>"ENSG00000196730.13"</f>
        <v>ENSG00000196730.13</v>
      </c>
      <c r="B2825" s="3">
        <v>2826.2805236711501</v>
      </c>
      <c r="C2825" s="3">
        <v>-1.2851982389082</v>
      </c>
      <c r="D2825" s="3">
        <v>0.19486874223949699</v>
      </c>
      <c r="E2825" s="3">
        <v>-6.5951995386138904</v>
      </c>
      <c r="F2825" s="4">
        <v>4.2468428681790999E-11</v>
      </c>
      <c r="G2825" s="4">
        <v>6.9623181485725603E-10</v>
      </c>
      <c r="H2825" s="3" t="str">
        <f>"DAPK1"</f>
        <v>DAPK1</v>
      </c>
      <c r="I2825" s="3" t="str">
        <f>"protein_coding"</f>
        <v>protein_coding</v>
      </c>
    </row>
    <row r="2826" spans="1:9" x14ac:dyDescent="0.2">
      <c r="A2826" s="3" t="str">
        <f>"ENSG00000213694.5"</f>
        <v>ENSG00000213694.5</v>
      </c>
      <c r="B2826" s="3">
        <v>136.84382206357299</v>
      </c>
      <c r="C2826" s="3">
        <v>5.3088068990129296</v>
      </c>
      <c r="D2826" s="3">
        <v>0.52494838269393995</v>
      </c>
      <c r="E2826" s="3">
        <v>10.1130074385011</v>
      </c>
      <c r="F2826" s="4">
        <v>4.8376020649804799E-24</v>
      </c>
      <c r="G2826" s="4">
        <v>2.5032351893455501E-22</v>
      </c>
      <c r="H2826" s="3" t="str">
        <f>"S1PR3"</f>
        <v>S1PR3</v>
      </c>
      <c r="I2826" s="3" t="str">
        <f>"protein_coding"</f>
        <v>protein_coding</v>
      </c>
    </row>
    <row r="2827" spans="1:9" x14ac:dyDescent="0.2">
      <c r="A2827" s="3" t="str">
        <f>"ENSG00000187764.11"</f>
        <v>ENSG00000187764.11</v>
      </c>
      <c r="B2827" s="3">
        <v>32.320588964600603</v>
      </c>
      <c r="C2827" s="3">
        <v>1.7824866130561801</v>
      </c>
      <c r="D2827" s="3">
        <v>0.67094036014659797</v>
      </c>
      <c r="E2827" s="3">
        <v>2.6566990435136701</v>
      </c>
      <c r="F2827" s="3">
        <v>7.8909852990024995E-3</v>
      </c>
      <c r="G2827" s="3">
        <v>2.6080261577137501E-2</v>
      </c>
      <c r="H2827" s="3" t="str">
        <f>"SEMA4D"</f>
        <v>SEMA4D</v>
      </c>
      <c r="I2827" s="3" t="str">
        <f>"protein_coding"</f>
        <v>protein_coding</v>
      </c>
    </row>
    <row r="2828" spans="1:9" x14ac:dyDescent="0.2">
      <c r="A2828" s="3" t="str">
        <f>"ENSG00000225511.7"</f>
        <v>ENSG00000225511.7</v>
      </c>
      <c r="B2828" s="3">
        <v>41.408948492609397</v>
      </c>
      <c r="C2828" s="3">
        <v>4.0735962781815998</v>
      </c>
      <c r="D2828" s="3">
        <v>0.69676992708115504</v>
      </c>
      <c r="E2828" s="3">
        <v>5.8464008273812</v>
      </c>
      <c r="F2828" s="4">
        <v>5.0232281358295504E-9</v>
      </c>
      <c r="G2828" s="4">
        <v>6.2354394996331494E-8</v>
      </c>
      <c r="H2828" s="3" t="str">
        <f>"LINC00475"</f>
        <v>LINC00475</v>
      </c>
      <c r="I2828" s="3" t="str">
        <f>"transcribed_unprocessed_pseudogene"</f>
        <v>transcribed_unprocessed_pseudogene</v>
      </c>
    </row>
    <row r="2829" spans="1:9" x14ac:dyDescent="0.2">
      <c r="A2829" s="3" t="str">
        <f>"ENSG00000196305.17"</f>
        <v>ENSG00000196305.17</v>
      </c>
      <c r="B2829" s="3">
        <v>8094.7030670476997</v>
      </c>
      <c r="C2829" s="3">
        <v>-1.1424702758129599</v>
      </c>
      <c r="D2829" s="3">
        <v>0.177182540383542</v>
      </c>
      <c r="E2829" s="3">
        <v>-6.4479845098726596</v>
      </c>
      <c r="F2829" s="4">
        <v>1.1334734629429E-10</v>
      </c>
      <c r="G2829" s="4">
        <v>1.7507795603631101E-9</v>
      </c>
      <c r="H2829" s="3" t="str">
        <f>"IARS"</f>
        <v>IARS</v>
      </c>
      <c r="I2829" s="3" t="str">
        <f>"protein_coding"</f>
        <v>protein_coding</v>
      </c>
    </row>
    <row r="2830" spans="1:9" x14ac:dyDescent="0.2">
      <c r="A2830" s="3" t="str">
        <f>"ENSG00000106823.12"</f>
        <v>ENSG00000106823.12</v>
      </c>
      <c r="B2830" s="3">
        <v>9.5028949694889508</v>
      </c>
      <c r="C2830" s="3">
        <v>6.6413066223502</v>
      </c>
      <c r="D2830" s="3">
        <v>1.79369484842161</v>
      </c>
      <c r="E2830" s="3">
        <v>3.7025844324603701</v>
      </c>
      <c r="F2830" s="3">
        <v>2.1341430191571301E-4</v>
      </c>
      <c r="G2830" s="3">
        <v>1.12932598257864E-3</v>
      </c>
      <c r="H2830" s="3" t="str">
        <f>"ECM2"</f>
        <v>ECM2</v>
      </c>
      <c r="I2830" s="3" t="str">
        <f>"protein_coding"</f>
        <v>protein_coding</v>
      </c>
    </row>
    <row r="2831" spans="1:9" x14ac:dyDescent="0.2">
      <c r="A2831" s="3" t="str">
        <f>"ENSG00000127084.19"</f>
        <v>ENSG00000127084.19</v>
      </c>
      <c r="B2831" s="3">
        <v>134.28956318635201</v>
      </c>
      <c r="C2831" s="3">
        <v>1.9809461978941301</v>
      </c>
      <c r="D2831" s="3">
        <v>0.35811271840846898</v>
      </c>
      <c r="E2831" s="3">
        <v>5.5316276023311302</v>
      </c>
      <c r="F2831" s="4">
        <v>3.1727293116830402E-8</v>
      </c>
      <c r="G2831" s="4">
        <v>3.5112654571660301E-7</v>
      </c>
      <c r="H2831" s="3" t="str">
        <f>"FGD3"</f>
        <v>FGD3</v>
      </c>
      <c r="I2831" s="3" t="str">
        <f>"protein_coding"</f>
        <v>protein_coding</v>
      </c>
    </row>
    <row r="2832" spans="1:9" x14ac:dyDescent="0.2">
      <c r="A2832" s="3" t="str">
        <f>"ENSG00000048828.17"</f>
        <v>ENSG00000048828.17</v>
      </c>
      <c r="B2832" s="3">
        <v>5268.6780155093302</v>
      </c>
      <c r="C2832" s="3">
        <v>-1.3257784725950399</v>
      </c>
      <c r="D2832" s="3">
        <v>0.176408382479051</v>
      </c>
      <c r="E2832" s="3">
        <v>-7.5153938489996399</v>
      </c>
      <c r="F2832" s="4">
        <v>5.6739858651524002E-14</v>
      </c>
      <c r="G2832" s="4">
        <v>1.28940027412683E-12</v>
      </c>
      <c r="H2832" s="3" t="str">
        <f>"FAM120A"</f>
        <v>FAM120A</v>
      </c>
      <c r="I2832" s="3" t="str">
        <f>"protein_coding"</f>
        <v>protein_coding</v>
      </c>
    </row>
    <row r="2833" spans="1:9" x14ac:dyDescent="0.2">
      <c r="A2833" s="3" t="str">
        <f>"ENSG00000286203.1"</f>
        <v>ENSG00000286203.1</v>
      </c>
      <c r="B2833" s="3">
        <v>14.642357030636401</v>
      </c>
      <c r="C2833" s="3">
        <v>7.2668507552449704</v>
      </c>
      <c r="D2833" s="3">
        <v>1.6728707651166701</v>
      </c>
      <c r="E2833" s="3">
        <v>4.3439403131288197</v>
      </c>
      <c r="F2833" s="4">
        <v>1.39949553984251E-5</v>
      </c>
      <c r="G2833" s="4">
        <v>9.6317390689792495E-5</v>
      </c>
      <c r="H2833" s="3" t="str">
        <f>"AL158152.2"</f>
        <v>AL158152.2</v>
      </c>
      <c r="I2833" s="3" t="str">
        <f>"transcribed_unitary_pseudogene"</f>
        <v>transcribed_unitary_pseudogene</v>
      </c>
    </row>
    <row r="2834" spans="1:9" x14ac:dyDescent="0.2">
      <c r="A2834" s="3" t="str">
        <f>"ENSG00000236095.1"</f>
        <v>ENSG00000236095.1</v>
      </c>
      <c r="B2834" s="3">
        <v>31.583642488348001</v>
      </c>
      <c r="C2834" s="3">
        <v>1.6861074889779999</v>
      </c>
      <c r="D2834" s="3">
        <v>0.63703422009742705</v>
      </c>
      <c r="E2834" s="3">
        <v>2.6468083437026801</v>
      </c>
      <c r="F2834" s="3">
        <v>8.1255390059091093E-3</v>
      </c>
      <c r="G2834" s="3">
        <v>2.6729030700712999E-2</v>
      </c>
      <c r="H2834" s="3" t="str">
        <f>"AL807757.2"</f>
        <v>AL807757.2</v>
      </c>
      <c r="I2834" s="3" t="str">
        <f>"sense_intronic"</f>
        <v>sense_intronic</v>
      </c>
    </row>
    <row r="2835" spans="1:9" x14ac:dyDescent="0.2">
      <c r="A2835" s="3" t="str">
        <f>"ENSG00000158169.13"</f>
        <v>ENSG00000158169.13</v>
      </c>
      <c r="B2835" s="3">
        <v>843.34133245011003</v>
      </c>
      <c r="C2835" s="3">
        <v>-1.3111162719816201</v>
      </c>
      <c r="D2835" s="3">
        <v>0.20383208121173199</v>
      </c>
      <c r="E2835" s="3">
        <v>-6.4323352054659804</v>
      </c>
      <c r="F2835" s="4">
        <v>1.25658238794823E-10</v>
      </c>
      <c r="G2835" s="4">
        <v>1.9299943813092201E-9</v>
      </c>
      <c r="H2835" s="3" t="str">
        <f>"FANCC"</f>
        <v>FANCC</v>
      </c>
      <c r="I2835" s="3" t="str">
        <f>"protein_coding"</f>
        <v>protein_coding</v>
      </c>
    </row>
    <row r="2836" spans="1:9" x14ac:dyDescent="0.2">
      <c r="A2836" s="3" t="str">
        <f>"ENSG00000271384.1"</f>
        <v>ENSG00000271384.1</v>
      </c>
      <c r="B2836" s="3">
        <v>13.163446530487899</v>
      </c>
      <c r="C2836" s="3">
        <v>3.5663402349051498</v>
      </c>
      <c r="D2836" s="3">
        <v>1.1672465276008499</v>
      </c>
      <c r="E2836" s="3">
        <v>3.05534448000064</v>
      </c>
      <c r="F2836" s="3">
        <v>2.2480215638291498E-3</v>
      </c>
      <c r="G2836" s="3">
        <v>8.9093590617677007E-3</v>
      </c>
      <c r="H2836" s="3" t="str">
        <f>"AL161729.3"</f>
        <v>AL161729.3</v>
      </c>
      <c r="I2836" s="3" t="str">
        <f>"lincRNA"</f>
        <v>lincRNA</v>
      </c>
    </row>
    <row r="2837" spans="1:9" x14ac:dyDescent="0.2">
      <c r="A2837" s="3" t="str">
        <f>"ENSG00000185920.15"</f>
        <v>ENSG00000185920.15</v>
      </c>
      <c r="B2837" s="3">
        <v>326.40609534063498</v>
      </c>
      <c r="C2837" s="3">
        <v>-2.0649234720758098</v>
      </c>
      <c r="D2837" s="3">
        <v>0.27586632135719802</v>
      </c>
      <c r="E2837" s="3">
        <v>-7.4852322020204198</v>
      </c>
      <c r="F2837" s="4">
        <v>7.1420748542933194E-14</v>
      </c>
      <c r="G2837" s="4">
        <v>1.61092809234214E-12</v>
      </c>
      <c r="H2837" s="3" t="str">
        <f>"PTCH1"</f>
        <v>PTCH1</v>
      </c>
      <c r="I2837" s="3" t="str">
        <f>"protein_coding"</f>
        <v>protein_coding</v>
      </c>
    </row>
    <row r="2838" spans="1:9" x14ac:dyDescent="0.2">
      <c r="A2838" s="3" t="str">
        <f>"ENSG00000271155.1"</f>
        <v>ENSG00000271155.1</v>
      </c>
      <c r="B2838" s="3">
        <v>34.213171163917799</v>
      </c>
      <c r="C2838" s="3">
        <v>-1.54889722491766</v>
      </c>
      <c r="D2838" s="3">
        <v>0.59811322389961497</v>
      </c>
      <c r="E2838" s="3">
        <v>-2.5896388225945999</v>
      </c>
      <c r="F2838" s="3">
        <v>9.60766757510516E-3</v>
      </c>
      <c r="G2838" s="3">
        <v>3.07145510288502E-2</v>
      </c>
      <c r="H2838" s="3" t="str">
        <f>"AL161729.1"</f>
        <v>AL161729.1</v>
      </c>
      <c r="I2838" s="3" t="str">
        <f>"antisense"</f>
        <v>antisense</v>
      </c>
    </row>
    <row r="2839" spans="1:9" x14ac:dyDescent="0.2">
      <c r="A2839" s="3" t="str">
        <f>"ENSG00000268926.3"</f>
        <v>ENSG00000268926.3</v>
      </c>
      <c r="B2839" s="3">
        <v>24.2842032705923</v>
      </c>
      <c r="C2839" s="3">
        <v>2.3967075861945002</v>
      </c>
      <c r="D2839" s="3">
        <v>0.73566635833412197</v>
      </c>
      <c r="E2839" s="3">
        <v>3.25787302768842</v>
      </c>
      <c r="F2839" s="3">
        <v>1.12250619279831E-3</v>
      </c>
      <c r="G2839" s="3">
        <v>4.87797866589722E-3</v>
      </c>
      <c r="H2839" s="3" t="str">
        <f>"AL354861.3"</f>
        <v>AL354861.3</v>
      </c>
      <c r="I2839" s="3" t="str">
        <f>"lincRNA"</f>
        <v>lincRNA</v>
      </c>
    </row>
    <row r="2840" spans="1:9" x14ac:dyDescent="0.2">
      <c r="A2840" s="3" t="str">
        <f>"ENSG00000207276.1"</f>
        <v>ENSG00000207276.1</v>
      </c>
      <c r="B2840" s="3">
        <v>4.6593493275411699</v>
      </c>
      <c r="C2840" s="3">
        <v>5.6122139252814298</v>
      </c>
      <c r="D2840" s="3">
        <v>2.0896389950956702</v>
      </c>
      <c r="E2840" s="3">
        <v>2.6857337264729302</v>
      </c>
      <c r="F2840" s="3">
        <v>7.2370738075707101E-3</v>
      </c>
      <c r="G2840" s="3">
        <v>2.4230591058599101E-2</v>
      </c>
      <c r="H2840" s="3" t="str">
        <f>"RNU6-1160P"</f>
        <v>RNU6-1160P</v>
      </c>
      <c r="I2840" s="3" t="str">
        <f>"snRNA"</f>
        <v>snRNA</v>
      </c>
    </row>
    <row r="2841" spans="1:9" x14ac:dyDescent="0.2">
      <c r="A2841" s="3" t="str">
        <f>"ENSG00000130958.13"</f>
        <v>ENSG00000130958.13</v>
      </c>
      <c r="B2841" s="3">
        <v>779.559094467156</v>
      </c>
      <c r="C2841" s="3">
        <v>-1.5367605434573799</v>
      </c>
      <c r="D2841" s="3">
        <v>0.21283400278112299</v>
      </c>
      <c r="E2841" s="3">
        <v>-7.2204653550484199</v>
      </c>
      <c r="F2841" s="4">
        <v>5.1809968573708304E-13</v>
      </c>
      <c r="G2841" s="4">
        <v>1.06944410130896E-11</v>
      </c>
      <c r="H2841" s="3" t="str">
        <f>"SLC35D2"</f>
        <v>SLC35D2</v>
      </c>
      <c r="I2841" s="3" t="str">
        <f t="shared" ref="I2841:I2854" si="133">"protein_coding"</f>
        <v>protein_coding</v>
      </c>
    </row>
    <row r="2842" spans="1:9" x14ac:dyDescent="0.2">
      <c r="A2842" s="3" t="str">
        <f>"ENSG00000165244.7"</f>
        <v>ENSG00000165244.7</v>
      </c>
      <c r="B2842" s="3">
        <v>465.00469311525899</v>
      </c>
      <c r="C2842" s="3">
        <v>-1.7662618900493801</v>
      </c>
      <c r="D2842" s="3">
        <v>0.24100617935329599</v>
      </c>
      <c r="E2842" s="3">
        <v>-7.3286995992753203</v>
      </c>
      <c r="F2842" s="4">
        <v>2.3239664597295498E-13</v>
      </c>
      <c r="G2842" s="4">
        <v>4.9702601356554902E-12</v>
      </c>
      <c r="H2842" s="3" t="str">
        <f>"ZNF367"</f>
        <v>ZNF367</v>
      </c>
      <c r="I2842" s="3" t="str">
        <f t="shared" si="133"/>
        <v>protein_coding</v>
      </c>
    </row>
    <row r="2843" spans="1:9" x14ac:dyDescent="0.2">
      <c r="A2843" s="3" t="str">
        <f>"ENSG00000130956.14"</f>
        <v>ENSG00000130956.14</v>
      </c>
      <c r="B2843" s="3">
        <v>1193.7874603984999</v>
      </c>
      <c r="C2843" s="3">
        <v>-1.68705090477158</v>
      </c>
      <c r="D2843" s="3">
        <v>0.20103095793547501</v>
      </c>
      <c r="E2843" s="3">
        <v>-8.3919955518148708</v>
      </c>
      <c r="F2843" s="4">
        <v>4.77958995442303E-17</v>
      </c>
      <c r="G2843" s="4">
        <v>1.42795490666847E-15</v>
      </c>
      <c r="H2843" s="3" t="str">
        <f>"HABP4"</f>
        <v>HABP4</v>
      </c>
      <c r="I2843" s="3" t="str">
        <f t="shared" si="133"/>
        <v>protein_coding</v>
      </c>
    </row>
    <row r="2844" spans="1:9" x14ac:dyDescent="0.2">
      <c r="A2844" s="3" t="str">
        <f>"ENSG00000158122.12"</f>
        <v>ENSG00000158122.12</v>
      </c>
      <c r="B2844" s="3">
        <v>474.747010093624</v>
      </c>
      <c r="C2844" s="3">
        <v>-1.62915206419097</v>
      </c>
      <c r="D2844" s="3">
        <v>0.22651150374991999</v>
      </c>
      <c r="E2844" s="3">
        <v>-7.1923590511748703</v>
      </c>
      <c r="F2844" s="4">
        <v>6.3681295111008595E-13</v>
      </c>
      <c r="G2844" s="4">
        <v>1.29293908188499E-11</v>
      </c>
      <c r="H2844" s="3" t="str">
        <f>"PRXL2C"</f>
        <v>PRXL2C</v>
      </c>
      <c r="I2844" s="3" t="str">
        <f t="shared" si="133"/>
        <v>protein_coding</v>
      </c>
    </row>
    <row r="2845" spans="1:9" x14ac:dyDescent="0.2">
      <c r="A2845" s="3" t="str">
        <f>"ENSG00000136842.14"</f>
        <v>ENSG00000136842.14</v>
      </c>
      <c r="B2845" s="3">
        <v>75.296827375601694</v>
      </c>
      <c r="C2845" s="3">
        <v>3.8461410355051302</v>
      </c>
      <c r="D2845" s="3">
        <v>0.53430570782904896</v>
      </c>
      <c r="E2845" s="3">
        <v>7.1983903206508497</v>
      </c>
      <c r="F2845" s="4">
        <v>6.0927525598439202E-13</v>
      </c>
      <c r="G2845" s="4">
        <v>1.2407266741260601E-11</v>
      </c>
      <c r="H2845" s="3" t="str">
        <f>"TMOD1"</f>
        <v>TMOD1</v>
      </c>
      <c r="I2845" s="3" t="str">
        <f t="shared" si="133"/>
        <v>protein_coding</v>
      </c>
    </row>
    <row r="2846" spans="1:9" x14ac:dyDescent="0.2">
      <c r="A2846" s="3" t="str">
        <f>"ENSG00000095380.11"</f>
        <v>ENSG00000095380.11</v>
      </c>
      <c r="B2846" s="3">
        <v>2236.0922390948299</v>
      </c>
      <c r="C2846" s="3">
        <v>-1.4492854441151</v>
      </c>
      <c r="D2846" s="3">
        <v>0.1979119532443</v>
      </c>
      <c r="E2846" s="3">
        <v>-7.3228797975942603</v>
      </c>
      <c r="F2846" s="4">
        <v>2.42705188486329E-13</v>
      </c>
      <c r="G2846" s="4">
        <v>5.1866574672054898E-12</v>
      </c>
      <c r="H2846" s="3" t="s">
        <v>0</v>
      </c>
      <c r="I2846" s="3" t="str">
        <f t="shared" si="133"/>
        <v>protein_coding</v>
      </c>
    </row>
    <row r="2847" spans="1:9" x14ac:dyDescent="0.2">
      <c r="A2847" s="3" t="str">
        <f>"ENSG00000095383.20"</f>
        <v>ENSG00000095383.20</v>
      </c>
      <c r="B2847" s="3">
        <v>359.79134987875102</v>
      </c>
      <c r="C2847" s="3">
        <v>1.1495852146165499</v>
      </c>
      <c r="D2847" s="3">
        <v>0.26527990989376998</v>
      </c>
      <c r="E2847" s="3">
        <v>4.33348011568948</v>
      </c>
      <c r="F2847" s="4">
        <v>1.4677054281114101E-5</v>
      </c>
      <c r="G2847" s="3">
        <v>1.0047881859234E-4</v>
      </c>
      <c r="H2847" s="3" t="str">
        <f>"TBC1D2"</f>
        <v>TBC1D2</v>
      </c>
      <c r="I2847" s="3" t="str">
        <f t="shared" si="133"/>
        <v>protein_coding</v>
      </c>
    </row>
    <row r="2848" spans="1:9" x14ac:dyDescent="0.2">
      <c r="A2848" s="3" t="str">
        <f>"ENSG00000136928.7"</f>
        <v>ENSG00000136928.7</v>
      </c>
      <c r="B2848" s="3">
        <v>559.710281696773</v>
      </c>
      <c r="C2848" s="3">
        <v>8.7578856848122904</v>
      </c>
      <c r="D2848" s="3">
        <v>0.68179842616322905</v>
      </c>
      <c r="E2848" s="3">
        <v>12.8452711956181</v>
      </c>
      <c r="F2848" s="4">
        <v>9.1430956192758096E-38</v>
      </c>
      <c r="G2848" s="4">
        <v>1.13237239244731E-35</v>
      </c>
      <c r="H2848" s="3" t="str">
        <f>"GABBR2"</f>
        <v>GABBR2</v>
      </c>
      <c r="I2848" s="3" t="str">
        <f t="shared" si="133"/>
        <v>protein_coding</v>
      </c>
    </row>
    <row r="2849" spans="1:9" x14ac:dyDescent="0.2">
      <c r="A2849" s="3" t="str">
        <f>"ENSG00000119514.7"</f>
        <v>ENSG00000119514.7</v>
      </c>
      <c r="B2849" s="3">
        <v>6.6404212090509001</v>
      </c>
      <c r="C2849" s="3">
        <v>4.6318225167639397</v>
      </c>
      <c r="D2849" s="3">
        <v>1.87610149965929</v>
      </c>
      <c r="E2849" s="3">
        <v>2.46885497272141</v>
      </c>
      <c r="F2849" s="3">
        <v>1.35546140473191E-2</v>
      </c>
      <c r="G2849" s="3">
        <v>4.1040401038704703E-2</v>
      </c>
      <c r="H2849" s="3" t="str">
        <f>"GALNT12"</f>
        <v>GALNT12</v>
      </c>
      <c r="I2849" s="3" t="str">
        <f t="shared" si="133"/>
        <v>protein_coding</v>
      </c>
    </row>
    <row r="2850" spans="1:9" x14ac:dyDescent="0.2">
      <c r="A2850" s="3" t="str">
        <f>"ENSG00000204291.11"</f>
        <v>ENSG00000204291.11</v>
      </c>
      <c r="B2850" s="3">
        <v>9.5089065502347392</v>
      </c>
      <c r="C2850" s="3">
        <v>6.6485123440272202</v>
      </c>
      <c r="D2850" s="3">
        <v>1.7890280482863701</v>
      </c>
      <c r="E2850" s="3">
        <v>3.7162706031331001</v>
      </c>
      <c r="F2850" s="3">
        <v>2.02185038929821E-4</v>
      </c>
      <c r="G2850" s="3">
        <v>1.0777099247009699E-3</v>
      </c>
      <c r="H2850" s="3" t="str">
        <f>"COL15A1"</f>
        <v>COL15A1</v>
      </c>
      <c r="I2850" s="3" t="str">
        <f t="shared" si="133"/>
        <v>protein_coding</v>
      </c>
    </row>
    <row r="2851" spans="1:9" x14ac:dyDescent="0.2">
      <c r="A2851" s="3" t="str">
        <f>"ENSG00000106799.13"</f>
        <v>ENSG00000106799.13</v>
      </c>
      <c r="B2851" s="3">
        <v>4043.7701346990498</v>
      </c>
      <c r="C2851" s="3">
        <v>1.5481877415799301</v>
      </c>
      <c r="D2851" s="3">
        <v>0.18759419647620501</v>
      </c>
      <c r="E2851" s="3">
        <v>8.2528552090698604</v>
      </c>
      <c r="F2851" s="4">
        <v>1.5465438218190999E-16</v>
      </c>
      <c r="G2851" s="4">
        <v>4.4356504750636904E-15</v>
      </c>
      <c r="H2851" s="3" t="str">
        <f>"TGFBR1"</f>
        <v>TGFBR1</v>
      </c>
      <c r="I2851" s="3" t="str">
        <f t="shared" si="133"/>
        <v>protein_coding</v>
      </c>
    </row>
    <row r="2852" spans="1:9" x14ac:dyDescent="0.2">
      <c r="A2852" s="3" t="str">
        <f>"ENSG00000148123.15"</f>
        <v>ENSG00000148123.15</v>
      </c>
      <c r="B2852" s="3">
        <v>374.50104970411002</v>
      </c>
      <c r="C2852" s="3">
        <v>-2.02623155382885</v>
      </c>
      <c r="D2852" s="3">
        <v>0.245793177106092</v>
      </c>
      <c r="E2852" s="3">
        <v>-8.2436444236784592</v>
      </c>
      <c r="F2852" s="4">
        <v>1.67043080063306E-16</v>
      </c>
      <c r="G2852" s="4">
        <v>4.7733160667149701E-15</v>
      </c>
      <c r="H2852" s="3" t="str">
        <f>"PLPPR1"</f>
        <v>PLPPR1</v>
      </c>
      <c r="I2852" s="3" t="str">
        <f t="shared" si="133"/>
        <v>protein_coding</v>
      </c>
    </row>
    <row r="2853" spans="1:9" x14ac:dyDescent="0.2">
      <c r="A2853" s="3" t="str">
        <f>"ENSG00000198785.5"</f>
        <v>ENSG00000198785.5</v>
      </c>
      <c r="B2853" s="3">
        <v>7.89627066644824</v>
      </c>
      <c r="C2853" s="3">
        <v>4.8822510667877097</v>
      </c>
      <c r="D2853" s="3">
        <v>1.81577864010137</v>
      </c>
      <c r="E2853" s="3">
        <v>2.6887919920212</v>
      </c>
      <c r="F2853" s="3">
        <v>7.1711088632352401E-3</v>
      </c>
      <c r="G2853" s="3">
        <v>2.4101542271687499E-2</v>
      </c>
      <c r="H2853" s="3" t="str">
        <f>"GRIN3A"</f>
        <v>GRIN3A</v>
      </c>
      <c r="I2853" s="3" t="str">
        <f t="shared" si="133"/>
        <v>protein_coding</v>
      </c>
    </row>
    <row r="2854" spans="1:9" x14ac:dyDescent="0.2">
      <c r="A2854" s="3" t="str">
        <f>"ENSG00000148143.13"</f>
        <v>ENSG00000148143.13</v>
      </c>
      <c r="B2854" s="3">
        <v>7.4612888787148499</v>
      </c>
      <c r="C2854" s="3">
        <v>3.7373262698813501</v>
      </c>
      <c r="D2854" s="3">
        <v>1.54525335098741</v>
      </c>
      <c r="E2854" s="3">
        <v>2.4185848019635201</v>
      </c>
      <c r="F2854" s="3">
        <v>1.55810133076347E-2</v>
      </c>
      <c r="G2854" s="3">
        <v>4.6035119235862197E-2</v>
      </c>
      <c r="H2854" s="3" t="str">
        <f>"ZNF462"</f>
        <v>ZNF462</v>
      </c>
      <c r="I2854" s="3" t="str">
        <f t="shared" si="133"/>
        <v>protein_coding</v>
      </c>
    </row>
    <row r="2855" spans="1:9" x14ac:dyDescent="0.2">
      <c r="A2855" s="3" t="str">
        <f>"ENSG00000230782.1"</f>
        <v>ENSG00000230782.1</v>
      </c>
      <c r="B2855" s="3">
        <v>5.5803308995741903</v>
      </c>
      <c r="C2855" s="3">
        <v>5.8793071768343896</v>
      </c>
      <c r="D2855" s="3">
        <v>1.98610001956419</v>
      </c>
      <c r="E2855" s="3">
        <v>2.9602271380695502</v>
      </c>
      <c r="F2855" s="3">
        <v>3.0741230308199102E-3</v>
      </c>
      <c r="G2855" s="3">
        <v>1.1701680667889101E-2</v>
      </c>
      <c r="H2855" s="3" t="str">
        <f>"AL807761.4"</f>
        <v>AL807761.4</v>
      </c>
      <c r="I2855" s="3" t="str">
        <f>"antisense"</f>
        <v>antisense</v>
      </c>
    </row>
    <row r="2856" spans="1:9" x14ac:dyDescent="0.2">
      <c r="A2856" s="3" t="str">
        <f>"ENSG00000226047.1"</f>
        <v>ENSG00000226047.1</v>
      </c>
      <c r="B2856" s="3">
        <v>4.36643869871435</v>
      </c>
      <c r="C2856" s="3">
        <v>5.51984028109222</v>
      </c>
      <c r="D2856" s="3">
        <v>2.1118253273681198</v>
      </c>
      <c r="E2856" s="3">
        <v>2.6137769111668798</v>
      </c>
      <c r="F2856" s="3">
        <v>8.9547485688279607E-3</v>
      </c>
      <c r="G2856" s="3">
        <v>2.9049890969741098E-2</v>
      </c>
      <c r="H2856" s="3" t="str">
        <f>"AL807761.3"</f>
        <v>AL807761.3</v>
      </c>
      <c r="I2856" s="3" t="str">
        <f>"lincRNA"</f>
        <v>lincRNA</v>
      </c>
    </row>
    <row r="2857" spans="1:9" x14ac:dyDescent="0.2">
      <c r="A2857" s="3" t="str">
        <f>"ENSG00000226535.1"</f>
        <v>ENSG00000226535.1</v>
      </c>
      <c r="B2857" s="3">
        <v>126.52740448625001</v>
      </c>
      <c r="C2857" s="3">
        <v>6.92539311712593</v>
      </c>
      <c r="D2857" s="3">
        <v>0.80092712568478897</v>
      </c>
      <c r="E2857" s="3">
        <v>8.6467206504021803</v>
      </c>
      <c r="F2857" s="4">
        <v>5.3000503711864E-18</v>
      </c>
      <c r="G2857" s="4">
        <v>1.7191722912347101E-16</v>
      </c>
      <c r="H2857" s="3" t="str">
        <f>"AL445487.1"</f>
        <v>AL445487.1</v>
      </c>
      <c r="I2857" s="3" t="str">
        <f>"processed_pseudogene"</f>
        <v>processed_pseudogene</v>
      </c>
    </row>
    <row r="2858" spans="1:9" x14ac:dyDescent="0.2">
      <c r="A2858" s="3" t="str">
        <f>"ENSG00000136826.15"</f>
        <v>ENSG00000136826.15</v>
      </c>
      <c r="B2858" s="3">
        <v>44.782747120920703</v>
      </c>
      <c r="C2858" s="3">
        <v>1.69448173822877</v>
      </c>
      <c r="D2858" s="3">
        <v>0.53291178071369305</v>
      </c>
      <c r="E2858" s="3">
        <v>3.17966650307386</v>
      </c>
      <c r="F2858" s="3">
        <v>1.4744463535956401E-3</v>
      </c>
      <c r="G2858" s="3">
        <v>6.1901756234853996E-3</v>
      </c>
      <c r="H2858" s="3" t="str">
        <f>"KLF4"</f>
        <v>KLF4</v>
      </c>
      <c r="I2858" s="3" t="str">
        <f>"protein_coding"</f>
        <v>protein_coding</v>
      </c>
    </row>
    <row r="2859" spans="1:9" x14ac:dyDescent="0.2">
      <c r="A2859" s="3" t="str">
        <f>"ENSG00000070061.15"</f>
        <v>ENSG00000070061.15</v>
      </c>
      <c r="B2859" s="3">
        <v>7588.3816892784598</v>
      </c>
      <c r="C2859" s="3">
        <v>-1.02877776123469</v>
      </c>
      <c r="D2859" s="3">
        <v>0.17677800045863501</v>
      </c>
      <c r="E2859" s="3">
        <v>-5.8196028836484803</v>
      </c>
      <c r="F2859" s="4">
        <v>5.8987606001852498E-9</v>
      </c>
      <c r="G2859" s="4">
        <v>7.2170422125391699E-8</v>
      </c>
      <c r="H2859" s="3" t="str">
        <f>"ELP1"</f>
        <v>ELP1</v>
      </c>
      <c r="I2859" s="3" t="str">
        <f>"protein_coding"</f>
        <v>protein_coding</v>
      </c>
    </row>
    <row r="2860" spans="1:9" x14ac:dyDescent="0.2">
      <c r="A2860" s="3" t="str">
        <f>"ENSG00000188959.9"</f>
        <v>ENSG00000188959.9</v>
      </c>
      <c r="B2860" s="3">
        <v>44.315360963754301</v>
      </c>
      <c r="C2860" s="3">
        <v>-2.4466647982816299</v>
      </c>
      <c r="D2860" s="3">
        <v>0.55425309958795399</v>
      </c>
      <c r="E2860" s="3">
        <v>-4.4143457205752101</v>
      </c>
      <c r="F2860" s="4">
        <v>1.01315938438905E-5</v>
      </c>
      <c r="G2860" s="4">
        <v>7.1908188972254203E-5</v>
      </c>
      <c r="H2860" s="3" t="str">
        <f>"C9orf152"</f>
        <v>C9orf152</v>
      </c>
      <c r="I2860" s="3" t="str">
        <f>"protein_coding"</f>
        <v>protein_coding</v>
      </c>
    </row>
    <row r="2861" spans="1:9" x14ac:dyDescent="0.2">
      <c r="A2861" s="3" t="str">
        <f>"ENSG00000165124.18"</f>
        <v>ENSG00000165124.18</v>
      </c>
      <c r="B2861" s="3">
        <v>43.0486750033539</v>
      </c>
      <c r="C2861" s="3">
        <v>6.3676225976555898</v>
      </c>
      <c r="D2861" s="3">
        <v>1.14065855725485</v>
      </c>
      <c r="E2861" s="3">
        <v>5.5824090014983403</v>
      </c>
      <c r="F2861" s="4">
        <v>2.37209729978426E-8</v>
      </c>
      <c r="G2861" s="4">
        <v>2.6818479305901202E-7</v>
      </c>
      <c r="H2861" s="3" t="str">
        <f>"SVEP1"</f>
        <v>SVEP1</v>
      </c>
      <c r="I2861" s="3" t="str">
        <f>"protein_coding"</f>
        <v>protein_coding</v>
      </c>
    </row>
    <row r="2862" spans="1:9" x14ac:dyDescent="0.2">
      <c r="A2862" s="3" t="str">
        <f>"ENSG00000165181.16"</f>
        <v>ENSG00000165181.16</v>
      </c>
      <c r="B2862" s="3">
        <v>12.365536628889499</v>
      </c>
      <c r="C2862" s="3">
        <v>7.0218011762966803</v>
      </c>
      <c r="D2862" s="3">
        <v>1.7180122572643099</v>
      </c>
      <c r="E2862" s="3">
        <v>4.0871659364514104</v>
      </c>
      <c r="F2862" s="4">
        <v>4.36674798707395E-5</v>
      </c>
      <c r="G2862" s="3">
        <v>2.7010393281226699E-4</v>
      </c>
      <c r="H2862" s="3" t="str">
        <f>"SHOC1"</f>
        <v>SHOC1</v>
      </c>
      <c r="I2862" s="3" t="str">
        <f>"protein_coding"</f>
        <v>protein_coding</v>
      </c>
    </row>
    <row r="2863" spans="1:9" x14ac:dyDescent="0.2">
      <c r="A2863" s="3" t="str">
        <f>"ENSG00000230081.2"</f>
        <v>ENSG00000230081.2</v>
      </c>
      <c r="B2863" s="3">
        <v>35.385761511365999</v>
      </c>
      <c r="C2863" s="3">
        <v>1.89744463495586</v>
      </c>
      <c r="D2863" s="3">
        <v>0.65577823808507596</v>
      </c>
      <c r="E2863" s="3">
        <v>2.8934242168458399</v>
      </c>
      <c r="F2863" s="3">
        <v>3.8106623605008399E-3</v>
      </c>
      <c r="G2863" s="3">
        <v>1.40785243846192E-2</v>
      </c>
      <c r="H2863" s="3" t="str">
        <f>"HSPE1P28"</f>
        <v>HSPE1P28</v>
      </c>
      <c r="I2863" s="3" t="str">
        <f>"processed_pseudogene"</f>
        <v>processed_pseudogene</v>
      </c>
    </row>
    <row r="2864" spans="1:9" x14ac:dyDescent="0.2">
      <c r="A2864" s="3" t="str">
        <f>"ENSG00000165185.14"</f>
        <v>ENSG00000165185.14</v>
      </c>
      <c r="B2864" s="3">
        <v>1720.7265628282</v>
      </c>
      <c r="C2864" s="3">
        <v>-1.3608402539823801</v>
      </c>
      <c r="D2864" s="3">
        <v>0.188738675117851</v>
      </c>
      <c r="E2864" s="3">
        <v>-7.21018229640881</v>
      </c>
      <c r="F2864" s="4">
        <v>5.5877020608661897E-13</v>
      </c>
      <c r="G2864" s="4">
        <v>1.1473106107944301E-11</v>
      </c>
      <c r="H2864" s="3" t="str">
        <f>"KIAA1958"</f>
        <v>KIAA1958</v>
      </c>
      <c r="I2864" s="3" t="str">
        <f t="shared" ref="I2864:I2875" si="134">"protein_coding"</f>
        <v>protein_coding</v>
      </c>
    </row>
    <row r="2865" spans="1:9" x14ac:dyDescent="0.2">
      <c r="A2865" s="3" t="str">
        <f>"ENSG00000136868.11"</f>
        <v>ENSG00000136868.11</v>
      </c>
      <c r="B2865" s="3">
        <v>2588.9416273567399</v>
      </c>
      <c r="C2865" s="3">
        <v>-1.4168294773769301</v>
      </c>
      <c r="D2865" s="3">
        <v>0.17939747417879601</v>
      </c>
      <c r="E2865" s="3">
        <v>-7.8977114023626598</v>
      </c>
      <c r="F2865" s="4">
        <v>2.8407094424074201E-15</v>
      </c>
      <c r="G2865" s="4">
        <v>7.2882118810993501E-14</v>
      </c>
      <c r="H2865" s="3" t="str">
        <f>"SLC31A1"</f>
        <v>SLC31A1</v>
      </c>
      <c r="I2865" s="3" t="str">
        <f t="shared" si="134"/>
        <v>protein_coding</v>
      </c>
    </row>
    <row r="2866" spans="1:9" x14ac:dyDescent="0.2">
      <c r="A2866" s="3" t="str">
        <f>"ENSG00000148225.16"</f>
        <v>ENSG00000148225.16</v>
      </c>
      <c r="B2866" s="3">
        <v>50.711226242600503</v>
      </c>
      <c r="C2866" s="3">
        <v>1.79767267252893</v>
      </c>
      <c r="D2866" s="3">
        <v>0.51280366218665896</v>
      </c>
      <c r="E2866" s="3">
        <v>3.5055769002573598</v>
      </c>
      <c r="F2866" s="3">
        <v>4.5561886107751401E-4</v>
      </c>
      <c r="G2866" s="3">
        <v>2.20658498183061E-3</v>
      </c>
      <c r="H2866" s="3" t="str">
        <f>"WDR31"</f>
        <v>WDR31</v>
      </c>
      <c r="I2866" s="3" t="str">
        <f t="shared" si="134"/>
        <v>protein_coding</v>
      </c>
    </row>
    <row r="2867" spans="1:9" x14ac:dyDescent="0.2">
      <c r="A2867" s="3" t="str">
        <f>"ENSG00000138835.22"</f>
        <v>ENSG00000138835.22</v>
      </c>
      <c r="B2867" s="3">
        <v>1094.91319631537</v>
      </c>
      <c r="C2867" s="3">
        <v>-1.5215364661651201</v>
      </c>
      <c r="D2867" s="3">
        <v>0.21578876921642701</v>
      </c>
      <c r="E2867" s="3">
        <v>-7.0510456669739101</v>
      </c>
      <c r="F2867" s="4">
        <v>1.775781983434E-12</v>
      </c>
      <c r="G2867" s="4">
        <v>3.4073754720159197E-11</v>
      </c>
      <c r="H2867" s="3" t="str">
        <f>"RGS3"</f>
        <v>RGS3</v>
      </c>
      <c r="I2867" s="3" t="str">
        <f t="shared" si="134"/>
        <v>protein_coding</v>
      </c>
    </row>
    <row r="2868" spans="1:9" x14ac:dyDescent="0.2">
      <c r="A2868" s="3" t="str">
        <f>"ENSG00000157657.14"</f>
        <v>ENSG00000157657.14</v>
      </c>
      <c r="B2868" s="3">
        <v>53.855799451685101</v>
      </c>
      <c r="C2868" s="3">
        <v>1.66474718056677</v>
      </c>
      <c r="D2868" s="3">
        <v>0.49504882866057298</v>
      </c>
      <c r="E2868" s="3">
        <v>3.3627938986766002</v>
      </c>
      <c r="F2868" s="3">
        <v>7.7157945717532905E-4</v>
      </c>
      <c r="G2868" s="3">
        <v>3.52029897348563E-3</v>
      </c>
      <c r="H2868" s="3" t="str">
        <f>"ZNF618"</f>
        <v>ZNF618</v>
      </c>
      <c r="I2868" s="3" t="str">
        <f t="shared" si="134"/>
        <v>protein_coding</v>
      </c>
    </row>
    <row r="2869" spans="1:9" x14ac:dyDescent="0.2">
      <c r="A2869" s="3" t="str">
        <f>"ENSG00000136883.14"</f>
        <v>ENSG00000136883.14</v>
      </c>
      <c r="B2869" s="3">
        <v>137.28727592498601</v>
      </c>
      <c r="C2869" s="3">
        <v>-2.1182247049175902</v>
      </c>
      <c r="D2869" s="3">
        <v>0.34404878892994201</v>
      </c>
      <c r="E2869" s="3">
        <v>-6.1567567539059596</v>
      </c>
      <c r="F2869" s="4">
        <v>7.4249756588313098E-10</v>
      </c>
      <c r="G2869" s="4">
        <v>1.0277964173192199E-8</v>
      </c>
      <c r="H2869" s="3" t="str">
        <f>"KIF12"</f>
        <v>KIF12</v>
      </c>
      <c r="I2869" s="3" t="str">
        <f t="shared" si="134"/>
        <v>protein_coding</v>
      </c>
    </row>
    <row r="2870" spans="1:9" x14ac:dyDescent="0.2">
      <c r="A2870" s="3" t="str">
        <f>"ENSG00000095397.14"</f>
        <v>ENSG00000095397.14</v>
      </c>
      <c r="B2870" s="3">
        <v>1209.0116895747601</v>
      </c>
      <c r="C2870" s="3">
        <v>2.9001610697226399</v>
      </c>
      <c r="D2870" s="3">
        <v>0.21763841908658499</v>
      </c>
      <c r="E2870" s="3">
        <v>13.325593348336399</v>
      </c>
      <c r="F2870" s="4">
        <v>1.6432113334799599E-40</v>
      </c>
      <c r="G2870" s="4">
        <v>2.33190516684002E-38</v>
      </c>
      <c r="H2870" s="3" t="str">
        <f>"WHRN"</f>
        <v>WHRN</v>
      </c>
      <c r="I2870" s="3" t="str">
        <f t="shared" si="134"/>
        <v>protein_coding</v>
      </c>
    </row>
    <row r="2871" spans="1:9" x14ac:dyDescent="0.2">
      <c r="A2871" s="3" t="str">
        <f>"ENSG00000157693.15"</f>
        <v>ENSG00000157693.15</v>
      </c>
      <c r="B2871" s="3">
        <v>308.72275887380499</v>
      </c>
      <c r="C2871" s="3">
        <v>-1.0047669168826701</v>
      </c>
      <c r="D2871" s="3">
        <v>0.26109864719502102</v>
      </c>
      <c r="E2871" s="3">
        <v>-3.8482272033074998</v>
      </c>
      <c r="F2871" s="3">
        <v>1.18975685430742E-4</v>
      </c>
      <c r="G2871" s="3">
        <v>6.7029340494271096E-4</v>
      </c>
      <c r="H2871" s="3" t="str">
        <f>"TMEM268"</f>
        <v>TMEM268</v>
      </c>
      <c r="I2871" s="3" t="str">
        <f t="shared" si="134"/>
        <v>protein_coding</v>
      </c>
    </row>
    <row r="2872" spans="1:9" x14ac:dyDescent="0.2">
      <c r="A2872" s="3" t="str">
        <f>"ENSG00000181634.8"</f>
        <v>ENSG00000181634.8</v>
      </c>
      <c r="B2872" s="3">
        <v>32.2707253968007</v>
      </c>
      <c r="C2872" s="3">
        <v>5.3378829761576796</v>
      </c>
      <c r="D2872" s="3">
        <v>1.0331914061707499</v>
      </c>
      <c r="E2872" s="3">
        <v>5.1664028023046997</v>
      </c>
      <c r="F2872" s="4">
        <v>2.3864221193687101E-7</v>
      </c>
      <c r="G2872" s="4">
        <v>2.2735259960293499E-6</v>
      </c>
      <c r="H2872" s="3" t="str">
        <f>"TNFSF15"</f>
        <v>TNFSF15</v>
      </c>
      <c r="I2872" s="3" t="str">
        <f t="shared" si="134"/>
        <v>protein_coding</v>
      </c>
    </row>
    <row r="2873" spans="1:9" x14ac:dyDescent="0.2">
      <c r="A2873" s="3" t="str">
        <f>"ENSG00000173077.15"</f>
        <v>ENSG00000173077.15</v>
      </c>
      <c r="B2873" s="3">
        <v>10.786425488551901</v>
      </c>
      <c r="C2873" s="3">
        <v>5.3511460884705402</v>
      </c>
      <c r="D2873" s="3">
        <v>1.7279794805683899</v>
      </c>
      <c r="E2873" s="3">
        <v>3.0967648335212701</v>
      </c>
      <c r="F2873" s="3">
        <v>1.95645014521705E-3</v>
      </c>
      <c r="G2873" s="3">
        <v>7.8973921639598401E-3</v>
      </c>
      <c r="H2873" s="3" t="str">
        <f>"DEC1"</f>
        <v>DEC1</v>
      </c>
      <c r="I2873" s="3" t="str">
        <f t="shared" si="134"/>
        <v>protein_coding</v>
      </c>
    </row>
    <row r="2874" spans="1:9" x14ac:dyDescent="0.2">
      <c r="A2874" s="3" t="str">
        <f>"ENSG00000041982.16"</f>
        <v>ENSG00000041982.16</v>
      </c>
      <c r="B2874" s="3">
        <v>18.087488791378401</v>
      </c>
      <c r="C2874" s="3">
        <v>2.1290784614673499</v>
      </c>
      <c r="D2874" s="3">
        <v>0.83572752652098403</v>
      </c>
      <c r="E2874" s="3">
        <v>2.5475748900247499</v>
      </c>
      <c r="F2874" s="3">
        <v>1.08474567375222E-2</v>
      </c>
      <c r="G2874" s="3">
        <v>3.4100815105599397E-2</v>
      </c>
      <c r="H2874" s="3" t="str">
        <f>"TNC"</f>
        <v>TNC</v>
      </c>
      <c r="I2874" s="3" t="str">
        <f t="shared" si="134"/>
        <v>protein_coding</v>
      </c>
    </row>
    <row r="2875" spans="1:9" x14ac:dyDescent="0.2">
      <c r="A2875" s="3" t="str">
        <f>"ENSG00000182752.10"</f>
        <v>ENSG00000182752.10</v>
      </c>
      <c r="B2875" s="3">
        <v>79.8651773416982</v>
      </c>
      <c r="C2875" s="3">
        <v>2.7944650734353398</v>
      </c>
      <c r="D2875" s="3">
        <v>0.443711313109179</v>
      </c>
      <c r="E2875" s="3">
        <v>6.2979351458359902</v>
      </c>
      <c r="F2875" s="4">
        <v>3.0163665587871499E-10</v>
      </c>
      <c r="G2875" s="4">
        <v>4.3763013646045502E-9</v>
      </c>
      <c r="H2875" s="3" t="str">
        <f>"PAPPA"</f>
        <v>PAPPA</v>
      </c>
      <c r="I2875" s="3" t="str">
        <f t="shared" si="134"/>
        <v>protein_coding</v>
      </c>
    </row>
    <row r="2876" spans="1:9" x14ac:dyDescent="0.2">
      <c r="A2876" s="3" t="str">
        <f>"ENSG00000256040.2"</f>
        <v>ENSG00000256040.2</v>
      </c>
      <c r="B2876" s="3">
        <v>194.29596421122801</v>
      </c>
      <c r="C2876" s="3">
        <v>2.5328340823789199</v>
      </c>
      <c r="D2876" s="3">
        <v>0.35205604391726603</v>
      </c>
      <c r="E2876" s="3">
        <v>7.1944059082085996</v>
      </c>
      <c r="F2876" s="4">
        <v>6.27333102616231E-13</v>
      </c>
      <c r="G2876" s="4">
        <v>1.2755929139540601E-11</v>
      </c>
      <c r="H2876" s="3" t="str">
        <f>"PAPPA-AS1"</f>
        <v>PAPPA-AS1</v>
      </c>
      <c r="I2876" s="3" t="str">
        <f>"antisense"</f>
        <v>antisense</v>
      </c>
    </row>
    <row r="2877" spans="1:9" x14ac:dyDescent="0.2">
      <c r="A2877" s="3" t="str">
        <f>"ENSG00000148219.16"</f>
        <v>ENSG00000148219.16</v>
      </c>
      <c r="B2877" s="3">
        <v>1480.60208085866</v>
      </c>
      <c r="C2877" s="3">
        <v>2.36317063332609</v>
      </c>
      <c r="D2877" s="3">
        <v>0.202907284716211</v>
      </c>
      <c r="E2877" s="3">
        <v>11.6465539255096</v>
      </c>
      <c r="F2877" s="4">
        <v>2.3892651956660501E-31</v>
      </c>
      <c r="G2877" s="4">
        <v>2.0601363539972399E-29</v>
      </c>
      <c r="H2877" s="3" t="str">
        <f>"ASTN2"</f>
        <v>ASTN2</v>
      </c>
      <c r="I2877" s="3" t="str">
        <f>"protein_coding"</f>
        <v>protein_coding</v>
      </c>
    </row>
    <row r="2878" spans="1:9" x14ac:dyDescent="0.2">
      <c r="A2878" s="3" t="str">
        <f>"ENSG00000285820.1"</f>
        <v>ENSG00000285820.1</v>
      </c>
      <c r="B2878" s="3">
        <v>103.459730472041</v>
      </c>
      <c r="C2878" s="3">
        <v>10.088721071592699</v>
      </c>
      <c r="D2878" s="3">
        <v>1.48604388859315</v>
      </c>
      <c r="E2878" s="3">
        <v>6.7889792145666696</v>
      </c>
      <c r="F2878" s="4">
        <v>1.1292970840408101E-11</v>
      </c>
      <c r="G2878" s="4">
        <v>1.9838786362901201E-10</v>
      </c>
      <c r="H2878" s="3" t="str">
        <f>"AL157829.1"</f>
        <v>AL157829.1</v>
      </c>
      <c r="I2878" s="3" t="str">
        <f>"antisense"</f>
        <v>antisense</v>
      </c>
    </row>
    <row r="2879" spans="1:9" x14ac:dyDescent="0.2">
      <c r="A2879" s="3" t="str">
        <f>"ENSG00000136869.15"</f>
        <v>ENSG00000136869.15</v>
      </c>
      <c r="B2879" s="3">
        <v>16.158182808119399</v>
      </c>
      <c r="C2879" s="3">
        <v>2.9834952734036202</v>
      </c>
      <c r="D2879" s="3">
        <v>0.96579053313461705</v>
      </c>
      <c r="E2879" s="3">
        <v>3.0891742785262499</v>
      </c>
      <c r="F2879" s="3">
        <v>2.0071366078107302E-3</v>
      </c>
      <c r="G2879" s="3">
        <v>8.0804449103160404E-3</v>
      </c>
      <c r="H2879" s="3" t="str">
        <f>"TLR4"</f>
        <v>TLR4</v>
      </c>
      <c r="I2879" s="3" t="str">
        <f t="shared" ref="I2879:I2885" si="135">"protein_coding"</f>
        <v>protein_coding</v>
      </c>
    </row>
    <row r="2880" spans="1:9" x14ac:dyDescent="0.2">
      <c r="A2880" s="3" t="str">
        <f>"ENSG00000119402.17"</f>
        <v>ENSG00000119402.17</v>
      </c>
      <c r="B2880" s="3">
        <v>5811.3115953106499</v>
      </c>
      <c r="C2880" s="3">
        <v>1.1448153391120599</v>
      </c>
      <c r="D2880" s="3">
        <v>0.17602419020726501</v>
      </c>
      <c r="E2880" s="3">
        <v>6.50373870639062</v>
      </c>
      <c r="F2880" s="4">
        <v>7.83479379418832E-11</v>
      </c>
      <c r="G2880" s="4">
        <v>1.2396900494207301E-9</v>
      </c>
      <c r="H2880" s="3" t="str">
        <f>"FBXW2"</f>
        <v>FBXW2</v>
      </c>
      <c r="I2880" s="3" t="str">
        <f t="shared" si="135"/>
        <v>protein_coding</v>
      </c>
    </row>
    <row r="2881" spans="1:9" x14ac:dyDescent="0.2">
      <c r="A2881" s="3" t="str">
        <f>"ENSG00000214654.8"</f>
        <v>ENSG00000214654.8</v>
      </c>
      <c r="B2881" s="3">
        <v>107.404234654154</v>
      </c>
      <c r="C2881" s="3">
        <v>1.0425498991866899</v>
      </c>
      <c r="D2881" s="3">
        <v>0.367871646202094</v>
      </c>
      <c r="E2881" s="3">
        <v>2.8340044957255399</v>
      </c>
      <c r="F2881" s="3">
        <v>4.5968685291247697E-3</v>
      </c>
      <c r="G2881" s="3">
        <v>1.65173251764556E-2</v>
      </c>
      <c r="H2881" s="3" t="str">
        <f>"B3GNT10"</f>
        <v>B3GNT10</v>
      </c>
      <c r="I2881" s="3" t="str">
        <f t="shared" si="135"/>
        <v>protein_coding</v>
      </c>
    </row>
    <row r="2882" spans="1:9" x14ac:dyDescent="0.2">
      <c r="A2882" s="3" t="str">
        <f>"ENSG00000119403.15"</f>
        <v>ENSG00000119403.15</v>
      </c>
      <c r="B2882" s="3">
        <v>1507.28512137389</v>
      </c>
      <c r="C2882" s="3">
        <v>-1.3999152010453899</v>
      </c>
      <c r="D2882" s="3">
        <v>0.24005142608628099</v>
      </c>
      <c r="E2882" s="3">
        <v>-5.8317304082260204</v>
      </c>
      <c r="F2882" s="4">
        <v>5.4855497397149296E-9</v>
      </c>
      <c r="G2882" s="4">
        <v>6.7569970053351097E-8</v>
      </c>
      <c r="H2882" s="3" t="str">
        <f>"PHF19"</f>
        <v>PHF19</v>
      </c>
      <c r="I2882" s="3" t="str">
        <f t="shared" si="135"/>
        <v>protein_coding</v>
      </c>
    </row>
    <row r="2883" spans="1:9" x14ac:dyDescent="0.2">
      <c r="A2883" s="3" t="str">
        <f>"ENSG00000106852.15"</f>
        <v>ENSG00000106852.15</v>
      </c>
      <c r="B2883" s="3">
        <v>97.940035608616398</v>
      </c>
      <c r="C2883" s="3">
        <v>1.9016789905712601</v>
      </c>
      <c r="D2883" s="3">
        <v>0.38613687959083698</v>
      </c>
      <c r="E2883" s="3">
        <v>4.9248830947884201</v>
      </c>
      <c r="F2883" s="4">
        <v>8.4410803744709102E-7</v>
      </c>
      <c r="G2883" s="4">
        <v>7.3386763549205098E-6</v>
      </c>
      <c r="H2883" s="3" t="str">
        <f>"LHX6"</f>
        <v>LHX6</v>
      </c>
      <c r="I2883" s="3" t="str">
        <f t="shared" si="135"/>
        <v>protein_coding</v>
      </c>
    </row>
    <row r="2884" spans="1:9" x14ac:dyDescent="0.2">
      <c r="A2884" s="3" t="str">
        <f>"ENSG00000119446.14"</f>
        <v>ENSG00000119446.14</v>
      </c>
      <c r="B2884" s="3">
        <v>977.07789512265504</v>
      </c>
      <c r="C2884" s="3">
        <v>1.2065043441434999</v>
      </c>
      <c r="D2884" s="3">
        <v>0.21318922886560401</v>
      </c>
      <c r="E2884" s="3">
        <v>5.6593119200411603</v>
      </c>
      <c r="F2884" s="4">
        <v>1.5198110587997299E-8</v>
      </c>
      <c r="G2884" s="4">
        <v>1.76289024772739E-7</v>
      </c>
      <c r="H2884" s="3" t="str">
        <f>"RBM18"</f>
        <v>RBM18</v>
      </c>
      <c r="I2884" s="3" t="str">
        <f t="shared" si="135"/>
        <v>protein_coding</v>
      </c>
    </row>
    <row r="2885" spans="1:9" x14ac:dyDescent="0.2">
      <c r="A2885" s="3" t="str">
        <f>"ENSG00000095303.16"</f>
        <v>ENSG00000095303.16</v>
      </c>
      <c r="B2885" s="3">
        <v>7.8600325616414999</v>
      </c>
      <c r="C2885" s="3">
        <v>4.8760650684475904</v>
      </c>
      <c r="D2885" s="3">
        <v>1.81654748986116</v>
      </c>
      <c r="E2885" s="3">
        <v>2.68424860658076</v>
      </c>
      <c r="F2885" s="3">
        <v>7.2693029542421498E-3</v>
      </c>
      <c r="G2885" s="3">
        <v>2.43274682339591E-2</v>
      </c>
      <c r="H2885" s="3" t="str">
        <f>"PTGS1"</f>
        <v>PTGS1</v>
      </c>
      <c r="I2885" s="3" t="str">
        <f t="shared" si="135"/>
        <v>protein_coding</v>
      </c>
    </row>
    <row r="2886" spans="1:9" x14ac:dyDescent="0.2">
      <c r="A2886" s="3" t="str">
        <f>"ENSG00000234156.2"</f>
        <v>ENSG00000234156.2</v>
      </c>
      <c r="B2886" s="3">
        <v>11.7013954798391</v>
      </c>
      <c r="C2886" s="3">
        <v>5.46909548415349</v>
      </c>
      <c r="D2886" s="3">
        <v>1.7217742325948999</v>
      </c>
      <c r="E2886" s="3">
        <v>3.17643009206322</v>
      </c>
      <c r="F2886" s="3">
        <v>1.4909972027692001E-3</v>
      </c>
      <c r="G2886" s="3">
        <v>6.2509925809897601E-3</v>
      </c>
      <c r="H2886" s="3" t="str">
        <f>"AL359636.2"</f>
        <v>AL359636.2</v>
      </c>
      <c r="I2886" s="3" t="str">
        <f>"antisense"</f>
        <v>antisense</v>
      </c>
    </row>
    <row r="2887" spans="1:9" x14ac:dyDescent="0.2">
      <c r="A2887" s="3" t="str">
        <f>"ENSG00000119522.16"</f>
        <v>ENSG00000119522.16</v>
      </c>
      <c r="B2887" s="3">
        <v>1978.9178791818699</v>
      </c>
      <c r="C2887" s="3">
        <v>-1.0146257640252401</v>
      </c>
      <c r="D2887" s="3">
        <v>0.18231691246135501</v>
      </c>
      <c r="E2887" s="3">
        <v>-5.5651763203279696</v>
      </c>
      <c r="F2887" s="4">
        <v>2.6188747036300301E-8</v>
      </c>
      <c r="G2887" s="4">
        <v>2.9413223021355103E-7</v>
      </c>
      <c r="H2887" s="3" t="str">
        <f>"DENND1A"</f>
        <v>DENND1A</v>
      </c>
      <c r="I2887" s="3" t="str">
        <f>"protein_coding"</f>
        <v>protein_coding</v>
      </c>
    </row>
    <row r="2888" spans="1:9" x14ac:dyDescent="0.2">
      <c r="A2888" s="3" t="str">
        <f>"ENSG00000119408.16"</f>
        <v>ENSG00000119408.16</v>
      </c>
      <c r="B2888" s="3">
        <v>2578.6467742498698</v>
      </c>
      <c r="C2888" s="3">
        <v>-1.8492702306261399</v>
      </c>
      <c r="D2888" s="3">
        <v>0.200411636044418</v>
      </c>
      <c r="E2888" s="3">
        <v>-9.2273595841325307</v>
      </c>
      <c r="F2888" s="4">
        <v>2.7738513174220698E-20</v>
      </c>
      <c r="G2888" s="4">
        <v>1.10657579569252E-18</v>
      </c>
      <c r="H2888" s="3" t="str">
        <f>"NEK6"</f>
        <v>NEK6</v>
      </c>
      <c r="I2888" s="3" t="str">
        <f>"protein_coding"</f>
        <v>protein_coding</v>
      </c>
    </row>
    <row r="2889" spans="1:9" x14ac:dyDescent="0.2">
      <c r="A2889" s="3" t="str">
        <f>"ENSG00000227200.1"</f>
        <v>ENSG00000227200.1</v>
      </c>
      <c r="B2889" s="3">
        <v>49.5452583922877</v>
      </c>
      <c r="C2889" s="3">
        <v>-2.0871350679224601</v>
      </c>
      <c r="D2889" s="3">
        <v>0.54267539877212101</v>
      </c>
      <c r="E2889" s="3">
        <v>-3.84601010593975</v>
      </c>
      <c r="F2889" s="3">
        <v>1.20056813094822E-4</v>
      </c>
      <c r="G2889" s="3">
        <v>6.7558611862755498E-4</v>
      </c>
      <c r="H2889" s="3" t="str">
        <f>"AL162724.1"</f>
        <v>AL162724.1</v>
      </c>
      <c r="I2889" s="3" t="str">
        <f>"sense_intronic"</f>
        <v>sense_intronic</v>
      </c>
    </row>
    <row r="2890" spans="1:9" x14ac:dyDescent="0.2">
      <c r="A2890" s="3" t="str">
        <f>"ENSG00000136931.10"</f>
        <v>ENSG00000136931.10</v>
      </c>
      <c r="B2890" s="3">
        <v>6416.5620450568904</v>
      </c>
      <c r="C2890" s="3">
        <v>2.0396185842830699</v>
      </c>
      <c r="D2890" s="3">
        <v>0.20072482472227801</v>
      </c>
      <c r="E2890" s="3">
        <v>10.1612672329149</v>
      </c>
      <c r="F2890" s="4">
        <v>2.95214119779151E-24</v>
      </c>
      <c r="G2890" s="4">
        <v>1.5498456881739001E-22</v>
      </c>
      <c r="H2890" s="3" t="str">
        <f>"NR5A1"</f>
        <v>NR5A1</v>
      </c>
      <c r="I2890" s="3" t="str">
        <f>"protein_coding"</f>
        <v>protein_coding</v>
      </c>
    </row>
    <row r="2891" spans="1:9" x14ac:dyDescent="0.2">
      <c r="A2891" s="3" t="str">
        <f>"ENSG00000148200.17"</f>
        <v>ENSG00000148200.17</v>
      </c>
      <c r="B2891" s="3">
        <v>4019.04515596794</v>
      </c>
      <c r="C2891" s="3">
        <v>-1.2024292934752601</v>
      </c>
      <c r="D2891" s="3">
        <v>0.17464264252213901</v>
      </c>
      <c r="E2891" s="3">
        <v>-6.8850841702239904</v>
      </c>
      <c r="F2891" s="4">
        <v>5.7753376907361799E-12</v>
      </c>
      <c r="G2891" s="4">
        <v>1.04350547784807E-10</v>
      </c>
      <c r="H2891" s="3" t="str">
        <f>"NR6A1"</f>
        <v>NR6A1</v>
      </c>
      <c r="I2891" s="3" t="str">
        <f>"protein_coding"</f>
        <v>protein_coding</v>
      </c>
    </row>
    <row r="2892" spans="1:9" x14ac:dyDescent="0.2">
      <c r="A2892" s="3" t="str">
        <f>"ENSG00000224020.1"</f>
        <v>ENSG00000224020.1</v>
      </c>
      <c r="B2892" s="3">
        <v>9.2160826592279594</v>
      </c>
      <c r="C2892" s="3">
        <v>2.9839735300521002</v>
      </c>
      <c r="D2892" s="3">
        <v>1.2396239425647999</v>
      </c>
      <c r="E2892" s="3">
        <v>2.4071602907880401</v>
      </c>
      <c r="F2892" s="3">
        <v>1.6077111728952299E-2</v>
      </c>
      <c r="G2892" s="3">
        <v>4.7168414264968601E-2</v>
      </c>
      <c r="H2892" s="3" t="str">
        <f>"MIR181A2HG"</f>
        <v>MIR181A2HG</v>
      </c>
      <c r="I2892" s="3" t="str">
        <f>"antisense"</f>
        <v>antisense</v>
      </c>
    </row>
    <row r="2893" spans="1:9" x14ac:dyDescent="0.2">
      <c r="A2893" s="3" t="str">
        <f>"ENSG00000185585.20"</f>
        <v>ENSG00000185585.20</v>
      </c>
      <c r="B2893" s="3">
        <v>108.47214455124001</v>
      </c>
      <c r="C2893" s="3">
        <v>2.8858324154999102</v>
      </c>
      <c r="D2893" s="3">
        <v>0.39700388650007901</v>
      </c>
      <c r="E2893" s="3">
        <v>7.2690281219686197</v>
      </c>
      <c r="F2893" s="4">
        <v>3.6208302610205301E-13</v>
      </c>
      <c r="G2893" s="4">
        <v>7.5831485105323805E-12</v>
      </c>
      <c r="H2893" s="3" t="str">
        <f>"OLFML2A"</f>
        <v>OLFML2A</v>
      </c>
      <c r="I2893" s="3" t="str">
        <f t="shared" ref="I2893:I2898" si="136">"protein_coding"</f>
        <v>protein_coding</v>
      </c>
    </row>
    <row r="2894" spans="1:9" x14ac:dyDescent="0.2">
      <c r="A2894" s="3" t="str">
        <f>"ENSG00000136935.13"</f>
        <v>ENSG00000136935.13</v>
      </c>
      <c r="B2894" s="3">
        <v>1857.00592125976</v>
      </c>
      <c r="C2894" s="3">
        <v>1.4470328917127799</v>
      </c>
      <c r="D2894" s="3">
        <v>0.18337813134950501</v>
      </c>
      <c r="E2894" s="3">
        <v>7.8909784992565504</v>
      </c>
      <c r="F2894" s="4">
        <v>2.9982631154138401E-15</v>
      </c>
      <c r="G2894" s="4">
        <v>7.6707676155568896E-14</v>
      </c>
      <c r="H2894" s="3" t="str">
        <f>"GOLGA1"</f>
        <v>GOLGA1</v>
      </c>
      <c r="I2894" s="3" t="str">
        <f t="shared" si="136"/>
        <v>protein_coding</v>
      </c>
    </row>
    <row r="2895" spans="1:9" x14ac:dyDescent="0.2">
      <c r="A2895" s="3" t="str">
        <f>"ENSG00000136933.16"</f>
        <v>ENSG00000136933.16</v>
      </c>
      <c r="B2895" s="3">
        <v>953.777107229992</v>
      </c>
      <c r="C2895" s="3">
        <v>-2.0548620118088001</v>
      </c>
      <c r="D2895" s="3">
        <v>0.22284388553196799</v>
      </c>
      <c r="E2895" s="3">
        <v>-9.2210832121486295</v>
      </c>
      <c r="F2895" s="4">
        <v>2.9411382375358102E-20</v>
      </c>
      <c r="G2895" s="4">
        <v>1.1647847900892201E-18</v>
      </c>
      <c r="H2895" s="3" t="str">
        <f>"RABEPK"</f>
        <v>RABEPK</v>
      </c>
      <c r="I2895" s="3" t="str">
        <f t="shared" si="136"/>
        <v>protein_coding</v>
      </c>
    </row>
    <row r="2896" spans="1:9" x14ac:dyDescent="0.2">
      <c r="A2896" s="3" t="str">
        <f>"ENSG00000044574.8"</f>
        <v>ENSG00000044574.8</v>
      </c>
      <c r="B2896" s="3">
        <v>26461.408050004899</v>
      </c>
      <c r="C2896" s="3">
        <v>-1.3382937421296</v>
      </c>
      <c r="D2896" s="3">
        <v>0.170410486633988</v>
      </c>
      <c r="E2896" s="3">
        <v>-7.8533532094419503</v>
      </c>
      <c r="F2896" s="4">
        <v>4.05058828334981E-15</v>
      </c>
      <c r="G2896" s="4">
        <v>1.02285800701049E-13</v>
      </c>
      <c r="H2896" s="3" t="str">
        <f>"HSPA5"</f>
        <v>HSPA5</v>
      </c>
      <c r="I2896" s="3" t="str">
        <f t="shared" si="136"/>
        <v>protein_coding</v>
      </c>
    </row>
    <row r="2897" spans="1:9" x14ac:dyDescent="0.2">
      <c r="A2897" s="3" t="str">
        <f>"ENSG00000136859.10"</f>
        <v>ENSG00000136859.10</v>
      </c>
      <c r="B2897" s="3">
        <v>661.298464854592</v>
      </c>
      <c r="C2897" s="3">
        <v>2.1664731991662101</v>
      </c>
      <c r="D2897" s="3">
        <v>0.22499919848722</v>
      </c>
      <c r="E2897" s="3">
        <v>9.6288040745588095</v>
      </c>
      <c r="F2897" s="4">
        <v>6.0428652979244602E-22</v>
      </c>
      <c r="G2897" s="4">
        <v>2.72148678962889E-20</v>
      </c>
      <c r="H2897" s="3" t="str">
        <f>"ANGPTL2"</f>
        <v>ANGPTL2</v>
      </c>
      <c r="I2897" s="3" t="str">
        <f t="shared" si="136"/>
        <v>protein_coding</v>
      </c>
    </row>
    <row r="2898" spans="1:9" x14ac:dyDescent="0.2">
      <c r="A2898" s="3" t="str">
        <f>"ENSG00000196152.10"</f>
        <v>ENSG00000196152.10</v>
      </c>
      <c r="B2898" s="3">
        <v>842.24180087467005</v>
      </c>
      <c r="C2898" s="3">
        <v>1.94728261952495</v>
      </c>
      <c r="D2898" s="3">
        <v>0.210378328530611</v>
      </c>
      <c r="E2898" s="3">
        <v>9.2560989201015005</v>
      </c>
      <c r="F2898" s="4">
        <v>2.1203787138047401E-20</v>
      </c>
      <c r="G2898" s="4">
        <v>8.5212328635748804E-19</v>
      </c>
      <c r="H2898" s="3" t="str">
        <f>"ZNF79"</f>
        <v>ZNF79</v>
      </c>
      <c r="I2898" s="3" t="str">
        <f t="shared" si="136"/>
        <v>protein_coding</v>
      </c>
    </row>
    <row r="2899" spans="1:9" x14ac:dyDescent="0.2">
      <c r="A2899" s="3" t="str">
        <f>"ENSG00000201302.1"</f>
        <v>ENSG00000201302.1</v>
      </c>
      <c r="B2899" s="3">
        <v>48.972794880868499</v>
      </c>
      <c r="C2899" s="3">
        <v>-1.5624169710045299</v>
      </c>
      <c r="D2899" s="3">
        <v>0.51285863353625205</v>
      </c>
      <c r="E2899" s="3">
        <v>-3.0464866316696</v>
      </c>
      <c r="F2899" s="3">
        <v>2.3153277469057502E-3</v>
      </c>
      <c r="G2899" s="3">
        <v>9.1322720208368395E-3</v>
      </c>
      <c r="H2899" s="3" t="str">
        <f>"SNORA65"</f>
        <v>SNORA65</v>
      </c>
      <c r="I2899" s="3" t="str">
        <f>"snoRNA"</f>
        <v>snoRNA</v>
      </c>
    </row>
    <row r="2900" spans="1:9" x14ac:dyDescent="0.2">
      <c r="A2900" s="3" t="str">
        <f>"ENSG00000136877.14"</f>
        <v>ENSG00000136877.14</v>
      </c>
      <c r="B2900" s="3">
        <v>1193.7964550215199</v>
      </c>
      <c r="C2900" s="3">
        <v>-1.2725244532986</v>
      </c>
      <c r="D2900" s="3">
        <v>0.212750983322473</v>
      </c>
      <c r="E2900" s="3">
        <v>-5.9812858837404104</v>
      </c>
      <c r="F2900" s="4">
        <v>2.21382928875882E-9</v>
      </c>
      <c r="G2900" s="4">
        <v>2.8601330787487701E-8</v>
      </c>
      <c r="H2900" s="3" t="str">
        <f>"FPGS"</f>
        <v>FPGS</v>
      </c>
      <c r="I2900" s="3" t="str">
        <f>"protein_coding"</f>
        <v>protein_coding</v>
      </c>
    </row>
    <row r="2901" spans="1:9" x14ac:dyDescent="0.2">
      <c r="A2901" s="3" t="str">
        <f>"ENSG00000106991.13"</f>
        <v>ENSG00000106991.13</v>
      </c>
      <c r="B2901" s="3">
        <v>141.33806706373801</v>
      </c>
      <c r="C2901" s="3">
        <v>2.5706561090309701</v>
      </c>
      <c r="D2901" s="3">
        <v>0.34919677795769899</v>
      </c>
      <c r="E2901" s="3">
        <v>7.3616260839106999</v>
      </c>
      <c r="F2901" s="4">
        <v>1.8168329442697801E-13</v>
      </c>
      <c r="G2901" s="4">
        <v>3.9476273710142499E-12</v>
      </c>
      <c r="H2901" s="3" t="str">
        <f>"ENG"</f>
        <v>ENG</v>
      </c>
      <c r="I2901" s="3" t="str">
        <f>"protein_coding"</f>
        <v>protein_coding</v>
      </c>
    </row>
    <row r="2902" spans="1:9" x14ac:dyDescent="0.2">
      <c r="A2902" s="3" t="str">
        <f>"ENSG00000106992.19"</f>
        <v>ENSG00000106992.19</v>
      </c>
      <c r="B2902" s="3">
        <v>338.05654854579598</v>
      </c>
      <c r="C2902" s="3">
        <v>3.07459795589955</v>
      </c>
      <c r="D2902" s="3">
        <v>0.273319986549177</v>
      </c>
      <c r="E2902" s="3">
        <v>11.2490783960519</v>
      </c>
      <c r="F2902" s="4">
        <v>2.34024491640477E-29</v>
      </c>
      <c r="G2902" s="4">
        <v>1.73745649147904E-27</v>
      </c>
      <c r="H2902" s="3" t="str">
        <f>"AK1"</f>
        <v>AK1</v>
      </c>
      <c r="I2902" s="3" t="str">
        <f>"protein_coding"</f>
        <v>protein_coding</v>
      </c>
    </row>
    <row r="2903" spans="1:9" x14ac:dyDescent="0.2">
      <c r="A2903" s="3" t="str">
        <f>"ENSG00000263979.1"</f>
        <v>ENSG00000263979.1</v>
      </c>
      <c r="B2903" s="3">
        <v>5.9457177380145003</v>
      </c>
      <c r="C2903" s="3">
        <v>5.9678110559896602</v>
      </c>
      <c r="D2903" s="3">
        <v>1.9490680149737301</v>
      </c>
      <c r="E2903" s="3">
        <v>3.0618793239342601</v>
      </c>
      <c r="F2903" s="3">
        <v>2.1995210751093899E-3</v>
      </c>
      <c r="G2903" s="3">
        <v>8.7349294175055308E-3</v>
      </c>
      <c r="H2903" s="3" t="str">
        <f>"MIR4672"</f>
        <v>MIR4672</v>
      </c>
      <c r="I2903" s="3" t="str">
        <f>"miRNA"</f>
        <v>miRNA</v>
      </c>
    </row>
    <row r="2904" spans="1:9" x14ac:dyDescent="0.2">
      <c r="A2904" s="3" t="str">
        <f>"ENSG00000136840.19"</f>
        <v>ENSG00000136840.19</v>
      </c>
      <c r="B2904" s="3">
        <v>652.42257514067103</v>
      </c>
      <c r="C2904" s="3">
        <v>-1.00021443412787</v>
      </c>
      <c r="D2904" s="3">
        <v>0.25498958242206798</v>
      </c>
      <c r="E2904" s="3">
        <v>-3.9225697953114</v>
      </c>
      <c r="F2904" s="4">
        <v>8.7609502475247602E-5</v>
      </c>
      <c r="G2904" s="3">
        <v>5.0908426401003902E-4</v>
      </c>
      <c r="H2904" s="3" t="str">
        <f>"ST6GALNAC4"</f>
        <v>ST6GALNAC4</v>
      </c>
      <c r="I2904" s="3" t="str">
        <f>"protein_coding"</f>
        <v>protein_coding</v>
      </c>
    </row>
    <row r="2905" spans="1:9" x14ac:dyDescent="0.2">
      <c r="A2905" s="3" t="str">
        <f>"ENSG00000234771.3"</f>
        <v>ENSG00000234771.3</v>
      </c>
      <c r="B2905" s="3">
        <v>342.54961137212302</v>
      </c>
      <c r="C2905" s="3">
        <v>-1.20330826988471</v>
      </c>
      <c r="D2905" s="3">
        <v>0.25623161192661298</v>
      </c>
      <c r="E2905" s="3">
        <v>-4.6961741404075603</v>
      </c>
      <c r="F2905" s="4">
        <v>2.65079575041502E-6</v>
      </c>
      <c r="G2905" s="4">
        <v>2.1014324065044499E-5</v>
      </c>
      <c r="H2905" s="3" t="str">
        <f>"SLC25A25-AS1"</f>
        <v>SLC25A25-AS1</v>
      </c>
      <c r="I2905" s="3" t="str">
        <f>"antisense"</f>
        <v>antisense</v>
      </c>
    </row>
    <row r="2906" spans="1:9" x14ac:dyDescent="0.2">
      <c r="A2906" s="3" t="str">
        <f>"ENSG00000148337.21"</f>
        <v>ENSG00000148337.21</v>
      </c>
      <c r="B2906" s="3">
        <v>2176.4403417970502</v>
      </c>
      <c r="C2906" s="3">
        <v>-1.1935840051323101</v>
      </c>
      <c r="D2906" s="3">
        <v>0.20077891598653499</v>
      </c>
      <c r="E2906" s="3">
        <v>-5.9447676528563003</v>
      </c>
      <c r="F2906" s="4">
        <v>2.7684926306695702E-9</v>
      </c>
      <c r="G2906" s="4">
        <v>3.5431244108902702E-8</v>
      </c>
      <c r="H2906" s="3" t="str">
        <f>"CIZ1"</f>
        <v>CIZ1</v>
      </c>
      <c r="I2906" s="3" t="str">
        <f t="shared" ref="I2906:I2914" si="137">"protein_coding"</f>
        <v>protein_coding</v>
      </c>
    </row>
    <row r="2907" spans="1:9" x14ac:dyDescent="0.2">
      <c r="A2907" s="3" t="str">
        <f>"ENSG00000167114.13"</f>
        <v>ENSG00000167114.13</v>
      </c>
      <c r="B2907" s="3">
        <v>839.80293466734099</v>
      </c>
      <c r="C2907" s="3">
        <v>-1.17602991841509</v>
      </c>
      <c r="D2907" s="3">
        <v>0.220882323694578</v>
      </c>
      <c r="E2907" s="3">
        <v>-5.3242373529229496</v>
      </c>
      <c r="F2907" s="4">
        <v>1.01377463680099E-7</v>
      </c>
      <c r="G2907" s="4">
        <v>1.0283811440400801E-6</v>
      </c>
      <c r="H2907" s="3" t="str">
        <f>"SLC27A4"</f>
        <v>SLC27A4</v>
      </c>
      <c r="I2907" s="3" t="str">
        <f t="shared" si="137"/>
        <v>protein_coding</v>
      </c>
    </row>
    <row r="2908" spans="1:9" x14ac:dyDescent="0.2">
      <c r="A2908" s="3" t="str">
        <f>"ENSG00000160447.7"</f>
        <v>ENSG00000160447.7</v>
      </c>
      <c r="B2908" s="3">
        <v>1023.28807098312</v>
      </c>
      <c r="C2908" s="3">
        <v>-1.53219630822599</v>
      </c>
      <c r="D2908" s="3">
        <v>0.209805225429301</v>
      </c>
      <c r="E2908" s="3">
        <v>-7.3029463641375996</v>
      </c>
      <c r="F2908" s="4">
        <v>2.8153343397985801E-13</v>
      </c>
      <c r="G2908" s="4">
        <v>5.97425348570809E-12</v>
      </c>
      <c r="H2908" s="3" t="str">
        <f>"PKN3"</f>
        <v>PKN3</v>
      </c>
      <c r="I2908" s="3" t="str">
        <f t="shared" si="137"/>
        <v>protein_coding</v>
      </c>
    </row>
    <row r="2909" spans="1:9" x14ac:dyDescent="0.2">
      <c r="A2909" s="3" t="str">
        <f>"ENSG00000160445.11"</f>
        <v>ENSG00000160445.11</v>
      </c>
      <c r="B2909" s="3">
        <v>1106.10045476352</v>
      </c>
      <c r="C2909" s="3">
        <v>1.14573069994567</v>
      </c>
      <c r="D2909" s="3">
        <v>0.2111809623683</v>
      </c>
      <c r="E2909" s="3">
        <v>5.4253503113955697</v>
      </c>
      <c r="F2909" s="4">
        <v>5.7840985971336197E-8</v>
      </c>
      <c r="G2909" s="4">
        <v>6.1203625039262002E-7</v>
      </c>
      <c r="H2909" s="3" t="str">
        <f>"ZER1"</f>
        <v>ZER1</v>
      </c>
      <c r="I2909" s="3" t="str">
        <f t="shared" si="137"/>
        <v>protein_coding</v>
      </c>
    </row>
    <row r="2910" spans="1:9" x14ac:dyDescent="0.2">
      <c r="A2910" s="3" t="str">
        <f>"ENSG00000167136.7"</f>
        <v>ENSG00000167136.7</v>
      </c>
      <c r="B2910" s="3">
        <v>380.12844032065698</v>
      </c>
      <c r="C2910" s="3">
        <v>-1.96498900741704</v>
      </c>
      <c r="D2910" s="3">
        <v>0.25698424560616601</v>
      </c>
      <c r="E2910" s="3">
        <v>-7.6463403535967398</v>
      </c>
      <c r="F2910" s="4">
        <v>2.06779904922171E-14</v>
      </c>
      <c r="G2910" s="4">
        <v>4.8570104046675701E-13</v>
      </c>
      <c r="H2910" s="3" t="str">
        <f>"ENDOG"</f>
        <v>ENDOG</v>
      </c>
      <c r="I2910" s="3" t="str">
        <f t="shared" si="137"/>
        <v>protein_coding</v>
      </c>
    </row>
    <row r="2911" spans="1:9" x14ac:dyDescent="0.2">
      <c r="A2911" s="3" t="str">
        <f>"ENSG00000095319.14"</f>
        <v>ENSG00000095319.14</v>
      </c>
      <c r="B2911" s="3">
        <v>4500.5801973994703</v>
      </c>
      <c r="C2911" s="3">
        <v>-1.10111176409096</v>
      </c>
      <c r="D2911" s="3">
        <v>0.19197744101981401</v>
      </c>
      <c r="E2911" s="3">
        <v>-5.7356310108192003</v>
      </c>
      <c r="F2911" s="4">
        <v>9.71499615926538E-9</v>
      </c>
      <c r="G2911" s="4">
        <v>1.15440253097036E-7</v>
      </c>
      <c r="H2911" s="3" t="str">
        <f>"NUP188"</f>
        <v>NUP188</v>
      </c>
      <c r="I2911" s="3" t="str">
        <f t="shared" si="137"/>
        <v>protein_coding</v>
      </c>
    </row>
    <row r="2912" spans="1:9" x14ac:dyDescent="0.2">
      <c r="A2912" s="3" t="str">
        <f>"ENSG00000167130.18"</f>
        <v>ENSG00000167130.18</v>
      </c>
      <c r="B2912" s="3">
        <v>1238.87477142134</v>
      </c>
      <c r="C2912" s="3">
        <v>-1.07136800218506</v>
      </c>
      <c r="D2912" s="3">
        <v>0.22805860673811301</v>
      </c>
      <c r="E2912" s="3">
        <v>-4.69777491631939</v>
      </c>
      <c r="F2912" s="4">
        <v>2.6301104142667301E-6</v>
      </c>
      <c r="G2912" s="4">
        <v>2.08564081657525E-5</v>
      </c>
      <c r="H2912" s="3" t="str">
        <f>"DOLPP1"</f>
        <v>DOLPP1</v>
      </c>
      <c r="I2912" s="3" t="str">
        <f t="shared" si="137"/>
        <v>protein_coding</v>
      </c>
    </row>
    <row r="2913" spans="1:9" x14ac:dyDescent="0.2">
      <c r="A2913" s="3" t="str">
        <f>"ENSG00000119383.19"</f>
        <v>ENSG00000119383.19</v>
      </c>
      <c r="B2913" s="3">
        <v>2676.1222082633699</v>
      </c>
      <c r="C2913" s="3">
        <v>-1.2124355171096901</v>
      </c>
      <c r="D2913" s="3">
        <v>0.21007376517590101</v>
      </c>
      <c r="E2913" s="3">
        <v>-5.7714751582354102</v>
      </c>
      <c r="F2913" s="4">
        <v>7.8580545079657898E-9</v>
      </c>
      <c r="G2913" s="4">
        <v>9.4864160912070896E-8</v>
      </c>
      <c r="H2913" s="3" t="str">
        <f>"PTPA"</f>
        <v>PTPA</v>
      </c>
      <c r="I2913" s="3" t="str">
        <f t="shared" si="137"/>
        <v>protein_coding</v>
      </c>
    </row>
    <row r="2914" spans="1:9" x14ac:dyDescent="0.2">
      <c r="A2914" s="3" t="str">
        <f>"ENSG00000188483.7"</f>
        <v>ENSG00000188483.7</v>
      </c>
      <c r="B2914" s="3">
        <v>643.44714345980697</v>
      </c>
      <c r="C2914" s="3">
        <v>1.22589780980906</v>
      </c>
      <c r="D2914" s="3">
        <v>0.23254598265915899</v>
      </c>
      <c r="E2914" s="3">
        <v>5.2716361546690296</v>
      </c>
      <c r="F2914" s="4">
        <v>1.35212924839828E-7</v>
      </c>
      <c r="G2914" s="4">
        <v>1.3426190098800301E-6</v>
      </c>
      <c r="H2914" s="3" t="str">
        <f>"IER5L"</f>
        <v>IER5L</v>
      </c>
      <c r="I2914" s="3" t="str">
        <f t="shared" si="137"/>
        <v>protein_coding</v>
      </c>
    </row>
    <row r="2915" spans="1:9" x14ac:dyDescent="0.2">
      <c r="A2915" s="3" t="str">
        <f>"ENSG00000224307.1"</f>
        <v>ENSG00000224307.1</v>
      </c>
      <c r="B2915" s="3">
        <v>4.0765338602604198</v>
      </c>
      <c r="C2915" s="3">
        <v>5.4294654624107803</v>
      </c>
      <c r="D2915" s="3">
        <v>2.1922916423421901</v>
      </c>
      <c r="E2915" s="3">
        <v>2.4766164124997898</v>
      </c>
      <c r="F2915" s="3">
        <v>1.32634363524407E-2</v>
      </c>
      <c r="G2915" s="3">
        <v>4.0266167163783E-2</v>
      </c>
      <c r="H2915" s="3" t="str">
        <f>"AL161785.1"</f>
        <v>AL161785.1</v>
      </c>
      <c r="I2915" s="3" t="str">
        <f>"lincRNA"</f>
        <v>lincRNA</v>
      </c>
    </row>
    <row r="2916" spans="1:9" x14ac:dyDescent="0.2">
      <c r="A2916" s="3" t="str">
        <f>"ENSG00000233901.5"</f>
        <v>ENSG00000233901.5</v>
      </c>
      <c r="B2916" s="3">
        <v>205.78115276832199</v>
      </c>
      <c r="C2916" s="3">
        <v>4.8344600323309503</v>
      </c>
      <c r="D2916" s="3">
        <v>0.39628902135673799</v>
      </c>
      <c r="E2916" s="3">
        <v>12.199328701511</v>
      </c>
      <c r="F2916" s="4">
        <v>3.13396958369453E-34</v>
      </c>
      <c r="G2916" s="4">
        <v>3.1164696805447001E-32</v>
      </c>
      <c r="H2916" s="3" t="str">
        <f>"LINC01503"</f>
        <v>LINC01503</v>
      </c>
      <c r="I2916" s="3" t="str">
        <f>"lincRNA"</f>
        <v>lincRNA</v>
      </c>
    </row>
    <row r="2917" spans="1:9" x14ac:dyDescent="0.2">
      <c r="A2917" s="3" t="str">
        <f>"ENSG00000148344.11"</f>
        <v>ENSG00000148344.11</v>
      </c>
      <c r="B2917" s="3">
        <v>121.92141220510599</v>
      </c>
      <c r="C2917" s="3">
        <v>5.5285541802171201</v>
      </c>
      <c r="D2917" s="3">
        <v>0.56491722924467203</v>
      </c>
      <c r="E2917" s="3">
        <v>9.7864853362839099</v>
      </c>
      <c r="F2917" s="4">
        <v>1.2869164953930999E-22</v>
      </c>
      <c r="G2917" s="4">
        <v>6.0145135077145602E-21</v>
      </c>
      <c r="H2917" s="3" t="str">
        <f>"PTGES"</f>
        <v>PTGES</v>
      </c>
      <c r="I2917" s="3" t="str">
        <f t="shared" ref="I2917:I2926" si="138">"protein_coding"</f>
        <v>protein_coding</v>
      </c>
    </row>
    <row r="2918" spans="1:9" x14ac:dyDescent="0.2">
      <c r="A2918" s="3" t="str">
        <f>"ENSG00000148357.16"</f>
        <v>ENSG00000148357.16</v>
      </c>
      <c r="B2918" s="3">
        <v>35.206179063739803</v>
      </c>
      <c r="C2918" s="3">
        <v>4.7133421392549097</v>
      </c>
      <c r="D2918" s="3">
        <v>0.84641745921664902</v>
      </c>
      <c r="E2918" s="3">
        <v>5.5685785872340796</v>
      </c>
      <c r="F2918" s="4">
        <v>2.56825790501664E-8</v>
      </c>
      <c r="G2918" s="4">
        <v>2.8880447023519798E-7</v>
      </c>
      <c r="H2918" s="3" t="str">
        <f>"HMCN2"</f>
        <v>HMCN2</v>
      </c>
      <c r="I2918" s="3" t="str">
        <f t="shared" si="138"/>
        <v>protein_coding</v>
      </c>
    </row>
    <row r="2919" spans="1:9" x14ac:dyDescent="0.2">
      <c r="A2919" s="3" t="str">
        <f>"ENSG00000130713.16"</f>
        <v>ENSG00000130713.16</v>
      </c>
      <c r="B2919" s="3">
        <v>1192.2271063361</v>
      </c>
      <c r="C2919" s="3">
        <v>-1.01079263289929</v>
      </c>
      <c r="D2919" s="3">
        <v>0.19451330069186001</v>
      </c>
      <c r="E2919" s="3">
        <v>-5.1965219309118202</v>
      </c>
      <c r="F2919" s="4">
        <v>2.03051656380199E-7</v>
      </c>
      <c r="G2919" s="4">
        <v>1.9605061946815298E-6</v>
      </c>
      <c r="H2919" s="3" t="str">
        <f>"EXOSC2"</f>
        <v>EXOSC2</v>
      </c>
      <c r="I2919" s="3" t="str">
        <f t="shared" si="138"/>
        <v>protein_coding</v>
      </c>
    </row>
    <row r="2920" spans="1:9" x14ac:dyDescent="0.2">
      <c r="A2920" s="3" t="str">
        <f>"ENSG00000097007.18"</f>
        <v>ENSG00000097007.18</v>
      </c>
      <c r="B2920" s="3">
        <v>2999.3833366229101</v>
      </c>
      <c r="C2920" s="3">
        <v>-1.19051610443742</v>
      </c>
      <c r="D2920" s="3">
        <v>0.19459810747529799</v>
      </c>
      <c r="E2920" s="3">
        <v>-6.1178195404009301</v>
      </c>
      <c r="F2920" s="4">
        <v>9.4864405407262601E-10</v>
      </c>
      <c r="G2920" s="4">
        <v>1.2983101792129E-8</v>
      </c>
      <c r="H2920" s="3" t="str">
        <f>"ABL1"</f>
        <v>ABL1</v>
      </c>
      <c r="I2920" s="3" t="str">
        <f t="shared" si="138"/>
        <v>protein_coding</v>
      </c>
    </row>
    <row r="2921" spans="1:9" x14ac:dyDescent="0.2">
      <c r="A2921" s="3" t="str">
        <f>"ENSG00000130720.13"</f>
        <v>ENSG00000130720.13</v>
      </c>
      <c r="B2921" s="3">
        <v>132.511536335247</v>
      </c>
      <c r="C2921" s="3">
        <v>5.0535604895218098</v>
      </c>
      <c r="D2921" s="3">
        <v>0.49909262707501201</v>
      </c>
      <c r="E2921" s="3">
        <v>10.1254961812174</v>
      </c>
      <c r="F2921" s="4">
        <v>4.2581350100495898E-24</v>
      </c>
      <c r="G2921" s="4">
        <v>2.2153165615250902E-22</v>
      </c>
      <c r="H2921" s="3" t="str">
        <f>"FIBCD1"</f>
        <v>FIBCD1</v>
      </c>
      <c r="I2921" s="3" t="str">
        <f t="shared" si="138"/>
        <v>protein_coding</v>
      </c>
    </row>
    <row r="2922" spans="1:9" x14ac:dyDescent="0.2">
      <c r="A2922" s="3" t="str">
        <f>"ENSG00000050555.18"</f>
        <v>ENSG00000050555.18</v>
      </c>
      <c r="B2922" s="3">
        <v>1283.17086230778</v>
      </c>
      <c r="C2922" s="3">
        <v>5.9687903266693203</v>
      </c>
      <c r="D2922" s="3">
        <v>0.26331431833074598</v>
      </c>
      <c r="E2922" s="3">
        <v>22.667929205323301</v>
      </c>
      <c r="F2922" s="4">
        <v>9.2860579840174696E-114</v>
      </c>
      <c r="G2922" s="4">
        <v>1.8072658706465999E-110</v>
      </c>
      <c r="H2922" s="3" t="str">
        <f>"LAMC3"</f>
        <v>LAMC3</v>
      </c>
      <c r="I2922" s="3" t="str">
        <f t="shared" si="138"/>
        <v>protein_coding</v>
      </c>
    </row>
    <row r="2923" spans="1:9" x14ac:dyDescent="0.2">
      <c r="A2923" s="3" t="str">
        <f>"ENSG00000126878.13"</f>
        <v>ENSG00000126878.13</v>
      </c>
      <c r="B2923" s="3">
        <v>717.57472355146695</v>
      </c>
      <c r="C2923" s="3">
        <v>-1.0293927863540799</v>
      </c>
      <c r="D2923" s="3">
        <v>0.22040409168025099</v>
      </c>
      <c r="E2923" s="3">
        <v>-4.67047947479786</v>
      </c>
      <c r="F2923" s="4">
        <v>3.00497508990117E-6</v>
      </c>
      <c r="G2923" s="4">
        <v>2.3636419247845599E-5</v>
      </c>
      <c r="H2923" s="3" t="str">
        <f>"AIF1L"</f>
        <v>AIF1L</v>
      </c>
      <c r="I2923" s="3" t="str">
        <f t="shared" si="138"/>
        <v>protein_coding</v>
      </c>
    </row>
    <row r="2924" spans="1:9" x14ac:dyDescent="0.2">
      <c r="A2924" s="3" t="str">
        <f>"ENSG00000130714.16"</f>
        <v>ENSG00000130714.16</v>
      </c>
      <c r="B2924" s="3">
        <v>577.31177332764298</v>
      </c>
      <c r="C2924" s="3">
        <v>-1.0177332813115201</v>
      </c>
      <c r="D2924" s="3">
        <v>0.26428451544723802</v>
      </c>
      <c r="E2924" s="3">
        <v>-3.85090015428732</v>
      </c>
      <c r="F2924" s="3">
        <v>1.17684473989238E-4</v>
      </c>
      <c r="G2924" s="3">
        <v>6.6346965917334598E-4</v>
      </c>
      <c r="H2924" s="3" t="str">
        <f>"POMT1"</f>
        <v>POMT1</v>
      </c>
      <c r="I2924" s="3" t="str">
        <f t="shared" si="138"/>
        <v>protein_coding</v>
      </c>
    </row>
    <row r="2925" spans="1:9" x14ac:dyDescent="0.2">
      <c r="A2925" s="3" t="str">
        <f>"ENSG00000165698.16"</f>
        <v>ENSG00000165698.16</v>
      </c>
      <c r="B2925" s="3">
        <v>42.924194267370403</v>
      </c>
      <c r="C2925" s="3">
        <v>2.5664192509211801</v>
      </c>
      <c r="D2925" s="3">
        <v>0.58899044035210801</v>
      </c>
      <c r="E2925" s="3">
        <v>4.3573190243748696</v>
      </c>
      <c r="F2925" s="4">
        <v>1.3166528682408701E-5</v>
      </c>
      <c r="G2925" s="4">
        <v>9.1191765889575801E-5</v>
      </c>
      <c r="H2925" s="3" t="str">
        <f>"SPACA9"</f>
        <v>SPACA9</v>
      </c>
      <c r="I2925" s="3" t="str">
        <f t="shared" si="138"/>
        <v>protein_coding</v>
      </c>
    </row>
    <row r="2926" spans="1:9" x14ac:dyDescent="0.2">
      <c r="A2926" s="3" t="str">
        <f>"ENSG00000170835.14"</f>
        <v>ENSG00000170835.14</v>
      </c>
      <c r="B2926" s="3">
        <v>1280.4604659019101</v>
      </c>
      <c r="C2926" s="3">
        <v>4.7548276744959503</v>
      </c>
      <c r="D2926" s="3">
        <v>0.24280840723279001</v>
      </c>
      <c r="E2926" s="3">
        <v>19.582631955314898</v>
      </c>
      <c r="F2926" s="4">
        <v>2.1748733622071801E-85</v>
      </c>
      <c r="G2926" s="4">
        <v>1.6460770694460801E-82</v>
      </c>
      <c r="H2926" s="3" t="str">
        <f>"CEL"</f>
        <v>CEL</v>
      </c>
      <c r="I2926" s="3" t="str">
        <f t="shared" si="138"/>
        <v>protein_coding</v>
      </c>
    </row>
    <row r="2927" spans="1:9" x14ac:dyDescent="0.2">
      <c r="A2927" s="3" t="str">
        <f>"ENSG00000170827.9"</f>
        <v>ENSG00000170827.9</v>
      </c>
      <c r="B2927" s="3">
        <v>453.91190092486897</v>
      </c>
      <c r="C2927" s="3">
        <v>7.31047934094744</v>
      </c>
      <c r="D2927" s="3">
        <v>0.49599828368481702</v>
      </c>
      <c r="E2927" s="3">
        <v>14.7389206402837</v>
      </c>
      <c r="F2927" s="4">
        <v>3.6253261032844497E-49</v>
      </c>
      <c r="G2927" s="4">
        <v>6.9562859391684199E-47</v>
      </c>
      <c r="H2927" s="3" t="str">
        <f>"CELP"</f>
        <v>CELP</v>
      </c>
      <c r="I2927" s="3" t="str">
        <f>"transcribed_unprocessed_pseudogene"</f>
        <v>transcribed_unprocessed_pseudogene</v>
      </c>
    </row>
    <row r="2928" spans="1:9" x14ac:dyDescent="0.2">
      <c r="A2928" s="3" t="str">
        <f>"ENSG00000160271.16"</f>
        <v>ENSG00000160271.16</v>
      </c>
      <c r="B2928" s="3">
        <v>380.940670944651</v>
      </c>
      <c r="C2928" s="3">
        <v>2.1222340238028399</v>
      </c>
      <c r="D2928" s="3">
        <v>0.27070139377063002</v>
      </c>
      <c r="E2928" s="3">
        <v>7.8397602400268704</v>
      </c>
      <c r="F2928" s="4">
        <v>4.5140750250714798E-15</v>
      </c>
      <c r="G2928" s="4">
        <v>1.1315087599643299E-13</v>
      </c>
      <c r="H2928" s="3" t="str">
        <f>"RALGDS"</f>
        <v>RALGDS</v>
      </c>
      <c r="I2928" s="3" t="str">
        <f t="shared" ref="I2928:I2940" si="139">"protein_coding"</f>
        <v>protein_coding</v>
      </c>
    </row>
    <row r="2929" spans="1:9" x14ac:dyDescent="0.2">
      <c r="A2929" s="3" t="str">
        <f>"ENSG00000148296.7"</f>
        <v>ENSG00000148296.7</v>
      </c>
      <c r="B2929" s="3">
        <v>1017.8046904079</v>
      </c>
      <c r="C2929" s="3">
        <v>-1.0177951054127401</v>
      </c>
      <c r="D2929" s="3">
        <v>0.22068022933338699</v>
      </c>
      <c r="E2929" s="3">
        <v>-4.6120810572257298</v>
      </c>
      <c r="F2929" s="4">
        <v>3.9865746614702002E-6</v>
      </c>
      <c r="G2929" s="4">
        <v>3.07102628784503E-5</v>
      </c>
      <c r="H2929" s="3" t="str">
        <f>"SURF6"</f>
        <v>SURF6</v>
      </c>
      <c r="I2929" s="3" t="str">
        <f t="shared" si="139"/>
        <v>protein_coding</v>
      </c>
    </row>
    <row r="2930" spans="1:9" x14ac:dyDescent="0.2">
      <c r="A2930" s="3" t="str">
        <f>"ENSG00000148297.15"</f>
        <v>ENSG00000148297.15</v>
      </c>
      <c r="B2930" s="3">
        <v>1145.31646534182</v>
      </c>
      <c r="C2930" s="3">
        <v>-1.2408745049582901</v>
      </c>
      <c r="D2930" s="3">
        <v>0.23926333991736201</v>
      </c>
      <c r="E2930" s="3">
        <v>-5.1862291372630196</v>
      </c>
      <c r="F2930" s="4">
        <v>2.1459475561739401E-7</v>
      </c>
      <c r="G2930" s="4">
        <v>2.0668304370120698E-6</v>
      </c>
      <c r="H2930" s="3" t="str">
        <f>"MED22"</f>
        <v>MED22</v>
      </c>
      <c r="I2930" s="3" t="str">
        <f t="shared" si="139"/>
        <v>protein_coding</v>
      </c>
    </row>
    <row r="2931" spans="1:9" x14ac:dyDescent="0.2">
      <c r="A2931" s="3" t="str">
        <f>"ENSG00000148290.10"</f>
        <v>ENSG00000148290.10</v>
      </c>
      <c r="B2931" s="3">
        <v>851.80022373239296</v>
      </c>
      <c r="C2931" s="3">
        <v>1.3562426094034801</v>
      </c>
      <c r="D2931" s="3">
        <v>0.23286345980233</v>
      </c>
      <c r="E2931" s="3">
        <v>5.8241967655841904</v>
      </c>
      <c r="F2931" s="4">
        <v>5.7387932026060197E-9</v>
      </c>
      <c r="G2931" s="4">
        <v>7.0371241400272794E-8</v>
      </c>
      <c r="H2931" s="3" t="str">
        <f>"SURF1"</f>
        <v>SURF1</v>
      </c>
      <c r="I2931" s="3" t="str">
        <f t="shared" si="139"/>
        <v>protein_coding</v>
      </c>
    </row>
    <row r="2932" spans="1:9" x14ac:dyDescent="0.2">
      <c r="A2932" s="3" t="str">
        <f>"ENSG00000148248.14"</f>
        <v>ENSG00000148248.14</v>
      </c>
      <c r="B2932" s="3">
        <v>11930.524338433101</v>
      </c>
      <c r="C2932" s="3">
        <v>-1.1487634739141299</v>
      </c>
      <c r="D2932" s="3">
        <v>0.19820152174827799</v>
      </c>
      <c r="E2932" s="3">
        <v>-5.7959367000879798</v>
      </c>
      <c r="F2932" s="4">
        <v>6.7940888121043404E-9</v>
      </c>
      <c r="G2932" s="4">
        <v>8.2531670915473495E-8</v>
      </c>
      <c r="H2932" s="3" t="str">
        <f>"SURF4"</f>
        <v>SURF4</v>
      </c>
      <c r="I2932" s="3" t="str">
        <f t="shared" si="139"/>
        <v>protein_coding</v>
      </c>
    </row>
    <row r="2933" spans="1:9" x14ac:dyDescent="0.2">
      <c r="A2933" s="3" t="str">
        <f>"ENSG00000160323.18"</f>
        <v>ENSG00000160323.18</v>
      </c>
      <c r="B2933" s="3">
        <v>97.250900502670206</v>
      </c>
      <c r="C2933" s="3">
        <v>1.57104313199947</v>
      </c>
      <c r="D2933" s="3">
        <v>0.38449053431394098</v>
      </c>
      <c r="E2933" s="3">
        <v>4.0860385153635397</v>
      </c>
      <c r="F2933" s="4">
        <v>4.3880097197471697E-5</v>
      </c>
      <c r="G2933" s="3">
        <v>2.7135746898309402E-4</v>
      </c>
      <c r="H2933" s="3" t="str">
        <f>"ADAMTS13"</f>
        <v>ADAMTS13</v>
      </c>
      <c r="I2933" s="3" t="str">
        <f t="shared" si="139"/>
        <v>protein_coding</v>
      </c>
    </row>
    <row r="2934" spans="1:9" x14ac:dyDescent="0.2">
      <c r="A2934" s="3" t="str">
        <f>"ENSG00000197859.10"</f>
        <v>ENSG00000197859.10</v>
      </c>
      <c r="B2934" s="3">
        <v>300.76388814506299</v>
      </c>
      <c r="C2934" s="3">
        <v>-1.93213156493159</v>
      </c>
      <c r="D2934" s="3">
        <v>0.264128498293006</v>
      </c>
      <c r="E2934" s="3">
        <v>-7.3151196384277002</v>
      </c>
      <c r="F2934" s="4">
        <v>2.5715217821870902E-13</v>
      </c>
      <c r="G2934" s="4">
        <v>5.4739260936915398E-12</v>
      </c>
      <c r="H2934" s="3" t="str">
        <f>"ADAMTSL2"</f>
        <v>ADAMTSL2</v>
      </c>
      <c r="I2934" s="3" t="str">
        <f t="shared" si="139"/>
        <v>protein_coding</v>
      </c>
    </row>
    <row r="2935" spans="1:9" x14ac:dyDescent="0.2">
      <c r="A2935" s="3" t="str">
        <f>"ENSG00000186350.11"</f>
        <v>ENSG00000186350.11</v>
      </c>
      <c r="B2935" s="3">
        <v>2148.0073211087702</v>
      </c>
      <c r="C2935" s="3">
        <v>-1.8806779461718</v>
      </c>
      <c r="D2935" s="3">
        <v>0.23013024583469799</v>
      </c>
      <c r="E2935" s="3">
        <v>-8.1722328125555901</v>
      </c>
      <c r="F2935" s="4">
        <v>3.0273361379035401E-16</v>
      </c>
      <c r="G2935" s="4">
        <v>8.4427664021962806E-15</v>
      </c>
      <c r="H2935" s="3" t="str">
        <f>"RXRA"</f>
        <v>RXRA</v>
      </c>
      <c r="I2935" s="3" t="str">
        <f t="shared" si="139"/>
        <v>protein_coding</v>
      </c>
    </row>
    <row r="2936" spans="1:9" x14ac:dyDescent="0.2">
      <c r="A2936" s="3" t="str">
        <f>"ENSG00000130635.15"</f>
        <v>ENSG00000130635.15</v>
      </c>
      <c r="B2936" s="3">
        <v>366.82828702941498</v>
      </c>
      <c r="C2936" s="3">
        <v>6.2035207029904003</v>
      </c>
      <c r="D2936" s="3">
        <v>0.41256712441173699</v>
      </c>
      <c r="E2936" s="3">
        <v>15.0363912583577</v>
      </c>
      <c r="F2936" s="4">
        <v>4.2404479840034599E-51</v>
      </c>
      <c r="G2936" s="4">
        <v>8.8198081084078194E-49</v>
      </c>
      <c r="H2936" s="3" t="str">
        <f>"COL5A1"</f>
        <v>COL5A1</v>
      </c>
      <c r="I2936" s="3" t="str">
        <f t="shared" si="139"/>
        <v>protein_coding</v>
      </c>
    </row>
    <row r="2937" spans="1:9" x14ac:dyDescent="0.2">
      <c r="A2937" s="3" t="str">
        <f>"ENSG00000196422.11"</f>
        <v>ENSG00000196422.11</v>
      </c>
      <c r="B2937" s="3">
        <v>1216.12021365333</v>
      </c>
      <c r="C2937" s="3">
        <v>-1.1866407015620599</v>
      </c>
      <c r="D2937" s="3">
        <v>0.246950501241783</v>
      </c>
      <c r="E2937" s="3">
        <v>-4.8051763231703397</v>
      </c>
      <c r="F2937" s="4">
        <v>1.5461518352757799E-6</v>
      </c>
      <c r="G2937" s="4">
        <v>1.28204501082651E-5</v>
      </c>
      <c r="H2937" s="3" t="str">
        <f>"PPP1R26"</f>
        <v>PPP1R26</v>
      </c>
      <c r="I2937" s="3" t="str">
        <f t="shared" si="139"/>
        <v>protein_coding</v>
      </c>
    </row>
    <row r="2938" spans="1:9" x14ac:dyDescent="0.2">
      <c r="A2938" s="3" t="str">
        <f>"ENSG00000160345.13"</f>
        <v>ENSG00000160345.13</v>
      </c>
      <c r="B2938" s="3">
        <v>102.40343314868301</v>
      </c>
      <c r="C2938" s="3">
        <v>-2.4189185310703998</v>
      </c>
      <c r="D2938" s="3">
        <v>0.409007879497153</v>
      </c>
      <c r="E2938" s="3">
        <v>-5.9141123003407596</v>
      </c>
      <c r="F2938" s="4">
        <v>3.33670181645216E-9</v>
      </c>
      <c r="G2938" s="4">
        <v>4.2345186023694403E-8</v>
      </c>
      <c r="H2938" s="3" t="str">
        <f>"C9orf116"</f>
        <v>C9orf116</v>
      </c>
      <c r="I2938" s="3" t="str">
        <f t="shared" si="139"/>
        <v>protein_coding</v>
      </c>
    </row>
    <row r="2939" spans="1:9" x14ac:dyDescent="0.2">
      <c r="A2939" s="3" t="str">
        <f>"ENSG00000122140.11"</f>
        <v>ENSG00000122140.11</v>
      </c>
      <c r="B2939" s="3">
        <v>2117.8218534803</v>
      </c>
      <c r="C2939" s="3">
        <v>-1.58980265393653</v>
      </c>
      <c r="D2939" s="3">
        <v>0.21388186723081801</v>
      </c>
      <c r="E2939" s="3">
        <v>-7.4330875941943999</v>
      </c>
      <c r="F2939" s="4">
        <v>1.06091593987569E-13</v>
      </c>
      <c r="G2939" s="4">
        <v>2.36359579834774E-12</v>
      </c>
      <c r="H2939" s="3" t="str">
        <f>"MRPS2"</f>
        <v>MRPS2</v>
      </c>
      <c r="I2939" s="3" t="str">
        <f t="shared" si="139"/>
        <v>protein_coding</v>
      </c>
    </row>
    <row r="2940" spans="1:9" x14ac:dyDescent="0.2">
      <c r="A2940" s="3" t="str">
        <f>"ENSG00000107147.13"</f>
        <v>ENSG00000107147.13</v>
      </c>
      <c r="B2940" s="3">
        <v>6.5677771004748902</v>
      </c>
      <c r="C2940" s="3">
        <v>6.1084846562903197</v>
      </c>
      <c r="D2940" s="3">
        <v>1.92051677073079</v>
      </c>
      <c r="E2940" s="3">
        <v>3.18064634966241</v>
      </c>
      <c r="F2940" s="3">
        <v>1.4694689540206501E-3</v>
      </c>
      <c r="G2940" s="3">
        <v>6.17265510513399E-3</v>
      </c>
      <c r="H2940" s="3" t="str">
        <f>"KCNT1"</f>
        <v>KCNT1</v>
      </c>
      <c r="I2940" s="3" t="str">
        <f t="shared" si="139"/>
        <v>protein_coding</v>
      </c>
    </row>
    <row r="2941" spans="1:9" x14ac:dyDescent="0.2">
      <c r="A2941" s="3" t="str">
        <f>"ENSG00000260193.1"</f>
        <v>ENSG00000260193.1</v>
      </c>
      <c r="B2941" s="3">
        <v>10.118276010661599</v>
      </c>
      <c r="C2941" s="3">
        <v>3.1247759772697998</v>
      </c>
      <c r="D2941" s="3">
        <v>1.2803530061383599</v>
      </c>
      <c r="E2941" s="3">
        <v>2.44055816035794</v>
      </c>
      <c r="F2941" s="3">
        <v>1.4664584393133E-2</v>
      </c>
      <c r="G2941" s="3">
        <v>4.37161850065311E-2</v>
      </c>
      <c r="H2941" s="3" t="str">
        <f>"AL138781.1"</f>
        <v>AL138781.1</v>
      </c>
      <c r="I2941" s="3" t="str">
        <f>"lincRNA"</f>
        <v>lincRNA</v>
      </c>
    </row>
    <row r="2942" spans="1:9" x14ac:dyDescent="0.2">
      <c r="A2942" s="3" t="str">
        <f>"ENSG00000238227.8"</f>
        <v>ENSG00000238227.8</v>
      </c>
      <c r="B2942" s="3">
        <v>638.84667126457896</v>
      </c>
      <c r="C2942" s="3">
        <v>-1.01301034179222</v>
      </c>
      <c r="D2942" s="3">
        <v>0.23612442899049399</v>
      </c>
      <c r="E2942" s="3">
        <v>-4.2901547549448997</v>
      </c>
      <c r="F2942" s="4">
        <v>1.7854865507401299E-5</v>
      </c>
      <c r="G2942" s="3">
        <v>1.19766499379656E-4</v>
      </c>
      <c r="H2942" s="3" t="str">
        <f>"TMEM250"</f>
        <v>TMEM250</v>
      </c>
      <c r="I2942" s="3" t="str">
        <f t="shared" ref="I2942:I2948" si="140">"protein_coding"</f>
        <v>protein_coding</v>
      </c>
    </row>
    <row r="2943" spans="1:9" x14ac:dyDescent="0.2">
      <c r="A2943" s="3" t="str">
        <f>"ENSG00000107187.16"</f>
        <v>ENSG00000107187.16</v>
      </c>
      <c r="B2943" s="3">
        <v>22.578250759099401</v>
      </c>
      <c r="C2943" s="3">
        <v>4.0475982983112804</v>
      </c>
      <c r="D2943" s="3">
        <v>0.93325484171759798</v>
      </c>
      <c r="E2943" s="3">
        <v>4.3370772026876701</v>
      </c>
      <c r="F2943" s="4">
        <v>1.4438991928962799E-5</v>
      </c>
      <c r="G2943" s="4">
        <v>9.9073083124767098E-5</v>
      </c>
      <c r="H2943" s="3" t="str">
        <f>"LHX3"</f>
        <v>LHX3</v>
      </c>
      <c r="I2943" s="3" t="str">
        <f t="shared" si="140"/>
        <v>protein_coding</v>
      </c>
    </row>
    <row r="2944" spans="1:9" x14ac:dyDescent="0.2">
      <c r="A2944" s="3" t="str">
        <f>"ENSG00000165661.16"</f>
        <v>ENSG00000165661.16</v>
      </c>
      <c r="B2944" s="3">
        <v>3064.5988349500999</v>
      </c>
      <c r="C2944" s="3">
        <v>-1.39608151135999</v>
      </c>
      <c r="D2944" s="3">
        <v>0.191956279602159</v>
      </c>
      <c r="E2944" s="3">
        <v>-7.2729139898598101</v>
      </c>
      <c r="F2944" s="4">
        <v>3.5181434388080301E-13</v>
      </c>
      <c r="G2944" s="4">
        <v>7.3851197440063496E-12</v>
      </c>
      <c r="H2944" s="3" t="str">
        <f>"QSOX2"</f>
        <v>QSOX2</v>
      </c>
      <c r="I2944" s="3" t="str">
        <f t="shared" si="140"/>
        <v>protein_coding</v>
      </c>
    </row>
    <row r="2945" spans="1:9" x14ac:dyDescent="0.2">
      <c r="A2945" s="3" t="str">
        <f>"ENSG00000260220.6"</f>
        <v>ENSG00000260220.6</v>
      </c>
      <c r="B2945" s="3">
        <v>129.53158552605299</v>
      </c>
      <c r="C2945" s="3">
        <v>4.5171885774502698</v>
      </c>
      <c r="D2945" s="3">
        <v>0.45227781466525901</v>
      </c>
      <c r="E2945" s="3">
        <v>9.9876412925394895</v>
      </c>
      <c r="F2945" s="4">
        <v>1.7264079184040199E-23</v>
      </c>
      <c r="G2945" s="4">
        <v>8.5682033793723504E-22</v>
      </c>
      <c r="H2945" s="3" t="str">
        <f>"CCDC187"</f>
        <v>CCDC187</v>
      </c>
      <c r="I2945" s="3" t="str">
        <f t="shared" si="140"/>
        <v>protein_coding</v>
      </c>
    </row>
    <row r="2946" spans="1:9" x14ac:dyDescent="0.2">
      <c r="A2946" s="3" t="str">
        <f>"ENSG00000160360.13"</f>
        <v>ENSG00000160360.13</v>
      </c>
      <c r="B2946" s="3">
        <v>165.02815333648701</v>
      </c>
      <c r="C2946" s="3">
        <v>1.0385810221256599</v>
      </c>
      <c r="D2946" s="3">
        <v>0.33586224390262998</v>
      </c>
      <c r="E2946" s="3">
        <v>3.0922827468119798</v>
      </c>
      <c r="F2946" s="3">
        <v>1.9862356268790199E-3</v>
      </c>
      <c r="G2946" s="3">
        <v>8.0057636280433005E-3</v>
      </c>
      <c r="H2946" s="3" t="str">
        <f>"GPSM1"</f>
        <v>GPSM1</v>
      </c>
      <c r="I2946" s="3" t="str">
        <f t="shared" si="140"/>
        <v>protein_coding</v>
      </c>
    </row>
    <row r="2947" spans="1:9" x14ac:dyDescent="0.2">
      <c r="A2947" s="3" t="str">
        <f>"ENSG00000187796.14"</f>
        <v>ENSG00000187796.14</v>
      </c>
      <c r="B2947" s="3">
        <v>222.86868688800899</v>
      </c>
      <c r="C2947" s="3">
        <v>-1.82079198464342</v>
      </c>
      <c r="D2947" s="3">
        <v>0.30273545747733799</v>
      </c>
      <c r="E2947" s="3">
        <v>-6.0144655661278801</v>
      </c>
      <c r="F2947" s="4">
        <v>1.8048112399321499E-9</v>
      </c>
      <c r="G2947" s="4">
        <v>2.3551576558635701E-8</v>
      </c>
      <c r="H2947" s="3" t="str">
        <f>"CARD9"</f>
        <v>CARD9</v>
      </c>
      <c r="I2947" s="3" t="str">
        <f t="shared" si="140"/>
        <v>protein_coding</v>
      </c>
    </row>
    <row r="2948" spans="1:9" x14ac:dyDescent="0.2">
      <c r="A2948" s="3" t="str">
        <f>"ENSG00000148400.11"</f>
        <v>ENSG00000148400.11</v>
      </c>
      <c r="B2948" s="3">
        <v>1655.6219481461501</v>
      </c>
      <c r="C2948" s="3">
        <v>1.6698978313757</v>
      </c>
      <c r="D2948" s="3">
        <v>0.219110876172733</v>
      </c>
      <c r="E2948" s="3">
        <v>7.6212457388891099</v>
      </c>
      <c r="F2948" s="4">
        <v>2.5123912349941601E-14</v>
      </c>
      <c r="G2948" s="4">
        <v>5.8608839023874801E-13</v>
      </c>
      <c r="H2948" s="3" t="str">
        <f>"NOTCH1"</f>
        <v>NOTCH1</v>
      </c>
      <c r="I2948" s="3" t="str">
        <f t="shared" si="140"/>
        <v>protein_coding</v>
      </c>
    </row>
    <row r="2949" spans="1:9" x14ac:dyDescent="0.2">
      <c r="A2949" s="3" t="str">
        <f>"ENSG00000237886.1"</f>
        <v>ENSG00000237886.1</v>
      </c>
      <c r="B2949" s="3">
        <v>37.154105368635697</v>
      </c>
      <c r="C2949" s="3">
        <v>3.7425750824113799</v>
      </c>
      <c r="D2949" s="3">
        <v>0.69835332935718697</v>
      </c>
      <c r="E2949" s="3">
        <v>5.3591426074481596</v>
      </c>
      <c r="F2949" s="4">
        <v>8.3617832892061405E-8</v>
      </c>
      <c r="G2949" s="4">
        <v>8.5874699422780595E-7</v>
      </c>
      <c r="H2949" s="3" t="str">
        <f>"NALT1"</f>
        <v>NALT1</v>
      </c>
      <c r="I2949" s="3" t="str">
        <f>"antisense"</f>
        <v>antisense</v>
      </c>
    </row>
    <row r="2950" spans="1:9" x14ac:dyDescent="0.2">
      <c r="A2950" s="3" t="str">
        <f>"ENSG00000279141.3"</f>
        <v>ENSG00000279141.3</v>
      </c>
      <c r="B2950" s="3">
        <v>62.443562305830199</v>
      </c>
      <c r="C2950" s="3">
        <v>9.3623506884262007</v>
      </c>
      <c r="D2950" s="3">
        <v>1.51118156954654</v>
      </c>
      <c r="E2950" s="3">
        <v>6.1953843780900204</v>
      </c>
      <c r="F2950" s="4">
        <v>5.8142961149600902E-10</v>
      </c>
      <c r="G2950" s="4">
        <v>8.1200474753622496E-9</v>
      </c>
      <c r="H2950" s="3" t="str">
        <f>"AL590226.2"</f>
        <v>AL590226.2</v>
      </c>
      <c r="I2950" s="3" t="str">
        <f>"lincRNA"</f>
        <v>lincRNA</v>
      </c>
    </row>
    <row r="2951" spans="1:9" x14ac:dyDescent="0.2">
      <c r="A2951" s="3" t="str">
        <f>"ENSG00000165716.11"</f>
        <v>ENSG00000165716.11</v>
      </c>
      <c r="B2951" s="3">
        <v>59.003076216799499</v>
      </c>
      <c r="C2951" s="3">
        <v>-1.57152916186085</v>
      </c>
      <c r="D2951" s="3">
        <v>0.46842306327650701</v>
      </c>
      <c r="E2951" s="3">
        <v>-3.3549354954224002</v>
      </c>
      <c r="F2951" s="3">
        <v>7.9383492656426096E-4</v>
      </c>
      <c r="G2951" s="3">
        <v>3.60734160175057E-3</v>
      </c>
      <c r="H2951" s="3" t="str">
        <f>"DIPK1B"</f>
        <v>DIPK1B</v>
      </c>
      <c r="I2951" s="3" t="str">
        <f>"protein_coding"</f>
        <v>protein_coding</v>
      </c>
    </row>
    <row r="2952" spans="1:9" x14ac:dyDescent="0.2">
      <c r="A2952" s="3" t="str">
        <f>"ENSG00000233016.6"</f>
        <v>ENSG00000233016.6</v>
      </c>
      <c r="B2952" s="3">
        <v>1625.8729890100601</v>
      </c>
      <c r="C2952" s="3">
        <v>-1.4519485063297399</v>
      </c>
      <c r="D2952" s="3">
        <v>0.219427097881088</v>
      </c>
      <c r="E2952" s="3">
        <v>-6.6169972640142198</v>
      </c>
      <c r="F2952" s="4">
        <v>3.66568277530243E-11</v>
      </c>
      <c r="G2952" s="4">
        <v>6.0679743972457696E-10</v>
      </c>
      <c r="H2952" s="3" t="str">
        <f>"SNHG7"</f>
        <v>SNHG7</v>
      </c>
      <c r="I2952" s="3" t="str">
        <f>"antisense"</f>
        <v>antisense</v>
      </c>
    </row>
    <row r="2953" spans="1:9" x14ac:dyDescent="0.2">
      <c r="A2953" s="3" t="str">
        <f>"ENSG00000177984.7"</f>
        <v>ENSG00000177984.7</v>
      </c>
      <c r="B2953" s="3">
        <v>2727.2118274012801</v>
      </c>
      <c r="C2953" s="3">
        <v>1.0938689371693899</v>
      </c>
      <c r="D2953" s="3">
        <v>0.20741888822955401</v>
      </c>
      <c r="E2953" s="3">
        <v>5.2737190258139997</v>
      </c>
      <c r="F2953" s="4">
        <v>1.3368653271139499E-7</v>
      </c>
      <c r="G2953" s="4">
        <v>1.33051847809549E-6</v>
      </c>
      <c r="H2953" s="3" t="str">
        <f>"LCN15"</f>
        <v>LCN15</v>
      </c>
      <c r="I2953" s="3" t="str">
        <f>"protein_coding"</f>
        <v>protein_coding</v>
      </c>
    </row>
    <row r="2954" spans="1:9" x14ac:dyDescent="0.2">
      <c r="A2954" s="3" t="str">
        <f>"ENSG00000244187.8"</f>
        <v>ENSG00000244187.8</v>
      </c>
      <c r="B2954" s="3">
        <v>730.64255517451102</v>
      </c>
      <c r="C2954" s="3">
        <v>-1.4900398854679799</v>
      </c>
      <c r="D2954" s="3">
        <v>0.237836394136898</v>
      </c>
      <c r="E2954" s="3">
        <v>-6.26497845662053</v>
      </c>
      <c r="F2954" s="4">
        <v>3.7287695500209601E-10</v>
      </c>
      <c r="G2954" s="4">
        <v>5.3364291651354796E-9</v>
      </c>
      <c r="H2954" s="3" t="str">
        <f>"TMEM141"</f>
        <v>TMEM141</v>
      </c>
      <c r="I2954" s="3" t="str">
        <f>"protein_coding"</f>
        <v>protein_coding</v>
      </c>
    </row>
    <row r="2955" spans="1:9" x14ac:dyDescent="0.2">
      <c r="A2955" s="3" t="str">
        <f>"ENSG00000213213.13"</f>
        <v>ENSG00000213213.13</v>
      </c>
      <c r="B2955" s="3">
        <v>195.39518424698099</v>
      </c>
      <c r="C2955" s="3">
        <v>-2.8876993827989601</v>
      </c>
      <c r="D2955" s="3">
        <v>0.32381854616375799</v>
      </c>
      <c r="E2955" s="3">
        <v>-8.9176466790096107</v>
      </c>
      <c r="F2955" s="4">
        <v>4.7630117912104602E-19</v>
      </c>
      <c r="G2955" s="4">
        <v>1.6745520293562799E-17</v>
      </c>
      <c r="H2955" s="3" t="str">
        <f>"CCDC183"</f>
        <v>CCDC183</v>
      </c>
      <c r="I2955" s="3" t="str">
        <f>"protein_coding"</f>
        <v>protein_coding</v>
      </c>
    </row>
    <row r="2956" spans="1:9" x14ac:dyDescent="0.2">
      <c r="A2956" s="3" t="str">
        <f>"ENSG00000273066.5"</f>
        <v>ENSG00000273066.5</v>
      </c>
      <c r="B2956" s="3">
        <v>341.88746044913597</v>
      </c>
      <c r="C2956" s="3">
        <v>-2.59724004239101</v>
      </c>
      <c r="D2956" s="3">
        <v>0.28011700405262402</v>
      </c>
      <c r="E2956" s="3">
        <v>-9.2719827958144396</v>
      </c>
      <c r="F2956" s="4">
        <v>1.8271713738064E-20</v>
      </c>
      <c r="G2956" s="4">
        <v>7.3864893801339703E-19</v>
      </c>
      <c r="H2956" s="3" t="str">
        <f>"AL355987.4"</f>
        <v>AL355987.4</v>
      </c>
      <c r="I2956" s="3" t="str">
        <f>"processed_transcript"</f>
        <v>processed_transcript</v>
      </c>
    </row>
    <row r="2957" spans="1:9" x14ac:dyDescent="0.2">
      <c r="A2957" s="3" t="str">
        <f>"ENSG00000196642.19"</f>
        <v>ENSG00000196642.19</v>
      </c>
      <c r="B2957" s="3">
        <v>4811.1861348169496</v>
      </c>
      <c r="C2957" s="3">
        <v>-2.0982373937038301</v>
      </c>
      <c r="D2957" s="3">
        <v>0.21264992138306499</v>
      </c>
      <c r="E2957" s="3">
        <v>-9.8670969641417692</v>
      </c>
      <c r="F2957" s="4">
        <v>5.7813598949563402E-23</v>
      </c>
      <c r="G2957" s="4">
        <v>2.7782136341776999E-21</v>
      </c>
      <c r="H2957" s="3" t="str">
        <f>"RABL6"</f>
        <v>RABL6</v>
      </c>
      <c r="I2957" s="3" t="str">
        <f>"protein_coding"</f>
        <v>protein_coding</v>
      </c>
    </row>
    <row r="2958" spans="1:9" x14ac:dyDescent="0.2">
      <c r="A2958" s="3" t="str">
        <f>"ENSG00000265806.1"</f>
        <v>ENSG00000265806.1</v>
      </c>
      <c r="B2958" s="3">
        <v>77.611888002067701</v>
      </c>
      <c r="C2958" s="3">
        <v>-2.0525581059865301</v>
      </c>
      <c r="D2958" s="3">
        <v>0.42941972689312302</v>
      </c>
      <c r="E2958" s="3">
        <v>-4.7798412076615797</v>
      </c>
      <c r="F2958" s="4">
        <v>1.75433700211979E-6</v>
      </c>
      <c r="G2958" s="4">
        <v>1.43803911843435E-5</v>
      </c>
      <c r="H2958" s="3" t="str">
        <f>"MIR4292"</f>
        <v>MIR4292</v>
      </c>
      <c r="I2958" s="3" t="str">
        <f>"miRNA"</f>
        <v>miRNA</v>
      </c>
    </row>
    <row r="2959" spans="1:9" x14ac:dyDescent="0.2">
      <c r="A2959" s="3" t="str">
        <f>"ENSG00000232434.2"</f>
        <v>ENSG00000232434.2</v>
      </c>
      <c r="B2959" s="3">
        <v>211.803263182596</v>
      </c>
      <c r="C2959" s="3">
        <v>-1.51831543486482</v>
      </c>
      <c r="D2959" s="3">
        <v>0.29298071258052399</v>
      </c>
      <c r="E2959" s="3">
        <v>-5.1823050790332204</v>
      </c>
      <c r="F2959" s="4">
        <v>2.1916035344395101E-7</v>
      </c>
      <c r="G2959" s="4">
        <v>2.1070790932559399E-6</v>
      </c>
      <c r="H2959" s="3" t="str">
        <f>"AJM1"</f>
        <v>AJM1</v>
      </c>
      <c r="I2959" s="3" t="str">
        <f t="shared" ref="I2959:I2966" si="141">"protein_coding"</f>
        <v>protein_coding</v>
      </c>
    </row>
    <row r="2960" spans="1:9" x14ac:dyDescent="0.2">
      <c r="A2960" s="3" t="str">
        <f>"ENSG00000127191.18"</f>
        <v>ENSG00000127191.18</v>
      </c>
      <c r="B2960" s="3">
        <v>1067.3110076835401</v>
      </c>
      <c r="C2960" s="3">
        <v>-1.0426089311904501</v>
      </c>
      <c r="D2960" s="3">
        <v>0.25941581643865302</v>
      </c>
      <c r="E2960" s="3">
        <v>-4.0190646256798397</v>
      </c>
      <c r="F2960" s="4">
        <v>5.8429644060651402E-5</v>
      </c>
      <c r="G2960" s="3">
        <v>3.5292230364011699E-4</v>
      </c>
      <c r="H2960" s="3" t="str">
        <f>"TRAF2"</f>
        <v>TRAF2</v>
      </c>
      <c r="I2960" s="3" t="str">
        <f t="shared" si="141"/>
        <v>protein_coding</v>
      </c>
    </row>
    <row r="2961" spans="1:9" x14ac:dyDescent="0.2">
      <c r="A2961" s="3" t="str">
        <f>"ENSG00000184925.12"</f>
        <v>ENSG00000184925.12</v>
      </c>
      <c r="B2961" s="3">
        <v>84.373767228468097</v>
      </c>
      <c r="C2961" s="3">
        <v>-1.8446472953878701</v>
      </c>
      <c r="D2961" s="3">
        <v>0.43672317033712199</v>
      </c>
      <c r="E2961" s="3">
        <v>-4.2238365643936904</v>
      </c>
      <c r="F2961" s="4">
        <v>2.40178252281754E-5</v>
      </c>
      <c r="G2961" s="3">
        <v>1.5704672042046901E-4</v>
      </c>
      <c r="H2961" s="3" t="str">
        <f>"LCN12"</f>
        <v>LCN12</v>
      </c>
      <c r="I2961" s="3" t="str">
        <f t="shared" si="141"/>
        <v>protein_coding</v>
      </c>
    </row>
    <row r="2962" spans="1:9" x14ac:dyDescent="0.2">
      <c r="A2962" s="3" t="str">
        <f>"ENSG00000107331.17"</f>
        <v>ENSG00000107331.17</v>
      </c>
      <c r="B2962" s="3">
        <v>2175.8569228101301</v>
      </c>
      <c r="C2962" s="3">
        <v>-1.1684438565815201</v>
      </c>
      <c r="D2962" s="3">
        <v>0.209871860242167</v>
      </c>
      <c r="E2962" s="3">
        <v>-5.5674155421945404</v>
      </c>
      <c r="F2962" s="4">
        <v>2.5854532210962799E-8</v>
      </c>
      <c r="G2962" s="4">
        <v>2.90618167967039E-7</v>
      </c>
      <c r="H2962" s="3" t="str">
        <f>"ABCA2"</f>
        <v>ABCA2</v>
      </c>
      <c r="I2962" s="3" t="str">
        <f t="shared" si="141"/>
        <v>protein_coding</v>
      </c>
    </row>
    <row r="2963" spans="1:9" x14ac:dyDescent="0.2">
      <c r="A2963" s="3" t="str">
        <f>"ENSG00000180549.7"</f>
        <v>ENSG00000180549.7</v>
      </c>
      <c r="B2963" s="3">
        <v>21.855253088522801</v>
      </c>
      <c r="C2963" s="3">
        <v>-4.1468067473597001</v>
      </c>
      <c r="D2963" s="3">
        <v>0.95490776609114703</v>
      </c>
      <c r="E2963" s="3">
        <v>-4.3426254289818802</v>
      </c>
      <c r="F2963" s="4">
        <v>1.40790057467224E-5</v>
      </c>
      <c r="G2963" s="4">
        <v>9.6798049351739699E-5</v>
      </c>
      <c r="H2963" s="3" t="str">
        <f>"FUT7"</f>
        <v>FUT7</v>
      </c>
      <c r="I2963" s="3" t="str">
        <f t="shared" si="141"/>
        <v>protein_coding</v>
      </c>
    </row>
    <row r="2964" spans="1:9" x14ac:dyDescent="0.2">
      <c r="A2964" s="3" t="str">
        <f>"ENSG00000107281.10"</f>
        <v>ENSG00000107281.10</v>
      </c>
      <c r="B2964" s="3">
        <v>279.56998280091602</v>
      </c>
      <c r="C2964" s="3">
        <v>-1.05844445935023</v>
      </c>
      <c r="D2964" s="3">
        <v>0.26946214334727803</v>
      </c>
      <c r="E2964" s="3">
        <v>-3.9279894615331101</v>
      </c>
      <c r="F2964" s="4">
        <v>8.5658963543432595E-5</v>
      </c>
      <c r="G2964" s="3">
        <v>4.9924059458137098E-4</v>
      </c>
      <c r="H2964" s="3" t="str">
        <f>"NPDC1"</f>
        <v>NPDC1</v>
      </c>
      <c r="I2964" s="3" t="str">
        <f t="shared" si="141"/>
        <v>protein_coding</v>
      </c>
    </row>
    <row r="2965" spans="1:9" x14ac:dyDescent="0.2">
      <c r="A2965" s="3" t="str">
        <f>"ENSG00000054179.12"</f>
        <v>ENSG00000054179.12</v>
      </c>
      <c r="B2965" s="3">
        <v>987.23943611571303</v>
      </c>
      <c r="C2965" s="3">
        <v>-3.2139470498014102</v>
      </c>
      <c r="D2965" s="3">
        <v>0.22386971229726599</v>
      </c>
      <c r="E2965" s="3">
        <v>-14.356328137563199</v>
      </c>
      <c r="F2965" s="4">
        <v>9.7244561621393793E-47</v>
      </c>
      <c r="G2965" s="4">
        <v>1.6782421728312E-44</v>
      </c>
      <c r="H2965" s="3" t="str">
        <f>"ENTPD2"</f>
        <v>ENTPD2</v>
      </c>
      <c r="I2965" s="3" t="str">
        <f t="shared" si="141"/>
        <v>protein_coding</v>
      </c>
    </row>
    <row r="2966" spans="1:9" x14ac:dyDescent="0.2">
      <c r="A2966" s="3" t="str">
        <f>"ENSG00000186193.9"</f>
        <v>ENSG00000186193.9</v>
      </c>
      <c r="B2966" s="3">
        <v>3022.9508055635401</v>
      </c>
      <c r="C2966" s="3">
        <v>-3.2836136271459999</v>
      </c>
      <c r="D2966" s="3">
        <v>0.22685036092505401</v>
      </c>
      <c r="E2966" s="3">
        <v>-14.4748001006304</v>
      </c>
      <c r="F2966" s="4">
        <v>1.7483328255828101E-47</v>
      </c>
      <c r="G2966" s="4">
        <v>3.1340016117535998E-45</v>
      </c>
      <c r="H2966" s="3" t="str">
        <f>"SAPCD2"</f>
        <v>SAPCD2</v>
      </c>
      <c r="I2966" s="3" t="str">
        <f t="shared" si="141"/>
        <v>protein_coding</v>
      </c>
    </row>
    <row r="2967" spans="1:9" x14ac:dyDescent="0.2">
      <c r="A2967" s="3" t="str">
        <f>"ENSG00000231864.2"</f>
        <v>ENSG00000231864.2</v>
      </c>
      <c r="B2967" s="3">
        <v>6.7392995215111799</v>
      </c>
      <c r="C2967" s="3">
        <v>-6.2664685128870801</v>
      </c>
      <c r="D2967" s="3">
        <v>1.9060218852992701</v>
      </c>
      <c r="E2967" s="3">
        <v>-3.2877211753018001</v>
      </c>
      <c r="F2967" s="3">
        <v>1.01001817316879E-3</v>
      </c>
      <c r="G2967" s="3">
        <v>4.4588407589646901E-3</v>
      </c>
      <c r="H2967" s="3" t="str">
        <f>"AL807752.3"</f>
        <v>AL807752.3</v>
      </c>
      <c r="I2967" s="3" t="str">
        <f>"antisense"</f>
        <v>antisense</v>
      </c>
    </row>
    <row r="2968" spans="1:9" x14ac:dyDescent="0.2">
      <c r="A2968" s="3" t="str">
        <f>"ENSG00000176058.13"</f>
        <v>ENSG00000176058.13</v>
      </c>
      <c r="B2968" s="3">
        <v>746.026810650058</v>
      </c>
      <c r="C2968" s="3">
        <v>-1.10281865891441</v>
      </c>
      <c r="D2968" s="3">
        <v>0.238015585827659</v>
      </c>
      <c r="E2968" s="3">
        <v>-4.6333884189959598</v>
      </c>
      <c r="F2968" s="4">
        <v>3.5972868665768301E-6</v>
      </c>
      <c r="G2968" s="4">
        <v>2.78940504411896E-5</v>
      </c>
      <c r="H2968" s="3" t="str">
        <f>"TPRN"</f>
        <v>TPRN</v>
      </c>
      <c r="I2968" s="3" t="str">
        <f>"protein_coding"</f>
        <v>protein_coding</v>
      </c>
    </row>
    <row r="2969" spans="1:9" x14ac:dyDescent="0.2">
      <c r="A2969" s="3" t="str">
        <f>"ENSG00000197191.5"</f>
        <v>ENSG00000197191.5</v>
      </c>
      <c r="B2969" s="3">
        <v>606.240311026727</v>
      </c>
      <c r="C2969" s="3">
        <v>4.1257828819749198</v>
      </c>
      <c r="D2969" s="3">
        <v>0.29087211600894303</v>
      </c>
      <c r="E2969" s="3">
        <v>14.1841814835495</v>
      </c>
      <c r="F2969" s="4">
        <v>1.14797346950916E-45</v>
      </c>
      <c r="G2969" s="4">
        <v>1.9072459221778102E-43</v>
      </c>
      <c r="H2969" s="3" t="str">
        <f>"CYSRT1"</f>
        <v>CYSRT1</v>
      </c>
      <c r="I2969" s="3" t="str">
        <f>"protein_coding"</f>
        <v>protein_coding</v>
      </c>
    </row>
    <row r="2970" spans="1:9" x14ac:dyDescent="0.2">
      <c r="A2970" s="3" t="str">
        <f>"ENSG00000233198.3"</f>
        <v>ENSG00000233198.3</v>
      </c>
      <c r="B2970" s="3">
        <v>11.2274622259411</v>
      </c>
      <c r="C2970" s="3">
        <v>4.3856198083690501</v>
      </c>
      <c r="D2970" s="3">
        <v>1.4051380312122199</v>
      </c>
      <c r="E2970" s="3">
        <v>3.1211309572096302</v>
      </c>
      <c r="F2970" s="3">
        <v>1.80157898239793E-3</v>
      </c>
      <c r="G2970" s="3">
        <v>7.3683011908430599E-3</v>
      </c>
      <c r="H2970" s="3" t="str">
        <f>"RNF224"</f>
        <v>RNF224</v>
      </c>
      <c r="I2970" s="3" t="str">
        <f>"protein_coding"</f>
        <v>protein_coding</v>
      </c>
    </row>
    <row r="2971" spans="1:9" x14ac:dyDescent="0.2">
      <c r="A2971" s="3" t="str">
        <f>"ENSG00000188986.7"</f>
        <v>ENSG00000188986.7</v>
      </c>
      <c r="B2971" s="3">
        <v>1925.88319483487</v>
      </c>
      <c r="C2971" s="3">
        <v>-1.59728244053854</v>
      </c>
      <c r="D2971" s="3">
        <v>0.251029074338536</v>
      </c>
      <c r="E2971" s="3">
        <v>-6.3629380172292596</v>
      </c>
      <c r="F2971" s="4">
        <v>1.9793058037385199E-10</v>
      </c>
      <c r="G2971" s="4">
        <v>2.9405749855214601E-9</v>
      </c>
      <c r="H2971" s="3" t="str">
        <f>"NELFB"</f>
        <v>NELFB</v>
      </c>
      <c r="I2971" s="3" t="str">
        <f>"protein_coding"</f>
        <v>protein_coding</v>
      </c>
    </row>
    <row r="2972" spans="1:9" x14ac:dyDescent="0.2">
      <c r="A2972" s="3" t="str">
        <f>"ENSG00000198113.3"</f>
        <v>ENSG00000198113.3</v>
      </c>
      <c r="B2972" s="3">
        <v>1459.2906873956499</v>
      </c>
      <c r="C2972" s="3">
        <v>-1.0547299576010201</v>
      </c>
      <c r="D2972" s="3">
        <v>0.21483489761923799</v>
      </c>
      <c r="E2972" s="3">
        <v>-4.9094908196449802</v>
      </c>
      <c r="F2972" s="4">
        <v>9.13131742025234E-7</v>
      </c>
      <c r="G2972" s="4">
        <v>7.9059741261396695E-6</v>
      </c>
      <c r="H2972" s="3" t="str">
        <f>"TOR4A"</f>
        <v>TOR4A</v>
      </c>
      <c r="I2972" s="3" t="str">
        <f>"protein_coding"</f>
        <v>protein_coding</v>
      </c>
    </row>
    <row r="2973" spans="1:9" x14ac:dyDescent="0.2">
      <c r="A2973" s="3" t="str">
        <f>"ENSG00000260996.1"</f>
        <v>ENSG00000260996.1</v>
      </c>
      <c r="B2973" s="3">
        <v>8.1197542449445095</v>
      </c>
      <c r="C2973" s="3">
        <v>3.2413521411238899</v>
      </c>
      <c r="D2973" s="3">
        <v>1.3568284941185</v>
      </c>
      <c r="E2973" s="3">
        <v>2.3889180947881901</v>
      </c>
      <c r="F2973" s="3">
        <v>1.68980690974374E-2</v>
      </c>
      <c r="G2973" s="3">
        <v>4.9221903859084502E-2</v>
      </c>
      <c r="H2973" s="3" t="str">
        <f>"BX255925.1"</f>
        <v>BX255925.1</v>
      </c>
      <c r="I2973" s="3" t="str">
        <f>"sense_overlapping"</f>
        <v>sense_overlapping</v>
      </c>
    </row>
    <row r="2974" spans="1:9" x14ac:dyDescent="0.2">
      <c r="A2974" s="3" t="str">
        <f>"ENSG00000188747.8"</f>
        <v>ENSG00000188747.8</v>
      </c>
      <c r="B2974" s="3">
        <v>145.50106575477699</v>
      </c>
      <c r="C2974" s="3">
        <v>2.4750975275162399</v>
      </c>
      <c r="D2974" s="3">
        <v>0.35308219278063202</v>
      </c>
      <c r="E2974" s="3">
        <v>7.0099755187993997</v>
      </c>
      <c r="F2974" s="4">
        <v>2.38359828311281E-12</v>
      </c>
      <c r="G2974" s="4">
        <v>4.5007555384597799E-11</v>
      </c>
      <c r="H2974" s="3" t="str">
        <f>"NOXA1"</f>
        <v>NOXA1</v>
      </c>
      <c r="I2974" s="3" t="str">
        <f>"protein_coding"</f>
        <v>protein_coding</v>
      </c>
    </row>
    <row r="2975" spans="1:9" x14ac:dyDescent="0.2">
      <c r="A2975" s="3" t="str">
        <f>"ENSG00000188833.9"</f>
        <v>ENSG00000188833.9</v>
      </c>
      <c r="B2975" s="3">
        <v>49.616300213529499</v>
      </c>
      <c r="C2975" s="3">
        <v>2.8773142506976499</v>
      </c>
      <c r="D2975" s="3">
        <v>0.553498789415099</v>
      </c>
      <c r="E2975" s="3">
        <v>5.1984110999379096</v>
      </c>
      <c r="F2975" s="4">
        <v>2.00999212852834E-7</v>
      </c>
      <c r="G2975" s="4">
        <v>1.9427547189078301E-6</v>
      </c>
      <c r="H2975" s="3" t="str">
        <f>"ENTPD8"</f>
        <v>ENTPD8</v>
      </c>
      <c r="I2975" s="3" t="str">
        <f>"protein_coding"</f>
        <v>protein_coding</v>
      </c>
    </row>
    <row r="2976" spans="1:9" x14ac:dyDescent="0.2">
      <c r="A2976" s="3" t="str">
        <f>"ENSG00000165724.6"</f>
        <v>ENSG00000165724.6</v>
      </c>
      <c r="B2976" s="3">
        <v>773.55742298001599</v>
      </c>
      <c r="C2976" s="3">
        <v>-1.52513838857923</v>
      </c>
      <c r="D2976" s="3">
        <v>0.237028241256038</v>
      </c>
      <c r="E2976" s="3">
        <v>-6.4344163399996397</v>
      </c>
      <c r="F2976" s="4">
        <v>1.2394868388464001E-10</v>
      </c>
      <c r="G2976" s="4">
        <v>1.9058858858943498E-9</v>
      </c>
      <c r="H2976" s="3" t="str">
        <f>"ZMYND19"</f>
        <v>ZMYND19</v>
      </c>
      <c r="I2976" s="3" t="str">
        <f>"protein_coding"</f>
        <v>protein_coding</v>
      </c>
    </row>
    <row r="2977" spans="1:9" x14ac:dyDescent="0.2">
      <c r="A2977" s="3" t="str">
        <f>"ENSG00000148408.13"</f>
        <v>ENSG00000148408.13</v>
      </c>
      <c r="B2977" s="3">
        <v>38.0683274582385</v>
      </c>
      <c r="C2977" s="3">
        <v>2.9353812637323098</v>
      </c>
      <c r="D2977" s="3">
        <v>0.63586605755229497</v>
      </c>
      <c r="E2977" s="3">
        <v>4.6163515552815904</v>
      </c>
      <c r="F2977" s="4">
        <v>3.9054514583943396E-6</v>
      </c>
      <c r="G2977" s="4">
        <v>3.0110876029108902E-5</v>
      </c>
      <c r="H2977" s="3" t="str">
        <f>"CACNA1B"</f>
        <v>CACNA1B</v>
      </c>
      <c r="I2977" s="3" t="str">
        <f>"protein_coding"</f>
        <v>protein_coding</v>
      </c>
    </row>
    <row r="2978" spans="1:9" x14ac:dyDescent="0.2">
      <c r="A2978" s="3" t="str">
        <f>"ENSG00000233013.10"</f>
        <v>ENSG00000233013.10</v>
      </c>
      <c r="B2978" s="3">
        <v>44.338953653263601</v>
      </c>
      <c r="C2978" s="3">
        <v>1.82032247442436</v>
      </c>
      <c r="D2978" s="3">
        <v>0.55383061204652795</v>
      </c>
      <c r="E2978" s="3">
        <v>3.2867855890050302</v>
      </c>
      <c r="F2978" s="3">
        <v>1.0133795981778499E-3</v>
      </c>
      <c r="G2978" s="3">
        <v>4.4715067063241703E-3</v>
      </c>
      <c r="H2978" s="3" t="str">
        <f>"FAM157B"</f>
        <v>FAM157B</v>
      </c>
      <c r="I2978" s="3" t="str">
        <f>"transcribed_unprocessed_pseudogene"</f>
        <v>transcribed_unprocessed_pseudogene</v>
      </c>
    </row>
    <row r="2979" spans="1:9" x14ac:dyDescent="0.2">
      <c r="A2979" s="3" t="str">
        <f>"ENSG00000151240.17"</f>
        <v>ENSG00000151240.17</v>
      </c>
      <c r="B2979" s="3">
        <v>1381.9717915384399</v>
      </c>
      <c r="C2979" s="3">
        <v>1.8064395899185299</v>
      </c>
      <c r="D2979" s="3">
        <v>0.19583656613709</v>
      </c>
      <c r="E2979" s="3">
        <v>9.2242201012347191</v>
      </c>
      <c r="F2979" s="4">
        <v>2.8563187983428902E-20</v>
      </c>
      <c r="G2979" s="4">
        <v>1.13614771238611E-18</v>
      </c>
      <c r="H2979" s="3" t="str">
        <f>"DIP2C"</f>
        <v>DIP2C</v>
      </c>
      <c r="I2979" s="3" t="str">
        <f>"protein_coding"</f>
        <v>protein_coding</v>
      </c>
    </row>
    <row r="2980" spans="1:9" x14ac:dyDescent="0.2">
      <c r="A2980" s="3" t="str">
        <f>"ENSG00000263511.1"</f>
        <v>ENSG00000263511.1</v>
      </c>
      <c r="B2980" s="3">
        <v>23.635757813948299</v>
      </c>
      <c r="C2980" s="3">
        <v>2.73506243531522</v>
      </c>
      <c r="D2980" s="3">
        <v>0.77683549451482903</v>
      </c>
      <c r="E2980" s="3">
        <v>3.5207742882853199</v>
      </c>
      <c r="F2980" s="3">
        <v>4.3028871402729299E-4</v>
      </c>
      <c r="G2980" s="3">
        <v>2.0969552121448101E-3</v>
      </c>
      <c r="H2980" s="3" t="str">
        <f>"MIR5699"</f>
        <v>MIR5699</v>
      </c>
      <c r="I2980" s="3" t="str">
        <f>"miRNA"</f>
        <v>miRNA</v>
      </c>
    </row>
    <row r="2981" spans="1:9" x14ac:dyDescent="0.2">
      <c r="A2981" s="3" t="str">
        <f>"ENSG00000180525.12"</f>
        <v>ENSG00000180525.12</v>
      </c>
      <c r="B2981" s="3">
        <v>4061.5082516300899</v>
      </c>
      <c r="C2981" s="3">
        <v>6.1952184977268203</v>
      </c>
      <c r="D2981" s="3">
        <v>0.21799545441861501</v>
      </c>
      <c r="E2981" s="3">
        <v>28.419026049186201</v>
      </c>
      <c r="F2981" s="4">
        <v>1.1769850172856101E-177</v>
      </c>
      <c r="G2981" s="4">
        <v>1.6034655382990601E-173</v>
      </c>
      <c r="H2981" s="3" t="str">
        <f>"PRR26"</f>
        <v>PRR26</v>
      </c>
      <c r="I2981" s="3" t="str">
        <f>"protein_coding"</f>
        <v>protein_coding</v>
      </c>
    </row>
    <row r="2982" spans="1:9" x14ac:dyDescent="0.2">
      <c r="A2982" s="3" t="str">
        <f>"ENSG00000205740.2"</f>
        <v>ENSG00000205740.2</v>
      </c>
      <c r="B2982" s="3">
        <v>94.221853787672998</v>
      </c>
      <c r="C2982" s="3">
        <v>1.3281457255078599</v>
      </c>
      <c r="D2982" s="3">
        <v>0.38013821474468601</v>
      </c>
      <c r="E2982" s="3">
        <v>3.4938495368056701</v>
      </c>
      <c r="F2982" s="3">
        <v>4.7610927048639799E-4</v>
      </c>
      <c r="G2982" s="3">
        <v>2.2952139584116898E-3</v>
      </c>
      <c r="H2982" s="3" t="str">
        <f>"AL359878.1"</f>
        <v>AL359878.1</v>
      </c>
      <c r="I2982" s="3" t="str">
        <f>"processed_transcript"</f>
        <v>processed_transcript</v>
      </c>
    </row>
    <row r="2983" spans="1:9" x14ac:dyDescent="0.2">
      <c r="A2983" s="3" t="str">
        <f>"ENSG00000067064.11"</f>
        <v>ENSG00000067064.11</v>
      </c>
      <c r="B2983" s="3">
        <v>2605.9409682032901</v>
      </c>
      <c r="C2983" s="3">
        <v>-1.1746233499859799</v>
      </c>
      <c r="D2983" s="3">
        <v>0.195547397813948</v>
      </c>
      <c r="E2983" s="3">
        <v>-6.00684725604766</v>
      </c>
      <c r="F2983" s="4">
        <v>1.89165570462937E-9</v>
      </c>
      <c r="G2983" s="4">
        <v>2.46258686020241E-8</v>
      </c>
      <c r="H2983" s="3" t="str">
        <f>"IDI1"</f>
        <v>IDI1</v>
      </c>
      <c r="I2983" s="3" t="str">
        <f>"protein_coding"</f>
        <v>protein_coding</v>
      </c>
    </row>
    <row r="2984" spans="1:9" x14ac:dyDescent="0.2">
      <c r="A2984" s="3" t="str">
        <f>"ENSG00000067057.17"</f>
        <v>ENSG00000067057.17</v>
      </c>
      <c r="B2984" s="3">
        <v>390.06888459037299</v>
      </c>
      <c r="C2984" s="3">
        <v>-2.0721984272310001</v>
      </c>
      <c r="D2984" s="3">
        <v>0.26444655915463899</v>
      </c>
      <c r="E2984" s="3">
        <v>-7.8359818099173797</v>
      </c>
      <c r="F2984" s="4">
        <v>4.6519322429931696E-15</v>
      </c>
      <c r="G2984" s="4">
        <v>1.16178916429729E-13</v>
      </c>
      <c r="H2984" s="3" t="str">
        <f>"PFKP"</f>
        <v>PFKP</v>
      </c>
      <c r="I2984" s="3" t="str">
        <f>"protein_coding"</f>
        <v>protein_coding</v>
      </c>
    </row>
    <row r="2985" spans="1:9" x14ac:dyDescent="0.2">
      <c r="A2985" s="3" t="str">
        <f>"ENSG00000231298.6"</f>
        <v>ENSG00000231298.6</v>
      </c>
      <c r="B2985" s="3">
        <v>65.550858904436893</v>
      </c>
      <c r="C2985" s="3">
        <v>5.1377354730865497</v>
      </c>
      <c r="D2985" s="3">
        <v>0.70269793492498001</v>
      </c>
      <c r="E2985" s="3">
        <v>7.31144239613434</v>
      </c>
      <c r="F2985" s="4">
        <v>2.6428982264281902E-13</v>
      </c>
      <c r="G2985" s="4">
        <v>5.6170864255451498E-12</v>
      </c>
      <c r="H2985" s="3" t="str">
        <f>"MANCR"</f>
        <v>MANCR</v>
      </c>
      <c r="I2985" s="3" t="str">
        <f>"lincRNA"</f>
        <v>lincRNA</v>
      </c>
    </row>
    <row r="2986" spans="1:9" x14ac:dyDescent="0.2">
      <c r="A2986" s="3" t="str">
        <f>"ENSG00000187134.14"</f>
        <v>ENSG00000187134.14</v>
      </c>
      <c r="B2986" s="3">
        <v>23699.378955311899</v>
      </c>
      <c r="C2986" s="3">
        <v>-2.0871588106160801</v>
      </c>
      <c r="D2986" s="3">
        <v>0.20740683666884699</v>
      </c>
      <c r="E2986" s="3">
        <v>-10.063114814043001</v>
      </c>
      <c r="F2986" s="4">
        <v>8.04130982586034E-24</v>
      </c>
      <c r="G2986" s="4">
        <v>4.1030256334310198E-22</v>
      </c>
      <c r="H2986" s="3" t="str">
        <f>"AKR1C1"</f>
        <v>AKR1C1</v>
      </c>
      <c r="I2986" s="3" t="str">
        <f>"protein_coding"</f>
        <v>protein_coding</v>
      </c>
    </row>
    <row r="2987" spans="1:9" x14ac:dyDescent="0.2">
      <c r="A2987" s="3" t="str">
        <f>"ENSG00000151632.17"</f>
        <v>ENSG00000151632.17</v>
      </c>
      <c r="B2987" s="3">
        <v>17477.916689430502</v>
      </c>
      <c r="C2987" s="3">
        <v>-2.2116358606087299</v>
      </c>
      <c r="D2987" s="3">
        <v>0.203157341505078</v>
      </c>
      <c r="E2987" s="3">
        <v>-10.886320150795299</v>
      </c>
      <c r="F2987" s="4">
        <v>1.33943651453623E-27</v>
      </c>
      <c r="G2987" s="4">
        <v>8.8581618231962502E-26</v>
      </c>
      <c r="H2987" s="3" t="str">
        <f>"AKR1C2"</f>
        <v>AKR1C2</v>
      </c>
      <c r="I2987" s="3" t="str">
        <f>"protein_coding"</f>
        <v>protein_coding</v>
      </c>
    </row>
    <row r="2988" spans="1:9" x14ac:dyDescent="0.2">
      <c r="A2988" s="3" t="str">
        <f>"ENSG00000196139.14"</f>
        <v>ENSG00000196139.14</v>
      </c>
      <c r="B2988" s="3">
        <v>3734.3563250070501</v>
      </c>
      <c r="C2988" s="3">
        <v>-1.2125711434327</v>
      </c>
      <c r="D2988" s="3">
        <v>0.19695128227083</v>
      </c>
      <c r="E2988" s="3">
        <v>-6.1567060110087501</v>
      </c>
      <c r="F2988" s="4">
        <v>7.4273540048501998E-10</v>
      </c>
      <c r="G2988" s="4">
        <v>1.0277964173192199E-8</v>
      </c>
      <c r="H2988" s="3" t="str">
        <f>"AKR1C3"</f>
        <v>AKR1C3</v>
      </c>
      <c r="I2988" s="3" t="str">
        <f>"protein_coding"</f>
        <v>protein_coding</v>
      </c>
    </row>
    <row r="2989" spans="1:9" x14ac:dyDescent="0.2">
      <c r="A2989" s="3" t="str">
        <f>"ENSG00000173848.19"</f>
        <v>ENSG00000173848.19</v>
      </c>
      <c r="B2989" s="3">
        <v>3596.0519086845502</v>
      </c>
      <c r="C2989" s="3">
        <v>-1.43426696051897</v>
      </c>
      <c r="D2989" s="3">
        <v>0.18135220064715801</v>
      </c>
      <c r="E2989" s="3">
        <v>-7.9087375581921</v>
      </c>
      <c r="F2989" s="4">
        <v>2.6001209383398E-15</v>
      </c>
      <c r="G2989" s="4">
        <v>6.7025066420950402E-14</v>
      </c>
      <c r="H2989" s="3" t="str">
        <f>"NET1"</f>
        <v>NET1</v>
      </c>
      <c r="I2989" s="3" t="str">
        <f>"protein_coding"</f>
        <v>protein_coding</v>
      </c>
    </row>
    <row r="2990" spans="1:9" x14ac:dyDescent="0.2">
      <c r="A2990" s="3" t="str">
        <f>"ENSG00000228951.1"</f>
        <v>ENSG00000228951.1</v>
      </c>
      <c r="B2990" s="3">
        <v>38.721312300856702</v>
      </c>
      <c r="C2990" s="3">
        <v>7.2206469777870304</v>
      </c>
      <c r="D2990" s="3">
        <v>1.53163700850389</v>
      </c>
      <c r="E2990" s="3">
        <v>4.7143330552192602</v>
      </c>
      <c r="F2990" s="4">
        <v>2.4250373209665001E-6</v>
      </c>
      <c r="G2990" s="4">
        <v>1.9348460288250099E-5</v>
      </c>
      <c r="H2990" s="3" t="str">
        <f>"AL365356.3"</f>
        <v>AL365356.3</v>
      </c>
      <c r="I2990" s="3" t="str">
        <f>"lincRNA"</f>
        <v>lincRNA</v>
      </c>
    </row>
    <row r="2991" spans="1:9" x14ac:dyDescent="0.2">
      <c r="A2991" s="3" t="str">
        <f>"ENSG00000232807.2"</f>
        <v>ENSG00000232807.2</v>
      </c>
      <c r="B2991" s="3">
        <v>9.0346808673217094</v>
      </c>
      <c r="C2991" s="3">
        <v>5.0840131233213501</v>
      </c>
      <c r="D2991" s="3">
        <v>1.7736366201576099</v>
      </c>
      <c r="E2991" s="3">
        <v>2.8664344576227601</v>
      </c>
      <c r="F2991" s="3">
        <v>4.1512410869438002E-3</v>
      </c>
      <c r="G2991" s="3">
        <v>1.5119484814324E-2</v>
      </c>
      <c r="H2991" s="3" t="str">
        <f>"AL137186.2"</f>
        <v>AL137186.2</v>
      </c>
      <c r="I2991" s="3" t="str">
        <f>"antisense"</f>
        <v>antisense</v>
      </c>
    </row>
    <row r="2992" spans="1:9" x14ac:dyDescent="0.2">
      <c r="A2992" s="3" t="str">
        <f>"ENSG00000170525.21"</f>
        <v>ENSG00000170525.21</v>
      </c>
      <c r="B2992" s="3">
        <v>1076.6855043442099</v>
      </c>
      <c r="C2992" s="3">
        <v>-1.01091049357323</v>
      </c>
      <c r="D2992" s="3">
        <v>0.198885199702241</v>
      </c>
      <c r="E2992" s="3">
        <v>-5.0828844734887602</v>
      </c>
      <c r="F2992" s="4">
        <v>3.7174582220421998E-7</v>
      </c>
      <c r="G2992" s="4">
        <v>3.43121897615122E-6</v>
      </c>
      <c r="H2992" s="3" t="str">
        <f>"PFKFB3"</f>
        <v>PFKFB3</v>
      </c>
      <c r="I2992" s="3" t="str">
        <f t="shared" ref="I2992:I3002" si="142">"protein_coding"</f>
        <v>protein_coding</v>
      </c>
    </row>
    <row r="2993" spans="1:9" x14ac:dyDescent="0.2">
      <c r="A2993" s="3" t="str">
        <f>"ENSG00000123243.15"</f>
        <v>ENSG00000123243.15</v>
      </c>
      <c r="B2993" s="3">
        <v>3720.8830725077</v>
      </c>
      <c r="C2993" s="3">
        <v>1.2695351783054101</v>
      </c>
      <c r="D2993" s="3">
        <v>0.18475860612957101</v>
      </c>
      <c r="E2993" s="3">
        <v>6.8713182292308801</v>
      </c>
      <c r="F2993" s="4">
        <v>6.3611310007659496E-12</v>
      </c>
      <c r="G2993" s="4">
        <v>1.14102525594384E-10</v>
      </c>
      <c r="H2993" s="3" t="str">
        <f>"ITIH5"</f>
        <v>ITIH5</v>
      </c>
      <c r="I2993" s="3" t="str">
        <f t="shared" si="142"/>
        <v>protein_coding</v>
      </c>
    </row>
    <row r="2994" spans="1:9" x14ac:dyDescent="0.2">
      <c r="A2994" s="3" t="str">
        <f>"ENSG00000165632.8"</f>
        <v>ENSG00000165632.8</v>
      </c>
      <c r="B2994" s="3">
        <v>1287.7164622211501</v>
      </c>
      <c r="C2994" s="3">
        <v>1.03199642263563</v>
      </c>
      <c r="D2994" s="3">
        <v>0.18901407786493299</v>
      </c>
      <c r="E2994" s="3">
        <v>5.4598918466437203</v>
      </c>
      <c r="F2994" s="4">
        <v>4.7642471924717501E-8</v>
      </c>
      <c r="G2994" s="4">
        <v>5.1186228572297397E-7</v>
      </c>
      <c r="H2994" s="3" t="str">
        <f>"TAF3"</f>
        <v>TAF3</v>
      </c>
      <c r="I2994" s="3" t="str">
        <f t="shared" si="142"/>
        <v>protein_coding</v>
      </c>
    </row>
    <row r="2995" spans="1:9" x14ac:dyDescent="0.2">
      <c r="A2995" s="3" t="str">
        <f>"ENSG00000107485.17"</f>
        <v>ENSG00000107485.17</v>
      </c>
      <c r="B2995" s="3">
        <v>8.7084133940085309</v>
      </c>
      <c r="C2995" s="3">
        <v>3.9758122572447099</v>
      </c>
      <c r="D2995" s="3">
        <v>1.48715549181707</v>
      </c>
      <c r="E2995" s="3">
        <v>2.67343413592004</v>
      </c>
      <c r="F2995" s="3">
        <v>7.5079017803830602E-3</v>
      </c>
      <c r="G2995" s="3">
        <v>2.4965560142799301E-2</v>
      </c>
      <c r="H2995" s="3" t="str">
        <f>"GATA3"</f>
        <v>GATA3</v>
      </c>
      <c r="I2995" s="3" t="str">
        <f t="shared" si="142"/>
        <v>protein_coding</v>
      </c>
    </row>
    <row r="2996" spans="1:9" x14ac:dyDescent="0.2">
      <c r="A2996" s="3" t="str">
        <f>"ENSG00000048740.18"</f>
        <v>ENSG00000048740.18</v>
      </c>
      <c r="B2996" s="3">
        <v>59.514082427404503</v>
      </c>
      <c r="C2996" s="3">
        <v>6.2420338934464903</v>
      </c>
      <c r="D2996" s="3">
        <v>0.94392108193558399</v>
      </c>
      <c r="E2996" s="3">
        <v>6.61287687382372</v>
      </c>
      <c r="F2996" s="4">
        <v>3.76921951981211E-11</v>
      </c>
      <c r="G2996" s="4">
        <v>6.2355752432495703E-10</v>
      </c>
      <c r="H2996" s="3" t="str">
        <f>"CELF2"</f>
        <v>CELF2</v>
      </c>
      <c r="I2996" s="3" t="str">
        <f t="shared" si="142"/>
        <v>protein_coding</v>
      </c>
    </row>
    <row r="2997" spans="1:9" x14ac:dyDescent="0.2">
      <c r="A2997" s="3" t="str">
        <f>"ENSG00000148426.13"</f>
        <v>ENSG00000148426.13</v>
      </c>
      <c r="B2997" s="3">
        <v>526.15970506459701</v>
      </c>
      <c r="C2997" s="3">
        <v>-1.0621298672705499</v>
      </c>
      <c r="D2997" s="3">
        <v>0.229213547640302</v>
      </c>
      <c r="E2997" s="3">
        <v>-4.6338005680943297</v>
      </c>
      <c r="F2997" s="4">
        <v>3.5901287258011899E-6</v>
      </c>
      <c r="G2997" s="4">
        <v>2.7853142765348801E-5</v>
      </c>
      <c r="H2997" s="3" t="str">
        <f>"PROSER2"</f>
        <v>PROSER2</v>
      </c>
      <c r="I2997" s="3" t="str">
        <f t="shared" si="142"/>
        <v>protein_coding</v>
      </c>
    </row>
    <row r="2998" spans="1:9" x14ac:dyDescent="0.2">
      <c r="A2998" s="3" t="str">
        <f>"ENSG00000151468.11"</f>
        <v>ENSG00000151468.11</v>
      </c>
      <c r="B2998" s="3">
        <v>66.544311109405797</v>
      </c>
      <c r="C2998" s="3">
        <v>9.4527522380736695</v>
      </c>
      <c r="D2998" s="3">
        <v>1.5030060141217401</v>
      </c>
      <c r="E2998" s="3">
        <v>6.2892311469540401</v>
      </c>
      <c r="F2998" s="4">
        <v>3.1904212558782398E-10</v>
      </c>
      <c r="G2998" s="4">
        <v>4.61163967951801E-9</v>
      </c>
      <c r="H2998" s="3" t="str">
        <f>"CCDC3"</f>
        <v>CCDC3</v>
      </c>
      <c r="I2998" s="3" t="str">
        <f t="shared" si="142"/>
        <v>protein_coding</v>
      </c>
    </row>
    <row r="2999" spans="1:9" x14ac:dyDescent="0.2">
      <c r="A2999" s="3" t="str">
        <f>"ENSG00000123240.17"</f>
        <v>ENSG00000123240.17</v>
      </c>
      <c r="B2999" s="3">
        <v>1118.92513362457</v>
      </c>
      <c r="C2999" s="3">
        <v>1.750022282163</v>
      </c>
      <c r="D2999" s="3">
        <v>0.19544214172278199</v>
      </c>
      <c r="E2999" s="3">
        <v>8.9541706140595796</v>
      </c>
      <c r="F2999" s="4">
        <v>3.42299130531458E-19</v>
      </c>
      <c r="G2999" s="4">
        <v>1.2191665894889699E-17</v>
      </c>
      <c r="H2999" s="3" t="str">
        <f>"OPTN"</f>
        <v>OPTN</v>
      </c>
      <c r="I2999" s="3" t="str">
        <f t="shared" si="142"/>
        <v>protein_coding</v>
      </c>
    </row>
    <row r="3000" spans="1:9" x14ac:dyDescent="0.2">
      <c r="A3000" s="3" t="str">
        <f>"ENSG00000065328.16"</f>
        <v>ENSG00000065328.16</v>
      </c>
      <c r="B3000" s="3">
        <v>1203.7769118455201</v>
      </c>
      <c r="C3000" s="3">
        <v>-1.31198540214847</v>
      </c>
      <c r="D3000" s="3">
        <v>0.209201093388314</v>
      </c>
      <c r="E3000" s="3">
        <v>-6.2714079591983598</v>
      </c>
      <c r="F3000" s="4">
        <v>3.5779778131671099E-10</v>
      </c>
      <c r="G3000" s="4">
        <v>5.1330053357878497E-9</v>
      </c>
      <c r="H3000" s="3" t="str">
        <f>"MCM10"</f>
        <v>MCM10</v>
      </c>
      <c r="I3000" s="3" t="str">
        <f t="shared" si="142"/>
        <v>protein_coding</v>
      </c>
    </row>
    <row r="3001" spans="1:9" x14ac:dyDescent="0.2">
      <c r="A3001" s="3" t="str">
        <f>"ENSG00000107537.14"</f>
        <v>ENSG00000107537.14</v>
      </c>
      <c r="B3001" s="3">
        <v>1066.7464904338799</v>
      </c>
      <c r="C3001" s="3">
        <v>1.5056183227846101</v>
      </c>
      <c r="D3001" s="3">
        <v>0.201680763626126</v>
      </c>
      <c r="E3001" s="3">
        <v>7.46535413548769</v>
      </c>
      <c r="F3001" s="4">
        <v>8.3075874623896101E-14</v>
      </c>
      <c r="G3001" s="4">
        <v>1.8645538351542801E-12</v>
      </c>
      <c r="H3001" s="3" t="str">
        <f>"PHYH"</f>
        <v>PHYH</v>
      </c>
      <c r="I3001" s="3" t="str">
        <f t="shared" si="142"/>
        <v>protein_coding</v>
      </c>
    </row>
    <row r="3002" spans="1:9" x14ac:dyDescent="0.2">
      <c r="A3002" s="3" t="str">
        <f>"ENSG00000086475.15"</f>
        <v>ENSG00000086475.15</v>
      </c>
      <c r="B3002" s="3">
        <v>1945.15443702209</v>
      </c>
      <c r="C3002" s="3">
        <v>-1.09125274465999</v>
      </c>
      <c r="D3002" s="3">
        <v>0.19786597048236401</v>
      </c>
      <c r="E3002" s="3">
        <v>-5.5151107691721899</v>
      </c>
      <c r="F3002" s="4">
        <v>3.4856035282154899E-8</v>
      </c>
      <c r="G3002" s="4">
        <v>3.8295257795680403E-7</v>
      </c>
      <c r="H3002" s="3" t="str">
        <f>"SEPHS1"</f>
        <v>SEPHS1</v>
      </c>
      <c r="I3002" s="3" t="str">
        <f t="shared" si="142"/>
        <v>protein_coding</v>
      </c>
    </row>
    <row r="3003" spans="1:9" x14ac:dyDescent="0.2">
      <c r="A3003" s="3" t="str">
        <f>"ENSG00000239665.8"</f>
        <v>ENSG00000239665.8</v>
      </c>
      <c r="B3003" s="3">
        <v>917.07821527404599</v>
      </c>
      <c r="C3003" s="3">
        <v>1.63382594094446</v>
      </c>
      <c r="D3003" s="3">
        <v>0.22043084380304401</v>
      </c>
      <c r="E3003" s="3">
        <v>7.4119660967423098</v>
      </c>
      <c r="F3003" s="4">
        <v>1.2444057461535501E-13</v>
      </c>
      <c r="G3003" s="4">
        <v>2.7543723286308401E-12</v>
      </c>
      <c r="H3003" s="3" t="str">
        <f>"AL157392.3"</f>
        <v>AL157392.3</v>
      </c>
      <c r="I3003" s="3" t="str">
        <f>"processed_transcript"</f>
        <v>processed_transcript</v>
      </c>
    </row>
    <row r="3004" spans="1:9" x14ac:dyDescent="0.2">
      <c r="A3004" s="3" t="str">
        <f>"ENSG00000151474.23"</f>
        <v>ENSG00000151474.23</v>
      </c>
      <c r="B3004" s="3">
        <v>59.934403078525001</v>
      </c>
      <c r="C3004" s="3">
        <v>1.93605127181417</v>
      </c>
      <c r="D3004" s="3">
        <v>0.48438843872016601</v>
      </c>
      <c r="E3004" s="3">
        <v>3.99689818553377</v>
      </c>
      <c r="F3004" s="4">
        <v>6.4177887208160405E-5</v>
      </c>
      <c r="G3004" s="3">
        <v>3.8356106443534701E-4</v>
      </c>
      <c r="H3004" s="3" t="str">
        <f>"FRMD4A"</f>
        <v>FRMD4A</v>
      </c>
      <c r="I3004" s="3" t="str">
        <f>"protein_coding"</f>
        <v>protein_coding</v>
      </c>
    </row>
    <row r="3005" spans="1:9" x14ac:dyDescent="0.2">
      <c r="A3005" s="3" t="str">
        <f>"ENSG00000176236.6"</f>
        <v>ENSG00000176236.6</v>
      </c>
      <c r="B3005" s="3">
        <v>14.030815499743399</v>
      </c>
      <c r="C3005" s="3">
        <v>-3.4683700856059199</v>
      </c>
      <c r="D3005" s="3">
        <v>1.06778313369825</v>
      </c>
      <c r="E3005" s="3">
        <v>-3.2481971068350499</v>
      </c>
      <c r="F3005" s="3">
        <v>1.16138787108892E-3</v>
      </c>
      <c r="G3005" s="3">
        <v>5.0324565524344899E-3</v>
      </c>
      <c r="H3005" s="3" t="str">
        <f>"C10orf111"</f>
        <v>C10orf111</v>
      </c>
      <c r="I3005" s="3" t="str">
        <f>"bidirectional_promoter_lncRNA"</f>
        <v>bidirectional_promoter_lncRNA</v>
      </c>
    </row>
    <row r="3006" spans="1:9" x14ac:dyDescent="0.2">
      <c r="A3006" s="3" t="str">
        <f>"ENSG00000148481.14"</f>
        <v>ENSG00000148481.14</v>
      </c>
      <c r="B3006" s="3">
        <v>1015.41102120358</v>
      </c>
      <c r="C3006" s="3">
        <v>1.40719498621354</v>
      </c>
      <c r="D3006" s="3">
        <v>0.216611435270847</v>
      </c>
      <c r="E3006" s="3">
        <v>6.4964021149391602</v>
      </c>
      <c r="F3006" s="4">
        <v>8.2263597090401003E-11</v>
      </c>
      <c r="G3006" s="4">
        <v>1.2952733214900599E-9</v>
      </c>
      <c r="H3006" s="3" t="str">
        <f>"MINDY3"</f>
        <v>MINDY3</v>
      </c>
      <c r="I3006" s="3" t="str">
        <f t="shared" ref="I3006:I3011" si="143">"protein_coding"</f>
        <v>protein_coding</v>
      </c>
    </row>
    <row r="3007" spans="1:9" x14ac:dyDescent="0.2">
      <c r="A3007" s="3" t="str">
        <f>"ENSG00000165985.10"</f>
        <v>ENSG00000165985.10</v>
      </c>
      <c r="B3007" s="3">
        <v>79.969770148809502</v>
      </c>
      <c r="C3007" s="3">
        <v>9.7169997097365002</v>
      </c>
      <c r="D3007" s="3">
        <v>1.4957615028819</v>
      </c>
      <c r="E3007" s="3">
        <v>6.4963563315506399</v>
      </c>
      <c r="F3007" s="4">
        <v>8.2288623316302797E-11</v>
      </c>
      <c r="G3007" s="4">
        <v>1.2952733214900599E-9</v>
      </c>
      <c r="H3007" s="3" t="str">
        <f>"C1QL3"</f>
        <v>C1QL3</v>
      </c>
      <c r="I3007" s="3" t="str">
        <f t="shared" si="143"/>
        <v>protein_coding</v>
      </c>
    </row>
    <row r="3008" spans="1:9" x14ac:dyDescent="0.2">
      <c r="A3008" s="3" t="str">
        <f>"ENSG00000260314.3"</f>
        <v>ENSG00000260314.3</v>
      </c>
      <c r="B3008" s="3">
        <v>8.4489029785780794</v>
      </c>
      <c r="C3008" s="3">
        <v>3.3027777384023702</v>
      </c>
      <c r="D3008" s="3">
        <v>1.34419997967214</v>
      </c>
      <c r="E3008" s="3">
        <v>2.4570583159865498</v>
      </c>
      <c r="F3008" s="3">
        <v>1.40079945565927E-2</v>
      </c>
      <c r="G3008" s="3">
        <v>4.2225448355291698E-2</v>
      </c>
      <c r="H3008" s="3" t="str">
        <f>"MRC1"</f>
        <v>MRC1</v>
      </c>
      <c r="I3008" s="3" t="str">
        <f t="shared" si="143"/>
        <v>protein_coding</v>
      </c>
    </row>
    <row r="3009" spans="1:9" x14ac:dyDescent="0.2">
      <c r="A3009" s="3" t="str">
        <f>"ENSG00000165995.20"</f>
        <v>ENSG00000165995.20</v>
      </c>
      <c r="B3009" s="3">
        <v>22.4750443285374</v>
      </c>
      <c r="C3009" s="3">
        <v>5.40626529643583</v>
      </c>
      <c r="D3009" s="3">
        <v>1.22768440123208</v>
      </c>
      <c r="E3009" s="3">
        <v>4.4036279120352297</v>
      </c>
      <c r="F3009" s="4">
        <v>1.06455468292565E-5</v>
      </c>
      <c r="G3009" s="4">
        <v>7.5261861561170805E-5</v>
      </c>
      <c r="H3009" s="3" t="str">
        <f>"CACNB2"</f>
        <v>CACNB2</v>
      </c>
      <c r="I3009" s="3" t="str">
        <f t="shared" si="143"/>
        <v>protein_coding</v>
      </c>
    </row>
    <row r="3010" spans="1:9" x14ac:dyDescent="0.2">
      <c r="A3010" s="3" t="str">
        <f>"ENSG00000120594.17"</f>
        <v>ENSG00000120594.17</v>
      </c>
      <c r="B3010" s="3">
        <v>222.36429086835199</v>
      </c>
      <c r="C3010" s="3">
        <v>-1.4007624868299799</v>
      </c>
      <c r="D3010" s="3">
        <v>0.31556864100448101</v>
      </c>
      <c r="E3010" s="3">
        <v>-4.4388519796239301</v>
      </c>
      <c r="F3010" s="4">
        <v>9.0439986269774193E-6</v>
      </c>
      <c r="G3010" s="4">
        <v>6.4984659965520506E-5</v>
      </c>
      <c r="H3010" s="3" t="str">
        <f>"PLXDC2"</f>
        <v>PLXDC2</v>
      </c>
      <c r="I3010" s="3" t="str">
        <f t="shared" si="143"/>
        <v>protein_coding</v>
      </c>
    </row>
    <row r="3011" spans="1:9" x14ac:dyDescent="0.2">
      <c r="A3011" s="3" t="str">
        <f>"ENSG00000078114.18"</f>
        <v>ENSG00000078114.18</v>
      </c>
      <c r="B3011" s="3">
        <v>20.515685296857502</v>
      </c>
      <c r="C3011" s="3">
        <v>4.23439635672786</v>
      </c>
      <c r="D3011" s="3">
        <v>1.02481884933575</v>
      </c>
      <c r="E3011" s="3">
        <v>4.1318486281477202</v>
      </c>
      <c r="F3011" s="4">
        <v>3.5985738047381397E-5</v>
      </c>
      <c r="G3011" s="3">
        <v>2.2651894502515599E-4</v>
      </c>
      <c r="H3011" s="3" t="str">
        <f>"NEBL"</f>
        <v>NEBL</v>
      </c>
      <c r="I3011" s="3" t="str">
        <f t="shared" si="143"/>
        <v>protein_coding</v>
      </c>
    </row>
    <row r="3012" spans="1:9" x14ac:dyDescent="0.2">
      <c r="A3012" s="3" t="str">
        <f>"ENSG00000230109.1"</f>
        <v>ENSG00000230109.1</v>
      </c>
      <c r="B3012" s="3">
        <v>9.0257880262555208</v>
      </c>
      <c r="C3012" s="3">
        <v>6.5668556734322499</v>
      </c>
      <c r="D3012" s="3">
        <v>1.8107759708573501</v>
      </c>
      <c r="E3012" s="3">
        <v>3.6265423106553798</v>
      </c>
      <c r="F3012" s="3">
        <v>2.8724177109993898E-4</v>
      </c>
      <c r="G3012" s="3">
        <v>1.4656323103295901E-3</v>
      </c>
      <c r="H3012" s="3" t="str">
        <f>"LINC02643"</f>
        <v>LINC02643</v>
      </c>
      <c r="I3012" s="3" t="str">
        <f>"lincRNA"</f>
        <v>lincRNA</v>
      </c>
    </row>
    <row r="3013" spans="1:9" x14ac:dyDescent="0.2">
      <c r="A3013" s="3" t="str">
        <f>"ENSG00000150867.14"</f>
        <v>ENSG00000150867.14</v>
      </c>
      <c r="B3013" s="3">
        <v>1544.20050062617</v>
      </c>
      <c r="C3013" s="3">
        <v>-1.3845529657525399</v>
      </c>
      <c r="D3013" s="3">
        <v>0.19125983591402099</v>
      </c>
      <c r="E3013" s="3">
        <v>-7.23912032620873</v>
      </c>
      <c r="F3013" s="4">
        <v>4.51604239223499E-13</v>
      </c>
      <c r="G3013" s="4">
        <v>9.3715618477705099E-12</v>
      </c>
      <c r="H3013" s="3" t="str">
        <f>"PIP4K2A"</f>
        <v>PIP4K2A</v>
      </c>
      <c r="I3013" s="3" t="str">
        <f>"protein_coding"</f>
        <v>protein_coding</v>
      </c>
    </row>
    <row r="3014" spans="1:9" x14ac:dyDescent="0.2">
      <c r="A3014" s="3" t="str">
        <f>"ENSG00000165309.14"</f>
        <v>ENSG00000165309.14</v>
      </c>
      <c r="B3014" s="3">
        <v>5.2844144803744602</v>
      </c>
      <c r="C3014" s="3">
        <v>5.7963924222255896</v>
      </c>
      <c r="D3014" s="3">
        <v>2.0064078652252801</v>
      </c>
      <c r="E3014" s="3">
        <v>2.8889402412578602</v>
      </c>
      <c r="F3014" s="3">
        <v>3.8654252525083602E-3</v>
      </c>
      <c r="G3014" s="3">
        <v>1.42326002506886E-2</v>
      </c>
      <c r="H3014" s="3" t="str">
        <f>"ARMC3"</f>
        <v>ARMC3</v>
      </c>
      <c r="I3014" s="3" t="str">
        <f>"protein_coding"</f>
        <v>protein_coding</v>
      </c>
    </row>
    <row r="3015" spans="1:9" x14ac:dyDescent="0.2">
      <c r="A3015" s="3" t="str">
        <f>"ENSG00000277563.1"</f>
        <v>ENSG00000277563.1</v>
      </c>
      <c r="B3015" s="3">
        <v>20.286493904046601</v>
      </c>
      <c r="C3015" s="3">
        <v>-2.6368318927902301</v>
      </c>
      <c r="D3015" s="3">
        <v>0.82379575386683501</v>
      </c>
      <c r="E3015" s="3">
        <v>-3.2008320999630602</v>
      </c>
      <c r="F3015" s="3">
        <v>1.3703135544975199E-3</v>
      </c>
      <c r="G3015" s="3">
        <v>5.8130053587721903E-3</v>
      </c>
      <c r="H3015" s="3" t="str">
        <f>"AC063961.1"</f>
        <v>AC063961.1</v>
      </c>
      <c r="I3015" s="3" t="str">
        <f>"misc_RNA"</f>
        <v>misc_RNA</v>
      </c>
    </row>
    <row r="3016" spans="1:9" x14ac:dyDescent="0.2">
      <c r="A3016" s="3" t="str">
        <f>"ENSG00000185875.13"</f>
        <v>ENSG00000185875.13</v>
      </c>
      <c r="B3016" s="3">
        <v>214.16307100185699</v>
      </c>
      <c r="C3016" s="3">
        <v>1.42358420454473</v>
      </c>
      <c r="D3016" s="3">
        <v>0.30027777237120901</v>
      </c>
      <c r="E3016" s="3">
        <v>4.7408910533173598</v>
      </c>
      <c r="F3016" s="4">
        <v>2.1278033404759E-6</v>
      </c>
      <c r="G3016" s="4">
        <v>1.7224081288754201E-5</v>
      </c>
      <c r="H3016" s="3" t="str">
        <f>"THNSL1"</f>
        <v>THNSL1</v>
      </c>
      <c r="I3016" s="3" t="str">
        <f t="shared" ref="I3016:I3021" si="144">"protein_coding"</f>
        <v>protein_coding</v>
      </c>
    </row>
    <row r="3017" spans="1:9" x14ac:dyDescent="0.2">
      <c r="A3017" s="3" t="str">
        <f>"ENSG00000151025.11"</f>
        <v>ENSG00000151025.11</v>
      </c>
      <c r="B3017" s="3">
        <v>9.6205021249753599</v>
      </c>
      <c r="C3017" s="3">
        <v>5.1757068744234802</v>
      </c>
      <c r="D3017" s="3">
        <v>1.7585760456948401</v>
      </c>
      <c r="E3017" s="3">
        <v>2.9431237205204099</v>
      </c>
      <c r="F3017" s="3">
        <v>3.2491854001738302E-3</v>
      </c>
      <c r="G3017" s="3">
        <v>1.22754512754487E-2</v>
      </c>
      <c r="H3017" s="3" t="str">
        <f>"GPR158"</f>
        <v>GPR158</v>
      </c>
      <c r="I3017" s="3" t="str">
        <f t="shared" si="144"/>
        <v>protein_coding</v>
      </c>
    </row>
    <row r="3018" spans="1:9" x14ac:dyDescent="0.2">
      <c r="A3018" s="3" t="str">
        <f>"ENSG00000095777.16"</f>
        <v>ENSG00000095777.16</v>
      </c>
      <c r="B3018" s="3">
        <v>7.1566041485014402</v>
      </c>
      <c r="C3018" s="3">
        <v>6.2348322409822696</v>
      </c>
      <c r="D3018" s="3">
        <v>1.8739066662439701</v>
      </c>
      <c r="E3018" s="3">
        <v>3.32718398055506</v>
      </c>
      <c r="F3018" s="3">
        <v>8.7728431726666605E-4</v>
      </c>
      <c r="G3018" s="3">
        <v>3.9334154669351399E-3</v>
      </c>
      <c r="H3018" s="3" t="str">
        <f>"MYO3A"</f>
        <v>MYO3A</v>
      </c>
      <c r="I3018" s="3" t="str">
        <f t="shared" si="144"/>
        <v>protein_coding</v>
      </c>
    </row>
    <row r="3019" spans="1:9" x14ac:dyDescent="0.2">
      <c r="A3019" s="3" t="str">
        <f>"ENSG00000077420.16"</f>
        <v>ENSG00000077420.16</v>
      </c>
      <c r="B3019" s="3">
        <v>4.3302005939076098</v>
      </c>
      <c r="C3019" s="3">
        <v>5.5088803257156904</v>
      </c>
      <c r="D3019" s="3">
        <v>2.1104502212244198</v>
      </c>
      <c r="E3019" s="3">
        <v>2.6102867863519599</v>
      </c>
      <c r="F3019" s="3">
        <v>9.0466346159683401E-3</v>
      </c>
      <c r="G3019" s="3">
        <v>2.9246992570157698E-2</v>
      </c>
      <c r="H3019" s="3" t="str">
        <f>"APBB1IP"</f>
        <v>APBB1IP</v>
      </c>
      <c r="I3019" s="3" t="str">
        <f t="shared" si="144"/>
        <v>protein_coding</v>
      </c>
    </row>
    <row r="3020" spans="1:9" x14ac:dyDescent="0.2">
      <c r="A3020" s="3" t="str">
        <f>"ENSG00000169126.15"</f>
        <v>ENSG00000169126.15</v>
      </c>
      <c r="B3020" s="3">
        <v>4.5506350131209503</v>
      </c>
      <c r="C3020" s="3">
        <v>5.5810926405007502</v>
      </c>
      <c r="D3020" s="3">
        <v>2.0811975347712699</v>
      </c>
      <c r="E3020" s="3">
        <v>2.6816736745337999</v>
      </c>
      <c r="F3020" s="3">
        <v>7.3254878825888504E-3</v>
      </c>
      <c r="G3020" s="3">
        <v>2.4457489074488199E-2</v>
      </c>
      <c r="H3020" s="3" t="str">
        <f>"ARMC4"</f>
        <v>ARMC4</v>
      </c>
      <c r="I3020" s="3" t="str">
        <f t="shared" si="144"/>
        <v>protein_coding</v>
      </c>
    </row>
    <row r="3021" spans="1:9" x14ac:dyDescent="0.2">
      <c r="A3021" s="3" t="str">
        <f>"ENSG00000150054.18"</f>
        <v>ENSG00000150054.18</v>
      </c>
      <c r="B3021" s="3">
        <v>499.15184850598303</v>
      </c>
      <c r="C3021" s="3">
        <v>-2.39165625335399</v>
      </c>
      <c r="D3021" s="3">
        <v>0.23094455753100299</v>
      </c>
      <c r="E3021" s="3">
        <v>-10.355975819144</v>
      </c>
      <c r="F3021" s="4">
        <v>3.9315678875511501E-25</v>
      </c>
      <c r="G3021" s="4">
        <v>2.20873052024961E-23</v>
      </c>
      <c r="H3021" s="3" t="str">
        <f>"MPP7"</f>
        <v>MPP7</v>
      </c>
      <c r="I3021" s="3" t="str">
        <f t="shared" si="144"/>
        <v>protein_coding</v>
      </c>
    </row>
    <row r="3022" spans="1:9" x14ac:dyDescent="0.2">
      <c r="A3022" s="3" t="str">
        <f>"ENSG00000254635.5"</f>
        <v>ENSG00000254635.5</v>
      </c>
      <c r="B3022" s="3">
        <v>304.531320761632</v>
      </c>
      <c r="C3022" s="3">
        <v>1.39743221308706</v>
      </c>
      <c r="D3022" s="3">
        <v>0.278922441479315</v>
      </c>
      <c r="E3022" s="3">
        <v>5.0101103578310902</v>
      </c>
      <c r="F3022" s="4">
        <v>5.4398831785347302E-7</v>
      </c>
      <c r="G3022" s="4">
        <v>4.8788840344152701E-6</v>
      </c>
      <c r="H3022" s="3" t="str">
        <f>"WAC-AS1"</f>
        <v>WAC-AS1</v>
      </c>
      <c r="I3022" s="3" t="str">
        <f>"antisense"</f>
        <v>antisense</v>
      </c>
    </row>
    <row r="3023" spans="1:9" x14ac:dyDescent="0.2">
      <c r="A3023" s="3" t="str">
        <f>"ENSG00000165757.9"</f>
        <v>ENSG00000165757.9</v>
      </c>
      <c r="B3023" s="3">
        <v>153.754442452815</v>
      </c>
      <c r="C3023" s="3">
        <v>5.3736785985581399</v>
      </c>
      <c r="D3023" s="3">
        <v>0.49548404498955301</v>
      </c>
      <c r="E3023" s="3">
        <v>10.8453110708569</v>
      </c>
      <c r="F3023" s="4">
        <v>2.0992053617189702E-27</v>
      </c>
      <c r="G3023" s="4">
        <v>1.3716318582915301E-25</v>
      </c>
      <c r="H3023" s="3" t="str">
        <f>"JCAD"</f>
        <v>JCAD</v>
      </c>
      <c r="I3023" s="3" t="str">
        <f>"protein_coding"</f>
        <v>protein_coding</v>
      </c>
    </row>
    <row r="3024" spans="1:9" x14ac:dyDescent="0.2">
      <c r="A3024" s="3" t="str">
        <f>"ENSG00000259994.1"</f>
        <v>ENSG00000259994.1</v>
      </c>
      <c r="B3024" s="3">
        <v>43.049220951325402</v>
      </c>
      <c r="C3024" s="3">
        <v>-1.3629281072492101</v>
      </c>
      <c r="D3024" s="3">
        <v>0.53270064160128106</v>
      </c>
      <c r="E3024" s="3">
        <v>-2.5585253720594201</v>
      </c>
      <c r="F3024" s="3">
        <v>1.05117149123123E-2</v>
      </c>
      <c r="G3024" s="3">
        <v>3.3176496723708301E-2</v>
      </c>
      <c r="H3024" s="3" t="str">
        <f>"AL353796.1"</f>
        <v>AL353796.1</v>
      </c>
      <c r="I3024" s="3" t="str">
        <f>"sense_overlapping"</f>
        <v>sense_overlapping</v>
      </c>
    </row>
    <row r="3025" spans="1:9" x14ac:dyDescent="0.2">
      <c r="A3025" s="3" t="str">
        <f>"ENSG00000237036.4"</f>
        <v>ENSG00000237036.4</v>
      </c>
      <c r="B3025" s="3">
        <v>155.04280832612099</v>
      </c>
      <c r="C3025" s="3">
        <v>1.3042216236523601</v>
      </c>
      <c r="D3025" s="3">
        <v>0.31763817249897602</v>
      </c>
      <c r="E3025" s="3">
        <v>4.1059977564773398</v>
      </c>
      <c r="F3025" s="4">
        <v>4.0257338678197403E-5</v>
      </c>
      <c r="G3025" s="3">
        <v>2.5100496726884302E-4</v>
      </c>
      <c r="H3025" s="3" t="str">
        <f>"ZEB1-AS1"</f>
        <v>ZEB1-AS1</v>
      </c>
      <c r="I3025" s="3" t="str">
        <f>"antisense"</f>
        <v>antisense</v>
      </c>
    </row>
    <row r="3026" spans="1:9" x14ac:dyDescent="0.2">
      <c r="A3026" s="3" t="str">
        <f>"ENSG00000271335.5"</f>
        <v>ENSG00000271335.5</v>
      </c>
      <c r="B3026" s="3">
        <v>69.952376607944501</v>
      </c>
      <c r="C3026" s="3">
        <v>1.41180672230131</v>
      </c>
      <c r="D3026" s="3">
        <v>0.44168591616570002</v>
      </c>
      <c r="E3026" s="3">
        <v>3.1964042108412301</v>
      </c>
      <c r="F3026" s="3">
        <v>1.39152021675512E-3</v>
      </c>
      <c r="G3026" s="3">
        <v>5.8904636031263703E-3</v>
      </c>
      <c r="H3026" s="3" t="str">
        <f>"AL117336.2"</f>
        <v>AL117336.2</v>
      </c>
      <c r="I3026" s="3" t="str">
        <f>"antisense"</f>
        <v>antisense</v>
      </c>
    </row>
    <row r="3027" spans="1:9" x14ac:dyDescent="0.2">
      <c r="A3027" s="3" t="str">
        <f>"ENSG00000148513.17"</f>
        <v>ENSG00000148513.17</v>
      </c>
      <c r="B3027" s="3">
        <v>10.608072855928601</v>
      </c>
      <c r="C3027" s="3">
        <v>6.8042318673040301</v>
      </c>
      <c r="D3027" s="3">
        <v>1.74687561460354</v>
      </c>
      <c r="E3027" s="3">
        <v>3.89508663949624</v>
      </c>
      <c r="F3027" s="4">
        <v>9.8163635480665094E-5</v>
      </c>
      <c r="G3027" s="3">
        <v>5.62968759406795E-4</v>
      </c>
      <c r="H3027" s="3" t="str">
        <f>"ANKRD30A"</f>
        <v>ANKRD30A</v>
      </c>
      <c r="I3027" s="3" t="str">
        <f>"protein_coding"</f>
        <v>protein_coding</v>
      </c>
    </row>
    <row r="3028" spans="1:9" x14ac:dyDescent="0.2">
      <c r="A3028" s="3" t="str">
        <f>"ENSG00000075407.18"</f>
        <v>ENSG00000075407.18</v>
      </c>
      <c r="B3028" s="3">
        <v>3622.1168990186702</v>
      </c>
      <c r="C3028" s="3">
        <v>1.7402574790501</v>
      </c>
      <c r="D3028" s="3">
        <v>0.21884361830913901</v>
      </c>
      <c r="E3028" s="3">
        <v>7.9520595231239604</v>
      </c>
      <c r="F3028" s="4">
        <v>1.83436074531928E-15</v>
      </c>
      <c r="G3028" s="4">
        <v>4.7874366729940302E-14</v>
      </c>
      <c r="H3028" s="3" t="str">
        <f>"ZNF37A"</f>
        <v>ZNF37A</v>
      </c>
      <c r="I3028" s="3" t="str">
        <f>"protein_coding"</f>
        <v>protein_coding</v>
      </c>
    </row>
    <row r="3029" spans="1:9" x14ac:dyDescent="0.2">
      <c r="A3029" s="3" t="str">
        <f>"ENSG00000283930.1"</f>
        <v>ENSG00000283930.1</v>
      </c>
      <c r="B3029" s="3">
        <v>280.019011637034</v>
      </c>
      <c r="C3029" s="3">
        <v>1.7085931222608799</v>
      </c>
      <c r="D3029" s="3">
        <v>0.31431875453385999</v>
      </c>
      <c r="E3029" s="3">
        <v>5.4358612001843696</v>
      </c>
      <c r="F3029" s="4">
        <v>5.45323941561476E-8</v>
      </c>
      <c r="G3029" s="4">
        <v>5.79954778912004E-7</v>
      </c>
      <c r="H3029" s="3" t="str">
        <f>"AL117339.5"</f>
        <v>AL117339.5</v>
      </c>
      <c r="I3029" s="3" t="str">
        <f>"protein_coding"</f>
        <v>protein_coding</v>
      </c>
    </row>
    <row r="3030" spans="1:9" x14ac:dyDescent="0.2">
      <c r="A3030" s="3" t="str">
        <f>"ENSG00000272983.1"</f>
        <v>ENSG00000272983.1</v>
      </c>
      <c r="B3030" s="3">
        <v>140.796525905561</v>
      </c>
      <c r="C3030" s="3">
        <v>1.87169203122756</v>
      </c>
      <c r="D3030" s="3">
        <v>0.33293774084599298</v>
      </c>
      <c r="E3030" s="3">
        <v>5.6217478573369197</v>
      </c>
      <c r="F3030" s="4">
        <v>1.8903503476025699E-8</v>
      </c>
      <c r="G3030" s="4">
        <v>2.16413344206417E-7</v>
      </c>
      <c r="H3030" s="3" t="str">
        <f>"AL117339.4"</f>
        <v>AL117339.4</v>
      </c>
      <c r="I3030" s="3" t="str">
        <f>"lincRNA"</f>
        <v>lincRNA</v>
      </c>
    </row>
    <row r="3031" spans="1:9" x14ac:dyDescent="0.2">
      <c r="A3031" s="3" t="str">
        <f>"ENSG00000099251.14"</f>
        <v>ENSG00000099251.14</v>
      </c>
      <c r="B3031" s="3">
        <v>453.04458411229899</v>
      </c>
      <c r="C3031" s="3">
        <v>1.7714426884740899</v>
      </c>
      <c r="D3031" s="3">
        <v>0.25405473288677999</v>
      </c>
      <c r="E3031" s="3">
        <v>6.9726813129812202</v>
      </c>
      <c r="F3031" s="4">
        <v>3.1095650078167199E-12</v>
      </c>
      <c r="G3031" s="4">
        <v>5.7992003947968703E-11</v>
      </c>
      <c r="H3031" s="3" t="str">
        <f>"HSD17B7P2"</f>
        <v>HSD17B7P2</v>
      </c>
      <c r="I3031" s="3" t="str">
        <f>"transcribed_unprocessed_pseudogene"</f>
        <v>transcribed_unprocessed_pseudogene</v>
      </c>
    </row>
    <row r="3032" spans="1:9" x14ac:dyDescent="0.2">
      <c r="A3032" s="3" t="str">
        <f>"ENSG00000196693.15"</f>
        <v>ENSG00000196693.15</v>
      </c>
      <c r="B3032" s="3">
        <v>1857.73601312292</v>
      </c>
      <c r="C3032" s="3">
        <v>1.2818690666311401</v>
      </c>
      <c r="D3032" s="3">
        <v>0.230054257515247</v>
      </c>
      <c r="E3032" s="3">
        <v>5.5720293137638803</v>
      </c>
      <c r="F3032" s="4">
        <v>2.5178904095183298E-8</v>
      </c>
      <c r="G3032" s="4">
        <v>2.8325947378007103E-7</v>
      </c>
      <c r="H3032" s="3" t="str">
        <f>"ZNF33B"</f>
        <v>ZNF33B</v>
      </c>
      <c r="I3032" s="3" t="str">
        <f>"protein_coding"</f>
        <v>protein_coding</v>
      </c>
    </row>
    <row r="3033" spans="1:9" x14ac:dyDescent="0.2">
      <c r="A3033" s="3" t="str">
        <f>"ENSG00000233515.1"</f>
        <v>ENSG00000233515.1</v>
      </c>
      <c r="B3033" s="3">
        <v>5.9457177380145003</v>
      </c>
      <c r="C3033" s="3">
        <v>5.9678110559896602</v>
      </c>
      <c r="D3033" s="3">
        <v>1.9490680149737301</v>
      </c>
      <c r="E3033" s="3">
        <v>3.0618793239342601</v>
      </c>
      <c r="F3033" s="3">
        <v>2.1995210751093899E-3</v>
      </c>
      <c r="G3033" s="3">
        <v>8.7349294175055308E-3</v>
      </c>
      <c r="H3033" s="3" t="str">
        <f>"LINC01518"</f>
        <v>LINC01518</v>
      </c>
      <c r="I3033" s="3" t="str">
        <f>"lincRNA"</f>
        <v>lincRNA</v>
      </c>
    </row>
    <row r="3034" spans="1:9" x14ac:dyDescent="0.2">
      <c r="A3034" s="3" t="str">
        <f>"ENSG00000259869.2"</f>
        <v>ENSG00000259869.2</v>
      </c>
      <c r="B3034" s="3">
        <v>3.9285756506605498</v>
      </c>
      <c r="C3034" s="3">
        <v>5.37376557133706</v>
      </c>
      <c r="D3034" s="3">
        <v>2.1769892180050601</v>
      </c>
      <c r="E3034" s="3">
        <v>2.46843922188161</v>
      </c>
      <c r="F3034" s="3">
        <v>1.35703694853358E-2</v>
      </c>
      <c r="G3034" s="3">
        <v>4.1065669334892897E-2</v>
      </c>
      <c r="H3034" s="3" t="str">
        <f>"AL022344.1"</f>
        <v>AL022344.1</v>
      </c>
      <c r="I3034" s="3" t="str">
        <f>"lincRNA"</f>
        <v>lincRNA</v>
      </c>
    </row>
    <row r="3035" spans="1:9" x14ac:dyDescent="0.2">
      <c r="A3035" s="3" t="str">
        <f>"ENSG00000165731.19"</f>
        <v>ENSG00000165731.19</v>
      </c>
      <c r="B3035" s="3">
        <v>7.7875563520280204</v>
      </c>
      <c r="C3035" s="3">
        <v>4.8635847156443202</v>
      </c>
      <c r="D3035" s="3">
        <v>1.82118885625509</v>
      </c>
      <c r="E3035" s="3">
        <v>2.6705548405591002</v>
      </c>
      <c r="F3035" s="3">
        <v>7.5726000445634897E-3</v>
      </c>
      <c r="G3035" s="3">
        <v>2.51597031038687E-2</v>
      </c>
      <c r="H3035" s="3" t="str">
        <f>"RET"</f>
        <v>RET</v>
      </c>
      <c r="I3035" s="3" t="str">
        <f>"protein_coding"</f>
        <v>protein_coding</v>
      </c>
    </row>
    <row r="3036" spans="1:9" x14ac:dyDescent="0.2">
      <c r="A3036" s="3" t="str">
        <f>"ENSG00000273008.1"</f>
        <v>ENSG00000273008.1</v>
      </c>
      <c r="B3036" s="3">
        <v>35.0210395884394</v>
      </c>
      <c r="C3036" s="3">
        <v>1.7486065414130001</v>
      </c>
      <c r="D3036" s="3">
        <v>0.61342056838897996</v>
      </c>
      <c r="E3036" s="3">
        <v>2.8505834846805702</v>
      </c>
      <c r="F3036" s="3">
        <v>4.3639092670426996E-3</v>
      </c>
      <c r="G3036" s="3">
        <v>1.5782245261363501E-2</v>
      </c>
      <c r="H3036" s="3" t="str">
        <f>"AC010864.1"</f>
        <v>AC010864.1</v>
      </c>
      <c r="I3036" s="3" t="str">
        <f>"lincRNA"</f>
        <v>lincRNA</v>
      </c>
    </row>
    <row r="3037" spans="1:9" x14ac:dyDescent="0.2">
      <c r="A3037" s="3" t="str">
        <f>"ENSG00000169826.8"</f>
        <v>ENSG00000169826.8</v>
      </c>
      <c r="B3037" s="3">
        <v>1302.0018988346701</v>
      </c>
      <c r="C3037" s="3">
        <v>1.9640428062769899</v>
      </c>
      <c r="D3037" s="3">
        <v>0.22295991913251501</v>
      </c>
      <c r="E3037" s="3">
        <v>8.8089501194592401</v>
      </c>
      <c r="F3037" s="4">
        <v>1.26323378443592E-18</v>
      </c>
      <c r="G3037" s="4">
        <v>4.3294755879906199E-17</v>
      </c>
      <c r="H3037" s="3" t="str">
        <f>"CSGALNACT2"</f>
        <v>CSGALNACT2</v>
      </c>
      <c r="I3037" s="3" t="str">
        <f>"protein_coding"</f>
        <v>protein_coding</v>
      </c>
    </row>
    <row r="3038" spans="1:9" x14ac:dyDescent="0.2">
      <c r="A3038" s="3" t="str">
        <f>"ENSG00000165507.8"</f>
        <v>ENSG00000165507.8</v>
      </c>
      <c r="B3038" s="3">
        <v>2469.3489343077999</v>
      </c>
      <c r="C3038" s="3">
        <v>1.95311840103117</v>
      </c>
      <c r="D3038" s="3">
        <v>0.24621378865964499</v>
      </c>
      <c r="E3038" s="3">
        <v>7.9326117828887099</v>
      </c>
      <c r="F3038" s="4">
        <v>2.1458442012575802E-15</v>
      </c>
      <c r="G3038" s="4">
        <v>5.57367177804245E-14</v>
      </c>
      <c r="H3038" s="3" t="str">
        <f>"DEPP1"</f>
        <v>DEPP1</v>
      </c>
      <c r="I3038" s="3" t="str">
        <f>"protein_coding"</f>
        <v>protein_coding</v>
      </c>
    </row>
    <row r="3039" spans="1:9" x14ac:dyDescent="0.2">
      <c r="A3039" s="3" t="str">
        <f>"ENSG00000256574.7"</f>
        <v>ENSG00000256574.7</v>
      </c>
      <c r="B3039" s="3">
        <v>4.5143969083142101</v>
      </c>
      <c r="C3039" s="3">
        <v>5.5706196242912496</v>
      </c>
      <c r="D3039" s="3">
        <v>2.0836382646555101</v>
      </c>
      <c r="E3039" s="3">
        <v>2.6735061064988899</v>
      </c>
      <c r="F3039" s="3">
        <v>7.5062909580529899E-3</v>
      </c>
      <c r="G3039" s="3">
        <v>2.4963250303194202E-2</v>
      </c>
      <c r="H3039" s="3" t="str">
        <f>"OR13A1"</f>
        <v>OR13A1</v>
      </c>
      <c r="I3039" s="3" t="str">
        <f>"protein_coding"</f>
        <v>protein_coding</v>
      </c>
    </row>
    <row r="3040" spans="1:9" x14ac:dyDescent="0.2">
      <c r="A3040" s="3" t="str">
        <f>"ENSG00000012779.11"</f>
        <v>ENSG00000012779.11</v>
      </c>
      <c r="B3040" s="3">
        <v>174.838196262118</v>
      </c>
      <c r="C3040" s="3">
        <v>7.8094370613531696</v>
      </c>
      <c r="D3040" s="3">
        <v>0.89267598642896395</v>
      </c>
      <c r="E3040" s="3">
        <v>8.7483445058198797</v>
      </c>
      <c r="F3040" s="4">
        <v>2.1650543689688301E-18</v>
      </c>
      <c r="G3040" s="4">
        <v>7.2828686902831697E-17</v>
      </c>
      <c r="H3040" s="3" t="str">
        <f>"ALOX5"</f>
        <v>ALOX5</v>
      </c>
      <c r="I3040" s="3" t="str">
        <f>"protein_coding"</f>
        <v>protein_coding</v>
      </c>
    </row>
    <row r="3041" spans="1:9" x14ac:dyDescent="0.2">
      <c r="A3041" s="3" t="str">
        <f>"ENSG00000264230.9"</f>
        <v>ENSG00000264230.9</v>
      </c>
      <c r="B3041" s="3">
        <v>4.1460042795009997</v>
      </c>
      <c r="C3041" s="3">
        <v>5.4444419213328796</v>
      </c>
      <c r="D3041" s="3">
        <v>2.1466105364649501</v>
      </c>
      <c r="E3041" s="3">
        <v>2.5362970267996601</v>
      </c>
      <c r="F3041" s="3">
        <v>1.1203166618934E-2</v>
      </c>
      <c r="G3041" s="3">
        <v>3.5022106570226502E-2</v>
      </c>
      <c r="H3041" s="3" t="str">
        <f>"ANXA8L1"</f>
        <v>ANXA8L1</v>
      </c>
      <c r="I3041" s="3" t="str">
        <f>"protein_coding"</f>
        <v>protein_coding</v>
      </c>
    </row>
    <row r="3042" spans="1:9" x14ac:dyDescent="0.2">
      <c r="A3042" s="3" t="str">
        <f>"ENSG00000231187.2"</f>
        <v>ENSG00000231187.2</v>
      </c>
      <c r="B3042" s="3">
        <v>66.508062544278602</v>
      </c>
      <c r="C3042" s="3">
        <v>-1.8123202777890901</v>
      </c>
      <c r="D3042" s="3">
        <v>0.46251718844783601</v>
      </c>
      <c r="E3042" s="3">
        <v>-3.9183847066766599</v>
      </c>
      <c r="F3042" s="4">
        <v>8.9144350483300204E-5</v>
      </c>
      <c r="G3042" s="3">
        <v>5.1712074039141596E-4</v>
      </c>
      <c r="H3042" s="3" t="str">
        <f>"AL356056.2"</f>
        <v>AL356056.2</v>
      </c>
      <c r="I3042" s="3" t="str">
        <f>"antisense"</f>
        <v>antisense</v>
      </c>
    </row>
    <row r="3043" spans="1:9" x14ac:dyDescent="0.2">
      <c r="A3043" s="3" t="str">
        <f>"ENSG00000150175.13"</f>
        <v>ENSG00000150175.13</v>
      </c>
      <c r="B3043" s="3">
        <v>30.384384063854299</v>
      </c>
      <c r="C3043" s="3">
        <v>5.2634801426498097</v>
      </c>
      <c r="D3043" s="3">
        <v>1.03129977897775</v>
      </c>
      <c r="E3043" s="3">
        <v>5.1037343844552296</v>
      </c>
      <c r="F3043" s="4">
        <v>3.3301560348468002E-7</v>
      </c>
      <c r="G3043" s="4">
        <v>3.0936502380317301E-6</v>
      </c>
      <c r="H3043" s="3" t="str">
        <f>"FRMPD2B"</f>
        <v>FRMPD2B</v>
      </c>
      <c r="I3043" s="3" t="str">
        <f>"unprocessed_pseudogene"</f>
        <v>unprocessed_pseudogene</v>
      </c>
    </row>
    <row r="3044" spans="1:9" x14ac:dyDescent="0.2">
      <c r="A3044" s="3" t="str">
        <f>"ENSG00000204179.10"</f>
        <v>ENSG00000204179.10</v>
      </c>
      <c r="B3044" s="3">
        <v>6.4560569956817702</v>
      </c>
      <c r="C3044" s="3">
        <v>6.0815575536098301</v>
      </c>
      <c r="D3044" s="3">
        <v>1.9618974323737199</v>
      </c>
      <c r="E3044" s="3">
        <v>3.09983460565096</v>
      </c>
      <c r="F3044" s="3">
        <v>1.93628733033246E-3</v>
      </c>
      <c r="G3044" s="3">
        <v>7.8275995385116409E-3</v>
      </c>
      <c r="H3044" s="3" t="str">
        <f>"PTPN20"</f>
        <v>PTPN20</v>
      </c>
      <c r="I3044" s="3" t="str">
        <f>"protein_coding"</f>
        <v>protein_coding</v>
      </c>
    </row>
    <row r="3045" spans="1:9" x14ac:dyDescent="0.2">
      <c r="A3045" s="3" t="str">
        <f>"ENSG00000265190.6"</f>
        <v>ENSG00000265190.6</v>
      </c>
      <c r="B3045" s="3">
        <v>36.118224425796598</v>
      </c>
      <c r="C3045" s="3">
        <v>6.1075969908292898</v>
      </c>
      <c r="D3045" s="3">
        <v>1.1549747285980301</v>
      </c>
      <c r="E3045" s="3">
        <v>5.2880784657885904</v>
      </c>
      <c r="F3045" s="4">
        <v>1.23607956750596E-7</v>
      </c>
      <c r="G3045" s="4">
        <v>1.2373056567169299E-6</v>
      </c>
      <c r="H3045" s="3" t="str">
        <f>"ANXA8"</f>
        <v>ANXA8</v>
      </c>
      <c r="I3045" s="3" t="str">
        <f>"protein_coding"</f>
        <v>protein_coding</v>
      </c>
    </row>
    <row r="3046" spans="1:9" x14ac:dyDescent="0.2">
      <c r="A3046" s="3" t="str">
        <f>"ENSG00000189014.7"</f>
        <v>ENSG00000189014.7</v>
      </c>
      <c r="B3046" s="3">
        <v>41.642152857172697</v>
      </c>
      <c r="C3046" s="3">
        <v>-1.31885635282936</v>
      </c>
      <c r="D3046" s="3">
        <v>0.54004772966400305</v>
      </c>
      <c r="E3046" s="3">
        <v>-2.44211072537958</v>
      </c>
      <c r="F3046" s="3">
        <v>1.46016674238411E-2</v>
      </c>
      <c r="G3046" s="3">
        <v>4.3557218337792601E-2</v>
      </c>
      <c r="H3046" s="3" t="str">
        <f>"SHLD2P3"</f>
        <v>SHLD2P3</v>
      </c>
      <c r="I3046" s="3" t="str">
        <f>"unprocessed_pseudogene"</f>
        <v>unprocessed_pseudogene</v>
      </c>
    </row>
    <row r="3047" spans="1:9" x14ac:dyDescent="0.2">
      <c r="A3047" s="3" t="str">
        <f>"ENSG00000276850.4"</f>
        <v>ENSG00000276850.4</v>
      </c>
      <c r="B3047" s="3">
        <v>96.469623693633494</v>
      </c>
      <c r="C3047" s="3">
        <v>7.5384012312625703</v>
      </c>
      <c r="D3047" s="3">
        <v>1.08993265526293</v>
      </c>
      <c r="E3047" s="3">
        <v>6.9163917558227803</v>
      </c>
      <c r="F3047" s="4">
        <v>4.6329210877731597E-12</v>
      </c>
      <c r="G3047" s="4">
        <v>8.4493441016435897E-11</v>
      </c>
      <c r="H3047" s="3" t="str">
        <f>"AC245041.2"</f>
        <v>AC245041.2</v>
      </c>
      <c r="I3047" s="3" t="str">
        <f>"lincRNA"</f>
        <v>lincRNA</v>
      </c>
    </row>
    <row r="3048" spans="1:9" x14ac:dyDescent="0.2">
      <c r="A3048" s="3" t="str">
        <f>"ENSG00000273760.1"</f>
        <v>ENSG00000273760.1</v>
      </c>
      <c r="B3048" s="3">
        <v>48.640444206389603</v>
      </c>
      <c r="C3048" s="3">
        <v>6.5393615495515496</v>
      </c>
      <c r="D3048" s="3">
        <v>1.12791323432915</v>
      </c>
      <c r="E3048" s="3">
        <v>5.7977523009036798</v>
      </c>
      <c r="F3048" s="4">
        <v>6.7209622021488603E-9</v>
      </c>
      <c r="G3048" s="4">
        <v>8.1716223615327895E-8</v>
      </c>
      <c r="H3048" s="3" t="str">
        <f>"AC245041.1"</f>
        <v>AC245041.1</v>
      </c>
      <c r="I3048" s="3" t="str">
        <f>"lincRNA"</f>
        <v>lincRNA</v>
      </c>
    </row>
    <row r="3049" spans="1:9" x14ac:dyDescent="0.2">
      <c r="A3049" s="3" t="str">
        <f>"ENSG00000170324.21"</f>
        <v>ENSG00000170324.21</v>
      </c>
      <c r="B3049" s="3">
        <v>792.01994078775999</v>
      </c>
      <c r="C3049" s="3">
        <v>5.8310098692803303</v>
      </c>
      <c r="D3049" s="3">
        <v>0.285525917335409</v>
      </c>
      <c r="E3049" s="3">
        <v>20.421998548141001</v>
      </c>
      <c r="F3049" s="4">
        <v>1.06612292202388E-92</v>
      </c>
      <c r="G3049" s="4">
        <v>1.03745183058517E-89</v>
      </c>
      <c r="H3049" s="3" t="str">
        <f>"FRMPD2"</f>
        <v>FRMPD2</v>
      </c>
      <c r="I3049" s="3" t="str">
        <f>"protein_coding"</f>
        <v>protein_coding</v>
      </c>
    </row>
    <row r="3050" spans="1:9" x14ac:dyDescent="0.2">
      <c r="A3050" s="3" t="str">
        <f>"ENSG00000128805.14"</f>
        <v>ENSG00000128805.14</v>
      </c>
      <c r="B3050" s="3">
        <v>89.959293129538196</v>
      </c>
      <c r="C3050" s="3">
        <v>6.8508547862124498</v>
      </c>
      <c r="D3050" s="3">
        <v>0.916727551148251</v>
      </c>
      <c r="E3050" s="3">
        <v>7.4731634034903598</v>
      </c>
      <c r="F3050" s="4">
        <v>7.8289530292413101E-14</v>
      </c>
      <c r="G3050" s="4">
        <v>1.76293787758461E-12</v>
      </c>
      <c r="H3050" s="3" t="str">
        <f>"ARHGAP22"</f>
        <v>ARHGAP22</v>
      </c>
      <c r="I3050" s="3" t="str">
        <f>"protein_coding"</f>
        <v>protein_coding</v>
      </c>
    </row>
    <row r="3051" spans="1:9" x14ac:dyDescent="0.2">
      <c r="A3051" s="3" t="str">
        <f>"ENSG00000251413.1"</f>
        <v>ENSG00000251413.1</v>
      </c>
      <c r="B3051" s="3">
        <v>11.5562751616496</v>
      </c>
      <c r="C3051" s="3">
        <v>6.92268152858205</v>
      </c>
      <c r="D3051" s="3">
        <v>1.7534361363964901</v>
      </c>
      <c r="E3051" s="3">
        <v>3.9480659631031298</v>
      </c>
      <c r="F3051" s="4">
        <v>7.8785098898712406E-5</v>
      </c>
      <c r="G3051" s="3">
        <v>4.6254203613299197E-4</v>
      </c>
      <c r="H3051" s="3" t="str">
        <f>"AC068898.2"</f>
        <v>AC068898.2</v>
      </c>
      <c r="I3051" s="3" t="str">
        <f>"sense_intronic"</f>
        <v>sense_intronic</v>
      </c>
    </row>
    <row r="3052" spans="1:9" x14ac:dyDescent="0.2">
      <c r="A3052" s="3" t="str">
        <f>"ENSG00000128815.19"</f>
        <v>ENSG00000128815.19</v>
      </c>
      <c r="B3052" s="3">
        <v>26.9633097794507</v>
      </c>
      <c r="C3052" s="3">
        <v>4.6575934678772404</v>
      </c>
      <c r="D3052" s="3">
        <v>0.97042578504452703</v>
      </c>
      <c r="E3052" s="3">
        <v>4.7995359765337797</v>
      </c>
      <c r="F3052" s="4">
        <v>1.5903366724332299E-6</v>
      </c>
      <c r="G3052" s="4">
        <v>1.31587923819581E-5</v>
      </c>
      <c r="H3052" s="3" t="str">
        <f>"WDFY4"</f>
        <v>WDFY4</v>
      </c>
      <c r="I3052" s="3" t="str">
        <f>"protein_coding"</f>
        <v>protein_coding</v>
      </c>
    </row>
    <row r="3053" spans="1:9" x14ac:dyDescent="0.2">
      <c r="A3053" s="3" t="str">
        <f>"ENSG00000197444.10"</f>
        <v>ENSG00000197444.10</v>
      </c>
      <c r="B3053" s="3">
        <v>110.18411216856499</v>
      </c>
      <c r="C3053" s="3">
        <v>-2.0819134146401899</v>
      </c>
      <c r="D3053" s="3">
        <v>0.36972101849797301</v>
      </c>
      <c r="E3053" s="3">
        <v>-5.6310388386848</v>
      </c>
      <c r="F3053" s="4">
        <v>1.79127379789522E-8</v>
      </c>
      <c r="G3053" s="4">
        <v>2.0576238267812499E-7</v>
      </c>
      <c r="H3053" s="3" t="str">
        <f>"OGDHL"</f>
        <v>OGDHL</v>
      </c>
      <c r="I3053" s="3" t="str">
        <f>"protein_coding"</f>
        <v>protein_coding</v>
      </c>
    </row>
    <row r="3054" spans="1:9" x14ac:dyDescent="0.2">
      <c r="A3054" s="3" t="str">
        <f>"ENSG00000188611.14"</f>
        <v>ENSG00000188611.14</v>
      </c>
      <c r="B3054" s="3">
        <v>322.75583553496199</v>
      </c>
      <c r="C3054" s="3">
        <v>-1.6937076997902201</v>
      </c>
      <c r="D3054" s="3">
        <v>0.266644958543444</v>
      </c>
      <c r="E3054" s="3">
        <v>-6.3519209552738101</v>
      </c>
      <c r="F3054" s="4">
        <v>2.1264258998587699E-10</v>
      </c>
      <c r="G3054" s="4">
        <v>3.1437182036598898E-9</v>
      </c>
      <c r="H3054" s="3" t="str">
        <f>"ASAH2"</f>
        <v>ASAH2</v>
      </c>
      <c r="I3054" s="3" t="str">
        <f>"protein_coding"</f>
        <v>protein_coding</v>
      </c>
    </row>
    <row r="3055" spans="1:9" x14ac:dyDescent="0.2">
      <c r="A3055" s="3" t="str">
        <f>"ENSG00000226200.6"</f>
        <v>ENSG00000226200.6</v>
      </c>
      <c r="B3055" s="3">
        <v>95.383103906895897</v>
      </c>
      <c r="C3055" s="3">
        <v>1.35440855307152</v>
      </c>
      <c r="D3055" s="3">
        <v>0.38867830092092998</v>
      </c>
      <c r="E3055" s="3">
        <v>3.48465183125067</v>
      </c>
      <c r="F3055" s="3">
        <v>4.9277779539398095E-4</v>
      </c>
      <c r="G3055" s="3">
        <v>2.3676100495679401E-3</v>
      </c>
      <c r="H3055" s="3" t="str">
        <f>"SGMS1-AS1"</f>
        <v>SGMS1-AS1</v>
      </c>
      <c r="I3055" s="3" t="str">
        <f>"antisense"</f>
        <v>antisense</v>
      </c>
    </row>
    <row r="3056" spans="1:9" x14ac:dyDescent="0.2">
      <c r="A3056" s="3" t="str">
        <f>"ENSG00000148584.15"</f>
        <v>ENSG00000148584.15</v>
      </c>
      <c r="B3056" s="3">
        <v>3375.6700760384301</v>
      </c>
      <c r="C3056" s="3">
        <v>-1.8805687638183499</v>
      </c>
      <c r="D3056" s="3">
        <v>0.17643181851051501</v>
      </c>
      <c r="E3056" s="3">
        <v>-10.658898036049401</v>
      </c>
      <c r="F3056" s="4">
        <v>1.5846383931058101E-26</v>
      </c>
      <c r="G3056" s="4">
        <v>9.8128732493077402E-25</v>
      </c>
      <c r="H3056" s="3" t="str">
        <f>"A1CF"</f>
        <v>A1CF</v>
      </c>
      <c r="I3056" s="3" t="str">
        <f>"protein_coding"</f>
        <v>protein_coding</v>
      </c>
    </row>
    <row r="3057" spans="1:9" x14ac:dyDescent="0.2">
      <c r="A3057" s="3" t="str">
        <f>"ENSG00000229711.1"</f>
        <v>ENSG00000229711.1</v>
      </c>
      <c r="B3057" s="3">
        <v>27.9461845628832</v>
      </c>
      <c r="C3057" s="3">
        <v>-2.0321050581639901</v>
      </c>
      <c r="D3057" s="3">
        <v>0.668861212699014</v>
      </c>
      <c r="E3057" s="3">
        <v>-3.0381565257222301</v>
      </c>
      <c r="F3057" s="3">
        <v>2.3803028181157699E-3</v>
      </c>
      <c r="G3057" s="3">
        <v>9.3546965073128905E-3</v>
      </c>
      <c r="H3057" s="3" t="str">
        <f>"AL512366.1"</f>
        <v>AL512366.1</v>
      </c>
      <c r="I3057" s="3" t="str">
        <f>"sense_intronic"</f>
        <v>sense_intronic</v>
      </c>
    </row>
    <row r="3058" spans="1:9" x14ac:dyDescent="0.2">
      <c r="A3058" s="3" t="str">
        <f>"ENSG00000185532.17"</f>
        <v>ENSG00000185532.17</v>
      </c>
      <c r="B3058" s="3">
        <v>31.419717940895801</v>
      </c>
      <c r="C3058" s="3">
        <v>4.2673574287634297</v>
      </c>
      <c r="D3058" s="3">
        <v>0.83015499700967899</v>
      </c>
      <c r="E3058" s="3">
        <v>5.14043455033696</v>
      </c>
      <c r="F3058" s="4">
        <v>2.74103792878662E-7</v>
      </c>
      <c r="G3058" s="4">
        <v>2.5771908601164899E-6</v>
      </c>
      <c r="H3058" s="3" t="str">
        <f>"PRKG1"</f>
        <v>PRKG1</v>
      </c>
      <c r="I3058" s="3" t="str">
        <f>"protein_coding"</f>
        <v>protein_coding</v>
      </c>
    </row>
    <row r="3059" spans="1:9" x14ac:dyDescent="0.2">
      <c r="A3059" s="3" t="str">
        <f>"ENSG00000150275.18"</f>
        <v>ENSG00000150275.18</v>
      </c>
      <c r="B3059" s="3">
        <v>19.778813301410999</v>
      </c>
      <c r="C3059" s="3">
        <v>7.70010863145637</v>
      </c>
      <c r="D3059" s="3">
        <v>1.62229930251313</v>
      </c>
      <c r="E3059" s="3">
        <v>4.7464167798925798</v>
      </c>
      <c r="F3059" s="4">
        <v>2.0705185548911101E-6</v>
      </c>
      <c r="G3059" s="4">
        <v>1.67853076659083E-5</v>
      </c>
      <c r="H3059" s="3" t="str">
        <f>"PCDH15"</f>
        <v>PCDH15</v>
      </c>
      <c r="I3059" s="3" t="str">
        <f>"protein_coding"</f>
        <v>protein_coding</v>
      </c>
    </row>
    <row r="3060" spans="1:9" x14ac:dyDescent="0.2">
      <c r="A3060" s="3" t="str">
        <f>"ENSG00000148541.12"</f>
        <v>ENSG00000148541.12</v>
      </c>
      <c r="B3060" s="3">
        <v>365.096409473086</v>
      </c>
      <c r="C3060" s="3">
        <v>7.8757117612164302</v>
      </c>
      <c r="D3060" s="3">
        <v>0.64486094988125597</v>
      </c>
      <c r="E3060" s="3">
        <v>12.213038737524201</v>
      </c>
      <c r="F3060" s="4">
        <v>2.6481058507724E-34</v>
      </c>
      <c r="G3060" s="4">
        <v>2.6526816219115999E-32</v>
      </c>
      <c r="H3060" s="3" t="str">
        <f>"FAM13C"</f>
        <v>FAM13C</v>
      </c>
      <c r="I3060" s="3" t="str">
        <f>"protein_coding"</f>
        <v>protein_coding</v>
      </c>
    </row>
    <row r="3061" spans="1:9" x14ac:dyDescent="0.2">
      <c r="A3061" s="3" t="str">
        <f>"ENSG00000165449.11"</f>
        <v>ENSG00000165449.11</v>
      </c>
      <c r="B3061" s="3">
        <v>35.6863351662561</v>
      </c>
      <c r="C3061" s="3">
        <v>4.22660633197862</v>
      </c>
      <c r="D3061" s="3">
        <v>0.76861000615317399</v>
      </c>
      <c r="E3061" s="3">
        <v>5.4990259014873004</v>
      </c>
      <c r="F3061" s="4">
        <v>3.8189504097716699E-8</v>
      </c>
      <c r="G3061" s="4">
        <v>4.1655300966792901E-7</v>
      </c>
      <c r="H3061" s="3" t="str">
        <f>"SLC16A9"</f>
        <v>SLC16A9</v>
      </c>
      <c r="I3061" s="3" t="str">
        <f>"protein_coding"</f>
        <v>protein_coding</v>
      </c>
    </row>
    <row r="3062" spans="1:9" x14ac:dyDescent="0.2">
      <c r="A3062" s="3" t="str">
        <f>"ENSG00000151150.22"</f>
        <v>ENSG00000151150.22</v>
      </c>
      <c r="B3062" s="3">
        <v>52.895330699273401</v>
      </c>
      <c r="C3062" s="3">
        <v>6.0710615632796001</v>
      </c>
      <c r="D3062" s="3">
        <v>0.95141312650514598</v>
      </c>
      <c r="E3062" s="3">
        <v>6.3810992240359399</v>
      </c>
      <c r="F3062" s="4">
        <v>1.7582133541884199E-10</v>
      </c>
      <c r="G3062" s="4">
        <v>2.6423628936333001E-9</v>
      </c>
      <c r="H3062" s="3" t="str">
        <f>"ANK3"</f>
        <v>ANK3</v>
      </c>
      <c r="I3062" s="3" t="str">
        <f>"protein_coding"</f>
        <v>protein_coding</v>
      </c>
    </row>
    <row r="3063" spans="1:9" x14ac:dyDescent="0.2">
      <c r="A3063" s="3" t="str">
        <f>"ENSG00000232682.2"</f>
        <v>ENSG00000232682.2</v>
      </c>
      <c r="B3063" s="3">
        <v>9.7595674935090297</v>
      </c>
      <c r="C3063" s="3">
        <v>6.6796149751771496</v>
      </c>
      <c r="D3063" s="3">
        <v>1.78753458927208</v>
      </c>
      <c r="E3063" s="3">
        <v>3.73677522956199</v>
      </c>
      <c r="F3063" s="3">
        <v>1.86395404334811E-4</v>
      </c>
      <c r="G3063" s="3">
        <v>1.00092936182708E-3</v>
      </c>
      <c r="H3063" s="3" t="str">
        <f>"AL592430.1"</f>
        <v>AL592430.1</v>
      </c>
      <c r="I3063" s="3" t="str">
        <f>"antisense"</f>
        <v>antisense</v>
      </c>
    </row>
    <row r="3064" spans="1:9" x14ac:dyDescent="0.2">
      <c r="A3064" s="3" t="str">
        <f>"ENSG00000182010.11"</f>
        <v>ENSG00000182010.11</v>
      </c>
      <c r="B3064" s="3">
        <v>653.51351194318795</v>
      </c>
      <c r="C3064" s="3">
        <v>-1.2190495284232301</v>
      </c>
      <c r="D3064" s="3">
        <v>0.21271583176698</v>
      </c>
      <c r="E3064" s="3">
        <v>-5.7308829262818799</v>
      </c>
      <c r="F3064" s="4">
        <v>9.99092085003881E-9</v>
      </c>
      <c r="G3064" s="4">
        <v>1.18460670322458E-7</v>
      </c>
      <c r="H3064" s="3" t="str">
        <f>"RTKN2"</f>
        <v>RTKN2</v>
      </c>
      <c r="I3064" s="3" t="str">
        <f>"protein_coding"</f>
        <v>protein_coding</v>
      </c>
    </row>
    <row r="3065" spans="1:9" x14ac:dyDescent="0.2">
      <c r="A3065" s="3" t="str">
        <f>"ENSG00000138311.17"</f>
        <v>ENSG00000138311.17</v>
      </c>
      <c r="B3065" s="3">
        <v>4.4389149083278303</v>
      </c>
      <c r="C3065" s="3">
        <v>5.5416549708147302</v>
      </c>
      <c r="D3065" s="3">
        <v>2.1243404820932601</v>
      </c>
      <c r="E3065" s="3">
        <v>2.6086472566554701</v>
      </c>
      <c r="F3065" s="3">
        <v>9.0900891388015007E-3</v>
      </c>
      <c r="G3065" s="3">
        <v>2.93596086729403E-2</v>
      </c>
      <c r="H3065" s="3" t="str">
        <f>"ZNF365"</f>
        <v>ZNF365</v>
      </c>
      <c r="I3065" s="3" t="str">
        <f>"protein_coding"</f>
        <v>protein_coding</v>
      </c>
    </row>
    <row r="3066" spans="1:9" x14ac:dyDescent="0.2">
      <c r="A3066" s="3" t="str">
        <f>"ENSG00000238280.2"</f>
        <v>ENSG00000238280.2</v>
      </c>
      <c r="B3066" s="3">
        <v>11.030408110538399</v>
      </c>
      <c r="C3066" s="3">
        <v>2.90619292870243</v>
      </c>
      <c r="D3066" s="3">
        <v>1.1476901202996099</v>
      </c>
      <c r="E3066" s="3">
        <v>2.5322104610813798</v>
      </c>
      <c r="F3066" s="3">
        <v>1.1334593626210299E-2</v>
      </c>
      <c r="G3066" s="3">
        <v>3.5323535689506198E-2</v>
      </c>
      <c r="H3066" s="3" t="str">
        <f>"AC067751.1"</f>
        <v>AC067751.1</v>
      </c>
      <c r="I3066" s="3" t="str">
        <f>"antisense"</f>
        <v>antisense</v>
      </c>
    </row>
    <row r="3067" spans="1:9" x14ac:dyDescent="0.2">
      <c r="A3067" s="3" t="str">
        <f>"ENSG00000122877.16"</f>
        <v>ENSG00000122877.16</v>
      </c>
      <c r="B3067" s="3">
        <v>67.993547727968505</v>
      </c>
      <c r="C3067" s="3">
        <v>4.9949731539887203</v>
      </c>
      <c r="D3067" s="3">
        <v>0.65583966366665603</v>
      </c>
      <c r="E3067" s="3">
        <v>7.6161498468435296</v>
      </c>
      <c r="F3067" s="4">
        <v>2.61354263205555E-14</v>
      </c>
      <c r="G3067" s="4">
        <v>6.0864270167194403E-13</v>
      </c>
      <c r="H3067" s="3" t="str">
        <f>"EGR2"</f>
        <v>EGR2</v>
      </c>
      <c r="I3067" s="3" t="str">
        <f>"protein_coding"</f>
        <v>protein_coding</v>
      </c>
    </row>
    <row r="3068" spans="1:9" x14ac:dyDescent="0.2">
      <c r="A3068" s="3" t="str">
        <f>"ENSG00000183230.17"</f>
        <v>ENSG00000183230.17</v>
      </c>
      <c r="B3068" s="3">
        <v>17.281558480450801</v>
      </c>
      <c r="C3068" s="3">
        <v>7.5043719808015501</v>
      </c>
      <c r="D3068" s="3">
        <v>1.65360195011285</v>
      </c>
      <c r="E3068" s="3">
        <v>4.5381973456728204</v>
      </c>
      <c r="F3068" s="4">
        <v>5.6737151985901701E-6</v>
      </c>
      <c r="G3068" s="4">
        <v>4.2400361496430698E-5</v>
      </c>
      <c r="H3068" s="3" t="str">
        <f>"CTNNA3"</f>
        <v>CTNNA3</v>
      </c>
      <c r="I3068" s="3" t="str">
        <f>"protein_coding"</f>
        <v>protein_coding</v>
      </c>
    </row>
    <row r="3069" spans="1:9" x14ac:dyDescent="0.2">
      <c r="A3069" s="3" t="str">
        <f>"ENSG00000226318.1"</f>
        <v>ENSG00000226318.1</v>
      </c>
      <c r="B3069" s="3">
        <v>40.435806752257797</v>
      </c>
      <c r="C3069" s="3">
        <v>1.5956734038795599</v>
      </c>
      <c r="D3069" s="3">
        <v>0.63021045704376</v>
      </c>
      <c r="E3069" s="3">
        <v>2.5319691002346598</v>
      </c>
      <c r="F3069" s="3">
        <v>1.13423986096702E-2</v>
      </c>
      <c r="G3069" s="3">
        <v>3.5335734612129403E-2</v>
      </c>
      <c r="H3069" s="3" t="str">
        <f>"RPS3AP38"</f>
        <v>RPS3AP38</v>
      </c>
      <c r="I3069" s="3" t="str">
        <f>"processed_pseudogene"</f>
        <v>processed_pseudogene</v>
      </c>
    </row>
    <row r="3070" spans="1:9" x14ac:dyDescent="0.2">
      <c r="A3070" s="3" t="str">
        <f>"ENSG00000138347.15"</f>
        <v>ENSG00000138347.15</v>
      </c>
      <c r="B3070" s="3">
        <v>15.9679693362894</v>
      </c>
      <c r="C3070" s="3">
        <v>7.3947441863354699</v>
      </c>
      <c r="D3070" s="3">
        <v>1.65486766282294</v>
      </c>
      <c r="E3070" s="3">
        <v>4.4684806842628202</v>
      </c>
      <c r="F3070" s="4">
        <v>7.8777124558703898E-6</v>
      </c>
      <c r="G3070" s="4">
        <v>5.7131762386239099E-5</v>
      </c>
      <c r="H3070" s="3" t="str">
        <f>"MYPN"</f>
        <v>MYPN</v>
      </c>
      <c r="I3070" s="3" t="str">
        <f t="shared" ref="I3070:I3082" si="145">"protein_coding"</f>
        <v>protein_coding</v>
      </c>
    </row>
    <row r="3071" spans="1:9" x14ac:dyDescent="0.2">
      <c r="A3071" s="3" t="str">
        <f>"ENSG00000108187.16"</f>
        <v>ENSG00000108187.16</v>
      </c>
      <c r="B3071" s="3">
        <v>159.495518619661</v>
      </c>
      <c r="C3071" s="3">
        <v>1.8131321757419201</v>
      </c>
      <c r="D3071" s="3">
        <v>0.32476291476611302</v>
      </c>
      <c r="E3071" s="3">
        <v>5.5829409495468196</v>
      </c>
      <c r="F3071" s="4">
        <v>2.3648505695992699E-8</v>
      </c>
      <c r="G3071" s="4">
        <v>2.67476477666548E-7</v>
      </c>
      <c r="H3071" s="3" t="str">
        <f>"PBLD"</f>
        <v>PBLD</v>
      </c>
      <c r="I3071" s="3" t="str">
        <f t="shared" si="145"/>
        <v>protein_coding</v>
      </c>
    </row>
    <row r="3072" spans="1:9" x14ac:dyDescent="0.2">
      <c r="A3072" s="3" t="str">
        <f>"ENSG00000165730.16"</f>
        <v>ENSG00000165730.16</v>
      </c>
      <c r="B3072" s="3">
        <v>89.204053213585098</v>
      </c>
      <c r="C3072" s="3">
        <v>-1.0220361464279499</v>
      </c>
      <c r="D3072" s="3">
        <v>0.39656249291525297</v>
      </c>
      <c r="E3072" s="3">
        <v>-2.57723855555439</v>
      </c>
      <c r="F3072" s="3">
        <v>9.9593190502027095E-3</v>
      </c>
      <c r="G3072" s="3">
        <v>3.1701117542158097E-2</v>
      </c>
      <c r="H3072" s="3" t="str">
        <f>"STOX1"</f>
        <v>STOX1</v>
      </c>
      <c r="I3072" s="3" t="str">
        <f t="shared" si="145"/>
        <v>protein_coding</v>
      </c>
    </row>
    <row r="3073" spans="1:9" x14ac:dyDescent="0.2">
      <c r="A3073" s="3" t="str">
        <f>"ENSG00000107625.13"</f>
        <v>ENSG00000107625.13</v>
      </c>
      <c r="B3073" s="3">
        <v>1783.9788307552999</v>
      </c>
      <c r="C3073" s="3">
        <v>1.0720522769106</v>
      </c>
      <c r="D3073" s="3">
        <v>0.18662851591910201</v>
      </c>
      <c r="E3073" s="3">
        <v>5.7443112143446697</v>
      </c>
      <c r="F3073" s="4">
        <v>9.2295902015716008E-9</v>
      </c>
      <c r="G3073" s="4">
        <v>1.10008155827743E-7</v>
      </c>
      <c r="H3073" s="3" t="str">
        <f>"DDX50"</f>
        <v>DDX50</v>
      </c>
      <c r="I3073" s="3" t="str">
        <f t="shared" si="145"/>
        <v>protein_coding</v>
      </c>
    </row>
    <row r="3074" spans="1:9" x14ac:dyDescent="0.2">
      <c r="A3074" s="3" t="str">
        <f>"ENSG00000156510.13"</f>
        <v>ENSG00000156510.13</v>
      </c>
      <c r="B3074" s="3">
        <v>564.15706620530398</v>
      </c>
      <c r="C3074" s="3">
        <v>-3.09700955504479</v>
      </c>
      <c r="D3074" s="3">
        <v>0.23679843853885199</v>
      </c>
      <c r="E3074" s="3">
        <v>-13.0786738888764</v>
      </c>
      <c r="F3074" s="4">
        <v>4.35979860597202E-39</v>
      </c>
      <c r="G3074" s="4">
        <v>5.7111265681211299E-37</v>
      </c>
      <c r="H3074" s="3" t="str">
        <f>"HKDC1"</f>
        <v>HKDC1</v>
      </c>
      <c r="I3074" s="3" t="str">
        <f t="shared" si="145"/>
        <v>protein_coding</v>
      </c>
    </row>
    <row r="3075" spans="1:9" x14ac:dyDescent="0.2">
      <c r="A3075" s="3" t="str">
        <f>"ENSG00000156515.23"</f>
        <v>ENSG00000156515.23</v>
      </c>
      <c r="B3075" s="3">
        <v>257.30531481993802</v>
      </c>
      <c r="C3075" s="3">
        <v>2.29693015920079</v>
      </c>
      <c r="D3075" s="3">
        <v>0.29376017492150902</v>
      </c>
      <c r="E3075" s="3">
        <v>7.8190658751293096</v>
      </c>
      <c r="F3075" s="4">
        <v>5.3216757631920303E-15</v>
      </c>
      <c r="G3075" s="4">
        <v>1.3110280245903501E-13</v>
      </c>
      <c r="H3075" s="3" t="str">
        <f>"HK1"</f>
        <v>HK1</v>
      </c>
      <c r="I3075" s="3" t="str">
        <f t="shared" si="145"/>
        <v>protein_coding</v>
      </c>
    </row>
    <row r="3076" spans="1:9" x14ac:dyDescent="0.2">
      <c r="A3076" s="3" t="str">
        <f>"ENSG00000075073.14"</f>
        <v>ENSG00000075073.14</v>
      </c>
      <c r="B3076" s="3">
        <v>10.2122104333223</v>
      </c>
      <c r="C3076" s="3">
        <v>4.2191598263338603</v>
      </c>
      <c r="D3076" s="3">
        <v>1.43632359827995</v>
      </c>
      <c r="E3076" s="3">
        <v>2.93747163340243</v>
      </c>
      <c r="F3076" s="3">
        <v>3.3090044259239501E-3</v>
      </c>
      <c r="G3076" s="3">
        <v>1.2465151886236699E-2</v>
      </c>
      <c r="H3076" s="3" t="str">
        <f>"TACR2"</f>
        <v>TACR2</v>
      </c>
      <c r="I3076" s="3" t="str">
        <f t="shared" si="145"/>
        <v>protein_coding</v>
      </c>
    </row>
    <row r="3077" spans="1:9" x14ac:dyDescent="0.2">
      <c r="A3077" s="3" t="str">
        <f>"ENSG00000197467.14"</f>
        <v>ENSG00000197467.14</v>
      </c>
      <c r="B3077" s="3">
        <v>7.3742006763044099</v>
      </c>
      <c r="C3077" s="3">
        <v>4.7880582450455504</v>
      </c>
      <c r="D3077" s="3">
        <v>1.83861232792217</v>
      </c>
      <c r="E3077" s="3">
        <v>2.6041695534896001</v>
      </c>
      <c r="F3077" s="3">
        <v>9.2097182968161294E-3</v>
      </c>
      <c r="G3077" s="3">
        <v>2.9654596364139599E-2</v>
      </c>
      <c r="H3077" s="3" t="str">
        <f>"COL13A1"</f>
        <v>COL13A1</v>
      </c>
      <c r="I3077" s="3" t="str">
        <f t="shared" si="145"/>
        <v>protein_coding</v>
      </c>
    </row>
    <row r="3078" spans="1:9" x14ac:dyDescent="0.2">
      <c r="A3078" s="3" t="str">
        <f>"ENSG00000156521.14"</f>
        <v>ENSG00000156521.14</v>
      </c>
      <c r="B3078" s="3">
        <v>778.93100782017996</v>
      </c>
      <c r="C3078" s="3">
        <v>1.35695912594468</v>
      </c>
      <c r="D3078" s="3">
        <v>0.225046840835602</v>
      </c>
      <c r="E3078" s="3">
        <v>6.0296741820781303</v>
      </c>
      <c r="F3078" s="4">
        <v>1.6429056071959001E-9</v>
      </c>
      <c r="G3078" s="4">
        <v>2.16776024596933E-8</v>
      </c>
      <c r="H3078" s="3" t="str">
        <f>"TYSND1"</f>
        <v>TYSND1</v>
      </c>
      <c r="I3078" s="3" t="str">
        <f t="shared" si="145"/>
        <v>protein_coding</v>
      </c>
    </row>
    <row r="3079" spans="1:9" x14ac:dyDescent="0.2">
      <c r="A3079" s="3" t="str">
        <f>"ENSG00000180817.12"</f>
        <v>ENSG00000180817.12</v>
      </c>
      <c r="B3079" s="3">
        <v>2968.95557033161</v>
      </c>
      <c r="C3079" s="3">
        <v>-1.4685030171609399</v>
      </c>
      <c r="D3079" s="3">
        <v>0.178138915489229</v>
      </c>
      <c r="E3079" s="3">
        <v>-8.2435834591669206</v>
      </c>
      <c r="F3079" s="4">
        <v>1.6712825366631501E-16</v>
      </c>
      <c r="G3079" s="4">
        <v>4.7733160667149701E-15</v>
      </c>
      <c r="H3079" s="3" t="str">
        <f>"PPA1"</f>
        <v>PPA1</v>
      </c>
      <c r="I3079" s="3" t="str">
        <f t="shared" si="145"/>
        <v>protein_coding</v>
      </c>
    </row>
    <row r="3080" spans="1:9" x14ac:dyDescent="0.2">
      <c r="A3080" s="3" t="str">
        <f>"ENSG00000156574.9"</f>
        <v>ENSG00000156574.9</v>
      </c>
      <c r="B3080" s="3">
        <v>35.342319803042997</v>
      </c>
      <c r="C3080" s="3">
        <v>7.0874724559522599</v>
      </c>
      <c r="D3080" s="3">
        <v>1.53875632462833</v>
      </c>
      <c r="E3080" s="3">
        <v>4.60597454094244</v>
      </c>
      <c r="F3080" s="4">
        <v>4.1053861937477301E-6</v>
      </c>
      <c r="G3080" s="4">
        <v>3.15541488352734E-5</v>
      </c>
      <c r="H3080" s="3" t="str">
        <f>"NODAL"</f>
        <v>NODAL</v>
      </c>
      <c r="I3080" s="3" t="str">
        <f t="shared" si="145"/>
        <v>protein_coding</v>
      </c>
    </row>
    <row r="3081" spans="1:9" x14ac:dyDescent="0.2">
      <c r="A3081" s="3" t="str">
        <f>"ENSG00000180644.8"</f>
        <v>ENSG00000180644.8</v>
      </c>
      <c r="B3081" s="3">
        <v>173.207463697956</v>
      </c>
      <c r="C3081" s="3">
        <v>2.5984626829060899</v>
      </c>
      <c r="D3081" s="3">
        <v>0.33700846346010299</v>
      </c>
      <c r="E3081" s="3">
        <v>7.7103781199658501</v>
      </c>
      <c r="F3081" s="4">
        <v>1.25445505561986E-14</v>
      </c>
      <c r="G3081" s="4">
        <v>2.9956298773421802E-13</v>
      </c>
      <c r="H3081" s="3" t="str">
        <f>"PRF1"</f>
        <v>PRF1</v>
      </c>
      <c r="I3081" s="3" t="str">
        <f t="shared" si="145"/>
        <v>protein_coding</v>
      </c>
    </row>
    <row r="3082" spans="1:9" x14ac:dyDescent="0.2">
      <c r="A3082" s="3" t="str">
        <f>"ENSG00000107731.12"</f>
        <v>ENSG00000107731.12</v>
      </c>
      <c r="B3082" s="3">
        <v>239.236404922075</v>
      </c>
      <c r="C3082" s="3">
        <v>3.75296526333122</v>
      </c>
      <c r="D3082" s="3">
        <v>0.32463517103518003</v>
      </c>
      <c r="E3082" s="3">
        <v>11.560562742983</v>
      </c>
      <c r="F3082" s="4">
        <v>6.5279578450749703E-31</v>
      </c>
      <c r="G3082" s="4">
        <v>5.4560511473852002E-29</v>
      </c>
      <c r="H3082" s="3" t="str">
        <f>"UNC5B"</f>
        <v>UNC5B</v>
      </c>
      <c r="I3082" s="3" t="str">
        <f t="shared" si="145"/>
        <v>protein_coding</v>
      </c>
    </row>
    <row r="3083" spans="1:9" x14ac:dyDescent="0.2">
      <c r="A3083" s="3" t="str">
        <f>"ENSG00000237512.6"</f>
        <v>ENSG00000237512.6</v>
      </c>
      <c r="B3083" s="3">
        <v>76.995158603141405</v>
      </c>
      <c r="C3083" s="3">
        <v>6.6219593470066096</v>
      </c>
      <c r="D3083" s="3">
        <v>0.93790560429403602</v>
      </c>
      <c r="E3083" s="3">
        <v>7.0603686732322899</v>
      </c>
      <c r="F3083" s="4">
        <v>1.66061423698014E-12</v>
      </c>
      <c r="G3083" s="4">
        <v>3.20898979538993E-11</v>
      </c>
      <c r="H3083" s="3" t="str">
        <f>"UNC5B-AS1"</f>
        <v>UNC5B-AS1</v>
      </c>
      <c r="I3083" s="3" t="str">
        <f>"antisense"</f>
        <v>antisense</v>
      </c>
    </row>
    <row r="3084" spans="1:9" x14ac:dyDescent="0.2">
      <c r="A3084" s="3" t="str">
        <f>"ENSG00000279406.1"</f>
        <v>ENSG00000279406.1</v>
      </c>
      <c r="B3084" s="3">
        <v>91.349083683130104</v>
      </c>
      <c r="C3084" s="3">
        <v>-1.0204438689402999</v>
      </c>
      <c r="D3084" s="3">
        <v>0.38049332019368298</v>
      </c>
      <c r="E3084" s="3">
        <v>-2.6818969342769501</v>
      </c>
      <c r="F3084" s="3">
        <v>7.3206009818251802E-3</v>
      </c>
      <c r="G3084" s="3">
        <v>2.4457489074488199E-2</v>
      </c>
      <c r="H3084" s="3" t="str">
        <f>"AL359183.1"</f>
        <v>AL359183.1</v>
      </c>
      <c r="I3084" s="3" t="str">
        <f>"TEC"</f>
        <v>TEC</v>
      </c>
    </row>
    <row r="3085" spans="1:9" x14ac:dyDescent="0.2">
      <c r="A3085" s="3" t="str">
        <f>"ENSG00000107736.20"</f>
        <v>ENSG00000107736.20</v>
      </c>
      <c r="B3085" s="3">
        <v>9.9860568623782004</v>
      </c>
      <c r="C3085" s="3">
        <v>4.1973267438082598</v>
      </c>
      <c r="D3085" s="3">
        <v>1.40973288552719</v>
      </c>
      <c r="E3085" s="3">
        <v>2.9773915235286599</v>
      </c>
      <c r="F3085" s="3">
        <v>2.90712499580523E-3</v>
      </c>
      <c r="G3085" s="3">
        <v>1.1134444020340899E-2</v>
      </c>
      <c r="H3085" s="3" t="str">
        <f>"CDH23"</f>
        <v>CDH23</v>
      </c>
      <c r="I3085" s="3" t="str">
        <f>"protein_coding"</f>
        <v>protein_coding</v>
      </c>
    </row>
    <row r="3086" spans="1:9" x14ac:dyDescent="0.2">
      <c r="A3086" s="3" t="str">
        <f>"ENSG00000214688.6"</f>
        <v>ENSG00000214688.6</v>
      </c>
      <c r="B3086" s="3">
        <v>7.41327667252152</v>
      </c>
      <c r="C3086" s="3">
        <v>6.2853458829969604</v>
      </c>
      <c r="D3086" s="3">
        <v>1.8614676998914701</v>
      </c>
      <c r="E3086" s="3">
        <v>3.37655382543754</v>
      </c>
      <c r="F3086" s="3">
        <v>7.3400009002317702E-4</v>
      </c>
      <c r="G3086" s="3">
        <v>3.37313213912321E-3</v>
      </c>
      <c r="H3086" s="3" t="str">
        <f>"C10orf105"</f>
        <v>C10orf105</v>
      </c>
      <c r="I3086" s="3" t="str">
        <f>"protein_coding"</f>
        <v>protein_coding</v>
      </c>
    </row>
    <row r="3087" spans="1:9" x14ac:dyDescent="0.2">
      <c r="A3087" s="3" t="str">
        <f>"ENSG00000107738.20"</f>
        <v>ENSG00000107738.20</v>
      </c>
      <c r="B3087" s="3">
        <v>110.910161035849</v>
      </c>
      <c r="C3087" s="3">
        <v>1.68642396423092</v>
      </c>
      <c r="D3087" s="3">
        <v>0.36664834580744998</v>
      </c>
      <c r="E3087" s="3">
        <v>4.5995679061826902</v>
      </c>
      <c r="F3087" s="4">
        <v>4.2336817188682898E-6</v>
      </c>
      <c r="G3087" s="4">
        <v>3.2448699238819798E-5</v>
      </c>
      <c r="H3087" s="3" t="str">
        <f>"VSIR"</f>
        <v>VSIR</v>
      </c>
      <c r="I3087" s="3" t="str">
        <f>"protein_coding"</f>
        <v>protein_coding</v>
      </c>
    </row>
    <row r="3088" spans="1:9" x14ac:dyDescent="0.2">
      <c r="A3088" s="3" t="str">
        <f>"ENSG00000107742.13"</f>
        <v>ENSG00000107742.13</v>
      </c>
      <c r="B3088" s="3">
        <v>1822.62228023743</v>
      </c>
      <c r="C3088" s="3">
        <v>1.6957589720615001</v>
      </c>
      <c r="D3088" s="3">
        <v>0.194884660621712</v>
      </c>
      <c r="E3088" s="3">
        <v>8.7013465639202607</v>
      </c>
      <c r="F3088" s="4">
        <v>3.27969002251926E-18</v>
      </c>
      <c r="G3088" s="4">
        <v>1.08055276957173E-16</v>
      </c>
      <c r="H3088" s="3" t="str">
        <f>"SPOCK2"</f>
        <v>SPOCK2</v>
      </c>
      <c r="I3088" s="3" t="str">
        <f>"protein_coding"</f>
        <v>protein_coding</v>
      </c>
    </row>
    <row r="3089" spans="1:9" x14ac:dyDescent="0.2">
      <c r="A3089" s="3" t="str">
        <f>"ENSG00000138308.5"</f>
        <v>ENSG00000138308.5</v>
      </c>
      <c r="B3089" s="3">
        <v>155.69972155757</v>
      </c>
      <c r="C3089" s="3">
        <v>-2.9953790209092701</v>
      </c>
      <c r="D3089" s="3">
        <v>0.36671230857780002</v>
      </c>
      <c r="E3089" s="3">
        <v>-8.1681987510211496</v>
      </c>
      <c r="F3089" s="4">
        <v>3.13027913948716E-16</v>
      </c>
      <c r="G3089" s="4">
        <v>8.7209320770558992E-15</v>
      </c>
      <c r="H3089" s="3" t="str">
        <f>"PLA2G12B"</f>
        <v>PLA2G12B</v>
      </c>
      <c r="I3089" s="3" t="str">
        <f>"protein_coding"</f>
        <v>protein_coding</v>
      </c>
    </row>
    <row r="3090" spans="1:9" x14ac:dyDescent="0.2">
      <c r="A3090" s="3" t="str">
        <f>"ENSG00000213700.3"</f>
        <v>ENSG00000213700.3</v>
      </c>
      <c r="B3090" s="3">
        <v>52.143549596600401</v>
      </c>
      <c r="C3090" s="3">
        <v>-1.5094416686448999</v>
      </c>
      <c r="D3090" s="3">
        <v>0.51119226649988103</v>
      </c>
      <c r="E3090" s="3">
        <v>-2.95278658845917</v>
      </c>
      <c r="F3090" s="3">
        <v>3.1491959641005299E-3</v>
      </c>
      <c r="G3090" s="3">
        <v>1.1935754963673301E-2</v>
      </c>
      <c r="H3090" s="3" t="str">
        <f>"RPL17P50"</f>
        <v>RPL17P50</v>
      </c>
      <c r="I3090" s="3" t="str">
        <f>"processed_pseudogene"</f>
        <v>processed_pseudogene</v>
      </c>
    </row>
    <row r="3091" spans="1:9" x14ac:dyDescent="0.2">
      <c r="A3091" s="3" t="str">
        <f>"ENSG00000122884.12"</f>
        <v>ENSG00000122884.12</v>
      </c>
      <c r="B3091" s="3">
        <v>3193.9773019561799</v>
      </c>
      <c r="C3091" s="3">
        <v>-1.51565030644884</v>
      </c>
      <c r="D3091" s="3">
        <v>0.20703327321446</v>
      </c>
      <c r="E3091" s="3">
        <v>-7.3208054092774901</v>
      </c>
      <c r="F3091" s="4">
        <v>2.4648704853230801E-13</v>
      </c>
      <c r="G3091" s="4">
        <v>5.2633484415045398E-12</v>
      </c>
      <c r="H3091" s="3" t="str">
        <f>"P4HA1"</f>
        <v>P4HA1</v>
      </c>
      <c r="I3091" s="3" t="str">
        <f>"protein_coding"</f>
        <v>protein_coding</v>
      </c>
    </row>
    <row r="3092" spans="1:9" x14ac:dyDescent="0.2">
      <c r="A3092" s="3" t="str">
        <f>"ENSG00000138286.14"</f>
        <v>ENSG00000138286.14</v>
      </c>
      <c r="B3092" s="3">
        <v>437.01435812574198</v>
      </c>
      <c r="C3092" s="3">
        <v>1.8744336548926099</v>
      </c>
      <c r="D3092" s="3">
        <v>0.261454382583857</v>
      </c>
      <c r="E3092" s="3">
        <v>7.1692569708270897</v>
      </c>
      <c r="F3092" s="4">
        <v>7.5405900327799595E-13</v>
      </c>
      <c r="G3092" s="4">
        <v>1.5196631407038099E-11</v>
      </c>
      <c r="H3092" s="3" t="str">
        <f>"FAM149B1"</f>
        <v>FAM149B1</v>
      </c>
      <c r="I3092" s="3" t="str">
        <f>"protein_coding"</f>
        <v>protein_coding</v>
      </c>
    </row>
    <row r="3093" spans="1:9" x14ac:dyDescent="0.2">
      <c r="A3093" s="3" t="str">
        <f>"ENSG00000213551.5"</f>
        <v>ENSG00000213551.5</v>
      </c>
      <c r="B3093" s="3">
        <v>1572.6712496186201</v>
      </c>
      <c r="C3093" s="3">
        <v>-1.1756478468851199</v>
      </c>
      <c r="D3093" s="3">
        <v>0.18773130083638001</v>
      </c>
      <c r="E3093" s="3">
        <v>-6.2623965297602098</v>
      </c>
      <c r="F3093" s="4">
        <v>3.7910542404658799E-10</v>
      </c>
      <c r="G3093" s="4">
        <v>5.4223020939618802E-9</v>
      </c>
      <c r="H3093" s="3" t="str">
        <f>"DNAJC9"</f>
        <v>DNAJC9</v>
      </c>
      <c r="I3093" s="3" t="str">
        <f>"protein_coding"</f>
        <v>protein_coding</v>
      </c>
    </row>
    <row r="3094" spans="1:9" x14ac:dyDescent="0.2">
      <c r="A3094" s="3" t="str">
        <f>"ENSG00000227382.1"</f>
        <v>ENSG00000227382.1</v>
      </c>
      <c r="B3094" s="3">
        <v>25.6491895781549</v>
      </c>
      <c r="C3094" s="3">
        <v>1.89790110769283</v>
      </c>
      <c r="D3094" s="3">
        <v>0.69358806475219004</v>
      </c>
      <c r="E3094" s="3">
        <v>2.7363520281608702</v>
      </c>
      <c r="F3094" s="3">
        <v>6.2124527777297402E-3</v>
      </c>
      <c r="G3094" s="3">
        <v>2.1324099374502699E-2</v>
      </c>
      <c r="H3094" s="3" t="str">
        <f>"EIF4A2P2"</f>
        <v>EIF4A2P2</v>
      </c>
      <c r="I3094" s="3" t="str">
        <f>"processed_pseudogene"</f>
        <v>processed_pseudogene</v>
      </c>
    </row>
    <row r="3095" spans="1:9" x14ac:dyDescent="0.2">
      <c r="A3095" s="3" t="str">
        <f>"ENSG00000156042.17"</f>
        <v>ENSG00000156042.17</v>
      </c>
      <c r="B3095" s="3">
        <v>49.3838804250571</v>
      </c>
      <c r="C3095" s="3">
        <v>3.2659295504940098</v>
      </c>
      <c r="D3095" s="3">
        <v>0.57926211946900996</v>
      </c>
      <c r="E3095" s="3">
        <v>5.6380858349373399</v>
      </c>
      <c r="F3095" s="4">
        <v>1.7195079926360701E-8</v>
      </c>
      <c r="G3095" s="4">
        <v>1.9785234068984399E-7</v>
      </c>
      <c r="H3095" s="3" t="str">
        <f>"CFAP70"</f>
        <v>CFAP70</v>
      </c>
      <c r="I3095" s="3" t="str">
        <f>"protein_coding"</f>
        <v>protein_coding</v>
      </c>
    </row>
    <row r="3096" spans="1:9" x14ac:dyDescent="0.2">
      <c r="A3096" s="3" t="str">
        <f>"ENSG00000221817.9"</f>
        <v>ENSG00000221817.9</v>
      </c>
      <c r="B3096" s="3">
        <v>60.174514158737999</v>
      </c>
      <c r="C3096" s="3">
        <v>1.46396962382438</v>
      </c>
      <c r="D3096" s="3">
        <v>0.472390416460919</v>
      </c>
      <c r="E3096" s="3">
        <v>3.0990671546477002</v>
      </c>
      <c r="F3096" s="3">
        <v>1.9413101206395701E-3</v>
      </c>
      <c r="G3096" s="3">
        <v>7.8420870062366702E-3</v>
      </c>
      <c r="H3096" s="3" t="str">
        <f>"PPP3CB-AS1"</f>
        <v>PPP3CB-AS1</v>
      </c>
      <c r="I3096" s="3" t="str">
        <f>"processed_transcript"</f>
        <v>processed_transcript</v>
      </c>
    </row>
    <row r="3097" spans="1:9" x14ac:dyDescent="0.2">
      <c r="A3097" s="3" t="str">
        <f>"ENSG00000196968.11"</f>
        <v>ENSG00000196968.11</v>
      </c>
      <c r="B3097" s="3">
        <v>843.87977564001801</v>
      </c>
      <c r="C3097" s="3">
        <v>-1.81899957021549</v>
      </c>
      <c r="D3097" s="3">
        <v>0.204205028579861</v>
      </c>
      <c r="E3097" s="3">
        <v>-8.9077119347436504</v>
      </c>
      <c r="F3097" s="4">
        <v>5.2096549073461398E-19</v>
      </c>
      <c r="G3097" s="4">
        <v>1.82921993892346E-17</v>
      </c>
      <c r="H3097" s="3" t="str">
        <f>"FUT11"</f>
        <v>FUT11</v>
      </c>
      <c r="I3097" s="3" t="str">
        <f>"protein_coding"</f>
        <v>protein_coding</v>
      </c>
    </row>
    <row r="3098" spans="1:9" x14ac:dyDescent="0.2">
      <c r="A3098" s="3" t="str">
        <f>"ENSG00000214655.10"</f>
        <v>ENSG00000214655.10</v>
      </c>
      <c r="B3098" s="3">
        <v>2679.6530972324899</v>
      </c>
      <c r="C3098" s="3">
        <v>1.46373677916529</v>
      </c>
      <c r="D3098" s="3">
        <v>0.215678333603575</v>
      </c>
      <c r="E3098" s="3">
        <v>6.7866658403235798</v>
      </c>
      <c r="F3098" s="4">
        <v>1.147545797083E-11</v>
      </c>
      <c r="G3098" s="4">
        <v>2.01334065248684E-10</v>
      </c>
      <c r="H3098" s="3" t="str">
        <f>"ZSWIM8"</f>
        <v>ZSWIM8</v>
      </c>
      <c r="I3098" s="3" t="str">
        <f>"protein_coding"</f>
        <v>protein_coding</v>
      </c>
    </row>
    <row r="3099" spans="1:9" x14ac:dyDescent="0.2">
      <c r="A3099" s="3" t="str">
        <f>"ENSG00000122861.16"</f>
        <v>ENSG00000122861.16</v>
      </c>
      <c r="B3099" s="3">
        <v>48.420628473393798</v>
      </c>
      <c r="C3099" s="3">
        <v>-1.8911050180112501</v>
      </c>
      <c r="D3099" s="3">
        <v>0.526861691108653</v>
      </c>
      <c r="E3099" s="3">
        <v>-3.5893765857826399</v>
      </c>
      <c r="F3099" s="3">
        <v>3.3146971032113002E-4</v>
      </c>
      <c r="G3099" s="3">
        <v>1.6641892753123E-3</v>
      </c>
      <c r="H3099" s="3" t="str">
        <f>"PLAU"</f>
        <v>PLAU</v>
      </c>
      <c r="I3099" s="3" t="str">
        <f>"protein_coding"</f>
        <v>protein_coding</v>
      </c>
    </row>
    <row r="3100" spans="1:9" x14ac:dyDescent="0.2">
      <c r="A3100" s="3" t="str">
        <f>"ENSG00000035403.17"</f>
        <v>ENSG00000035403.17</v>
      </c>
      <c r="B3100" s="3">
        <v>3174.1150849546202</v>
      </c>
      <c r="C3100" s="3">
        <v>-1.72398838177324</v>
      </c>
      <c r="D3100" s="3">
        <v>0.203337587798085</v>
      </c>
      <c r="E3100" s="3">
        <v>-8.4784539860145003</v>
      </c>
      <c r="F3100" s="4">
        <v>2.2820596413470599E-17</v>
      </c>
      <c r="G3100" s="4">
        <v>7.04980488070107E-16</v>
      </c>
      <c r="H3100" s="3" t="str">
        <f>"VCL"</f>
        <v>VCL</v>
      </c>
      <c r="I3100" s="3" t="str">
        <f>"protein_coding"</f>
        <v>protein_coding</v>
      </c>
    </row>
    <row r="3101" spans="1:9" x14ac:dyDescent="0.2">
      <c r="A3101" s="3" t="str">
        <f>"ENSG00000214629.3"</f>
        <v>ENSG00000214629.3</v>
      </c>
      <c r="B3101" s="3">
        <v>75.924037224487094</v>
      </c>
      <c r="C3101" s="3">
        <v>1.1157032679725001</v>
      </c>
      <c r="D3101" s="3">
        <v>0.41992064607796298</v>
      </c>
      <c r="E3101" s="3">
        <v>2.65693834869304</v>
      </c>
      <c r="F3101" s="3">
        <v>7.8853862010304903E-3</v>
      </c>
      <c r="G3101" s="3">
        <v>2.6064917847807501E-2</v>
      </c>
      <c r="H3101" s="3" t="str">
        <f>"RPSAP6"</f>
        <v>RPSAP6</v>
      </c>
      <c r="I3101" s="3" t="str">
        <f>"processed_pseudogene"</f>
        <v>processed_pseudogene</v>
      </c>
    </row>
    <row r="3102" spans="1:9" x14ac:dyDescent="0.2">
      <c r="A3102" s="3" t="str">
        <f>"ENSG00000232342.7"</f>
        <v>ENSG00000232342.7</v>
      </c>
      <c r="B3102" s="3">
        <v>4.0010518602740399</v>
      </c>
      <c r="C3102" s="3">
        <v>5.39773571786733</v>
      </c>
      <c r="D3102" s="3">
        <v>2.1532629357120299</v>
      </c>
      <c r="E3102" s="3">
        <v>2.5067703661942402</v>
      </c>
      <c r="F3102" s="3">
        <v>1.2183983780147E-2</v>
      </c>
      <c r="G3102" s="3">
        <v>3.74945794056546E-2</v>
      </c>
      <c r="H3102" s="3" t="str">
        <f>"AC022540.1"</f>
        <v>AC022540.1</v>
      </c>
      <c r="I3102" s="3" t="str">
        <f>"antisense"</f>
        <v>antisense</v>
      </c>
    </row>
    <row r="3103" spans="1:9" x14ac:dyDescent="0.2">
      <c r="A3103" s="3" t="str">
        <f>"ENSG00000079393.20"</f>
        <v>ENSG00000079393.20</v>
      </c>
      <c r="B3103" s="3">
        <v>126.64604547616</v>
      </c>
      <c r="C3103" s="3">
        <v>3.2070678549276899</v>
      </c>
      <c r="D3103" s="3">
        <v>0.38797256580320399</v>
      </c>
      <c r="E3103" s="3">
        <v>8.2662232786697896</v>
      </c>
      <c r="F3103" s="4">
        <v>1.3826948104258401E-16</v>
      </c>
      <c r="G3103" s="4">
        <v>3.9824826109590698E-15</v>
      </c>
      <c r="H3103" s="3" t="str">
        <f>"DUSP13"</f>
        <v>DUSP13</v>
      </c>
      <c r="I3103" s="3" t="str">
        <f>"protein_coding"</f>
        <v>protein_coding</v>
      </c>
    </row>
    <row r="3104" spans="1:9" x14ac:dyDescent="0.2">
      <c r="A3104" s="3" t="str">
        <f>"ENSG00000279814.1"</f>
        <v>ENSG00000279814.1</v>
      </c>
      <c r="B3104" s="3">
        <v>583.17006336367103</v>
      </c>
      <c r="C3104" s="3">
        <v>1.9018928864428299</v>
      </c>
      <c r="D3104" s="3">
        <v>0.240713805028371</v>
      </c>
      <c r="E3104" s="3">
        <v>7.9010544751210396</v>
      </c>
      <c r="F3104" s="4">
        <v>2.7655374590622602E-15</v>
      </c>
      <c r="G3104" s="4">
        <v>7.1020357348793097E-14</v>
      </c>
      <c r="H3104" s="3" t="str">
        <f>"AC010997.6"</f>
        <v>AC010997.6</v>
      </c>
      <c r="I3104" s="3" t="str">
        <f>"TEC"</f>
        <v>TEC</v>
      </c>
    </row>
    <row r="3105" spans="1:9" x14ac:dyDescent="0.2">
      <c r="A3105" s="3" t="str">
        <f>"ENSG00000207583.1"</f>
        <v>ENSG00000207583.1</v>
      </c>
      <c r="B3105" s="3">
        <v>63.293033319914798</v>
      </c>
      <c r="C3105" s="3">
        <v>1.8297468189153001</v>
      </c>
      <c r="D3105" s="3">
        <v>0.50258153758672397</v>
      </c>
      <c r="E3105" s="3">
        <v>3.6406964483838902</v>
      </c>
      <c r="F3105" s="3">
        <v>2.7190155486730299E-4</v>
      </c>
      <c r="G3105" s="3">
        <v>1.3957237500884299E-3</v>
      </c>
      <c r="H3105" s="3" t="str">
        <f>"MIR606"</f>
        <v>MIR606</v>
      </c>
      <c r="I3105" s="3" t="str">
        <f>"miRNA"</f>
        <v>miRNA</v>
      </c>
    </row>
    <row r="3106" spans="1:9" x14ac:dyDescent="0.2">
      <c r="A3106" s="3" t="str">
        <f>"ENSG00000268659.2"</f>
        <v>ENSG00000268659.2</v>
      </c>
      <c r="B3106" s="3">
        <v>147.38441445979501</v>
      </c>
      <c r="C3106" s="3">
        <v>1.5445728399526699</v>
      </c>
      <c r="D3106" s="3">
        <v>0.344908225167532</v>
      </c>
      <c r="E3106" s="3">
        <v>4.4782139921494304</v>
      </c>
      <c r="F3106" s="4">
        <v>7.5270129146200096E-6</v>
      </c>
      <c r="G3106" s="4">
        <v>5.4761299946521003E-5</v>
      </c>
      <c r="H3106" s="3" t="str">
        <f>"AL589863.1"</f>
        <v>AL589863.1</v>
      </c>
      <c r="I3106" s="3" t="str">
        <f>"sense_intronic"</f>
        <v>sense_intronic</v>
      </c>
    </row>
    <row r="3107" spans="1:9" x14ac:dyDescent="0.2">
      <c r="A3107" s="3" t="str">
        <f>"ENSG00000228280.1"</f>
        <v>ENSG00000228280.1</v>
      </c>
      <c r="B3107" s="3">
        <v>167.01089248791601</v>
      </c>
      <c r="C3107" s="3">
        <v>1.6197238834146199</v>
      </c>
      <c r="D3107" s="3">
        <v>0.31465346665298299</v>
      </c>
      <c r="E3107" s="3">
        <v>5.1476435351050398</v>
      </c>
      <c r="F3107" s="4">
        <v>2.6377914913543298E-7</v>
      </c>
      <c r="G3107" s="4">
        <v>2.49295542021961E-6</v>
      </c>
      <c r="H3107" s="3" t="str">
        <f>"AL731568.1"</f>
        <v>AL731568.1</v>
      </c>
      <c r="I3107" s="3" t="str">
        <f>"sense_intronic"</f>
        <v>sense_intronic</v>
      </c>
    </row>
    <row r="3108" spans="1:9" x14ac:dyDescent="0.2">
      <c r="A3108" s="3" t="str">
        <f>"ENSG00000156113.23"</f>
        <v>ENSG00000156113.23</v>
      </c>
      <c r="B3108" s="3">
        <v>29.2184173313677</v>
      </c>
      <c r="C3108" s="3">
        <v>6.8128006679643303</v>
      </c>
      <c r="D3108" s="3">
        <v>1.5627800838779999</v>
      </c>
      <c r="E3108" s="3">
        <v>4.3594109870267497</v>
      </c>
      <c r="F3108" s="4">
        <v>1.30412986358389E-5</v>
      </c>
      <c r="G3108" s="4">
        <v>9.0393351292470699E-5</v>
      </c>
      <c r="H3108" s="3" t="str">
        <f>"KCNMA1"</f>
        <v>KCNMA1</v>
      </c>
      <c r="I3108" s="3" t="str">
        <f>"protein_coding"</f>
        <v>protein_coding</v>
      </c>
    </row>
    <row r="3109" spans="1:9" x14ac:dyDescent="0.2">
      <c r="A3109" s="3" t="str">
        <f>"ENSG00000224596.7"</f>
        <v>ENSG00000224596.7</v>
      </c>
      <c r="B3109" s="3">
        <v>172.46543259495999</v>
      </c>
      <c r="C3109" s="3">
        <v>2.4401138343819602</v>
      </c>
      <c r="D3109" s="3">
        <v>0.33069508029454803</v>
      </c>
      <c r="E3109" s="3">
        <v>7.3787424723965396</v>
      </c>
      <c r="F3109" s="4">
        <v>1.5979156757374199E-13</v>
      </c>
      <c r="G3109" s="4">
        <v>3.4998720592296999E-12</v>
      </c>
      <c r="H3109" s="3" t="str">
        <f>"ZMIZ1-AS1"</f>
        <v>ZMIZ1-AS1</v>
      </c>
      <c r="I3109" s="3" t="str">
        <f>"antisense"</f>
        <v>antisense</v>
      </c>
    </row>
    <row r="3110" spans="1:9" x14ac:dyDescent="0.2">
      <c r="A3110" s="3" t="str">
        <f>"ENSG00000229569.1"</f>
        <v>ENSG00000229569.1</v>
      </c>
      <c r="B3110" s="3">
        <v>29.988434903428001</v>
      </c>
      <c r="C3110" s="3">
        <v>6.8503445219041499</v>
      </c>
      <c r="D3110" s="3">
        <v>1.5584785880836001</v>
      </c>
      <c r="E3110" s="3">
        <v>4.3955332939977998</v>
      </c>
      <c r="F3110" s="4">
        <v>1.10501124618114E-5</v>
      </c>
      <c r="G3110" s="4">
        <v>7.7718743997670496E-5</v>
      </c>
      <c r="H3110" s="3" t="str">
        <f>"AL356753.1"</f>
        <v>AL356753.1</v>
      </c>
      <c r="I3110" s="3" t="str">
        <f>"lincRNA"</f>
        <v>lincRNA</v>
      </c>
    </row>
    <row r="3111" spans="1:9" x14ac:dyDescent="0.2">
      <c r="A3111" s="3" t="str">
        <f>"ENSG00000165424.6"</f>
        <v>ENSG00000165424.6</v>
      </c>
      <c r="B3111" s="3">
        <v>577.03189207463004</v>
      </c>
      <c r="C3111" s="3">
        <v>-2.7159812152610301</v>
      </c>
      <c r="D3111" s="3">
        <v>0.228407779310417</v>
      </c>
      <c r="E3111" s="3">
        <v>-11.8909313135517</v>
      </c>
      <c r="F3111" s="4">
        <v>1.3192723110709299E-32</v>
      </c>
      <c r="G3111" s="4">
        <v>1.20221447022574E-30</v>
      </c>
      <c r="H3111" s="3" t="str">
        <f>"ZCCHC24"</f>
        <v>ZCCHC24</v>
      </c>
      <c r="I3111" s="3" t="str">
        <f>"protein_coding"</f>
        <v>protein_coding</v>
      </c>
    </row>
    <row r="3112" spans="1:9" x14ac:dyDescent="0.2">
      <c r="A3112" s="3" t="str">
        <f>"ENSG00000253626.3"</f>
        <v>ENSG00000253626.3</v>
      </c>
      <c r="B3112" s="3">
        <v>218.08042423150599</v>
      </c>
      <c r="C3112" s="3">
        <v>-1.4245780507369701</v>
      </c>
      <c r="D3112" s="3">
        <v>0.29162028812101298</v>
      </c>
      <c r="E3112" s="3">
        <v>-4.8850443839689603</v>
      </c>
      <c r="F3112" s="4">
        <v>1.0340555758803801E-6</v>
      </c>
      <c r="G3112" s="4">
        <v>8.8461263033007392E-6</v>
      </c>
      <c r="H3112" s="3" t="str">
        <f>"EIF5AL1"</f>
        <v>EIF5AL1</v>
      </c>
      <c r="I3112" s="3" t="str">
        <f>"protein_coding"</f>
        <v>protein_coding</v>
      </c>
    </row>
    <row r="3113" spans="1:9" x14ac:dyDescent="0.2">
      <c r="A3113" s="3" t="str">
        <f>"ENSG00000219430.2"</f>
        <v>ENSG00000219430.2</v>
      </c>
      <c r="B3113" s="3">
        <v>7.9266217205616902</v>
      </c>
      <c r="C3113" s="3">
        <v>6.3813652613408598</v>
      </c>
      <c r="D3113" s="3">
        <v>1.8395505172553801</v>
      </c>
      <c r="E3113" s="3">
        <v>3.4689807110390798</v>
      </c>
      <c r="F3113" s="3">
        <v>5.2243696189452501E-4</v>
      </c>
      <c r="G3113" s="3">
        <v>2.4918997860432202E-3</v>
      </c>
      <c r="H3113" s="3" t="str">
        <f>"MBL3P"</f>
        <v>MBL3P</v>
      </c>
      <c r="I3113" s="3" t="str">
        <f>"unprocessed_pseudogene"</f>
        <v>unprocessed_pseudogene</v>
      </c>
    </row>
    <row r="3114" spans="1:9" x14ac:dyDescent="0.2">
      <c r="A3114" s="3" t="str">
        <f>"ENSG00000237523.1"</f>
        <v>ENSG00000237523.1</v>
      </c>
      <c r="B3114" s="3">
        <v>53.077301128150701</v>
      </c>
      <c r="C3114" s="3">
        <v>-1.36246003707302</v>
      </c>
      <c r="D3114" s="3">
        <v>0.492016840107729</v>
      </c>
      <c r="E3114" s="3">
        <v>-2.7691329361302</v>
      </c>
      <c r="F3114" s="3">
        <v>5.6205697153465803E-3</v>
      </c>
      <c r="G3114" s="3">
        <v>1.96237394969308E-2</v>
      </c>
      <c r="H3114" s="3" t="str">
        <f>"LINC00857"</f>
        <v>LINC00857</v>
      </c>
      <c r="I3114" s="3" t="str">
        <f>"lincRNA"</f>
        <v>lincRNA</v>
      </c>
    </row>
    <row r="3115" spans="1:9" x14ac:dyDescent="0.2">
      <c r="A3115" s="3" t="str">
        <f>"ENSG00000234743.1"</f>
        <v>ENSG00000234743.1</v>
      </c>
      <c r="B3115" s="3">
        <v>190.690622744123</v>
      </c>
      <c r="C3115" s="3">
        <v>-1.39252958298216</v>
      </c>
      <c r="D3115" s="3">
        <v>0.33440645000328401</v>
      </c>
      <c r="E3115" s="3">
        <v>-4.1641827870499801</v>
      </c>
      <c r="F3115" s="4">
        <v>3.1246971736383802E-5</v>
      </c>
      <c r="G3115" s="3">
        <v>1.9934119384248399E-4</v>
      </c>
      <c r="H3115" s="3" t="str">
        <f>"EIF5AP4"</f>
        <v>EIF5AP4</v>
      </c>
      <c r="I3115" s="3" t="str">
        <f>"processed_pseudogene"</f>
        <v>processed_pseudogene</v>
      </c>
    </row>
    <row r="3116" spans="1:9" x14ac:dyDescent="0.2">
      <c r="A3116" s="3" t="str">
        <f>"ENSG00000151224.13"</f>
        <v>ENSG00000151224.13</v>
      </c>
      <c r="B3116" s="3">
        <v>1044.4085486747099</v>
      </c>
      <c r="C3116" s="3">
        <v>-2.3155299628622599</v>
      </c>
      <c r="D3116" s="3">
        <v>0.225878856286576</v>
      </c>
      <c r="E3116" s="3">
        <v>-10.2512027948491</v>
      </c>
      <c r="F3116" s="4">
        <v>1.1687992893990001E-24</v>
      </c>
      <c r="G3116" s="4">
        <v>6.3438793303295802E-23</v>
      </c>
      <c r="H3116" s="3" t="str">
        <f>"MAT1A"</f>
        <v>MAT1A</v>
      </c>
      <c r="I3116" s="3" t="str">
        <f>"protein_coding"</f>
        <v>protein_coding</v>
      </c>
    </row>
    <row r="3117" spans="1:9" x14ac:dyDescent="0.2">
      <c r="A3117" s="3" t="str">
        <f>"ENSG00000285972.1"</f>
        <v>ENSG00000285972.1</v>
      </c>
      <c r="B3117" s="3">
        <v>21.4453484420842</v>
      </c>
      <c r="C3117" s="3">
        <v>5.3358392828251704</v>
      </c>
      <c r="D3117" s="3">
        <v>1.2356395309364601</v>
      </c>
      <c r="E3117" s="3">
        <v>4.3182814641591003</v>
      </c>
      <c r="F3117" s="4">
        <v>1.5724881612544999E-5</v>
      </c>
      <c r="G3117" s="3">
        <v>1.0700695536888499E-4</v>
      </c>
      <c r="H3117" s="3" t="str">
        <f>"CERNA2"</f>
        <v>CERNA2</v>
      </c>
      <c r="I3117" s="3" t="str">
        <f>"lincRNA"</f>
        <v>lincRNA</v>
      </c>
    </row>
    <row r="3118" spans="1:9" x14ac:dyDescent="0.2">
      <c r="A3118" s="3" t="str">
        <f>"ENSG00000182771.19"</f>
        <v>ENSG00000182771.19</v>
      </c>
      <c r="B3118" s="3">
        <v>295.06622060634197</v>
      </c>
      <c r="C3118" s="3">
        <v>10.1572302799177</v>
      </c>
      <c r="D3118" s="3">
        <v>1.4585307868384101</v>
      </c>
      <c r="E3118" s="3">
        <v>6.9640150016545403</v>
      </c>
      <c r="F3118" s="4">
        <v>3.30709369227726E-12</v>
      </c>
      <c r="G3118" s="4">
        <v>6.1368582809979598E-11</v>
      </c>
      <c r="H3118" s="3" t="str">
        <f>"GRID1"</f>
        <v>GRID1</v>
      </c>
      <c r="I3118" s="3" t="str">
        <f>"protein_coding"</f>
        <v>protein_coding</v>
      </c>
    </row>
    <row r="3119" spans="1:9" x14ac:dyDescent="0.2">
      <c r="A3119" s="3" t="str">
        <f>"ENSG00000148672.9"</f>
        <v>ENSG00000148672.9</v>
      </c>
      <c r="B3119" s="3">
        <v>13940.288756309399</v>
      </c>
      <c r="C3119" s="3">
        <v>-1.6369394123916801</v>
      </c>
      <c r="D3119" s="3">
        <v>0.180559921322411</v>
      </c>
      <c r="E3119" s="3">
        <v>-9.0659067660354609</v>
      </c>
      <c r="F3119" s="4">
        <v>1.23572096479248E-19</v>
      </c>
      <c r="G3119" s="4">
        <v>4.5746860227854298E-18</v>
      </c>
      <c r="H3119" s="3" t="str">
        <f>"GLUD1"</f>
        <v>GLUD1</v>
      </c>
      <c r="I3119" s="3" t="str">
        <f>"protein_coding"</f>
        <v>protein_coding</v>
      </c>
    </row>
    <row r="3120" spans="1:9" x14ac:dyDescent="0.2">
      <c r="A3120" s="3" t="str">
        <f>"ENSG00000198682.13"</f>
        <v>ENSG00000198682.13</v>
      </c>
      <c r="B3120" s="3">
        <v>17.402805229927701</v>
      </c>
      <c r="C3120" s="3">
        <v>2.5260698859277699</v>
      </c>
      <c r="D3120" s="3">
        <v>0.87501644857001804</v>
      </c>
      <c r="E3120" s="3">
        <v>2.8868827438112299</v>
      </c>
      <c r="F3120" s="3">
        <v>3.8907920019474501E-3</v>
      </c>
      <c r="G3120" s="3">
        <v>1.4302837504899401E-2</v>
      </c>
      <c r="H3120" s="3" t="str">
        <f>"PAPSS2"</f>
        <v>PAPSS2</v>
      </c>
      <c r="I3120" s="3" t="str">
        <f>"protein_coding"</f>
        <v>protein_coding</v>
      </c>
    </row>
    <row r="3121" spans="1:9" x14ac:dyDescent="0.2">
      <c r="A3121" s="3" t="str">
        <f>"ENSG00000227268.3"</f>
        <v>ENSG00000227268.3</v>
      </c>
      <c r="B3121" s="3">
        <v>75.917239044393895</v>
      </c>
      <c r="C3121" s="3">
        <v>2.14874067046672</v>
      </c>
      <c r="D3121" s="3">
        <v>0.44128544339333398</v>
      </c>
      <c r="E3121" s="3">
        <v>4.8692761173893304</v>
      </c>
      <c r="F3121" s="4">
        <v>1.1200780578466101E-6</v>
      </c>
      <c r="G3121" s="4">
        <v>9.5145242896509605E-6</v>
      </c>
      <c r="H3121" s="3" t="str">
        <f>"KLLN"</f>
        <v>KLLN</v>
      </c>
      <c r="I3121" s="3" t="str">
        <f>"protein_coding"</f>
        <v>protein_coding</v>
      </c>
    </row>
    <row r="3122" spans="1:9" x14ac:dyDescent="0.2">
      <c r="A3122" s="3" t="str">
        <f>"ENSG00000107796.13"</f>
        <v>ENSG00000107796.13</v>
      </c>
      <c r="B3122" s="3">
        <v>3837.2438323664801</v>
      </c>
      <c r="C3122" s="3">
        <v>3.1701397706378498</v>
      </c>
      <c r="D3122" s="3">
        <v>0.20391212848689799</v>
      </c>
      <c r="E3122" s="3">
        <v>15.546597419984</v>
      </c>
      <c r="F3122" s="4">
        <v>1.67786261461984E-54</v>
      </c>
      <c r="G3122" s="4">
        <v>4.0457276690749402E-52</v>
      </c>
      <c r="H3122" s="3" t="str">
        <f>"ACTA2"</f>
        <v>ACTA2</v>
      </c>
      <c r="I3122" s="3" t="str">
        <f>"protein_coding"</f>
        <v>protein_coding</v>
      </c>
    </row>
    <row r="3123" spans="1:9" x14ac:dyDescent="0.2">
      <c r="A3123" s="3" t="str">
        <f>"ENSG00000286116.1"</f>
        <v>ENSG00000286116.1</v>
      </c>
      <c r="B3123" s="3">
        <v>293.26315682760298</v>
      </c>
      <c r="C3123" s="3">
        <v>1.64361562548649</v>
      </c>
      <c r="D3123" s="3">
        <v>0.26645943279067302</v>
      </c>
      <c r="E3123" s="3">
        <v>6.1683521888215296</v>
      </c>
      <c r="F3123" s="4">
        <v>6.9005312701389101E-10</v>
      </c>
      <c r="G3123" s="4">
        <v>9.5781342596777902E-9</v>
      </c>
      <c r="H3123" s="3" t="str">
        <f>"AL157394.2"</f>
        <v>AL157394.2</v>
      </c>
      <c r="I3123" s="3" t="str">
        <f>"antisense"</f>
        <v>antisense</v>
      </c>
    </row>
    <row r="3124" spans="1:9" x14ac:dyDescent="0.2">
      <c r="A3124" s="3" t="str">
        <f>"ENSG00000026103.22"</f>
        <v>ENSG00000026103.22</v>
      </c>
      <c r="B3124" s="3">
        <v>1583.4902087829701</v>
      </c>
      <c r="C3124" s="3">
        <v>2.9105429542130401</v>
      </c>
      <c r="D3124" s="3">
        <v>0.213279212344715</v>
      </c>
      <c r="E3124" s="3">
        <v>13.646632141105499</v>
      </c>
      <c r="F3124" s="4">
        <v>2.1142622860121E-42</v>
      </c>
      <c r="G3124" s="4">
        <v>3.2731423015324901E-40</v>
      </c>
      <c r="H3124" s="3" t="str">
        <f>"FAS"</f>
        <v>FAS</v>
      </c>
      <c r="I3124" s="3" t="str">
        <f>"protein_coding"</f>
        <v>protein_coding</v>
      </c>
    </row>
    <row r="3125" spans="1:9" x14ac:dyDescent="0.2">
      <c r="A3125" s="3" t="str">
        <f>"ENSG00000275693.1"</f>
        <v>ENSG00000275693.1</v>
      </c>
      <c r="B3125" s="3">
        <v>36.797898944968502</v>
      </c>
      <c r="C3125" s="3">
        <v>5.5380908631014698</v>
      </c>
      <c r="D3125" s="3">
        <v>1.0293515199169101</v>
      </c>
      <c r="E3125" s="3">
        <v>5.3801745622802502</v>
      </c>
      <c r="F3125" s="4">
        <v>7.4413646572428896E-8</v>
      </c>
      <c r="G3125" s="4">
        <v>7.7328322965635801E-7</v>
      </c>
      <c r="H3125" s="3" t="str">
        <f>"RF02116"</f>
        <v>RF02116</v>
      </c>
      <c r="I3125" s="3" t="str">
        <f>"misc_RNA"</f>
        <v>misc_RNA</v>
      </c>
    </row>
    <row r="3126" spans="1:9" x14ac:dyDescent="0.2">
      <c r="A3126" s="3" t="str">
        <f>"ENSG00000152779.14"</f>
        <v>ENSG00000152779.14</v>
      </c>
      <c r="B3126" s="3">
        <v>15.7362267203446</v>
      </c>
      <c r="C3126" s="3">
        <v>3.2049638143012502</v>
      </c>
      <c r="D3126" s="3">
        <v>1.0053822605410401</v>
      </c>
      <c r="E3126" s="3">
        <v>3.18780621072082</v>
      </c>
      <c r="F3126" s="3">
        <v>1.4335657865708899E-3</v>
      </c>
      <c r="G3126" s="3">
        <v>6.0530554760107004E-3</v>
      </c>
      <c r="H3126" s="3" t="str">
        <f>"SLC16A12"</f>
        <v>SLC16A12</v>
      </c>
      <c r="I3126" s="3" t="str">
        <f>"protein_coding"</f>
        <v>protein_coding</v>
      </c>
    </row>
    <row r="3127" spans="1:9" x14ac:dyDescent="0.2">
      <c r="A3127" s="3" t="str">
        <f>"ENSG00000224750.6"</f>
        <v>ENSG00000224750.6</v>
      </c>
      <c r="B3127" s="3">
        <v>8.4762048734086104</v>
      </c>
      <c r="C3127" s="3">
        <v>6.4770558149072102</v>
      </c>
      <c r="D3127" s="3">
        <v>1.8229169800052201</v>
      </c>
      <c r="E3127" s="3">
        <v>3.55312715057855</v>
      </c>
      <c r="F3127" s="3">
        <v>3.8068041528367599E-4</v>
      </c>
      <c r="G3127" s="3">
        <v>1.88589077731533E-3</v>
      </c>
      <c r="H3127" s="3" t="str">
        <f>"AL391704.1"</f>
        <v>AL391704.1</v>
      </c>
      <c r="I3127" s="3" t="str">
        <f>"lincRNA"</f>
        <v>lincRNA</v>
      </c>
    </row>
    <row r="3128" spans="1:9" x14ac:dyDescent="0.2">
      <c r="A3128" s="3" t="str">
        <f>"ENSG00000152804.11"</f>
        <v>ENSG00000152804.11</v>
      </c>
      <c r="B3128" s="3">
        <v>1650.0591403405299</v>
      </c>
      <c r="C3128" s="3">
        <v>-1.5708329833260399</v>
      </c>
      <c r="D3128" s="3">
        <v>0.18711541881529101</v>
      </c>
      <c r="E3128" s="3">
        <v>-8.3949948821516607</v>
      </c>
      <c r="F3128" s="4">
        <v>4.65914542328558E-17</v>
      </c>
      <c r="G3128" s="4">
        <v>1.3934987414737901E-15</v>
      </c>
      <c r="H3128" s="3" t="str">
        <f>"HHEX"</f>
        <v>HHEX</v>
      </c>
      <c r="I3128" s="3" t="str">
        <f>"protein_coding"</f>
        <v>protein_coding</v>
      </c>
    </row>
    <row r="3129" spans="1:9" x14ac:dyDescent="0.2">
      <c r="A3129" s="3" t="str">
        <f>"ENSG00000095596.12"</f>
        <v>ENSG00000095596.12</v>
      </c>
      <c r="B3129" s="3">
        <v>9.2913533913417901</v>
      </c>
      <c r="C3129" s="3">
        <v>5.1253735923294403</v>
      </c>
      <c r="D3129" s="3">
        <v>1.7656242161184901</v>
      </c>
      <c r="E3129" s="3">
        <v>2.90286774815366</v>
      </c>
      <c r="F3129" s="3">
        <v>3.6976274919898102E-3</v>
      </c>
      <c r="G3129" s="3">
        <v>1.3716712903233E-2</v>
      </c>
      <c r="H3129" s="3" t="str">
        <f>"CYP26A1"</f>
        <v>CYP26A1</v>
      </c>
      <c r="I3129" s="3" t="str">
        <f>"protein_coding"</f>
        <v>protein_coding</v>
      </c>
    </row>
    <row r="3130" spans="1:9" x14ac:dyDescent="0.2">
      <c r="A3130" s="3" t="str">
        <f>"ENSG00000138207.14"</f>
        <v>ENSG00000138207.14</v>
      </c>
      <c r="B3130" s="3">
        <v>11487.1596547999</v>
      </c>
      <c r="C3130" s="3">
        <v>-1.5082589438140299</v>
      </c>
      <c r="D3130" s="3">
        <v>0.224309617472158</v>
      </c>
      <c r="E3130" s="3">
        <v>-6.7240047966344498</v>
      </c>
      <c r="F3130" s="4">
        <v>1.7679660813999801E-11</v>
      </c>
      <c r="G3130" s="4">
        <v>3.0296711836418502E-10</v>
      </c>
      <c r="H3130" s="3" t="str">
        <f>"RBP4"</f>
        <v>RBP4</v>
      </c>
      <c r="I3130" s="3" t="str">
        <f>"protein_coding"</f>
        <v>protein_coding</v>
      </c>
    </row>
    <row r="3131" spans="1:9" x14ac:dyDescent="0.2">
      <c r="A3131" s="3" t="str">
        <f>"ENSG00000095464.9"</f>
        <v>ENSG00000095464.9</v>
      </c>
      <c r="B3131" s="3">
        <v>26.0538476720216</v>
      </c>
      <c r="C3131" s="3">
        <v>6.6430721758321898</v>
      </c>
      <c r="D3131" s="3">
        <v>1.57107104780814</v>
      </c>
      <c r="E3131" s="3">
        <v>4.2283715845315699</v>
      </c>
      <c r="F3131" s="4">
        <v>2.3538880427002602E-5</v>
      </c>
      <c r="G3131" s="3">
        <v>1.5417400841214899E-4</v>
      </c>
      <c r="H3131" s="3" t="str">
        <f>"PDE6C"</f>
        <v>PDE6C</v>
      </c>
      <c r="I3131" s="3" t="str">
        <f>"protein_coding"</f>
        <v>protein_coding</v>
      </c>
    </row>
    <row r="3132" spans="1:9" x14ac:dyDescent="0.2">
      <c r="A3132" s="3" t="str">
        <f>"ENSG00000108231.13"</f>
        <v>ENSG00000108231.13</v>
      </c>
      <c r="B3132" s="3">
        <v>125.82180400264301</v>
      </c>
      <c r="C3132" s="3">
        <v>2.9159435431889902</v>
      </c>
      <c r="D3132" s="3">
        <v>0.38901990199345698</v>
      </c>
      <c r="E3132" s="3">
        <v>7.4956153354797603</v>
      </c>
      <c r="F3132" s="4">
        <v>6.5988050539887495E-14</v>
      </c>
      <c r="G3132" s="4">
        <v>1.49333589124611E-12</v>
      </c>
      <c r="H3132" s="3" t="str">
        <f>"LGI1"</f>
        <v>LGI1</v>
      </c>
      <c r="I3132" s="3" t="str">
        <f>"protein_coding"</f>
        <v>protein_coding</v>
      </c>
    </row>
    <row r="3133" spans="1:9" x14ac:dyDescent="0.2">
      <c r="A3133" s="3" t="str">
        <f>"ENSG00000280660.1"</f>
        <v>ENSG00000280660.1</v>
      </c>
      <c r="B3133" s="3">
        <v>53.425021252000903</v>
      </c>
      <c r="C3133" s="3">
        <v>2.56288708504652</v>
      </c>
      <c r="D3133" s="3">
        <v>0.52048768345066398</v>
      </c>
      <c r="E3133" s="3">
        <v>4.92401101224032</v>
      </c>
      <c r="F3133" s="4">
        <v>8.4788061834805998E-7</v>
      </c>
      <c r="G3133" s="4">
        <v>7.3691238303443703E-6</v>
      </c>
      <c r="H3133" s="3" t="str">
        <f>"AL157396.1"</f>
        <v>AL157396.1</v>
      </c>
      <c r="I3133" s="3" t="str">
        <f>"sense_intronic"</f>
        <v>sense_intronic</v>
      </c>
    </row>
    <row r="3134" spans="1:9" x14ac:dyDescent="0.2">
      <c r="A3134" s="3" t="str">
        <f>"ENSG00000176273.15"</f>
        <v>ENSG00000176273.15</v>
      </c>
      <c r="B3134" s="3">
        <v>209.61015444894801</v>
      </c>
      <c r="C3134" s="3">
        <v>-1.2783283827649601</v>
      </c>
      <c r="D3134" s="3">
        <v>0.283973830779988</v>
      </c>
      <c r="E3134" s="3">
        <v>-4.5015710752423397</v>
      </c>
      <c r="F3134" s="4">
        <v>6.7453000678844497E-6</v>
      </c>
      <c r="G3134" s="4">
        <v>4.9512174286004197E-5</v>
      </c>
      <c r="H3134" s="3" t="str">
        <f>"SLC35G1"</f>
        <v>SLC35G1</v>
      </c>
      <c r="I3134" s="3" t="str">
        <f t="shared" ref="I3134:I3148" si="146">"protein_coding"</f>
        <v>protein_coding</v>
      </c>
    </row>
    <row r="3135" spans="1:9" x14ac:dyDescent="0.2">
      <c r="A3135" s="3" t="str">
        <f>"ENSG00000138193.15"</f>
        <v>ENSG00000138193.15</v>
      </c>
      <c r="B3135" s="3">
        <v>28.3373190348096</v>
      </c>
      <c r="C3135" s="3">
        <v>2.4483425410409301</v>
      </c>
      <c r="D3135" s="3">
        <v>0.70940796689660202</v>
      </c>
      <c r="E3135" s="3">
        <v>3.4512475969948899</v>
      </c>
      <c r="F3135" s="3">
        <v>5.5800140854932396E-4</v>
      </c>
      <c r="G3135" s="3">
        <v>2.6401466268992598E-3</v>
      </c>
      <c r="H3135" s="3" t="str">
        <f>"PLCE1"</f>
        <v>PLCE1</v>
      </c>
      <c r="I3135" s="3" t="str">
        <f t="shared" si="146"/>
        <v>protein_coding</v>
      </c>
    </row>
    <row r="3136" spans="1:9" x14ac:dyDescent="0.2">
      <c r="A3136" s="3" t="str">
        <f>"ENSG00000138109.11"</f>
        <v>ENSG00000138109.11</v>
      </c>
      <c r="B3136" s="3">
        <v>7.0086459389015801</v>
      </c>
      <c r="C3136" s="3">
        <v>6.2030126340395801</v>
      </c>
      <c r="D3136" s="3">
        <v>1.8887047567333499</v>
      </c>
      <c r="E3136" s="3">
        <v>3.28426802120631</v>
      </c>
      <c r="F3136" s="3">
        <v>1.02247634261809E-3</v>
      </c>
      <c r="G3136" s="3">
        <v>4.5056187300167401E-3</v>
      </c>
      <c r="H3136" s="3" t="str">
        <f>"CYP2C9"</f>
        <v>CYP2C9</v>
      </c>
      <c r="I3136" s="3" t="str">
        <f t="shared" si="146"/>
        <v>protein_coding</v>
      </c>
    </row>
    <row r="3137" spans="1:9" x14ac:dyDescent="0.2">
      <c r="A3137" s="3" t="str">
        <f>"ENSG00000059573.9"</f>
        <v>ENSG00000059573.9</v>
      </c>
      <c r="B3137" s="3">
        <v>5916.7073381561904</v>
      </c>
      <c r="C3137" s="3">
        <v>-1.7823941001878201</v>
      </c>
      <c r="D3137" s="3">
        <v>0.19511190977774301</v>
      </c>
      <c r="E3137" s="3">
        <v>-9.13523988473173</v>
      </c>
      <c r="F3137" s="4">
        <v>6.5261926970209198E-20</v>
      </c>
      <c r="G3137" s="4">
        <v>2.4731456525136201E-18</v>
      </c>
      <c r="H3137" s="3" t="str">
        <f>"ALDH18A1"</f>
        <v>ALDH18A1</v>
      </c>
      <c r="I3137" s="3" t="str">
        <f t="shared" si="146"/>
        <v>protein_coding</v>
      </c>
    </row>
    <row r="3138" spans="1:9" x14ac:dyDescent="0.2">
      <c r="A3138" s="3" t="str">
        <f>"ENSG00000138185.20"</f>
        <v>ENSG00000138185.20</v>
      </c>
      <c r="B3138" s="3">
        <v>13.9264066144253</v>
      </c>
      <c r="C3138" s="3">
        <v>3.6382966552331699</v>
      </c>
      <c r="D3138" s="3">
        <v>1.11307816777213</v>
      </c>
      <c r="E3138" s="3">
        <v>3.2686802783270501</v>
      </c>
      <c r="F3138" s="3">
        <v>1.08050319928466E-3</v>
      </c>
      <c r="G3138" s="3">
        <v>4.7157569551352302E-3</v>
      </c>
      <c r="H3138" s="3" t="str">
        <f>"ENTPD1"</f>
        <v>ENTPD1</v>
      </c>
      <c r="I3138" s="3" t="str">
        <f t="shared" si="146"/>
        <v>protein_coding</v>
      </c>
    </row>
    <row r="3139" spans="1:9" x14ac:dyDescent="0.2">
      <c r="A3139" s="3" t="str">
        <f>"ENSG00000188649.14"</f>
        <v>ENSG00000188649.14</v>
      </c>
      <c r="B3139" s="3">
        <v>16.849961649925401</v>
      </c>
      <c r="C3139" s="3">
        <v>3.5946596049753201</v>
      </c>
      <c r="D3139" s="3">
        <v>0.99720969476033305</v>
      </c>
      <c r="E3139" s="3">
        <v>3.6047178681302801</v>
      </c>
      <c r="F3139" s="3">
        <v>3.1249221140177899E-4</v>
      </c>
      <c r="G3139" s="3">
        <v>1.57997314605015E-3</v>
      </c>
      <c r="H3139" s="3" t="str">
        <f>"CC2D2B"</f>
        <v>CC2D2B</v>
      </c>
      <c r="I3139" s="3" t="str">
        <f t="shared" si="146"/>
        <v>protein_coding</v>
      </c>
    </row>
    <row r="3140" spans="1:9" x14ac:dyDescent="0.2">
      <c r="A3140" s="3" t="str">
        <f>"ENSG00000095585.16"</f>
        <v>ENSG00000095585.16</v>
      </c>
      <c r="B3140" s="3">
        <v>40.258509553566803</v>
      </c>
      <c r="C3140" s="3">
        <v>6.2697446519912896</v>
      </c>
      <c r="D3140" s="3">
        <v>1.14738211483423</v>
      </c>
      <c r="E3140" s="3">
        <v>5.4643911308458302</v>
      </c>
      <c r="F3140" s="4">
        <v>4.6449834684433203E-8</v>
      </c>
      <c r="G3140" s="4">
        <v>5.0083840350089103E-7</v>
      </c>
      <c r="H3140" s="3" t="str">
        <f>"BLNK"</f>
        <v>BLNK</v>
      </c>
      <c r="I3140" s="3" t="str">
        <f t="shared" si="146"/>
        <v>protein_coding</v>
      </c>
    </row>
    <row r="3141" spans="1:9" x14ac:dyDescent="0.2">
      <c r="A3141" s="3" t="str">
        <f>"ENSG00000213390.11"</f>
        <v>ENSG00000213390.11</v>
      </c>
      <c r="B3141" s="3">
        <v>418.45630501230698</v>
      </c>
      <c r="C3141" s="3">
        <v>-1.13557595350509</v>
      </c>
      <c r="D3141" s="3">
        <v>0.24266579526440599</v>
      </c>
      <c r="E3141" s="3">
        <v>-4.6795880411072197</v>
      </c>
      <c r="F3141" s="4">
        <v>2.87451905070513E-6</v>
      </c>
      <c r="G3141" s="4">
        <v>2.26626216940285E-5</v>
      </c>
      <c r="H3141" s="3" t="str">
        <f>"ARHGAP19"</f>
        <v>ARHGAP19</v>
      </c>
      <c r="I3141" s="3" t="str">
        <f t="shared" si="146"/>
        <v>protein_coding</v>
      </c>
    </row>
    <row r="3142" spans="1:9" x14ac:dyDescent="0.2">
      <c r="A3142" s="3" t="str">
        <f>"ENSG00000241935.9"</f>
        <v>ENSG00000241935.9</v>
      </c>
      <c r="B3142" s="3">
        <v>269.94894895410698</v>
      </c>
      <c r="C3142" s="3">
        <v>1.19845085306993</v>
      </c>
      <c r="D3142" s="3">
        <v>0.27408983925275399</v>
      </c>
      <c r="E3142" s="3">
        <v>4.3724745738012301</v>
      </c>
      <c r="F3142" s="4">
        <v>1.22846127855776E-5</v>
      </c>
      <c r="G3142" s="4">
        <v>8.5540210725436203E-5</v>
      </c>
      <c r="H3142" s="3" t="str">
        <f>"HOGA1"</f>
        <v>HOGA1</v>
      </c>
      <c r="I3142" s="3" t="str">
        <f t="shared" si="146"/>
        <v>protein_coding</v>
      </c>
    </row>
    <row r="3143" spans="1:9" x14ac:dyDescent="0.2">
      <c r="A3143" s="3" t="str">
        <f>"ENSG00000155265.11"</f>
        <v>ENSG00000155265.11</v>
      </c>
      <c r="B3143" s="3">
        <v>4.1490100698739001</v>
      </c>
      <c r="C3143" s="3">
        <v>5.4528452321004099</v>
      </c>
      <c r="D3143" s="3">
        <v>2.14831681779456</v>
      </c>
      <c r="E3143" s="3">
        <v>2.5381941745902501</v>
      </c>
      <c r="F3143" s="3">
        <v>1.11426142424134E-2</v>
      </c>
      <c r="G3143" s="3">
        <v>3.48648151427466E-2</v>
      </c>
      <c r="H3143" s="3" t="str">
        <f>"GOLGA7B"</f>
        <v>GOLGA7B</v>
      </c>
      <c r="I3143" s="3" t="str">
        <f t="shared" si="146"/>
        <v>protein_coding</v>
      </c>
    </row>
    <row r="3144" spans="1:9" x14ac:dyDescent="0.2">
      <c r="A3144" s="3" t="str">
        <f>"ENSG00000095713.14"</f>
        <v>ENSG00000095713.14</v>
      </c>
      <c r="B3144" s="3">
        <v>18.133069633243199</v>
      </c>
      <c r="C3144" s="3">
        <v>7.5778124834897298</v>
      </c>
      <c r="D3144" s="3">
        <v>1.63094217384091</v>
      </c>
      <c r="E3144" s="3">
        <v>4.6462790680332997</v>
      </c>
      <c r="F3144" s="4">
        <v>3.37975727072216E-6</v>
      </c>
      <c r="G3144" s="4">
        <v>2.6378758623708602E-5</v>
      </c>
      <c r="H3144" s="3" t="str">
        <f>"CRTAC1"</f>
        <v>CRTAC1</v>
      </c>
      <c r="I3144" s="3" t="str">
        <f t="shared" si="146"/>
        <v>protein_coding</v>
      </c>
    </row>
    <row r="3145" spans="1:9" x14ac:dyDescent="0.2">
      <c r="A3145" s="3" t="str">
        <f>"ENSG00000138131.4"</f>
        <v>ENSG00000138131.4</v>
      </c>
      <c r="B3145" s="3">
        <v>6947.6266384515902</v>
      </c>
      <c r="C3145" s="3">
        <v>4.0418894255570299</v>
      </c>
      <c r="D3145" s="3">
        <v>0.18064154830409099</v>
      </c>
      <c r="E3145" s="3">
        <v>22.3751925484659</v>
      </c>
      <c r="F3145" s="4">
        <v>6.8660761122984301E-111</v>
      </c>
      <c r="G3145" s="4">
        <v>1.10047044606938E-107</v>
      </c>
      <c r="H3145" s="3" t="str">
        <f>"LOXL4"</f>
        <v>LOXL4</v>
      </c>
      <c r="I3145" s="3" t="str">
        <f t="shared" si="146"/>
        <v>protein_coding</v>
      </c>
    </row>
    <row r="3146" spans="1:9" x14ac:dyDescent="0.2">
      <c r="A3146" s="3" t="str">
        <f>"ENSG00000119943.13"</f>
        <v>ENSG00000119943.13</v>
      </c>
      <c r="B3146" s="3">
        <v>469.02988673083399</v>
      </c>
      <c r="C3146" s="3">
        <v>4.1473753213653097</v>
      </c>
      <c r="D3146" s="3">
        <v>0.26527624345192702</v>
      </c>
      <c r="E3146" s="3">
        <v>15.634175406728</v>
      </c>
      <c r="F3146" s="4">
        <v>4.2595308231708403E-55</v>
      </c>
      <c r="G3146" s="4">
        <v>1.0455805075579799E-52</v>
      </c>
      <c r="H3146" s="3" t="str">
        <f>"PYROXD2"</f>
        <v>PYROXD2</v>
      </c>
      <c r="I3146" s="3" t="str">
        <f t="shared" si="146"/>
        <v>protein_coding</v>
      </c>
    </row>
    <row r="3147" spans="1:9" x14ac:dyDescent="0.2">
      <c r="A3147" s="3" t="str">
        <f>"ENSG00000172987.12"</f>
        <v>ENSG00000172987.12</v>
      </c>
      <c r="B3147" s="3">
        <v>13.9419777767793</v>
      </c>
      <c r="C3147" s="3">
        <v>5.7284947455331201</v>
      </c>
      <c r="D3147" s="3">
        <v>1.6712582616513301</v>
      </c>
      <c r="E3147" s="3">
        <v>3.4276538084981101</v>
      </c>
      <c r="F3147" s="3">
        <v>6.0882130843767704E-4</v>
      </c>
      <c r="G3147" s="3">
        <v>2.8507568638943799E-3</v>
      </c>
      <c r="H3147" s="3" t="str">
        <f>"HPSE2"</f>
        <v>HPSE2</v>
      </c>
      <c r="I3147" s="3" t="str">
        <f t="shared" si="146"/>
        <v>protein_coding</v>
      </c>
    </row>
    <row r="3148" spans="1:9" x14ac:dyDescent="0.2">
      <c r="A3148" s="3" t="str">
        <f>"ENSG00000119946.11"</f>
        <v>ENSG00000119946.11</v>
      </c>
      <c r="B3148" s="3">
        <v>137.327856147468</v>
      </c>
      <c r="C3148" s="3">
        <v>-1.4161769459895599</v>
      </c>
      <c r="D3148" s="3">
        <v>0.33131393284499899</v>
      </c>
      <c r="E3148" s="3">
        <v>-4.2744261728712001</v>
      </c>
      <c r="F3148" s="4">
        <v>1.91630187420664E-5</v>
      </c>
      <c r="G3148" s="3">
        <v>1.2784886671525001E-4</v>
      </c>
      <c r="H3148" s="3" t="str">
        <f>"CNNM1"</f>
        <v>CNNM1</v>
      </c>
      <c r="I3148" s="3" t="str">
        <f t="shared" si="146"/>
        <v>protein_coding</v>
      </c>
    </row>
    <row r="3149" spans="1:9" x14ac:dyDescent="0.2">
      <c r="A3149" s="3" t="str">
        <f>"ENSG00000224934.4"</f>
        <v>ENSG00000224934.4</v>
      </c>
      <c r="B3149" s="3">
        <v>270.55501359727702</v>
      </c>
      <c r="C3149" s="3">
        <v>1.0208011805644399</v>
      </c>
      <c r="D3149" s="3">
        <v>0.27571215102226998</v>
      </c>
      <c r="E3149" s="3">
        <v>3.7024163671407799</v>
      </c>
      <c r="F3149" s="3">
        <v>2.1355576828938099E-4</v>
      </c>
      <c r="G3149" s="3">
        <v>1.12959574468449E-3</v>
      </c>
      <c r="H3149" s="3" t="str">
        <f>"AL391684.1"</f>
        <v>AL391684.1</v>
      </c>
      <c r="I3149" s="3" t="str">
        <f>"bidirectional_promoter_lncRNA"</f>
        <v>bidirectional_promoter_lncRNA</v>
      </c>
    </row>
    <row r="3150" spans="1:9" x14ac:dyDescent="0.2">
      <c r="A3150" s="3" t="str">
        <f>"ENSG00000198018.7"</f>
        <v>ENSG00000198018.7</v>
      </c>
      <c r="B3150" s="3">
        <v>1532.46312401727</v>
      </c>
      <c r="C3150" s="3">
        <v>-1.77465727881296</v>
      </c>
      <c r="D3150" s="3">
        <v>0.18998348623323899</v>
      </c>
      <c r="E3150" s="3">
        <v>-9.3411133462108005</v>
      </c>
      <c r="F3150" s="4">
        <v>9.5326387963982706E-21</v>
      </c>
      <c r="G3150" s="4">
        <v>3.9775774775721802E-19</v>
      </c>
      <c r="H3150" s="3" t="str">
        <f>"ENTPD7"</f>
        <v>ENTPD7</v>
      </c>
      <c r="I3150" s="3" t="str">
        <f>"protein_coding"</f>
        <v>protein_coding</v>
      </c>
    </row>
    <row r="3151" spans="1:9" x14ac:dyDescent="0.2">
      <c r="A3151" s="3" t="str">
        <f>"ENSG00000120054.11"</f>
        <v>ENSG00000120054.11</v>
      </c>
      <c r="B3151" s="3">
        <v>271.98739571078801</v>
      </c>
      <c r="C3151" s="3">
        <v>-3.4807605383300801</v>
      </c>
      <c r="D3151" s="3">
        <v>0.33530245204709502</v>
      </c>
      <c r="E3151" s="3">
        <v>-10.380957601351501</v>
      </c>
      <c r="F3151" s="4">
        <v>3.02723297577234E-25</v>
      </c>
      <c r="G3151" s="4">
        <v>1.7112659105989401E-23</v>
      </c>
      <c r="H3151" s="3" t="str">
        <f>"CPN1"</f>
        <v>CPN1</v>
      </c>
      <c r="I3151" s="3" t="str">
        <f>"protein_coding"</f>
        <v>protein_coding</v>
      </c>
    </row>
    <row r="3152" spans="1:9" x14ac:dyDescent="0.2">
      <c r="A3152" s="3" t="str">
        <f>"ENSG00000107566.14"</f>
        <v>ENSG00000107566.14</v>
      </c>
      <c r="B3152" s="3">
        <v>1996.9534601493899</v>
      </c>
      <c r="C3152" s="3">
        <v>-1.6167302041659499</v>
      </c>
      <c r="D3152" s="3">
        <v>0.18386116766638799</v>
      </c>
      <c r="E3152" s="3">
        <v>-8.7932118820189107</v>
      </c>
      <c r="F3152" s="4">
        <v>1.45344006092147E-18</v>
      </c>
      <c r="G3152" s="4">
        <v>4.94405509861763E-17</v>
      </c>
      <c r="H3152" s="3" t="str">
        <f>"ERLIN1"</f>
        <v>ERLIN1</v>
      </c>
      <c r="I3152" s="3" t="str">
        <f>"protein_coding"</f>
        <v>protein_coding</v>
      </c>
    </row>
    <row r="3153" spans="1:9" x14ac:dyDescent="0.2">
      <c r="A3153" s="3" t="str">
        <f>"ENSG00000227492.1"</f>
        <v>ENSG00000227492.1</v>
      </c>
      <c r="B3153" s="3">
        <v>11.9063021056085</v>
      </c>
      <c r="C3153" s="3">
        <v>2.7334277597199099</v>
      </c>
      <c r="D3153" s="3">
        <v>1.07852289503007</v>
      </c>
      <c r="E3153" s="3">
        <v>2.5344179268848102</v>
      </c>
      <c r="F3153" s="3">
        <v>1.1263430856388101E-2</v>
      </c>
      <c r="G3153" s="3">
        <v>3.5154032135625103E-2</v>
      </c>
      <c r="H3153" s="3" t="str">
        <f>"AL138921.1"</f>
        <v>AL138921.1</v>
      </c>
      <c r="I3153" s="3" t="str">
        <f>"antisense"</f>
        <v>antisense</v>
      </c>
    </row>
    <row r="3154" spans="1:9" x14ac:dyDescent="0.2">
      <c r="A3154" s="3" t="str">
        <f>"ENSG00000196072.12"</f>
        <v>ENSG00000196072.12</v>
      </c>
      <c r="B3154" s="3">
        <v>1931.42927408427</v>
      </c>
      <c r="C3154" s="3">
        <v>2.42140592722658</v>
      </c>
      <c r="D3154" s="3">
        <v>0.21128960874567199</v>
      </c>
      <c r="E3154" s="3">
        <v>11.460127838758099</v>
      </c>
      <c r="F3154" s="4">
        <v>2.0920577638167798E-30</v>
      </c>
      <c r="G3154" s="4">
        <v>1.6864585174768E-28</v>
      </c>
      <c r="H3154" s="3" t="str">
        <f>"BLOC1S2"</f>
        <v>BLOC1S2</v>
      </c>
      <c r="I3154" s="3" t="str">
        <f>"protein_coding"</f>
        <v>protein_coding</v>
      </c>
    </row>
    <row r="3155" spans="1:9" x14ac:dyDescent="0.2">
      <c r="A3155" s="3" t="str">
        <f>"ENSG00000099194.6"</f>
        <v>ENSG00000099194.6</v>
      </c>
      <c r="B3155" s="3">
        <v>29999.195458971601</v>
      </c>
      <c r="C3155" s="3">
        <v>-3.4824102037047502</v>
      </c>
      <c r="D3155" s="3">
        <v>0.18283782202273399</v>
      </c>
      <c r="E3155" s="3">
        <v>-19.046443264193801</v>
      </c>
      <c r="F3155" s="4">
        <v>7.0320793625849097E-81</v>
      </c>
      <c r="G3155" s="4">
        <v>4.9128991382654096E-78</v>
      </c>
      <c r="H3155" s="3" t="str">
        <f>"SCD"</f>
        <v>SCD</v>
      </c>
      <c r="I3155" s="3" t="str">
        <f>"protein_coding"</f>
        <v>protein_coding</v>
      </c>
    </row>
    <row r="3156" spans="1:9" x14ac:dyDescent="0.2">
      <c r="A3156" s="3" t="str">
        <f>"ENSG00000235823.2"</f>
        <v>ENSG00000235823.2</v>
      </c>
      <c r="B3156" s="3">
        <v>276.73234177874798</v>
      </c>
      <c r="C3156" s="3">
        <v>-1.03099160014677</v>
      </c>
      <c r="D3156" s="3">
        <v>0.25984690572449398</v>
      </c>
      <c r="E3156" s="3">
        <v>-3.9676885790585201</v>
      </c>
      <c r="F3156" s="4">
        <v>7.2573081433006305E-5</v>
      </c>
      <c r="G3156" s="3">
        <v>4.2856496528069401E-4</v>
      </c>
      <c r="H3156" s="3" t="str">
        <f>"OLMALINC"</f>
        <v>OLMALINC</v>
      </c>
      <c r="I3156" s="3" t="str">
        <f>"lincRNA"</f>
        <v>lincRNA</v>
      </c>
    </row>
    <row r="3157" spans="1:9" x14ac:dyDescent="0.2">
      <c r="A3157" s="3" t="str">
        <f>"ENSG00000119906.13"</f>
        <v>ENSG00000119906.13</v>
      </c>
      <c r="B3157" s="3">
        <v>4203.4549474313999</v>
      </c>
      <c r="C3157" s="3">
        <v>1.0036688957433999</v>
      </c>
      <c r="D3157" s="3">
        <v>0.185263068029596</v>
      </c>
      <c r="E3157" s="3">
        <v>5.4175335992117901</v>
      </c>
      <c r="F3157" s="4">
        <v>6.0426796678364895E-8</v>
      </c>
      <c r="G3157" s="4">
        <v>6.3766418632664899E-7</v>
      </c>
      <c r="H3157" s="3" t="str">
        <f>"SLF2"</f>
        <v>SLF2</v>
      </c>
      <c r="I3157" s="3" t="str">
        <f>"protein_coding"</f>
        <v>protein_coding</v>
      </c>
    </row>
    <row r="3158" spans="1:9" x14ac:dyDescent="0.2">
      <c r="A3158" s="3" t="str">
        <f>"ENSG00000107815.10"</f>
        <v>ENSG00000107815.10</v>
      </c>
      <c r="B3158" s="3">
        <v>1200.4733785128799</v>
      </c>
      <c r="C3158" s="3">
        <v>-1.0459116227080101</v>
      </c>
      <c r="D3158" s="3">
        <v>0.21737081553395801</v>
      </c>
      <c r="E3158" s="3">
        <v>-4.8116469551755996</v>
      </c>
      <c r="F3158" s="4">
        <v>1.4969160680258001E-6</v>
      </c>
      <c r="G3158" s="4">
        <v>1.24462838283488E-5</v>
      </c>
      <c r="H3158" s="3" t="str">
        <f>"TWNK"</f>
        <v>TWNK</v>
      </c>
      <c r="I3158" s="3" t="str">
        <f>"protein_coding"</f>
        <v>protein_coding</v>
      </c>
    </row>
    <row r="3159" spans="1:9" x14ac:dyDescent="0.2">
      <c r="A3159" s="3" t="str">
        <f>"ENSG00000186862.19"</f>
        <v>ENSG00000186862.19</v>
      </c>
      <c r="B3159" s="3">
        <v>127.001107704818</v>
      </c>
      <c r="C3159" s="3">
        <v>1.20188899215945</v>
      </c>
      <c r="D3159" s="3">
        <v>0.36574937239392902</v>
      </c>
      <c r="E3159" s="3">
        <v>3.28609994404846</v>
      </c>
      <c r="F3159" s="3">
        <v>1.01584959224391E-3</v>
      </c>
      <c r="G3159" s="3">
        <v>4.4816797020514401E-3</v>
      </c>
      <c r="H3159" s="3" t="str">
        <f>"PDZD7"</f>
        <v>PDZD7</v>
      </c>
      <c r="I3159" s="3" t="str">
        <f>"protein_coding"</f>
        <v>protein_coding</v>
      </c>
    </row>
    <row r="3160" spans="1:9" x14ac:dyDescent="0.2">
      <c r="A3160" s="3" t="str">
        <f>"ENSG00000273162.1"</f>
        <v>ENSG00000273162.1</v>
      </c>
      <c r="B3160" s="3">
        <v>55.599583026992001</v>
      </c>
      <c r="C3160" s="3">
        <v>-2.00857995741617</v>
      </c>
      <c r="D3160" s="3">
        <v>0.54435553903477896</v>
      </c>
      <c r="E3160" s="3">
        <v>-3.6898310265707401</v>
      </c>
      <c r="F3160" s="3">
        <v>2.2440305507371699E-4</v>
      </c>
      <c r="G3160" s="3">
        <v>1.1783214572352199E-3</v>
      </c>
      <c r="H3160" s="3" t="str">
        <f>"AL133215.2"</f>
        <v>AL133215.2</v>
      </c>
      <c r="I3160" s="3" t="str">
        <f>"lincRNA"</f>
        <v>lincRNA</v>
      </c>
    </row>
    <row r="3161" spans="1:9" x14ac:dyDescent="0.2">
      <c r="A3161" s="3" t="str">
        <f>"ENSG00000107821.14"</f>
        <v>ENSG00000107821.14</v>
      </c>
      <c r="B3161" s="3">
        <v>382.12363232858399</v>
      </c>
      <c r="C3161" s="3">
        <v>-1.2533494211099101</v>
      </c>
      <c r="D3161" s="3">
        <v>0.26706346786069002</v>
      </c>
      <c r="E3161" s="3">
        <v>-4.6930770095582703</v>
      </c>
      <c r="F3161" s="4">
        <v>2.6912612245515001E-6</v>
      </c>
      <c r="G3161" s="4">
        <v>2.1316510053882201E-5</v>
      </c>
      <c r="H3161" s="3" t="str">
        <f>"KAZALD1"</f>
        <v>KAZALD1</v>
      </c>
      <c r="I3161" s="3" t="str">
        <f>"protein_coding"</f>
        <v>protein_coding</v>
      </c>
    </row>
    <row r="3162" spans="1:9" x14ac:dyDescent="0.2">
      <c r="A3162" s="3" t="str">
        <f>"ENSG00000227128.4"</f>
        <v>ENSG00000227128.4</v>
      </c>
      <c r="B3162" s="3">
        <v>5.5773251092012899</v>
      </c>
      <c r="C3162" s="3">
        <v>5.8730172189294603</v>
      </c>
      <c r="D3162" s="3">
        <v>1.9878318593136</v>
      </c>
      <c r="E3162" s="3">
        <v>2.9544838973238998</v>
      </c>
      <c r="F3162" s="3">
        <v>3.13192497340763E-3</v>
      </c>
      <c r="G3162" s="3">
        <v>1.18835203663052E-2</v>
      </c>
      <c r="H3162" s="3" t="str">
        <f>"LBX1-AS1"</f>
        <v>LBX1-AS1</v>
      </c>
      <c r="I3162" s="3" t="str">
        <f>"processed_transcript"</f>
        <v>processed_transcript</v>
      </c>
    </row>
    <row r="3163" spans="1:9" x14ac:dyDescent="0.2">
      <c r="A3163" s="3" t="str">
        <f>"ENSG00000107833.10"</f>
        <v>ENSG00000107833.10</v>
      </c>
      <c r="B3163" s="3">
        <v>1145.0410338316401</v>
      </c>
      <c r="C3163" s="3">
        <v>-1.60954654657643</v>
      </c>
      <c r="D3163" s="3">
        <v>0.24082051673368299</v>
      </c>
      <c r="E3163" s="3">
        <v>-6.68359394127698</v>
      </c>
      <c r="F3163" s="4">
        <v>2.3315227964334801E-11</v>
      </c>
      <c r="G3163" s="4">
        <v>3.9433272274626299E-10</v>
      </c>
      <c r="H3163" s="3" t="str">
        <f>"NPM3"</f>
        <v>NPM3</v>
      </c>
      <c r="I3163" s="3" t="str">
        <f>"protein_coding"</f>
        <v>protein_coding</v>
      </c>
    </row>
    <row r="3164" spans="1:9" x14ac:dyDescent="0.2">
      <c r="A3164" s="3" t="str">
        <f>"ENSG00000226009.1"</f>
        <v>ENSG00000226009.1</v>
      </c>
      <c r="B3164" s="3">
        <v>34.466089995880502</v>
      </c>
      <c r="C3164" s="3">
        <v>-1.92659696627386</v>
      </c>
      <c r="D3164" s="3">
        <v>0.63625696681171695</v>
      </c>
      <c r="E3164" s="3">
        <v>-3.02801708549933</v>
      </c>
      <c r="F3164" s="3">
        <v>2.4616416920962099E-3</v>
      </c>
      <c r="G3164" s="3">
        <v>9.6290474414956299E-3</v>
      </c>
      <c r="H3164" s="3" t="str">
        <f>"KCNIP2-AS1"</f>
        <v>KCNIP2-AS1</v>
      </c>
      <c r="I3164" s="3" t="str">
        <f>"antisense"</f>
        <v>antisense</v>
      </c>
    </row>
    <row r="3165" spans="1:9" x14ac:dyDescent="0.2">
      <c r="A3165" s="3" t="str">
        <f>"ENSG00000198728.10"</f>
        <v>ENSG00000198728.10</v>
      </c>
      <c r="B3165" s="3">
        <v>2100.5153544056402</v>
      </c>
      <c r="C3165" s="3">
        <v>1.0668737118212299</v>
      </c>
      <c r="D3165" s="3">
        <v>0.20727075001360101</v>
      </c>
      <c r="E3165" s="3">
        <v>5.1472468341587998</v>
      </c>
      <c r="F3165" s="4">
        <v>2.6433739870568298E-7</v>
      </c>
      <c r="G3165" s="4">
        <v>2.49649951560962E-6</v>
      </c>
      <c r="H3165" s="3" t="str">
        <f>"LDB1"</f>
        <v>LDB1</v>
      </c>
      <c r="I3165" s="3" t="str">
        <f>"protein_coding"</f>
        <v>protein_coding</v>
      </c>
    </row>
    <row r="3166" spans="1:9" x14ac:dyDescent="0.2">
      <c r="A3166" s="3" t="str">
        <f>"ENSG00000148840.11"</f>
        <v>ENSG00000148840.11</v>
      </c>
      <c r="B3166" s="3">
        <v>3473.4966480047501</v>
      </c>
      <c r="C3166" s="3">
        <v>-1.71272618182826</v>
      </c>
      <c r="D3166" s="3">
        <v>0.19321894100621401</v>
      </c>
      <c r="E3166" s="3">
        <v>-8.8641733202190203</v>
      </c>
      <c r="F3166" s="4">
        <v>7.7073781252495803E-19</v>
      </c>
      <c r="G3166" s="4">
        <v>2.6820297800597099E-17</v>
      </c>
      <c r="H3166" s="3" t="str">
        <f>"PPRC1"</f>
        <v>PPRC1</v>
      </c>
      <c r="I3166" s="3" t="str">
        <f>"protein_coding"</f>
        <v>protein_coding</v>
      </c>
    </row>
    <row r="3167" spans="1:9" x14ac:dyDescent="0.2">
      <c r="A3167" s="3" t="str">
        <f>"ENSG00000166197.16"</f>
        <v>ENSG00000166197.16</v>
      </c>
      <c r="B3167" s="3">
        <v>5355.19946061067</v>
      </c>
      <c r="C3167" s="3">
        <v>-1.1777478629303999</v>
      </c>
      <c r="D3167" s="3">
        <v>0.18982673100185599</v>
      </c>
      <c r="E3167" s="3">
        <v>-6.2043309533623399</v>
      </c>
      <c r="F3167" s="4">
        <v>5.4930081839703604E-10</v>
      </c>
      <c r="G3167" s="4">
        <v>7.6910582727975497E-9</v>
      </c>
      <c r="H3167" s="3" t="str">
        <f>"NOLC1"</f>
        <v>NOLC1</v>
      </c>
      <c r="I3167" s="3" t="str">
        <f>"protein_coding"</f>
        <v>protein_coding</v>
      </c>
    </row>
    <row r="3168" spans="1:9" x14ac:dyDescent="0.2">
      <c r="A3168" s="3" t="str">
        <f>"ENSG00000269609.5"</f>
        <v>ENSG00000269609.5</v>
      </c>
      <c r="B3168" s="3">
        <v>368.54408482615702</v>
      </c>
      <c r="C3168" s="3">
        <v>-1.32878038431319</v>
      </c>
      <c r="D3168" s="3">
        <v>0.24796928469398699</v>
      </c>
      <c r="E3168" s="3">
        <v>-5.3586491002424097</v>
      </c>
      <c r="F3168" s="4">
        <v>8.3846524535395606E-8</v>
      </c>
      <c r="G3168" s="4">
        <v>8.6047693183274003E-7</v>
      </c>
      <c r="H3168" s="3" t="str">
        <f>"RPARP-AS1"</f>
        <v>RPARP-AS1</v>
      </c>
      <c r="I3168" s="3" t="str">
        <f>"processed_transcript"</f>
        <v>processed_transcript</v>
      </c>
    </row>
    <row r="3169" spans="1:9" x14ac:dyDescent="0.2">
      <c r="A3169" s="3" t="str">
        <f>"ENSG00000138111.14"</f>
        <v>ENSG00000138111.14</v>
      </c>
      <c r="B3169" s="3">
        <v>182.14220187456101</v>
      </c>
      <c r="C3169" s="3">
        <v>-1.78983871507521</v>
      </c>
      <c r="D3169" s="3">
        <v>0.30435309748102202</v>
      </c>
      <c r="E3169" s="3">
        <v>-5.8807967781133499</v>
      </c>
      <c r="F3169" s="4">
        <v>4.0829621601216901E-9</v>
      </c>
      <c r="G3169" s="4">
        <v>5.1266576026191498E-8</v>
      </c>
      <c r="H3169" s="3" t="str">
        <f>"MFSD13A"</f>
        <v>MFSD13A</v>
      </c>
      <c r="I3169" s="3" t="str">
        <f t="shared" ref="I3169:I3176" si="147">"protein_coding"</f>
        <v>protein_coding</v>
      </c>
    </row>
    <row r="3170" spans="1:9" x14ac:dyDescent="0.2">
      <c r="A3170" s="3" t="str">
        <f>"ENSG00000148843.15"</f>
        <v>ENSG00000148843.15</v>
      </c>
      <c r="B3170" s="3">
        <v>4293.4283101689298</v>
      </c>
      <c r="C3170" s="3">
        <v>-1.10565344754858</v>
      </c>
      <c r="D3170" s="3">
        <v>0.188117162488666</v>
      </c>
      <c r="E3170" s="3">
        <v>-5.8774724906622797</v>
      </c>
      <c r="F3170" s="4">
        <v>4.1657791527318696E-9</v>
      </c>
      <c r="G3170" s="4">
        <v>5.2258280190831097E-8</v>
      </c>
      <c r="H3170" s="3" t="str">
        <f>"PDCD11"</f>
        <v>PDCD11</v>
      </c>
      <c r="I3170" s="3" t="str">
        <f t="shared" si="147"/>
        <v>protein_coding</v>
      </c>
    </row>
    <row r="3171" spans="1:9" x14ac:dyDescent="0.2">
      <c r="A3171" s="3" t="str">
        <f>"ENSG00000138172.11"</f>
        <v>ENSG00000138172.11</v>
      </c>
      <c r="B3171" s="3">
        <v>54.633718677928002</v>
      </c>
      <c r="C3171" s="3">
        <v>4.1838929822218303</v>
      </c>
      <c r="D3171" s="3">
        <v>0.66318932538589703</v>
      </c>
      <c r="E3171" s="3">
        <v>6.3087459675068001</v>
      </c>
      <c r="F3171" s="4">
        <v>2.81305395050441E-10</v>
      </c>
      <c r="G3171" s="4">
        <v>4.0900363388150298E-9</v>
      </c>
      <c r="H3171" s="3" t="str">
        <f>"CALHM2"</f>
        <v>CALHM2</v>
      </c>
      <c r="I3171" s="3" t="str">
        <f t="shared" si="147"/>
        <v>protein_coding</v>
      </c>
    </row>
    <row r="3172" spans="1:9" x14ac:dyDescent="0.2">
      <c r="A3172" s="3" t="str">
        <f>"ENSG00000185933.6"</f>
        <v>ENSG00000185933.6</v>
      </c>
      <c r="B3172" s="3">
        <v>756.14649420442197</v>
      </c>
      <c r="C3172" s="3">
        <v>8.6849330519912193</v>
      </c>
      <c r="D3172" s="3">
        <v>1.80902820304747</v>
      </c>
      <c r="E3172" s="3">
        <v>4.8008831688531304</v>
      </c>
      <c r="F3172" s="4">
        <v>1.57967412283361E-6</v>
      </c>
      <c r="G3172" s="4">
        <v>1.3078511341491099E-5</v>
      </c>
      <c r="H3172" s="3" t="str">
        <f>"CALHM1"</f>
        <v>CALHM1</v>
      </c>
      <c r="I3172" s="3" t="str">
        <f t="shared" si="147"/>
        <v>protein_coding</v>
      </c>
    </row>
    <row r="3173" spans="1:9" x14ac:dyDescent="0.2">
      <c r="A3173" s="3" t="str">
        <f>"ENSG00000107960.11"</f>
        <v>ENSG00000107960.11</v>
      </c>
      <c r="B3173" s="3">
        <v>826.91682718685297</v>
      </c>
      <c r="C3173" s="3">
        <v>1.67640365105199</v>
      </c>
      <c r="D3173" s="3">
        <v>0.204499161917648</v>
      </c>
      <c r="E3173" s="3">
        <v>8.1976064612288102</v>
      </c>
      <c r="F3173" s="4">
        <v>2.4522060687567601E-16</v>
      </c>
      <c r="G3173" s="4">
        <v>6.9166934529415599E-15</v>
      </c>
      <c r="H3173" s="3" t="str">
        <f>"STN1"</f>
        <v>STN1</v>
      </c>
      <c r="I3173" s="3" t="str">
        <f t="shared" si="147"/>
        <v>protein_coding</v>
      </c>
    </row>
    <row r="3174" spans="1:9" x14ac:dyDescent="0.2">
      <c r="A3174" s="3" t="str">
        <f>"ENSG00000065618.20"</f>
        <v>ENSG00000065618.20</v>
      </c>
      <c r="B3174" s="3">
        <v>35.849821169299901</v>
      </c>
      <c r="C3174" s="3">
        <v>6.0992714028598796</v>
      </c>
      <c r="D3174" s="3">
        <v>1.16174161063887</v>
      </c>
      <c r="E3174" s="3">
        <v>5.2501101337893203</v>
      </c>
      <c r="F3174" s="4">
        <v>1.52008299784027E-7</v>
      </c>
      <c r="G3174" s="4">
        <v>1.49576386573325E-6</v>
      </c>
      <c r="H3174" s="3" t="str">
        <f>"COL17A1"</f>
        <v>COL17A1</v>
      </c>
      <c r="I3174" s="3" t="str">
        <f t="shared" si="147"/>
        <v>protein_coding</v>
      </c>
    </row>
    <row r="3175" spans="1:9" x14ac:dyDescent="0.2">
      <c r="A3175" s="3" t="str">
        <f>"ENSG00000197748.12"</f>
        <v>ENSG00000197748.12</v>
      </c>
      <c r="B3175" s="3">
        <v>22.163686853713799</v>
      </c>
      <c r="C3175" s="3">
        <v>2.7563079659932801</v>
      </c>
      <c r="D3175" s="3">
        <v>0.82569112853049098</v>
      </c>
      <c r="E3175" s="3">
        <v>3.3381828516176202</v>
      </c>
      <c r="F3175" s="3">
        <v>8.4328235859414905E-4</v>
      </c>
      <c r="G3175" s="3">
        <v>3.80223637673586E-3</v>
      </c>
      <c r="H3175" s="3" t="str">
        <f>"CFAP43"</f>
        <v>CFAP43</v>
      </c>
      <c r="I3175" s="3" t="str">
        <f t="shared" si="147"/>
        <v>protein_coding</v>
      </c>
    </row>
    <row r="3176" spans="1:9" x14ac:dyDescent="0.2">
      <c r="A3176" s="3" t="str">
        <f>"ENSG00000120051.15"</f>
        <v>ENSG00000120051.15</v>
      </c>
      <c r="B3176" s="3">
        <v>4.84354564194778</v>
      </c>
      <c r="C3176" s="3">
        <v>5.66966161396478</v>
      </c>
      <c r="D3176" s="3">
        <v>2.0551998500533002</v>
      </c>
      <c r="E3176" s="3">
        <v>2.7586911383911099</v>
      </c>
      <c r="F3176" s="3">
        <v>5.8033355931816598E-3</v>
      </c>
      <c r="G3176" s="3">
        <v>2.01585268877385E-2</v>
      </c>
      <c r="H3176" s="3" t="str">
        <f>"CFAP58"</f>
        <v>CFAP58</v>
      </c>
      <c r="I3176" s="3" t="str">
        <f t="shared" si="147"/>
        <v>protein_coding</v>
      </c>
    </row>
    <row r="3177" spans="1:9" x14ac:dyDescent="0.2">
      <c r="A3177" s="3" t="str">
        <f>"ENSG00000229981.7"</f>
        <v>ENSG00000229981.7</v>
      </c>
      <c r="B3177" s="3">
        <v>7.4102708821486303</v>
      </c>
      <c r="C3177" s="3">
        <v>6.2809761944406599</v>
      </c>
      <c r="D3177" s="3">
        <v>1.8973182733018901</v>
      </c>
      <c r="E3177" s="3">
        <v>3.31044942897742</v>
      </c>
      <c r="F3177" s="3">
        <v>9.31462817550157E-4</v>
      </c>
      <c r="G3177" s="3">
        <v>4.14563335344481E-3</v>
      </c>
      <c r="H3177" s="3" t="str">
        <f>"LINC01435"</f>
        <v>LINC01435</v>
      </c>
      <c r="I3177" s="3" t="str">
        <f>"lincRNA"</f>
        <v>lincRNA</v>
      </c>
    </row>
    <row r="3178" spans="1:9" x14ac:dyDescent="0.2">
      <c r="A3178" s="3" t="str">
        <f>"ENSG00000138166.6"</f>
        <v>ENSG00000138166.6</v>
      </c>
      <c r="B3178" s="3">
        <v>1350.53237993261</v>
      </c>
      <c r="C3178" s="3">
        <v>4.7871974439594496</v>
      </c>
      <c r="D3178" s="3">
        <v>0.22322016775572801</v>
      </c>
      <c r="E3178" s="3">
        <v>21.446079411597498</v>
      </c>
      <c r="F3178" s="4">
        <v>4.9680265441163599E-102</v>
      </c>
      <c r="G3178" s="4">
        <v>6.1529008748881201E-99</v>
      </c>
      <c r="H3178" s="3" t="str">
        <f>"DUSP5"</f>
        <v>DUSP5</v>
      </c>
      <c r="I3178" s="3" t="str">
        <f>"protein_coding"</f>
        <v>protein_coding</v>
      </c>
    </row>
    <row r="3179" spans="1:9" x14ac:dyDescent="0.2">
      <c r="A3179" s="3" t="str">
        <f>"ENSG00000203867.8"</f>
        <v>ENSG00000203867.8</v>
      </c>
      <c r="B3179" s="3">
        <v>19.2744044633471</v>
      </c>
      <c r="C3179" s="3">
        <v>4.5739716956311298</v>
      </c>
      <c r="D3179" s="3">
        <v>1.10507866400819</v>
      </c>
      <c r="E3179" s="3">
        <v>4.1390462458491797</v>
      </c>
      <c r="F3179" s="4">
        <v>3.4875265073088398E-5</v>
      </c>
      <c r="G3179" s="3">
        <v>2.20372529556224E-4</v>
      </c>
      <c r="H3179" s="3" t="str">
        <f>"RBM20"</f>
        <v>RBM20</v>
      </c>
      <c r="I3179" s="3" t="str">
        <f>"protein_coding"</f>
        <v>protein_coding</v>
      </c>
    </row>
    <row r="3180" spans="1:9" x14ac:dyDescent="0.2">
      <c r="A3180" s="3" t="str">
        <f>"ENSG00000150593.18"</f>
        <v>ENSG00000150593.18</v>
      </c>
      <c r="B3180" s="3">
        <v>1268.2534702927101</v>
      </c>
      <c r="C3180" s="3">
        <v>1.13351167062735</v>
      </c>
      <c r="D3180" s="3">
        <v>0.194036671063226</v>
      </c>
      <c r="E3180" s="3">
        <v>5.8417394218127097</v>
      </c>
      <c r="F3180" s="4">
        <v>5.16585668833827E-9</v>
      </c>
      <c r="G3180" s="4">
        <v>6.3921025062285593E-8</v>
      </c>
      <c r="H3180" s="3" t="str">
        <f>"PDCD4"</f>
        <v>PDCD4</v>
      </c>
      <c r="I3180" s="3" t="str">
        <f>"protein_coding"</f>
        <v>protein_coding</v>
      </c>
    </row>
    <row r="3181" spans="1:9" x14ac:dyDescent="0.2">
      <c r="A3181" s="3" t="str">
        <f>"ENSG00000150594.6"</f>
        <v>ENSG00000150594.6</v>
      </c>
      <c r="B3181" s="3">
        <v>16.846701222769902</v>
      </c>
      <c r="C3181" s="3">
        <v>7.4706690422473896</v>
      </c>
      <c r="D3181" s="3">
        <v>1.64253303564699</v>
      </c>
      <c r="E3181" s="3">
        <v>4.5482610578390599</v>
      </c>
      <c r="F3181" s="4">
        <v>5.4091011361690698E-6</v>
      </c>
      <c r="G3181" s="4">
        <v>4.0589859173009797E-5</v>
      </c>
      <c r="H3181" s="3" t="str">
        <f>"ADRA2A"</f>
        <v>ADRA2A</v>
      </c>
      <c r="I3181" s="3" t="str">
        <f>"protein_coding"</f>
        <v>protein_coding</v>
      </c>
    </row>
    <row r="3182" spans="1:9" x14ac:dyDescent="0.2">
      <c r="A3182" s="3" t="str">
        <f>"ENSG00000119913.5"</f>
        <v>ENSG00000119913.5</v>
      </c>
      <c r="B3182" s="3">
        <v>143.92203383479301</v>
      </c>
      <c r="C3182" s="3">
        <v>1.16089429359694</v>
      </c>
      <c r="D3182" s="3">
        <v>0.35403368208577102</v>
      </c>
      <c r="E3182" s="3">
        <v>3.27905041903808</v>
      </c>
      <c r="F3182" s="3">
        <v>1.04157025060817E-3</v>
      </c>
      <c r="G3182" s="3">
        <v>4.5729398353723302E-3</v>
      </c>
      <c r="H3182" s="3" t="str">
        <f>"TECTB"</f>
        <v>TECTB</v>
      </c>
      <c r="I3182" s="3" t="str">
        <f>"protein_coding"</f>
        <v>protein_coding</v>
      </c>
    </row>
    <row r="3183" spans="1:9" x14ac:dyDescent="0.2">
      <c r="A3183" s="3" t="str">
        <f>"ENSG00000243316.7"</f>
        <v>ENSG00000243316.7</v>
      </c>
      <c r="B3183" s="3">
        <v>11.3999711767812</v>
      </c>
      <c r="C3183" s="3">
        <v>3.3392207324854</v>
      </c>
      <c r="D3183" s="3">
        <v>1.22974874906705</v>
      </c>
      <c r="E3183" s="3">
        <v>2.7153682693466501</v>
      </c>
      <c r="F3183" s="3">
        <v>6.6202107807156801E-3</v>
      </c>
      <c r="G3183" s="3">
        <v>2.2485774512859599E-2</v>
      </c>
      <c r="H3183" s="3" t="str">
        <f>"GUCY2GP"</f>
        <v>GUCY2GP</v>
      </c>
      <c r="I3183" s="3" t="str">
        <f>"transcribed_unitary_pseudogene"</f>
        <v>transcribed_unitary_pseudogene</v>
      </c>
    </row>
    <row r="3184" spans="1:9" x14ac:dyDescent="0.2">
      <c r="A3184" s="3" t="str">
        <f>"ENSG00000197893.13"</f>
        <v>ENSG00000197893.13</v>
      </c>
      <c r="B3184" s="3">
        <v>12.2657585244455</v>
      </c>
      <c r="C3184" s="3">
        <v>3.8864823938919799</v>
      </c>
      <c r="D3184" s="3">
        <v>1.2174587435173201</v>
      </c>
      <c r="E3184" s="3">
        <v>3.1922908390831202</v>
      </c>
      <c r="F3184" s="3">
        <v>1.41149130083035E-3</v>
      </c>
      <c r="G3184" s="3">
        <v>5.9663207374689E-3</v>
      </c>
      <c r="H3184" s="3" t="str">
        <f>"NRAP"</f>
        <v>NRAP</v>
      </c>
      <c r="I3184" s="3" t="str">
        <f t="shared" ref="I3184:I3190" si="148">"protein_coding"</f>
        <v>protein_coding</v>
      </c>
    </row>
    <row r="3185" spans="1:9" x14ac:dyDescent="0.2">
      <c r="A3185" s="3" t="str">
        <f>"ENSG00000198924.8"</f>
        <v>ENSG00000198924.8</v>
      </c>
      <c r="B3185" s="3">
        <v>637.76830684425204</v>
      </c>
      <c r="C3185" s="3">
        <v>-1.06834033746895</v>
      </c>
      <c r="D3185" s="3">
        <v>0.22644837513219401</v>
      </c>
      <c r="E3185" s="3">
        <v>-4.7178096855201002</v>
      </c>
      <c r="F3185" s="4">
        <v>2.3839734436339701E-6</v>
      </c>
      <c r="G3185" s="4">
        <v>1.9076688522377301E-5</v>
      </c>
      <c r="H3185" s="3" t="str">
        <f>"DCLRE1A"</f>
        <v>DCLRE1A</v>
      </c>
      <c r="I3185" s="3" t="str">
        <f t="shared" si="148"/>
        <v>protein_coding</v>
      </c>
    </row>
    <row r="3186" spans="1:9" x14ac:dyDescent="0.2">
      <c r="A3186" s="3" t="str">
        <f>"ENSG00000095627.9"</f>
        <v>ENSG00000095627.9</v>
      </c>
      <c r="B3186" s="3">
        <v>7.3104494087945904</v>
      </c>
      <c r="C3186" s="3">
        <v>4.76906175500726</v>
      </c>
      <c r="D3186" s="3">
        <v>1.84278146555181</v>
      </c>
      <c r="E3186" s="3">
        <v>2.5879692433194701</v>
      </c>
      <c r="F3186" s="3">
        <v>9.6543600536026196E-3</v>
      </c>
      <c r="G3186" s="3">
        <v>3.0838493362310801E-2</v>
      </c>
      <c r="H3186" s="3" t="str">
        <f>"TDRD1"</f>
        <v>TDRD1</v>
      </c>
      <c r="I3186" s="3" t="str">
        <f t="shared" si="148"/>
        <v>protein_coding</v>
      </c>
    </row>
    <row r="3187" spans="1:9" x14ac:dyDescent="0.2">
      <c r="A3187" s="3" t="str">
        <f>"ENSG00000165816.13"</f>
        <v>ENSG00000165816.13</v>
      </c>
      <c r="B3187" s="3">
        <v>7.0509389933641398</v>
      </c>
      <c r="C3187" s="3">
        <v>3.6643351664009902</v>
      </c>
      <c r="D3187" s="3">
        <v>1.53766828890081</v>
      </c>
      <c r="E3187" s="3">
        <v>2.3830465860880898</v>
      </c>
      <c r="F3187" s="3">
        <v>1.7170021326532298E-2</v>
      </c>
      <c r="G3187" s="3">
        <v>4.98754340174868E-2</v>
      </c>
      <c r="H3187" s="3" t="str">
        <f>"VWA2"</f>
        <v>VWA2</v>
      </c>
      <c r="I3187" s="3" t="str">
        <f t="shared" si="148"/>
        <v>protein_coding</v>
      </c>
    </row>
    <row r="3188" spans="1:9" x14ac:dyDescent="0.2">
      <c r="A3188" s="3" t="str">
        <f>"ENSG00000169129.15"</f>
        <v>ENSG00000169129.15</v>
      </c>
      <c r="B3188" s="3">
        <v>5.4323726899743301</v>
      </c>
      <c r="C3188" s="3">
        <v>5.8384671515102298</v>
      </c>
      <c r="D3188" s="3">
        <v>1.9903824247200499</v>
      </c>
      <c r="E3188" s="3">
        <v>2.9333393819187399</v>
      </c>
      <c r="F3188" s="3">
        <v>3.3533711180266999E-3</v>
      </c>
      <c r="G3188" s="3">
        <v>1.26061400183324E-2</v>
      </c>
      <c r="H3188" s="3" t="str">
        <f>"AFAP1L2"</f>
        <v>AFAP1L2</v>
      </c>
      <c r="I3188" s="3" t="str">
        <f t="shared" si="148"/>
        <v>protein_coding</v>
      </c>
    </row>
    <row r="3189" spans="1:9" x14ac:dyDescent="0.2">
      <c r="A3189" s="3" t="str">
        <f>"ENSG00000107518.18"</f>
        <v>ENSG00000107518.18</v>
      </c>
      <c r="B3189" s="3">
        <v>9.5365064507578694</v>
      </c>
      <c r="C3189" s="3">
        <v>3.0453885407194101</v>
      </c>
      <c r="D3189" s="3">
        <v>1.25324719663708</v>
      </c>
      <c r="E3189" s="3">
        <v>2.4299982867636101</v>
      </c>
      <c r="F3189" s="3">
        <v>1.50988942042316E-2</v>
      </c>
      <c r="G3189" s="3">
        <v>4.47903723878822E-2</v>
      </c>
      <c r="H3189" s="3" t="str">
        <f>"ATRNL1"</f>
        <v>ATRNL1</v>
      </c>
      <c r="I3189" s="3" t="str">
        <f t="shared" si="148"/>
        <v>protein_coding</v>
      </c>
    </row>
    <row r="3190" spans="1:9" x14ac:dyDescent="0.2">
      <c r="A3190" s="3" t="str">
        <f>"ENSG00000151892.14"</f>
        <v>ENSG00000151892.14</v>
      </c>
      <c r="B3190" s="3">
        <v>21.179907607050399</v>
      </c>
      <c r="C3190" s="3">
        <v>7.8019663360820299</v>
      </c>
      <c r="D3190" s="3">
        <v>1.60676207408134</v>
      </c>
      <c r="E3190" s="3">
        <v>4.8557073022418598</v>
      </c>
      <c r="F3190" s="4">
        <v>1.19957783738824E-6</v>
      </c>
      <c r="G3190" s="4">
        <v>1.01222970998196E-5</v>
      </c>
      <c r="H3190" s="3" t="str">
        <f>"GFRA1"</f>
        <v>GFRA1</v>
      </c>
      <c r="I3190" s="3" t="str">
        <f t="shared" si="148"/>
        <v>protein_coding</v>
      </c>
    </row>
    <row r="3191" spans="1:9" x14ac:dyDescent="0.2">
      <c r="A3191" s="3" t="str">
        <f>"ENSG00000266200.6"</f>
        <v>ENSG00000266200.6</v>
      </c>
      <c r="B3191" s="3">
        <v>37.329912538863702</v>
      </c>
      <c r="C3191" s="3">
        <v>3.4718338386794501</v>
      </c>
      <c r="D3191" s="3">
        <v>0.68420205605936602</v>
      </c>
      <c r="E3191" s="3">
        <v>5.0742815049041798</v>
      </c>
      <c r="F3191" s="4">
        <v>3.8896287606580802E-7</v>
      </c>
      <c r="G3191" s="4">
        <v>3.57801197979915E-6</v>
      </c>
      <c r="H3191" s="3" t="str">
        <f>"PNLIPRP2"</f>
        <v>PNLIPRP2</v>
      </c>
      <c r="I3191" s="3" t="str">
        <f>"polymorphic_pseudogene"</f>
        <v>polymorphic_pseudogene</v>
      </c>
    </row>
    <row r="3192" spans="1:9" x14ac:dyDescent="0.2">
      <c r="A3192" s="3" t="str">
        <f>"ENSG00000165868.14"</f>
        <v>ENSG00000165868.14</v>
      </c>
      <c r="B3192" s="3">
        <v>2167.8348315287299</v>
      </c>
      <c r="C3192" s="3">
        <v>1.6922422763774601</v>
      </c>
      <c r="D3192" s="3">
        <v>0.188773125983696</v>
      </c>
      <c r="E3192" s="3">
        <v>8.9644236570178606</v>
      </c>
      <c r="F3192" s="4">
        <v>3.1190773691021999E-19</v>
      </c>
      <c r="G3192" s="4">
        <v>1.11529528971034E-17</v>
      </c>
      <c r="H3192" s="3" t="str">
        <f>"HSPA12A"</f>
        <v>HSPA12A</v>
      </c>
      <c r="I3192" s="3" t="str">
        <f>"protein_coding"</f>
        <v>protein_coding</v>
      </c>
    </row>
    <row r="3193" spans="1:9" x14ac:dyDescent="0.2">
      <c r="A3193" s="3" t="str">
        <f>"ENSG00000165646.13"</f>
        <v>ENSG00000165646.13</v>
      </c>
      <c r="B3193" s="3">
        <v>4.3694444890872397</v>
      </c>
      <c r="C3193" s="3">
        <v>5.5278073040699196</v>
      </c>
      <c r="D3193" s="3">
        <v>2.1223585767351398</v>
      </c>
      <c r="E3193" s="3">
        <v>2.6045586097771598</v>
      </c>
      <c r="F3193" s="3">
        <v>9.1992685622235906E-3</v>
      </c>
      <c r="G3193" s="3">
        <v>2.9634957497624299E-2</v>
      </c>
      <c r="H3193" s="3" t="str">
        <f>"SLC18A2"</f>
        <v>SLC18A2</v>
      </c>
      <c r="I3193" s="3" t="str">
        <f>"protein_coding"</f>
        <v>protein_coding</v>
      </c>
    </row>
    <row r="3194" spans="1:9" x14ac:dyDescent="0.2">
      <c r="A3194" s="3" t="str">
        <f>"ENSG00000277879.1"</f>
        <v>ENSG00000277879.1</v>
      </c>
      <c r="B3194" s="3">
        <v>19.749966459395601</v>
      </c>
      <c r="C3194" s="3">
        <v>-2.4068665231096098</v>
      </c>
      <c r="D3194" s="3">
        <v>0.831417500861929</v>
      </c>
      <c r="E3194" s="3">
        <v>-2.8948951887762999</v>
      </c>
      <c r="F3194" s="3">
        <v>3.79285151164095E-3</v>
      </c>
      <c r="G3194" s="3">
        <v>1.4020326297338299E-2</v>
      </c>
      <c r="H3194" s="3" t="str">
        <f>"AL391988.1"</f>
        <v>AL391988.1</v>
      </c>
      <c r="I3194" s="3" t="str">
        <f>"antisense"</f>
        <v>antisense</v>
      </c>
    </row>
    <row r="3195" spans="1:9" x14ac:dyDescent="0.2">
      <c r="A3195" s="3" t="str">
        <f>"ENSG00000165650.12"</f>
        <v>ENSG00000165650.12</v>
      </c>
      <c r="B3195" s="3">
        <v>2452.7051750718101</v>
      </c>
      <c r="C3195" s="3">
        <v>-1.16707353163865</v>
      </c>
      <c r="D3195" s="3">
        <v>0.18712442191031001</v>
      </c>
      <c r="E3195" s="3">
        <v>-6.2368851682974604</v>
      </c>
      <c r="F3195" s="4">
        <v>4.4636940016401998E-10</v>
      </c>
      <c r="G3195" s="4">
        <v>6.3082090488947401E-9</v>
      </c>
      <c r="H3195" s="3" t="str">
        <f>"PDZD8"</f>
        <v>PDZD8</v>
      </c>
      <c r="I3195" s="3" t="str">
        <f>"protein_coding"</f>
        <v>protein_coding</v>
      </c>
    </row>
    <row r="3196" spans="1:9" x14ac:dyDescent="0.2">
      <c r="A3196" s="3" t="str">
        <f>"ENSG00000177640.15"</f>
        <v>ENSG00000177640.15</v>
      </c>
      <c r="B3196" s="3">
        <v>29.801124277259198</v>
      </c>
      <c r="C3196" s="3">
        <v>1.9253008789088399</v>
      </c>
      <c r="D3196" s="3">
        <v>0.659953262089093</v>
      </c>
      <c r="E3196" s="3">
        <v>2.9173291345121499</v>
      </c>
      <c r="F3196" s="3">
        <v>3.53043018000666E-3</v>
      </c>
      <c r="G3196" s="3">
        <v>1.3186241413933E-2</v>
      </c>
      <c r="H3196" s="3" t="str">
        <f>"CASC2"</f>
        <v>CASC2</v>
      </c>
      <c r="I3196" s="3" t="str">
        <f>"antisense"</f>
        <v>antisense</v>
      </c>
    </row>
    <row r="3197" spans="1:9" x14ac:dyDescent="0.2">
      <c r="A3197" s="3" t="str">
        <f>"ENSG00000236058.3"</f>
        <v>ENSG00000236058.3</v>
      </c>
      <c r="B3197" s="3">
        <v>17.7677695326229</v>
      </c>
      <c r="C3197" s="3">
        <v>4.0173546455162397</v>
      </c>
      <c r="D3197" s="3">
        <v>1.0357565231633199</v>
      </c>
      <c r="E3197" s="3">
        <v>3.87866699911942</v>
      </c>
      <c r="F3197" s="3">
        <v>1.0503041277322E-4</v>
      </c>
      <c r="G3197" s="3">
        <v>5.9857010182637999E-4</v>
      </c>
      <c r="H3197" s="3" t="str">
        <f>"RPL17P36"</f>
        <v>RPL17P36</v>
      </c>
      <c r="I3197" s="3" t="str">
        <f>"processed_pseudogene"</f>
        <v>processed_pseudogene</v>
      </c>
    </row>
    <row r="3198" spans="1:9" x14ac:dyDescent="0.2">
      <c r="A3198" s="3" t="str">
        <f>"ENSG00000213574.2"</f>
        <v>ENSG00000213574.2</v>
      </c>
      <c r="B3198" s="3">
        <v>39.406830501811903</v>
      </c>
      <c r="C3198" s="3">
        <v>7.2433662208184098</v>
      </c>
      <c r="D3198" s="3">
        <v>1.5380540099975699</v>
      </c>
      <c r="E3198" s="3">
        <v>4.7094355424032504</v>
      </c>
      <c r="F3198" s="4">
        <v>2.4840375342782298E-6</v>
      </c>
      <c r="G3198" s="4">
        <v>1.9772880717639198E-5</v>
      </c>
      <c r="H3198" s="3" t="str">
        <f>"LDHAP5"</f>
        <v>LDHAP5</v>
      </c>
      <c r="I3198" s="3" t="str">
        <f>"processed_pseudogene"</f>
        <v>processed_pseudogene</v>
      </c>
    </row>
    <row r="3199" spans="1:9" x14ac:dyDescent="0.2">
      <c r="A3199" s="3" t="str">
        <f>"ENSG00000229272.1"</f>
        <v>ENSG00000229272.1</v>
      </c>
      <c r="B3199" s="3">
        <v>131.74472538944701</v>
      </c>
      <c r="C3199" s="3">
        <v>7.4018709445067001</v>
      </c>
      <c r="D3199" s="3">
        <v>0.89393646053360598</v>
      </c>
      <c r="E3199" s="3">
        <v>8.28008619324957</v>
      </c>
      <c r="F3199" s="4">
        <v>1.23086157918709E-16</v>
      </c>
      <c r="G3199" s="4">
        <v>3.5602213851497604E-15</v>
      </c>
      <c r="H3199" s="3" t="str">
        <f>"AL157788.1"</f>
        <v>AL157788.1</v>
      </c>
      <c r="I3199" s="3" t="str">
        <f>"antisense"</f>
        <v>antisense</v>
      </c>
    </row>
    <row r="3200" spans="1:9" x14ac:dyDescent="0.2">
      <c r="A3200" s="3" t="str">
        <f>"ENSG00000183605.16"</f>
        <v>ENSG00000183605.16</v>
      </c>
      <c r="B3200" s="3">
        <v>928.47580792942904</v>
      </c>
      <c r="C3200" s="3">
        <v>-1.1851219608746399</v>
      </c>
      <c r="D3200" s="3">
        <v>0.20292330778463299</v>
      </c>
      <c r="E3200" s="3">
        <v>-5.8402456268475396</v>
      </c>
      <c r="F3200" s="4">
        <v>5.2123914951984999E-9</v>
      </c>
      <c r="G3200" s="4">
        <v>6.4438308107837396E-8</v>
      </c>
      <c r="H3200" s="3" t="str">
        <f>"SFXN4"</f>
        <v>SFXN4</v>
      </c>
      <c r="I3200" s="3" t="str">
        <f>"protein_coding"</f>
        <v>protein_coding</v>
      </c>
    </row>
    <row r="3201" spans="1:9" x14ac:dyDescent="0.2">
      <c r="A3201" s="3" t="str">
        <f>"ENSG00000066468.22"</f>
        <v>ENSG00000066468.22</v>
      </c>
      <c r="B3201" s="3">
        <v>590.17661181450501</v>
      </c>
      <c r="C3201" s="3">
        <v>1.65225758013325</v>
      </c>
      <c r="D3201" s="3">
        <v>0.222317855764814</v>
      </c>
      <c r="E3201" s="3">
        <v>7.43196075928849</v>
      </c>
      <c r="F3201" s="4">
        <v>1.06999547180444E-13</v>
      </c>
      <c r="G3201" s="4">
        <v>2.38187635786401E-12</v>
      </c>
      <c r="H3201" s="3" t="str">
        <f>"FGFR2"</f>
        <v>FGFR2</v>
      </c>
      <c r="I3201" s="3" t="str">
        <f>"protein_coding"</f>
        <v>protein_coding</v>
      </c>
    </row>
    <row r="3202" spans="1:9" x14ac:dyDescent="0.2">
      <c r="A3202" s="3" t="str">
        <f>"ENSG00000107672.15"</f>
        <v>ENSG00000107672.15</v>
      </c>
      <c r="B3202" s="3">
        <v>1190.18484126045</v>
      </c>
      <c r="C3202" s="3">
        <v>-1.16691745332189</v>
      </c>
      <c r="D3202" s="3">
        <v>0.218902816733304</v>
      </c>
      <c r="E3202" s="3">
        <v>-5.33075576977879</v>
      </c>
      <c r="F3202" s="4">
        <v>9.7804878728914695E-8</v>
      </c>
      <c r="G3202" s="4">
        <v>9.943617651965439E-7</v>
      </c>
      <c r="H3202" s="3" t="str">
        <f>"NSMCE4A"</f>
        <v>NSMCE4A</v>
      </c>
      <c r="I3202" s="3" t="str">
        <f>"protein_coding"</f>
        <v>protein_coding</v>
      </c>
    </row>
    <row r="3203" spans="1:9" x14ac:dyDescent="0.2">
      <c r="A3203" s="3" t="str">
        <f>"ENSG00000187908.18"</f>
        <v>ENSG00000187908.18</v>
      </c>
      <c r="B3203" s="3">
        <v>18.331921309356801</v>
      </c>
      <c r="C3203" s="3">
        <v>4.4947528515789497</v>
      </c>
      <c r="D3203" s="3">
        <v>1.1301959308109499</v>
      </c>
      <c r="E3203" s="3">
        <v>3.9769678239363699</v>
      </c>
      <c r="F3203" s="4">
        <v>6.9799605309540095E-5</v>
      </c>
      <c r="G3203" s="3">
        <v>4.1371108241658401E-4</v>
      </c>
      <c r="H3203" s="3" t="str">
        <f>"DMBT1"</f>
        <v>DMBT1</v>
      </c>
      <c r="I3203" s="3" t="str">
        <f>"protein_coding"</f>
        <v>protein_coding</v>
      </c>
    </row>
    <row r="3204" spans="1:9" x14ac:dyDescent="0.2">
      <c r="A3204" s="3" t="str">
        <f>"ENSG00000176584.18"</f>
        <v>ENSG00000176584.18</v>
      </c>
      <c r="B3204" s="3">
        <v>9.2188771817283097</v>
      </c>
      <c r="C3204" s="3">
        <v>5.1148732847904999</v>
      </c>
      <c r="D3204" s="3">
        <v>1.7686540852327199</v>
      </c>
      <c r="E3204" s="3">
        <v>2.89195797386094</v>
      </c>
      <c r="F3204" s="3">
        <v>3.8284915511169102E-3</v>
      </c>
      <c r="G3204" s="3">
        <v>1.4127154563012299E-2</v>
      </c>
      <c r="H3204" s="3" t="str">
        <f>"DMBT1P1"</f>
        <v>DMBT1P1</v>
      </c>
      <c r="I3204" s="3" t="str">
        <f>"transcribed_unprocessed_pseudogene"</f>
        <v>transcribed_unprocessed_pseudogene</v>
      </c>
    </row>
    <row r="3205" spans="1:9" x14ac:dyDescent="0.2">
      <c r="A3205" s="3" t="str">
        <f>"ENSG00000255624.3"</f>
        <v>ENSG00000255624.3</v>
      </c>
      <c r="B3205" s="3">
        <v>91.189640063676705</v>
      </c>
      <c r="C3205" s="3">
        <v>1.0718943105586001</v>
      </c>
      <c r="D3205" s="3">
        <v>0.40661858032836701</v>
      </c>
      <c r="E3205" s="3">
        <v>2.6361173896504799</v>
      </c>
      <c r="F3205" s="3">
        <v>8.3860714300574308E-3</v>
      </c>
      <c r="G3205" s="3">
        <v>2.7450178790818701E-2</v>
      </c>
      <c r="H3205" s="3" t="str">
        <f>"AC073585.1"</f>
        <v>AC073585.1</v>
      </c>
      <c r="I3205" s="3" t="str">
        <f>"transcribed_processed_pseudogene"</f>
        <v>transcribed_processed_pseudogene</v>
      </c>
    </row>
    <row r="3206" spans="1:9" x14ac:dyDescent="0.2">
      <c r="A3206" s="3" t="str">
        <f>"ENSG00000119965.13"</f>
        <v>ENSG00000119965.13</v>
      </c>
      <c r="B3206" s="3">
        <v>672.880565171738</v>
      </c>
      <c r="C3206" s="3">
        <v>1.57242930179329</v>
      </c>
      <c r="D3206" s="3">
        <v>0.226349621564856</v>
      </c>
      <c r="E3206" s="3">
        <v>6.9469049292965002</v>
      </c>
      <c r="F3206" s="4">
        <v>3.7338713912106802E-12</v>
      </c>
      <c r="G3206" s="4">
        <v>6.8787554967083995E-11</v>
      </c>
      <c r="H3206" s="3" t="str">
        <f>"C10orf88"</f>
        <v>C10orf88</v>
      </c>
      <c r="I3206" s="3" t="str">
        <f>"protein_coding"</f>
        <v>protein_coding</v>
      </c>
    </row>
    <row r="3207" spans="1:9" x14ac:dyDescent="0.2">
      <c r="A3207" s="3" t="str">
        <f>"ENSG00000232334.1"</f>
        <v>ENSG00000232334.1</v>
      </c>
      <c r="B3207" s="3">
        <v>30.420474935441501</v>
      </c>
      <c r="C3207" s="3">
        <v>-1.5593923568841299</v>
      </c>
      <c r="D3207" s="3">
        <v>0.64197476483697902</v>
      </c>
      <c r="E3207" s="3">
        <v>-2.4290555365990301</v>
      </c>
      <c r="F3207" s="3">
        <v>1.51382132738153E-2</v>
      </c>
      <c r="G3207" s="3">
        <v>4.4893328583373998E-2</v>
      </c>
      <c r="H3207" s="3" t="str">
        <f>"AL683842.1"</f>
        <v>AL683842.1</v>
      </c>
      <c r="I3207" s="3" t="str">
        <f>"processed_pseudogene"</f>
        <v>processed_pseudogene</v>
      </c>
    </row>
    <row r="3208" spans="1:9" x14ac:dyDescent="0.2">
      <c r="A3208" s="3" t="str">
        <f>"ENSG00000229544.9"</f>
        <v>ENSG00000229544.9</v>
      </c>
      <c r="B3208" s="3">
        <v>31.9631594062669</v>
      </c>
      <c r="C3208" s="3">
        <v>8.3930634159768793</v>
      </c>
      <c r="D3208" s="3">
        <v>1.5595056177725699</v>
      </c>
      <c r="E3208" s="3">
        <v>5.3818744352871501</v>
      </c>
      <c r="F3208" s="4">
        <v>7.3714179256376698E-8</v>
      </c>
      <c r="G3208" s="4">
        <v>7.6689203596735295E-7</v>
      </c>
      <c r="H3208" s="3" t="str">
        <f>"NKX1-2"</f>
        <v>NKX1-2</v>
      </c>
      <c r="I3208" s="3" t="str">
        <f t="shared" ref="I3208:I3213" si="149">"protein_coding"</f>
        <v>protein_coding</v>
      </c>
    </row>
    <row r="3209" spans="1:9" x14ac:dyDescent="0.2">
      <c r="A3209" s="3" t="str">
        <f>"ENSG00000175029.17"</f>
        <v>ENSG00000175029.17</v>
      </c>
      <c r="B3209" s="3">
        <v>23.771730654289101</v>
      </c>
      <c r="C3209" s="3">
        <v>3.6127214020313301</v>
      </c>
      <c r="D3209" s="3">
        <v>0.87423388049099304</v>
      </c>
      <c r="E3209" s="3">
        <v>4.1324426822743696</v>
      </c>
      <c r="F3209" s="4">
        <v>3.5892829026681899E-5</v>
      </c>
      <c r="G3209" s="3">
        <v>2.2601615726600401E-4</v>
      </c>
      <c r="H3209" s="3" t="str">
        <f>"CTBP2"</f>
        <v>CTBP2</v>
      </c>
      <c r="I3209" s="3" t="str">
        <f t="shared" si="149"/>
        <v>protein_coding</v>
      </c>
    </row>
    <row r="3210" spans="1:9" x14ac:dyDescent="0.2">
      <c r="A3210" s="3" t="str">
        <f>"ENSG00000089876.11"</f>
        <v>ENSG00000089876.11</v>
      </c>
      <c r="B3210" s="3">
        <v>740.64715008038195</v>
      </c>
      <c r="C3210" s="3">
        <v>1.0119616383744501</v>
      </c>
      <c r="D3210" s="3">
        <v>0.226401073402061</v>
      </c>
      <c r="E3210" s="3">
        <v>4.4697740305203002</v>
      </c>
      <c r="F3210" s="4">
        <v>7.8302279380531805E-6</v>
      </c>
      <c r="G3210" s="4">
        <v>5.6847913836433499E-5</v>
      </c>
      <c r="H3210" s="3" t="str">
        <f>"DHX32"</f>
        <v>DHX32</v>
      </c>
      <c r="I3210" s="3" t="str">
        <f t="shared" si="149"/>
        <v>protein_coding</v>
      </c>
    </row>
    <row r="3211" spans="1:9" x14ac:dyDescent="0.2">
      <c r="A3211" s="3" t="str">
        <f>"ENSG00000148848.14"</f>
        <v>ENSG00000148848.14</v>
      </c>
      <c r="B3211" s="3">
        <v>5.1002181659678598</v>
      </c>
      <c r="C3211" s="3">
        <v>5.7438055377337802</v>
      </c>
      <c r="D3211" s="3">
        <v>2.03182000205382</v>
      </c>
      <c r="E3211" s="3">
        <v>2.8269263674576499</v>
      </c>
      <c r="F3211" s="3">
        <v>4.69971330147441E-3</v>
      </c>
      <c r="G3211" s="3">
        <v>1.6840227291592999E-2</v>
      </c>
      <c r="H3211" s="3" t="str">
        <f>"ADAM12"</f>
        <v>ADAM12</v>
      </c>
      <c r="I3211" s="3" t="str">
        <f t="shared" si="149"/>
        <v>protein_coding</v>
      </c>
    </row>
    <row r="3212" spans="1:9" x14ac:dyDescent="0.2">
      <c r="A3212" s="3" t="str">
        <f>"ENSG00000154493.18"</f>
        <v>ENSG00000154493.18</v>
      </c>
      <c r="B3212" s="3">
        <v>7.4525205677011597</v>
      </c>
      <c r="C3212" s="3">
        <v>6.2964636514416998</v>
      </c>
      <c r="D3212" s="3">
        <v>1.8656504205965601</v>
      </c>
      <c r="E3212" s="3">
        <v>3.37494290566416</v>
      </c>
      <c r="F3212" s="3">
        <v>7.3831006388832404E-4</v>
      </c>
      <c r="G3212" s="3">
        <v>3.3892419055155799E-3</v>
      </c>
      <c r="H3212" s="3" t="str">
        <f>"C10orf90"</f>
        <v>C10orf90</v>
      </c>
      <c r="I3212" s="3" t="str">
        <f t="shared" si="149"/>
        <v>protein_coding</v>
      </c>
    </row>
    <row r="3213" spans="1:9" x14ac:dyDescent="0.2">
      <c r="A3213" s="3" t="str">
        <f>"ENSG00000188916.9"</f>
        <v>ENSG00000188916.9</v>
      </c>
      <c r="B3213" s="3">
        <v>4.3302005939076098</v>
      </c>
      <c r="C3213" s="3">
        <v>5.5088803257156904</v>
      </c>
      <c r="D3213" s="3">
        <v>2.1104502212244198</v>
      </c>
      <c r="E3213" s="3">
        <v>2.6102867863519599</v>
      </c>
      <c r="F3213" s="3">
        <v>9.0466346159683401E-3</v>
      </c>
      <c r="G3213" s="3">
        <v>2.9246992570157698E-2</v>
      </c>
      <c r="H3213" s="3" t="str">
        <f>"INSYN2"</f>
        <v>INSYN2</v>
      </c>
      <c r="I3213" s="3" t="str">
        <f t="shared" si="149"/>
        <v>protein_coding</v>
      </c>
    </row>
    <row r="3214" spans="1:9" x14ac:dyDescent="0.2">
      <c r="A3214" s="3" t="str">
        <f>"ENSG00000279725.1"</f>
        <v>ENSG00000279725.1</v>
      </c>
      <c r="B3214" s="3">
        <v>31.1569037293999</v>
      </c>
      <c r="C3214" s="3">
        <v>8.3565160719532798</v>
      </c>
      <c r="D3214" s="3">
        <v>1.5604879334997701</v>
      </c>
      <c r="E3214" s="3">
        <v>5.3550661255109802</v>
      </c>
      <c r="F3214" s="4">
        <v>8.5525133853165505E-8</v>
      </c>
      <c r="G3214" s="4">
        <v>8.7506696286038304E-7</v>
      </c>
      <c r="H3214" s="3" t="str">
        <f>"AL391005.1"</f>
        <v>AL391005.1</v>
      </c>
      <c r="I3214" s="3" t="str">
        <f>"TEC"</f>
        <v>TEC</v>
      </c>
    </row>
    <row r="3215" spans="1:9" x14ac:dyDescent="0.2">
      <c r="A3215" s="3" t="str">
        <f>"ENSG00000186766.7"</f>
        <v>ENSG00000186766.7</v>
      </c>
      <c r="B3215" s="3">
        <v>5.24817637556772</v>
      </c>
      <c r="C3215" s="3">
        <v>5.7873700827091596</v>
      </c>
      <c r="D3215" s="3">
        <v>2.00710138519183</v>
      </c>
      <c r="E3215" s="3">
        <v>2.88344680812226</v>
      </c>
      <c r="F3215" s="3">
        <v>3.9334907211268401E-3</v>
      </c>
      <c r="G3215" s="3">
        <v>1.44441808192106E-2</v>
      </c>
      <c r="H3215" s="3" t="str">
        <f>"FOXI2"</f>
        <v>FOXI2</v>
      </c>
      <c r="I3215" s="3" t="str">
        <f>"protein_coding"</f>
        <v>protein_coding</v>
      </c>
    </row>
    <row r="3216" spans="1:9" x14ac:dyDescent="0.2">
      <c r="A3216" s="3" t="str">
        <f>"ENSG00000132334.16"</f>
        <v>ENSG00000132334.16</v>
      </c>
      <c r="B3216" s="3">
        <v>99.491997664020502</v>
      </c>
      <c r="C3216" s="3">
        <v>6.5740095431123597</v>
      </c>
      <c r="D3216" s="3">
        <v>0.81115857160192495</v>
      </c>
      <c r="E3216" s="3">
        <v>8.1044690560682895</v>
      </c>
      <c r="F3216" s="4">
        <v>5.2976350568155197E-16</v>
      </c>
      <c r="G3216" s="4">
        <v>1.4477899939122599E-14</v>
      </c>
      <c r="H3216" s="3" t="str">
        <f>"PTPRE"</f>
        <v>PTPRE</v>
      </c>
      <c r="I3216" s="3" t="str">
        <f>"protein_coding"</f>
        <v>protein_coding</v>
      </c>
    </row>
    <row r="3217" spans="1:9" x14ac:dyDescent="0.2">
      <c r="A3217" s="3" t="str">
        <f>"ENSG00000236303.3"</f>
        <v>ENSG00000236303.3</v>
      </c>
      <c r="B3217" s="3">
        <v>16.799111552321701</v>
      </c>
      <c r="C3217" s="3">
        <v>3.9441678402938698</v>
      </c>
      <c r="D3217" s="3">
        <v>1.0895587627097501</v>
      </c>
      <c r="E3217" s="3">
        <v>3.6199679863843799</v>
      </c>
      <c r="F3217" s="3">
        <v>2.9463946733542299E-4</v>
      </c>
      <c r="G3217" s="3">
        <v>1.4994474349062899E-3</v>
      </c>
      <c r="H3217" s="3" t="str">
        <f>"LINC02646"</f>
        <v>LINC02646</v>
      </c>
      <c r="I3217" s="3" t="str">
        <f>"lincRNA"</f>
        <v>lincRNA</v>
      </c>
    </row>
    <row r="3218" spans="1:9" x14ac:dyDescent="0.2">
      <c r="A3218" s="3" t="str">
        <f>"ENSG00000230098.1"</f>
        <v>ENSG00000230098.1</v>
      </c>
      <c r="B3218" s="3">
        <v>7.3017244666909296</v>
      </c>
      <c r="C3218" s="3">
        <v>4.7748091842931002</v>
      </c>
      <c r="D3218" s="3">
        <v>1.8439040897977601</v>
      </c>
      <c r="E3218" s="3">
        <v>2.58951059912058</v>
      </c>
      <c r="F3218" s="3">
        <v>9.61124640067006E-3</v>
      </c>
      <c r="G3218" s="3">
        <v>3.0722387456482501E-2</v>
      </c>
      <c r="H3218" s="3" t="str">
        <f>"TCERG1L-AS1"</f>
        <v>TCERG1L-AS1</v>
      </c>
      <c r="I3218" s="3" t="str">
        <f>"antisense"</f>
        <v>antisense</v>
      </c>
    </row>
    <row r="3219" spans="1:9" x14ac:dyDescent="0.2">
      <c r="A3219" s="3" t="str">
        <f>"ENSG00000189275.3"</f>
        <v>ENSG00000189275.3</v>
      </c>
      <c r="B3219" s="3">
        <v>11.7856024219292</v>
      </c>
      <c r="C3219" s="3">
        <v>5.4763345759885498</v>
      </c>
      <c r="D3219" s="3">
        <v>1.70713091780233</v>
      </c>
      <c r="E3219" s="3">
        <v>3.2079171660943899</v>
      </c>
      <c r="F3219" s="3">
        <v>1.33700000774007E-3</v>
      </c>
      <c r="G3219" s="3">
        <v>5.6885133058859703E-3</v>
      </c>
      <c r="H3219" s="3" t="str">
        <f>"LINC01164"</f>
        <v>LINC01164</v>
      </c>
      <c r="I3219" s="3" t="str">
        <f>"lincRNA"</f>
        <v>lincRNA</v>
      </c>
    </row>
    <row r="3220" spans="1:9" x14ac:dyDescent="0.2">
      <c r="A3220" s="3" t="str">
        <f>"ENSG00000151640.13"</f>
        <v>ENSG00000151640.13</v>
      </c>
      <c r="B3220" s="3">
        <v>1507.4899896992099</v>
      </c>
      <c r="C3220" s="3">
        <v>6.0627167246970499</v>
      </c>
      <c r="D3220" s="3">
        <v>0.268224089326558</v>
      </c>
      <c r="E3220" s="3">
        <v>22.603177589004002</v>
      </c>
      <c r="F3220" s="4">
        <v>4.0328255859029799E-113</v>
      </c>
      <c r="G3220" s="4">
        <v>7.3254932492732304E-110</v>
      </c>
      <c r="H3220" s="3" t="str">
        <f>"DPYSL4"</f>
        <v>DPYSL4</v>
      </c>
      <c r="I3220" s="3" t="str">
        <f>"protein_coding"</f>
        <v>protein_coding</v>
      </c>
    </row>
    <row r="3221" spans="1:9" x14ac:dyDescent="0.2">
      <c r="A3221" s="3" t="str">
        <f>"ENSG00000226900.1"</f>
        <v>ENSG00000226900.1</v>
      </c>
      <c r="B3221" s="3">
        <v>64.0432601329086</v>
      </c>
      <c r="C3221" s="3">
        <v>1.7805609375245399</v>
      </c>
      <c r="D3221" s="3">
        <v>0.461608669559115</v>
      </c>
      <c r="E3221" s="3">
        <v>3.8572952696602498</v>
      </c>
      <c r="F3221" s="3">
        <v>1.1464863621628401E-4</v>
      </c>
      <c r="G3221" s="3">
        <v>6.4836683083957796E-4</v>
      </c>
      <c r="H3221" s="3" t="str">
        <f>"AL451069.1"</f>
        <v>AL451069.1</v>
      </c>
      <c r="I3221" s="3" t="str">
        <f>"lincRNA"</f>
        <v>lincRNA</v>
      </c>
    </row>
    <row r="3222" spans="1:9" x14ac:dyDescent="0.2">
      <c r="A3222" s="3" t="str">
        <f>"ENSG00000151651.16"</f>
        <v>ENSG00000151651.16</v>
      </c>
      <c r="B3222" s="3">
        <v>20.560068341046001</v>
      </c>
      <c r="C3222" s="3">
        <v>2.4864651331628802</v>
      </c>
      <c r="D3222" s="3">
        <v>0.83254818582058898</v>
      </c>
      <c r="E3222" s="3">
        <v>2.9865720393254298</v>
      </c>
      <c r="F3222" s="3">
        <v>2.8212435885487299E-3</v>
      </c>
      <c r="G3222" s="3">
        <v>1.08482111285898E-2</v>
      </c>
      <c r="H3222" s="3" t="str">
        <f>"ADAM8"</f>
        <v>ADAM8</v>
      </c>
      <c r="I3222" s="3" t="str">
        <f t="shared" ref="I3222:I3244" si="150">"protein_coding"</f>
        <v>protein_coding</v>
      </c>
    </row>
    <row r="3223" spans="1:9" x14ac:dyDescent="0.2">
      <c r="A3223" s="3" t="str">
        <f>"ENSG00000198546.15"</f>
        <v>ENSG00000198546.15</v>
      </c>
      <c r="B3223" s="3">
        <v>444.07351504159999</v>
      </c>
      <c r="C3223" s="3">
        <v>-1.48062382429012</v>
      </c>
      <c r="D3223" s="3">
        <v>0.24213992951374599</v>
      </c>
      <c r="E3223" s="3">
        <v>-6.1147445911273097</v>
      </c>
      <c r="F3223" s="4">
        <v>9.6711731034094097E-10</v>
      </c>
      <c r="G3223" s="4">
        <v>1.31887113888186E-8</v>
      </c>
      <c r="H3223" s="3" t="str">
        <f>"ZNF511"</f>
        <v>ZNF511</v>
      </c>
      <c r="I3223" s="3" t="str">
        <f t="shared" si="150"/>
        <v>protein_coding</v>
      </c>
    </row>
    <row r="3224" spans="1:9" x14ac:dyDescent="0.2">
      <c r="A3224" s="3" t="str">
        <f>"ENSG00000165828.15"</f>
        <v>ENSG00000165828.15</v>
      </c>
      <c r="B3224" s="3">
        <v>43.287366586032299</v>
      </c>
      <c r="C3224" s="3">
        <v>2.96727261771106</v>
      </c>
      <c r="D3224" s="3">
        <v>0.59890772697796102</v>
      </c>
      <c r="E3224" s="3">
        <v>4.9544737595617097</v>
      </c>
      <c r="F3224" s="4">
        <v>7.2526302777328305E-7</v>
      </c>
      <c r="G3224" s="4">
        <v>6.3540970153500496E-6</v>
      </c>
      <c r="H3224" s="3" t="str">
        <f>"PRAP1"</f>
        <v>PRAP1</v>
      </c>
      <c r="I3224" s="3" t="str">
        <f t="shared" si="150"/>
        <v>protein_coding</v>
      </c>
    </row>
    <row r="3225" spans="1:9" x14ac:dyDescent="0.2">
      <c r="A3225" s="3" t="str">
        <f>"ENSG00000203772.7"</f>
        <v>ENSG00000203772.7</v>
      </c>
      <c r="B3225" s="3">
        <v>12.338191365148999</v>
      </c>
      <c r="C3225" s="3">
        <v>5.5459305496487703</v>
      </c>
      <c r="D3225" s="3">
        <v>1.6935487126285</v>
      </c>
      <c r="E3225" s="3">
        <v>3.27473931413589</v>
      </c>
      <c r="F3225" s="3">
        <v>1.05759518186756E-3</v>
      </c>
      <c r="G3225" s="3">
        <v>4.6283803277136996E-3</v>
      </c>
      <c r="H3225" s="3" t="str">
        <f>"SPRN"</f>
        <v>SPRN</v>
      </c>
      <c r="I3225" s="3" t="str">
        <f t="shared" si="150"/>
        <v>protein_coding</v>
      </c>
    </row>
    <row r="3226" spans="1:9" x14ac:dyDescent="0.2">
      <c r="A3226" s="3" t="str">
        <f>"ENSG00000214279.13"</f>
        <v>ENSG00000214279.13</v>
      </c>
      <c r="B3226" s="3">
        <v>180.09064711061799</v>
      </c>
      <c r="C3226" s="3">
        <v>1.0103790054942701</v>
      </c>
      <c r="D3226" s="3">
        <v>0.30822187765282499</v>
      </c>
      <c r="E3226" s="3">
        <v>3.2780898396587599</v>
      </c>
      <c r="F3226" s="3">
        <v>1.0451212695855301E-3</v>
      </c>
      <c r="G3226" s="3">
        <v>4.58557475561947E-3</v>
      </c>
      <c r="H3226" s="3" t="str">
        <f>"SCART1"</f>
        <v>SCART1</v>
      </c>
      <c r="I3226" s="3" t="str">
        <f t="shared" si="150"/>
        <v>protein_coding</v>
      </c>
    </row>
    <row r="3227" spans="1:9" x14ac:dyDescent="0.2">
      <c r="A3227" s="3" t="str">
        <f>"ENSG00000174885.12"</f>
        <v>ENSG00000174885.12</v>
      </c>
      <c r="B3227" s="3">
        <v>28.0583810184845</v>
      </c>
      <c r="C3227" s="3">
        <v>5.7351465621435</v>
      </c>
      <c r="D3227" s="3">
        <v>1.19961073457172</v>
      </c>
      <c r="E3227" s="3">
        <v>4.78083964811389</v>
      </c>
      <c r="F3227" s="4">
        <v>1.7456456193839099E-6</v>
      </c>
      <c r="G3227" s="4">
        <v>1.43263874070342E-5</v>
      </c>
      <c r="H3227" s="3" t="str">
        <f>"NLRP6"</f>
        <v>NLRP6</v>
      </c>
      <c r="I3227" s="3" t="str">
        <f t="shared" si="150"/>
        <v>protein_coding</v>
      </c>
    </row>
    <row r="3228" spans="1:9" x14ac:dyDescent="0.2">
      <c r="A3228" s="3" t="str">
        <f>"ENSG00000185201.16"</f>
        <v>ENSG00000185201.16</v>
      </c>
      <c r="B3228" s="3">
        <v>985.57926746349096</v>
      </c>
      <c r="C3228" s="3">
        <v>-1.76326103311309</v>
      </c>
      <c r="D3228" s="3">
        <v>0.22497050362770499</v>
      </c>
      <c r="E3228" s="3">
        <v>-7.8377431915743099</v>
      </c>
      <c r="F3228" s="4">
        <v>4.5871595274752699E-15</v>
      </c>
      <c r="G3228" s="4">
        <v>1.14877146732646E-13</v>
      </c>
      <c r="H3228" s="3" t="str">
        <f>"IFITM2"</f>
        <v>IFITM2</v>
      </c>
      <c r="I3228" s="3" t="str">
        <f t="shared" si="150"/>
        <v>protein_coding</v>
      </c>
    </row>
    <row r="3229" spans="1:9" x14ac:dyDescent="0.2">
      <c r="A3229" s="3" t="str">
        <f>"ENSG00000185885.16"</f>
        <v>ENSG00000185885.16</v>
      </c>
      <c r="B3229" s="3">
        <v>8.6885641627992101</v>
      </c>
      <c r="C3229" s="3">
        <v>-3.50153060608555</v>
      </c>
      <c r="D3229" s="3">
        <v>1.3350996168994</v>
      </c>
      <c r="E3229" s="3">
        <v>-2.6226736655182501</v>
      </c>
      <c r="F3229" s="3">
        <v>8.7242792061701397E-3</v>
      </c>
      <c r="G3229" s="3">
        <v>2.8403684494027699E-2</v>
      </c>
      <c r="H3229" s="3" t="str">
        <f>"IFITM1"</f>
        <v>IFITM1</v>
      </c>
      <c r="I3229" s="3" t="str">
        <f t="shared" si="150"/>
        <v>protein_coding</v>
      </c>
    </row>
    <row r="3230" spans="1:9" x14ac:dyDescent="0.2">
      <c r="A3230" s="3" t="str">
        <f>"ENSG00000142089.16"</f>
        <v>ENSG00000142089.16</v>
      </c>
      <c r="B3230" s="3">
        <v>3199.7714280028699</v>
      </c>
      <c r="C3230" s="3">
        <v>-1.4022011969333901</v>
      </c>
      <c r="D3230" s="3">
        <v>0.224470560207742</v>
      </c>
      <c r="E3230" s="3">
        <v>-6.2467042254257699</v>
      </c>
      <c r="F3230" s="4">
        <v>4.1920379772030402E-10</v>
      </c>
      <c r="G3230" s="4">
        <v>5.94588541201724E-9</v>
      </c>
      <c r="H3230" s="3" t="str">
        <f>"IFITM3"</f>
        <v>IFITM3</v>
      </c>
      <c r="I3230" s="3" t="str">
        <f t="shared" si="150"/>
        <v>protein_coding</v>
      </c>
    </row>
    <row r="3231" spans="1:9" x14ac:dyDescent="0.2">
      <c r="A3231" s="3" t="str">
        <f>"ENSG00000182272.12"</f>
        <v>ENSG00000182272.12</v>
      </c>
      <c r="B3231" s="3">
        <v>1093.3494810242601</v>
      </c>
      <c r="C3231" s="3">
        <v>-2.83610079867936</v>
      </c>
      <c r="D3231" s="3">
        <v>0.21419232935708801</v>
      </c>
      <c r="E3231" s="3">
        <v>-13.240907399401699</v>
      </c>
      <c r="F3231" s="4">
        <v>5.0929754891887699E-40</v>
      </c>
      <c r="G3231" s="4">
        <v>7.0085001592892097E-38</v>
      </c>
      <c r="H3231" s="3" t="str">
        <f>"B4GALNT4"</f>
        <v>B4GALNT4</v>
      </c>
      <c r="I3231" s="3" t="str">
        <f t="shared" si="150"/>
        <v>protein_coding</v>
      </c>
    </row>
    <row r="3232" spans="1:9" x14ac:dyDescent="0.2">
      <c r="A3232" s="3" t="str">
        <f>"ENSG00000184363.10"</f>
        <v>ENSG00000184363.10</v>
      </c>
      <c r="B3232" s="3">
        <v>1121.3236292879899</v>
      </c>
      <c r="C3232" s="3">
        <v>-1.6387578248038399</v>
      </c>
      <c r="D3232" s="3">
        <v>0.21628759349170901</v>
      </c>
      <c r="E3232" s="3">
        <v>-7.5767537025495502</v>
      </c>
      <c r="F3232" s="4">
        <v>3.5430848918366899E-14</v>
      </c>
      <c r="G3232" s="4">
        <v>8.1951132468484102E-13</v>
      </c>
      <c r="H3232" s="3" t="str">
        <f>"PKP3"</f>
        <v>PKP3</v>
      </c>
      <c r="I3232" s="3" t="str">
        <f t="shared" si="150"/>
        <v>protein_coding</v>
      </c>
    </row>
    <row r="3233" spans="1:9" x14ac:dyDescent="0.2">
      <c r="A3233" s="3" t="str">
        <f>"ENSG00000174775.17"</f>
        <v>ENSG00000174775.17</v>
      </c>
      <c r="B3233" s="3">
        <v>840.81418356280994</v>
      </c>
      <c r="C3233" s="3">
        <v>1.2616452988913101</v>
      </c>
      <c r="D3233" s="3">
        <v>0.23287665889471701</v>
      </c>
      <c r="E3233" s="3">
        <v>5.4176545853901796</v>
      </c>
      <c r="F3233" s="4">
        <v>6.0385933365725696E-8</v>
      </c>
      <c r="G3233" s="4">
        <v>6.3747986300500898E-7</v>
      </c>
      <c r="H3233" s="3" t="str">
        <f>"HRAS"</f>
        <v>HRAS</v>
      </c>
      <c r="I3233" s="3" t="str">
        <f t="shared" si="150"/>
        <v>protein_coding</v>
      </c>
    </row>
    <row r="3234" spans="1:9" x14ac:dyDescent="0.2">
      <c r="A3234" s="3" t="str">
        <f>"ENSG00000177042.14"</f>
        <v>ENSG00000177042.14</v>
      </c>
      <c r="B3234" s="3">
        <v>160.180383838918</v>
      </c>
      <c r="C3234" s="3">
        <v>-2.00838881545226</v>
      </c>
      <c r="D3234" s="3">
        <v>0.33337687422867002</v>
      </c>
      <c r="E3234" s="3">
        <v>-6.02437952572157</v>
      </c>
      <c r="F3234" s="4">
        <v>1.69759596797423E-9</v>
      </c>
      <c r="G3234" s="4">
        <v>2.2312782122235301E-8</v>
      </c>
      <c r="H3234" s="3" t="str">
        <f>"TMEM80"</f>
        <v>TMEM80</v>
      </c>
      <c r="I3234" s="3" t="str">
        <f t="shared" si="150"/>
        <v>protein_coding</v>
      </c>
    </row>
    <row r="3235" spans="1:9" x14ac:dyDescent="0.2">
      <c r="A3235" s="3" t="str">
        <f>"ENSG00000177542.11"</f>
        <v>ENSG00000177542.11</v>
      </c>
      <c r="B3235" s="3">
        <v>582.55639949503097</v>
      </c>
      <c r="C3235" s="3">
        <v>-1.0184327999712901</v>
      </c>
      <c r="D3235" s="3">
        <v>0.24351217600032299</v>
      </c>
      <c r="E3235" s="3">
        <v>-4.1822664340609297</v>
      </c>
      <c r="F3235" s="4">
        <v>2.8861745888098499E-5</v>
      </c>
      <c r="G3235" s="3">
        <v>1.85865277762472E-4</v>
      </c>
      <c r="H3235" s="3" t="str">
        <f>"SLC25A22"</f>
        <v>SLC25A22</v>
      </c>
      <c r="I3235" s="3" t="str">
        <f t="shared" si="150"/>
        <v>protein_coding</v>
      </c>
    </row>
    <row r="3236" spans="1:9" x14ac:dyDescent="0.2">
      <c r="A3236" s="3" t="str">
        <f>"ENSG00000177595.18"</f>
        <v>ENSG00000177595.18</v>
      </c>
      <c r="B3236" s="3">
        <v>3888.5719000469899</v>
      </c>
      <c r="C3236" s="3">
        <v>2.1870760216130001</v>
      </c>
      <c r="D3236" s="3">
        <v>0.21388165230758999</v>
      </c>
      <c r="E3236" s="3">
        <v>10.225636458370399</v>
      </c>
      <c r="F3236" s="4">
        <v>1.52224685264962E-24</v>
      </c>
      <c r="G3236" s="4">
        <v>8.1646968492409596E-23</v>
      </c>
      <c r="H3236" s="3" t="str">
        <f>"PIDD1"</f>
        <v>PIDD1</v>
      </c>
      <c r="I3236" s="3" t="str">
        <f t="shared" si="150"/>
        <v>protein_coding</v>
      </c>
    </row>
    <row r="3237" spans="1:9" x14ac:dyDescent="0.2">
      <c r="A3237" s="3" t="str">
        <f>"ENSG00000184956.16"</f>
        <v>ENSG00000184956.16</v>
      </c>
      <c r="B3237" s="3">
        <v>147.84900894067999</v>
      </c>
      <c r="C3237" s="3">
        <v>6.3373989280773397</v>
      </c>
      <c r="D3237" s="3">
        <v>0.62652941400332696</v>
      </c>
      <c r="E3237" s="3">
        <v>10.1150860381532</v>
      </c>
      <c r="F3237" s="4">
        <v>4.7360072170262102E-24</v>
      </c>
      <c r="G3237" s="4">
        <v>2.4579426408059702E-22</v>
      </c>
      <c r="H3237" s="3" t="str">
        <f>"MUC6"</f>
        <v>MUC6</v>
      </c>
      <c r="I3237" s="3" t="str">
        <f t="shared" si="150"/>
        <v>protein_coding</v>
      </c>
    </row>
    <row r="3238" spans="1:9" x14ac:dyDescent="0.2">
      <c r="A3238" s="3" t="str">
        <f>"ENSG00000198788.8"</f>
        <v>ENSG00000198788.8</v>
      </c>
      <c r="B3238" s="3">
        <v>1379.4461019318801</v>
      </c>
      <c r="C3238" s="3">
        <v>9.57404812308401</v>
      </c>
      <c r="D3238" s="3">
        <v>0.58259676826498097</v>
      </c>
      <c r="E3238" s="3">
        <v>16.433404104860202</v>
      </c>
      <c r="F3238" s="4">
        <v>1.1029006184532999E-60</v>
      </c>
      <c r="G3238" s="4">
        <v>3.3389703501108E-58</v>
      </c>
      <c r="H3238" s="3" t="str">
        <f>"MUC2"</f>
        <v>MUC2</v>
      </c>
      <c r="I3238" s="3" t="str">
        <f t="shared" si="150"/>
        <v>protein_coding</v>
      </c>
    </row>
    <row r="3239" spans="1:9" x14ac:dyDescent="0.2">
      <c r="A3239" s="3" t="str">
        <f>"ENSG00000215182.8"</f>
        <v>ENSG00000215182.8</v>
      </c>
      <c r="B3239" s="3">
        <v>51.693591766635201</v>
      </c>
      <c r="C3239" s="3">
        <v>4.4083394905207802</v>
      </c>
      <c r="D3239" s="3">
        <v>0.66477887495368604</v>
      </c>
      <c r="E3239" s="3">
        <v>6.6312869686599099</v>
      </c>
      <c r="F3239" s="4">
        <v>3.32772552888625E-11</v>
      </c>
      <c r="G3239" s="4">
        <v>5.5388233039440302E-10</v>
      </c>
      <c r="H3239" s="3" t="str">
        <f>"MUC5AC"</f>
        <v>MUC5AC</v>
      </c>
      <c r="I3239" s="3" t="str">
        <f t="shared" si="150"/>
        <v>protein_coding</v>
      </c>
    </row>
    <row r="3240" spans="1:9" x14ac:dyDescent="0.2">
      <c r="A3240" s="3" t="str">
        <f>"ENSG00000149043.16"</f>
        <v>ENSG00000149043.16</v>
      </c>
      <c r="B3240" s="3">
        <v>537.09442284727004</v>
      </c>
      <c r="C3240" s="3">
        <v>5.0794354323753401</v>
      </c>
      <c r="D3240" s="3">
        <v>0.32231248551112801</v>
      </c>
      <c r="E3240" s="3">
        <v>15.7593505083127</v>
      </c>
      <c r="F3240" s="4">
        <v>5.9238646553136897E-56</v>
      </c>
      <c r="G3240" s="4">
        <v>1.4945142616975201E-53</v>
      </c>
      <c r="H3240" s="3" t="str">
        <f>"SYT8"</f>
        <v>SYT8</v>
      </c>
      <c r="I3240" s="3" t="str">
        <f t="shared" si="150"/>
        <v>protein_coding</v>
      </c>
    </row>
    <row r="3241" spans="1:9" x14ac:dyDescent="0.2">
      <c r="A3241" s="3" t="str">
        <f>"ENSG00000130598.16"</f>
        <v>ENSG00000130598.16</v>
      </c>
      <c r="B3241" s="3">
        <v>821.67992900302204</v>
      </c>
      <c r="C3241" s="3">
        <v>2.79247855029196</v>
      </c>
      <c r="D3241" s="3">
        <v>0.26805345276564901</v>
      </c>
      <c r="E3241" s="3">
        <v>10.4176182827734</v>
      </c>
      <c r="F3241" s="4">
        <v>2.0604843404212699E-25</v>
      </c>
      <c r="G3241" s="4">
        <v>1.19705792800551E-23</v>
      </c>
      <c r="H3241" s="3" t="str">
        <f>"TNNI2"</f>
        <v>TNNI2</v>
      </c>
      <c r="I3241" s="3" t="str">
        <f t="shared" si="150"/>
        <v>protein_coding</v>
      </c>
    </row>
    <row r="3242" spans="1:9" x14ac:dyDescent="0.2">
      <c r="A3242" s="3" t="str">
        <f>"ENSG00000130592.15"</f>
        <v>ENSG00000130592.15</v>
      </c>
      <c r="B3242" s="3">
        <v>925.43274514723896</v>
      </c>
      <c r="C3242" s="3">
        <v>4.9821321859318104</v>
      </c>
      <c r="D3242" s="3">
        <v>0.241698521492973</v>
      </c>
      <c r="E3242" s="3">
        <v>20.613002326853898</v>
      </c>
      <c r="F3242" s="4">
        <v>2.0980598555766301E-94</v>
      </c>
      <c r="G3242" s="4">
        <v>2.11725321795912E-91</v>
      </c>
      <c r="H3242" s="3" t="str">
        <f>"LSP1"</f>
        <v>LSP1</v>
      </c>
      <c r="I3242" s="3" t="str">
        <f t="shared" si="150"/>
        <v>protein_coding</v>
      </c>
    </row>
    <row r="3243" spans="1:9" x14ac:dyDescent="0.2">
      <c r="A3243" s="3" t="str">
        <f>"ENSG00000130595.19"</f>
        <v>ENSG00000130595.19</v>
      </c>
      <c r="B3243" s="3">
        <v>59.161260960945199</v>
      </c>
      <c r="C3243" s="3">
        <v>9.2822347728936698</v>
      </c>
      <c r="D3243" s="3">
        <v>1.50988315857508</v>
      </c>
      <c r="E3243" s="3">
        <v>6.1476510418551698</v>
      </c>
      <c r="F3243" s="4">
        <v>7.8638803976411204E-10</v>
      </c>
      <c r="G3243" s="4">
        <v>1.08599670144211E-8</v>
      </c>
      <c r="H3243" s="3" t="str">
        <f>"TNNT3"</f>
        <v>TNNT3</v>
      </c>
      <c r="I3243" s="3" t="str">
        <f t="shared" si="150"/>
        <v>protein_coding</v>
      </c>
    </row>
    <row r="3244" spans="1:9" x14ac:dyDescent="0.2">
      <c r="A3244" s="3" t="str">
        <f>"ENSG00000214026.11"</f>
        <v>ENSG00000214026.11</v>
      </c>
      <c r="B3244" s="3">
        <v>1087.8589368974999</v>
      </c>
      <c r="C3244" s="3">
        <v>-1.3488189341913699</v>
      </c>
      <c r="D3244" s="3">
        <v>0.201404790137027</v>
      </c>
      <c r="E3244" s="3">
        <v>-6.6970548876900802</v>
      </c>
      <c r="F3244" s="4">
        <v>2.1266176276783199E-11</v>
      </c>
      <c r="G3244" s="4">
        <v>3.6124657419794997E-10</v>
      </c>
      <c r="H3244" s="3" t="str">
        <f>"MRPL23"</f>
        <v>MRPL23</v>
      </c>
      <c r="I3244" s="3" t="str">
        <f t="shared" si="150"/>
        <v>protein_coding</v>
      </c>
    </row>
    <row r="3245" spans="1:9" x14ac:dyDescent="0.2">
      <c r="A3245" s="3" t="str">
        <f>"ENSG00000226416.1"</f>
        <v>ENSG00000226416.1</v>
      </c>
      <c r="B3245" s="3">
        <v>326.47932617305702</v>
      </c>
      <c r="C3245" s="3">
        <v>2.1963704545003599</v>
      </c>
      <c r="D3245" s="3">
        <v>0.29776938709892198</v>
      </c>
      <c r="E3245" s="3">
        <v>7.3760787698793902</v>
      </c>
      <c r="F3245" s="4">
        <v>1.6301958742566599E-13</v>
      </c>
      <c r="G3245" s="4">
        <v>3.5677065852105402E-12</v>
      </c>
      <c r="H3245" s="3" t="str">
        <f>"MRPL23-AS1"</f>
        <v>MRPL23-AS1</v>
      </c>
      <c r="I3245" s="3" t="str">
        <f>"antisense"</f>
        <v>antisense</v>
      </c>
    </row>
    <row r="3246" spans="1:9" x14ac:dyDescent="0.2">
      <c r="A3246" s="3" t="str">
        <f>"ENSG00000167244.20"</f>
        <v>ENSG00000167244.20</v>
      </c>
      <c r="B3246" s="3">
        <v>7669.15509288266</v>
      </c>
      <c r="C3246" s="3">
        <v>-1.4471206740759299</v>
      </c>
      <c r="D3246" s="3">
        <v>0.189523288258831</v>
      </c>
      <c r="E3246" s="3">
        <v>-7.6355823464798096</v>
      </c>
      <c r="F3246" s="4">
        <v>2.24801967596571E-14</v>
      </c>
      <c r="G3246" s="4">
        <v>5.2684905070743903E-13</v>
      </c>
      <c r="H3246" s="3" t="str">
        <f>"IGF2"</f>
        <v>IGF2</v>
      </c>
      <c r="I3246" s="3" t="str">
        <f>"protein_coding"</f>
        <v>protein_coding</v>
      </c>
    </row>
    <row r="3247" spans="1:9" x14ac:dyDescent="0.2">
      <c r="A3247" s="3" t="str">
        <f>"ENSG00000070985.13"</f>
        <v>ENSG00000070985.13</v>
      </c>
      <c r="B3247" s="3">
        <v>16.7312274259194</v>
      </c>
      <c r="C3247" s="3">
        <v>3.0352472481715802</v>
      </c>
      <c r="D3247" s="3">
        <v>0.97271617965209101</v>
      </c>
      <c r="E3247" s="3">
        <v>3.1203832234570101</v>
      </c>
      <c r="F3247" s="3">
        <v>1.8061589568109E-3</v>
      </c>
      <c r="G3247" s="3">
        <v>7.38370789140685E-3</v>
      </c>
      <c r="H3247" s="3" t="str">
        <f>"TRPM5"</f>
        <v>TRPM5</v>
      </c>
      <c r="I3247" s="3" t="str">
        <f>"protein_coding"</f>
        <v>protein_coding</v>
      </c>
    </row>
    <row r="3248" spans="1:9" x14ac:dyDescent="0.2">
      <c r="A3248" s="3" t="str">
        <f>"ENSG00000053918.16"</f>
        <v>ENSG00000053918.16</v>
      </c>
      <c r="B3248" s="3">
        <v>28.6680918535139</v>
      </c>
      <c r="C3248" s="3">
        <v>2.6723050696661601</v>
      </c>
      <c r="D3248" s="3">
        <v>0.710608528352067</v>
      </c>
      <c r="E3248" s="3">
        <v>3.7605868252993702</v>
      </c>
      <c r="F3248" s="3">
        <v>1.6951522324773699E-4</v>
      </c>
      <c r="G3248" s="3">
        <v>9.2007595375121301E-4</v>
      </c>
      <c r="H3248" s="3" t="str">
        <f>"KCNQ1"</f>
        <v>KCNQ1</v>
      </c>
      <c r="I3248" s="3" t="str">
        <f>"protein_coding"</f>
        <v>protein_coding</v>
      </c>
    </row>
    <row r="3249" spans="1:9" x14ac:dyDescent="0.2">
      <c r="A3249" s="3" t="str">
        <f>"ENSG00000181649.7"</f>
        <v>ENSG00000181649.7</v>
      </c>
      <c r="B3249" s="3">
        <v>378.28375258690602</v>
      </c>
      <c r="C3249" s="3">
        <v>1.16580679210801</v>
      </c>
      <c r="D3249" s="3">
        <v>0.26155834068478301</v>
      </c>
      <c r="E3249" s="3">
        <v>4.45715777618034</v>
      </c>
      <c r="F3249" s="4">
        <v>8.3053476375408304E-6</v>
      </c>
      <c r="G3249" s="4">
        <v>6.0057273641208899E-5</v>
      </c>
      <c r="H3249" s="3" t="str">
        <f>"PHLDA2"</f>
        <v>PHLDA2</v>
      </c>
      <c r="I3249" s="3" t="str">
        <f>"protein_coding"</f>
        <v>protein_coding</v>
      </c>
    </row>
    <row r="3250" spans="1:9" x14ac:dyDescent="0.2">
      <c r="A3250" s="3" t="str">
        <f>"ENSG00000224513.2"</f>
        <v>ENSG00000224513.2</v>
      </c>
      <c r="B3250" s="3">
        <v>3.9255698602876601</v>
      </c>
      <c r="C3250" s="3">
        <v>5.3649036796241196</v>
      </c>
      <c r="D3250" s="3">
        <v>2.1862776153234802</v>
      </c>
      <c r="E3250" s="3">
        <v>2.45389864581783</v>
      </c>
      <c r="F3250" s="3">
        <v>1.4131680591543599E-2</v>
      </c>
      <c r="G3250" s="3">
        <v>4.2476106020715901E-2</v>
      </c>
      <c r="H3250" s="3" t="str">
        <f>"AC109309.1"</f>
        <v>AC109309.1</v>
      </c>
      <c r="I3250" s="3" t="str">
        <f>"antisense"</f>
        <v>antisense</v>
      </c>
    </row>
    <row r="3251" spans="1:9" x14ac:dyDescent="0.2">
      <c r="A3251" s="3" t="str">
        <f>"ENSG00000005801.18"</f>
        <v>ENSG00000005801.18</v>
      </c>
      <c r="B3251" s="3">
        <v>3158.5983770838302</v>
      </c>
      <c r="C3251" s="3">
        <v>1.6465220697698399</v>
      </c>
      <c r="D3251" s="3">
        <v>0.214572099627791</v>
      </c>
      <c r="E3251" s="3">
        <v>7.6735142762082802</v>
      </c>
      <c r="F3251" s="4">
        <v>1.67346897525613E-14</v>
      </c>
      <c r="G3251" s="4">
        <v>3.9462006661212301E-13</v>
      </c>
      <c r="H3251" s="3" t="str">
        <f>"ZNF195"</f>
        <v>ZNF195</v>
      </c>
      <c r="I3251" s="3" t="str">
        <f>"protein_coding"</f>
        <v>protein_coding</v>
      </c>
    </row>
    <row r="3252" spans="1:9" x14ac:dyDescent="0.2">
      <c r="A3252" s="3" t="str">
        <f>"ENSG00000223756.6"</f>
        <v>ENSG00000223756.6</v>
      </c>
      <c r="B3252" s="3">
        <v>24.127731386761301</v>
      </c>
      <c r="C3252" s="3">
        <v>2.0695967735561598</v>
      </c>
      <c r="D3252" s="3">
        <v>0.72155361555141195</v>
      </c>
      <c r="E3252" s="3">
        <v>2.8682508533680702</v>
      </c>
      <c r="F3252" s="3">
        <v>4.1274813566073701E-3</v>
      </c>
      <c r="G3252" s="3">
        <v>1.50430022102035E-2</v>
      </c>
      <c r="H3252" s="3" t="str">
        <f>"TSSC2"</f>
        <v>TSSC2</v>
      </c>
      <c r="I3252" s="3" t="str">
        <f>"transcribed_unprocessed_pseudogene"</f>
        <v>transcribed_unprocessed_pseudogene</v>
      </c>
    </row>
    <row r="3253" spans="1:9" x14ac:dyDescent="0.2">
      <c r="A3253" s="3" t="str">
        <f>"ENSG00000254757.1"</f>
        <v>ENSG00000254757.1</v>
      </c>
      <c r="B3253" s="3">
        <v>24.3686922097116</v>
      </c>
      <c r="C3253" s="3">
        <v>8.0023574500975592</v>
      </c>
      <c r="D3253" s="3">
        <v>1.58729258616221</v>
      </c>
      <c r="E3253" s="3">
        <v>5.0415137825634497</v>
      </c>
      <c r="F3253" s="4">
        <v>4.6186358386081101E-7</v>
      </c>
      <c r="G3253" s="4">
        <v>4.1989980211730102E-6</v>
      </c>
      <c r="H3253" s="3" t="str">
        <f>"AC127526.1"</f>
        <v>AC127526.1</v>
      </c>
      <c r="I3253" s="3" t="str">
        <f>"lincRNA"</f>
        <v>lincRNA</v>
      </c>
    </row>
    <row r="3254" spans="1:9" x14ac:dyDescent="0.2">
      <c r="A3254" s="3" t="str">
        <f>"ENSG00000129749.3"</f>
        <v>ENSG00000129749.3</v>
      </c>
      <c r="B3254" s="3">
        <v>31.0613725677477</v>
      </c>
      <c r="C3254" s="3">
        <v>-1.68477170765329</v>
      </c>
      <c r="D3254" s="3">
        <v>0.630870721358604</v>
      </c>
      <c r="E3254" s="3">
        <v>-2.6705498458147998</v>
      </c>
      <c r="F3254" s="3">
        <v>7.5727127102873104E-3</v>
      </c>
      <c r="G3254" s="3">
        <v>2.51597031038687E-2</v>
      </c>
      <c r="H3254" s="3" t="str">
        <f>"CHRNA10"</f>
        <v>CHRNA10</v>
      </c>
      <c r="I3254" s="3" t="str">
        <f>"protein_coding"</f>
        <v>protein_coding</v>
      </c>
    </row>
    <row r="3255" spans="1:9" x14ac:dyDescent="0.2">
      <c r="A3255" s="3" t="str">
        <f>"ENSG00000229368.1"</f>
        <v>ENSG00000229368.1</v>
      </c>
      <c r="B3255" s="3">
        <v>63.023929282292997</v>
      </c>
      <c r="C3255" s="3">
        <v>1.14382956297771</v>
      </c>
      <c r="D3255" s="3">
        <v>0.44835044834906901</v>
      </c>
      <c r="E3255" s="3">
        <v>2.5511953142671402</v>
      </c>
      <c r="F3255" s="3">
        <v>1.0735414497498701E-2</v>
      </c>
      <c r="G3255" s="3">
        <v>3.3800304924121297E-2</v>
      </c>
      <c r="H3255" s="3" t="str">
        <f>"AC090587.2"</f>
        <v>AC090587.2</v>
      </c>
      <c r="I3255" s="3" t="str">
        <f>"sense_overlapping"</f>
        <v>sense_overlapping</v>
      </c>
    </row>
    <row r="3256" spans="1:9" x14ac:dyDescent="0.2">
      <c r="A3256" s="3" t="str">
        <f>"ENSG00000132256.18"</f>
        <v>ENSG00000132256.18</v>
      </c>
      <c r="B3256" s="3">
        <v>1034.5548215752101</v>
      </c>
      <c r="C3256" s="3">
        <v>1.54033801902255</v>
      </c>
      <c r="D3256" s="3">
        <v>0.196371245344617</v>
      </c>
      <c r="E3256" s="3">
        <v>7.8440100347654003</v>
      </c>
      <c r="F3256" s="4">
        <v>4.3638221066165902E-15</v>
      </c>
      <c r="G3256" s="4">
        <v>1.0978860659185801E-13</v>
      </c>
      <c r="H3256" s="3" t="str">
        <f>"TRIM5"</f>
        <v>TRIM5</v>
      </c>
      <c r="I3256" s="3" t="str">
        <f>"protein_coding"</f>
        <v>protein_coding</v>
      </c>
    </row>
    <row r="3257" spans="1:9" x14ac:dyDescent="0.2">
      <c r="A3257" s="3" t="str">
        <f>"ENSG00000132274.16"</f>
        <v>ENSG00000132274.16</v>
      </c>
      <c r="B3257" s="3">
        <v>801.14892716076099</v>
      </c>
      <c r="C3257" s="3">
        <v>5.0679450872245297</v>
      </c>
      <c r="D3257" s="3">
        <v>0.27002966567437398</v>
      </c>
      <c r="E3257" s="3">
        <v>18.768104884208999</v>
      </c>
      <c r="F3257" s="4">
        <v>1.37711049743325E-78</v>
      </c>
      <c r="G3257" s="4">
        <v>8.9338404103723398E-76</v>
      </c>
      <c r="H3257" s="3" t="str">
        <f>"TRIM22"</f>
        <v>TRIM22</v>
      </c>
      <c r="I3257" s="3" t="str">
        <f>"protein_coding"</f>
        <v>protein_coding</v>
      </c>
    </row>
    <row r="3258" spans="1:9" x14ac:dyDescent="0.2">
      <c r="A3258" s="3" t="str">
        <f>"ENSG00000181109.3"</f>
        <v>ENSG00000181109.3</v>
      </c>
      <c r="B3258" s="3">
        <v>18.682652786090099</v>
      </c>
      <c r="C3258" s="3">
        <v>7.6203387638753997</v>
      </c>
      <c r="D3258" s="3">
        <v>1.62490732342334</v>
      </c>
      <c r="E3258" s="3">
        <v>4.6897067014387899</v>
      </c>
      <c r="F3258" s="4">
        <v>2.7359693180622502E-6</v>
      </c>
      <c r="G3258" s="4">
        <v>2.1639174458415701E-5</v>
      </c>
      <c r="H3258" s="3" t="str">
        <f>"OR52P1P"</f>
        <v>OR52P1P</v>
      </c>
      <c r="I3258" s="3" t="str">
        <f>"unprocessed_pseudogene"</f>
        <v>unprocessed_pseudogene</v>
      </c>
    </row>
    <row r="3259" spans="1:9" x14ac:dyDescent="0.2">
      <c r="A3259" s="3" t="str">
        <f>"ENSG00000181023.7"</f>
        <v>ENSG00000181023.7</v>
      </c>
      <c r="B3259" s="3">
        <v>25.099465886592299</v>
      </c>
      <c r="C3259" s="3">
        <v>8.0437929318565509</v>
      </c>
      <c r="D3259" s="3">
        <v>1.5895155600561599</v>
      </c>
      <c r="E3259" s="3">
        <v>5.06053110393733</v>
      </c>
      <c r="F3259" s="4">
        <v>4.1809024581598998E-7</v>
      </c>
      <c r="G3259" s="4">
        <v>3.8278578386251001E-6</v>
      </c>
      <c r="H3259" s="3" t="str">
        <f>"OR56B1"</f>
        <v>OR56B1</v>
      </c>
      <c r="I3259" s="3" t="str">
        <f>"protein_coding"</f>
        <v>protein_coding</v>
      </c>
    </row>
    <row r="3260" spans="1:9" x14ac:dyDescent="0.2">
      <c r="A3260" s="3" t="str">
        <f>"ENSG00000181074.4"</f>
        <v>ENSG00000181074.4</v>
      </c>
      <c r="B3260" s="3">
        <v>82.159253288041</v>
      </c>
      <c r="C3260" s="3">
        <v>8.3084927241206206</v>
      </c>
      <c r="D3260" s="3">
        <v>1.4934055474758501</v>
      </c>
      <c r="E3260" s="3">
        <v>5.5634537705873601</v>
      </c>
      <c r="F3260" s="4">
        <v>2.6448695352249E-8</v>
      </c>
      <c r="G3260" s="4">
        <v>2.9656279928507401E-7</v>
      </c>
      <c r="H3260" s="3" t="str">
        <f>"OR52N4"</f>
        <v>OR52N4</v>
      </c>
      <c r="I3260" s="3" t="str">
        <f>"protein_coding"</f>
        <v>protein_coding</v>
      </c>
    </row>
    <row r="3261" spans="1:9" x14ac:dyDescent="0.2">
      <c r="A3261" s="3" t="str">
        <f>"ENSG00000181017.5"</f>
        <v>ENSG00000181017.5</v>
      </c>
      <c r="B3261" s="3">
        <v>19.957333832996898</v>
      </c>
      <c r="C3261" s="3">
        <v>5.2386063918226702</v>
      </c>
      <c r="D3261" s="3">
        <v>1.2558173893273299</v>
      </c>
      <c r="E3261" s="3">
        <v>4.1714714546425302</v>
      </c>
      <c r="F3261" s="4">
        <v>3.0263897394450499E-5</v>
      </c>
      <c r="G3261" s="3">
        <v>1.94069289787384E-4</v>
      </c>
      <c r="H3261" s="3" t="str">
        <f>"OR56B2P"</f>
        <v>OR56B2P</v>
      </c>
      <c r="I3261" s="3" t="str">
        <f>"transcribed_unprocessed_pseudogene"</f>
        <v>transcribed_unprocessed_pseudogene</v>
      </c>
    </row>
    <row r="3262" spans="1:9" x14ac:dyDescent="0.2">
      <c r="A3262" s="3" t="str">
        <f>"ENSG00000180934.6"</f>
        <v>ENSG00000180934.6</v>
      </c>
      <c r="B3262" s="3">
        <v>5.3206525851812003</v>
      </c>
      <c r="C3262" s="3">
        <v>5.8053769265941</v>
      </c>
      <c r="D3262" s="3">
        <v>2.0076052546962599</v>
      </c>
      <c r="E3262" s="3">
        <v>2.89169243456301</v>
      </c>
      <c r="F3262" s="3">
        <v>3.8317285447488402E-3</v>
      </c>
      <c r="G3262" s="3">
        <v>1.41314439169967E-2</v>
      </c>
      <c r="H3262" s="3" t="str">
        <f>"OR56A1"</f>
        <v>OR56A1</v>
      </c>
      <c r="I3262" s="3" t="str">
        <f>"protein_coding"</f>
        <v>protein_coding</v>
      </c>
    </row>
    <row r="3263" spans="1:9" x14ac:dyDescent="0.2">
      <c r="A3263" s="3" t="str">
        <f>"ENSG00000110169.11"</f>
        <v>ENSG00000110169.11</v>
      </c>
      <c r="B3263" s="3">
        <v>177.10714953586199</v>
      </c>
      <c r="C3263" s="3">
        <v>-1.53394175498705</v>
      </c>
      <c r="D3263" s="3">
        <v>0.349503443092751</v>
      </c>
      <c r="E3263" s="3">
        <v>-4.3889174350135702</v>
      </c>
      <c r="F3263" s="4">
        <v>1.13916304599912E-5</v>
      </c>
      <c r="G3263" s="4">
        <v>7.9933563717199705E-5</v>
      </c>
      <c r="H3263" s="3" t="str">
        <f>"HPX"</f>
        <v>HPX</v>
      </c>
      <c r="I3263" s="3" t="str">
        <f>"protein_coding"</f>
        <v>protein_coding</v>
      </c>
    </row>
    <row r="3264" spans="1:9" x14ac:dyDescent="0.2">
      <c r="A3264" s="3" t="str">
        <f>"ENSG00000110171.20"</f>
        <v>ENSG00000110171.20</v>
      </c>
      <c r="B3264" s="3">
        <v>716.50192254339402</v>
      </c>
      <c r="C3264" s="3">
        <v>2.7043093386179402</v>
      </c>
      <c r="D3264" s="3">
        <v>0.23783974248286699</v>
      </c>
      <c r="E3264" s="3">
        <v>11.3703004821103</v>
      </c>
      <c r="F3264" s="4">
        <v>5.87848696810266E-30</v>
      </c>
      <c r="G3264" s="4">
        <v>4.5763181262826596E-28</v>
      </c>
      <c r="H3264" s="3" t="str">
        <f>"TRIM3"</f>
        <v>TRIM3</v>
      </c>
      <c r="I3264" s="3" t="str">
        <f>"protein_coding"</f>
        <v>protein_coding</v>
      </c>
    </row>
    <row r="3265" spans="1:9" x14ac:dyDescent="0.2">
      <c r="A3265" s="3" t="str">
        <f>"ENSG00000158042.8"</f>
        <v>ENSG00000158042.8</v>
      </c>
      <c r="B3265" s="3">
        <v>857.58134043768098</v>
      </c>
      <c r="C3265" s="3">
        <v>-1.0767197750012201</v>
      </c>
      <c r="D3265" s="3">
        <v>0.244628776476773</v>
      </c>
      <c r="E3265" s="3">
        <v>-4.40144365069599</v>
      </c>
      <c r="F3265" s="4">
        <v>1.07532996511609E-5</v>
      </c>
      <c r="G3265" s="4">
        <v>7.5846532641775906E-5</v>
      </c>
      <c r="H3265" s="3" t="str">
        <f>"MRPL17"</f>
        <v>MRPL17</v>
      </c>
      <c r="I3265" s="3" t="str">
        <f>"protein_coding"</f>
        <v>protein_coding</v>
      </c>
    </row>
    <row r="3266" spans="1:9" x14ac:dyDescent="0.2">
      <c r="A3266" s="3" t="str">
        <f>"ENSG00000254838.5"</f>
        <v>ENSG00000254838.5</v>
      </c>
      <c r="B3266" s="3">
        <v>7.6337110917348703</v>
      </c>
      <c r="C3266" s="3">
        <v>6.3279423768160701</v>
      </c>
      <c r="D3266" s="3">
        <v>1.8500988979756201</v>
      </c>
      <c r="E3266" s="3">
        <v>3.4203265478078499</v>
      </c>
      <c r="F3266" s="3">
        <v>6.2546007452649001E-4</v>
      </c>
      <c r="G3266" s="3">
        <v>2.9191350891783598E-3</v>
      </c>
      <c r="H3266" s="3" t="str">
        <f>"GVINP1"</f>
        <v>GVINP1</v>
      </c>
      <c r="I3266" s="3" t="str">
        <f>"transcribed_unprocessed_pseudogene"</f>
        <v>transcribed_unprocessed_pseudogene</v>
      </c>
    </row>
    <row r="3267" spans="1:9" x14ac:dyDescent="0.2">
      <c r="A3267" s="3" t="str">
        <f>"ENSG00000170743.17"</f>
        <v>ENSG00000170743.17</v>
      </c>
      <c r="B3267" s="3">
        <v>3.9618079650943998</v>
      </c>
      <c r="C3267" s="3">
        <v>5.3771408192735599</v>
      </c>
      <c r="D3267" s="3">
        <v>2.19654804218851</v>
      </c>
      <c r="E3267" s="3">
        <v>2.4479959991751898</v>
      </c>
      <c r="F3267" s="3">
        <v>1.43653250707227E-2</v>
      </c>
      <c r="G3267" s="3">
        <v>4.3002857855634E-2</v>
      </c>
      <c r="H3267" s="3" t="str">
        <f>"SYT9"</f>
        <v>SYT9</v>
      </c>
      <c r="I3267" s="3" t="str">
        <f>"protein_coding"</f>
        <v>protein_coding</v>
      </c>
    </row>
    <row r="3268" spans="1:9" x14ac:dyDescent="0.2">
      <c r="A3268" s="3" t="str">
        <f>"ENSG00000176716.5"</f>
        <v>ENSG00000176716.5</v>
      </c>
      <c r="B3268" s="3">
        <v>5.3206525851812003</v>
      </c>
      <c r="C3268" s="3">
        <v>5.8053769265941</v>
      </c>
      <c r="D3268" s="3">
        <v>2.0076052546962599</v>
      </c>
      <c r="E3268" s="3">
        <v>2.89169243456301</v>
      </c>
      <c r="F3268" s="3">
        <v>3.8317285447488402E-3</v>
      </c>
      <c r="G3268" s="3">
        <v>1.41314439169967E-2</v>
      </c>
      <c r="H3268" s="3" t="str">
        <f>"OR10AB1P"</f>
        <v>OR10AB1P</v>
      </c>
      <c r="I3268" s="3" t="str">
        <f>"transcribed_unprocessed_pseudogene"</f>
        <v>transcribed_unprocessed_pseudogene</v>
      </c>
    </row>
    <row r="3269" spans="1:9" x14ac:dyDescent="0.2">
      <c r="A3269" s="3" t="str">
        <f>"ENSG00000254951.7"</f>
        <v>ENSG00000254951.7</v>
      </c>
      <c r="B3269" s="3">
        <v>4.47815880350747</v>
      </c>
      <c r="C3269" s="3">
        <v>5.56007165364207</v>
      </c>
      <c r="D3269" s="3">
        <v>2.0887876854237399</v>
      </c>
      <c r="E3269" s="3">
        <v>2.6618653932336498</v>
      </c>
      <c r="F3269" s="3">
        <v>7.7708947408654102E-3</v>
      </c>
      <c r="G3269" s="3">
        <v>2.57364250643442E-2</v>
      </c>
      <c r="H3269" s="3" t="str">
        <f>"AC044810.2"</f>
        <v>AC044810.2</v>
      </c>
      <c r="I3269" s="3" t="str">
        <f>"sense_overlapping"</f>
        <v>sense_overlapping</v>
      </c>
    </row>
    <row r="3270" spans="1:9" x14ac:dyDescent="0.2">
      <c r="A3270" s="3" t="str">
        <f>"ENSG00000166405.15"</f>
        <v>ENSG00000166405.15</v>
      </c>
      <c r="B3270" s="3">
        <v>57.104625918306603</v>
      </c>
      <c r="C3270" s="3">
        <v>6.7712105565324903</v>
      </c>
      <c r="D3270" s="3">
        <v>1.1319282799577</v>
      </c>
      <c r="E3270" s="3">
        <v>5.9820137692694697</v>
      </c>
      <c r="F3270" s="4">
        <v>2.2039563609642699E-9</v>
      </c>
      <c r="G3270" s="4">
        <v>2.8487286037568099E-8</v>
      </c>
      <c r="H3270" s="3" t="str">
        <f>"RIC3"</f>
        <v>RIC3</v>
      </c>
      <c r="I3270" s="3" t="str">
        <f t="shared" ref="I3270:I3276" si="151">"protein_coding"</f>
        <v>protein_coding</v>
      </c>
    </row>
    <row r="3271" spans="1:9" x14ac:dyDescent="0.2">
      <c r="A3271" s="3" t="str">
        <f>"ENSG00000166436.16"</f>
        <v>ENSG00000166436.16</v>
      </c>
      <c r="B3271" s="3">
        <v>1438.9596682753399</v>
      </c>
      <c r="C3271" s="3">
        <v>1.2589542231838999</v>
      </c>
      <c r="D3271" s="3">
        <v>0.19710717283457799</v>
      </c>
      <c r="E3271" s="3">
        <v>6.38715580503239</v>
      </c>
      <c r="F3271" s="4">
        <v>1.68999431246293E-10</v>
      </c>
      <c r="G3271" s="4">
        <v>2.5482719995394202E-9</v>
      </c>
      <c r="H3271" s="3" t="str">
        <f>"TRIM66"</f>
        <v>TRIM66</v>
      </c>
      <c r="I3271" s="3" t="str">
        <f t="shared" si="151"/>
        <v>protein_coding</v>
      </c>
    </row>
    <row r="3272" spans="1:9" x14ac:dyDescent="0.2">
      <c r="A3272" s="3" t="str">
        <f>"ENSG00000175352.11"</f>
        <v>ENSG00000175352.11</v>
      </c>
      <c r="B3272" s="3">
        <v>24.413823155584598</v>
      </c>
      <c r="C3272" s="3">
        <v>6.5468523832485399</v>
      </c>
      <c r="D3272" s="3">
        <v>1.5773515235418001</v>
      </c>
      <c r="E3272" s="3">
        <v>4.1505347955338099</v>
      </c>
      <c r="F3272" s="4">
        <v>3.3169933554539398E-5</v>
      </c>
      <c r="G3272" s="3">
        <v>2.1056941474853499E-4</v>
      </c>
      <c r="H3272" s="3" t="str">
        <f>"NRIP3"</f>
        <v>NRIP3</v>
      </c>
      <c r="I3272" s="3" t="str">
        <f t="shared" si="151"/>
        <v>protein_coding</v>
      </c>
    </row>
    <row r="3273" spans="1:9" x14ac:dyDescent="0.2">
      <c r="A3273" s="3" t="str">
        <f>"ENSG00000133805.15"</f>
        <v>ENSG00000133805.15</v>
      </c>
      <c r="B3273" s="3">
        <v>48.7547428945634</v>
      </c>
      <c r="C3273" s="3">
        <v>1.90315408733347</v>
      </c>
      <c r="D3273" s="3">
        <v>0.53586086313658099</v>
      </c>
      <c r="E3273" s="3">
        <v>3.5515825436357602</v>
      </c>
      <c r="F3273" s="3">
        <v>3.8292186325662698E-4</v>
      </c>
      <c r="G3273" s="3">
        <v>1.89527193608598E-3</v>
      </c>
      <c r="H3273" s="3" t="str">
        <f>"AMPD3"</f>
        <v>AMPD3</v>
      </c>
      <c r="I3273" s="3" t="str">
        <f t="shared" si="151"/>
        <v>protein_coding</v>
      </c>
    </row>
    <row r="3274" spans="1:9" x14ac:dyDescent="0.2">
      <c r="A3274" s="3" t="str">
        <f>"ENSG00000133800.8"</f>
        <v>ENSG00000133800.8</v>
      </c>
      <c r="B3274" s="3">
        <v>9.7931356058679295</v>
      </c>
      <c r="C3274" s="3">
        <v>4.1759496989584397</v>
      </c>
      <c r="D3274" s="3">
        <v>1.44189929839652</v>
      </c>
      <c r="E3274" s="3">
        <v>2.8961451771301601</v>
      </c>
      <c r="F3274" s="3">
        <v>3.77777587344451E-3</v>
      </c>
      <c r="G3274" s="3">
        <v>1.3972181243890699E-2</v>
      </c>
      <c r="H3274" s="3" t="str">
        <f>"LYVE1"</f>
        <v>LYVE1</v>
      </c>
      <c r="I3274" s="3" t="str">
        <f t="shared" si="151"/>
        <v>protein_coding</v>
      </c>
    </row>
    <row r="3275" spans="1:9" x14ac:dyDescent="0.2">
      <c r="A3275" s="3" t="str">
        <f>"ENSG00000072952.18"</f>
        <v>ENSG00000072952.18</v>
      </c>
      <c r="B3275" s="3">
        <v>15.8145032428313</v>
      </c>
      <c r="C3275" s="3">
        <v>4.2918472754774299</v>
      </c>
      <c r="D3275" s="3">
        <v>1.19013836325392</v>
      </c>
      <c r="E3275" s="3">
        <v>3.6061750532460999</v>
      </c>
      <c r="F3275" s="3">
        <v>3.10743551945533E-4</v>
      </c>
      <c r="G3275" s="3">
        <v>1.57229889690992E-3</v>
      </c>
      <c r="H3275" s="3" t="str">
        <f>"MRVI1"</f>
        <v>MRVI1</v>
      </c>
      <c r="I3275" s="3" t="str">
        <f t="shared" si="151"/>
        <v>protein_coding</v>
      </c>
    </row>
    <row r="3276" spans="1:9" x14ac:dyDescent="0.2">
      <c r="A3276" s="3" t="str">
        <f>"ENSG00000050165.17"</f>
        <v>ENSG00000050165.17</v>
      </c>
      <c r="B3276" s="3">
        <v>13.660797880429</v>
      </c>
      <c r="C3276" s="3">
        <v>5.6970431901671104</v>
      </c>
      <c r="D3276" s="3">
        <v>1.67330757981237</v>
      </c>
      <c r="E3276" s="3">
        <v>3.4046598837530699</v>
      </c>
      <c r="F3276" s="3">
        <v>6.6246507165110204E-4</v>
      </c>
      <c r="G3276" s="3">
        <v>3.0786603798870198E-3</v>
      </c>
      <c r="H3276" s="3" t="str">
        <f>"DKK3"</f>
        <v>DKK3</v>
      </c>
      <c r="I3276" s="3" t="str">
        <f t="shared" si="151"/>
        <v>protein_coding</v>
      </c>
    </row>
    <row r="3277" spans="1:9" x14ac:dyDescent="0.2">
      <c r="A3277" s="3" t="str">
        <f>"ENSG00000251381.7"</f>
        <v>ENSG00000251381.7</v>
      </c>
      <c r="B3277" s="3">
        <v>730.83765534091003</v>
      </c>
      <c r="C3277" s="3">
        <v>2.7079836670845499</v>
      </c>
      <c r="D3277" s="3">
        <v>0.21541559692259199</v>
      </c>
      <c r="E3277" s="3">
        <v>12.5709730668093</v>
      </c>
      <c r="F3277" s="4">
        <v>3.0494730896939701E-36</v>
      </c>
      <c r="G3277" s="4">
        <v>3.4193001347691998E-34</v>
      </c>
      <c r="H3277" s="3" t="str">
        <f>"LINC00958"</f>
        <v>LINC00958</v>
      </c>
      <c r="I3277" s="3" t="str">
        <f>"lincRNA"</f>
        <v>lincRNA</v>
      </c>
    </row>
    <row r="3278" spans="1:9" x14ac:dyDescent="0.2">
      <c r="A3278" s="3" t="str">
        <f>"ENSG00000148925.10"</f>
        <v>ENSG00000148925.10</v>
      </c>
      <c r="B3278" s="3">
        <v>1436.6424095526399</v>
      </c>
      <c r="C3278" s="3">
        <v>2.1761300541847501</v>
      </c>
      <c r="D3278" s="3">
        <v>0.19959462784273699</v>
      </c>
      <c r="E3278" s="3">
        <v>10.902748624574</v>
      </c>
      <c r="F3278" s="4">
        <v>1.1182722797060799E-27</v>
      </c>
      <c r="G3278" s="4">
        <v>7.4135194173118294E-26</v>
      </c>
      <c r="H3278" s="3" t="str">
        <f>"BTBD10"</f>
        <v>BTBD10</v>
      </c>
      <c r="I3278" s="3" t="str">
        <f t="shared" ref="I3278:I3283" si="152">"protein_coding"</f>
        <v>protein_coding</v>
      </c>
    </row>
    <row r="3279" spans="1:9" x14ac:dyDescent="0.2">
      <c r="A3279" s="3" t="str">
        <f>"ENSG00000262655.4"</f>
        <v>ENSG00000262655.4</v>
      </c>
      <c r="B3279" s="3">
        <v>4.2939624891008599</v>
      </c>
      <c r="C3279" s="3">
        <v>5.4978614945687996</v>
      </c>
      <c r="D3279" s="3">
        <v>2.1119244238519399</v>
      </c>
      <c r="E3279" s="3">
        <v>2.6032472717661199</v>
      </c>
      <c r="F3279" s="3">
        <v>9.2345323669644607E-3</v>
      </c>
      <c r="G3279" s="3">
        <v>2.9695893237658502E-2</v>
      </c>
      <c r="H3279" s="3" t="str">
        <f>"SPON1"</f>
        <v>SPON1</v>
      </c>
      <c r="I3279" s="3" t="str">
        <f t="shared" si="152"/>
        <v>protein_coding</v>
      </c>
    </row>
    <row r="3280" spans="1:9" x14ac:dyDescent="0.2">
      <c r="A3280" s="3" t="str">
        <f>"ENSG00000152270.9"</f>
        <v>ENSG00000152270.9</v>
      </c>
      <c r="B3280" s="3">
        <v>2108.8123684368702</v>
      </c>
      <c r="C3280" s="3">
        <v>-1.44066661438356</v>
      </c>
      <c r="D3280" s="3">
        <v>0.19540303321494701</v>
      </c>
      <c r="E3280" s="3">
        <v>-7.37279555327473</v>
      </c>
      <c r="F3280" s="4">
        <v>1.67086628102713E-13</v>
      </c>
      <c r="G3280" s="4">
        <v>3.6508495235883097E-12</v>
      </c>
      <c r="H3280" s="3" t="str">
        <f>"PDE3B"</f>
        <v>PDE3B</v>
      </c>
      <c r="I3280" s="3" t="str">
        <f t="shared" si="152"/>
        <v>protein_coding</v>
      </c>
    </row>
    <row r="3281" spans="1:9" x14ac:dyDescent="0.2">
      <c r="A3281" s="3" t="str">
        <f>"ENSG00000110693.17"</f>
        <v>ENSG00000110693.17</v>
      </c>
      <c r="B3281" s="3">
        <v>134.013431751312</v>
      </c>
      <c r="C3281" s="3">
        <v>1.26917569260885</v>
      </c>
      <c r="D3281" s="3">
        <v>0.33736856113411301</v>
      </c>
      <c r="E3281" s="3">
        <v>3.7619856703373098</v>
      </c>
      <c r="F3281" s="3">
        <v>1.6856970793678E-4</v>
      </c>
      <c r="G3281" s="3">
        <v>9.15856197837178E-4</v>
      </c>
      <c r="H3281" s="3" t="str">
        <f>"SOX6"</f>
        <v>SOX6</v>
      </c>
      <c r="I3281" s="3" t="str">
        <f t="shared" si="152"/>
        <v>protein_coding</v>
      </c>
    </row>
    <row r="3282" spans="1:9" x14ac:dyDescent="0.2">
      <c r="A3282" s="3" t="str">
        <f>"ENSG00000166689.16"</f>
        <v>ENSG00000166689.16</v>
      </c>
      <c r="B3282" s="3">
        <v>2014.16355646854</v>
      </c>
      <c r="C3282" s="3">
        <v>-1.15437078896737</v>
      </c>
      <c r="D3282" s="3">
        <v>0.18585575263697099</v>
      </c>
      <c r="E3282" s="3">
        <v>-6.2111114269472596</v>
      </c>
      <c r="F3282" s="4">
        <v>5.2611149093152198E-10</v>
      </c>
      <c r="G3282" s="4">
        <v>7.3777456476640204E-9</v>
      </c>
      <c r="H3282" s="3" t="str">
        <f>"PLEKHA7"</f>
        <v>PLEKHA7</v>
      </c>
      <c r="I3282" s="3" t="str">
        <f t="shared" si="152"/>
        <v>protein_coding</v>
      </c>
    </row>
    <row r="3283" spans="1:9" x14ac:dyDescent="0.2">
      <c r="A3283" s="3" t="str">
        <f>"ENSG00000188211.8"</f>
        <v>ENSG00000188211.8</v>
      </c>
      <c r="B3283" s="3">
        <v>2498.9589406427599</v>
      </c>
      <c r="C3283" s="3">
        <v>-1.1321923262632001</v>
      </c>
      <c r="D3283" s="3">
        <v>0.18510588723132501</v>
      </c>
      <c r="E3283" s="3">
        <v>-6.1164576837489397</v>
      </c>
      <c r="F3283" s="4">
        <v>9.5678278167049192E-10</v>
      </c>
      <c r="G3283" s="4">
        <v>1.30870785402489E-8</v>
      </c>
      <c r="H3283" s="3" t="str">
        <f>"NCR3LG1"</f>
        <v>NCR3LG1</v>
      </c>
      <c r="I3283" s="3" t="str">
        <f t="shared" si="152"/>
        <v>protein_coding</v>
      </c>
    </row>
    <row r="3284" spans="1:9" x14ac:dyDescent="0.2">
      <c r="A3284" s="3" t="str">
        <f>"ENSG00000260196.1"</f>
        <v>ENSG00000260196.1</v>
      </c>
      <c r="B3284" s="3">
        <v>278.328250144793</v>
      </c>
      <c r="C3284" s="3">
        <v>-1.0435789361874499</v>
      </c>
      <c r="D3284" s="3">
        <v>0.28387363101250201</v>
      </c>
      <c r="E3284" s="3">
        <v>-3.6762094896425501</v>
      </c>
      <c r="F3284" s="3">
        <v>2.36725151263929E-4</v>
      </c>
      <c r="G3284" s="3">
        <v>1.23493206901939E-3</v>
      </c>
      <c r="H3284" s="3" t="str">
        <f>"AC124798.1"</f>
        <v>AC124798.1</v>
      </c>
      <c r="I3284" s="3" t="str">
        <f>"antisense"</f>
        <v>antisense</v>
      </c>
    </row>
    <row r="3285" spans="1:9" x14ac:dyDescent="0.2">
      <c r="A3285" s="3" t="str">
        <f>"ENSG00000006071.13"</f>
        <v>ENSG00000006071.13</v>
      </c>
      <c r="B3285" s="3">
        <v>9.6148263421546201</v>
      </c>
      <c r="C3285" s="3">
        <v>3.51557223686439</v>
      </c>
      <c r="D3285" s="3">
        <v>1.2962032815289599</v>
      </c>
      <c r="E3285" s="3">
        <v>2.7122074808494001</v>
      </c>
      <c r="F3285" s="3">
        <v>6.6836743342591296E-3</v>
      </c>
      <c r="G3285" s="3">
        <v>2.2681538745243299E-2</v>
      </c>
      <c r="H3285" s="3" t="str">
        <f>"ABCC8"</f>
        <v>ABCC8</v>
      </c>
      <c r="I3285" s="3" t="str">
        <f t="shared" ref="I3285:I3291" si="153">"protein_coding"</f>
        <v>protein_coding</v>
      </c>
    </row>
    <row r="3286" spans="1:9" x14ac:dyDescent="0.2">
      <c r="A3286" s="3" t="str">
        <f>"ENSG00000188162.10"</f>
        <v>ENSG00000188162.10</v>
      </c>
      <c r="B3286" s="3">
        <v>7.4438389945075301</v>
      </c>
      <c r="C3286" s="3">
        <v>3.7558952054261101</v>
      </c>
      <c r="D3286" s="3">
        <v>1.5484946965669</v>
      </c>
      <c r="E3286" s="3">
        <v>2.4255137675015201</v>
      </c>
      <c r="F3286" s="3">
        <v>1.5286735918998101E-2</v>
      </c>
      <c r="G3286" s="3">
        <v>4.5278583931399198E-2</v>
      </c>
      <c r="H3286" s="3" t="str">
        <f>"OTOG"</f>
        <v>OTOG</v>
      </c>
      <c r="I3286" s="3" t="str">
        <f t="shared" si="153"/>
        <v>protein_coding</v>
      </c>
    </row>
    <row r="3287" spans="1:9" x14ac:dyDescent="0.2">
      <c r="A3287" s="3" t="str">
        <f>"ENSG00000129158.11"</f>
        <v>ENSG00000129158.11</v>
      </c>
      <c r="B3287" s="3">
        <v>696.34631696959696</v>
      </c>
      <c r="C3287" s="3">
        <v>-1.0674556757171001</v>
      </c>
      <c r="D3287" s="3">
        <v>0.21269203266313</v>
      </c>
      <c r="E3287" s="3">
        <v>-5.0187854352202104</v>
      </c>
      <c r="F3287" s="4">
        <v>5.1999188213011102E-7</v>
      </c>
      <c r="G3287" s="4">
        <v>4.6883583098607296E-6</v>
      </c>
      <c r="H3287" s="3" t="str">
        <f>"SERGEF"</f>
        <v>SERGEF</v>
      </c>
      <c r="I3287" s="3" t="str">
        <f t="shared" si="153"/>
        <v>protein_coding</v>
      </c>
    </row>
    <row r="3288" spans="1:9" x14ac:dyDescent="0.2">
      <c r="A3288" s="3" t="str">
        <f>"ENSG00000129167.9"</f>
        <v>ENSG00000129167.9</v>
      </c>
      <c r="B3288" s="3">
        <v>97.510483472285799</v>
      </c>
      <c r="C3288" s="3">
        <v>2.1427492938635999</v>
      </c>
      <c r="D3288" s="3">
        <v>0.46154996342341698</v>
      </c>
      <c r="E3288" s="3">
        <v>4.64250777525874</v>
      </c>
      <c r="F3288" s="4">
        <v>3.4420568156785901E-6</v>
      </c>
      <c r="G3288" s="4">
        <v>2.6826579535696302E-5</v>
      </c>
      <c r="H3288" s="3" t="str">
        <f>"TPH1"</f>
        <v>TPH1</v>
      </c>
      <c r="I3288" s="3" t="str">
        <f t="shared" si="153"/>
        <v>protein_coding</v>
      </c>
    </row>
    <row r="3289" spans="1:9" x14ac:dyDescent="0.2">
      <c r="A3289" s="3" t="str">
        <f>"ENSG00000148965.10"</f>
        <v>ENSG00000148965.10</v>
      </c>
      <c r="B3289" s="3">
        <v>27.227791444927401</v>
      </c>
      <c r="C3289" s="3">
        <v>3.2496586696223599</v>
      </c>
      <c r="D3289" s="3">
        <v>0.76997077781151502</v>
      </c>
      <c r="E3289" s="3">
        <v>4.2204961061754096</v>
      </c>
      <c r="F3289" s="4">
        <v>2.4376526789065499E-5</v>
      </c>
      <c r="G3289" s="3">
        <v>1.5908676058003999E-4</v>
      </c>
      <c r="H3289" s="3" t="str">
        <f>"SAA4"</f>
        <v>SAA4</v>
      </c>
      <c r="I3289" s="3" t="str">
        <f t="shared" si="153"/>
        <v>protein_coding</v>
      </c>
    </row>
    <row r="3290" spans="1:9" x14ac:dyDescent="0.2">
      <c r="A3290" s="3" t="str">
        <f>"ENSG00000110756.17"</f>
        <v>ENSG00000110756.17</v>
      </c>
      <c r="B3290" s="3">
        <v>1540.4665870973799</v>
      </c>
      <c r="C3290" s="3">
        <v>1.56211119558972</v>
      </c>
      <c r="D3290" s="3">
        <v>0.207220032536058</v>
      </c>
      <c r="E3290" s="3">
        <v>7.5384178666118897</v>
      </c>
      <c r="F3290" s="4">
        <v>4.7570744080971098E-14</v>
      </c>
      <c r="G3290" s="4">
        <v>1.0892101377934599E-12</v>
      </c>
      <c r="H3290" s="3" t="str">
        <f>"HPS5"</f>
        <v>HPS5</v>
      </c>
      <c r="I3290" s="3" t="str">
        <f t="shared" si="153"/>
        <v>protein_coding</v>
      </c>
    </row>
    <row r="3291" spans="1:9" x14ac:dyDescent="0.2">
      <c r="A3291" s="3" t="str">
        <f>"ENSG00000134333.14"</f>
        <v>ENSG00000134333.14</v>
      </c>
      <c r="B3291" s="3">
        <v>28683.031721372899</v>
      </c>
      <c r="C3291" s="3">
        <v>-1.2441136447059</v>
      </c>
      <c r="D3291" s="3">
        <v>0.17827280685760499</v>
      </c>
      <c r="E3291" s="3">
        <v>-6.9787067732637196</v>
      </c>
      <c r="F3291" s="4">
        <v>2.9790951740912401E-12</v>
      </c>
      <c r="G3291" s="4">
        <v>5.5673118112801202E-11</v>
      </c>
      <c r="H3291" s="3" t="str">
        <f>"LDHA"</f>
        <v>LDHA</v>
      </c>
      <c r="I3291" s="3" t="str">
        <f t="shared" si="153"/>
        <v>protein_coding</v>
      </c>
    </row>
    <row r="3292" spans="1:9" x14ac:dyDescent="0.2">
      <c r="A3292" s="3" t="str">
        <f>"ENSG00000256588.1"</f>
        <v>ENSG00000256588.1</v>
      </c>
      <c r="B3292" s="3">
        <v>25.188032964110601</v>
      </c>
      <c r="C3292" s="3">
        <v>1.78366799988111</v>
      </c>
      <c r="D3292" s="3">
        <v>0.69914558145044903</v>
      </c>
      <c r="E3292" s="3">
        <v>2.55121114572548</v>
      </c>
      <c r="F3292" s="3">
        <v>1.0734926825053601E-2</v>
      </c>
      <c r="G3292" s="3">
        <v>3.3800304924121297E-2</v>
      </c>
      <c r="H3292" s="3" t="str">
        <f>"AC027544.2"</f>
        <v>AC027544.2</v>
      </c>
      <c r="I3292" s="3" t="str">
        <f>"sense_intronic"</f>
        <v>sense_intronic</v>
      </c>
    </row>
    <row r="3293" spans="1:9" x14ac:dyDescent="0.2">
      <c r="A3293" s="3" t="str">
        <f>"ENSG00000256361.1"</f>
        <v>ENSG00000256361.1</v>
      </c>
      <c r="B3293" s="3">
        <v>20.0812939438317</v>
      </c>
      <c r="C3293" s="3">
        <v>2.4562773143179002</v>
      </c>
      <c r="D3293" s="3">
        <v>0.81352038084928402</v>
      </c>
      <c r="E3293" s="3">
        <v>3.01931871916182</v>
      </c>
      <c r="F3293" s="3">
        <v>2.5334385730977601E-3</v>
      </c>
      <c r="G3293" s="3">
        <v>9.8809906672194005E-3</v>
      </c>
      <c r="H3293" s="3" t="str">
        <f>"AC027544.1"</f>
        <v>AC027544.1</v>
      </c>
      <c r="I3293" s="3" t="str">
        <f>"processed_pseudogene"</f>
        <v>processed_pseudogene</v>
      </c>
    </row>
    <row r="3294" spans="1:9" x14ac:dyDescent="0.2">
      <c r="A3294" s="3" t="str">
        <f>"ENSG00000151116.17"</f>
        <v>ENSG00000151116.17</v>
      </c>
      <c r="B3294" s="3">
        <v>670.52870908424097</v>
      </c>
      <c r="C3294" s="3">
        <v>1.19882088406201</v>
      </c>
      <c r="D3294" s="3">
        <v>0.220732940721836</v>
      </c>
      <c r="E3294" s="3">
        <v>5.4310918893285596</v>
      </c>
      <c r="F3294" s="4">
        <v>5.6010282651078797E-8</v>
      </c>
      <c r="G3294" s="4">
        <v>5.9451194834201096E-7</v>
      </c>
      <c r="H3294" s="3" t="str">
        <f>"UEVLD"</f>
        <v>UEVLD</v>
      </c>
      <c r="I3294" s="3" t="str">
        <f t="shared" ref="I3294:I3299" si="154">"protein_coding"</f>
        <v>protein_coding</v>
      </c>
    </row>
    <row r="3295" spans="1:9" x14ac:dyDescent="0.2">
      <c r="A3295" s="3" t="str">
        <f>"ENSG00000151117.9"</f>
        <v>ENSG00000151117.9</v>
      </c>
      <c r="B3295" s="3">
        <v>12.441609063583501</v>
      </c>
      <c r="C3295" s="3">
        <v>2.5684182284812902</v>
      </c>
      <c r="D3295" s="3">
        <v>1.05923049075061</v>
      </c>
      <c r="E3295" s="3">
        <v>2.4247963506613299</v>
      </c>
      <c r="F3295" s="3">
        <v>1.5316976273085601E-2</v>
      </c>
      <c r="G3295" s="3">
        <v>4.5363223099213298E-2</v>
      </c>
      <c r="H3295" s="3" t="str">
        <f>"TMEM86A"</f>
        <v>TMEM86A</v>
      </c>
      <c r="I3295" s="3" t="str">
        <f t="shared" si="154"/>
        <v>protein_coding</v>
      </c>
    </row>
    <row r="3296" spans="1:9" x14ac:dyDescent="0.2">
      <c r="A3296" s="3" t="str">
        <f>"ENSG00000165973.18"</f>
        <v>ENSG00000165973.18</v>
      </c>
      <c r="B3296" s="3">
        <v>4.2939624891008599</v>
      </c>
      <c r="C3296" s="3">
        <v>5.4978614945687996</v>
      </c>
      <c r="D3296" s="3">
        <v>2.1119244238519399</v>
      </c>
      <c r="E3296" s="3">
        <v>2.6032472717661199</v>
      </c>
      <c r="F3296" s="3">
        <v>9.2345323669644607E-3</v>
      </c>
      <c r="G3296" s="3">
        <v>2.9695893237658502E-2</v>
      </c>
      <c r="H3296" s="3" t="str">
        <f>"NELL1"</f>
        <v>NELL1</v>
      </c>
      <c r="I3296" s="3" t="str">
        <f t="shared" si="154"/>
        <v>protein_coding</v>
      </c>
    </row>
    <row r="3297" spans="1:9" x14ac:dyDescent="0.2">
      <c r="A3297" s="3" t="str">
        <f>"ENSG00000171714.11"</f>
        <v>ENSG00000171714.11</v>
      </c>
      <c r="B3297" s="3">
        <v>8.6634503470981308</v>
      </c>
      <c r="C3297" s="3">
        <v>3.9784368078017298</v>
      </c>
      <c r="D3297" s="3">
        <v>1.45831152382916</v>
      </c>
      <c r="E3297" s="3">
        <v>2.7281117530741001</v>
      </c>
      <c r="F3297" s="3">
        <v>6.3698024267949301E-3</v>
      </c>
      <c r="G3297" s="3">
        <v>2.1775395001777501E-2</v>
      </c>
      <c r="H3297" s="3" t="str">
        <f>"ANO5"</f>
        <v>ANO5</v>
      </c>
      <c r="I3297" s="3" t="str">
        <f t="shared" si="154"/>
        <v>protein_coding</v>
      </c>
    </row>
    <row r="3298" spans="1:9" x14ac:dyDescent="0.2">
      <c r="A3298" s="3" t="str">
        <f>"ENSG00000148935.11"</f>
        <v>ENSG00000148935.11</v>
      </c>
      <c r="B3298" s="3">
        <v>644.86224483004696</v>
      </c>
      <c r="C3298" s="3">
        <v>-2.3841100886959499</v>
      </c>
      <c r="D3298" s="3">
        <v>0.224524559297792</v>
      </c>
      <c r="E3298" s="3">
        <v>-10.618482433067999</v>
      </c>
      <c r="F3298" s="4">
        <v>2.44503614600642E-26</v>
      </c>
      <c r="G3298" s="4">
        <v>1.4970764015783599E-24</v>
      </c>
      <c r="H3298" s="3" t="str">
        <f>"GAS2"</f>
        <v>GAS2</v>
      </c>
      <c r="I3298" s="3" t="str">
        <f t="shared" si="154"/>
        <v>protein_coding</v>
      </c>
    </row>
    <row r="3299" spans="1:9" x14ac:dyDescent="0.2">
      <c r="A3299" s="3" t="str">
        <f>"ENSG00000198168.9"</f>
        <v>ENSG00000198168.9</v>
      </c>
      <c r="B3299" s="3">
        <v>446.54432648236099</v>
      </c>
      <c r="C3299" s="3">
        <v>-1.6471188501021901</v>
      </c>
      <c r="D3299" s="3">
        <v>0.231415486909651</v>
      </c>
      <c r="E3299" s="3">
        <v>-7.1175826306959902</v>
      </c>
      <c r="F3299" s="4">
        <v>1.09836373124443E-12</v>
      </c>
      <c r="G3299" s="4">
        <v>2.16236391511683E-11</v>
      </c>
      <c r="H3299" s="3" t="str">
        <f>"SVIP"</f>
        <v>SVIP</v>
      </c>
      <c r="I3299" s="3" t="str">
        <f t="shared" si="154"/>
        <v>protein_coding</v>
      </c>
    </row>
    <row r="3300" spans="1:9" x14ac:dyDescent="0.2">
      <c r="A3300" s="3" t="str">
        <f>"ENSG00000245573.8"</f>
        <v>ENSG00000245573.8</v>
      </c>
      <c r="B3300" s="3">
        <v>57.635729288232397</v>
      </c>
      <c r="C3300" s="3">
        <v>3.0478510068926998</v>
      </c>
      <c r="D3300" s="3">
        <v>0.54344512914224397</v>
      </c>
      <c r="E3300" s="3">
        <v>5.6083877533382802</v>
      </c>
      <c r="F3300" s="4">
        <v>2.0422007971137599E-8</v>
      </c>
      <c r="G3300" s="4">
        <v>2.3291689041004001E-7</v>
      </c>
      <c r="H3300" s="3" t="str">
        <f>"BDNF-AS"</f>
        <v>BDNF-AS</v>
      </c>
      <c r="I3300" s="3" t="str">
        <f>"processed_transcript"</f>
        <v>processed_transcript</v>
      </c>
    </row>
    <row r="3301" spans="1:9" x14ac:dyDescent="0.2">
      <c r="A3301" s="3" t="str">
        <f>"ENSG00000176697.19"</f>
        <v>ENSG00000176697.19</v>
      </c>
      <c r="B3301" s="3">
        <v>5.5078546899607002</v>
      </c>
      <c r="C3301" s="3">
        <v>5.8620619817983002</v>
      </c>
      <c r="D3301" s="3">
        <v>2.00830111421228</v>
      </c>
      <c r="E3301" s="3">
        <v>2.91891586391794</v>
      </c>
      <c r="F3301" s="3">
        <v>3.5125101304176601E-3</v>
      </c>
      <c r="G3301" s="3">
        <v>1.3124707010901E-2</v>
      </c>
      <c r="H3301" s="3" t="str">
        <f>"BDNF"</f>
        <v>BDNF</v>
      </c>
      <c r="I3301" s="3" t="str">
        <f>"protein_coding"</f>
        <v>protein_coding</v>
      </c>
    </row>
    <row r="3302" spans="1:9" x14ac:dyDescent="0.2">
      <c r="A3302" s="3" t="str">
        <f>"ENSG00000184937.14"</f>
        <v>ENSG00000184937.14</v>
      </c>
      <c r="B3302" s="3">
        <v>117.896795892665</v>
      </c>
      <c r="C3302" s="3">
        <v>-1.9728848971255</v>
      </c>
      <c r="D3302" s="3">
        <v>0.36442210007581999</v>
      </c>
      <c r="E3302" s="3">
        <v>-5.41373560142216</v>
      </c>
      <c r="F3302" s="4">
        <v>6.1723287439930396E-8</v>
      </c>
      <c r="G3302" s="4">
        <v>6.5033813336263798E-7</v>
      </c>
      <c r="H3302" s="3" t="str">
        <f>"WT1"</f>
        <v>WT1</v>
      </c>
      <c r="I3302" s="3" t="str">
        <f>"protein_coding"</f>
        <v>protein_coding</v>
      </c>
    </row>
    <row r="3303" spans="1:9" x14ac:dyDescent="0.2">
      <c r="A3303" s="3" t="str">
        <f>"ENSG00000183242.11"</f>
        <v>ENSG00000183242.11</v>
      </c>
      <c r="B3303" s="3">
        <v>15.7319212912425</v>
      </c>
      <c r="C3303" s="3">
        <v>-2.5047770624191399</v>
      </c>
      <c r="D3303" s="3">
        <v>0.91025516405926798</v>
      </c>
      <c r="E3303" s="3">
        <v>-2.7517306809325</v>
      </c>
      <c r="F3303" s="3">
        <v>5.9281251598848903E-3</v>
      </c>
      <c r="G3303" s="3">
        <v>2.0484924062318801E-2</v>
      </c>
      <c r="H3303" s="3" t="str">
        <f>"WT1-AS"</f>
        <v>WT1-AS</v>
      </c>
      <c r="I3303" s="3" t="str">
        <f>"bidirectional_promoter_lncRNA"</f>
        <v>bidirectional_promoter_lncRNA</v>
      </c>
    </row>
    <row r="3304" spans="1:9" x14ac:dyDescent="0.2">
      <c r="A3304" s="3" t="str">
        <f>"ENSG00000186714.12"</f>
        <v>ENSG00000186714.12</v>
      </c>
      <c r="B3304" s="3">
        <v>13.917513773359101</v>
      </c>
      <c r="C3304" s="3">
        <v>4.0808174149808298</v>
      </c>
      <c r="D3304" s="3">
        <v>1.18061307553135</v>
      </c>
      <c r="E3304" s="3">
        <v>3.45652398703462</v>
      </c>
      <c r="F3304" s="3">
        <v>5.4719050479624996E-4</v>
      </c>
      <c r="G3304" s="3">
        <v>2.5956301678592298E-3</v>
      </c>
      <c r="H3304" s="3" t="str">
        <f>"CCDC73"</f>
        <v>CCDC73</v>
      </c>
      <c r="I3304" s="3" t="str">
        <f>"protein_coding"</f>
        <v>protein_coding</v>
      </c>
    </row>
    <row r="3305" spans="1:9" x14ac:dyDescent="0.2">
      <c r="A3305" s="3" t="str">
        <f>"ENSG00000176148.16"</f>
        <v>ENSG00000176148.16</v>
      </c>
      <c r="B3305" s="3">
        <v>994.44267642093803</v>
      </c>
      <c r="C3305" s="3">
        <v>1.32026502597019</v>
      </c>
      <c r="D3305" s="3">
        <v>0.19796119074568</v>
      </c>
      <c r="E3305" s="3">
        <v>6.6693124091495797</v>
      </c>
      <c r="F3305" s="4">
        <v>2.5700465022046799E-11</v>
      </c>
      <c r="G3305" s="4">
        <v>4.3306157727625798E-10</v>
      </c>
      <c r="H3305" s="3" t="str">
        <f>"TCP11L1"</f>
        <v>TCP11L1</v>
      </c>
      <c r="I3305" s="3" t="str">
        <f>"protein_coding"</f>
        <v>protein_coding</v>
      </c>
    </row>
    <row r="3306" spans="1:9" x14ac:dyDescent="0.2">
      <c r="A3306" s="3" t="str">
        <f>"ENSG00000280798.1"</f>
        <v>ENSG00000280798.1</v>
      </c>
      <c r="B3306" s="3">
        <v>501.130373987197</v>
      </c>
      <c r="C3306" s="3">
        <v>1.35847063342649</v>
      </c>
      <c r="D3306" s="3">
        <v>0.225854849012704</v>
      </c>
      <c r="E3306" s="3">
        <v>6.0147950746458196</v>
      </c>
      <c r="F3306" s="4">
        <v>1.80114402454593E-9</v>
      </c>
      <c r="G3306" s="4">
        <v>2.3514983822138401E-8</v>
      </c>
      <c r="H3306" s="3" t="str">
        <f>"LINC00294"</f>
        <v>LINC00294</v>
      </c>
      <c r="I3306" s="3" t="str">
        <f>"lincRNA"</f>
        <v>lincRNA</v>
      </c>
    </row>
    <row r="3307" spans="1:9" x14ac:dyDescent="0.2">
      <c r="A3307" s="3" t="str">
        <f>"ENSG00000176102.13"</f>
        <v>ENSG00000176102.13</v>
      </c>
      <c r="B3307" s="3">
        <v>2509.68171502315</v>
      </c>
      <c r="C3307" s="3">
        <v>1.0551207415838399</v>
      </c>
      <c r="D3307" s="3">
        <v>0.18568954700348</v>
      </c>
      <c r="E3307" s="3">
        <v>5.6821762916146596</v>
      </c>
      <c r="F3307" s="4">
        <v>1.3299146928683299E-8</v>
      </c>
      <c r="G3307" s="4">
        <v>1.555868855156E-7</v>
      </c>
      <c r="H3307" s="3" t="str">
        <f>"CSTF3"</f>
        <v>CSTF3</v>
      </c>
      <c r="I3307" s="3" t="str">
        <f>"protein_coding"</f>
        <v>protein_coding</v>
      </c>
    </row>
    <row r="3308" spans="1:9" x14ac:dyDescent="0.2">
      <c r="A3308" s="3" t="str">
        <f>"ENSG00000135372.9"</f>
        <v>ENSG00000135372.9</v>
      </c>
      <c r="B3308" s="3">
        <v>3300.8498932206398</v>
      </c>
      <c r="C3308" s="3">
        <v>-1.21971541110654</v>
      </c>
      <c r="D3308" s="3">
        <v>0.20374621776556301</v>
      </c>
      <c r="E3308" s="3">
        <v>-5.9864444330936601</v>
      </c>
      <c r="F3308" s="4">
        <v>2.1447781503432199E-9</v>
      </c>
      <c r="G3308" s="4">
        <v>2.7801508212370001E-8</v>
      </c>
      <c r="H3308" s="3" t="str">
        <f>"NAT10"</f>
        <v>NAT10</v>
      </c>
      <c r="I3308" s="3" t="str">
        <f>"protein_coding"</f>
        <v>protein_coding</v>
      </c>
    </row>
    <row r="3309" spans="1:9" x14ac:dyDescent="0.2">
      <c r="A3309" s="3" t="str">
        <f>"ENSG00000254708.1"</f>
        <v>ENSG00000254708.1</v>
      </c>
      <c r="B3309" s="3">
        <v>191.41471823885399</v>
      </c>
      <c r="C3309" s="3">
        <v>2.1808852939560901</v>
      </c>
      <c r="D3309" s="3">
        <v>0.34103732299183298</v>
      </c>
      <c r="E3309" s="3">
        <v>6.3948581194097596</v>
      </c>
      <c r="F3309" s="4">
        <v>1.6069649819931701E-10</v>
      </c>
      <c r="G3309" s="4">
        <v>2.4297988271014301E-9</v>
      </c>
      <c r="H3309" s="3" t="str">
        <f>"AL139174.1"</f>
        <v>AL139174.1</v>
      </c>
      <c r="I3309" s="3" t="str">
        <f>"processed_pseudogene"</f>
        <v>processed_pseudogene</v>
      </c>
    </row>
    <row r="3310" spans="1:9" x14ac:dyDescent="0.2">
      <c r="A3310" s="3" t="str">
        <f>"ENSG00000121691.6"</f>
        <v>ENSG00000121691.6</v>
      </c>
      <c r="B3310" s="3">
        <v>2024.96527102083</v>
      </c>
      <c r="C3310" s="3">
        <v>-1.2182766831846701</v>
      </c>
      <c r="D3310" s="3">
        <v>0.21306942379624799</v>
      </c>
      <c r="E3310" s="3">
        <v>-5.7177452375788604</v>
      </c>
      <c r="F3310" s="4">
        <v>1.0794682025080299E-8</v>
      </c>
      <c r="G3310" s="4">
        <v>1.2754670474300201E-7</v>
      </c>
      <c r="H3310" s="3" t="str">
        <f>"CAT"</f>
        <v>CAT</v>
      </c>
      <c r="I3310" s="3" t="str">
        <f t="shared" ref="I3310:I3321" si="155">"protein_coding"</f>
        <v>protein_coding</v>
      </c>
    </row>
    <row r="3311" spans="1:9" x14ac:dyDescent="0.2">
      <c r="A3311" s="3" t="str">
        <f>"ENSG00000110436.13"</f>
        <v>ENSG00000110436.13</v>
      </c>
      <c r="B3311" s="3">
        <v>3138.3656337265202</v>
      </c>
      <c r="C3311" s="3">
        <v>2.7176025323178301</v>
      </c>
      <c r="D3311" s="3">
        <v>0.184115616648001</v>
      </c>
      <c r="E3311" s="3">
        <v>14.760304322872599</v>
      </c>
      <c r="F3311" s="4">
        <v>2.64086486658305E-49</v>
      </c>
      <c r="G3311" s="4">
        <v>5.1032372354459903E-47</v>
      </c>
      <c r="H3311" s="3" t="str">
        <f>"SLC1A2"</f>
        <v>SLC1A2</v>
      </c>
      <c r="I3311" s="3" t="str">
        <f t="shared" si="155"/>
        <v>protein_coding</v>
      </c>
    </row>
    <row r="3312" spans="1:9" x14ac:dyDescent="0.2">
      <c r="A3312" s="3" t="str">
        <f>"ENSG00000149090.11"</f>
        <v>ENSG00000149090.11</v>
      </c>
      <c r="B3312" s="3">
        <v>6.5317068946306804</v>
      </c>
      <c r="C3312" s="3">
        <v>4.6096011809926702</v>
      </c>
      <c r="D3312" s="3">
        <v>1.89037636373024</v>
      </c>
      <c r="E3312" s="3">
        <v>2.4384568435338601</v>
      </c>
      <c r="F3312" s="3">
        <v>1.47501198182108E-2</v>
      </c>
      <c r="G3312" s="3">
        <v>4.3947131184995998E-2</v>
      </c>
      <c r="H3312" s="3" t="str">
        <f>"PAMR1"</f>
        <v>PAMR1</v>
      </c>
      <c r="I3312" s="3" t="str">
        <f t="shared" si="155"/>
        <v>protein_coding</v>
      </c>
    </row>
    <row r="3313" spans="1:9" x14ac:dyDescent="0.2">
      <c r="A3313" s="3" t="str">
        <f>"ENSG00000179431.6"</f>
        <v>ENSG00000179431.6</v>
      </c>
      <c r="B3313" s="3">
        <v>232.01786490046601</v>
      </c>
      <c r="C3313" s="3">
        <v>3.2410211639312299</v>
      </c>
      <c r="D3313" s="3">
        <v>0.30371672364452301</v>
      </c>
      <c r="E3313" s="3">
        <v>10.671197572000001</v>
      </c>
      <c r="F3313" s="4">
        <v>1.38825461163544E-26</v>
      </c>
      <c r="G3313" s="4">
        <v>8.6163492945855994E-25</v>
      </c>
      <c r="H3313" s="3" t="str">
        <f>"FJX1"</f>
        <v>FJX1</v>
      </c>
      <c r="I3313" s="3" t="str">
        <f t="shared" si="155"/>
        <v>protein_coding</v>
      </c>
    </row>
    <row r="3314" spans="1:9" x14ac:dyDescent="0.2">
      <c r="A3314" s="3" t="str">
        <f>"ENSG00000135362.14"</f>
        <v>ENSG00000135362.14</v>
      </c>
      <c r="B3314" s="3">
        <v>24.405607487046101</v>
      </c>
      <c r="C3314" s="3">
        <v>2.9275264289471998</v>
      </c>
      <c r="D3314" s="3">
        <v>0.78010130859039795</v>
      </c>
      <c r="E3314" s="3">
        <v>3.7527515935553102</v>
      </c>
      <c r="F3314" s="3">
        <v>1.74904149458079E-4</v>
      </c>
      <c r="G3314" s="3">
        <v>9.4480835850204001E-4</v>
      </c>
      <c r="H3314" s="3" t="str">
        <f>"PRR5L"</f>
        <v>PRR5L</v>
      </c>
      <c r="I3314" s="3" t="str">
        <f t="shared" si="155"/>
        <v>protein_coding</v>
      </c>
    </row>
    <row r="3315" spans="1:9" x14ac:dyDescent="0.2">
      <c r="A3315" s="3" t="str">
        <f>"ENSG00000085117.12"</f>
        <v>ENSG00000085117.12</v>
      </c>
      <c r="B3315" s="3">
        <v>70.584482334807007</v>
      </c>
      <c r="C3315" s="3">
        <v>8.0889837380799605</v>
      </c>
      <c r="D3315" s="3">
        <v>1.49376320258505</v>
      </c>
      <c r="E3315" s="3">
        <v>5.4151713766154197</v>
      </c>
      <c r="F3315" s="4">
        <v>6.12300313300393E-8</v>
      </c>
      <c r="G3315" s="4">
        <v>6.4539058555109503E-7</v>
      </c>
      <c r="H3315" s="3" t="str">
        <f>"CD82"</f>
        <v>CD82</v>
      </c>
      <c r="I3315" s="3" t="str">
        <f t="shared" si="155"/>
        <v>protein_coding</v>
      </c>
    </row>
    <row r="3316" spans="1:9" x14ac:dyDescent="0.2">
      <c r="A3316" s="3" t="str">
        <f>"ENSG00000157570.11"</f>
        <v>ENSG00000157570.11</v>
      </c>
      <c r="B3316" s="3">
        <v>119.09253949395099</v>
      </c>
      <c r="C3316" s="3">
        <v>10.2916423855402</v>
      </c>
      <c r="D3316" s="3">
        <v>1.48221282255604</v>
      </c>
      <c r="E3316" s="3">
        <v>6.9434309492697999</v>
      </c>
      <c r="F3316" s="4">
        <v>3.8268970709937398E-12</v>
      </c>
      <c r="G3316" s="4">
        <v>7.0406120522192001E-11</v>
      </c>
      <c r="H3316" s="3" t="str">
        <f>"TSPAN18"</f>
        <v>TSPAN18</v>
      </c>
      <c r="I3316" s="3" t="str">
        <f t="shared" si="155"/>
        <v>protein_coding</v>
      </c>
    </row>
    <row r="3317" spans="1:9" x14ac:dyDescent="0.2">
      <c r="A3317" s="3" t="str">
        <f>"ENSG00000175274.18"</f>
        <v>ENSG00000175274.18</v>
      </c>
      <c r="B3317" s="3">
        <v>285.65387995761398</v>
      </c>
      <c r="C3317" s="3">
        <v>8.5231194543229005</v>
      </c>
      <c r="D3317" s="3">
        <v>0.87214074558896904</v>
      </c>
      <c r="E3317" s="3">
        <v>9.77264219958799</v>
      </c>
      <c r="F3317" s="4">
        <v>1.4755285076919699E-22</v>
      </c>
      <c r="G3317" s="4">
        <v>6.8841995289525696E-21</v>
      </c>
      <c r="H3317" s="3" t="str">
        <f>"TP53I11"</f>
        <v>TP53I11</v>
      </c>
      <c r="I3317" s="3" t="str">
        <f t="shared" si="155"/>
        <v>protein_coding</v>
      </c>
    </row>
    <row r="3318" spans="1:9" x14ac:dyDescent="0.2">
      <c r="A3318" s="3" t="str">
        <f>"ENSG00000181830.8"</f>
        <v>ENSG00000181830.8</v>
      </c>
      <c r="B3318" s="3">
        <v>786.17142933196703</v>
      </c>
      <c r="C3318" s="3">
        <v>-1.9861247311625201</v>
      </c>
      <c r="D3318" s="3">
        <v>0.226405212640888</v>
      </c>
      <c r="E3318" s="3">
        <v>-8.7724337615530494</v>
      </c>
      <c r="F3318" s="4">
        <v>1.74845373776017E-18</v>
      </c>
      <c r="G3318" s="4">
        <v>5.9180272040684895E-17</v>
      </c>
      <c r="H3318" s="3" t="str">
        <f>"SLC35C1"</f>
        <v>SLC35C1</v>
      </c>
      <c r="I3318" s="3" t="str">
        <f t="shared" si="155"/>
        <v>protein_coding</v>
      </c>
    </row>
    <row r="3319" spans="1:9" x14ac:dyDescent="0.2">
      <c r="A3319" s="3" t="str">
        <f>"ENSG00000165905.18"</f>
        <v>ENSG00000165905.18</v>
      </c>
      <c r="B3319" s="3">
        <v>431.02508857785301</v>
      </c>
      <c r="C3319" s="3">
        <v>-1.4840711208055299</v>
      </c>
      <c r="D3319" s="3">
        <v>0.28479981899942602</v>
      </c>
      <c r="E3319" s="3">
        <v>-5.2109271909632904</v>
      </c>
      <c r="F3319" s="4">
        <v>1.87899188031587E-7</v>
      </c>
      <c r="G3319" s="4">
        <v>1.82650345212153E-6</v>
      </c>
      <c r="H3319" s="3" t="str">
        <f>"LARGE2"</f>
        <v>LARGE2</v>
      </c>
      <c r="I3319" s="3" t="str">
        <f t="shared" si="155"/>
        <v>protein_coding</v>
      </c>
    </row>
    <row r="3320" spans="1:9" x14ac:dyDescent="0.2">
      <c r="A3320" s="3" t="str">
        <f>"ENSG00000149091.15"</f>
        <v>ENSG00000149091.15</v>
      </c>
      <c r="B3320" s="3">
        <v>3511.3886967264002</v>
      </c>
      <c r="C3320" s="3">
        <v>1.2531748916532699</v>
      </c>
      <c r="D3320" s="3">
        <v>0.20001120735802499</v>
      </c>
      <c r="E3320" s="3">
        <v>6.2655233584488697</v>
      </c>
      <c r="F3320" s="4">
        <v>3.7157529437030101E-10</v>
      </c>
      <c r="G3320" s="4">
        <v>5.3229821481112398E-9</v>
      </c>
      <c r="H3320" s="3" t="str">
        <f>"DGKZ"</f>
        <v>DGKZ</v>
      </c>
      <c r="I3320" s="3" t="str">
        <f t="shared" si="155"/>
        <v>protein_coding</v>
      </c>
    </row>
    <row r="3321" spans="1:9" x14ac:dyDescent="0.2">
      <c r="A3321" s="3" t="str">
        <f>"ENSG00000180720.7"</f>
        <v>ENSG00000180720.7</v>
      </c>
      <c r="B3321" s="3">
        <v>10.335704639502</v>
      </c>
      <c r="C3321" s="3">
        <v>3.15605885328665</v>
      </c>
      <c r="D3321" s="3">
        <v>1.2595191368676499</v>
      </c>
      <c r="E3321" s="3">
        <v>2.50576490734041</v>
      </c>
      <c r="F3321" s="3">
        <v>1.22186830770137E-2</v>
      </c>
      <c r="G3321" s="3">
        <v>3.7588625697120098E-2</v>
      </c>
      <c r="H3321" s="3" t="str">
        <f>"CHRM4"</f>
        <v>CHRM4</v>
      </c>
      <c r="I3321" s="3" t="str">
        <f t="shared" si="155"/>
        <v>protein_coding</v>
      </c>
    </row>
    <row r="3322" spans="1:9" x14ac:dyDescent="0.2">
      <c r="A3322" s="3" t="str">
        <f>"ENSG00000247675.6"</f>
        <v>ENSG00000247675.6</v>
      </c>
      <c r="B3322" s="3">
        <v>24.172396427979098</v>
      </c>
      <c r="C3322" s="3">
        <v>2.9095858871639901</v>
      </c>
      <c r="D3322" s="3">
        <v>0.77837554913173002</v>
      </c>
      <c r="E3322" s="3">
        <v>3.7380232336557802</v>
      </c>
      <c r="F3322" s="3">
        <v>1.8547281049979201E-4</v>
      </c>
      <c r="G3322" s="3">
        <v>9.9695751976481097E-4</v>
      </c>
      <c r="H3322" s="3" t="str">
        <f>"LRP4-AS1"</f>
        <v>LRP4-AS1</v>
      </c>
      <c r="I3322" s="3" t="str">
        <f>"antisense"</f>
        <v>antisense</v>
      </c>
    </row>
    <row r="3323" spans="1:9" x14ac:dyDescent="0.2">
      <c r="A3323" s="3" t="str">
        <f>"ENSG00000134569.10"</f>
        <v>ENSG00000134569.10</v>
      </c>
      <c r="B3323" s="3">
        <v>1297.92648187654</v>
      </c>
      <c r="C3323" s="3">
        <v>-1.62421985120965</v>
      </c>
      <c r="D3323" s="3">
        <v>0.19327653990888399</v>
      </c>
      <c r="E3323" s="3">
        <v>-8.4036057970374891</v>
      </c>
      <c r="F3323" s="4">
        <v>4.32974386083335E-17</v>
      </c>
      <c r="G3323" s="4">
        <v>1.2978276234997401E-15</v>
      </c>
      <c r="H3323" s="3" t="str">
        <f>"LRP4"</f>
        <v>LRP4</v>
      </c>
      <c r="I3323" s="3" t="str">
        <f t="shared" ref="I3323:I3330" si="156">"protein_coding"</f>
        <v>protein_coding</v>
      </c>
    </row>
    <row r="3324" spans="1:9" x14ac:dyDescent="0.2">
      <c r="A3324" s="3" t="str">
        <f>"ENSG00000134574.11"</f>
        <v>ENSG00000134574.11</v>
      </c>
      <c r="B3324" s="3">
        <v>5129.3260780239598</v>
      </c>
      <c r="C3324" s="3">
        <v>1.6872082650102</v>
      </c>
      <c r="D3324" s="3">
        <v>0.193072987791854</v>
      </c>
      <c r="E3324" s="3">
        <v>8.7387069745309205</v>
      </c>
      <c r="F3324" s="4">
        <v>2.3579358859294899E-18</v>
      </c>
      <c r="G3324" s="4">
        <v>7.8733675347942205E-17</v>
      </c>
      <c r="H3324" s="3" t="str">
        <f>"DDB2"</f>
        <v>DDB2</v>
      </c>
      <c r="I3324" s="3" t="str">
        <f t="shared" si="156"/>
        <v>protein_coding</v>
      </c>
    </row>
    <row r="3325" spans="1:9" x14ac:dyDescent="0.2">
      <c r="A3325" s="3" t="str">
        <f>"ENSG00000134571.10"</f>
        <v>ENSG00000134571.10</v>
      </c>
      <c r="B3325" s="3">
        <v>7.92967087984462</v>
      </c>
      <c r="C3325" s="3">
        <v>3.8425499193354402</v>
      </c>
      <c r="D3325" s="3">
        <v>1.48861607842969</v>
      </c>
      <c r="E3325" s="3">
        <v>2.5812900821203399</v>
      </c>
      <c r="F3325" s="3">
        <v>9.8431833520355103E-3</v>
      </c>
      <c r="G3325" s="3">
        <v>3.1379105743876402E-2</v>
      </c>
      <c r="H3325" s="3" t="str">
        <f>"MYBPC3"</f>
        <v>MYBPC3</v>
      </c>
      <c r="I3325" s="3" t="str">
        <f t="shared" si="156"/>
        <v>protein_coding</v>
      </c>
    </row>
    <row r="3326" spans="1:9" x14ac:dyDescent="0.2">
      <c r="A3326" s="3" t="str">
        <f>"ENSG00000165923.16"</f>
        <v>ENSG00000165923.16</v>
      </c>
      <c r="B3326" s="3">
        <v>81.675800055628201</v>
      </c>
      <c r="C3326" s="3">
        <v>1.07803294546717</v>
      </c>
      <c r="D3326" s="3">
        <v>0.42508258195764898</v>
      </c>
      <c r="E3326" s="3">
        <v>2.5360553248323199</v>
      </c>
      <c r="F3326" s="3">
        <v>1.12109021124923E-2</v>
      </c>
      <c r="G3326" s="3">
        <v>3.50422679659377E-2</v>
      </c>
      <c r="H3326" s="3" t="str">
        <f>"AGBL2"</f>
        <v>AGBL2</v>
      </c>
      <c r="I3326" s="3" t="str">
        <f t="shared" si="156"/>
        <v>protein_coding</v>
      </c>
    </row>
    <row r="3327" spans="1:9" x14ac:dyDescent="0.2">
      <c r="A3327" s="3" t="str">
        <f>"ENSG00000149177.13"</f>
        <v>ENSG00000149177.13</v>
      </c>
      <c r="B3327" s="3">
        <v>62.3827572528917</v>
      </c>
      <c r="C3327" s="3">
        <v>2.7071635907499698</v>
      </c>
      <c r="D3327" s="3">
        <v>0.50230293240908797</v>
      </c>
      <c r="E3327" s="3">
        <v>5.38950385530537</v>
      </c>
      <c r="F3327" s="4">
        <v>7.0652464394189803E-8</v>
      </c>
      <c r="G3327" s="4">
        <v>7.3672701773765403E-7</v>
      </c>
      <c r="H3327" s="3" t="str">
        <f>"PTPRJ"</f>
        <v>PTPRJ</v>
      </c>
      <c r="I3327" s="3" t="str">
        <f t="shared" si="156"/>
        <v>protein_coding</v>
      </c>
    </row>
    <row r="3328" spans="1:9" x14ac:dyDescent="0.2">
      <c r="A3328" s="3" t="str">
        <f>"ENSG00000149115.14"</f>
        <v>ENSG00000149115.14</v>
      </c>
      <c r="B3328" s="3">
        <v>1060.80961925681</v>
      </c>
      <c r="C3328" s="3">
        <v>-2.1724200895831798</v>
      </c>
      <c r="D3328" s="3">
        <v>0.210180788445089</v>
      </c>
      <c r="E3328" s="3">
        <v>-10.3359593693348</v>
      </c>
      <c r="F3328" s="4">
        <v>4.84539119196113E-25</v>
      </c>
      <c r="G3328" s="4">
        <v>2.7109317003565701E-23</v>
      </c>
      <c r="H3328" s="3" t="str">
        <f>"TNKS1BP1"</f>
        <v>TNKS1BP1</v>
      </c>
      <c r="I3328" s="3" t="str">
        <f t="shared" si="156"/>
        <v>protein_coding</v>
      </c>
    </row>
    <row r="3329" spans="1:9" x14ac:dyDescent="0.2">
      <c r="A3329" s="3" t="str">
        <f>"ENSG00000149136.9"</f>
        <v>ENSG00000149136.9</v>
      </c>
      <c r="B3329" s="3">
        <v>5444.2282122251099</v>
      </c>
      <c r="C3329" s="3">
        <v>-1.2546512071220599</v>
      </c>
      <c r="D3329" s="3">
        <v>0.18924413768704201</v>
      </c>
      <c r="E3329" s="3">
        <v>-6.6298022356545401</v>
      </c>
      <c r="F3329" s="4">
        <v>3.3613691246098697E-11</v>
      </c>
      <c r="G3329" s="4">
        <v>5.5914056494655103E-10</v>
      </c>
      <c r="H3329" s="3" t="str">
        <f>"SSRP1"</f>
        <v>SSRP1</v>
      </c>
      <c r="I3329" s="3" t="str">
        <f t="shared" si="156"/>
        <v>protein_coding</v>
      </c>
    </row>
    <row r="3330" spans="1:9" x14ac:dyDescent="0.2">
      <c r="A3330" s="3" t="str">
        <f>"ENSG00000186907.8"</f>
        <v>ENSG00000186907.8</v>
      </c>
      <c r="B3330" s="3">
        <v>155.95415532848</v>
      </c>
      <c r="C3330" s="3">
        <v>-1.9909871309371501</v>
      </c>
      <c r="D3330" s="3">
        <v>0.351819513851928</v>
      </c>
      <c r="E3330" s="3">
        <v>-5.6591151216674804</v>
      </c>
      <c r="F3330" s="4">
        <v>1.5215546816487701E-8</v>
      </c>
      <c r="G3330" s="4">
        <v>1.7641617196120901E-7</v>
      </c>
      <c r="H3330" s="3" t="str">
        <f>"RTN4RL2"</f>
        <v>RTN4RL2</v>
      </c>
      <c r="I3330" s="3" t="str">
        <f t="shared" si="156"/>
        <v>protein_coding</v>
      </c>
    </row>
    <row r="3331" spans="1:9" x14ac:dyDescent="0.2">
      <c r="A3331" s="3" t="str">
        <f>"ENSG00000255301.1"</f>
        <v>ENSG00000255301.1</v>
      </c>
      <c r="B3331" s="3">
        <v>22.299459763598101</v>
      </c>
      <c r="C3331" s="3">
        <v>-1.9792253892534299</v>
      </c>
      <c r="D3331" s="3">
        <v>0.73992802394240398</v>
      </c>
      <c r="E3331" s="3">
        <v>-2.6748890773293601</v>
      </c>
      <c r="F3331" s="3">
        <v>7.4753978846449302E-3</v>
      </c>
      <c r="G3331" s="3">
        <v>2.4884809549532101E-2</v>
      </c>
      <c r="H3331" s="3" t="str">
        <f>"AP002893.1"</f>
        <v>AP002893.1</v>
      </c>
      <c r="I3331" s="3" t="str">
        <f>"antisense"</f>
        <v>antisense</v>
      </c>
    </row>
    <row r="3332" spans="1:9" x14ac:dyDescent="0.2">
      <c r="A3332" s="3" t="str">
        <f>"ENSG00000149150.9"</f>
        <v>ENSG00000149150.9</v>
      </c>
      <c r="B3332" s="3">
        <v>1985.4437880809301</v>
      </c>
      <c r="C3332" s="3">
        <v>-2.0375195416045102</v>
      </c>
      <c r="D3332" s="3">
        <v>0.22212426232076601</v>
      </c>
      <c r="E3332" s="3">
        <v>-9.1728815227854703</v>
      </c>
      <c r="F3332" s="4">
        <v>4.6054050149621801E-20</v>
      </c>
      <c r="G3332" s="4">
        <v>1.78751382396972E-18</v>
      </c>
      <c r="H3332" s="3" t="str">
        <f>"SLC43A1"</f>
        <v>SLC43A1</v>
      </c>
      <c r="I3332" s="3" t="str">
        <f>"protein_coding"</f>
        <v>protein_coding</v>
      </c>
    </row>
    <row r="3333" spans="1:9" x14ac:dyDescent="0.2">
      <c r="A3333" s="3" t="str">
        <f>"ENSG00000172409.6"</f>
        <v>ENSG00000172409.6</v>
      </c>
      <c r="B3333" s="3">
        <v>823.20279677065298</v>
      </c>
      <c r="C3333" s="3">
        <v>1.09987821523413</v>
      </c>
      <c r="D3333" s="3">
        <v>0.220865841308542</v>
      </c>
      <c r="E3333" s="3">
        <v>4.9798475342216504</v>
      </c>
      <c r="F3333" s="4">
        <v>6.3634384908248299E-7</v>
      </c>
      <c r="G3333" s="4">
        <v>5.6330282183074803E-6</v>
      </c>
      <c r="H3333" s="3" t="str">
        <f>"CLP1"</f>
        <v>CLP1</v>
      </c>
      <c r="I3333" s="3" t="str">
        <f>"protein_coding"</f>
        <v>protein_coding</v>
      </c>
    </row>
    <row r="3334" spans="1:9" x14ac:dyDescent="0.2">
      <c r="A3334" s="3" t="str">
        <f>"ENSG00000233436.7"</f>
        <v>ENSG00000233436.7</v>
      </c>
      <c r="B3334" s="3">
        <v>4.9915038515476402</v>
      </c>
      <c r="C3334" s="3">
        <v>5.7155107172183204</v>
      </c>
      <c r="D3334" s="3">
        <v>2.03125899621197</v>
      </c>
      <c r="E3334" s="3">
        <v>2.81377742960253</v>
      </c>
      <c r="F3334" s="3">
        <v>4.8963116077231396E-3</v>
      </c>
      <c r="G3334" s="3">
        <v>1.7423247012620099E-2</v>
      </c>
      <c r="H3334" s="3" t="str">
        <f>"BTBD18"</f>
        <v>BTBD18</v>
      </c>
      <c r="I3334" s="3" t="str">
        <f>"protein_coding"</f>
        <v>protein_coding</v>
      </c>
    </row>
    <row r="3335" spans="1:9" x14ac:dyDescent="0.2">
      <c r="A3335" s="3" t="str">
        <f>"ENSG00000110031.12"</f>
        <v>ENSG00000110031.12</v>
      </c>
      <c r="B3335" s="3">
        <v>160.85422827771001</v>
      </c>
      <c r="C3335" s="3">
        <v>2.0239857107248902</v>
      </c>
      <c r="D3335" s="3">
        <v>0.31923827915451902</v>
      </c>
      <c r="E3335" s="3">
        <v>6.3400470522685399</v>
      </c>
      <c r="F3335" s="4">
        <v>2.2969500188658699E-10</v>
      </c>
      <c r="G3335" s="4">
        <v>3.3738542945573298E-9</v>
      </c>
      <c r="H3335" s="3" t="str">
        <f>"LPXN"</f>
        <v>LPXN</v>
      </c>
      <c r="I3335" s="3" t="str">
        <f>"protein_coding"</f>
        <v>protein_coding</v>
      </c>
    </row>
    <row r="3336" spans="1:9" x14ac:dyDescent="0.2">
      <c r="A3336" s="3" t="str">
        <f>"ENSG00000189057.11"</f>
        <v>ENSG00000189057.11</v>
      </c>
      <c r="B3336" s="3">
        <v>392.18456140826697</v>
      </c>
      <c r="C3336" s="3">
        <v>-2.2067689967930399</v>
      </c>
      <c r="D3336" s="3">
        <v>0.26096815862719303</v>
      </c>
      <c r="E3336" s="3">
        <v>-8.4560852496397008</v>
      </c>
      <c r="F3336" s="4">
        <v>2.7650349442665501E-17</v>
      </c>
      <c r="G3336" s="4">
        <v>8.4745677307571203E-16</v>
      </c>
      <c r="H3336" s="3" t="str">
        <f>"FAM111B"</f>
        <v>FAM111B</v>
      </c>
      <c r="I3336" s="3" t="str">
        <f>"protein_coding"</f>
        <v>protein_coding</v>
      </c>
    </row>
    <row r="3337" spans="1:9" x14ac:dyDescent="0.2">
      <c r="A3337" s="3" t="str">
        <f>"ENSG00000245571.6"</f>
        <v>ENSG00000245571.6</v>
      </c>
      <c r="B3337" s="3">
        <v>57.902898058479103</v>
      </c>
      <c r="C3337" s="3">
        <v>1.9961197753364599</v>
      </c>
      <c r="D3337" s="3">
        <v>0.487129589873809</v>
      </c>
      <c r="E3337" s="3">
        <v>4.0977181777308003</v>
      </c>
      <c r="F3337" s="4">
        <v>4.1724283414882501E-5</v>
      </c>
      <c r="G3337" s="3">
        <v>2.59320609079677E-4</v>
      </c>
      <c r="H3337" s="3" t="str">
        <f>"FAM111A-DT"</f>
        <v>FAM111A-DT</v>
      </c>
      <c r="I3337" s="3" t="str">
        <f>"lincRNA"</f>
        <v>lincRNA</v>
      </c>
    </row>
    <row r="3338" spans="1:9" x14ac:dyDescent="0.2">
      <c r="A3338" s="3" t="str">
        <f>"ENSG00000110042.8"</f>
        <v>ENSG00000110042.8</v>
      </c>
      <c r="B3338" s="3">
        <v>1221.40932902236</v>
      </c>
      <c r="C3338" s="3">
        <v>1.2334246547097201</v>
      </c>
      <c r="D3338" s="3">
        <v>0.23842067270634701</v>
      </c>
      <c r="E3338" s="3">
        <v>5.1733125349783702</v>
      </c>
      <c r="F3338" s="4">
        <v>2.29979852145509E-7</v>
      </c>
      <c r="G3338" s="4">
        <v>2.1963761063472401E-6</v>
      </c>
      <c r="H3338" s="3" t="str">
        <f>"DTX4"</f>
        <v>DTX4</v>
      </c>
      <c r="I3338" s="3" t="str">
        <f t="shared" ref="I3338:I3345" si="157">"protein_coding"</f>
        <v>protein_coding</v>
      </c>
    </row>
    <row r="3339" spans="1:9" x14ac:dyDescent="0.2">
      <c r="A3339" s="3" t="str">
        <f>"ENSG00000166902.5"</f>
        <v>ENSG00000166902.5</v>
      </c>
      <c r="B3339" s="3">
        <v>847.704091390347</v>
      </c>
      <c r="C3339" s="3">
        <v>-1.1907091807210901</v>
      </c>
      <c r="D3339" s="3">
        <v>0.21577349853653899</v>
      </c>
      <c r="E3339" s="3">
        <v>-5.5183291219586801</v>
      </c>
      <c r="F3339" s="4">
        <v>3.4223802672238698E-8</v>
      </c>
      <c r="G3339" s="4">
        <v>3.7676604097393398E-7</v>
      </c>
      <c r="H3339" s="3" t="str">
        <f>"MRPL16"</f>
        <v>MRPL16</v>
      </c>
      <c r="I3339" s="3" t="str">
        <f t="shared" si="157"/>
        <v>protein_coding</v>
      </c>
    </row>
    <row r="3340" spans="1:9" x14ac:dyDescent="0.2">
      <c r="A3340" s="3" t="str">
        <f>"ENSG00000214787.10"</f>
        <v>ENSG00000214787.10</v>
      </c>
      <c r="B3340" s="3">
        <v>7.3770385677147798</v>
      </c>
      <c r="C3340" s="3">
        <v>6.2789249680386803</v>
      </c>
      <c r="D3340" s="3">
        <v>1.86209762343444</v>
      </c>
      <c r="E3340" s="3">
        <v>3.3719633648733698</v>
      </c>
      <c r="F3340" s="3">
        <v>7.4634375373145204E-4</v>
      </c>
      <c r="G3340" s="3">
        <v>3.4209261222604799E-3</v>
      </c>
      <c r="H3340" s="3" t="str">
        <f>"MS4A4E"</f>
        <v>MS4A4E</v>
      </c>
      <c r="I3340" s="3" t="str">
        <f t="shared" si="157"/>
        <v>protein_coding</v>
      </c>
    </row>
    <row r="3341" spans="1:9" x14ac:dyDescent="0.2">
      <c r="A3341" s="3" t="str">
        <f>"ENSG00000149506.11"</f>
        <v>ENSG00000149506.11</v>
      </c>
      <c r="B3341" s="3">
        <v>12.220752108625099</v>
      </c>
      <c r="C3341" s="3">
        <v>5.5379659354855297</v>
      </c>
      <c r="D3341" s="3">
        <v>1.6988316458163799</v>
      </c>
      <c r="E3341" s="3">
        <v>3.25986742072033</v>
      </c>
      <c r="F3341" s="3">
        <v>1.11464303948394E-3</v>
      </c>
      <c r="G3341" s="3">
        <v>4.8487441930870701E-3</v>
      </c>
      <c r="H3341" s="3" t="str">
        <f>"ZP1"</f>
        <v>ZP1</v>
      </c>
      <c r="I3341" s="3" t="str">
        <f t="shared" si="157"/>
        <v>protein_coding</v>
      </c>
    </row>
    <row r="3342" spans="1:9" x14ac:dyDescent="0.2">
      <c r="A3342" s="3" t="str">
        <f>"ENSG00000110108.10"</f>
        <v>ENSG00000110108.10</v>
      </c>
      <c r="B3342" s="3">
        <v>705.21559201376999</v>
      </c>
      <c r="C3342" s="3">
        <v>-1.33790040916218</v>
      </c>
      <c r="D3342" s="3">
        <v>0.24398126485888</v>
      </c>
      <c r="E3342" s="3">
        <v>-5.4836194489606598</v>
      </c>
      <c r="F3342" s="4">
        <v>4.1671067958610097E-8</v>
      </c>
      <c r="G3342" s="4">
        <v>4.5217506518050501E-7</v>
      </c>
      <c r="H3342" s="3" t="str">
        <f>"TMEM109"</f>
        <v>TMEM109</v>
      </c>
      <c r="I3342" s="3" t="str">
        <f t="shared" si="157"/>
        <v>protein_coding</v>
      </c>
    </row>
    <row r="3343" spans="1:9" x14ac:dyDescent="0.2">
      <c r="A3343" s="3" t="str">
        <f>"ENSG00000013725.14"</f>
        <v>ENSG00000013725.14</v>
      </c>
      <c r="B3343" s="3">
        <v>4.1822423843077399</v>
      </c>
      <c r="C3343" s="3">
        <v>5.4559790170220399</v>
      </c>
      <c r="D3343" s="3">
        <v>2.1535693190750198</v>
      </c>
      <c r="E3343" s="3">
        <v>2.5334587415860099</v>
      </c>
      <c r="F3343" s="3">
        <v>1.12943035283908E-2</v>
      </c>
      <c r="G3343" s="3">
        <v>3.5206027712854998E-2</v>
      </c>
      <c r="H3343" s="3" t="str">
        <f>"CD6"</f>
        <v>CD6</v>
      </c>
      <c r="I3343" s="3" t="str">
        <f t="shared" si="157"/>
        <v>protein_coding</v>
      </c>
    </row>
    <row r="3344" spans="1:9" x14ac:dyDescent="0.2">
      <c r="A3344" s="3" t="str">
        <f>"ENSG00000110448.11"</f>
        <v>ENSG00000110448.11</v>
      </c>
      <c r="B3344" s="3">
        <v>7.0507710944016102</v>
      </c>
      <c r="C3344" s="3">
        <v>4.7102615103948198</v>
      </c>
      <c r="D3344" s="3">
        <v>1.8631750577920101</v>
      </c>
      <c r="E3344" s="3">
        <v>2.5280831721613901</v>
      </c>
      <c r="F3344" s="3">
        <v>1.14687179365504E-2</v>
      </c>
      <c r="G3344" s="3">
        <v>3.5643681717484797E-2</v>
      </c>
      <c r="H3344" s="3" t="str">
        <f>"CD5"</f>
        <v>CD5</v>
      </c>
      <c r="I3344" s="3" t="str">
        <f t="shared" si="157"/>
        <v>protein_coding</v>
      </c>
    </row>
    <row r="3345" spans="1:9" x14ac:dyDescent="0.2">
      <c r="A3345" s="3" t="str">
        <f>"ENSG00000149476.15"</f>
        <v>ENSG00000149476.15</v>
      </c>
      <c r="B3345" s="3">
        <v>1923.00142484562</v>
      </c>
      <c r="C3345" s="3">
        <v>-2.20016605466405</v>
      </c>
      <c r="D3345" s="3">
        <v>0.221664419210862</v>
      </c>
      <c r="E3345" s="3">
        <v>-9.9256617841364303</v>
      </c>
      <c r="F3345" s="4">
        <v>3.2195981051753598E-23</v>
      </c>
      <c r="G3345" s="4">
        <v>1.5749441574813801E-21</v>
      </c>
      <c r="H3345" s="3" t="str">
        <f>"TKFC"</f>
        <v>TKFC</v>
      </c>
      <c r="I3345" s="3" t="str">
        <f t="shared" si="157"/>
        <v>protein_coding</v>
      </c>
    </row>
    <row r="3346" spans="1:9" x14ac:dyDescent="0.2">
      <c r="A3346" s="3" t="str">
        <f>"ENSG00000279246.1"</f>
        <v>ENSG00000279246.1</v>
      </c>
      <c r="B3346" s="3">
        <v>19.365418913857201</v>
      </c>
      <c r="C3346" s="3">
        <v>-2.2655692062324002</v>
      </c>
      <c r="D3346" s="3">
        <v>0.805381602635728</v>
      </c>
      <c r="E3346" s="3">
        <v>-2.8130381906142299</v>
      </c>
      <c r="F3346" s="3">
        <v>4.9075822161686903E-3</v>
      </c>
      <c r="G3346" s="3">
        <v>1.7454234779264902E-2</v>
      </c>
      <c r="H3346" s="3" t="str">
        <f>"AP003108.3"</f>
        <v>AP003108.3</v>
      </c>
      <c r="I3346" s="3" t="str">
        <f>"TEC"</f>
        <v>TEC</v>
      </c>
    </row>
    <row r="3347" spans="1:9" x14ac:dyDescent="0.2">
      <c r="A3347" s="3" t="str">
        <f>"ENSG00000187049.9"</f>
        <v>ENSG00000187049.9</v>
      </c>
      <c r="B3347" s="3">
        <v>361.67897208468401</v>
      </c>
      <c r="C3347" s="3">
        <v>-1.32598430817916</v>
      </c>
      <c r="D3347" s="3">
        <v>0.25968809927473702</v>
      </c>
      <c r="E3347" s="3">
        <v>-5.1060649751852303</v>
      </c>
      <c r="F3347" s="4">
        <v>3.2893662627134999E-7</v>
      </c>
      <c r="G3347" s="4">
        <v>3.0588860942032301E-6</v>
      </c>
      <c r="H3347" s="3" t="str">
        <f>"TMEM216"</f>
        <v>TMEM216</v>
      </c>
      <c r="I3347" s="3" t="str">
        <f>"protein_coding"</f>
        <v>protein_coding</v>
      </c>
    </row>
    <row r="3348" spans="1:9" x14ac:dyDescent="0.2">
      <c r="A3348" s="3" t="str">
        <f>"ENSG00000011347.9"</f>
        <v>ENSG00000011347.9</v>
      </c>
      <c r="B3348" s="3">
        <v>232.893189112404</v>
      </c>
      <c r="C3348" s="3">
        <v>1.1969414338109901</v>
      </c>
      <c r="D3348" s="3">
        <v>0.27261433137568097</v>
      </c>
      <c r="E3348" s="3">
        <v>4.3906034865112398</v>
      </c>
      <c r="F3348" s="4">
        <v>1.13036502131702E-5</v>
      </c>
      <c r="G3348" s="4">
        <v>7.9338113693521101E-5</v>
      </c>
      <c r="H3348" s="3" t="str">
        <f>"SYT7"</f>
        <v>SYT7</v>
      </c>
      <c r="I3348" s="3" t="str">
        <f>"protein_coding"</f>
        <v>protein_coding</v>
      </c>
    </row>
    <row r="3349" spans="1:9" x14ac:dyDescent="0.2">
      <c r="A3349" s="3" t="str">
        <f>"ENSG00000243742.5"</f>
        <v>ENSG00000243742.5</v>
      </c>
      <c r="B3349" s="3">
        <v>38.849280740531498</v>
      </c>
      <c r="C3349" s="3">
        <v>3.9831964832587801</v>
      </c>
      <c r="D3349" s="3">
        <v>0.74005088422741405</v>
      </c>
      <c r="E3349" s="3">
        <v>5.3823278481953203</v>
      </c>
      <c r="F3349" s="4">
        <v>7.3528686412779996E-8</v>
      </c>
      <c r="G3349" s="4">
        <v>7.6525443800191599E-7</v>
      </c>
      <c r="H3349" s="3" t="str">
        <f>"RPLP0P2"</f>
        <v>RPLP0P2</v>
      </c>
      <c r="I3349" s="3" t="str">
        <f>"transcribed_processed_pseudogene"</f>
        <v>transcribed_processed_pseudogene</v>
      </c>
    </row>
    <row r="3350" spans="1:9" x14ac:dyDescent="0.2">
      <c r="A3350" s="3" t="str">
        <f>"ENSG00000124920.13"</f>
        <v>ENSG00000124920.13</v>
      </c>
      <c r="B3350" s="3">
        <v>3938.7799466819702</v>
      </c>
      <c r="C3350" s="3">
        <v>-1.55880832567093</v>
      </c>
      <c r="D3350" s="3">
        <v>0.20298850771955701</v>
      </c>
      <c r="E3350" s="3">
        <v>-7.6792934889916804</v>
      </c>
      <c r="F3350" s="4">
        <v>1.5996836583547599E-14</v>
      </c>
      <c r="G3350" s="4">
        <v>3.7802758576923001E-13</v>
      </c>
      <c r="H3350" s="3" t="str">
        <f>"MYRF"</f>
        <v>MYRF</v>
      </c>
      <c r="I3350" s="3" t="str">
        <f>"protein_coding"</f>
        <v>protein_coding</v>
      </c>
    </row>
    <row r="3351" spans="1:9" x14ac:dyDescent="0.2">
      <c r="A3351" s="3" t="str">
        <f>"ENSG00000134824.14"</f>
        <v>ENSG00000134824.14</v>
      </c>
      <c r="B3351" s="3">
        <v>1383.2925577439501</v>
      </c>
      <c r="C3351" s="3">
        <v>-1.7464299194302899</v>
      </c>
      <c r="D3351" s="3">
        <v>0.24784194593723399</v>
      </c>
      <c r="E3351" s="3">
        <v>-7.0465469952070796</v>
      </c>
      <c r="F3351" s="4">
        <v>1.8341219941870898E-12</v>
      </c>
      <c r="G3351" s="4">
        <v>3.5143686340095299E-11</v>
      </c>
      <c r="H3351" s="3" t="str">
        <f>"FADS2"</f>
        <v>FADS2</v>
      </c>
      <c r="I3351" s="3" t="str">
        <f>"protein_coding"</f>
        <v>protein_coding</v>
      </c>
    </row>
    <row r="3352" spans="1:9" x14ac:dyDescent="0.2">
      <c r="A3352" s="3" t="str">
        <f>"ENSG00000221968.9"</f>
        <v>ENSG00000221968.9</v>
      </c>
      <c r="B3352" s="3">
        <v>2860.9745008096402</v>
      </c>
      <c r="C3352" s="3">
        <v>2.8004146939905801</v>
      </c>
      <c r="D3352" s="3">
        <v>0.19574826741453699</v>
      </c>
      <c r="E3352" s="3">
        <v>14.3062042437399</v>
      </c>
      <c r="F3352" s="4">
        <v>2.0014301584776701E-46</v>
      </c>
      <c r="G3352" s="4">
        <v>3.4297463854113899E-44</v>
      </c>
      <c r="H3352" s="3" t="str">
        <f>"FADS3"</f>
        <v>FADS3</v>
      </c>
      <c r="I3352" s="3" t="str">
        <f>"protein_coding"</f>
        <v>protein_coding</v>
      </c>
    </row>
    <row r="3353" spans="1:9" x14ac:dyDescent="0.2">
      <c r="A3353" s="3" t="str">
        <f>"ENSG00000277892.1"</f>
        <v>ENSG00000277892.1</v>
      </c>
      <c r="B3353" s="3">
        <v>6.2416341572142198</v>
      </c>
      <c r="C3353" s="3">
        <v>6.0416023127400198</v>
      </c>
      <c r="D3353" s="3">
        <v>1.9428566944311401</v>
      </c>
      <c r="E3353" s="3">
        <v>3.1096489669347198</v>
      </c>
      <c r="F3353" s="3">
        <v>1.87309805644869E-3</v>
      </c>
      <c r="G3353" s="3">
        <v>7.6162218689833404E-3</v>
      </c>
      <c r="H3353" s="3" t="str">
        <f>"MIR6746"</f>
        <v>MIR6746</v>
      </c>
      <c r="I3353" s="3" t="str">
        <f>"miRNA"</f>
        <v>miRNA</v>
      </c>
    </row>
    <row r="3354" spans="1:9" x14ac:dyDescent="0.2">
      <c r="A3354" s="3" t="str">
        <f>"ENSG00000149021.7"</f>
        <v>ENSG00000149021.7</v>
      </c>
      <c r="B3354" s="3">
        <v>12.5861389470654</v>
      </c>
      <c r="C3354" s="3">
        <v>5.57981889823985</v>
      </c>
      <c r="D3354" s="3">
        <v>1.68963632450909</v>
      </c>
      <c r="E3354" s="3">
        <v>3.3023786345627002</v>
      </c>
      <c r="F3354" s="3">
        <v>9.5868564665085496E-4</v>
      </c>
      <c r="G3354" s="3">
        <v>4.2549776534119297E-3</v>
      </c>
      <c r="H3354" s="3" t="str">
        <f>"SCGB1A1"</f>
        <v>SCGB1A1</v>
      </c>
      <c r="I3354" s="3" t="str">
        <f>"protein_coding"</f>
        <v>protein_coding</v>
      </c>
    </row>
    <row r="3355" spans="1:9" x14ac:dyDescent="0.2">
      <c r="A3355" s="3" t="str">
        <f>"ENSG00000149499.11"</f>
        <v>ENSG00000149499.11</v>
      </c>
      <c r="B3355" s="3">
        <v>610.01372891167705</v>
      </c>
      <c r="C3355" s="3">
        <v>-1.0065072044442001</v>
      </c>
      <c r="D3355" s="3">
        <v>0.22164997322871999</v>
      </c>
      <c r="E3355" s="3">
        <v>-4.54097598020277</v>
      </c>
      <c r="F3355" s="4">
        <v>5.5994411502390502E-6</v>
      </c>
      <c r="G3355" s="4">
        <v>4.1914278302352598E-5</v>
      </c>
      <c r="H3355" s="3" t="str">
        <f>"EML3"</f>
        <v>EML3</v>
      </c>
      <c r="I3355" s="3" t="str">
        <f>"protein_coding"</f>
        <v>protein_coding</v>
      </c>
    </row>
    <row r="3356" spans="1:9" x14ac:dyDescent="0.2">
      <c r="A3356" s="3" t="str">
        <f>"ENSG00000162227.8"</f>
        <v>ENSG00000162227.8</v>
      </c>
      <c r="B3356" s="3">
        <v>351.43628167664502</v>
      </c>
      <c r="C3356" s="3">
        <v>-1.5511705570989101</v>
      </c>
      <c r="D3356" s="3">
        <v>0.25371011343779498</v>
      </c>
      <c r="E3356" s="3">
        <v>-6.1139484590519899</v>
      </c>
      <c r="F3356" s="4">
        <v>9.7195708686834909E-10</v>
      </c>
      <c r="G3356" s="4">
        <v>1.3241457372950901E-8</v>
      </c>
      <c r="H3356" s="3" t="str">
        <f>"TAF6L"</f>
        <v>TAF6L</v>
      </c>
      <c r="I3356" s="3" t="str">
        <f>"protein_coding"</f>
        <v>protein_coding</v>
      </c>
    </row>
    <row r="3357" spans="1:9" x14ac:dyDescent="0.2">
      <c r="A3357" s="3" t="str">
        <f>"ENSG00000252361.1"</f>
        <v>ENSG00000252361.1</v>
      </c>
      <c r="B3357" s="3">
        <v>26.365226732186098</v>
      </c>
      <c r="C3357" s="3">
        <v>1.9455508446524299</v>
      </c>
      <c r="D3357" s="3">
        <v>0.75526554377972099</v>
      </c>
      <c r="E3357" s="3">
        <v>2.5759825278350799</v>
      </c>
      <c r="F3357" s="3">
        <v>9.9955697067406792E-3</v>
      </c>
      <c r="G3357" s="3">
        <v>3.1792725385728797E-2</v>
      </c>
      <c r="H3357" s="3" t="str">
        <f>"RNU6-118P"</f>
        <v>RNU6-118P</v>
      </c>
      <c r="I3357" s="3" t="str">
        <f>"snRNA"</f>
        <v>snRNA</v>
      </c>
    </row>
    <row r="3358" spans="1:9" x14ac:dyDescent="0.2">
      <c r="A3358" s="3" t="str">
        <f>"ENSG00000168003.16"</f>
        <v>ENSG00000168003.16</v>
      </c>
      <c r="B3358" s="3">
        <v>5293.8053078056801</v>
      </c>
      <c r="C3358" s="3">
        <v>-1.1093455676758599</v>
      </c>
      <c r="D3358" s="3">
        <v>0.19722034255711199</v>
      </c>
      <c r="E3358" s="3">
        <v>-5.6249043749359204</v>
      </c>
      <c r="F3358" s="4">
        <v>1.8561076547700501E-8</v>
      </c>
      <c r="G3358" s="4">
        <v>2.1267184722253799E-7</v>
      </c>
      <c r="H3358" s="3" t="str">
        <f>"SLC3A2"</f>
        <v>SLC3A2</v>
      </c>
      <c r="I3358" s="3" t="str">
        <f t="shared" ref="I3358:I3364" si="158">"protein_coding"</f>
        <v>protein_coding</v>
      </c>
    </row>
    <row r="3359" spans="1:9" x14ac:dyDescent="0.2">
      <c r="A3359" s="3" t="str">
        <f>"ENSG00000168004.9"</f>
        <v>ENSG00000168004.9</v>
      </c>
      <c r="B3359" s="3">
        <v>3.8530936506741802</v>
      </c>
      <c r="C3359" s="3">
        <v>5.3403250580865702</v>
      </c>
      <c r="D3359" s="3">
        <v>2.1789621139591802</v>
      </c>
      <c r="E3359" s="3">
        <v>2.4508572333014098</v>
      </c>
      <c r="F3359" s="3">
        <v>1.4251646682892799E-2</v>
      </c>
      <c r="G3359" s="3">
        <v>4.2728280938466097E-2</v>
      </c>
      <c r="H3359" s="3" t="str">
        <f>"HRASLS5"</f>
        <v>HRASLS5</v>
      </c>
      <c r="I3359" s="3" t="str">
        <f t="shared" si="158"/>
        <v>protein_coding</v>
      </c>
    </row>
    <row r="3360" spans="1:9" x14ac:dyDescent="0.2">
      <c r="A3360" s="3" t="str">
        <f>"ENSG00000176485.11"</f>
        <v>ENSG00000176485.11</v>
      </c>
      <c r="B3360" s="3">
        <v>92.928257952690302</v>
      </c>
      <c r="C3360" s="3">
        <v>-1.6516449503047601</v>
      </c>
      <c r="D3360" s="3">
        <v>0.40874779323092197</v>
      </c>
      <c r="E3360" s="3">
        <v>-4.04074340621984</v>
      </c>
      <c r="F3360" s="4">
        <v>5.3282031265134398E-5</v>
      </c>
      <c r="G3360" s="3">
        <v>3.23984714546109E-4</v>
      </c>
      <c r="H3360" s="3" t="str">
        <f>"PLA2G16"</f>
        <v>PLA2G16</v>
      </c>
      <c r="I3360" s="3" t="str">
        <f t="shared" si="158"/>
        <v>protein_coding</v>
      </c>
    </row>
    <row r="3361" spans="1:9" x14ac:dyDescent="0.2">
      <c r="A3361" s="3" t="str">
        <f>"ENSG00000168005.9"</f>
        <v>ENSG00000168005.9</v>
      </c>
      <c r="B3361" s="3">
        <v>1350.9000983533599</v>
      </c>
      <c r="C3361" s="3">
        <v>-1.2585955404006799</v>
      </c>
      <c r="D3361" s="3">
        <v>0.22507415085952401</v>
      </c>
      <c r="E3361" s="3">
        <v>-5.5919150892907696</v>
      </c>
      <c r="F3361" s="4">
        <v>2.24578647748606E-8</v>
      </c>
      <c r="G3361" s="4">
        <v>2.5485607726806603E-7</v>
      </c>
      <c r="H3361" s="3" t="str">
        <f>"SPINDOC"</f>
        <v>SPINDOC</v>
      </c>
      <c r="I3361" s="3" t="str">
        <f t="shared" si="158"/>
        <v>protein_coding</v>
      </c>
    </row>
    <row r="3362" spans="1:9" x14ac:dyDescent="0.2">
      <c r="A3362" s="3" t="str">
        <f>"ENSG00000167771.6"</f>
        <v>ENSG00000167771.6</v>
      </c>
      <c r="B3362" s="3">
        <v>614.50393106349395</v>
      </c>
      <c r="C3362" s="3">
        <v>-1.4738150972952699</v>
      </c>
      <c r="D3362" s="3">
        <v>0.22335056689258601</v>
      </c>
      <c r="E3362" s="3">
        <v>-6.5986628903613003</v>
      </c>
      <c r="F3362" s="4">
        <v>4.1488247805103297E-11</v>
      </c>
      <c r="G3362" s="4">
        <v>6.8098210117207802E-10</v>
      </c>
      <c r="H3362" s="3" t="str">
        <f>"RCOR2"</f>
        <v>RCOR2</v>
      </c>
      <c r="I3362" s="3" t="str">
        <f t="shared" si="158"/>
        <v>protein_coding</v>
      </c>
    </row>
    <row r="3363" spans="1:9" x14ac:dyDescent="0.2">
      <c r="A3363" s="3" t="str">
        <f>"ENSG00000133315.11"</f>
        <v>ENSG00000133315.11</v>
      </c>
      <c r="B3363" s="3">
        <v>498.09495792832001</v>
      </c>
      <c r="C3363" s="3">
        <v>-1.0715844629656299</v>
      </c>
      <c r="D3363" s="3">
        <v>0.25414314609685901</v>
      </c>
      <c r="E3363" s="3">
        <v>-4.2164602092288002</v>
      </c>
      <c r="F3363" s="4">
        <v>2.4816705228693701E-5</v>
      </c>
      <c r="G3363" s="3">
        <v>1.6161049921752801E-4</v>
      </c>
      <c r="H3363" s="3" t="str">
        <f>"MACROD1"</f>
        <v>MACROD1</v>
      </c>
      <c r="I3363" s="3" t="str">
        <f t="shared" si="158"/>
        <v>protein_coding</v>
      </c>
    </row>
    <row r="3364" spans="1:9" x14ac:dyDescent="0.2">
      <c r="A3364" s="3" t="str">
        <f>"ENSG00000149743.14"</f>
        <v>ENSG00000149743.14</v>
      </c>
      <c r="B3364" s="3">
        <v>510.508505700532</v>
      </c>
      <c r="C3364" s="3">
        <v>1.4629656411207801</v>
      </c>
      <c r="D3364" s="3">
        <v>0.242939485576188</v>
      </c>
      <c r="E3364" s="3">
        <v>6.0219343827579896</v>
      </c>
      <c r="F3364" s="4">
        <v>1.72344768491037E-9</v>
      </c>
      <c r="G3364" s="4">
        <v>2.2630736901567699E-8</v>
      </c>
      <c r="H3364" s="3" t="str">
        <f>"TRPT1"</f>
        <v>TRPT1</v>
      </c>
      <c r="I3364" s="3" t="str">
        <f t="shared" si="158"/>
        <v>protein_coding</v>
      </c>
    </row>
    <row r="3365" spans="1:9" x14ac:dyDescent="0.2">
      <c r="A3365" s="3" t="str">
        <f>"ENSG00000256940.1"</f>
        <v>ENSG00000256940.1</v>
      </c>
      <c r="B3365" s="3">
        <v>49.401011623661397</v>
      </c>
      <c r="C3365" s="3">
        <v>2.27061982330433</v>
      </c>
      <c r="D3365" s="3">
        <v>0.54834646752165495</v>
      </c>
      <c r="E3365" s="3">
        <v>4.1408488205764797</v>
      </c>
      <c r="F3365" s="4">
        <v>3.4602297052294497E-5</v>
      </c>
      <c r="G3365" s="3">
        <v>2.1879990433601001E-4</v>
      </c>
      <c r="H3365" s="3" t="str">
        <f>"AP001453.2"</f>
        <v>AP001453.2</v>
      </c>
      <c r="I3365" s="3" t="str">
        <f>"antisense"</f>
        <v>antisense</v>
      </c>
    </row>
    <row r="3366" spans="1:9" x14ac:dyDescent="0.2">
      <c r="A3366" s="3" t="str">
        <f>"ENSG00000257086.1"</f>
        <v>ENSG00000257086.1</v>
      </c>
      <c r="B3366" s="3">
        <v>37.4569791632982</v>
      </c>
      <c r="C3366" s="3">
        <v>-1.65684189629613</v>
      </c>
      <c r="D3366" s="3">
        <v>0.62565595668336405</v>
      </c>
      <c r="E3366" s="3">
        <v>-2.6481677007906099</v>
      </c>
      <c r="F3366" s="3">
        <v>8.0929368038618298E-3</v>
      </c>
      <c r="G3366" s="3">
        <v>2.6637865317084199E-2</v>
      </c>
      <c r="H3366" s="3" t="str">
        <f>"AP001453.4"</f>
        <v>AP001453.4</v>
      </c>
      <c r="I3366" s="3" t="str">
        <f>"lincRNA"</f>
        <v>lincRNA</v>
      </c>
    </row>
    <row r="3367" spans="1:9" x14ac:dyDescent="0.2">
      <c r="A3367" s="3" t="str">
        <f>"ENSG00000149782.11"</f>
        <v>ENSG00000149782.11</v>
      </c>
      <c r="B3367" s="3">
        <v>1031.38662368426</v>
      </c>
      <c r="C3367" s="3">
        <v>-1.2161515119991499</v>
      </c>
      <c r="D3367" s="3">
        <v>0.22696574931912</v>
      </c>
      <c r="E3367" s="3">
        <v>-5.3583041302377499</v>
      </c>
      <c r="F3367" s="4">
        <v>8.4006743433747904E-8</v>
      </c>
      <c r="G3367" s="4">
        <v>8.61472238742691E-7</v>
      </c>
      <c r="H3367" s="3" t="str">
        <f>"PLCB3"</f>
        <v>PLCB3</v>
      </c>
      <c r="I3367" s="3" t="str">
        <f>"protein_coding"</f>
        <v>protein_coding</v>
      </c>
    </row>
    <row r="3368" spans="1:9" x14ac:dyDescent="0.2">
      <c r="A3368" s="3" t="str">
        <f>"ENSG00000168065.15"</f>
        <v>ENSG00000168065.15</v>
      </c>
      <c r="B3368" s="3">
        <v>248.633255541257</v>
      </c>
      <c r="C3368" s="3">
        <v>1.3037684546708099</v>
      </c>
      <c r="D3368" s="3">
        <v>0.29532015886736201</v>
      </c>
      <c r="E3368" s="3">
        <v>4.4147628108800303</v>
      </c>
      <c r="F3368" s="4">
        <v>1.0112080039462601E-5</v>
      </c>
      <c r="G3368" s="4">
        <v>7.1788391046179905E-5</v>
      </c>
      <c r="H3368" s="3" t="str">
        <f>"SLC22A11"</f>
        <v>SLC22A11</v>
      </c>
      <c r="I3368" s="3" t="str">
        <f>"protein_coding"</f>
        <v>protein_coding</v>
      </c>
    </row>
    <row r="3369" spans="1:9" x14ac:dyDescent="0.2">
      <c r="A3369" s="3" t="str">
        <f>"ENSG00000168066.20"</f>
        <v>ENSG00000168066.20</v>
      </c>
      <c r="B3369" s="3">
        <v>7695.2376717126199</v>
      </c>
      <c r="C3369" s="3">
        <v>-1.1921548194910501</v>
      </c>
      <c r="D3369" s="3">
        <v>0.18179453152725999</v>
      </c>
      <c r="E3369" s="3">
        <v>-6.55770451110787</v>
      </c>
      <c r="F3369" s="4">
        <v>5.4642345587164498E-11</v>
      </c>
      <c r="G3369" s="4">
        <v>8.8358456392490801E-10</v>
      </c>
      <c r="H3369" s="3" t="str">
        <f>"SF1"</f>
        <v>SF1</v>
      </c>
      <c r="I3369" s="3" t="str">
        <f>"protein_coding"</f>
        <v>protein_coding</v>
      </c>
    </row>
    <row r="3370" spans="1:9" x14ac:dyDescent="0.2">
      <c r="A3370" s="3" t="str">
        <f>"ENSG00000168067.12"</f>
        <v>ENSG00000168067.12</v>
      </c>
      <c r="B3370" s="3">
        <v>836.59549920752897</v>
      </c>
      <c r="C3370" s="3">
        <v>1.25604331905338</v>
      </c>
      <c r="D3370" s="3">
        <v>0.21620806598291001</v>
      </c>
      <c r="E3370" s="3">
        <v>5.8094193356905697</v>
      </c>
      <c r="F3370" s="4">
        <v>6.2689889573095597E-9</v>
      </c>
      <c r="G3370" s="4">
        <v>7.6528289480203199E-8</v>
      </c>
      <c r="H3370" s="3" t="str">
        <f>"MAP4K2"</f>
        <v>MAP4K2</v>
      </c>
      <c r="I3370" s="3" t="str">
        <f>"protein_coding"</f>
        <v>protein_coding</v>
      </c>
    </row>
    <row r="3371" spans="1:9" x14ac:dyDescent="0.2">
      <c r="A3371" s="3" t="str">
        <f>"ENSG00000171219.9"</f>
        <v>ENSG00000171219.9</v>
      </c>
      <c r="B3371" s="3">
        <v>2326.75527070013</v>
      </c>
      <c r="C3371" s="3">
        <v>4.6223035827777199</v>
      </c>
      <c r="D3371" s="3">
        <v>0.22698104404485001</v>
      </c>
      <c r="E3371" s="3">
        <v>20.364271396444799</v>
      </c>
      <c r="F3371" s="4">
        <v>3.4697532819319903E-92</v>
      </c>
      <c r="G3371" s="4">
        <v>3.1513455890933603E-89</v>
      </c>
      <c r="H3371" s="3" t="str">
        <f>"CDC42BPG"</f>
        <v>CDC42BPG</v>
      </c>
      <c r="I3371" s="3" t="str">
        <f>"protein_coding"</f>
        <v>protein_coding</v>
      </c>
    </row>
    <row r="3372" spans="1:9" x14ac:dyDescent="0.2">
      <c r="A3372" s="3" t="str">
        <f>"ENSG00000229719.5"</f>
        <v>ENSG00000229719.5</v>
      </c>
      <c r="B3372" s="3">
        <v>736.22752468723797</v>
      </c>
      <c r="C3372" s="3">
        <v>1.72302208795749</v>
      </c>
      <c r="D3372" s="3">
        <v>0.2156617056806</v>
      </c>
      <c r="E3372" s="3">
        <v>7.98946703365747</v>
      </c>
      <c r="F3372" s="4">
        <v>1.35523359744947E-15</v>
      </c>
      <c r="G3372" s="4">
        <v>3.5642905241028701E-14</v>
      </c>
      <c r="H3372" s="3" t="str">
        <f>"MIR194-2HG"</f>
        <v>MIR194-2HG</v>
      </c>
      <c r="I3372" s="3" t="str">
        <f>"lincRNA"</f>
        <v>lincRNA</v>
      </c>
    </row>
    <row r="3373" spans="1:9" x14ac:dyDescent="0.2">
      <c r="A3373" s="3" t="str">
        <f>"ENSG00000110046.13"</f>
        <v>ENSG00000110046.13</v>
      </c>
      <c r="B3373" s="3">
        <v>1654.80854102741</v>
      </c>
      <c r="C3373" s="3">
        <v>1.09311236139192</v>
      </c>
      <c r="D3373" s="3">
        <v>0.23092880715437999</v>
      </c>
      <c r="E3373" s="3">
        <v>4.7335469959845904</v>
      </c>
      <c r="F3373" s="4">
        <v>2.2062984878423502E-6</v>
      </c>
      <c r="G3373" s="4">
        <v>1.77907709080321E-5</v>
      </c>
      <c r="H3373" s="3" t="str">
        <f>"ATG2A"</f>
        <v>ATG2A</v>
      </c>
      <c r="I3373" s="3" t="str">
        <f t="shared" ref="I3373:I3379" si="159">"protein_coding"</f>
        <v>protein_coding</v>
      </c>
    </row>
    <row r="3374" spans="1:9" x14ac:dyDescent="0.2">
      <c r="A3374" s="3" t="str">
        <f>"ENSG00000149735.7"</f>
        <v>ENSG00000149735.7</v>
      </c>
      <c r="B3374" s="3">
        <v>63.522621602449398</v>
      </c>
      <c r="C3374" s="3">
        <v>-2.0895915475769402</v>
      </c>
      <c r="D3374" s="3">
        <v>0.50427397365246196</v>
      </c>
      <c r="E3374" s="3">
        <v>-4.1437624322389697</v>
      </c>
      <c r="F3374" s="4">
        <v>3.41653681869381E-5</v>
      </c>
      <c r="G3374" s="3">
        <v>2.1649091155536701E-4</v>
      </c>
      <c r="H3374" s="3" t="str">
        <f>"GPHA2"</f>
        <v>GPHA2</v>
      </c>
      <c r="I3374" s="3" t="str">
        <f t="shared" si="159"/>
        <v>protein_coding</v>
      </c>
    </row>
    <row r="3375" spans="1:9" x14ac:dyDescent="0.2">
      <c r="A3375" s="3" t="str">
        <f>"ENSG00000213465.8"</f>
        <v>ENSG00000213465.8</v>
      </c>
      <c r="B3375" s="3">
        <v>505.37536479818698</v>
      </c>
      <c r="C3375" s="3">
        <v>-1.2040881276519999</v>
      </c>
      <c r="D3375" s="3">
        <v>0.28195350810217501</v>
      </c>
      <c r="E3375" s="3">
        <v>-4.2705201143149703</v>
      </c>
      <c r="F3375" s="4">
        <v>1.9501763066076199E-5</v>
      </c>
      <c r="G3375" s="3">
        <v>1.29863414868985E-4</v>
      </c>
      <c r="H3375" s="3" t="str">
        <f>"ARL2"</f>
        <v>ARL2</v>
      </c>
      <c r="I3375" s="3" t="str">
        <f t="shared" si="159"/>
        <v>protein_coding</v>
      </c>
    </row>
    <row r="3376" spans="1:9" x14ac:dyDescent="0.2">
      <c r="A3376" s="3" t="str">
        <f>"ENSG00000168060.16"</f>
        <v>ENSG00000168060.16</v>
      </c>
      <c r="B3376" s="3">
        <v>59.677435182635399</v>
      </c>
      <c r="C3376" s="3">
        <v>-1.39943855758467</v>
      </c>
      <c r="D3376" s="3">
        <v>0.48040018659417899</v>
      </c>
      <c r="E3376" s="3">
        <v>-2.9130683056267199</v>
      </c>
      <c r="F3376" s="3">
        <v>3.5789630609138899E-3</v>
      </c>
      <c r="G3376" s="3">
        <v>1.33492137605367E-2</v>
      </c>
      <c r="H3376" s="3" t="str">
        <f>"NAALADL1"</f>
        <v>NAALADL1</v>
      </c>
      <c r="I3376" s="3" t="str">
        <f t="shared" si="159"/>
        <v>protein_coding</v>
      </c>
    </row>
    <row r="3377" spans="1:9" x14ac:dyDescent="0.2">
      <c r="A3377" s="3" t="str">
        <f>"ENSG00000146670.10"</f>
        <v>ENSG00000146670.10</v>
      </c>
      <c r="B3377" s="3">
        <v>1873.9097682686599</v>
      </c>
      <c r="C3377" s="3">
        <v>-1.10985726483389</v>
      </c>
      <c r="D3377" s="3">
        <v>0.240367692146885</v>
      </c>
      <c r="E3377" s="3">
        <v>-4.6173312849202501</v>
      </c>
      <c r="F3377" s="4">
        <v>3.88706473141778E-6</v>
      </c>
      <c r="G3377" s="4">
        <v>2.9994577382311099E-5</v>
      </c>
      <c r="H3377" s="3" t="str">
        <f>"CDCA5"</f>
        <v>CDCA5</v>
      </c>
      <c r="I3377" s="3" t="str">
        <f t="shared" si="159"/>
        <v>protein_coding</v>
      </c>
    </row>
    <row r="3378" spans="1:9" x14ac:dyDescent="0.2">
      <c r="A3378" s="3" t="str">
        <f>"ENSG00000149809.14"</f>
        <v>ENSG00000149809.14</v>
      </c>
      <c r="B3378" s="3">
        <v>1820.5559410470801</v>
      </c>
      <c r="C3378" s="3">
        <v>1.5728342566937501</v>
      </c>
      <c r="D3378" s="3">
        <v>0.22244645072647901</v>
      </c>
      <c r="E3378" s="3">
        <v>7.0706196999641797</v>
      </c>
      <c r="F3378" s="4">
        <v>1.5424331867393599E-12</v>
      </c>
      <c r="G3378" s="4">
        <v>2.9933530654620703E-11</v>
      </c>
      <c r="H3378" s="3" t="str">
        <f>"TM7SF2"</f>
        <v>TM7SF2</v>
      </c>
      <c r="I3378" s="3" t="str">
        <f t="shared" si="159"/>
        <v>protein_coding</v>
      </c>
    </row>
    <row r="3379" spans="1:9" x14ac:dyDescent="0.2">
      <c r="A3379" s="3" t="str">
        <f>"ENSG00000204710.2"</f>
        <v>ENSG00000204710.2</v>
      </c>
      <c r="B3379" s="3">
        <v>112.03596159040001</v>
      </c>
      <c r="C3379" s="3">
        <v>2.8776080210007802</v>
      </c>
      <c r="D3379" s="3">
        <v>0.40224264987434899</v>
      </c>
      <c r="E3379" s="3">
        <v>7.1539107598353198</v>
      </c>
      <c r="F3379" s="4">
        <v>8.4339906868433001E-13</v>
      </c>
      <c r="G3379" s="4">
        <v>1.6872316023819301E-11</v>
      </c>
      <c r="H3379" s="3" t="str">
        <f>"SPDYC"</f>
        <v>SPDYC</v>
      </c>
      <c r="I3379" s="3" t="str">
        <f t="shared" si="159"/>
        <v>protein_coding</v>
      </c>
    </row>
    <row r="3380" spans="1:9" x14ac:dyDescent="0.2">
      <c r="A3380" s="3" t="str">
        <f>"ENSG00000197847.12"</f>
        <v>ENSG00000197847.12</v>
      </c>
      <c r="B3380" s="3">
        <v>21.5140709596403</v>
      </c>
      <c r="C3380" s="3">
        <v>3.03400492681169</v>
      </c>
      <c r="D3380" s="3">
        <v>0.88320613470258702</v>
      </c>
      <c r="E3380" s="3">
        <v>3.4352172246101702</v>
      </c>
      <c r="F3380" s="3">
        <v>5.92079020828687E-4</v>
      </c>
      <c r="G3380" s="3">
        <v>2.7834547091486698E-3</v>
      </c>
      <c r="H3380" s="3" t="str">
        <f>"SLC22A20P"</f>
        <v>SLC22A20P</v>
      </c>
      <c r="I3380" s="3" t="str">
        <f>"transcribed_unitary_pseudogene"</f>
        <v>transcribed_unitary_pseudogene</v>
      </c>
    </row>
    <row r="3381" spans="1:9" x14ac:dyDescent="0.2">
      <c r="A3381" s="3" t="str">
        <f>"ENSG00000173825.7"</f>
        <v>ENSG00000173825.7</v>
      </c>
      <c r="B3381" s="3">
        <v>236.417157753802</v>
      </c>
      <c r="C3381" s="3">
        <v>2.2566364252592401</v>
      </c>
      <c r="D3381" s="3">
        <v>0.33845792186415402</v>
      </c>
      <c r="E3381" s="3">
        <v>6.6674061367220299</v>
      </c>
      <c r="F3381" s="4">
        <v>2.6036386815327899E-11</v>
      </c>
      <c r="G3381" s="4">
        <v>4.38450822964919E-10</v>
      </c>
      <c r="H3381" s="3" t="str">
        <f>"TIGD3"</f>
        <v>TIGD3</v>
      </c>
      <c r="I3381" s="3" t="str">
        <f>"protein_coding"</f>
        <v>protein_coding</v>
      </c>
    </row>
    <row r="3382" spans="1:9" x14ac:dyDescent="0.2">
      <c r="A3382" s="3" t="str">
        <f>"ENSG00000162241.12"</f>
        <v>ENSG00000162241.12</v>
      </c>
      <c r="B3382" s="3">
        <v>1592.9137255148501</v>
      </c>
      <c r="C3382" s="3">
        <v>5.28658787733404</v>
      </c>
      <c r="D3382" s="3">
        <v>0.24166745510499801</v>
      </c>
      <c r="E3382" s="3">
        <v>21.8754646753621</v>
      </c>
      <c r="F3382" s="4">
        <v>4.4495659320081802E-106</v>
      </c>
      <c r="G3382" s="4">
        <v>6.3809117341803599E-103</v>
      </c>
      <c r="H3382" s="3" t="str">
        <f>"SLC25A45"</f>
        <v>SLC25A45</v>
      </c>
      <c r="I3382" s="3" t="str">
        <f>"protein_coding"</f>
        <v>protein_coding</v>
      </c>
    </row>
    <row r="3383" spans="1:9" x14ac:dyDescent="0.2">
      <c r="A3383" s="3" t="str">
        <f>"ENSG00000126391.14"</f>
        <v>ENSG00000126391.14</v>
      </c>
      <c r="B3383" s="3">
        <v>2606.27615360954</v>
      </c>
      <c r="C3383" s="3">
        <v>1.9936913325431</v>
      </c>
      <c r="D3383" s="3">
        <v>0.21558823255488899</v>
      </c>
      <c r="E3383" s="3">
        <v>9.2476816054211408</v>
      </c>
      <c r="F3383" s="4">
        <v>2.2941455494538801E-20</v>
      </c>
      <c r="G3383" s="4">
        <v>9.20597699351546E-19</v>
      </c>
      <c r="H3383" s="3" t="str">
        <f>"FRMD8"</f>
        <v>FRMD8</v>
      </c>
      <c r="I3383" s="3" t="str">
        <f>"protein_coding"</f>
        <v>protein_coding</v>
      </c>
    </row>
    <row r="3384" spans="1:9" x14ac:dyDescent="0.2">
      <c r="A3384" s="3" t="str">
        <f>"ENSG00000245532.8"</f>
        <v>ENSG00000245532.8</v>
      </c>
      <c r="B3384" s="3">
        <v>148630.802084836</v>
      </c>
      <c r="C3384" s="3">
        <v>1.7791409530661899</v>
      </c>
      <c r="D3384" s="3">
        <v>0.17292981167237201</v>
      </c>
      <c r="E3384" s="3">
        <v>10.2882258175178</v>
      </c>
      <c r="F3384" s="4">
        <v>7.96300515553948E-25</v>
      </c>
      <c r="G3384" s="4">
        <v>4.3667956419896502E-23</v>
      </c>
      <c r="H3384" s="3" t="str">
        <f>"NEAT1"</f>
        <v>NEAT1</v>
      </c>
      <c r="I3384" s="3" t="str">
        <f>"lincRNA"</f>
        <v>lincRNA</v>
      </c>
    </row>
    <row r="3385" spans="1:9" x14ac:dyDescent="0.2">
      <c r="A3385" s="3" t="str">
        <f>"ENSG00000173727.12"</f>
        <v>ENSG00000173727.12</v>
      </c>
      <c r="B3385" s="3">
        <v>46.910552973705002</v>
      </c>
      <c r="C3385" s="3">
        <v>2.58044589880173</v>
      </c>
      <c r="D3385" s="3">
        <v>0.551805555191487</v>
      </c>
      <c r="E3385" s="3">
        <v>4.6763681056205897</v>
      </c>
      <c r="F3385" s="4">
        <v>2.92000257348485E-6</v>
      </c>
      <c r="G3385" s="4">
        <v>2.29945983005034E-5</v>
      </c>
      <c r="H3385" s="3" t="str">
        <f>"AP000769.1"</f>
        <v>AP000769.1</v>
      </c>
      <c r="I3385" s="3" t="str">
        <f>"transcribed_unprocessed_pseudogene"</f>
        <v>transcribed_unprocessed_pseudogene</v>
      </c>
    </row>
    <row r="3386" spans="1:9" x14ac:dyDescent="0.2">
      <c r="A3386" s="3" t="str">
        <f>"ENSG00000251562.8"</f>
        <v>ENSG00000251562.8</v>
      </c>
      <c r="B3386" s="3">
        <v>202762.61622120399</v>
      </c>
      <c r="C3386" s="3">
        <v>1.30935065678327</v>
      </c>
      <c r="D3386" s="3">
        <v>0.16514820045433601</v>
      </c>
      <c r="E3386" s="3">
        <v>7.9283374156130302</v>
      </c>
      <c r="F3386" s="4">
        <v>2.2209918297722301E-15</v>
      </c>
      <c r="G3386" s="4">
        <v>5.7633680367432398E-14</v>
      </c>
      <c r="H3386" s="3" t="str">
        <f>"MALAT1"</f>
        <v>MALAT1</v>
      </c>
      <c r="I3386" s="3" t="str">
        <f>"lincRNA"</f>
        <v>lincRNA</v>
      </c>
    </row>
    <row r="3387" spans="1:9" x14ac:dyDescent="0.2">
      <c r="A3387" s="3" t="str">
        <f>"ENSG00000142186.17"</f>
        <v>ENSG00000142186.17</v>
      </c>
      <c r="B3387" s="3">
        <v>2581.27506157065</v>
      </c>
      <c r="C3387" s="3">
        <v>-1.0389738540412301</v>
      </c>
      <c r="D3387" s="3">
        <v>0.209310564975698</v>
      </c>
      <c r="E3387" s="3">
        <v>-4.9637907869670101</v>
      </c>
      <c r="F3387" s="4">
        <v>6.9130410242246701E-7</v>
      </c>
      <c r="G3387" s="4">
        <v>6.0839673380829902E-6</v>
      </c>
      <c r="H3387" s="3" t="str">
        <f>"SCYL1"</f>
        <v>SCYL1</v>
      </c>
      <c r="I3387" s="3" t="str">
        <f>"protein_coding"</f>
        <v>protein_coding</v>
      </c>
    </row>
    <row r="3388" spans="1:9" x14ac:dyDescent="0.2">
      <c r="A3388" s="3" t="str">
        <f>"ENSG00000176973.8"</f>
        <v>ENSG00000176973.8</v>
      </c>
      <c r="B3388" s="3">
        <v>60.841154458419297</v>
      </c>
      <c r="C3388" s="3">
        <v>-1.6052376072575001</v>
      </c>
      <c r="D3388" s="3">
        <v>0.47830533738897102</v>
      </c>
      <c r="E3388" s="3">
        <v>-3.35609386259488</v>
      </c>
      <c r="F3388" s="3">
        <v>7.9051734350708803E-4</v>
      </c>
      <c r="G3388" s="3">
        <v>3.59526390561469E-3</v>
      </c>
      <c r="H3388" s="3" t="str">
        <f>"FAM89B"</f>
        <v>FAM89B</v>
      </c>
      <c r="I3388" s="3" t="str">
        <f>"protein_coding"</f>
        <v>protein_coding</v>
      </c>
    </row>
    <row r="3389" spans="1:9" x14ac:dyDescent="0.2">
      <c r="A3389" s="3" t="str">
        <f>"ENSG00000173327.8"</f>
        <v>ENSG00000173327.8</v>
      </c>
      <c r="B3389" s="3">
        <v>2993.0435927539502</v>
      </c>
      <c r="C3389" s="3">
        <v>-1.16885084713007</v>
      </c>
      <c r="D3389" s="3">
        <v>0.218668848426361</v>
      </c>
      <c r="E3389" s="3">
        <v>-5.3453011507658497</v>
      </c>
      <c r="F3389" s="4">
        <v>9.0266846814546396E-8</v>
      </c>
      <c r="G3389" s="4">
        <v>9.2047184698950003E-7</v>
      </c>
      <c r="H3389" s="3" t="str">
        <f>"MAP3K11"</f>
        <v>MAP3K11</v>
      </c>
      <c r="I3389" s="3" t="str">
        <f>"protein_coding"</f>
        <v>protein_coding</v>
      </c>
    </row>
    <row r="3390" spans="1:9" x14ac:dyDescent="0.2">
      <c r="A3390" s="3" t="str">
        <f>"ENSG00000172818.10"</f>
        <v>ENSG00000172818.10</v>
      </c>
      <c r="B3390" s="3">
        <v>109.32954852963201</v>
      </c>
      <c r="C3390" s="3">
        <v>7.7191613852522396</v>
      </c>
      <c r="D3390" s="3">
        <v>1.0815091916524799</v>
      </c>
      <c r="E3390" s="3">
        <v>7.1373978555446298</v>
      </c>
      <c r="F3390" s="4">
        <v>9.5114251054249804E-13</v>
      </c>
      <c r="G3390" s="4">
        <v>1.89166277260959E-11</v>
      </c>
      <c r="H3390" s="3" t="str">
        <f>"OVOL1"</f>
        <v>OVOL1</v>
      </c>
      <c r="I3390" s="3" t="str">
        <f>"protein_coding"</f>
        <v>protein_coding</v>
      </c>
    </row>
    <row r="3391" spans="1:9" x14ac:dyDescent="0.2">
      <c r="A3391" s="3" t="str">
        <f>"ENSG00000255120.5"</f>
        <v>ENSG00000255120.5</v>
      </c>
      <c r="B3391" s="3">
        <v>21.313172662710802</v>
      </c>
      <c r="C3391" s="3">
        <v>5.3348666454722196</v>
      </c>
      <c r="D3391" s="3">
        <v>1.2505192002013801</v>
      </c>
      <c r="E3391" s="3">
        <v>4.2661213395308799</v>
      </c>
      <c r="F3391" s="4">
        <v>1.98900630584964E-5</v>
      </c>
      <c r="G3391" s="3">
        <v>1.3227838617399301E-4</v>
      </c>
      <c r="H3391" s="3" t="str">
        <f>"OVOL1-AS1"</f>
        <v>OVOL1-AS1</v>
      </c>
      <c r="I3391" s="3" t="str">
        <f>"antisense"</f>
        <v>antisense</v>
      </c>
    </row>
    <row r="3392" spans="1:9" x14ac:dyDescent="0.2">
      <c r="A3392" s="3" t="str">
        <f>"ENSG00000172803.18"</f>
        <v>ENSG00000172803.18</v>
      </c>
      <c r="B3392" s="3">
        <v>165.61615510167101</v>
      </c>
      <c r="C3392" s="3">
        <v>5.1985864644893001</v>
      </c>
      <c r="D3392" s="3">
        <v>0.46168993849241002</v>
      </c>
      <c r="E3392" s="3">
        <v>11.259908503669401</v>
      </c>
      <c r="F3392" s="4">
        <v>2.0697349365635199E-29</v>
      </c>
      <c r="G3392" s="4">
        <v>1.5408215250422399E-27</v>
      </c>
      <c r="H3392" s="3" t="str">
        <f>"SNX32"</f>
        <v>SNX32</v>
      </c>
      <c r="I3392" s="3" t="str">
        <f t="shared" ref="I3392:I3398" si="160">"protein_coding"</f>
        <v>protein_coding</v>
      </c>
    </row>
    <row r="3393" spans="1:9" x14ac:dyDescent="0.2">
      <c r="A3393" s="3" t="str">
        <f>"ENSG00000175602.3"</f>
        <v>ENSG00000175602.3</v>
      </c>
      <c r="B3393" s="3">
        <v>375.00790529043201</v>
      </c>
      <c r="C3393" s="3">
        <v>-1.73867168182791</v>
      </c>
      <c r="D3393" s="3">
        <v>0.242664558294751</v>
      </c>
      <c r="E3393" s="3">
        <v>-7.1649180829943804</v>
      </c>
      <c r="F3393" s="4">
        <v>7.7833081141763704E-13</v>
      </c>
      <c r="G3393" s="4">
        <v>1.5639512993138899E-11</v>
      </c>
      <c r="H3393" s="3" t="str">
        <f>"CCDC85B"</f>
        <v>CCDC85B</v>
      </c>
      <c r="I3393" s="3" t="str">
        <f t="shared" si="160"/>
        <v>protein_coding</v>
      </c>
    </row>
    <row r="3394" spans="1:9" x14ac:dyDescent="0.2">
      <c r="A3394" s="3" t="str">
        <f>"ENSG00000175592.8"</f>
        <v>ENSG00000175592.8</v>
      </c>
      <c r="B3394" s="3">
        <v>1203.64463086405</v>
      </c>
      <c r="C3394" s="3">
        <v>1.0589129437876801</v>
      </c>
      <c r="D3394" s="3">
        <v>0.203546737197802</v>
      </c>
      <c r="E3394" s="3">
        <v>5.2023086116022998</v>
      </c>
      <c r="F3394" s="4">
        <v>1.9682801733602901E-7</v>
      </c>
      <c r="G3394" s="4">
        <v>1.90514138129832E-6</v>
      </c>
      <c r="H3394" s="3" t="str">
        <f>"FOSL1"</f>
        <v>FOSL1</v>
      </c>
      <c r="I3394" s="3" t="str">
        <f t="shared" si="160"/>
        <v>protein_coding</v>
      </c>
    </row>
    <row r="3395" spans="1:9" x14ac:dyDescent="0.2">
      <c r="A3395" s="3" t="str">
        <f>"ENSG00000175294.5"</f>
        <v>ENSG00000175294.5</v>
      </c>
      <c r="B3395" s="3">
        <v>15.3678340915314</v>
      </c>
      <c r="C3395" s="3">
        <v>3.16605152073909</v>
      </c>
      <c r="D3395" s="3">
        <v>1.0138154128638099</v>
      </c>
      <c r="E3395" s="3">
        <v>3.12290726750313</v>
      </c>
      <c r="F3395" s="3">
        <v>1.7907415971733999E-3</v>
      </c>
      <c r="G3395" s="3">
        <v>7.3349874170450299E-3</v>
      </c>
      <c r="H3395" s="3" t="str">
        <f>"CATSPER1"</f>
        <v>CATSPER1</v>
      </c>
      <c r="I3395" s="3" t="str">
        <f t="shared" si="160"/>
        <v>protein_coding</v>
      </c>
    </row>
    <row r="3396" spans="1:9" x14ac:dyDescent="0.2">
      <c r="A3396" s="3" t="str">
        <f>"ENSG00000174807.4"</f>
        <v>ENSG00000174807.4</v>
      </c>
      <c r="B3396" s="3">
        <v>96.813861353104002</v>
      </c>
      <c r="C3396" s="3">
        <v>-2.6182681613024998</v>
      </c>
      <c r="D3396" s="3">
        <v>0.42966249851336802</v>
      </c>
      <c r="E3396" s="3">
        <v>-6.0937786526906699</v>
      </c>
      <c r="F3396" s="4">
        <v>1.10276116068226E-9</v>
      </c>
      <c r="G3396" s="4">
        <v>1.4911629451667302E-8</v>
      </c>
      <c r="H3396" s="3" t="str">
        <f>"CD248"</f>
        <v>CD248</v>
      </c>
      <c r="I3396" s="3" t="str">
        <f t="shared" si="160"/>
        <v>protein_coding</v>
      </c>
    </row>
    <row r="3397" spans="1:9" x14ac:dyDescent="0.2">
      <c r="A3397" s="3" t="str">
        <f>"ENSG00000174791.11"</f>
        <v>ENSG00000174791.11</v>
      </c>
      <c r="B3397" s="3">
        <v>405.816146586385</v>
      </c>
      <c r="C3397" s="3">
        <v>-1.0962558717566599</v>
      </c>
      <c r="D3397" s="3">
        <v>0.238891367380141</v>
      </c>
      <c r="E3397" s="3">
        <v>-4.5889304572995</v>
      </c>
      <c r="F3397" s="4">
        <v>4.4552280905924201E-6</v>
      </c>
      <c r="G3397" s="4">
        <v>3.3993727186886497E-5</v>
      </c>
      <c r="H3397" s="3" t="str">
        <f>"RIN1"</f>
        <v>RIN1</v>
      </c>
      <c r="I3397" s="3" t="str">
        <f t="shared" si="160"/>
        <v>protein_coding</v>
      </c>
    </row>
    <row r="3398" spans="1:9" x14ac:dyDescent="0.2">
      <c r="A3398" s="3" t="str">
        <f>"ENSG00000174684.7"</f>
        <v>ENSG00000174684.7</v>
      </c>
      <c r="B3398" s="3">
        <v>3058.69507524341</v>
      </c>
      <c r="C3398" s="3">
        <v>-1.50348695110102</v>
      </c>
      <c r="D3398" s="3">
        <v>0.20758345833212499</v>
      </c>
      <c r="E3398" s="3">
        <v>-7.2428071252936901</v>
      </c>
      <c r="F3398" s="4">
        <v>4.3949171862679998E-13</v>
      </c>
      <c r="G3398" s="4">
        <v>9.1341196471582194E-12</v>
      </c>
      <c r="H3398" s="3" t="str">
        <f>"B4GAT1"</f>
        <v>B4GAT1</v>
      </c>
      <c r="I3398" s="3" t="str">
        <f t="shared" si="160"/>
        <v>protein_coding</v>
      </c>
    </row>
    <row r="3399" spans="1:9" x14ac:dyDescent="0.2">
      <c r="A3399" s="3" t="str">
        <f>"ENSG00000255468.7"</f>
        <v>ENSG00000255468.7</v>
      </c>
      <c r="B3399" s="3">
        <v>573.43568660639903</v>
      </c>
      <c r="C3399" s="3">
        <v>-2.7251464560478</v>
      </c>
      <c r="D3399" s="3">
        <v>0.228532245369371</v>
      </c>
      <c r="E3399" s="3">
        <v>-11.924559930889499</v>
      </c>
      <c r="F3399" s="4">
        <v>8.8148586205489399E-33</v>
      </c>
      <c r="G3399" s="4">
        <v>8.1416424689524403E-31</v>
      </c>
      <c r="H3399" s="3" t="str">
        <f>"AP001107.9"</f>
        <v>AP001107.9</v>
      </c>
      <c r="I3399" s="3" t="str">
        <f>"antisense"</f>
        <v>antisense</v>
      </c>
    </row>
    <row r="3400" spans="1:9" x14ac:dyDescent="0.2">
      <c r="A3400" s="3" t="str">
        <f>"ENSG00000174483.20"</f>
        <v>ENSG00000174483.20</v>
      </c>
      <c r="B3400" s="3">
        <v>157.98269285764499</v>
      </c>
      <c r="C3400" s="3">
        <v>1.2750331283548499</v>
      </c>
      <c r="D3400" s="3">
        <v>0.315224675389709</v>
      </c>
      <c r="E3400" s="3">
        <v>4.0448392143747602</v>
      </c>
      <c r="F3400" s="4">
        <v>5.2359046073367497E-5</v>
      </c>
      <c r="G3400" s="3">
        <v>3.1901317718270199E-4</v>
      </c>
      <c r="H3400" s="3" t="str">
        <f>"BBS1"</f>
        <v>BBS1</v>
      </c>
      <c r="I3400" s="3" t="str">
        <f t="shared" ref="I3400:I3406" si="161">"protein_coding"</f>
        <v>protein_coding</v>
      </c>
    </row>
    <row r="3401" spans="1:9" x14ac:dyDescent="0.2">
      <c r="A3401" s="3" t="str">
        <f>"ENSG00000173599.14"</f>
        <v>ENSG00000173599.14</v>
      </c>
      <c r="B3401" s="3">
        <v>2109.0671583274102</v>
      </c>
      <c r="C3401" s="3">
        <v>-1.47480249496555</v>
      </c>
      <c r="D3401" s="3">
        <v>0.20031511804204299</v>
      </c>
      <c r="E3401" s="3">
        <v>-7.3624123300370101</v>
      </c>
      <c r="F3401" s="4">
        <v>1.8061604753562999E-13</v>
      </c>
      <c r="G3401" s="4">
        <v>3.9275701893083102E-12</v>
      </c>
      <c r="H3401" s="3" t="str">
        <f>"PC"</f>
        <v>PC</v>
      </c>
      <c r="I3401" s="3" t="str">
        <f t="shared" si="161"/>
        <v>protein_coding</v>
      </c>
    </row>
    <row r="3402" spans="1:9" x14ac:dyDescent="0.2">
      <c r="A3402" s="3" t="str">
        <f>"ENSG00000173227.14"</f>
        <v>ENSG00000173227.14</v>
      </c>
      <c r="B3402" s="3">
        <v>46.472841815950503</v>
      </c>
      <c r="C3402" s="3">
        <v>5.13169427126439</v>
      </c>
      <c r="D3402" s="3">
        <v>0.808890407532879</v>
      </c>
      <c r="E3402" s="3">
        <v>6.3441156224315796</v>
      </c>
      <c r="F3402" s="4">
        <v>2.2370677522812401E-10</v>
      </c>
      <c r="G3402" s="4">
        <v>3.29299757138881E-9</v>
      </c>
      <c r="H3402" s="3" t="str">
        <f>"SYT12"</f>
        <v>SYT12</v>
      </c>
      <c r="I3402" s="3" t="str">
        <f t="shared" si="161"/>
        <v>protein_coding</v>
      </c>
    </row>
    <row r="3403" spans="1:9" x14ac:dyDescent="0.2">
      <c r="A3403" s="3" t="str">
        <f>"ENSG00000173156.7"</f>
        <v>ENSG00000173156.7</v>
      </c>
      <c r="B3403" s="3">
        <v>520.60383930125795</v>
      </c>
      <c r="C3403" s="3">
        <v>6.8766042356000803</v>
      </c>
      <c r="D3403" s="3">
        <v>0.42497772516712001</v>
      </c>
      <c r="E3403" s="3">
        <v>16.181093333529201</v>
      </c>
      <c r="F3403" s="4">
        <v>6.8565980773644104E-59</v>
      </c>
      <c r="G3403" s="4">
        <v>1.92599719395823E-56</v>
      </c>
      <c r="H3403" s="3" t="str">
        <f>"RHOD"</f>
        <v>RHOD</v>
      </c>
      <c r="I3403" s="3" t="str">
        <f t="shared" si="161"/>
        <v>protein_coding</v>
      </c>
    </row>
    <row r="3404" spans="1:9" x14ac:dyDescent="0.2">
      <c r="A3404" s="3" t="str">
        <f>"ENSG00000175482.9"</f>
        <v>ENSG00000175482.9</v>
      </c>
      <c r="B3404" s="3">
        <v>107.35384105041</v>
      </c>
      <c r="C3404" s="3">
        <v>1.72847359548262</v>
      </c>
      <c r="D3404" s="3">
        <v>0.43939896418676699</v>
      </c>
      <c r="E3404" s="3">
        <v>3.9337225081575902</v>
      </c>
      <c r="F3404" s="4">
        <v>8.3640338884978204E-5</v>
      </c>
      <c r="G3404" s="3">
        <v>4.88206579605613E-4</v>
      </c>
      <c r="H3404" s="3" t="str">
        <f>"POLD4"</f>
        <v>POLD4</v>
      </c>
      <c r="I3404" s="3" t="str">
        <f t="shared" si="161"/>
        <v>protein_coding</v>
      </c>
    </row>
    <row r="3405" spans="1:9" x14ac:dyDescent="0.2">
      <c r="A3405" s="3" t="str">
        <f>"ENSG00000172663.9"</f>
        <v>ENSG00000172663.9</v>
      </c>
      <c r="B3405" s="3">
        <v>704.75077860255897</v>
      </c>
      <c r="C3405" s="3">
        <v>1.09932761660817</v>
      </c>
      <c r="D3405" s="3">
        <v>0.24212702373874001</v>
      </c>
      <c r="E3405" s="3">
        <v>4.54029294059454</v>
      </c>
      <c r="F3405" s="4">
        <v>5.61761232448126E-6</v>
      </c>
      <c r="G3405" s="4">
        <v>4.20368992967666E-5</v>
      </c>
      <c r="H3405" s="3" t="str">
        <f>"TMEM134"</f>
        <v>TMEM134</v>
      </c>
      <c r="I3405" s="3" t="str">
        <f t="shared" si="161"/>
        <v>protein_coding</v>
      </c>
    </row>
    <row r="3406" spans="1:9" x14ac:dyDescent="0.2">
      <c r="A3406" s="3" t="str">
        <f>"ENSG00000132744.8"</f>
        <v>ENSG00000132744.8</v>
      </c>
      <c r="B3406" s="3">
        <v>65.549599691763305</v>
      </c>
      <c r="C3406" s="3">
        <v>-1.13167796273918</v>
      </c>
      <c r="D3406" s="3">
        <v>0.449707720196727</v>
      </c>
      <c r="E3406" s="3">
        <v>-2.51647439417789</v>
      </c>
      <c r="F3406" s="3">
        <v>1.18535513077123E-2</v>
      </c>
      <c r="G3406" s="3">
        <v>3.6647420002409697E-2</v>
      </c>
      <c r="H3406" s="3" t="str">
        <f>"ACY3"</f>
        <v>ACY3</v>
      </c>
      <c r="I3406" s="3" t="str">
        <f t="shared" si="161"/>
        <v>protein_coding</v>
      </c>
    </row>
    <row r="3407" spans="1:9" x14ac:dyDescent="0.2">
      <c r="A3407" s="3" t="str">
        <f>"ENSG00000254447.3"</f>
        <v>ENSG00000254447.3</v>
      </c>
      <c r="B3407" s="3">
        <v>10.091722017515499</v>
      </c>
      <c r="C3407" s="3">
        <v>6.7297273601434204</v>
      </c>
      <c r="D3407" s="3">
        <v>1.7636644007934299</v>
      </c>
      <c r="E3407" s="3">
        <v>3.8157641312688799</v>
      </c>
      <c r="F3407" s="3">
        <v>1.35762143629137E-4</v>
      </c>
      <c r="G3407" s="3">
        <v>7.5399737616451302E-4</v>
      </c>
      <c r="H3407" s="3" t="str">
        <f>"OR7E11P"</f>
        <v>OR7E11P</v>
      </c>
      <c r="I3407" s="3" t="str">
        <f>"processed_transcript"</f>
        <v>processed_transcript</v>
      </c>
    </row>
    <row r="3408" spans="1:9" x14ac:dyDescent="0.2">
      <c r="A3408" s="3" t="str">
        <f>"ENSG00000227620.4"</f>
        <v>ENSG00000227620.4</v>
      </c>
      <c r="B3408" s="3">
        <v>10.019245807901999</v>
      </c>
      <c r="C3408" s="3">
        <v>6.7202635024288702</v>
      </c>
      <c r="D3408" s="3">
        <v>1.7626796579996999</v>
      </c>
      <c r="E3408" s="3">
        <v>3.8125268377210699</v>
      </c>
      <c r="F3408" s="3">
        <v>1.3755328778652701E-4</v>
      </c>
      <c r="G3408" s="3">
        <v>7.6301189583051997E-4</v>
      </c>
      <c r="H3408" s="3" t="str">
        <f>"ALG1L8P"</f>
        <v>ALG1L8P</v>
      </c>
      <c r="I3408" s="3" t="str">
        <f>"unprocessed_pseudogene"</f>
        <v>unprocessed_pseudogene</v>
      </c>
    </row>
    <row r="3409" spans="1:9" x14ac:dyDescent="0.2">
      <c r="A3409" s="3" t="str">
        <f>"ENSG00000110057.8"</f>
        <v>ENSG00000110057.8</v>
      </c>
      <c r="B3409" s="3">
        <v>1179.8456813011001</v>
      </c>
      <c r="C3409" s="3">
        <v>1.0349027049891899</v>
      </c>
      <c r="D3409" s="3">
        <v>0.200036995971791</v>
      </c>
      <c r="E3409" s="3">
        <v>5.1735565211903696</v>
      </c>
      <c r="F3409" s="4">
        <v>2.2967960121006E-7</v>
      </c>
      <c r="G3409" s="4">
        <v>2.19504738483708E-6</v>
      </c>
      <c r="H3409" s="3" t="str">
        <f>"UNC93B1"</f>
        <v>UNC93B1</v>
      </c>
      <c r="I3409" s="3" t="str">
        <f>"protein_coding"</f>
        <v>protein_coding</v>
      </c>
    </row>
    <row r="3410" spans="1:9" x14ac:dyDescent="0.2">
      <c r="A3410" s="3" t="str">
        <f>"ENSG00000255306.1"</f>
        <v>ENSG00000255306.1</v>
      </c>
      <c r="B3410" s="3">
        <v>111.660921553967</v>
      </c>
      <c r="C3410" s="3">
        <v>1.63443382911923</v>
      </c>
      <c r="D3410" s="3">
        <v>0.39298807610227099</v>
      </c>
      <c r="E3410" s="3">
        <v>4.1589908918607597</v>
      </c>
      <c r="F3410" s="4">
        <v>3.1965664398777798E-5</v>
      </c>
      <c r="G3410" s="3">
        <v>2.0359243989562801E-4</v>
      </c>
      <c r="H3410" s="3" t="str">
        <f>"AC004923.4"</f>
        <v>AC004923.4</v>
      </c>
      <c r="I3410" s="3" t="str">
        <f>"antisense"</f>
        <v>antisense</v>
      </c>
    </row>
    <row r="3411" spans="1:9" x14ac:dyDescent="0.2">
      <c r="A3411" s="3" t="str">
        <f>"ENSG00000110721.12"</f>
        <v>ENSG00000110721.12</v>
      </c>
      <c r="B3411" s="3">
        <v>7000.0674341678996</v>
      </c>
      <c r="C3411" s="3">
        <v>-1.0541300584831701</v>
      </c>
      <c r="D3411" s="3">
        <v>0.175188214661539</v>
      </c>
      <c r="E3411" s="3">
        <v>-6.0171288378030203</v>
      </c>
      <c r="F3411" s="4">
        <v>1.77537777715342E-9</v>
      </c>
      <c r="G3411" s="4">
        <v>2.3258500152039601E-8</v>
      </c>
      <c r="H3411" s="3" t="str">
        <f>"CHKA"</f>
        <v>CHKA</v>
      </c>
      <c r="I3411" s="3" t="str">
        <f>"protein_coding"</f>
        <v>protein_coding</v>
      </c>
    </row>
    <row r="3412" spans="1:9" x14ac:dyDescent="0.2">
      <c r="A3412" s="3" t="str">
        <f>"ENSG00000110090.13"</f>
        <v>ENSG00000110090.13</v>
      </c>
      <c r="B3412" s="3">
        <v>2358.3083769098698</v>
      </c>
      <c r="C3412" s="3">
        <v>2.1643037786384398</v>
      </c>
      <c r="D3412" s="3">
        <v>0.194121315629395</v>
      </c>
      <c r="E3412" s="3">
        <v>11.149233002162401</v>
      </c>
      <c r="F3412" s="4">
        <v>7.2226244405674102E-29</v>
      </c>
      <c r="G3412" s="4">
        <v>5.1652191110797903E-27</v>
      </c>
      <c r="H3412" s="3" t="str">
        <f>"CPT1A"</f>
        <v>CPT1A</v>
      </c>
      <c r="I3412" s="3" t="str">
        <f>"protein_coding"</f>
        <v>protein_coding</v>
      </c>
    </row>
    <row r="3413" spans="1:9" x14ac:dyDescent="0.2">
      <c r="A3413" s="3" t="str">
        <f>"ENSG00000162341.17"</f>
        <v>ENSG00000162341.17</v>
      </c>
      <c r="B3413" s="3">
        <v>1728.45090359286</v>
      </c>
      <c r="C3413" s="3">
        <v>1.3397615584417</v>
      </c>
      <c r="D3413" s="3">
        <v>0.18817566210518599</v>
      </c>
      <c r="E3413" s="3">
        <v>7.1197387773388101</v>
      </c>
      <c r="F3413" s="4">
        <v>1.08131804879065E-12</v>
      </c>
      <c r="G3413" s="4">
        <v>2.1318866045874699E-11</v>
      </c>
      <c r="H3413" s="3" t="str">
        <f>"TPCN2"</f>
        <v>TPCN2</v>
      </c>
      <c r="I3413" s="3" t="str">
        <f>"protein_coding"</f>
        <v>protein_coding</v>
      </c>
    </row>
    <row r="3414" spans="1:9" x14ac:dyDescent="0.2">
      <c r="A3414" s="3" t="str">
        <f>"ENSG00000284713.1"</f>
        <v>ENSG00000284713.1</v>
      </c>
      <c r="B3414" s="3">
        <v>836.47318755252002</v>
      </c>
      <c r="C3414" s="3">
        <v>4.6785843548412798</v>
      </c>
      <c r="D3414" s="3">
        <v>0.25137277086328103</v>
      </c>
      <c r="E3414" s="3">
        <v>18.6121366239223</v>
      </c>
      <c r="F3414" s="4">
        <v>2.5619428152142E-77</v>
      </c>
      <c r="G3414" s="4">
        <v>1.6233780438637499E-74</v>
      </c>
      <c r="H3414" s="3" t="str">
        <f>"SMIM38"</f>
        <v>SMIM38</v>
      </c>
      <c r="I3414" s="3" t="str">
        <f>"protein_coding"</f>
        <v>protein_coding</v>
      </c>
    </row>
    <row r="3415" spans="1:9" x14ac:dyDescent="0.2">
      <c r="A3415" s="3" t="str">
        <f>"ENSG00000172927.8"</f>
        <v>ENSG00000172927.8</v>
      </c>
      <c r="B3415" s="3">
        <v>133.731702141174</v>
      </c>
      <c r="C3415" s="3">
        <v>1.5964512649174001</v>
      </c>
      <c r="D3415" s="3">
        <v>0.34710103837058698</v>
      </c>
      <c r="E3415" s="3">
        <v>4.5993848719430304</v>
      </c>
      <c r="F3415" s="4">
        <v>4.2374029168889597E-6</v>
      </c>
      <c r="G3415" s="4">
        <v>3.2461197963895202E-5</v>
      </c>
      <c r="H3415" s="3" t="str">
        <f>"MYEOV"</f>
        <v>MYEOV</v>
      </c>
      <c r="I3415" s="3" t="str">
        <f>"protein_coding"</f>
        <v>protein_coding</v>
      </c>
    </row>
    <row r="3416" spans="1:9" x14ac:dyDescent="0.2">
      <c r="A3416" s="3" t="str">
        <f>"ENSG00000255774.2"</f>
        <v>ENSG00000255774.2</v>
      </c>
      <c r="B3416" s="3">
        <v>25.9187679291609</v>
      </c>
      <c r="C3416" s="3">
        <v>-2.3551517130737398</v>
      </c>
      <c r="D3416" s="3">
        <v>0.70784153278186501</v>
      </c>
      <c r="E3416" s="3">
        <v>-3.32723018359468</v>
      </c>
      <c r="F3416" s="3">
        <v>8.7713886382713598E-4</v>
      </c>
      <c r="G3416" s="3">
        <v>3.9334154669351399E-3</v>
      </c>
      <c r="H3416" s="3" t="str">
        <f>"AP000439.2"</f>
        <v>AP000439.2</v>
      </c>
      <c r="I3416" s="3" t="str">
        <f>"lincRNA"</f>
        <v>lincRNA</v>
      </c>
    </row>
    <row r="3417" spans="1:9" x14ac:dyDescent="0.2">
      <c r="A3417" s="3" t="str">
        <f>"ENSG00000162344.4"</f>
        <v>ENSG00000162344.4</v>
      </c>
      <c r="B3417" s="3">
        <v>9.4631804984070502</v>
      </c>
      <c r="C3417" s="3">
        <v>-5.29188466567338</v>
      </c>
      <c r="D3417" s="3">
        <v>1.7596083394589801</v>
      </c>
      <c r="E3417" s="3">
        <v>-3.00742190577505</v>
      </c>
      <c r="F3417" s="3">
        <v>2.6347381099623198E-3</v>
      </c>
      <c r="G3417" s="3">
        <v>1.02238126388134E-2</v>
      </c>
      <c r="H3417" s="3" t="str">
        <f>"FGF19"</f>
        <v>FGF19</v>
      </c>
      <c r="I3417" s="3" t="str">
        <f>"protein_coding"</f>
        <v>protein_coding</v>
      </c>
    </row>
    <row r="3418" spans="1:9" x14ac:dyDescent="0.2">
      <c r="A3418" s="3" t="str">
        <f>"ENSG00000172893.15"</f>
        <v>ENSG00000172893.15</v>
      </c>
      <c r="B3418" s="3">
        <v>4608.0496850579202</v>
      </c>
      <c r="C3418" s="3">
        <v>-3.05618746404325</v>
      </c>
      <c r="D3418" s="3">
        <v>0.21706697874727099</v>
      </c>
      <c r="E3418" s="3">
        <v>-14.0794674606013</v>
      </c>
      <c r="F3418" s="4">
        <v>5.0791087310970598E-45</v>
      </c>
      <c r="G3418" s="4">
        <v>8.2375283092977202E-43</v>
      </c>
      <c r="H3418" s="3" t="str">
        <f>"DHCR7"</f>
        <v>DHCR7</v>
      </c>
      <c r="I3418" s="3" t="str">
        <f>"protein_coding"</f>
        <v>protein_coding</v>
      </c>
    </row>
    <row r="3419" spans="1:9" x14ac:dyDescent="0.2">
      <c r="A3419" s="3" t="str">
        <f>"ENSG00000254682.1"</f>
        <v>ENSG00000254682.1</v>
      </c>
      <c r="B3419" s="3">
        <v>83.841248112657098</v>
      </c>
      <c r="C3419" s="3">
        <v>-1.75113033238948</v>
      </c>
      <c r="D3419" s="3">
        <v>0.40858075461264698</v>
      </c>
      <c r="E3419" s="3">
        <v>-4.2858855015078401</v>
      </c>
      <c r="F3419" s="4">
        <v>1.8201272052985799E-5</v>
      </c>
      <c r="G3419" s="3">
        <v>1.2179028969246201E-4</v>
      </c>
      <c r="H3419" s="3" t="str">
        <f>"AP002387.2"</f>
        <v>AP002387.2</v>
      </c>
      <c r="I3419" s="3" t="str">
        <f>"antisense"</f>
        <v>antisense</v>
      </c>
    </row>
    <row r="3420" spans="1:9" x14ac:dyDescent="0.2">
      <c r="A3420" s="3" t="str">
        <f>"ENSG00000172890.12"</f>
        <v>ENSG00000172890.12</v>
      </c>
      <c r="B3420" s="3">
        <v>7364.5000464974701</v>
      </c>
      <c r="C3420" s="3">
        <v>2.0581117591896598</v>
      </c>
      <c r="D3420" s="3">
        <v>0.198002013452341</v>
      </c>
      <c r="E3420" s="3">
        <v>10.3943981341636</v>
      </c>
      <c r="F3420" s="4">
        <v>2.6294169163035598E-25</v>
      </c>
      <c r="G3420" s="4">
        <v>1.5019648368663101E-23</v>
      </c>
      <c r="H3420" s="3" t="str">
        <f>"NADSYN1"</f>
        <v>NADSYN1</v>
      </c>
      <c r="I3420" s="3" t="str">
        <f>"protein_coding"</f>
        <v>protein_coding</v>
      </c>
    </row>
    <row r="3421" spans="1:9" x14ac:dyDescent="0.2">
      <c r="A3421" s="3" t="str">
        <f>"ENSG00000254972.1"</f>
        <v>ENSG00000254972.1</v>
      </c>
      <c r="B3421" s="3">
        <v>4.0010518602740399</v>
      </c>
      <c r="C3421" s="3">
        <v>5.39773571786733</v>
      </c>
      <c r="D3421" s="3">
        <v>2.1532629357120299</v>
      </c>
      <c r="E3421" s="3">
        <v>2.5067703661942402</v>
      </c>
      <c r="F3421" s="3">
        <v>1.2183983780147E-2</v>
      </c>
      <c r="G3421" s="3">
        <v>3.74945794056546E-2</v>
      </c>
      <c r="H3421" s="3" t="str">
        <f>"AP003498.1"</f>
        <v>AP003498.1</v>
      </c>
      <c r="I3421" s="3" t="str">
        <f>"lincRNA"</f>
        <v>lincRNA</v>
      </c>
    </row>
    <row r="3422" spans="1:9" x14ac:dyDescent="0.2">
      <c r="A3422" s="3" t="str">
        <f>"ENSG00000285933.1"</f>
        <v>ENSG00000285933.1</v>
      </c>
      <c r="B3422" s="3">
        <v>8.1108180349683003</v>
      </c>
      <c r="C3422" s="3">
        <v>6.4154059471143903</v>
      </c>
      <c r="D3422" s="3">
        <v>1.82885429345814</v>
      </c>
      <c r="E3422" s="3">
        <v>3.50788248690038</v>
      </c>
      <c r="F3422" s="3">
        <v>4.5168852471916E-4</v>
      </c>
      <c r="G3422" s="3">
        <v>2.1898856286517699E-3</v>
      </c>
      <c r="H3422" s="3" t="str">
        <f>"AP003498.2"</f>
        <v>AP003498.2</v>
      </c>
      <c r="I3422" s="3" t="str">
        <f>"lincRNA"</f>
        <v>lincRNA</v>
      </c>
    </row>
    <row r="3423" spans="1:9" x14ac:dyDescent="0.2">
      <c r="A3423" s="3" t="str">
        <f>"ENSG00000248671.7"</f>
        <v>ENSG00000248671.7</v>
      </c>
      <c r="B3423" s="3">
        <v>130.65713993502001</v>
      </c>
      <c r="C3423" s="3">
        <v>2.6479478790630502</v>
      </c>
      <c r="D3423" s="3">
        <v>0.40558652717992899</v>
      </c>
      <c r="E3423" s="3">
        <v>6.5286879657330301</v>
      </c>
      <c r="F3423" s="4">
        <v>6.63483108824658E-11</v>
      </c>
      <c r="G3423" s="4">
        <v>1.06091104848271E-9</v>
      </c>
      <c r="H3423" s="3" t="str">
        <f>"AP002495.1"</f>
        <v>AP002495.1</v>
      </c>
      <c r="I3423" s="3" t="str">
        <f>"processed_transcript"</f>
        <v>processed_transcript</v>
      </c>
    </row>
    <row r="3424" spans="1:9" x14ac:dyDescent="0.2">
      <c r="A3424" s="3" t="str">
        <f>"ENSG00000254978.2"</f>
        <v>ENSG00000254978.2</v>
      </c>
      <c r="B3424" s="3">
        <v>32.760743941925902</v>
      </c>
      <c r="C3424" s="3">
        <v>2.6952726849860902</v>
      </c>
      <c r="D3424" s="3">
        <v>0.66189955348009599</v>
      </c>
      <c r="E3424" s="3">
        <v>4.0720267460750499</v>
      </c>
      <c r="F3424" s="4">
        <v>4.6605826127893198E-5</v>
      </c>
      <c r="G3424" s="3">
        <v>2.8736568103795101E-4</v>
      </c>
      <c r="H3424" s="3" t="str">
        <f>"ALG1L9P"</f>
        <v>ALG1L9P</v>
      </c>
      <c r="I3424" s="3" t="str">
        <f>"transcribed_unprocessed_pseudogene"</f>
        <v>transcribed_unprocessed_pseudogene</v>
      </c>
    </row>
    <row r="3425" spans="1:9" x14ac:dyDescent="0.2">
      <c r="A3425" s="3" t="str">
        <f>"ENSG00000110200.8"</f>
        <v>ENSG00000110200.8</v>
      </c>
      <c r="B3425" s="3">
        <v>482.588219207956</v>
      </c>
      <c r="C3425" s="3">
        <v>-1.52899533635019</v>
      </c>
      <c r="D3425" s="3">
        <v>0.24207700841023899</v>
      </c>
      <c r="E3425" s="3">
        <v>-6.3161526424643197</v>
      </c>
      <c r="F3425" s="4">
        <v>2.6815519752695502E-10</v>
      </c>
      <c r="G3425" s="4">
        <v>3.9050906825317603E-9</v>
      </c>
      <c r="H3425" s="3" t="str">
        <f>"ANAPC15"</f>
        <v>ANAPC15</v>
      </c>
      <c r="I3425" s="3" t="str">
        <f>"protein_coding"</f>
        <v>protein_coding</v>
      </c>
    </row>
    <row r="3426" spans="1:9" x14ac:dyDescent="0.2">
      <c r="A3426" s="3" t="str">
        <f>"ENSG00000162129.13"</f>
        <v>ENSG00000162129.13</v>
      </c>
      <c r="B3426" s="3">
        <v>2584.03504799345</v>
      </c>
      <c r="C3426" s="3">
        <v>-1.7922492602305999</v>
      </c>
      <c r="D3426" s="3">
        <v>0.19308569449601601</v>
      </c>
      <c r="E3426" s="3">
        <v>-9.2821442049792999</v>
      </c>
      <c r="F3426" s="4">
        <v>1.6610165578044099E-20</v>
      </c>
      <c r="G3426" s="4">
        <v>6.7448164158713402E-19</v>
      </c>
      <c r="H3426" s="3" t="str">
        <f>"CLPB"</f>
        <v>CLPB</v>
      </c>
      <c r="I3426" s="3" t="str">
        <f>"protein_coding"</f>
        <v>protein_coding</v>
      </c>
    </row>
    <row r="3427" spans="1:9" x14ac:dyDescent="0.2">
      <c r="A3427" s="3" t="str">
        <f>"ENSG00000186642.16"</f>
        <v>ENSG00000186642.16</v>
      </c>
      <c r="B3427" s="3">
        <v>96.108168878198796</v>
      </c>
      <c r="C3427" s="3">
        <v>5.0421082385621698</v>
      </c>
      <c r="D3427" s="3">
        <v>0.57539370918616495</v>
      </c>
      <c r="E3427" s="3">
        <v>8.7628838446873498</v>
      </c>
      <c r="F3427" s="4">
        <v>1.90317738808161E-18</v>
      </c>
      <c r="G3427" s="4">
        <v>6.4257588962899197E-17</v>
      </c>
      <c r="H3427" s="3" t="str">
        <f>"PDE2A"</f>
        <v>PDE2A</v>
      </c>
      <c r="I3427" s="3" t="str">
        <f>"protein_coding"</f>
        <v>protein_coding</v>
      </c>
    </row>
    <row r="3428" spans="1:9" x14ac:dyDescent="0.2">
      <c r="A3428" s="3" t="str">
        <f>"ENSG00000265064.1"</f>
        <v>ENSG00000265064.1</v>
      </c>
      <c r="B3428" s="3">
        <v>14.294842612148599</v>
      </c>
      <c r="C3428" s="3">
        <v>3.0366120940973098</v>
      </c>
      <c r="D3428" s="3">
        <v>1.0132126492539599</v>
      </c>
      <c r="E3428" s="3">
        <v>2.9970136045312699</v>
      </c>
      <c r="F3428" s="3">
        <v>2.7263854596820398E-3</v>
      </c>
      <c r="G3428" s="3">
        <v>1.05280363690415E-2</v>
      </c>
      <c r="H3428" s="3" t="str">
        <f>"MIR4692"</f>
        <v>MIR4692</v>
      </c>
      <c r="I3428" s="3" t="str">
        <f>"miRNA"</f>
        <v>miRNA</v>
      </c>
    </row>
    <row r="3429" spans="1:9" x14ac:dyDescent="0.2">
      <c r="A3429" s="3" t="str">
        <f>"ENSG00000285693.1"</f>
        <v>ENSG00000285693.1</v>
      </c>
      <c r="B3429" s="3">
        <v>149.542836435461</v>
      </c>
      <c r="C3429" s="3">
        <v>1.5199862712223899</v>
      </c>
      <c r="D3429" s="3">
        <v>0.330855996186041</v>
      </c>
      <c r="E3429" s="3">
        <v>4.5941022340356596</v>
      </c>
      <c r="F3429" s="4">
        <v>4.3461627997002204E-6</v>
      </c>
      <c r="G3429" s="4">
        <v>3.3254675036066301E-5</v>
      </c>
      <c r="H3429" s="3" t="str">
        <f>"AP002381.2"</f>
        <v>AP002381.2</v>
      </c>
      <c r="I3429" s="3" t="str">
        <f>"lincRNA"</f>
        <v>lincRNA</v>
      </c>
    </row>
    <row r="3430" spans="1:9" x14ac:dyDescent="0.2">
      <c r="A3430" s="3" t="str">
        <f>"ENSG00000168010.11"</f>
        <v>ENSG00000168010.11</v>
      </c>
      <c r="B3430" s="3">
        <v>3071.93173510319</v>
      </c>
      <c r="C3430" s="3">
        <v>3.15182362722281</v>
      </c>
      <c r="D3430" s="3">
        <v>0.18478071890376699</v>
      </c>
      <c r="E3430" s="3">
        <v>17.057102309815502</v>
      </c>
      <c r="F3430" s="4">
        <v>3.0953326481672001E-65</v>
      </c>
      <c r="G3430" s="4">
        <v>1.0812631880078399E-62</v>
      </c>
      <c r="H3430" s="3" t="str">
        <f>"ATG16L2"</f>
        <v>ATG16L2</v>
      </c>
      <c r="I3430" s="3" t="str">
        <f>"protein_coding"</f>
        <v>protein_coding</v>
      </c>
    </row>
    <row r="3431" spans="1:9" x14ac:dyDescent="0.2">
      <c r="A3431" s="3" t="str">
        <f>"ENSG00000215841.3"</f>
        <v>ENSG00000215841.3</v>
      </c>
      <c r="B3431" s="3">
        <v>4.58987890830059</v>
      </c>
      <c r="C3431" s="3">
        <v>5.5990582757967804</v>
      </c>
      <c r="D3431" s="3">
        <v>2.0988494277654701</v>
      </c>
      <c r="E3431" s="3">
        <v>2.6676798257785399</v>
      </c>
      <c r="F3431" s="3">
        <v>7.6377004112408503E-3</v>
      </c>
      <c r="G3431" s="3">
        <v>2.5356942013534702E-2</v>
      </c>
      <c r="H3431" s="3" t="str">
        <f>"AP002761.1"</f>
        <v>AP002761.1</v>
      </c>
      <c r="I3431" s="3" t="str">
        <f>"antisense"</f>
        <v>antisense</v>
      </c>
    </row>
    <row r="3432" spans="1:9" x14ac:dyDescent="0.2">
      <c r="A3432" s="3" t="str">
        <f>"ENSG00000175591.11"</f>
        <v>ENSG00000175591.11</v>
      </c>
      <c r="B3432" s="3">
        <v>720.57472630602695</v>
      </c>
      <c r="C3432" s="3">
        <v>2.3760557447662398</v>
      </c>
      <c r="D3432" s="3">
        <v>0.23312828575651701</v>
      </c>
      <c r="E3432" s="3">
        <v>10.192052573353701</v>
      </c>
      <c r="F3432" s="4">
        <v>2.1517242258010301E-24</v>
      </c>
      <c r="G3432" s="4">
        <v>1.1340044483636501E-22</v>
      </c>
      <c r="H3432" s="3" t="str">
        <f>"P2RY2"</f>
        <v>P2RY2</v>
      </c>
      <c r="I3432" s="3" t="str">
        <f>"protein_coding"</f>
        <v>protein_coding</v>
      </c>
    </row>
    <row r="3433" spans="1:9" x14ac:dyDescent="0.2">
      <c r="A3433" s="3" t="str">
        <f>"ENSG00000260401.1"</f>
        <v>ENSG00000260401.1</v>
      </c>
      <c r="B3433" s="3">
        <v>394.55808631027003</v>
      </c>
      <c r="C3433" s="3">
        <v>2.5646644623667298</v>
      </c>
      <c r="D3433" s="3">
        <v>0.255152529520072</v>
      </c>
      <c r="E3433" s="3">
        <v>10.0514953435528</v>
      </c>
      <c r="F3433" s="4">
        <v>9.0483831054141797E-24</v>
      </c>
      <c r="G3433" s="4">
        <v>4.6082484948265404E-22</v>
      </c>
      <c r="H3433" s="3" t="str">
        <f>"AP002761.4"</f>
        <v>AP002761.4</v>
      </c>
      <c r="I3433" s="3" t="str">
        <f>"sense_overlapping"</f>
        <v>sense_overlapping</v>
      </c>
    </row>
    <row r="3434" spans="1:9" x14ac:dyDescent="0.2">
      <c r="A3434" s="3" t="str">
        <f>"ENSG00000021300.14"</f>
        <v>ENSG00000021300.14</v>
      </c>
      <c r="B3434" s="3">
        <v>2505.3286654132198</v>
      </c>
      <c r="C3434" s="3">
        <v>-2.7171860365176501</v>
      </c>
      <c r="D3434" s="3">
        <v>0.190672454203207</v>
      </c>
      <c r="E3434" s="3">
        <v>-14.2505431519848</v>
      </c>
      <c r="F3434" s="4">
        <v>4.4480812342686897E-46</v>
      </c>
      <c r="G3434" s="4">
        <v>7.5277558627403104E-44</v>
      </c>
      <c r="H3434" s="3" t="str">
        <f>"PLEKHB1"</f>
        <v>PLEKHB1</v>
      </c>
      <c r="I3434" s="3" t="str">
        <f>"protein_coding"</f>
        <v>protein_coding</v>
      </c>
    </row>
    <row r="3435" spans="1:9" x14ac:dyDescent="0.2">
      <c r="A3435" s="3" t="str">
        <f>"ENSG00000175567.9"</f>
        <v>ENSG00000175567.9</v>
      </c>
      <c r="B3435" s="3">
        <v>2200.7221806231901</v>
      </c>
      <c r="C3435" s="3">
        <v>1.78115298941279</v>
      </c>
      <c r="D3435" s="3">
        <v>0.23054097863380199</v>
      </c>
      <c r="E3435" s="3">
        <v>7.7259713217493697</v>
      </c>
      <c r="F3435" s="4">
        <v>1.11003620224891E-14</v>
      </c>
      <c r="G3435" s="4">
        <v>2.6600841163303499E-13</v>
      </c>
      <c r="H3435" s="3" t="str">
        <f>"UCP2"</f>
        <v>UCP2</v>
      </c>
      <c r="I3435" s="3" t="str">
        <f>"protein_coding"</f>
        <v>protein_coding</v>
      </c>
    </row>
    <row r="3436" spans="1:9" x14ac:dyDescent="0.2">
      <c r="A3436" s="3" t="str">
        <f>"ENSG00000162139.10"</f>
        <v>ENSG00000162139.10</v>
      </c>
      <c r="B3436" s="3">
        <v>2281.5064015718599</v>
      </c>
      <c r="C3436" s="3">
        <v>1.1790935180965401</v>
      </c>
      <c r="D3436" s="3">
        <v>0.18151818030275099</v>
      </c>
      <c r="E3436" s="3">
        <v>6.4957323620694698</v>
      </c>
      <c r="F3436" s="4">
        <v>8.2630442034769102E-11</v>
      </c>
      <c r="G3436" s="4">
        <v>1.29990280261048E-9</v>
      </c>
      <c r="H3436" s="3" t="str">
        <f>"NEU3"</f>
        <v>NEU3</v>
      </c>
      <c r="I3436" s="3" t="str">
        <f>"protein_coding"</f>
        <v>protein_coding</v>
      </c>
    </row>
    <row r="3437" spans="1:9" x14ac:dyDescent="0.2">
      <c r="A3437" s="3" t="str">
        <f>"ENSG00000284722.2"</f>
        <v>ENSG00000284722.2</v>
      </c>
      <c r="B3437" s="3">
        <v>3.8530936506741802</v>
      </c>
      <c r="C3437" s="3">
        <v>5.3403250580865702</v>
      </c>
      <c r="D3437" s="3">
        <v>2.1789621139591802</v>
      </c>
      <c r="E3437" s="3">
        <v>2.4508572333014098</v>
      </c>
      <c r="F3437" s="3">
        <v>1.4251646682892799E-2</v>
      </c>
      <c r="G3437" s="3">
        <v>4.2728280938466097E-2</v>
      </c>
      <c r="H3437" s="3" t="str">
        <f>"AP003175.1"</f>
        <v>AP003175.1</v>
      </c>
      <c r="I3437" s="3" t="str">
        <f>"processed_transcript"</f>
        <v>processed_transcript</v>
      </c>
    </row>
    <row r="3438" spans="1:9" x14ac:dyDescent="0.2">
      <c r="A3438" s="3" t="str">
        <f>"ENSG00000137491.14"</f>
        <v>ENSG00000137491.14</v>
      </c>
      <c r="B3438" s="3">
        <v>401.82208703342002</v>
      </c>
      <c r="C3438" s="3">
        <v>-2.4199552449322899</v>
      </c>
      <c r="D3438" s="3">
        <v>0.25467965700173001</v>
      </c>
      <c r="E3438" s="3">
        <v>-9.5019573743019698</v>
      </c>
      <c r="F3438" s="4">
        <v>2.0598150048018301E-21</v>
      </c>
      <c r="G3438" s="4">
        <v>8.9511609945511198E-20</v>
      </c>
      <c r="H3438" s="3" t="str">
        <f>"SLCO2B1"</f>
        <v>SLCO2B1</v>
      </c>
      <c r="I3438" s="3" t="str">
        <f>"protein_coding"</f>
        <v>protein_coding</v>
      </c>
    </row>
    <row r="3439" spans="1:9" x14ac:dyDescent="0.2">
      <c r="A3439" s="3" t="str">
        <f>"ENSG00000137486.17"</f>
        <v>ENSG00000137486.17</v>
      </c>
      <c r="B3439" s="3">
        <v>2311.28010523988</v>
      </c>
      <c r="C3439" s="3">
        <v>-1.1778525667733799</v>
      </c>
      <c r="D3439" s="3">
        <v>0.19130132137782099</v>
      </c>
      <c r="E3439" s="3">
        <v>-6.157054004071</v>
      </c>
      <c r="F3439" s="4">
        <v>7.41105830411555E-10</v>
      </c>
      <c r="G3439" s="4">
        <v>1.0265841668136099E-8</v>
      </c>
      <c r="H3439" s="3" t="str">
        <f>"ARRB1"</f>
        <v>ARRB1</v>
      </c>
      <c r="I3439" s="3" t="str">
        <f>"protein_coding"</f>
        <v>protein_coding</v>
      </c>
    </row>
    <row r="3440" spans="1:9" x14ac:dyDescent="0.2">
      <c r="A3440" s="3" t="str">
        <f>"ENSG00000171533.11"</f>
        <v>ENSG00000171533.11</v>
      </c>
      <c r="B3440" s="3">
        <v>13.0387818868787</v>
      </c>
      <c r="C3440" s="3">
        <v>3.9827849259591899</v>
      </c>
      <c r="D3440" s="3">
        <v>1.19840076464797</v>
      </c>
      <c r="E3440" s="3">
        <v>3.3234165426530899</v>
      </c>
      <c r="F3440" s="3">
        <v>8.8922025859959597E-4</v>
      </c>
      <c r="G3440" s="3">
        <v>3.9784210814553696E-3</v>
      </c>
      <c r="H3440" s="3" t="str">
        <f>"MAP6"</f>
        <v>MAP6</v>
      </c>
      <c r="I3440" s="3" t="str">
        <f>"protein_coding"</f>
        <v>protein_coding</v>
      </c>
    </row>
    <row r="3441" spans="1:9" x14ac:dyDescent="0.2">
      <c r="A3441" s="3" t="str">
        <f>"ENSG00000254814.1"</f>
        <v>ENSG00000254814.1</v>
      </c>
      <c r="B3441" s="3">
        <v>4.1460042795009997</v>
      </c>
      <c r="C3441" s="3">
        <v>5.4444419213328796</v>
      </c>
      <c r="D3441" s="3">
        <v>2.1466105364649501</v>
      </c>
      <c r="E3441" s="3">
        <v>2.5362970267996601</v>
      </c>
      <c r="F3441" s="3">
        <v>1.1203166618934E-2</v>
      </c>
      <c r="G3441" s="3">
        <v>3.5022106570226502E-2</v>
      </c>
      <c r="H3441" s="3" t="str">
        <f>"AP003031.1"</f>
        <v>AP003031.1</v>
      </c>
      <c r="I3441" s="3" t="str">
        <f>"antisense"</f>
        <v>antisense</v>
      </c>
    </row>
    <row r="3442" spans="1:9" x14ac:dyDescent="0.2">
      <c r="A3442" s="3" t="str">
        <f>"ENSG00000085741.13"</f>
        <v>ENSG00000085741.13</v>
      </c>
      <c r="B3442" s="3">
        <v>106.640093899029</v>
      </c>
      <c r="C3442" s="3">
        <v>2.3999078023176699</v>
      </c>
      <c r="D3442" s="3">
        <v>0.39531506239255099</v>
      </c>
      <c r="E3442" s="3">
        <v>6.0708736666718401</v>
      </c>
      <c r="F3442" s="4">
        <v>1.27216239044301E-9</v>
      </c>
      <c r="G3442" s="4">
        <v>1.7075176676059501E-8</v>
      </c>
      <c r="H3442" s="3" t="str">
        <f>"WNT11"</f>
        <v>WNT11</v>
      </c>
      <c r="I3442" s="3" t="str">
        <f>"protein_coding"</f>
        <v>protein_coding</v>
      </c>
    </row>
    <row r="3443" spans="1:9" x14ac:dyDescent="0.2">
      <c r="A3443" s="3" t="str">
        <f>"ENSG00000254632.1"</f>
        <v>ENSG00000254632.1</v>
      </c>
      <c r="B3443" s="3">
        <v>32.8890650936195</v>
      </c>
      <c r="C3443" s="3">
        <v>-1.8494413658975699</v>
      </c>
      <c r="D3443" s="3">
        <v>0.62303619976143498</v>
      </c>
      <c r="E3443" s="3">
        <v>-2.9684332412879599</v>
      </c>
      <c r="F3443" s="3">
        <v>2.9932211387486301E-3</v>
      </c>
      <c r="G3443" s="3">
        <v>1.1432057242428399E-2</v>
      </c>
      <c r="H3443" s="3" t="str">
        <f>"AP003119.1"</f>
        <v>AP003119.1</v>
      </c>
      <c r="I3443" s="3" t="str">
        <f>"antisense"</f>
        <v>antisense</v>
      </c>
    </row>
    <row r="3444" spans="1:9" x14ac:dyDescent="0.2">
      <c r="A3444" s="3" t="str">
        <f>"ENSG00000261578.1"</f>
        <v>ENSG00000261578.1</v>
      </c>
      <c r="B3444" s="3">
        <v>71.9946645141587</v>
      </c>
      <c r="C3444" s="3">
        <v>-3.4113955379256602</v>
      </c>
      <c r="D3444" s="3">
        <v>0.48789866077049099</v>
      </c>
      <c r="E3444" s="3">
        <v>-6.9920166055352002</v>
      </c>
      <c r="F3444" s="4">
        <v>2.7096279967042399E-12</v>
      </c>
      <c r="G3444" s="4">
        <v>5.0916713121517497E-11</v>
      </c>
      <c r="H3444" s="3" t="str">
        <f>"AP003119.3"</f>
        <v>AP003119.3</v>
      </c>
      <c r="I3444" s="3" t="str">
        <f>"sense_overlapping"</f>
        <v>sense_overlapping</v>
      </c>
    </row>
    <row r="3445" spans="1:9" x14ac:dyDescent="0.2">
      <c r="A3445" s="3" t="str">
        <f>"ENSG00000137474.21"</f>
        <v>ENSG00000137474.21</v>
      </c>
      <c r="B3445" s="3">
        <v>432.53833987260202</v>
      </c>
      <c r="C3445" s="3">
        <v>-1.8736650902233301</v>
      </c>
      <c r="D3445" s="3">
        <v>0.238078307376973</v>
      </c>
      <c r="E3445" s="3">
        <v>-7.8699530035576801</v>
      </c>
      <c r="F3445" s="4">
        <v>3.5477449905331199E-15</v>
      </c>
      <c r="G3445" s="4">
        <v>8.9837739551167202E-14</v>
      </c>
      <c r="H3445" s="3" t="str">
        <f>"MYO7A"</f>
        <v>MYO7A</v>
      </c>
      <c r="I3445" s="3" t="str">
        <f t="shared" ref="I3445:I3455" si="162">"protein_coding"</f>
        <v>protein_coding</v>
      </c>
    </row>
    <row r="3446" spans="1:9" x14ac:dyDescent="0.2">
      <c r="A3446" s="3" t="str">
        <f>"ENSG00000178301.3"</f>
        <v>ENSG00000178301.3</v>
      </c>
      <c r="B3446" s="3">
        <v>309.77346626756997</v>
      </c>
      <c r="C3446" s="3">
        <v>-1.48123878747298</v>
      </c>
      <c r="D3446" s="3">
        <v>0.266421791995271</v>
      </c>
      <c r="E3446" s="3">
        <v>-5.5597508611430397</v>
      </c>
      <c r="F3446" s="4">
        <v>2.7016002163960001E-8</v>
      </c>
      <c r="G3446" s="4">
        <v>3.0242605216163402E-7</v>
      </c>
      <c r="H3446" s="3" t="str">
        <f>"AQP11"</f>
        <v>AQP11</v>
      </c>
      <c r="I3446" s="3" t="str">
        <f t="shared" si="162"/>
        <v>protein_coding</v>
      </c>
    </row>
    <row r="3447" spans="1:9" x14ac:dyDescent="0.2">
      <c r="A3447" s="3" t="str">
        <f>"ENSG00000151364.17"</f>
        <v>ENSG00000151364.17</v>
      </c>
      <c r="B3447" s="3">
        <v>274.68704026983102</v>
      </c>
      <c r="C3447" s="3">
        <v>-1.31296466382571</v>
      </c>
      <c r="D3447" s="3">
        <v>0.26750423341580198</v>
      </c>
      <c r="E3447" s="3">
        <v>-4.90820144062869</v>
      </c>
      <c r="F3447" s="4">
        <v>9.1915420531707199E-7</v>
      </c>
      <c r="G3447" s="4">
        <v>7.9507457919241499E-6</v>
      </c>
      <c r="H3447" s="3" t="str">
        <f>"KCTD14"</f>
        <v>KCTD14</v>
      </c>
      <c r="I3447" s="3" t="str">
        <f t="shared" si="162"/>
        <v>protein_coding</v>
      </c>
    </row>
    <row r="3448" spans="1:9" x14ac:dyDescent="0.2">
      <c r="A3448" s="3" t="str">
        <f>"ENSG00000151366.13"</f>
        <v>ENSG00000151366.13</v>
      </c>
      <c r="B3448" s="3">
        <v>3106.5580662521802</v>
      </c>
      <c r="C3448" s="3">
        <v>-1.0581846973954401</v>
      </c>
      <c r="D3448" s="3">
        <v>0.17743034659460799</v>
      </c>
      <c r="E3448" s="3">
        <v>-5.9639442615370397</v>
      </c>
      <c r="F3448" s="4">
        <v>2.4622075958167599E-9</v>
      </c>
      <c r="G3448" s="4">
        <v>3.1660108713175697E-8</v>
      </c>
      <c r="H3448" s="3" t="str">
        <f>"NDUFC2"</f>
        <v>NDUFC2</v>
      </c>
      <c r="I3448" s="3" t="str">
        <f t="shared" si="162"/>
        <v>protein_coding</v>
      </c>
    </row>
    <row r="3449" spans="1:9" x14ac:dyDescent="0.2">
      <c r="A3449" s="3" t="str">
        <f>"ENSG00000137513.10"</f>
        <v>ENSG00000137513.10</v>
      </c>
      <c r="B3449" s="3">
        <v>1730.8111806285301</v>
      </c>
      <c r="C3449" s="3">
        <v>-1.09105505037288</v>
      </c>
      <c r="D3449" s="3">
        <v>0.18507018890728799</v>
      </c>
      <c r="E3449" s="3">
        <v>-5.89535817094482</v>
      </c>
      <c r="F3449" s="4">
        <v>3.73869518338573E-9</v>
      </c>
      <c r="G3449" s="4">
        <v>4.7270639286176799E-8</v>
      </c>
      <c r="H3449" s="3" t="str">
        <f>"NARS2"</f>
        <v>NARS2</v>
      </c>
      <c r="I3449" s="3" t="str">
        <f t="shared" si="162"/>
        <v>protein_coding</v>
      </c>
    </row>
    <row r="3450" spans="1:9" x14ac:dyDescent="0.2">
      <c r="A3450" s="3" t="str">
        <f>"ENSG00000149256.15"</f>
        <v>ENSG00000149256.15</v>
      </c>
      <c r="B3450" s="3">
        <v>35.038100977484802</v>
      </c>
      <c r="C3450" s="3">
        <v>4.2075505372680002</v>
      </c>
      <c r="D3450" s="3">
        <v>0.78999831453196101</v>
      </c>
      <c r="E3450" s="3">
        <v>5.3260247014081203</v>
      </c>
      <c r="F3450" s="4">
        <v>1.0038548548532099E-7</v>
      </c>
      <c r="G3450" s="4">
        <v>1.0194570715685901E-6</v>
      </c>
      <c r="H3450" s="3" t="str">
        <f>"TENM4"</f>
        <v>TENM4</v>
      </c>
      <c r="I3450" s="3" t="str">
        <f t="shared" si="162"/>
        <v>protein_coding</v>
      </c>
    </row>
    <row r="3451" spans="1:9" x14ac:dyDescent="0.2">
      <c r="A3451" s="3" t="str">
        <f>"ENSG00000137502.10"</f>
        <v>ENSG00000137502.10</v>
      </c>
      <c r="B3451" s="3">
        <v>359.30753778875498</v>
      </c>
      <c r="C3451" s="3">
        <v>-1.7797234365407899</v>
      </c>
      <c r="D3451" s="3">
        <v>0.24694376489742201</v>
      </c>
      <c r="E3451" s="3">
        <v>-7.20699887798368</v>
      </c>
      <c r="F3451" s="4">
        <v>5.7198474626374197E-13</v>
      </c>
      <c r="G3451" s="4">
        <v>1.1709142285085E-11</v>
      </c>
      <c r="H3451" s="3" t="str">
        <f>"RAB30"</f>
        <v>RAB30</v>
      </c>
      <c r="I3451" s="3" t="str">
        <f t="shared" si="162"/>
        <v>protein_coding</v>
      </c>
    </row>
    <row r="3452" spans="1:9" x14ac:dyDescent="0.2">
      <c r="A3452" s="3" t="str">
        <f>"ENSG00000137500.9"</f>
        <v>ENSG00000137500.9</v>
      </c>
      <c r="B3452" s="3">
        <v>3035.50794153365</v>
      </c>
      <c r="C3452" s="3">
        <v>2.25872072022021</v>
      </c>
      <c r="D3452" s="3">
        <v>0.20380441523227599</v>
      </c>
      <c r="E3452" s="3">
        <v>11.082786001696499</v>
      </c>
      <c r="F3452" s="4">
        <v>1.52065830235319E-28</v>
      </c>
      <c r="G3452" s="4">
        <v>1.05967715509508E-26</v>
      </c>
      <c r="H3452" s="3" t="str">
        <f>"CCDC90B"</f>
        <v>CCDC90B</v>
      </c>
      <c r="I3452" s="3" t="str">
        <f t="shared" si="162"/>
        <v>protein_coding</v>
      </c>
    </row>
    <row r="3453" spans="1:9" x14ac:dyDescent="0.2">
      <c r="A3453" s="3" t="str">
        <f>"ENSG00000137501.17"</f>
        <v>ENSG00000137501.17</v>
      </c>
      <c r="B3453" s="3">
        <v>209.75087424815601</v>
      </c>
      <c r="C3453" s="3">
        <v>2.68901422829506</v>
      </c>
      <c r="D3453" s="3">
        <v>0.323390143553835</v>
      </c>
      <c r="E3453" s="3">
        <v>8.3150778769712907</v>
      </c>
      <c r="F3453" s="4">
        <v>9.16920392658293E-17</v>
      </c>
      <c r="G3453" s="4">
        <v>2.6921691744353999E-15</v>
      </c>
      <c r="H3453" s="3" t="str">
        <f>"SYTL2"</f>
        <v>SYTL2</v>
      </c>
      <c r="I3453" s="3" t="str">
        <f t="shared" si="162"/>
        <v>protein_coding</v>
      </c>
    </row>
    <row r="3454" spans="1:9" x14ac:dyDescent="0.2">
      <c r="A3454" s="3" t="str">
        <f>"ENSG00000150676.12"</f>
        <v>ENSG00000150676.12</v>
      </c>
      <c r="B3454" s="3">
        <v>6.3111045764547997</v>
      </c>
      <c r="C3454" s="3">
        <v>6.0512238504060196</v>
      </c>
      <c r="D3454" s="3">
        <v>1.93467575089679</v>
      </c>
      <c r="E3454" s="3">
        <v>3.12777159045956</v>
      </c>
      <c r="F3454" s="3">
        <v>1.76137003782537E-3</v>
      </c>
      <c r="G3454" s="3">
        <v>7.2331649465904903E-3</v>
      </c>
      <c r="H3454" s="3" t="str">
        <f>"CCDC83"</f>
        <v>CCDC83</v>
      </c>
      <c r="I3454" s="3" t="str">
        <f t="shared" si="162"/>
        <v>protein_coding</v>
      </c>
    </row>
    <row r="3455" spans="1:9" x14ac:dyDescent="0.2">
      <c r="A3455" s="3" t="str">
        <f>"ENSG00000074266.20"</f>
        <v>ENSG00000074266.20</v>
      </c>
      <c r="B3455" s="3">
        <v>2126.0569745042999</v>
      </c>
      <c r="C3455" s="3">
        <v>1.1461993168337901</v>
      </c>
      <c r="D3455" s="3">
        <v>0.201938419613055</v>
      </c>
      <c r="E3455" s="3">
        <v>5.6759843868743998</v>
      </c>
      <c r="F3455" s="4">
        <v>1.37893356244311E-8</v>
      </c>
      <c r="G3455" s="4">
        <v>1.60838196814587E-7</v>
      </c>
      <c r="H3455" s="3" t="str">
        <f>"EED"</f>
        <v>EED</v>
      </c>
      <c r="I3455" s="3" t="str">
        <f t="shared" si="162"/>
        <v>protein_coding</v>
      </c>
    </row>
    <row r="3456" spans="1:9" x14ac:dyDescent="0.2">
      <c r="A3456" s="3" t="str">
        <f>"ENSG00000254783.1"</f>
        <v>ENSG00000254783.1</v>
      </c>
      <c r="B3456" s="3">
        <v>111.997210761894</v>
      </c>
      <c r="C3456" s="3">
        <v>1.8123684869535499</v>
      </c>
      <c r="D3456" s="3">
        <v>0.37749295235861102</v>
      </c>
      <c r="E3456" s="3">
        <v>4.8010657566709503</v>
      </c>
      <c r="F3456" s="4">
        <v>1.57823430397691E-6</v>
      </c>
      <c r="G3456" s="4">
        <v>1.3070562334486E-5</v>
      </c>
      <c r="H3456" s="3" t="str">
        <f>"AP003084.1"</f>
        <v>AP003084.1</v>
      </c>
      <c r="I3456" s="3" t="str">
        <f>"processed_pseudogene"</f>
        <v>processed_pseudogene</v>
      </c>
    </row>
    <row r="3457" spans="1:9" x14ac:dyDescent="0.2">
      <c r="A3457" s="3" t="str">
        <f>"ENSG00000151376.16"</f>
        <v>ENSG00000151376.16</v>
      </c>
      <c r="B3457" s="3">
        <v>8.7055321336881395</v>
      </c>
      <c r="C3457" s="3">
        <v>5.03027877007258</v>
      </c>
      <c r="D3457" s="3">
        <v>1.7873866085905401</v>
      </c>
      <c r="E3457" s="3">
        <v>2.8143204978128602</v>
      </c>
      <c r="F3457" s="3">
        <v>4.8880467883474898E-3</v>
      </c>
      <c r="G3457" s="3">
        <v>1.7411663801552301E-2</v>
      </c>
      <c r="H3457" s="3" t="str">
        <f>"ME3"</f>
        <v>ME3</v>
      </c>
      <c r="I3457" s="3" t="str">
        <f>"protein_coding"</f>
        <v>protein_coding</v>
      </c>
    </row>
    <row r="3458" spans="1:9" x14ac:dyDescent="0.2">
      <c r="A3458" s="3" t="str">
        <f>"ENSG00000150687.12"</f>
        <v>ENSG00000150687.12</v>
      </c>
      <c r="B3458" s="3">
        <v>54.260658381438702</v>
      </c>
      <c r="C3458" s="3">
        <v>3.414438939764</v>
      </c>
      <c r="D3458" s="3">
        <v>0.57468362633542702</v>
      </c>
      <c r="E3458" s="3">
        <v>5.9414237387217401</v>
      </c>
      <c r="F3458" s="4">
        <v>2.82557180156052E-9</v>
      </c>
      <c r="G3458" s="4">
        <v>3.6110860636547602E-8</v>
      </c>
      <c r="H3458" s="3" t="str">
        <f>"PRSS23"</f>
        <v>PRSS23</v>
      </c>
      <c r="I3458" s="3" t="str">
        <f>"protein_coding"</f>
        <v>protein_coding</v>
      </c>
    </row>
    <row r="3459" spans="1:9" x14ac:dyDescent="0.2">
      <c r="A3459" s="3" t="str">
        <f>"ENSG00000174804.4"</f>
        <v>ENSG00000174804.4</v>
      </c>
      <c r="B3459" s="3">
        <v>10954.8307677636</v>
      </c>
      <c r="C3459" s="3">
        <v>-2.5839577429476002</v>
      </c>
      <c r="D3459" s="3">
        <v>0.175704608794476</v>
      </c>
      <c r="E3459" s="3">
        <v>-14.7062604713465</v>
      </c>
      <c r="F3459" s="4">
        <v>5.8766384028326301E-49</v>
      </c>
      <c r="G3459" s="4">
        <v>1.1119497677915301E-46</v>
      </c>
      <c r="H3459" s="3" t="str">
        <f>"FZD4"</f>
        <v>FZD4</v>
      </c>
      <c r="I3459" s="3" t="str">
        <f>"protein_coding"</f>
        <v>protein_coding</v>
      </c>
    </row>
    <row r="3460" spans="1:9" x14ac:dyDescent="0.2">
      <c r="A3460" s="3" t="str">
        <f>"ENSG00000166575.17"</f>
        <v>ENSG00000166575.17</v>
      </c>
      <c r="B3460" s="3">
        <v>6179.0570450590403</v>
      </c>
      <c r="C3460" s="3">
        <v>-1.84636819948819</v>
      </c>
      <c r="D3460" s="3">
        <v>0.18107986282289401</v>
      </c>
      <c r="E3460" s="3">
        <v>-10.1964302971338</v>
      </c>
      <c r="F3460" s="4">
        <v>2.05694191965384E-24</v>
      </c>
      <c r="G3460" s="4">
        <v>1.0903793090429599E-22</v>
      </c>
      <c r="H3460" s="3" t="str">
        <f>"TMEM135"</f>
        <v>TMEM135</v>
      </c>
      <c r="I3460" s="3" t="str">
        <f>"protein_coding"</f>
        <v>protein_coding</v>
      </c>
    </row>
    <row r="3461" spans="1:9" x14ac:dyDescent="0.2">
      <c r="A3461" s="3" t="str">
        <f>"ENSG00000279836.1"</f>
        <v>ENSG00000279836.1</v>
      </c>
      <c r="B3461" s="3">
        <v>150.95357528963299</v>
      </c>
      <c r="C3461" s="3">
        <v>-1.10001198512534</v>
      </c>
      <c r="D3461" s="3">
        <v>0.34643243888608299</v>
      </c>
      <c r="E3461" s="3">
        <v>-3.17525688028037</v>
      </c>
      <c r="F3461" s="3">
        <v>1.4970391033280301E-3</v>
      </c>
      <c r="G3461" s="3">
        <v>6.2724626246930398E-3</v>
      </c>
      <c r="H3461" s="3" t="str">
        <f>"AP002967.1"</f>
        <v>AP002967.1</v>
      </c>
      <c r="I3461" s="3" t="str">
        <f>"TEC"</f>
        <v>TEC</v>
      </c>
    </row>
    <row r="3462" spans="1:9" x14ac:dyDescent="0.2">
      <c r="A3462" s="3" t="str">
        <f>"ENSG00000109861.16"</f>
        <v>ENSG00000109861.16</v>
      </c>
      <c r="B3462" s="3">
        <v>5457.5272892142102</v>
      </c>
      <c r="C3462" s="3">
        <v>-1.63702079794304</v>
      </c>
      <c r="D3462" s="3">
        <v>0.17131384332935501</v>
      </c>
      <c r="E3462" s="3">
        <v>-9.5556831025956992</v>
      </c>
      <c r="F3462" s="4">
        <v>1.2277128645136899E-21</v>
      </c>
      <c r="G3462" s="4">
        <v>5.4216357243767597E-20</v>
      </c>
      <c r="H3462" s="3" t="str">
        <f>"CTSC"</f>
        <v>CTSC</v>
      </c>
      <c r="I3462" s="3" t="str">
        <f>"protein_coding"</f>
        <v>protein_coding</v>
      </c>
    </row>
    <row r="3463" spans="1:9" x14ac:dyDescent="0.2">
      <c r="A3463" s="3" t="str">
        <f>"ENSG00000168959.14"</f>
        <v>ENSG00000168959.14</v>
      </c>
      <c r="B3463" s="3">
        <v>7.4829149907246402</v>
      </c>
      <c r="C3463" s="3">
        <v>4.8077649120513</v>
      </c>
      <c r="D3463" s="3">
        <v>1.8386900072933801</v>
      </c>
      <c r="E3463" s="3">
        <v>2.6147773104660099</v>
      </c>
      <c r="F3463" s="3">
        <v>8.9285647666265296E-3</v>
      </c>
      <c r="G3463" s="3">
        <v>2.8994717049192601E-2</v>
      </c>
      <c r="H3463" s="3" t="str">
        <f>"GRM5"</f>
        <v>GRM5</v>
      </c>
      <c r="I3463" s="3" t="str">
        <f>"protein_coding"</f>
        <v>protein_coding</v>
      </c>
    </row>
    <row r="3464" spans="1:9" x14ac:dyDescent="0.2">
      <c r="A3464" s="3" t="str">
        <f>"ENSG00000086991.13"</f>
        <v>ENSG00000086991.13</v>
      </c>
      <c r="B3464" s="3">
        <v>4.0735280698875203</v>
      </c>
      <c r="C3464" s="3">
        <v>5.4212402584095702</v>
      </c>
      <c r="D3464" s="3">
        <v>2.1434463209324499</v>
      </c>
      <c r="E3464" s="3">
        <v>2.52921671304146</v>
      </c>
      <c r="F3464" s="3">
        <v>1.1431741709104999E-2</v>
      </c>
      <c r="G3464" s="3">
        <v>3.5553095120189997E-2</v>
      </c>
      <c r="H3464" s="3" t="str">
        <f>"NOX4"</f>
        <v>NOX4</v>
      </c>
      <c r="I3464" s="3" t="str">
        <f>"protein_coding"</f>
        <v>protein_coding</v>
      </c>
    </row>
    <row r="3465" spans="1:9" x14ac:dyDescent="0.2">
      <c r="A3465" s="3" t="str">
        <f>"ENSG00000077616.11"</f>
        <v>ENSG00000077616.11</v>
      </c>
      <c r="B3465" s="3">
        <v>363.57267587247901</v>
      </c>
      <c r="C3465" s="3">
        <v>-1.19667818478207</v>
      </c>
      <c r="D3465" s="3">
        <v>0.244720241244134</v>
      </c>
      <c r="E3465" s="3">
        <v>-4.8899844928979999</v>
      </c>
      <c r="F3465" s="4">
        <v>1.0084392169703299E-6</v>
      </c>
      <c r="G3465" s="4">
        <v>8.6541553841859805E-6</v>
      </c>
      <c r="H3465" s="3" t="str">
        <f>"NAALAD2"</f>
        <v>NAALAD2</v>
      </c>
      <c r="I3465" s="3" t="str">
        <f>"protein_coding"</f>
        <v>protein_coding</v>
      </c>
    </row>
    <row r="3466" spans="1:9" x14ac:dyDescent="0.2">
      <c r="A3466" s="3" t="str">
        <f>"ENSG00000165323.15"</f>
        <v>ENSG00000165323.15</v>
      </c>
      <c r="B3466" s="3">
        <v>24.018128631940801</v>
      </c>
      <c r="C3466" s="3">
        <v>4.4725889518253297</v>
      </c>
      <c r="D3466" s="3">
        <v>0.97372291779881803</v>
      </c>
      <c r="E3466" s="3">
        <v>4.5932871354573699</v>
      </c>
      <c r="F3466" s="4">
        <v>4.3631805700939601E-6</v>
      </c>
      <c r="G3466" s="4">
        <v>3.3366146784549602E-5</v>
      </c>
      <c r="H3466" s="3" t="str">
        <f>"FAT3"</f>
        <v>FAT3</v>
      </c>
      <c r="I3466" s="3" t="str">
        <f>"protein_coding"</f>
        <v>protein_coding</v>
      </c>
    </row>
    <row r="3467" spans="1:9" x14ac:dyDescent="0.2">
      <c r="A3467" s="3" t="str">
        <f>"ENSG00000254911.3"</f>
        <v>ENSG00000254911.3</v>
      </c>
      <c r="B3467" s="3">
        <v>417.01409049771701</v>
      </c>
      <c r="C3467" s="3">
        <v>1.74806631367702</v>
      </c>
      <c r="D3467" s="3">
        <v>0.238515441199736</v>
      </c>
      <c r="E3467" s="3">
        <v>7.32894400833848</v>
      </c>
      <c r="F3467" s="4">
        <v>2.31973270813223E-13</v>
      </c>
      <c r="G3467" s="4">
        <v>4.9651026785922203E-12</v>
      </c>
      <c r="H3467" s="3" t="str">
        <f>"SCARNA9"</f>
        <v>SCARNA9</v>
      </c>
      <c r="I3467" s="3" t="str">
        <f>"antisense"</f>
        <v>antisense</v>
      </c>
    </row>
    <row r="3468" spans="1:9" x14ac:dyDescent="0.2">
      <c r="A3468" s="3" t="str">
        <f>"ENSG00000181333.11"</f>
        <v>ENSG00000181333.11</v>
      </c>
      <c r="B3468" s="3">
        <v>16.964351747166301</v>
      </c>
      <c r="C3468" s="3">
        <v>4.3825793291473003</v>
      </c>
      <c r="D3468" s="3">
        <v>1.12910971122741</v>
      </c>
      <c r="E3468" s="3">
        <v>3.8814468475195198</v>
      </c>
      <c r="F3468" s="3">
        <v>1.0383684854363E-4</v>
      </c>
      <c r="G3468" s="3">
        <v>5.9238748163071295E-4</v>
      </c>
      <c r="H3468" s="3" t="str">
        <f>"HEPHL1"</f>
        <v>HEPHL1</v>
      </c>
      <c r="I3468" s="3" t="str">
        <f>"protein_coding"</f>
        <v>protein_coding</v>
      </c>
    </row>
    <row r="3469" spans="1:9" x14ac:dyDescent="0.2">
      <c r="A3469" s="3" t="str">
        <f>"ENSG00000183560.9"</f>
        <v>ENSG00000183560.9</v>
      </c>
      <c r="B3469" s="3">
        <v>174.974547547924</v>
      </c>
      <c r="C3469" s="3">
        <v>7.8144138775131298</v>
      </c>
      <c r="D3469" s="3">
        <v>0.883969814746144</v>
      </c>
      <c r="E3469" s="3">
        <v>8.8401365602707305</v>
      </c>
      <c r="F3469" s="4">
        <v>9.56016794791867E-19</v>
      </c>
      <c r="G3469" s="4">
        <v>3.3056585796565999E-17</v>
      </c>
      <c r="H3469" s="3" t="str">
        <f>"IZUMO1R"</f>
        <v>IZUMO1R</v>
      </c>
      <c r="I3469" s="3" t="str">
        <f>"protein_coding"</f>
        <v>protein_coding</v>
      </c>
    </row>
    <row r="3470" spans="1:9" x14ac:dyDescent="0.2">
      <c r="A3470" s="3" t="str">
        <f>"ENSG00000134627.12"</f>
        <v>ENSG00000134627.12</v>
      </c>
      <c r="B3470" s="3">
        <v>4.8465514323206698</v>
      </c>
      <c r="C3470" s="3">
        <v>5.6768670601366198</v>
      </c>
      <c r="D3470" s="3">
        <v>2.0625215872145701</v>
      </c>
      <c r="E3470" s="3">
        <v>2.75239158480916</v>
      </c>
      <c r="F3470" s="3">
        <v>5.9161731801165201E-3</v>
      </c>
      <c r="G3470" s="3">
        <v>2.0448810178692701E-2</v>
      </c>
      <c r="H3470" s="3" t="str">
        <f>"PIWIL4"</f>
        <v>PIWIL4</v>
      </c>
      <c r="I3470" s="3" t="str">
        <f>"protein_coding"</f>
        <v>protein_coding</v>
      </c>
    </row>
    <row r="3471" spans="1:9" x14ac:dyDescent="0.2">
      <c r="A3471" s="3" t="str">
        <f>"ENSG00000255929.5"</f>
        <v>ENSG00000255929.5</v>
      </c>
      <c r="B3471" s="3">
        <v>5.0277419563543804</v>
      </c>
      <c r="C3471" s="3">
        <v>5.7249864720364698</v>
      </c>
      <c r="D3471" s="3">
        <v>2.0292551541625601</v>
      </c>
      <c r="E3471" s="3">
        <v>2.82122554193983</v>
      </c>
      <c r="F3471" s="3">
        <v>4.7840554620197E-3</v>
      </c>
      <c r="G3471" s="3">
        <v>1.7077316805142299E-2</v>
      </c>
      <c r="H3471" s="3" t="str">
        <f>"AP000943.3"</f>
        <v>AP000943.3</v>
      </c>
      <c r="I3471" s="3" t="str">
        <f>"antisense"</f>
        <v>antisense</v>
      </c>
    </row>
    <row r="3472" spans="1:9" x14ac:dyDescent="0.2">
      <c r="A3472" s="3" t="str">
        <f>"ENSG00000166025.18"</f>
        <v>ENSG00000166025.18</v>
      </c>
      <c r="B3472" s="3">
        <v>1531.1521233696301</v>
      </c>
      <c r="C3472" s="3">
        <v>6.3643621547774201</v>
      </c>
      <c r="D3472" s="3">
        <v>0.26767023791619099</v>
      </c>
      <c r="E3472" s="3">
        <v>23.776876369684899</v>
      </c>
      <c r="F3472" s="4">
        <v>5.79471156110695E-125</v>
      </c>
      <c r="G3472" s="4">
        <v>1.7543167322831199E-121</v>
      </c>
      <c r="H3472" s="3" t="str">
        <f>"AMOTL1"</f>
        <v>AMOTL1</v>
      </c>
      <c r="I3472" s="3" t="str">
        <f t="shared" ref="I3472:I3481" si="163">"protein_coding"</f>
        <v>protein_coding</v>
      </c>
    </row>
    <row r="3473" spans="1:9" x14ac:dyDescent="0.2">
      <c r="A3473" s="3" t="str">
        <f>"ENSG00000263465.4"</f>
        <v>ENSG00000263465.4</v>
      </c>
      <c r="B3473" s="3">
        <v>2792.6305298211901</v>
      </c>
      <c r="C3473" s="3">
        <v>1.3319910850187999</v>
      </c>
      <c r="D3473" s="3">
        <v>0.18336494600255801</v>
      </c>
      <c r="E3473" s="3">
        <v>7.2641533404112097</v>
      </c>
      <c r="F3473" s="4">
        <v>3.7538198724932802E-13</v>
      </c>
      <c r="G3473" s="4">
        <v>7.8556321095103198E-12</v>
      </c>
      <c r="H3473" s="3" t="str">
        <f>"SRSF8"</f>
        <v>SRSF8</v>
      </c>
      <c r="I3473" s="3" t="str">
        <f t="shared" si="163"/>
        <v>protein_coding</v>
      </c>
    </row>
    <row r="3474" spans="1:9" x14ac:dyDescent="0.2">
      <c r="A3474" s="3" t="str">
        <f>"ENSG00000149218.5"</f>
        <v>ENSG00000149218.5</v>
      </c>
      <c r="B3474" s="3">
        <v>995.34913181839704</v>
      </c>
      <c r="C3474" s="3">
        <v>1.2138129167362799</v>
      </c>
      <c r="D3474" s="3">
        <v>0.19630059081793</v>
      </c>
      <c r="E3474" s="3">
        <v>6.1834399564395603</v>
      </c>
      <c r="F3474" s="4">
        <v>6.2719596267978597E-10</v>
      </c>
      <c r="G3474" s="4">
        <v>8.7368141079428093E-9</v>
      </c>
      <c r="H3474" s="3" t="str">
        <f>"ENDOD1"</f>
        <v>ENDOD1</v>
      </c>
      <c r="I3474" s="3" t="str">
        <f t="shared" si="163"/>
        <v>protein_coding</v>
      </c>
    </row>
    <row r="3475" spans="1:9" x14ac:dyDescent="0.2">
      <c r="A3475" s="3" t="str">
        <f>"ENSG00000149212.11"</f>
        <v>ENSG00000149212.11</v>
      </c>
      <c r="B3475" s="3">
        <v>234.29083240292599</v>
      </c>
      <c r="C3475" s="3">
        <v>1.44126423585116</v>
      </c>
      <c r="D3475" s="3">
        <v>0.27764181768581297</v>
      </c>
      <c r="E3475" s="3">
        <v>5.1910920619390799</v>
      </c>
      <c r="F3475" s="4">
        <v>2.09064216057427E-7</v>
      </c>
      <c r="G3475" s="4">
        <v>2.01498857266243E-6</v>
      </c>
      <c r="H3475" s="3" t="str">
        <f>"SESN3"</f>
        <v>SESN3</v>
      </c>
      <c r="I3475" s="3" t="str">
        <f t="shared" si="163"/>
        <v>protein_coding</v>
      </c>
    </row>
    <row r="3476" spans="1:9" x14ac:dyDescent="0.2">
      <c r="A3476" s="3" t="str">
        <f>"ENSG00000149972.11"</f>
        <v>ENSG00000149972.11</v>
      </c>
      <c r="B3476" s="3">
        <v>8.1078122445954008</v>
      </c>
      <c r="C3476" s="3">
        <v>6.4113243729373002</v>
      </c>
      <c r="D3476" s="3">
        <v>1.8560627384513699</v>
      </c>
      <c r="E3476" s="3">
        <v>3.4542605915825302</v>
      </c>
      <c r="F3476" s="3">
        <v>5.5180390161727196E-4</v>
      </c>
      <c r="G3476" s="3">
        <v>2.61387359307472E-3</v>
      </c>
      <c r="H3476" s="3" t="str">
        <f>"CNTN5"</f>
        <v>CNTN5</v>
      </c>
      <c r="I3476" s="3" t="str">
        <f t="shared" si="163"/>
        <v>protein_coding</v>
      </c>
    </row>
    <row r="3477" spans="1:9" x14ac:dyDescent="0.2">
      <c r="A3477" s="3" t="str">
        <f>"ENSG00000165895.19"</f>
        <v>ENSG00000165895.19</v>
      </c>
      <c r="B3477" s="3">
        <v>186.641822060534</v>
      </c>
      <c r="C3477" s="3">
        <v>1.8848235236455499</v>
      </c>
      <c r="D3477" s="3">
        <v>0.30172677587835101</v>
      </c>
      <c r="E3477" s="3">
        <v>6.2467890632466299</v>
      </c>
      <c r="F3477" s="4">
        <v>4.1897626498477398E-10</v>
      </c>
      <c r="G3477" s="4">
        <v>5.9457532771042402E-9</v>
      </c>
      <c r="H3477" s="3" t="str">
        <f>"ARHGAP42"</f>
        <v>ARHGAP42</v>
      </c>
      <c r="I3477" s="3" t="str">
        <f t="shared" si="163"/>
        <v>protein_coding</v>
      </c>
    </row>
    <row r="3478" spans="1:9" x14ac:dyDescent="0.2">
      <c r="A3478" s="3" t="str">
        <f>"ENSG00000082175.14"</f>
        <v>ENSG00000082175.14</v>
      </c>
      <c r="B3478" s="3">
        <v>4.9522599563679996</v>
      </c>
      <c r="C3478" s="3">
        <v>5.6991428411124598</v>
      </c>
      <c r="D3478" s="3">
        <v>2.0753997606471701</v>
      </c>
      <c r="E3478" s="3">
        <v>2.7460458217145201</v>
      </c>
      <c r="F3478" s="3">
        <v>6.0318338392833697E-3</v>
      </c>
      <c r="G3478" s="3">
        <v>2.0782672814738799E-2</v>
      </c>
      <c r="H3478" s="3" t="str">
        <f>"PGR"</f>
        <v>PGR</v>
      </c>
      <c r="I3478" s="3" t="str">
        <f t="shared" si="163"/>
        <v>protein_coding</v>
      </c>
    </row>
    <row r="3479" spans="1:9" x14ac:dyDescent="0.2">
      <c r="A3479" s="3" t="str">
        <f>"ENSG00000137672.13"</f>
        <v>ENSG00000137672.13</v>
      </c>
      <c r="B3479" s="3">
        <v>5.9819558428212396</v>
      </c>
      <c r="C3479" s="3">
        <v>5.9757714752725404</v>
      </c>
      <c r="D3479" s="3">
        <v>1.9478131524890001</v>
      </c>
      <c r="E3479" s="3">
        <v>3.0679387638575299</v>
      </c>
      <c r="F3479" s="3">
        <v>2.15540781510168E-3</v>
      </c>
      <c r="G3479" s="3">
        <v>8.5973351980786605E-3</v>
      </c>
      <c r="H3479" s="3" t="str">
        <f>"TRPC6"</f>
        <v>TRPC6</v>
      </c>
      <c r="I3479" s="3" t="str">
        <f t="shared" si="163"/>
        <v>protein_coding</v>
      </c>
    </row>
    <row r="3480" spans="1:9" x14ac:dyDescent="0.2">
      <c r="A3480" s="3" t="str">
        <f>"ENSG00000187151.7"</f>
        <v>ENSG00000187151.7</v>
      </c>
      <c r="B3480" s="3">
        <v>3.8168555458674298</v>
      </c>
      <c r="C3480" s="3">
        <v>5.3279350919035302</v>
      </c>
      <c r="D3480" s="3">
        <v>2.1809774924298599</v>
      </c>
      <c r="E3480" s="3">
        <v>2.4429115432858599</v>
      </c>
      <c r="F3480" s="3">
        <v>1.4569307781241599E-2</v>
      </c>
      <c r="G3480" s="3">
        <v>4.3474967595607303E-2</v>
      </c>
      <c r="H3480" s="3" t="str">
        <f>"ANGPTL5"</f>
        <v>ANGPTL5</v>
      </c>
      <c r="I3480" s="3" t="str">
        <f t="shared" si="163"/>
        <v>protein_coding</v>
      </c>
    </row>
    <row r="3481" spans="1:9" x14ac:dyDescent="0.2">
      <c r="A3481" s="3" t="str">
        <f>"ENSG00000118113.12"</f>
        <v>ENSG00000118113.12</v>
      </c>
      <c r="B3481" s="3">
        <v>4.2577243842941197</v>
      </c>
      <c r="C3481" s="3">
        <v>5.4867669360524598</v>
      </c>
      <c r="D3481" s="3">
        <v>2.11613036159978</v>
      </c>
      <c r="E3481" s="3">
        <v>2.5928303074412198</v>
      </c>
      <c r="F3481" s="3">
        <v>9.5189725018600003E-3</v>
      </c>
      <c r="G3481" s="3">
        <v>3.0470329388883902E-2</v>
      </c>
      <c r="H3481" s="3" t="str">
        <f>"MMP8"</f>
        <v>MMP8</v>
      </c>
      <c r="I3481" s="3" t="str">
        <f t="shared" si="163"/>
        <v>protein_coding</v>
      </c>
    </row>
    <row r="3482" spans="1:9" x14ac:dyDescent="0.2">
      <c r="A3482" s="3" t="str">
        <f>"ENSG00000255282.6"</f>
        <v>ENSG00000255282.6</v>
      </c>
      <c r="B3482" s="3">
        <v>15.783816390792801</v>
      </c>
      <c r="C3482" s="3">
        <v>4.88532565548471</v>
      </c>
      <c r="D3482" s="3">
        <v>1.2896503996698301</v>
      </c>
      <c r="E3482" s="3">
        <v>3.78810075717842</v>
      </c>
      <c r="F3482" s="3">
        <v>1.5180328946187E-4</v>
      </c>
      <c r="G3482" s="3">
        <v>8.33740017731822E-4</v>
      </c>
      <c r="H3482" s="3" t="str">
        <f>"WTAPP1"</f>
        <v>WTAPP1</v>
      </c>
      <c r="I3482" s="3" t="str">
        <f>"transcribed_processed_pseudogene"</f>
        <v>transcribed_processed_pseudogene</v>
      </c>
    </row>
    <row r="3483" spans="1:9" x14ac:dyDescent="0.2">
      <c r="A3483" s="3" t="str">
        <f>"ENSG00000137692.12"</f>
        <v>ENSG00000137692.12</v>
      </c>
      <c r="B3483" s="3">
        <v>1650.68357925892</v>
      </c>
      <c r="C3483" s="3">
        <v>-1.0054057675205901</v>
      </c>
      <c r="D3483" s="3">
        <v>0.185314460462953</v>
      </c>
      <c r="E3483" s="3">
        <v>-5.42540374350106</v>
      </c>
      <c r="F3483" s="4">
        <v>5.7823684819914897E-8</v>
      </c>
      <c r="G3483" s="4">
        <v>6.1203625039262002E-7</v>
      </c>
      <c r="H3483" s="3" t="str">
        <f>"DCUN1D5"</f>
        <v>DCUN1D5</v>
      </c>
      <c r="I3483" s="3" t="str">
        <f t="shared" ref="I3483:I3490" si="164">"protein_coding"</f>
        <v>protein_coding</v>
      </c>
    </row>
    <row r="3484" spans="1:9" x14ac:dyDescent="0.2">
      <c r="A3484" s="3" t="str">
        <f>"ENSG00000187240.15"</f>
        <v>ENSG00000187240.15</v>
      </c>
      <c r="B3484" s="3">
        <v>136.24965391282399</v>
      </c>
      <c r="C3484" s="3">
        <v>1.60922104249443</v>
      </c>
      <c r="D3484" s="3">
        <v>0.34418514257141802</v>
      </c>
      <c r="E3484" s="3">
        <v>4.6754517945542</v>
      </c>
      <c r="F3484" s="4">
        <v>2.9330717121624899E-6</v>
      </c>
      <c r="G3484" s="4">
        <v>2.30908422251637E-5</v>
      </c>
      <c r="H3484" s="3" t="str">
        <f>"DYNC2H1"</f>
        <v>DYNC2H1</v>
      </c>
      <c r="I3484" s="3" t="str">
        <f t="shared" si="164"/>
        <v>protein_coding</v>
      </c>
    </row>
    <row r="3485" spans="1:9" x14ac:dyDescent="0.2">
      <c r="A3485" s="3" t="str">
        <f>"ENSG00000152402.10"</f>
        <v>ENSG00000152402.10</v>
      </c>
      <c r="B3485" s="3">
        <v>28.6380388050931</v>
      </c>
      <c r="C3485" s="3">
        <v>1.92703735254911</v>
      </c>
      <c r="D3485" s="3">
        <v>0.68219255767552001</v>
      </c>
      <c r="E3485" s="3">
        <v>2.82477041249942</v>
      </c>
      <c r="F3485" s="3">
        <v>4.7314505009879299E-3</v>
      </c>
      <c r="G3485" s="3">
        <v>1.69361313452993E-2</v>
      </c>
      <c r="H3485" s="3" t="str">
        <f>"GUCY1A2"</f>
        <v>GUCY1A2</v>
      </c>
      <c r="I3485" s="3" t="str">
        <f t="shared" si="164"/>
        <v>protein_coding</v>
      </c>
    </row>
    <row r="3486" spans="1:9" x14ac:dyDescent="0.2">
      <c r="A3486" s="3" t="str">
        <f>"ENSG00000075239.13"</f>
        <v>ENSG00000075239.13</v>
      </c>
      <c r="B3486" s="3">
        <v>2988.9901619683601</v>
      </c>
      <c r="C3486" s="3">
        <v>-1.0468386332627</v>
      </c>
      <c r="D3486" s="3">
        <v>0.17699992103069201</v>
      </c>
      <c r="E3486" s="3">
        <v>-5.9143451995166698</v>
      </c>
      <c r="F3486" s="4">
        <v>3.3319843397134901E-9</v>
      </c>
      <c r="G3486" s="4">
        <v>4.2305022042951202E-8</v>
      </c>
      <c r="H3486" s="3" t="str">
        <f>"ACAT1"</f>
        <v>ACAT1</v>
      </c>
      <c r="I3486" s="3" t="str">
        <f t="shared" si="164"/>
        <v>protein_coding</v>
      </c>
    </row>
    <row r="3487" spans="1:9" x14ac:dyDescent="0.2">
      <c r="A3487" s="3" t="str">
        <f>"ENSG00000166323.13"</f>
        <v>ENSG00000166323.13</v>
      </c>
      <c r="B3487" s="3">
        <v>25.999753155925699</v>
      </c>
      <c r="C3487" s="3">
        <v>2.2989478430001302</v>
      </c>
      <c r="D3487" s="3">
        <v>0.71403372265352705</v>
      </c>
      <c r="E3487" s="3">
        <v>3.2196628395318099</v>
      </c>
      <c r="F3487" s="3">
        <v>1.28341445934016E-3</v>
      </c>
      <c r="G3487" s="3">
        <v>5.4810648548027302E-3</v>
      </c>
      <c r="H3487" s="3" t="str">
        <f>"C11orf65"</f>
        <v>C11orf65</v>
      </c>
      <c r="I3487" s="3" t="str">
        <f t="shared" si="164"/>
        <v>protein_coding</v>
      </c>
    </row>
    <row r="3488" spans="1:9" x14ac:dyDescent="0.2">
      <c r="A3488" s="3" t="str">
        <f>"ENSG00000178202.13"</f>
        <v>ENSG00000178202.13</v>
      </c>
      <c r="B3488" s="3">
        <v>1839.8751991347201</v>
      </c>
      <c r="C3488" s="3">
        <v>-1.90165047176388</v>
      </c>
      <c r="D3488" s="3">
        <v>0.18530478910833201</v>
      </c>
      <c r="E3488" s="3">
        <v>-10.262284536273601</v>
      </c>
      <c r="F3488" s="4">
        <v>1.0421163368934499E-24</v>
      </c>
      <c r="G3488" s="4">
        <v>5.6902893449570998E-23</v>
      </c>
      <c r="H3488" s="3" t="str">
        <f>"KDELC2"</f>
        <v>KDELC2</v>
      </c>
      <c r="I3488" s="3" t="str">
        <f t="shared" si="164"/>
        <v>protein_coding</v>
      </c>
    </row>
    <row r="3489" spans="1:9" x14ac:dyDescent="0.2">
      <c r="A3489" s="3" t="str">
        <f>"ENSG00000110723.12"</f>
        <v>ENSG00000110723.12</v>
      </c>
      <c r="B3489" s="3">
        <v>31.3226531978097</v>
      </c>
      <c r="C3489" s="3">
        <v>3.6341880276486802</v>
      </c>
      <c r="D3489" s="3">
        <v>0.78368763575440104</v>
      </c>
      <c r="E3489" s="3">
        <v>4.6372915200458698</v>
      </c>
      <c r="F3489" s="4">
        <v>3.5300437087581201E-6</v>
      </c>
      <c r="G3489" s="4">
        <v>2.7449515106316401E-5</v>
      </c>
      <c r="H3489" s="3" t="str">
        <f>"EXPH5"</f>
        <v>EXPH5</v>
      </c>
      <c r="I3489" s="3" t="str">
        <f t="shared" si="164"/>
        <v>protein_coding</v>
      </c>
    </row>
    <row r="3490" spans="1:9" x14ac:dyDescent="0.2">
      <c r="A3490" s="3" t="str">
        <f>"ENSG00000137710.15"</f>
        <v>ENSG00000137710.15</v>
      </c>
      <c r="B3490" s="3">
        <v>13514.143101760799</v>
      </c>
      <c r="C3490" s="3">
        <v>1.7550387916086501</v>
      </c>
      <c r="D3490" s="3">
        <v>0.201716720729154</v>
      </c>
      <c r="E3490" s="3">
        <v>8.7005122097198306</v>
      </c>
      <c r="F3490" s="4">
        <v>3.3038950201364299E-18</v>
      </c>
      <c r="G3490" s="4">
        <v>1.08721289388475E-16</v>
      </c>
      <c r="H3490" s="3" t="str">
        <f>"RDX"</f>
        <v>RDX</v>
      </c>
      <c r="I3490" s="3" t="str">
        <f t="shared" si="164"/>
        <v>protein_coding</v>
      </c>
    </row>
    <row r="3491" spans="1:9" x14ac:dyDescent="0.2">
      <c r="A3491" s="3" t="str">
        <f>"ENSG00000254416.5"</f>
        <v>ENSG00000254416.5</v>
      </c>
      <c r="B3491" s="3">
        <v>13.491256927729401</v>
      </c>
      <c r="C3491" s="3">
        <v>3.5790421906352399</v>
      </c>
      <c r="D3491" s="3">
        <v>1.1605161097838199</v>
      </c>
      <c r="E3491" s="3">
        <v>3.0840090546454801</v>
      </c>
      <c r="F3491" s="3">
        <v>2.0423137954695002E-3</v>
      </c>
      <c r="G3491" s="3">
        <v>8.2050905315773394E-3</v>
      </c>
      <c r="H3491" s="3" t="str">
        <f>"AP000924.1"</f>
        <v>AP000924.1</v>
      </c>
      <c r="I3491" s="3" t="str">
        <f>"lincRNA"</f>
        <v>lincRNA</v>
      </c>
    </row>
    <row r="3492" spans="1:9" x14ac:dyDescent="0.2">
      <c r="A3492" s="3" t="str">
        <f>"ENSG00000137714.3"</f>
        <v>ENSG00000137714.3</v>
      </c>
      <c r="B3492" s="3">
        <v>1391.7066552252099</v>
      </c>
      <c r="C3492" s="3">
        <v>1.45844411217201</v>
      </c>
      <c r="D3492" s="3">
        <v>0.19858220559362599</v>
      </c>
      <c r="E3492" s="3">
        <v>7.3442839846211596</v>
      </c>
      <c r="F3492" s="4">
        <v>2.0686349026891701E-13</v>
      </c>
      <c r="G3492" s="4">
        <v>4.4556596990965801E-12</v>
      </c>
      <c r="H3492" s="3" t="str">
        <f>"FDX1"</f>
        <v>FDX1</v>
      </c>
      <c r="I3492" s="3" t="str">
        <f>"protein_coding"</f>
        <v>protein_coding</v>
      </c>
    </row>
    <row r="3493" spans="1:9" x14ac:dyDescent="0.2">
      <c r="A3493" s="3" t="str">
        <f>"ENSG00000137727.12"</f>
        <v>ENSG00000137727.12</v>
      </c>
      <c r="B3493" s="3">
        <v>13.4257948373288</v>
      </c>
      <c r="C3493" s="3">
        <v>4.6502081179862502</v>
      </c>
      <c r="D3493" s="3">
        <v>1.3460424394236801</v>
      </c>
      <c r="E3493" s="3">
        <v>3.4547262268916801</v>
      </c>
      <c r="F3493" s="3">
        <v>5.5085186414348798E-4</v>
      </c>
      <c r="G3493" s="3">
        <v>2.60981755213313E-3</v>
      </c>
      <c r="H3493" s="3" t="str">
        <f>"ARHGAP20"</f>
        <v>ARHGAP20</v>
      </c>
      <c r="I3493" s="3" t="str">
        <f>"protein_coding"</f>
        <v>protein_coding</v>
      </c>
    </row>
    <row r="3494" spans="1:9" x14ac:dyDescent="0.2">
      <c r="A3494" s="3" t="str">
        <f>"ENSG00000196167.9"</f>
        <v>ENSG00000196167.9</v>
      </c>
      <c r="B3494" s="3">
        <v>337.87639794183798</v>
      </c>
      <c r="C3494" s="3">
        <v>1.44259951430491</v>
      </c>
      <c r="D3494" s="3">
        <v>0.24597450343716201</v>
      </c>
      <c r="E3494" s="3">
        <v>5.8648335260220996</v>
      </c>
      <c r="F3494" s="4">
        <v>4.4958353389741496E-9</v>
      </c>
      <c r="G3494" s="4">
        <v>5.60888395059656E-8</v>
      </c>
      <c r="H3494" s="3" t="str">
        <f>"COLCA1"</f>
        <v>COLCA1</v>
      </c>
      <c r="I3494" s="3" t="str">
        <f>"antisense"</f>
        <v>antisense</v>
      </c>
    </row>
    <row r="3495" spans="1:9" x14ac:dyDescent="0.2">
      <c r="A3495" s="3" t="str">
        <f>"ENSG00000110777.12"</f>
        <v>ENSG00000110777.12</v>
      </c>
      <c r="B3495" s="3">
        <v>272.49856861338998</v>
      </c>
      <c r="C3495" s="3">
        <v>1.2342221217424401</v>
      </c>
      <c r="D3495" s="3">
        <v>0.26032798497149201</v>
      </c>
      <c r="E3495" s="3">
        <v>4.74102744611801</v>
      </c>
      <c r="F3495" s="4">
        <v>2.1263712208507699E-6</v>
      </c>
      <c r="G3495" s="4">
        <v>1.7217603760630299E-5</v>
      </c>
      <c r="H3495" s="3" t="str">
        <f>"POU2AF1"</f>
        <v>POU2AF1</v>
      </c>
      <c r="I3495" s="3" t="str">
        <f>"protein_coding"</f>
        <v>protein_coding</v>
      </c>
    </row>
    <row r="3496" spans="1:9" x14ac:dyDescent="0.2">
      <c r="A3496" s="3" t="str">
        <f>"ENSG00000204381.11"</f>
        <v>ENSG00000204381.11</v>
      </c>
      <c r="B3496" s="3">
        <v>19.8798590130904</v>
      </c>
      <c r="C3496" s="3">
        <v>2.05595889059301</v>
      </c>
      <c r="D3496" s="3">
        <v>0.81951699030257397</v>
      </c>
      <c r="E3496" s="3">
        <v>2.5087446812224501</v>
      </c>
      <c r="F3496" s="3">
        <v>1.2116102357155E-2</v>
      </c>
      <c r="G3496" s="3">
        <v>3.7332063883908403E-2</v>
      </c>
      <c r="H3496" s="3" t="str">
        <f>"LAYN"</f>
        <v>LAYN</v>
      </c>
      <c r="I3496" s="3" t="str">
        <f>"protein_coding"</f>
        <v>protein_coding</v>
      </c>
    </row>
    <row r="3497" spans="1:9" x14ac:dyDescent="0.2">
      <c r="A3497" s="3" t="str">
        <f>"ENSG00000254990.5"</f>
        <v>ENSG00000254990.5</v>
      </c>
      <c r="B3497" s="3">
        <v>59.907604880581999</v>
      </c>
      <c r="C3497" s="3">
        <v>1.72128597491031</v>
      </c>
      <c r="D3497" s="3">
        <v>0.47067693251049197</v>
      </c>
      <c r="E3497" s="3">
        <v>3.6570434113465802</v>
      </c>
      <c r="F3497" s="3">
        <v>2.5514118308908899E-4</v>
      </c>
      <c r="G3497" s="3">
        <v>1.3186327419628999E-3</v>
      </c>
      <c r="H3497" s="3" t="str">
        <f>"AP001781.1"</f>
        <v>AP001781.1</v>
      </c>
      <c r="I3497" s="3" t="str">
        <f>"lincRNA"</f>
        <v>lincRNA</v>
      </c>
    </row>
    <row r="3498" spans="1:9" x14ac:dyDescent="0.2">
      <c r="A3498" s="3" t="str">
        <f>"ENSG00000255561.7"</f>
        <v>ENSG00000255561.7</v>
      </c>
      <c r="B3498" s="3">
        <v>69.436702927891801</v>
      </c>
      <c r="C3498" s="3">
        <v>-1.3433325236453699</v>
      </c>
      <c r="D3498" s="3">
        <v>0.43869949073425901</v>
      </c>
      <c r="E3498" s="3">
        <v>-3.0620790587128601</v>
      </c>
      <c r="F3498" s="3">
        <v>2.19805389721376E-3</v>
      </c>
      <c r="G3498" s="3">
        <v>8.7349294175055308E-3</v>
      </c>
      <c r="H3498" s="3" t="str">
        <f>"FDXACB1"</f>
        <v>FDXACB1</v>
      </c>
      <c r="I3498" s="3" t="str">
        <f t="shared" ref="I3498:I3504" si="165">"protein_coding"</f>
        <v>protein_coding</v>
      </c>
    </row>
    <row r="3499" spans="1:9" x14ac:dyDescent="0.2">
      <c r="A3499" s="3" t="str">
        <f>"ENSG00000137720.8"</f>
        <v>ENSG00000137720.8</v>
      </c>
      <c r="B3499" s="3">
        <v>278.83591297040601</v>
      </c>
      <c r="C3499" s="3">
        <v>1.0844595138798301</v>
      </c>
      <c r="D3499" s="3">
        <v>0.26530964797530299</v>
      </c>
      <c r="E3499" s="3">
        <v>4.0875238505490898</v>
      </c>
      <c r="F3499" s="4">
        <v>4.3600186422660399E-5</v>
      </c>
      <c r="G3499" s="3">
        <v>2.6987148556524901E-4</v>
      </c>
      <c r="H3499" s="3" t="str">
        <f>"C11orf1"</f>
        <v>C11orf1</v>
      </c>
      <c r="I3499" s="3" t="str">
        <f t="shared" si="165"/>
        <v>protein_coding</v>
      </c>
    </row>
    <row r="3500" spans="1:9" x14ac:dyDescent="0.2">
      <c r="A3500" s="3" t="str">
        <f>"ENSG00000150764.13"</f>
        <v>ENSG00000150764.13</v>
      </c>
      <c r="B3500" s="3">
        <v>1657.1887730462599</v>
      </c>
      <c r="C3500" s="3">
        <v>-1.0212881097278801</v>
      </c>
      <c r="D3500" s="3">
        <v>0.196791967146033</v>
      </c>
      <c r="E3500" s="3">
        <v>-5.1896839314077203</v>
      </c>
      <c r="F3500" s="4">
        <v>2.1065133522856501E-7</v>
      </c>
      <c r="G3500" s="4">
        <v>2.0295675144882299E-6</v>
      </c>
      <c r="H3500" s="3" t="str">
        <f>"DIXDC1"</f>
        <v>DIXDC1</v>
      </c>
      <c r="I3500" s="3" t="str">
        <f t="shared" si="165"/>
        <v>protein_coding</v>
      </c>
    </row>
    <row r="3501" spans="1:9" x14ac:dyDescent="0.2">
      <c r="A3501" s="3" t="str">
        <f>"ENSG00000150768.15"</f>
        <v>ENSG00000150768.15</v>
      </c>
      <c r="B3501" s="3">
        <v>3259.6989723534798</v>
      </c>
      <c r="C3501" s="3">
        <v>-1.4244856508271799</v>
      </c>
      <c r="D3501" s="3">
        <v>0.177467098330965</v>
      </c>
      <c r="E3501" s="3">
        <v>-8.0267591245032293</v>
      </c>
      <c r="F3501" s="4">
        <v>1.0008131383327099E-15</v>
      </c>
      <c r="G3501" s="4">
        <v>2.6682148317173601E-14</v>
      </c>
      <c r="H3501" s="3" t="str">
        <f>"DLAT"</f>
        <v>DLAT</v>
      </c>
      <c r="I3501" s="3" t="str">
        <f t="shared" si="165"/>
        <v>protein_coding</v>
      </c>
    </row>
    <row r="3502" spans="1:9" x14ac:dyDescent="0.2">
      <c r="A3502" s="3" t="str">
        <f>"ENSG00000150773.10"</f>
        <v>ENSG00000150773.10</v>
      </c>
      <c r="B3502" s="3">
        <v>58.714092769837499</v>
      </c>
      <c r="C3502" s="3">
        <v>1.34465972563294</v>
      </c>
      <c r="D3502" s="3">
        <v>0.53829828586599104</v>
      </c>
      <c r="E3502" s="3">
        <v>2.4979825515693599</v>
      </c>
      <c r="F3502" s="3">
        <v>1.2490234143028399E-2</v>
      </c>
      <c r="G3502" s="3">
        <v>3.82854018168826E-2</v>
      </c>
      <c r="H3502" s="3" t="str">
        <f>"PIH1D2"</f>
        <v>PIH1D2</v>
      </c>
      <c r="I3502" s="3" t="str">
        <f t="shared" si="165"/>
        <v>protein_coding</v>
      </c>
    </row>
    <row r="3503" spans="1:9" x14ac:dyDescent="0.2">
      <c r="A3503" s="3" t="str">
        <f>"ENSG00000150782.12"</f>
        <v>ENSG00000150782.12</v>
      </c>
      <c r="B3503" s="3">
        <v>149.311528612275</v>
      </c>
      <c r="C3503" s="3">
        <v>1.25857981665805</v>
      </c>
      <c r="D3503" s="3">
        <v>0.36345302390249101</v>
      </c>
      <c r="E3503" s="3">
        <v>3.4628404054651898</v>
      </c>
      <c r="F3503" s="3">
        <v>5.3450532894950599E-4</v>
      </c>
      <c r="G3503" s="3">
        <v>2.5420957755083302E-3</v>
      </c>
      <c r="H3503" s="3" t="str">
        <f>"IL18"</f>
        <v>IL18</v>
      </c>
      <c r="I3503" s="3" t="str">
        <f t="shared" si="165"/>
        <v>protein_coding</v>
      </c>
    </row>
    <row r="3504" spans="1:9" x14ac:dyDescent="0.2">
      <c r="A3504" s="3" t="str">
        <f>"ENSG00000197580.11"</f>
        <v>ENSG00000197580.11</v>
      </c>
      <c r="B3504" s="3">
        <v>78.128831312612405</v>
      </c>
      <c r="C3504" s="3">
        <v>1.5063307828102399</v>
      </c>
      <c r="D3504" s="3">
        <v>0.42634980377743498</v>
      </c>
      <c r="E3504" s="3">
        <v>3.5330866097843399</v>
      </c>
      <c r="F3504" s="3">
        <v>4.10737888889978E-4</v>
      </c>
      <c r="G3504" s="3">
        <v>2.0157376186212602E-3</v>
      </c>
      <c r="H3504" s="3" t="str">
        <f>"BCO2"</f>
        <v>BCO2</v>
      </c>
      <c r="I3504" s="3" t="str">
        <f t="shared" si="165"/>
        <v>protein_coding</v>
      </c>
    </row>
    <row r="3505" spans="1:9" x14ac:dyDescent="0.2">
      <c r="A3505" s="3" t="str">
        <f>"ENSG00000268472.2"</f>
        <v>ENSG00000268472.2</v>
      </c>
      <c r="B3505" s="3">
        <v>47.216619409220598</v>
      </c>
      <c r="C3505" s="3">
        <v>2.3507062169204098</v>
      </c>
      <c r="D3505" s="3">
        <v>0.54625962849576604</v>
      </c>
      <c r="E3505" s="3">
        <v>4.30327649032668</v>
      </c>
      <c r="F3505" s="4">
        <v>1.6829061533950699E-5</v>
      </c>
      <c r="G3505" s="3">
        <v>1.13725555460207E-4</v>
      </c>
      <c r="H3505" s="3" t="str">
        <f>"AP002884.4"</f>
        <v>AP002884.4</v>
      </c>
      <c r="I3505" s="3" t="str">
        <f>"antisense"</f>
        <v>antisense</v>
      </c>
    </row>
    <row r="3506" spans="1:9" x14ac:dyDescent="0.2">
      <c r="A3506" s="3" t="str">
        <f>"ENSG00000250303.3"</f>
        <v>ENSG00000250303.3</v>
      </c>
      <c r="B3506" s="3">
        <v>101.133148329379</v>
      </c>
      <c r="C3506" s="3">
        <v>2.5253784702012099</v>
      </c>
      <c r="D3506" s="3">
        <v>0.39461536686772403</v>
      </c>
      <c r="E3506" s="3">
        <v>6.3995948516817904</v>
      </c>
      <c r="F3506" s="4">
        <v>1.5578977690467799E-10</v>
      </c>
      <c r="G3506" s="4">
        <v>2.3634766432749302E-9</v>
      </c>
      <c r="H3506" s="3" t="str">
        <f>"AP002884.1"</f>
        <v>AP002884.1</v>
      </c>
      <c r="I3506" s="3" t="str">
        <f>"lincRNA"</f>
        <v>lincRNA</v>
      </c>
    </row>
    <row r="3507" spans="1:9" x14ac:dyDescent="0.2">
      <c r="A3507" s="3" t="str">
        <f>"ENSG00000149294.16"</f>
        <v>ENSG00000149294.16</v>
      </c>
      <c r="B3507" s="3">
        <v>20.750856238920299</v>
      </c>
      <c r="C3507" s="3">
        <v>4.2506065455248603</v>
      </c>
      <c r="D3507" s="3">
        <v>1.00477567412619</v>
      </c>
      <c r="E3507" s="3">
        <v>4.2304035169058301</v>
      </c>
      <c r="F3507" s="4">
        <v>2.3327248233372299E-5</v>
      </c>
      <c r="G3507" s="3">
        <v>1.5289813149259001E-4</v>
      </c>
      <c r="H3507" s="3" t="str">
        <f>"NCAM1"</f>
        <v>NCAM1</v>
      </c>
      <c r="I3507" s="3" t="str">
        <f>"protein_coding"</f>
        <v>protein_coding</v>
      </c>
    </row>
    <row r="3508" spans="1:9" x14ac:dyDescent="0.2">
      <c r="A3508" s="3" t="str">
        <f>"ENSG00000149292.16"</f>
        <v>ENSG00000149292.16</v>
      </c>
      <c r="B3508" s="3">
        <v>679.09792812081196</v>
      </c>
      <c r="C3508" s="3">
        <v>1.54342350205029</v>
      </c>
      <c r="D3508" s="3">
        <v>0.22023885078872901</v>
      </c>
      <c r="E3508" s="3">
        <v>7.0079529407409797</v>
      </c>
      <c r="F3508" s="4">
        <v>2.41830110976818E-12</v>
      </c>
      <c r="G3508" s="4">
        <v>4.5631198294912398E-11</v>
      </c>
      <c r="H3508" s="3" t="str">
        <f>"TTC12"</f>
        <v>TTC12</v>
      </c>
      <c r="I3508" s="3" t="str">
        <f>"protein_coding"</f>
        <v>protein_coding</v>
      </c>
    </row>
    <row r="3509" spans="1:9" x14ac:dyDescent="0.2">
      <c r="A3509" s="3" t="str">
        <f>"ENSG00000270179.1"</f>
        <v>ENSG00000270179.1</v>
      </c>
      <c r="B3509" s="3">
        <v>40.059106140408502</v>
      </c>
      <c r="C3509" s="3">
        <v>1.6353130564896801</v>
      </c>
      <c r="D3509" s="3">
        <v>0.59311375417956202</v>
      </c>
      <c r="E3509" s="3">
        <v>2.7571659651558198</v>
      </c>
      <c r="F3509" s="3">
        <v>5.83047502228145E-3</v>
      </c>
      <c r="G3509" s="3">
        <v>2.0224437037823399E-2</v>
      </c>
      <c r="H3509" s="3" t="str">
        <f>"AP002840.2"</f>
        <v>AP002840.2</v>
      </c>
      <c r="I3509" s="3" t="str">
        <f>"sense_intronic"</f>
        <v>sense_intronic</v>
      </c>
    </row>
    <row r="3510" spans="1:9" x14ac:dyDescent="0.2">
      <c r="A3510" s="3" t="str">
        <f>"ENSG00000149295.14"</f>
        <v>ENSG00000149295.14</v>
      </c>
      <c r="B3510" s="3">
        <v>7.2290803581149197</v>
      </c>
      <c r="C3510" s="3">
        <v>6.2480594941131198</v>
      </c>
      <c r="D3510" s="3">
        <v>1.87478034210473</v>
      </c>
      <c r="E3510" s="3">
        <v>3.3326888242804502</v>
      </c>
      <c r="F3510" s="3">
        <v>8.6011082883706298E-4</v>
      </c>
      <c r="G3510" s="3">
        <v>3.8704277049254302E-3</v>
      </c>
      <c r="H3510" s="3" t="str">
        <f>"DRD2"</f>
        <v>DRD2</v>
      </c>
      <c r="I3510" s="3" t="str">
        <f t="shared" ref="I3510:I3518" si="166">"protein_coding"</f>
        <v>protein_coding</v>
      </c>
    </row>
    <row r="3511" spans="1:9" x14ac:dyDescent="0.2">
      <c r="A3511" s="3" t="str">
        <f>"ENSG00000109906.13"</f>
        <v>ENSG00000109906.13</v>
      </c>
      <c r="B3511" s="3">
        <v>3.9648137554673002</v>
      </c>
      <c r="C3511" s="3">
        <v>5.38581965917892</v>
      </c>
      <c r="D3511" s="3">
        <v>2.16320773319238</v>
      </c>
      <c r="E3511" s="3">
        <v>2.4897376135165499</v>
      </c>
      <c r="F3511" s="3">
        <v>1.2783743375967001E-2</v>
      </c>
      <c r="G3511" s="3">
        <v>3.9066695352733702E-2</v>
      </c>
      <c r="H3511" s="3" t="str">
        <f>"ZBTB16"</f>
        <v>ZBTB16</v>
      </c>
      <c r="I3511" s="3" t="str">
        <f t="shared" si="166"/>
        <v>protein_coding</v>
      </c>
    </row>
    <row r="3512" spans="1:9" x14ac:dyDescent="0.2">
      <c r="A3512" s="3" t="str">
        <f>"ENSG00000076043.10"</f>
        <v>ENSG00000076043.10</v>
      </c>
      <c r="B3512" s="3">
        <v>1850.3557185377199</v>
      </c>
      <c r="C3512" s="3">
        <v>1.29180659147427</v>
      </c>
      <c r="D3512" s="3">
        <v>0.19808087330990201</v>
      </c>
      <c r="E3512" s="3">
        <v>6.5216119551997904</v>
      </c>
      <c r="F3512" s="4">
        <v>6.9555774534531796E-11</v>
      </c>
      <c r="G3512" s="4">
        <v>1.10894452237706E-9</v>
      </c>
      <c r="H3512" s="3" t="str">
        <f>"REXO2"</f>
        <v>REXO2</v>
      </c>
      <c r="I3512" s="3" t="str">
        <f t="shared" si="166"/>
        <v>protein_coding</v>
      </c>
    </row>
    <row r="3513" spans="1:9" x14ac:dyDescent="0.2">
      <c r="A3513" s="3" t="str">
        <f>"ENSG00000095110.8"</f>
        <v>ENSG00000095110.8</v>
      </c>
      <c r="B3513" s="3">
        <v>3.7443793362539499</v>
      </c>
      <c r="C3513" s="3">
        <v>5.3028405840866704</v>
      </c>
      <c r="D3513" s="3">
        <v>2.1958005004532399</v>
      </c>
      <c r="E3513" s="3">
        <v>2.4149919735386298</v>
      </c>
      <c r="F3513" s="3">
        <v>1.5735556439619401E-2</v>
      </c>
      <c r="G3513" s="3">
        <v>4.6361019280959197E-2</v>
      </c>
      <c r="H3513" s="3" t="str">
        <f>"NXPE1"</f>
        <v>NXPE1</v>
      </c>
      <c r="I3513" s="3" t="str">
        <f t="shared" si="166"/>
        <v>protein_coding</v>
      </c>
    </row>
    <row r="3514" spans="1:9" x14ac:dyDescent="0.2">
      <c r="A3514" s="3" t="str">
        <f>"ENSG00000110243.11"</f>
        <v>ENSG00000110243.11</v>
      </c>
      <c r="B3514" s="3">
        <v>421.58813588368997</v>
      </c>
      <c r="C3514" s="3">
        <v>-1.40948935579595</v>
      </c>
      <c r="D3514" s="3">
        <v>0.26211510704172297</v>
      </c>
      <c r="E3514" s="3">
        <v>-5.37736787361741</v>
      </c>
      <c r="F3514" s="4">
        <v>7.5582640914242405E-8</v>
      </c>
      <c r="G3514" s="4">
        <v>7.8363782990500897E-7</v>
      </c>
      <c r="H3514" s="3" t="str">
        <f>"APOA5"</f>
        <v>APOA5</v>
      </c>
      <c r="I3514" s="3" t="str">
        <f t="shared" si="166"/>
        <v>protein_coding</v>
      </c>
    </row>
    <row r="3515" spans="1:9" x14ac:dyDescent="0.2">
      <c r="A3515" s="3" t="str">
        <f>"ENSG00000110244.7"</f>
        <v>ENSG00000110244.7</v>
      </c>
      <c r="B3515" s="3">
        <v>56.109381618501502</v>
      </c>
      <c r="C3515" s="3">
        <v>-3.5153604526153699</v>
      </c>
      <c r="D3515" s="3">
        <v>0.57521335370854498</v>
      </c>
      <c r="E3515" s="3">
        <v>-6.1114027168370804</v>
      </c>
      <c r="F3515" s="4">
        <v>9.8759197953987999E-10</v>
      </c>
      <c r="G3515" s="4">
        <v>1.34410183149466E-8</v>
      </c>
      <c r="H3515" s="3" t="str">
        <f>"APOA4"</f>
        <v>APOA4</v>
      </c>
      <c r="I3515" s="3" t="str">
        <f t="shared" si="166"/>
        <v>protein_coding</v>
      </c>
    </row>
    <row r="3516" spans="1:9" x14ac:dyDescent="0.2">
      <c r="A3516" s="3" t="str">
        <f>"ENSG00000110245.12"</f>
        <v>ENSG00000110245.12</v>
      </c>
      <c r="B3516" s="3">
        <v>613.13573206910996</v>
      </c>
      <c r="C3516" s="3">
        <v>-1.79313247773908</v>
      </c>
      <c r="D3516" s="3">
        <v>0.30477074483068201</v>
      </c>
      <c r="E3516" s="3">
        <v>-5.8835452816682503</v>
      </c>
      <c r="F3516" s="4">
        <v>4.0157016258603702E-9</v>
      </c>
      <c r="G3516" s="4">
        <v>5.0491842270335703E-8</v>
      </c>
      <c r="H3516" s="3" t="str">
        <f>"APOC3"</f>
        <v>APOC3</v>
      </c>
      <c r="I3516" s="3" t="str">
        <f t="shared" si="166"/>
        <v>protein_coding</v>
      </c>
    </row>
    <row r="3517" spans="1:9" x14ac:dyDescent="0.2">
      <c r="A3517" s="3" t="str">
        <f>"ENSG00000149577.15"</f>
        <v>ENSG00000149577.15</v>
      </c>
      <c r="B3517" s="3">
        <v>2288.9349374379999</v>
      </c>
      <c r="C3517" s="3">
        <v>1.55152619832099</v>
      </c>
      <c r="D3517" s="3">
        <v>0.199161227086292</v>
      </c>
      <c r="E3517" s="3">
        <v>7.7903024650915098</v>
      </c>
      <c r="F3517" s="4">
        <v>6.6848974154527903E-15</v>
      </c>
      <c r="G3517" s="4">
        <v>1.63357309308379E-13</v>
      </c>
      <c r="H3517" s="3" t="str">
        <f>"SIDT2"</f>
        <v>SIDT2</v>
      </c>
      <c r="I3517" s="3" t="str">
        <f t="shared" si="166"/>
        <v>protein_coding</v>
      </c>
    </row>
    <row r="3518" spans="1:9" x14ac:dyDescent="0.2">
      <c r="A3518" s="3" t="str">
        <f>"ENSG00000149591.16"</f>
        <v>ENSG00000149591.16</v>
      </c>
      <c r="B3518" s="3">
        <v>1727.02765354913</v>
      </c>
      <c r="C3518" s="3">
        <v>-2.6561671225645198</v>
      </c>
      <c r="D3518" s="3">
        <v>0.23439814772880099</v>
      </c>
      <c r="E3518" s="3">
        <v>-11.3318605471136</v>
      </c>
      <c r="F3518" s="4">
        <v>9.1245632169682895E-30</v>
      </c>
      <c r="G3518" s="4">
        <v>7.0230783608117198E-28</v>
      </c>
      <c r="H3518" s="3" t="str">
        <f>"TAGLN"</f>
        <v>TAGLN</v>
      </c>
      <c r="I3518" s="3" t="str">
        <f t="shared" si="166"/>
        <v>protein_coding</v>
      </c>
    </row>
    <row r="3519" spans="1:9" x14ac:dyDescent="0.2">
      <c r="A3519" s="3" t="str">
        <f>"ENSG00000280143.1"</f>
        <v>ENSG00000280143.1</v>
      </c>
      <c r="B3519" s="3">
        <v>97.934160505905794</v>
      </c>
      <c r="C3519" s="3">
        <v>-2.8596316117262299</v>
      </c>
      <c r="D3519" s="3">
        <v>0.44921177193670397</v>
      </c>
      <c r="E3519" s="3">
        <v>-6.36588751758973</v>
      </c>
      <c r="F3519" s="4">
        <v>1.94163690649905E-10</v>
      </c>
      <c r="G3519" s="4">
        <v>2.89249758290758E-9</v>
      </c>
      <c r="H3519" s="3" t="str">
        <f>"AP000892.3"</f>
        <v>AP000892.3</v>
      </c>
      <c r="I3519" s="3" t="str">
        <f>"TEC"</f>
        <v>TEC</v>
      </c>
    </row>
    <row r="3520" spans="1:9" x14ac:dyDescent="0.2">
      <c r="A3520" s="3" t="str">
        <f>"ENSG00000186318.16"</f>
        <v>ENSG00000186318.16</v>
      </c>
      <c r="B3520" s="3">
        <v>1109.2234963516601</v>
      </c>
      <c r="C3520" s="3">
        <v>2.1812087946933798</v>
      </c>
      <c r="D3520" s="3">
        <v>0.19664330110060099</v>
      </c>
      <c r="E3520" s="3">
        <v>11.092210019285099</v>
      </c>
      <c r="F3520" s="4">
        <v>1.36864046764186E-28</v>
      </c>
      <c r="G3520" s="4">
        <v>9.6111718612983893E-27</v>
      </c>
      <c r="H3520" s="3" t="str">
        <f>"BACE1"</f>
        <v>BACE1</v>
      </c>
      <c r="I3520" s="3" t="str">
        <f>"protein_coding"</f>
        <v>protein_coding</v>
      </c>
    </row>
    <row r="3521" spans="1:9" x14ac:dyDescent="0.2">
      <c r="A3521" s="3" t="str">
        <f>"ENSG00000110274.16"</f>
        <v>ENSG00000110274.16</v>
      </c>
      <c r="B3521" s="3">
        <v>3642.851192528</v>
      </c>
      <c r="C3521" s="3">
        <v>1.90162869391835</v>
      </c>
      <c r="D3521" s="3">
        <v>0.19163738764563901</v>
      </c>
      <c r="E3521" s="3">
        <v>9.9230568590023598</v>
      </c>
      <c r="F3521" s="4">
        <v>3.3047675988583799E-23</v>
      </c>
      <c r="G3521" s="4">
        <v>1.61370972699094E-21</v>
      </c>
      <c r="H3521" s="3" t="str">
        <f>"CEP164"</f>
        <v>CEP164</v>
      </c>
      <c r="I3521" s="3" t="str">
        <f>"protein_coding"</f>
        <v>protein_coding</v>
      </c>
    </row>
    <row r="3522" spans="1:9" x14ac:dyDescent="0.2">
      <c r="A3522" s="3" t="str">
        <f>"ENSG00000177103.14"</f>
        <v>ENSG00000177103.14</v>
      </c>
      <c r="B3522" s="3">
        <v>190.22753962296599</v>
      </c>
      <c r="C3522" s="3">
        <v>2.89685604008063</v>
      </c>
      <c r="D3522" s="3">
        <v>0.33992612673957601</v>
      </c>
      <c r="E3522" s="3">
        <v>8.5220164388834192</v>
      </c>
      <c r="F3522" s="4">
        <v>1.5679912776851E-17</v>
      </c>
      <c r="G3522" s="4">
        <v>4.9050583631556797E-16</v>
      </c>
      <c r="H3522" s="3" t="str">
        <f>"DSCAML1"</f>
        <v>DSCAML1</v>
      </c>
      <c r="I3522" s="3" t="str">
        <f>"protein_coding"</f>
        <v>protein_coding</v>
      </c>
    </row>
    <row r="3523" spans="1:9" x14ac:dyDescent="0.2">
      <c r="A3523" s="3" t="str">
        <f>"ENSG00000279586.1"</f>
        <v>ENSG00000279586.1</v>
      </c>
      <c r="B3523" s="3">
        <v>30.638305434284099</v>
      </c>
      <c r="C3523" s="3">
        <v>3.79529902031594</v>
      </c>
      <c r="D3523" s="3">
        <v>0.78230192867877002</v>
      </c>
      <c r="E3523" s="3">
        <v>4.8514504198216999</v>
      </c>
      <c r="F3523" s="4">
        <v>1.22561850416613E-6</v>
      </c>
      <c r="G3523" s="4">
        <v>1.03292382873537E-5</v>
      </c>
      <c r="H3523" s="3" t="str">
        <f>"AP000711.1"</f>
        <v>AP000711.1</v>
      </c>
      <c r="I3523" s="3" t="str">
        <f>"TEC"</f>
        <v>TEC</v>
      </c>
    </row>
    <row r="3524" spans="1:9" x14ac:dyDescent="0.2">
      <c r="A3524" s="3" t="str">
        <f>"ENSG00000137731.14"</f>
        <v>ENSG00000137731.14</v>
      </c>
      <c r="B3524" s="3">
        <v>1896.72681299026</v>
      </c>
      <c r="C3524" s="3">
        <v>2.49085448353518</v>
      </c>
      <c r="D3524" s="3">
        <v>0.20311803057848599</v>
      </c>
      <c r="E3524" s="3">
        <v>12.263088985459101</v>
      </c>
      <c r="F3524" s="4">
        <v>1.4294498223957401E-34</v>
      </c>
      <c r="G3524" s="4">
        <v>1.46421877108334E-32</v>
      </c>
      <c r="H3524" s="3" t="str">
        <f>"FXYD2"</f>
        <v>FXYD2</v>
      </c>
      <c r="I3524" s="3" t="str">
        <f t="shared" ref="I3524:I3531" si="167">"protein_coding"</f>
        <v>protein_coding</v>
      </c>
    </row>
    <row r="3525" spans="1:9" x14ac:dyDescent="0.2">
      <c r="A3525" s="3" t="str">
        <f>"ENSG00000137747.16"</f>
        <v>ENSG00000137747.16</v>
      </c>
      <c r="B3525" s="3">
        <v>3.8168555458674298</v>
      </c>
      <c r="C3525" s="3">
        <v>5.3279350919035302</v>
      </c>
      <c r="D3525" s="3">
        <v>2.1809774924298599</v>
      </c>
      <c r="E3525" s="3">
        <v>2.4429115432858599</v>
      </c>
      <c r="F3525" s="3">
        <v>1.4569307781241599E-2</v>
      </c>
      <c r="G3525" s="3">
        <v>4.3474967595607303E-2</v>
      </c>
      <c r="H3525" s="3" t="str">
        <f>"TMPRSS13"</f>
        <v>TMPRSS13</v>
      </c>
      <c r="I3525" s="3" t="str">
        <f t="shared" si="167"/>
        <v>protein_coding</v>
      </c>
    </row>
    <row r="3526" spans="1:9" x14ac:dyDescent="0.2">
      <c r="A3526" s="3" t="str">
        <f>"ENSG00000255274.9"</f>
        <v>ENSG00000255274.9</v>
      </c>
      <c r="B3526" s="3">
        <v>5.3236583755540998</v>
      </c>
      <c r="C3526" s="3">
        <v>5.81195320853233</v>
      </c>
      <c r="D3526" s="3">
        <v>2.0127172119138601</v>
      </c>
      <c r="E3526" s="3">
        <v>2.88761539580906</v>
      </c>
      <c r="F3526" s="3">
        <v>3.8817418998348101E-3</v>
      </c>
      <c r="G3526" s="3">
        <v>1.4279262470739599E-2</v>
      </c>
      <c r="H3526" s="3" t="str">
        <f>"SMIM35"</f>
        <v>SMIM35</v>
      </c>
      <c r="I3526" s="3" t="str">
        <f t="shared" si="167"/>
        <v>protein_coding</v>
      </c>
    </row>
    <row r="3527" spans="1:9" x14ac:dyDescent="0.2">
      <c r="A3527" s="3" t="str">
        <f>"ENSG00000137648.17"</f>
        <v>ENSG00000137648.17</v>
      </c>
      <c r="B3527" s="3">
        <v>45.874742760022698</v>
      </c>
      <c r="C3527" s="3">
        <v>8.91507218850297</v>
      </c>
      <c r="D3527" s="3">
        <v>1.5262373310654</v>
      </c>
      <c r="E3527" s="3">
        <v>5.8412096251634402</v>
      </c>
      <c r="F3527" s="4">
        <v>5.1823145049895698E-9</v>
      </c>
      <c r="G3527" s="4">
        <v>6.4095562105061698E-8</v>
      </c>
      <c r="H3527" s="3" t="str">
        <f>"TMPRSS4"</f>
        <v>TMPRSS4</v>
      </c>
      <c r="I3527" s="3" t="str">
        <f t="shared" si="167"/>
        <v>protein_coding</v>
      </c>
    </row>
    <row r="3528" spans="1:9" x14ac:dyDescent="0.2">
      <c r="A3528" s="3" t="str">
        <f>"ENSG00000177098.8"</f>
        <v>ENSG00000177098.8</v>
      </c>
      <c r="B3528" s="3">
        <v>80.070474485886194</v>
      </c>
      <c r="C3528" s="3">
        <v>5.6827577530304696</v>
      </c>
      <c r="D3528" s="3">
        <v>1.6101159043429101</v>
      </c>
      <c r="E3528" s="3">
        <v>3.5294091175067401</v>
      </c>
      <c r="F3528" s="3">
        <v>4.1648872770947201E-4</v>
      </c>
      <c r="G3528" s="3">
        <v>2.0406524660852399E-3</v>
      </c>
      <c r="H3528" s="3" t="str">
        <f>"SCN4B"</f>
        <v>SCN4B</v>
      </c>
      <c r="I3528" s="3" t="str">
        <f t="shared" si="167"/>
        <v>protein_coding</v>
      </c>
    </row>
    <row r="3529" spans="1:9" x14ac:dyDescent="0.2">
      <c r="A3529" s="3" t="str">
        <f>"ENSG00000149575.5"</f>
        <v>ENSG00000149575.5</v>
      </c>
      <c r="B3529" s="3">
        <v>54.424648081370101</v>
      </c>
      <c r="C3529" s="3">
        <v>3.6106260631422198</v>
      </c>
      <c r="D3529" s="3">
        <v>0.58438364094694595</v>
      </c>
      <c r="E3529" s="3">
        <v>6.1785200853526598</v>
      </c>
      <c r="F3529" s="4">
        <v>6.4705258015084897E-10</v>
      </c>
      <c r="G3529" s="4">
        <v>8.9950212506990799E-9</v>
      </c>
      <c r="H3529" s="3" t="str">
        <f>"SCN2B"</f>
        <v>SCN2B</v>
      </c>
      <c r="I3529" s="3" t="str">
        <f t="shared" si="167"/>
        <v>protein_coding</v>
      </c>
    </row>
    <row r="3530" spans="1:9" x14ac:dyDescent="0.2">
      <c r="A3530" s="3" t="str">
        <f>"ENSG00000149573.9"</f>
        <v>ENSG00000149573.9</v>
      </c>
      <c r="B3530" s="3">
        <v>811.08173316744296</v>
      </c>
      <c r="C3530" s="3">
        <v>-1.42783531589629</v>
      </c>
      <c r="D3530" s="3">
        <v>0.20311618555287</v>
      </c>
      <c r="E3530" s="3">
        <v>-7.02964813960938</v>
      </c>
      <c r="F3530" s="4">
        <v>2.0705501578205298E-12</v>
      </c>
      <c r="G3530" s="4">
        <v>3.94519441609342E-11</v>
      </c>
      <c r="H3530" s="3" t="str">
        <f>"MPZL2"</f>
        <v>MPZL2</v>
      </c>
      <c r="I3530" s="3" t="str">
        <f t="shared" si="167"/>
        <v>protein_coding</v>
      </c>
    </row>
    <row r="3531" spans="1:9" x14ac:dyDescent="0.2">
      <c r="A3531" s="3" t="str">
        <f>"ENSG00000167286.9"</f>
        <v>ENSG00000167286.9</v>
      </c>
      <c r="B3531" s="3">
        <v>129.417076475437</v>
      </c>
      <c r="C3531" s="3">
        <v>3.9224812108551199</v>
      </c>
      <c r="D3531" s="3">
        <v>0.41095580607518201</v>
      </c>
      <c r="E3531" s="3">
        <v>9.5447762335240505</v>
      </c>
      <c r="F3531" s="4">
        <v>1.36401746717392E-21</v>
      </c>
      <c r="G3531" s="4">
        <v>6.0041007961369802E-20</v>
      </c>
      <c r="H3531" s="3" t="str">
        <f>"CD3D"</f>
        <v>CD3D</v>
      </c>
      <c r="I3531" s="3" t="str">
        <f t="shared" si="167"/>
        <v>protein_coding</v>
      </c>
    </row>
    <row r="3532" spans="1:9" x14ac:dyDescent="0.2">
      <c r="A3532" s="3" t="str">
        <f>"ENSG00000255435.6"</f>
        <v>ENSG00000255435.6</v>
      </c>
      <c r="B3532" s="3">
        <v>33.019425294529398</v>
      </c>
      <c r="C3532" s="3">
        <v>1.9656943338603099</v>
      </c>
      <c r="D3532" s="3">
        <v>0.62910118189827402</v>
      </c>
      <c r="E3532" s="3">
        <v>3.1246075995739702</v>
      </c>
      <c r="F3532" s="3">
        <v>1.7804239236865001E-3</v>
      </c>
      <c r="G3532" s="3">
        <v>7.29491889453927E-3</v>
      </c>
      <c r="H3532" s="3" t="str">
        <f>"AP001267.3"</f>
        <v>AP001267.3</v>
      </c>
      <c r="I3532" s="3" t="str">
        <f>"antisense"</f>
        <v>antisense</v>
      </c>
    </row>
    <row r="3533" spans="1:9" x14ac:dyDescent="0.2">
      <c r="A3533" s="3" t="str">
        <f>"ENSG00000243431.1"</f>
        <v>ENSG00000243431.1</v>
      </c>
      <c r="B3533" s="3">
        <v>10.236885704615</v>
      </c>
      <c r="C3533" s="3">
        <v>3.6113834666295901</v>
      </c>
      <c r="D3533" s="3">
        <v>1.2875626181278601</v>
      </c>
      <c r="E3533" s="3">
        <v>2.8048216186025998</v>
      </c>
      <c r="F3533" s="3">
        <v>5.0344433172152302E-3</v>
      </c>
      <c r="G3533" s="3">
        <v>1.7833265348955199E-2</v>
      </c>
      <c r="H3533" s="3" t="str">
        <f>"RPL5P30"</f>
        <v>RPL5P30</v>
      </c>
      <c r="I3533" s="3" t="str">
        <f>"processed_pseudogene"</f>
        <v>processed_pseudogene</v>
      </c>
    </row>
    <row r="3534" spans="1:9" x14ac:dyDescent="0.2">
      <c r="A3534" s="3" t="str">
        <f>"ENSG00000118094.11"</f>
        <v>ENSG00000118094.11</v>
      </c>
      <c r="B3534" s="3">
        <v>138.85919413452399</v>
      </c>
      <c r="C3534" s="3">
        <v>3.6842591980345398</v>
      </c>
      <c r="D3534" s="3">
        <v>0.42889078244468998</v>
      </c>
      <c r="E3534" s="3">
        <v>8.5902037274714793</v>
      </c>
      <c r="F3534" s="4">
        <v>8.6815252069361895E-18</v>
      </c>
      <c r="G3534" s="4">
        <v>2.7473346958581898E-16</v>
      </c>
      <c r="H3534" s="3" t="str">
        <f>"TREH"</f>
        <v>TREH</v>
      </c>
      <c r="I3534" s="3" t="str">
        <f>"protein_coding"</f>
        <v>protein_coding</v>
      </c>
    </row>
    <row r="3535" spans="1:9" x14ac:dyDescent="0.2">
      <c r="A3535" s="3" t="str">
        <f>"ENSG00000255422.3"</f>
        <v>ENSG00000255422.3</v>
      </c>
      <c r="B3535" s="3">
        <v>4.0735280698875203</v>
      </c>
      <c r="C3535" s="3">
        <v>5.4212402584095702</v>
      </c>
      <c r="D3535" s="3">
        <v>2.1434463209324499</v>
      </c>
      <c r="E3535" s="3">
        <v>2.52921671304146</v>
      </c>
      <c r="F3535" s="3">
        <v>1.1431741709104999E-2</v>
      </c>
      <c r="G3535" s="3">
        <v>3.5553095120189997E-2</v>
      </c>
      <c r="H3535" s="3" t="str">
        <f>"AP002954.1"</f>
        <v>AP002954.1</v>
      </c>
      <c r="I3535" s="3" t="str">
        <f>"antisense"</f>
        <v>antisense</v>
      </c>
    </row>
    <row r="3536" spans="1:9" x14ac:dyDescent="0.2">
      <c r="A3536" s="3" t="str">
        <f>"ENSG00000239726.3"</f>
        <v>ENSG00000239726.3</v>
      </c>
      <c r="B3536" s="3">
        <v>19.849296691104399</v>
      </c>
      <c r="C3536" s="3">
        <v>2.3030541061083998</v>
      </c>
      <c r="D3536" s="3">
        <v>0.82212610502067596</v>
      </c>
      <c r="E3536" s="3">
        <v>2.8013392252645701</v>
      </c>
      <c r="F3536" s="3">
        <v>5.0890992224090301E-3</v>
      </c>
      <c r="G3536" s="3">
        <v>1.7990097551313498E-2</v>
      </c>
      <c r="H3536" s="3" t="str">
        <f>"RN7SL688P"</f>
        <v>RN7SL688P</v>
      </c>
      <c r="I3536" s="3" t="str">
        <f>"misc_RNA"</f>
        <v>misc_RNA</v>
      </c>
    </row>
    <row r="3537" spans="1:9" x14ac:dyDescent="0.2">
      <c r="A3537" s="3" t="str">
        <f>"ENSG00000188486.3"</f>
        <v>ENSG00000188486.3</v>
      </c>
      <c r="B3537" s="3">
        <v>7685.03808850317</v>
      </c>
      <c r="C3537" s="3">
        <v>-1.6969664224273699</v>
      </c>
      <c r="D3537" s="3">
        <v>0.229903984691887</v>
      </c>
      <c r="E3537" s="3">
        <v>-7.3811962185066502</v>
      </c>
      <c r="F3537" s="4">
        <v>1.5687360598299199E-13</v>
      </c>
      <c r="G3537" s="4">
        <v>3.4457570377351402E-12</v>
      </c>
      <c r="H3537" s="3" t="str">
        <f>"H2AFX"</f>
        <v>H2AFX</v>
      </c>
      <c r="I3537" s="3" t="str">
        <f>"protein_coding"</f>
        <v>protein_coding</v>
      </c>
    </row>
    <row r="3538" spans="1:9" x14ac:dyDescent="0.2">
      <c r="A3538" s="3" t="str">
        <f>"ENSG00000172350.10"</f>
        <v>ENSG00000172350.10</v>
      </c>
      <c r="B3538" s="3">
        <v>28.894987749464899</v>
      </c>
      <c r="C3538" s="3">
        <v>6.7936703544413</v>
      </c>
      <c r="D3538" s="3">
        <v>1.5606054676199701</v>
      </c>
      <c r="E3538" s="3">
        <v>4.3532273181139898</v>
      </c>
      <c r="F3538" s="4">
        <v>1.34147924111466E-5</v>
      </c>
      <c r="G3538" s="4">
        <v>9.2734916320573194E-5</v>
      </c>
      <c r="H3538" s="3" t="str">
        <f>"ABCG4"</f>
        <v>ABCG4</v>
      </c>
      <c r="I3538" s="3" t="str">
        <f>"protein_coding"</f>
        <v>protein_coding</v>
      </c>
    </row>
    <row r="3539" spans="1:9" x14ac:dyDescent="0.2">
      <c r="A3539" s="3" t="str">
        <f>"ENSG00000160703.16"</f>
        <v>ENSG00000160703.16</v>
      </c>
      <c r="B3539" s="3">
        <v>2907.0789123935601</v>
      </c>
      <c r="C3539" s="3">
        <v>2.6357779617851498</v>
      </c>
      <c r="D3539" s="3">
        <v>0.20959531169207399</v>
      </c>
      <c r="E3539" s="3">
        <v>12.5755578238195</v>
      </c>
      <c r="F3539" s="4">
        <v>2.8776191889333701E-36</v>
      </c>
      <c r="G3539" s="4">
        <v>3.2399376049945302E-34</v>
      </c>
      <c r="H3539" s="3" t="str">
        <f>"NLRX1"</f>
        <v>NLRX1</v>
      </c>
      <c r="I3539" s="3" t="str">
        <f>"protein_coding"</f>
        <v>protein_coding</v>
      </c>
    </row>
    <row r="3540" spans="1:9" x14ac:dyDescent="0.2">
      <c r="A3540" s="3" t="str">
        <f>"ENSG00000036672.16"</f>
        <v>ENSG00000036672.16</v>
      </c>
      <c r="B3540" s="3">
        <v>2939.3764303867201</v>
      </c>
      <c r="C3540" s="3">
        <v>1.6879961445262199</v>
      </c>
      <c r="D3540" s="3">
        <v>0.201684786643645</v>
      </c>
      <c r="E3540" s="3">
        <v>8.3694768089213003</v>
      </c>
      <c r="F3540" s="4">
        <v>5.7874616730631094E-17</v>
      </c>
      <c r="G3540" s="4">
        <v>1.7158973689439701E-15</v>
      </c>
      <c r="H3540" s="3" t="str">
        <f>"USP2"</f>
        <v>USP2</v>
      </c>
      <c r="I3540" s="3" t="str">
        <f>"protein_coding"</f>
        <v>protein_coding</v>
      </c>
    </row>
    <row r="3541" spans="1:9" x14ac:dyDescent="0.2">
      <c r="A3541" s="3" t="str">
        <f>"ENSG00000245248.7"</f>
        <v>ENSG00000245248.7</v>
      </c>
      <c r="B3541" s="3">
        <v>228.25562889802501</v>
      </c>
      <c r="C3541" s="3">
        <v>-1.0008103222602001</v>
      </c>
      <c r="D3541" s="3">
        <v>0.27356306106628298</v>
      </c>
      <c r="E3541" s="3">
        <v>-3.65842639119214</v>
      </c>
      <c r="F3541" s="3">
        <v>2.5376860184283401E-4</v>
      </c>
      <c r="G3541" s="3">
        <v>1.31303324998323E-3</v>
      </c>
      <c r="H3541" s="3" t="str">
        <f>"USP2-AS1"</f>
        <v>USP2-AS1</v>
      </c>
      <c r="I3541" s="3" t="str">
        <f>"antisense"</f>
        <v>antisense</v>
      </c>
    </row>
    <row r="3542" spans="1:9" x14ac:dyDescent="0.2">
      <c r="A3542" s="3" t="str">
        <f>"ENSG00000254561.3"</f>
        <v>ENSG00000254561.3</v>
      </c>
      <c r="B3542" s="3">
        <v>92.383616989584993</v>
      </c>
      <c r="C3542" s="3">
        <v>5.27464404809814</v>
      </c>
      <c r="D3542" s="3">
        <v>0.61217943319415002</v>
      </c>
      <c r="E3542" s="3">
        <v>8.6161732362957508</v>
      </c>
      <c r="F3542" s="4">
        <v>6.9228989288832404E-18</v>
      </c>
      <c r="G3542" s="4">
        <v>2.2113508454311999E-16</v>
      </c>
      <c r="H3542" s="3" t="str">
        <f>"AP003393.1"</f>
        <v>AP003393.1</v>
      </c>
      <c r="I3542" s="3" t="str">
        <f>"antisense"</f>
        <v>antisense</v>
      </c>
    </row>
    <row r="3543" spans="1:9" x14ac:dyDescent="0.2">
      <c r="A3543" s="3" t="str">
        <f>"ENSG00000137699.17"</f>
        <v>ENSG00000137699.17</v>
      </c>
      <c r="B3543" s="3">
        <v>85.009837929427803</v>
      </c>
      <c r="C3543" s="3">
        <v>1.8618237314708901</v>
      </c>
      <c r="D3543" s="3">
        <v>0.408360310657643</v>
      </c>
      <c r="E3543" s="3">
        <v>4.5592671052495799</v>
      </c>
      <c r="F3543" s="4">
        <v>5.1332448440185499E-6</v>
      </c>
      <c r="G3543" s="4">
        <v>3.8690324278000899E-5</v>
      </c>
      <c r="H3543" s="3" t="str">
        <f>"TRIM29"</f>
        <v>TRIM29</v>
      </c>
      <c r="I3543" s="3" t="str">
        <f>"protein_coding"</f>
        <v>protein_coding</v>
      </c>
    </row>
    <row r="3544" spans="1:9" x14ac:dyDescent="0.2">
      <c r="A3544" s="3" t="str">
        <f>"ENSG00000137709.10"</f>
        <v>ENSG00000137709.10</v>
      </c>
      <c r="B3544" s="3">
        <v>45.4761669760586</v>
      </c>
      <c r="C3544" s="3">
        <v>6.4440053863043296</v>
      </c>
      <c r="D3544" s="3">
        <v>1.1319223330934201</v>
      </c>
      <c r="E3544" s="3">
        <v>5.6929748604690502</v>
      </c>
      <c r="F3544" s="4">
        <v>1.24844774874017E-8</v>
      </c>
      <c r="G3544" s="4">
        <v>1.46433300946722E-7</v>
      </c>
      <c r="H3544" s="3" t="str">
        <f>"POU2F3"</f>
        <v>POU2F3</v>
      </c>
      <c r="I3544" s="3" t="str">
        <f>"protein_coding"</f>
        <v>protein_coding</v>
      </c>
    </row>
    <row r="3545" spans="1:9" x14ac:dyDescent="0.2">
      <c r="A3545" s="3" t="str">
        <f>"ENSG00000274303.1"</f>
        <v>ENSG00000274303.1</v>
      </c>
      <c r="B3545" s="3">
        <v>62.313482998290802</v>
      </c>
      <c r="C3545" s="3">
        <v>1.4721654387604901</v>
      </c>
      <c r="D3545" s="3">
        <v>0.47977845070742298</v>
      </c>
      <c r="E3545" s="3">
        <v>3.0684275973416701</v>
      </c>
      <c r="F3545" s="3">
        <v>2.1518846610545199E-3</v>
      </c>
      <c r="G3545" s="3">
        <v>8.5908280380589796E-3</v>
      </c>
      <c r="H3545" s="3" t="str">
        <f>"RF00100"</f>
        <v>RF00100</v>
      </c>
      <c r="I3545" s="3" t="str">
        <f>"misc_RNA"</f>
        <v>misc_RNA</v>
      </c>
    </row>
    <row r="3546" spans="1:9" x14ac:dyDescent="0.2">
      <c r="A3546" s="3" t="str">
        <f>"ENSG00000149403.12"</f>
        <v>ENSG00000149403.12</v>
      </c>
      <c r="B3546" s="3">
        <v>14.7063195660188</v>
      </c>
      <c r="C3546" s="3">
        <v>4.1767872378892603</v>
      </c>
      <c r="D3546" s="3">
        <v>1.1974604920243499</v>
      </c>
      <c r="E3546" s="3">
        <v>3.4880376143585798</v>
      </c>
      <c r="F3546" s="3">
        <v>4.8657962148855599E-4</v>
      </c>
      <c r="G3546" s="3">
        <v>2.3403062571401099E-3</v>
      </c>
      <c r="H3546" s="3" t="str">
        <f>"GRIK4"</f>
        <v>GRIK4</v>
      </c>
      <c r="I3546" s="3" t="str">
        <f>"protein_coding"</f>
        <v>protein_coding</v>
      </c>
    </row>
    <row r="3547" spans="1:9" x14ac:dyDescent="0.2">
      <c r="A3547" s="3" t="str">
        <f>"ENSG00000154114.12"</f>
        <v>ENSG00000154114.12</v>
      </c>
      <c r="B3547" s="3">
        <v>1369.1020881907</v>
      </c>
      <c r="C3547" s="3">
        <v>1.6917276757169799</v>
      </c>
      <c r="D3547" s="3">
        <v>0.21889669708252199</v>
      </c>
      <c r="E3547" s="3">
        <v>7.7284294293358498</v>
      </c>
      <c r="F3547" s="4">
        <v>1.08881515066311E-14</v>
      </c>
      <c r="G3547" s="4">
        <v>2.6115269727216301E-13</v>
      </c>
      <c r="H3547" s="3" t="str">
        <f>"TBCEL"</f>
        <v>TBCEL</v>
      </c>
      <c r="I3547" s="3" t="str">
        <f>"protein_coding"</f>
        <v>protein_coding</v>
      </c>
    </row>
    <row r="3548" spans="1:9" x14ac:dyDescent="0.2">
      <c r="A3548" s="3" t="str">
        <f>"ENSG00000109929.10"</f>
        <v>ENSG00000109929.10</v>
      </c>
      <c r="B3548" s="3">
        <v>2592.5028448703301</v>
      </c>
      <c r="C3548" s="3">
        <v>-1.19989324100758</v>
      </c>
      <c r="D3548" s="3">
        <v>0.19288619320272199</v>
      </c>
      <c r="E3548" s="3">
        <v>-6.2207316194295901</v>
      </c>
      <c r="F3548" s="4">
        <v>4.9484197476577102E-10</v>
      </c>
      <c r="G3548" s="4">
        <v>6.9571513345939002E-9</v>
      </c>
      <c r="H3548" s="3" t="str">
        <f>"SC5D"</f>
        <v>SC5D</v>
      </c>
      <c r="I3548" s="3" t="str">
        <f>"protein_coding"</f>
        <v>protein_coding</v>
      </c>
    </row>
    <row r="3549" spans="1:9" x14ac:dyDescent="0.2">
      <c r="A3549" s="3" t="str">
        <f>"ENSG00000255248.8"</f>
        <v>ENSG00000255248.8</v>
      </c>
      <c r="B3549" s="3">
        <v>42.616915850543499</v>
      </c>
      <c r="C3549" s="3">
        <v>3.54717897703354</v>
      </c>
      <c r="D3549" s="3">
        <v>0.64981941570171597</v>
      </c>
      <c r="E3549" s="3">
        <v>5.45871497730346</v>
      </c>
      <c r="F3549" s="4">
        <v>4.7959292969148198E-8</v>
      </c>
      <c r="G3549" s="4">
        <v>5.1466989189853601E-7</v>
      </c>
      <c r="H3549" s="3" t="str">
        <f>"MIR100HG"</f>
        <v>MIR100HG</v>
      </c>
      <c r="I3549" s="3" t="str">
        <f>"processed_transcript"</f>
        <v>processed_transcript</v>
      </c>
    </row>
    <row r="3550" spans="1:9" x14ac:dyDescent="0.2">
      <c r="A3550" s="3" t="str">
        <f>"ENSG00000154127.10"</f>
        <v>ENSG00000154127.10</v>
      </c>
      <c r="B3550" s="3">
        <v>5078.9862141170597</v>
      </c>
      <c r="C3550" s="3">
        <v>1.32923161493949</v>
      </c>
      <c r="D3550" s="3">
        <v>0.17716941323679899</v>
      </c>
      <c r="E3550" s="3">
        <v>7.5026021176853996</v>
      </c>
      <c r="F3550" s="4">
        <v>6.2563239254840497E-14</v>
      </c>
      <c r="G3550" s="4">
        <v>1.4181868385828899E-12</v>
      </c>
      <c r="H3550" s="3" t="str">
        <f>"UBASH3B"</f>
        <v>UBASH3B</v>
      </c>
      <c r="I3550" s="3" t="str">
        <f>"protein_coding"</f>
        <v>protein_coding</v>
      </c>
    </row>
    <row r="3551" spans="1:9" x14ac:dyDescent="0.2">
      <c r="A3551" s="3" t="str">
        <f>"ENSG00000166250.12"</f>
        <v>ENSG00000166250.12</v>
      </c>
      <c r="B3551" s="3">
        <v>9.4304187598754705</v>
      </c>
      <c r="C3551" s="3">
        <v>6.6311557253274902</v>
      </c>
      <c r="D3551" s="3">
        <v>1.7880416854433001</v>
      </c>
      <c r="E3551" s="3">
        <v>3.7086136074525902</v>
      </c>
      <c r="F3551" s="3">
        <v>2.0839715541762899E-4</v>
      </c>
      <c r="G3551" s="3">
        <v>1.1070768753488299E-3</v>
      </c>
      <c r="H3551" s="3" t="str">
        <f>"CLMP"</f>
        <v>CLMP</v>
      </c>
      <c r="I3551" s="3" t="str">
        <f>"protein_coding"</f>
        <v>protein_coding</v>
      </c>
    </row>
    <row r="3552" spans="1:9" x14ac:dyDescent="0.2">
      <c r="A3552" s="3" t="str">
        <f>"ENSG00000166257.8"</f>
        <v>ENSG00000166257.8</v>
      </c>
      <c r="B3552" s="3">
        <v>137.57017713288201</v>
      </c>
      <c r="C3552" s="3">
        <v>4.8372939686119301</v>
      </c>
      <c r="D3552" s="3">
        <v>0.469335663278796</v>
      </c>
      <c r="E3552" s="3">
        <v>10.3066831419083</v>
      </c>
      <c r="F3552" s="4">
        <v>6.5730825070531402E-25</v>
      </c>
      <c r="G3552" s="4">
        <v>3.6327947072956799E-23</v>
      </c>
      <c r="H3552" s="3" t="str">
        <f>"SCN3B"</f>
        <v>SCN3B</v>
      </c>
      <c r="I3552" s="3" t="str">
        <f>"protein_coding"</f>
        <v>protein_coding</v>
      </c>
    </row>
    <row r="3553" spans="1:9" x14ac:dyDescent="0.2">
      <c r="A3553" s="3" t="str">
        <f>"ENSG00000181518.4"</f>
        <v>ENSG00000181518.4</v>
      </c>
      <c r="B3553" s="3">
        <v>4.7710694323342899</v>
      </c>
      <c r="C3553" s="3">
        <v>5.6498655801083801</v>
      </c>
      <c r="D3553" s="3">
        <v>2.0548781453748601</v>
      </c>
      <c r="E3553" s="3">
        <v>2.7494893518747898</v>
      </c>
      <c r="F3553" s="3">
        <v>5.9688202149847996E-3</v>
      </c>
      <c r="G3553" s="3">
        <v>2.05942059513348E-2</v>
      </c>
      <c r="H3553" s="3" t="str">
        <f>"OR8D4"</f>
        <v>OR8D4</v>
      </c>
      <c r="I3553" s="3" t="str">
        <f>"protein_coding"</f>
        <v>protein_coding</v>
      </c>
    </row>
    <row r="3554" spans="1:9" x14ac:dyDescent="0.2">
      <c r="A3554" s="3" t="str">
        <f>"ENSG00000181214.7"</f>
        <v>ENSG00000181214.7</v>
      </c>
      <c r="B3554" s="3">
        <v>6.0181939476279798</v>
      </c>
      <c r="C3554" s="3">
        <v>5.98369926978887</v>
      </c>
      <c r="D3554" s="3">
        <v>1.9482039589606199</v>
      </c>
      <c r="E3554" s="3">
        <v>3.0713926240973302</v>
      </c>
      <c r="F3554" s="3">
        <v>2.1306278147072899E-3</v>
      </c>
      <c r="G3554" s="3">
        <v>8.51844696512539E-3</v>
      </c>
      <c r="H3554" s="3" t="str">
        <f>"OR8G2P"</f>
        <v>OR8G2P</v>
      </c>
      <c r="I3554" s="3" t="str">
        <f>"unprocessed_pseudogene"</f>
        <v>unprocessed_pseudogene</v>
      </c>
    </row>
    <row r="3555" spans="1:9" x14ac:dyDescent="0.2">
      <c r="A3555" s="3" t="str">
        <f>"ENSG00000276316.1"</f>
        <v>ENSG00000276316.1</v>
      </c>
      <c r="B3555" s="3">
        <v>6.53153899566815</v>
      </c>
      <c r="C3555" s="3">
        <v>6.10117584571696</v>
      </c>
      <c r="D3555" s="3">
        <v>1.9173557038574001</v>
      </c>
      <c r="E3555" s="3">
        <v>3.1820782306811402</v>
      </c>
      <c r="F3555" s="3">
        <v>1.46222316357191E-3</v>
      </c>
      <c r="G3555" s="3">
        <v>6.1502307097628496E-3</v>
      </c>
      <c r="H3555" s="3" t="str">
        <f>"OR8G7P"</f>
        <v>OR8G7P</v>
      </c>
      <c r="I3555" s="3" t="str">
        <f>"unprocessed_pseudogene"</f>
        <v>unprocessed_pseudogene</v>
      </c>
    </row>
    <row r="3556" spans="1:9" x14ac:dyDescent="0.2">
      <c r="A3556" s="3" t="str">
        <f>"ENSG00000197849.6"</f>
        <v>ENSG00000197849.6</v>
      </c>
      <c r="B3556" s="3">
        <v>22.4180147512254</v>
      </c>
      <c r="C3556" s="3">
        <v>7.8797918306758801</v>
      </c>
      <c r="D3556" s="3">
        <v>1.6143594042643801</v>
      </c>
      <c r="E3556" s="3">
        <v>4.8810641607198297</v>
      </c>
      <c r="F3556" s="4">
        <v>1.0551490283252899E-6</v>
      </c>
      <c r="G3556" s="4">
        <v>9.0067811951062903E-6</v>
      </c>
      <c r="H3556" s="3" t="str">
        <f>"OR8G1"</f>
        <v>OR8G1</v>
      </c>
      <c r="I3556" s="3" t="str">
        <f t="shared" ref="I3556:I3562" si="168">"protein_coding"</f>
        <v>protein_coding</v>
      </c>
    </row>
    <row r="3557" spans="1:9" x14ac:dyDescent="0.2">
      <c r="A3557" s="3" t="str">
        <f>"ENSG00000255298.3"</f>
        <v>ENSG00000255298.3</v>
      </c>
      <c r="B3557" s="3">
        <v>9.3941806550687197</v>
      </c>
      <c r="C3557" s="3">
        <v>6.6260767523936703</v>
      </c>
      <c r="D3557" s="3">
        <v>1.7861847686327399</v>
      </c>
      <c r="E3557" s="3">
        <v>3.7096256046711802</v>
      </c>
      <c r="F3557" s="3">
        <v>2.0756596289313501E-4</v>
      </c>
      <c r="G3557" s="3">
        <v>1.10352191042912E-3</v>
      </c>
      <c r="H3557" s="3" t="str">
        <f>"OR8G5"</f>
        <v>OR8G5</v>
      </c>
      <c r="I3557" s="3" t="str">
        <f t="shared" si="168"/>
        <v>protein_coding</v>
      </c>
    </row>
    <row r="3558" spans="1:9" x14ac:dyDescent="0.2">
      <c r="A3558" s="3" t="str">
        <f>"ENSG00000110013.12"</f>
        <v>ENSG00000110013.12</v>
      </c>
      <c r="B3558" s="3">
        <v>1127.0613257312</v>
      </c>
      <c r="C3558" s="3">
        <v>2.3627879604461399</v>
      </c>
      <c r="D3558" s="3">
        <v>0.19944585343104601</v>
      </c>
      <c r="E3558" s="3">
        <v>11.846764020406299</v>
      </c>
      <c r="F3558" s="4">
        <v>2.236619137637E-32</v>
      </c>
      <c r="G3558" s="4">
        <v>1.9980708735473899E-30</v>
      </c>
      <c r="H3558" s="3" t="str">
        <f>"SIAE"</f>
        <v>SIAE</v>
      </c>
      <c r="I3558" s="3" t="str">
        <f t="shared" si="168"/>
        <v>protein_coding</v>
      </c>
    </row>
    <row r="3559" spans="1:9" x14ac:dyDescent="0.2">
      <c r="A3559" s="3" t="str">
        <f>"ENSG00000064199.6"</f>
        <v>ENSG00000064199.6</v>
      </c>
      <c r="B3559" s="3">
        <v>228.19515410883599</v>
      </c>
      <c r="C3559" s="3">
        <v>1.01100103082441</v>
      </c>
      <c r="D3559" s="3">
        <v>0.28504694362893601</v>
      </c>
      <c r="E3559" s="3">
        <v>3.5467878306406302</v>
      </c>
      <c r="F3559" s="3">
        <v>3.8995850576404098E-4</v>
      </c>
      <c r="G3559" s="3">
        <v>1.9258752700257299E-3</v>
      </c>
      <c r="H3559" s="3" t="str">
        <f>"SPA17"</f>
        <v>SPA17</v>
      </c>
      <c r="I3559" s="3" t="str">
        <f t="shared" si="168"/>
        <v>protein_coding</v>
      </c>
    </row>
    <row r="3560" spans="1:9" x14ac:dyDescent="0.2">
      <c r="A3560" s="3" t="str">
        <f>"ENSG00000154146.13"</f>
        <v>ENSG00000154146.13</v>
      </c>
      <c r="B3560" s="3">
        <v>77.1230153803441</v>
      </c>
      <c r="C3560" s="3">
        <v>-1.2295734023214799</v>
      </c>
      <c r="D3560" s="3">
        <v>0.42944115633824498</v>
      </c>
      <c r="E3560" s="3">
        <v>-2.86319414004423</v>
      </c>
      <c r="F3560" s="3">
        <v>4.1939350674706404E-3</v>
      </c>
      <c r="G3560" s="3">
        <v>1.52525558974069E-2</v>
      </c>
      <c r="H3560" s="3" t="str">
        <f>"NRGN"</f>
        <v>NRGN</v>
      </c>
      <c r="I3560" s="3" t="str">
        <f t="shared" si="168"/>
        <v>protein_coding</v>
      </c>
    </row>
    <row r="3561" spans="1:9" x14ac:dyDescent="0.2">
      <c r="A3561" s="3" t="str">
        <f>"ENSG00000149564.12"</f>
        <v>ENSG00000149564.12</v>
      </c>
      <c r="B3561" s="3">
        <v>151.09063530053601</v>
      </c>
      <c r="C3561" s="3">
        <v>-1.48920609337942</v>
      </c>
      <c r="D3561" s="3">
        <v>0.34517496169603301</v>
      </c>
      <c r="E3561" s="3">
        <v>-4.3143514409681796</v>
      </c>
      <c r="F3561" s="4">
        <v>1.6007213142594101E-5</v>
      </c>
      <c r="G3561" s="3">
        <v>1.0876522107138701E-4</v>
      </c>
      <c r="H3561" s="3" t="str">
        <f>"ESAM"</f>
        <v>ESAM</v>
      </c>
      <c r="I3561" s="3" t="str">
        <f t="shared" si="168"/>
        <v>protein_coding</v>
      </c>
    </row>
    <row r="3562" spans="1:9" x14ac:dyDescent="0.2">
      <c r="A3562" s="3" t="str">
        <f>"ENSG00000134955.11"</f>
        <v>ENSG00000134955.11</v>
      </c>
      <c r="B3562" s="3">
        <v>626.88639553290295</v>
      </c>
      <c r="C3562" s="3">
        <v>2.7068114838520199</v>
      </c>
      <c r="D3562" s="3">
        <v>0.23727281945284201</v>
      </c>
      <c r="E3562" s="3">
        <v>11.408013316038501</v>
      </c>
      <c r="F3562" s="4">
        <v>3.8133952135462497E-30</v>
      </c>
      <c r="G3562" s="4">
        <v>3.0204528890550798E-28</v>
      </c>
      <c r="H3562" s="3" t="str">
        <f>"SLC37A2"</f>
        <v>SLC37A2</v>
      </c>
      <c r="I3562" s="3" t="str">
        <f t="shared" si="168"/>
        <v>protein_coding</v>
      </c>
    </row>
    <row r="3563" spans="1:9" x14ac:dyDescent="0.2">
      <c r="A3563" s="3" t="str">
        <f>"ENSG00000187686.4"</f>
        <v>ENSG00000187686.4</v>
      </c>
      <c r="B3563" s="3">
        <v>24.643367260414198</v>
      </c>
      <c r="C3563" s="3">
        <v>2.7909006645174799</v>
      </c>
      <c r="D3563" s="3">
        <v>0.80201998407750996</v>
      </c>
      <c r="E3563" s="3">
        <v>3.4798393056596901</v>
      </c>
      <c r="F3563" s="3">
        <v>5.0171461324553497E-4</v>
      </c>
      <c r="G3563" s="3">
        <v>2.4050348464287599E-3</v>
      </c>
      <c r="H3563" s="3" t="str">
        <f>"KRT18P59"</f>
        <v>KRT18P59</v>
      </c>
      <c r="I3563" s="3" t="str">
        <f>"transcribed_processed_pseudogene"</f>
        <v>transcribed_processed_pseudogene</v>
      </c>
    </row>
    <row r="3564" spans="1:9" x14ac:dyDescent="0.2">
      <c r="A3564" s="3" t="str">
        <f>"ENSG00000165495.16"</f>
        <v>ENSG00000165495.16</v>
      </c>
      <c r="B3564" s="3">
        <v>8.3674905589883792</v>
      </c>
      <c r="C3564" s="3">
        <v>6.46006828013088</v>
      </c>
      <c r="D3564" s="3">
        <v>1.81897622178179</v>
      </c>
      <c r="E3564" s="3">
        <v>3.5514858318504499</v>
      </c>
      <c r="F3564" s="3">
        <v>3.8306261556361499E-4</v>
      </c>
      <c r="G3564" s="3">
        <v>1.8956242437816601E-3</v>
      </c>
      <c r="H3564" s="3" t="str">
        <f>"PKNOX2"</f>
        <v>PKNOX2</v>
      </c>
      <c r="I3564" s="3" t="str">
        <f>"protein_coding"</f>
        <v>protein_coding</v>
      </c>
    </row>
    <row r="3565" spans="1:9" x14ac:dyDescent="0.2">
      <c r="A3565" s="3" t="str">
        <f>"ENSG00000149557.13"</f>
        <v>ENSG00000149557.13</v>
      </c>
      <c r="B3565" s="3">
        <v>85.009936018831397</v>
      </c>
      <c r="C3565" s="3">
        <v>3.1653969815465501</v>
      </c>
      <c r="D3565" s="3">
        <v>0.448764231210872</v>
      </c>
      <c r="E3565" s="3">
        <v>7.0535857392323003</v>
      </c>
      <c r="F3565" s="4">
        <v>1.74364983603793E-12</v>
      </c>
      <c r="G3565" s="4">
        <v>3.3528036049771002E-11</v>
      </c>
      <c r="H3565" s="3" t="str">
        <f>"FEZ1"</f>
        <v>FEZ1</v>
      </c>
      <c r="I3565" s="3" t="str">
        <f>"protein_coding"</f>
        <v>protein_coding</v>
      </c>
    </row>
    <row r="3566" spans="1:9" x14ac:dyDescent="0.2">
      <c r="A3566" s="3" t="str">
        <f>"ENSG00000149547.15"</f>
        <v>ENSG00000149547.15</v>
      </c>
      <c r="B3566" s="3">
        <v>11647.4877742807</v>
      </c>
      <c r="C3566" s="3">
        <v>1.6824243057846899</v>
      </c>
      <c r="D3566" s="3">
        <v>0.17104022100371699</v>
      </c>
      <c r="E3566" s="3">
        <v>9.8364249994048407</v>
      </c>
      <c r="F3566" s="4">
        <v>7.84490335926118E-23</v>
      </c>
      <c r="G3566" s="4">
        <v>3.7109389206560701E-21</v>
      </c>
      <c r="H3566" s="3" t="str">
        <f>"EI24"</f>
        <v>EI24</v>
      </c>
      <c r="I3566" s="3" t="str">
        <f>"protein_coding"</f>
        <v>protein_coding</v>
      </c>
    </row>
    <row r="3567" spans="1:9" x14ac:dyDescent="0.2">
      <c r="A3567" s="3" t="str">
        <f>"ENSG00000222297.1"</f>
        <v>ENSG00000222297.1</v>
      </c>
      <c r="B3567" s="3">
        <v>35.106742333898403</v>
      </c>
      <c r="C3567" s="3">
        <v>2.80344611170064</v>
      </c>
      <c r="D3567" s="3">
        <v>0.66110304788677698</v>
      </c>
      <c r="E3567" s="3">
        <v>4.2405584434406798</v>
      </c>
      <c r="F3567" s="4">
        <v>2.2296436994164299E-5</v>
      </c>
      <c r="G3567" s="3">
        <v>1.4677724541676599E-4</v>
      </c>
      <c r="H3567" s="3" t="str">
        <f>"RNU6-1156P"</f>
        <v>RNU6-1156P</v>
      </c>
      <c r="I3567" s="3" t="str">
        <f>"snRNA"</f>
        <v>snRNA</v>
      </c>
    </row>
    <row r="3568" spans="1:9" x14ac:dyDescent="0.2">
      <c r="A3568" s="3" t="str">
        <f>"ENSG00000149554.12"</f>
        <v>ENSG00000149554.12</v>
      </c>
      <c r="B3568" s="3">
        <v>1952.5195941173299</v>
      </c>
      <c r="C3568" s="3">
        <v>-1.88425120421626</v>
      </c>
      <c r="D3568" s="3">
        <v>0.183688603282264</v>
      </c>
      <c r="E3568" s="3">
        <v>-10.2578557980586</v>
      </c>
      <c r="F3568" s="4">
        <v>1.0910238432503701E-24</v>
      </c>
      <c r="G3568" s="4">
        <v>5.9335582149786099E-23</v>
      </c>
      <c r="H3568" s="3" t="str">
        <f>"CHEK1"</f>
        <v>CHEK1</v>
      </c>
      <c r="I3568" s="3" t="str">
        <f>"protein_coding"</f>
        <v>protein_coding</v>
      </c>
    </row>
    <row r="3569" spans="1:9" x14ac:dyDescent="0.2">
      <c r="A3569" s="3" t="str">
        <f>"ENSG00000064309.14"</f>
        <v>ENSG00000064309.14</v>
      </c>
      <c r="B3569" s="3">
        <v>753.500284606886</v>
      </c>
      <c r="C3569" s="3">
        <v>-1.5623716777943</v>
      </c>
      <c r="D3569" s="3">
        <v>0.20681297328255399</v>
      </c>
      <c r="E3569" s="3">
        <v>-7.5545148497997898</v>
      </c>
      <c r="F3569" s="4">
        <v>4.2042399837576702E-14</v>
      </c>
      <c r="G3569" s="4">
        <v>9.6832567064619796E-13</v>
      </c>
      <c r="H3569" s="3" t="str">
        <f>"CDON"</f>
        <v>CDON</v>
      </c>
      <c r="I3569" s="3" t="str">
        <f>"protein_coding"</f>
        <v>protein_coding</v>
      </c>
    </row>
    <row r="3570" spans="1:9" x14ac:dyDescent="0.2">
      <c r="A3570" s="3" t="str">
        <f>"ENSG00000254694.1"</f>
        <v>ENSG00000254694.1</v>
      </c>
      <c r="B3570" s="3">
        <v>63.028219593994997</v>
      </c>
      <c r="C3570" s="3">
        <v>-1.1098044950185999</v>
      </c>
      <c r="D3570" s="3">
        <v>0.44680679041210902</v>
      </c>
      <c r="E3570" s="3">
        <v>-2.48385771844465</v>
      </c>
      <c r="F3570" s="3">
        <v>1.2996772522690001E-2</v>
      </c>
      <c r="G3570" s="3">
        <v>3.9619944162646602E-2</v>
      </c>
      <c r="H3570" s="3" t="str">
        <f>"AP001893.1"</f>
        <v>AP001893.1</v>
      </c>
      <c r="I3570" s="3" t="str">
        <f>"antisense"</f>
        <v>antisense</v>
      </c>
    </row>
    <row r="3571" spans="1:9" x14ac:dyDescent="0.2">
      <c r="A3571" s="3" t="str">
        <f>"ENSG00000110063.10"</f>
        <v>ENSG00000110063.10</v>
      </c>
      <c r="B3571" s="3">
        <v>710.60240458175599</v>
      </c>
      <c r="C3571" s="3">
        <v>-2.3382564290234402</v>
      </c>
      <c r="D3571" s="3">
        <v>0.23443498206961899</v>
      </c>
      <c r="E3571" s="3">
        <v>-9.9740081807802206</v>
      </c>
      <c r="F3571" s="4">
        <v>1.9807041071133601E-23</v>
      </c>
      <c r="G3571" s="4">
        <v>9.7945997833970505E-22</v>
      </c>
      <c r="H3571" s="3" t="str">
        <f>"DCPS"</f>
        <v>DCPS</v>
      </c>
      <c r="I3571" s="3" t="str">
        <f>"protein_coding"</f>
        <v>protein_coding</v>
      </c>
    </row>
    <row r="3572" spans="1:9" x14ac:dyDescent="0.2">
      <c r="A3572" s="3" t="str">
        <f>"ENSG00000110080.18"</f>
        <v>ENSG00000110080.18</v>
      </c>
      <c r="B3572" s="3">
        <v>588.91484404292703</v>
      </c>
      <c r="C3572" s="3">
        <v>-1.04264634437085</v>
      </c>
      <c r="D3572" s="3">
        <v>0.23518341261606401</v>
      </c>
      <c r="E3572" s="3">
        <v>-4.4333328306319197</v>
      </c>
      <c r="F3572" s="4">
        <v>9.2787457070329696E-6</v>
      </c>
      <c r="G3572" s="4">
        <v>6.6513544930157101E-5</v>
      </c>
      <c r="H3572" s="3" t="str">
        <f>"ST3GAL4"</f>
        <v>ST3GAL4</v>
      </c>
      <c r="I3572" s="3" t="str">
        <f>"protein_coding"</f>
        <v>protein_coding</v>
      </c>
    </row>
    <row r="3573" spans="1:9" x14ac:dyDescent="0.2">
      <c r="A3573" s="3" t="str">
        <f>"ENSG00000174370.9"</f>
        <v>ENSG00000174370.9</v>
      </c>
      <c r="B3573" s="3">
        <v>8.9563176070149293</v>
      </c>
      <c r="C3573" s="3">
        <v>6.5600723538053796</v>
      </c>
      <c r="D3573" s="3">
        <v>1.7965178279999101</v>
      </c>
      <c r="E3573" s="3">
        <v>3.6515487080408202</v>
      </c>
      <c r="F3573" s="3">
        <v>2.606636475131E-4</v>
      </c>
      <c r="G3573" s="3">
        <v>1.3441147622614399E-3</v>
      </c>
      <c r="H3573" s="3" t="str">
        <f>"C11orf45"</f>
        <v>C11orf45</v>
      </c>
      <c r="I3573" s="3" t="str">
        <f>"protein_coding"</f>
        <v>protein_coding</v>
      </c>
    </row>
    <row r="3574" spans="1:9" x14ac:dyDescent="0.2">
      <c r="A3574" s="3" t="str">
        <f>"ENSG00000175773.13"</f>
        <v>ENSG00000175773.13</v>
      </c>
      <c r="B3574" s="3">
        <v>15.965640718444201</v>
      </c>
      <c r="C3574" s="3">
        <v>2.2127146804146101</v>
      </c>
      <c r="D3574" s="3">
        <v>0.89331641442506604</v>
      </c>
      <c r="E3574" s="3">
        <v>2.4769663298291702</v>
      </c>
      <c r="F3574" s="3">
        <v>1.3250440141482699E-2</v>
      </c>
      <c r="G3574" s="3">
        <v>4.0244648593799899E-2</v>
      </c>
      <c r="H3574" s="3" t="str">
        <f>"AP002986.1"</f>
        <v>AP002986.1</v>
      </c>
      <c r="I3574" s="3" t="str">
        <f>"lincRNA"</f>
        <v>lincRNA</v>
      </c>
    </row>
    <row r="3575" spans="1:9" x14ac:dyDescent="0.2">
      <c r="A3575" s="3" t="str">
        <f>"ENSG00000134917.10"</f>
        <v>ENSG00000134917.10</v>
      </c>
      <c r="B3575" s="3">
        <v>4.0010518602740399</v>
      </c>
      <c r="C3575" s="3">
        <v>5.39773571786733</v>
      </c>
      <c r="D3575" s="3">
        <v>2.1532629357120299</v>
      </c>
      <c r="E3575" s="3">
        <v>2.5067703661942402</v>
      </c>
      <c r="F3575" s="3">
        <v>1.2183983780147E-2</v>
      </c>
      <c r="G3575" s="3">
        <v>3.74945794056546E-2</v>
      </c>
      <c r="H3575" s="3" t="str">
        <f>"ADAMTS8"</f>
        <v>ADAMTS8</v>
      </c>
      <c r="I3575" s="3" t="str">
        <f>"protein_coding"</f>
        <v>protein_coding</v>
      </c>
    </row>
    <row r="3576" spans="1:9" x14ac:dyDescent="0.2">
      <c r="A3576" s="3" t="str">
        <f>"ENSG00000120451.10"</f>
        <v>ENSG00000120451.10</v>
      </c>
      <c r="B3576" s="3">
        <v>8.4342909857811303</v>
      </c>
      <c r="C3576" s="3">
        <v>3.94724533155396</v>
      </c>
      <c r="D3576" s="3">
        <v>1.5002886979361501</v>
      </c>
      <c r="E3576" s="3">
        <v>2.6309905133484901</v>
      </c>
      <c r="F3576" s="3">
        <v>8.5136412452672498E-3</v>
      </c>
      <c r="G3576" s="3">
        <v>2.7807622034260002E-2</v>
      </c>
      <c r="H3576" s="3" t="str">
        <f>"SNX19"</f>
        <v>SNX19</v>
      </c>
      <c r="I3576" s="3" t="str">
        <f>"protein_coding"</f>
        <v>protein_coding</v>
      </c>
    </row>
    <row r="3577" spans="1:9" x14ac:dyDescent="0.2">
      <c r="A3577" s="3" t="str">
        <f>"ENSG00000183715.13"</f>
        <v>ENSG00000183715.13</v>
      </c>
      <c r="B3577" s="3">
        <v>7.41327667252152</v>
      </c>
      <c r="C3577" s="3">
        <v>6.2853458829969604</v>
      </c>
      <c r="D3577" s="3">
        <v>1.8614676998914701</v>
      </c>
      <c r="E3577" s="3">
        <v>3.37655382543754</v>
      </c>
      <c r="F3577" s="3">
        <v>7.3400009002317702E-4</v>
      </c>
      <c r="G3577" s="3">
        <v>3.37313213912321E-3</v>
      </c>
      <c r="H3577" s="3" t="str">
        <f>"OPCML"</f>
        <v>OPCML</v>
      </c>
      <c r="I3577" s="3" t="str">
        <f>"protein_coding"</f>
        <v>protein_coding</v>
      </c>
    </row>
    <row r="3578" spans="1:9" x14ac:dyDescent="0.2">
      <c r="A3578" s="3" t="str">
        <f>"ENSG00000280237.3"</f>
        <v>ENSG00000280237.3</v>
      </c>
      <c r="B3578" s="3">
        <v>48.8464779006786</v>
      </c>
      <c r="C3578" s="3">
        <v>5.5351225617327797</v>
      </c>
      <c r="D3578" s="3">
        <v>0.86561545268189799</v>
      </c>
      <c r="E3578" s="3">
        <v>6.3944359410215599</v>
      </c>
      <c r="F3578" s="4">
        <v>1.6114108593033301E-10</v>
      </c>
      <c r="G3578" s="4">
        <v>2.4351698105068199E-9</v>
      </c>
      <c r="H3578" s="3" t="str">
        <f>"MIR4697HG"</f>
        <v>MIR4697HG</v>
      </c>
      <c r="I3578" s="3" t="str">
        <f>"TEC"</f>
        <v>TEC</v>
      </c>
    </row>
    <row r="3579" spans="1:9" x14ac:dyDescent="0.2">
      <c r="A3579" s="3" t="str">
        <f>"ENSG00000080854.14"</f>
        <v>ENSG00000080854.14</v>
      </c>
      <c r="B3579" s="3">
        <v>91.563762290373802</v>
      </c>
      <c r="C3579" s="3">
        <v>3.99311390077033</v>
      </c>
      <c r="D3579" s="3">
        <v>0.490886728581857</v>
      </c>
      <c r="E3579" s="3">
        <v>8.1344914585615307</v>
      </c>
      <c r="F3579" s="4">
        <v>4.1367113965995398E-16</v>
      </c>
      <c r="G3579" s="4">
        <v>1.14197543488498E-14</v>
      </c>
      <c r="H3579" s="3" t="str">
        <f>"IGSF9B"</f>
        <v>IGSF9B</v>
      </c>
      <c r="I3579" s="3" t="str">
        <f t="shared" ref="I3579:I3585" si="169">"protein_coding"</f>
        <v>protein_coding</v>
      </c>
    </row>
    <row r="3580" spans="1:9" x14ac:dyDescent="0.2">
      <c r="A3580" s="3" t="str">
        <f>"ENSG00000166086.12"</f>
        <v>ENSG00000166086.12</v>
      </c>
      <c r="B3580" s="3">
        <v>410.81060379759799</v>
      </c>
      <c r="C3580" s="3">
        <v>-1.2748688329242499</v>
      </c>
      <c r="D3580" s="3">
        <v>0.25080200908240402</v>
      </c>
      <c r="E3580" s="3">
        <v>-5.08316834298315</v>
      </c>
      <c r="F3580" s="4">
        <v>3.7119044076195599E-7</v>
      </c>
      <c r="G3580" s="4">
        <v>3.4272537917455101E-6</v>
      </c>
      <c r="H3580" s="3" t="str">
        <f>"JAM3"</f>
        <v>JAM3</v>
      </c>
      <c r="I3580" s="3" t="str">
        <f t="shared" si="169"/>
        <v>protein_coding</v>
      </c>
    </row>
    <row r="3581" spans="1:9" x14ac:dyDescent="0.2">
      <c r="A3581" s="3" t="str">
        <f>"ENSG00000151503.12"</f>
        <v>ENSG00000151503.12</v>
      </c>
      <c r="B3581" s="3">
        <v>3880.1130280638199</v>
      </c>
      <c r="C3581" s="3">
        <v>-1.2851053189203001</v>
      </c>
      <c r="D3581" s="3">
        <v>0.18892003243681299</v>
      </c>
      <c r="E3581" s="3">
        <v>-6.80237718755488</v>
      </c>
      <c r="F3581" s="4">
        <v>1.0290673498627501E-11</v>
      </c>
      <c r="G3581" s="4">
        <v>1.8195326464445401E-10</v>
      </c>
      <c r="H3581" s="3" t="str">
        <f>"NCAPD3"</f>
        <v>NCAPD3</v>
      </c>
      <c r="I3581" s="3" t="str">
        <f t="shared" si="169"/>
        <v>protein_coding</v>
      </c>
    </row>
    <row r="3582" spans="1:9" x14ac:dyDescent="0.2">
      <c r="A3582" s="3" t="str">
        <f>"ENSG00000151502.11"</f>
        <v>ENSG00000151502.11</v>
      </c>
      <c r="B3582" s="3">
        <v>1555.74955026414</v>
      </c>
      <c r="C3582" s="3">
        <v>-1.0419045057060601</v>
      </c>
      <c r="D3582" s="3">
        <v>0.188961601324975</v>
      </c>
      <c r="E3582" s="3">
        <v>-5.5138424865176399</v>
      </c>
      <c r="F3582" s="4">
        <v>3.51082835924628E-8</v>
      </c>
      <c r="G3582" s="4">
        <v>3.8510281926080302E-7</v>
      </c>
      <c r="H3582" s="3" t="str">
        <f>"VPS26B"</f>
        <v>VPS26B</v>
      </c>
      <c r="I3582" s="3" t="str">
        <f t="shared" si="169"/>
        <v>protein_coding</v>
      </c>
    </row>
    <row r="3583" spans="1:9" x14ac:dyDescent="0.2">
      <c r="A3583" s="3" t="str">
        <f>"ENSG00000166105.16"</f>
        <v>ENSG00000166105.16</v>
      </c>
      <c r="B3583" s="3">
        <v>4.8797837467545202</v>
      </c>
      <c r="C3583" s="3">
        <v>5.6795021195980304</v>
      </c>
      <c r="D3583" s="3">
        <v>2.05906026095156</v>
      </c>
      <c r="E3583" s="3">
        <v>2.7582981553795598</v>
      </c>
      <c r="F3583" s="3">
        <v>5.8103175464449099E-3</v>
      </c>
      <c r="G3583" s="3">
        <v>2.0167353144966201E-2</v>
      </c>
      <c r="H3583" s="3" t="str">
        <f>"GLB1L3"</f>
        <v>GLB1L3</v>
      </c>
      <c r="I3583" s="3" t="str">
        <f t="shared" si="169"/>
        <v>protein_coding</v>
      </c>
    </row>
    <row r="3584" spans="1:9" x14ac:dyDescent="0.2">
      <c r="A3584" s="3" t="str">
        <f>"ENSG00000149328.14"</f>
        <v>ENSG00000149328.14</v>
      </c>
      <c r="B3584" s="3">
        <v>67.417545331618001</v>
      </c>
      <c r="C3584" s="3">
        <v>-1.2010583588110399</v>
      </c>
      <c r="D3584" s="3">
        <v>0.43370353299511</v>
      </c>
      <c r="E3584" s="3">
        <v>-2.7693072973527801</v>
      </c>
      <c r="F3584" s="3">
        <v>5.6175624000054597E-3</v>
      </c>
      <c r="G3584" s="3">
        <v>1.96157532632255E-2</v>
      </c>
      <c r="H3584" s="3" t="str">
        <f>"GLB1L2"</f>
        <v>GLB1L2</v>
      </c>
      <c r="I3584" s="3" t="str">
        <f t="shared" si="169"/>
        <v>protein_coding</v>
      </c>
    </row>
    <row r="3585" spans="1:9" x14ac:dyDescent="0.2">
      <c r="A3585" s="3" t="str">
        <f>"ENSG00000120645.11"</f>
        <v>ENSG00000120645.11</v>
      </c>
      <c r="B3585" s="3">
        <v>11.341852323182099</v>
      </c>
      <c r="C3585" s="3">
        <v>6.9004134501161403</v>
      </c>
      <c r="D3585" s="3">
        <v>1.72865197341683</v>
      </c>
      <c r="E3585" s="3">
        <v>3.9917887210557899</v>
      </c>
      <c r="F3585" s="4">
        <v>6.5576785485654097E-5</v>
      </c>
      <c r="G3585" s="3">
        <v>3.9089273115896199E-4</v>
      </c>
      <c r="H3585" s="3" t="str">
        <f>"IQSEC3"</f>
        <v>IQSEC3</v>
      </c>
      <c r="I3585" s="3" t="str">
        <f t="shared" si="169"/>
        <v>protein_coding</v>
      </c>
    </row>
    <row r="3586" spans="1:9" x14ac:dyDescent="0.2">
      <c r="A3586" s="3" t="str">
        <f>"ENSG00000249695.6"</f>
        <v>ENSG00000249695.6</v>
      </c>
      <c r="B3586" s="3">
        <v>6.7216223607680403</v>
      </c>
      <c r="C3586" s="3">
        <v>4.6403352265649804</v>
      </c>
      <c r="D3586" s="3">
        <v>1.8721776167082</v>
      </c>
      <c r="E3586" s="3">
        <v>2.4785763835399099</v>
      </c>
      <c r="F3586" s="3">
        <v>1.3190786417772001E-2</v>
      </c>
      <c r="G3586" s="3">
        <v>4.0108175150656601E-2</v>
      </c>
      <c r="H3586" s="3" t="str">
        <f>"AC026369.1"</f>
        <v>AC026369.1</v>
      </c>
      <c r="I3586" s="3" t="str">
        <f>"antisense"</f>
        <v>antisense</v>
      </c>
    </row>
    <row r="3587" spans="1:9" x14ac:dyDescent="0.2">
      <c r="A3587" s="3" t="str">
        <f>"ENSG00000010379.16"</f>
        <v>ENSG00000010379.16</v>
      </c>
      <c r="B3587" s="3">
        <v>9.1043191855248207</v>
      </c>
      <c r="C3587" s="3">
        <v>4.0551537840741503</v>
      </c>
      <c r="D3587" s="3">
        <v>1.4399180421914199</v>
      </c>
      <c r="E3587" s="3">
        <v>2.81623930338603</v>
      </c>
      <c r="F3587" s="3">
        <v>4.8589459371475401E-3</v>
      </c>
      <c r="G3587" s="3">
        <v>1.7317423145776199E-2</v>
      </c>
      <c r="H3587" s="3" t="str">
        <f>"SLC6A13"</f>
        <v>SLC6A13</v>
      </c>
      <c r="I3587" s="3" t="str">
        <f t="shared" ref="I3587:I3593" si="170">"protein_coding"</f>
        <v>protein_coding</v>
      </c>
    </row>
    <row r="3588" spans="1:9" x14ac:dyDescent="0.2">
      <c r="A3588" s="3" t="str">
        <f>"ENSG00000060237.17"</f>
        <v>ENSG00000060237.17</v>
      </c>
      <c r="B3588" s="3">
        <v>9898.3419039254004</v>
      </c>
      <c r="C3588" s="3">
        <v>-1.0078958846222801</v>
      </c>
      <c r="D3588" s="3">
        <v>0.171358013438447</v>
      </c>
      <c r="E3588" s="3">
        <v>-5.8818135457920899</v>
      </c>
      <c r="F3588" s="4">
        <v>4.0579533196718396E-9</v>
      </c>
      <c r="G3588" s="4">
        <v>5.0999563699768702E-8</v>
      </c>
      <c r="H3588" s="3" t="str">
        <f>"WNK1"</f>
        <v>WNK1</v>
      </c>
      <c r="I3588" s="3" t="str">
        <f t="shared" si="170"/>
        <v>protein_coding</v>
      </c>
    </row>
    <row r="3589" spans="1:9" x14ac:dyDescent="0.2">
      <c r="A3589" s="3" t="str">
        <f>"ENSG00000002016.17"</f>
        <v>ENSG00000002016.17</v>
      </c>
      <c r="B3589" s="3">
        <v>1111.82214978038</v>
      </c>
      <c r="C3589" s="3">
        <v>1.8848634692969499</v>
      </c>
      <c r="D3589" s="3">
        <v>0.19758648258751901</v>
      </c>
      <c r="E3589" s="3">
        <v>9.5394353126462992</v>
      </c>
      <c r="F3589" s="4">
        <v>1.4361214601950399E-21</v>
      </c>
      <c r="G3589" s="4">
        <v>6.3011274437897197E-20</v>
      </c>
      <c r="H3589" s="3" t="str">
        <f>"RAD52"</f>
        <v>RAD52</v>
      </c>
      <c r="I3589" s="3" t="str">
        <f t="shared" si="170"/>
        <v>protein_coding</v>
      </c>
    </row>
    <row r="3590" spans="1:9" x14ac:dyDescent="0.2">
      <c r="A3590" s="3" t="str">
        <f>"ENSG00000111186.13"</f>
        <v>ENSG00000111186.13</v>
      </c>
      <c r="B3590" s="3">
        <v>7.4104387811111598</v>
      </c>
      <c r="C3590" s="3">
        <v>4.7946430885050697</v>
      </c>
      <c r="D3590" s="3">
        <v>1.83758647912291</v>
      </c>
      <c r="E3590" s="3">
        <v>2.6092067736554001</v>
      </c>
      <c r="F3590" s="3">
        <v>9.0752386534350797E-3</v>
      </c>
      <c r="G3590" s="3">
        <v>2.9332506238451399E-2</v>
      </c>
      <c r="H3590" s="3" t="str">
        <f>"WNT5B"</f>
        <v>WNT5B</v>
      </c>
      <c r="I3590" s="3" t="str">
        <f t="shared" si="170"/>
        <v>protein_coding</v>
      </c>
    </row>
    <row r="3591" spans="1:9" x14ac:dyDescent="0.2">
      <c r="A3591" s="3" t="str">
        <f>"ENSG00000151062.15"</f>
        <v>ENSG00000151062.15</v>
      </c>
      <c r="B3591" s="3">
        <v>1326.1505383281899</v>
      </c>
      <c r="C3591" s="3">
        <v>1.88920385814873</v>
      </c>
      <c r="D3591" s="3">
        <v>0.21179802353638899</v>
      </c>
      <c r="E3591" s="3">
        <v>8.9198370532676101</v>
      </c>
      <c r="F3591" s="4">
        <v>4.6697476867390996E-19</v>
      </c>
      <c r="G3591" s="4">
        <v>1.6460105461912101E-17</v>
      </c>
      <c r="H3591" s="3" t="str">
        <f>"CACNA2D4"</f>
        <v>CACNA2D4</v>
      </c>
      <c r="I3591" s="3" t="str">
        <f t="shared" si="170"/>
        <v>protein_coding</v>
      </c>
    </row>
    <row r="3592" spans="1:9" x14ac:dyDescent="0.2">
      <c r="A3592" s="3" t="str">
        <f>"ENSG00000151065.14"</f>
        <v>ENSG00000151065.14</v>
      </c>
      <c r="B3592" s="3">
        <v>1150.73637971773</v>
      </c>
      <c r="C3592" s="3">
        <v>1.4728170119008801</v>
      </c>
      <c r="D3592" s="3">
        <v>0.20222789764660601</v>
      </c>
      <c r="E3592" s="3">
        <v>7.2829566496044702</v>
      </c>
      <c r="F3592" s="4">
        <v>3.2658219643811698E-13</v>
      </c>
      <c r="G3592" s="4">
        <v>6.8766500049067802E-12</v>
      </c>
      <c r="H3592" s="3" t="str">
        <f>"DCP1B"</f>
        <v>DCP1B</v>
      </c>
      <c r="I3592" s="3" t="str">
        <f t="shared" si="170"/>
        <v>protein_coding</v>
      </c>
    </row>
    <row r="3593" spans="1:9" x14ac:dyDescent="0.2">
      <c r="A3593" s="3" t="str">
        <f>"ENSG00000151067.21"</f>
        <v>ENSG00000151067.21</v>
      </c>
      <c r="B3593" s="3">
        <v>49.498720418289899</v>
      </c>
      <c r="C3593" s="3">
        <v>6.5692292447980698</v>
      </c>
      <c r="D3593" s="3">
        <v>1.1322251063661399</v>
      </c>
      <c r="E3593" s="3">
        <v>5.8020522666927103</v>
      </c>
      <c r="F3593" s="4">
        <v>6.5508133856818703E-9</v>
      </c>
      <c r="G3593" s="4">
        <v>7.9754250366252806E-8</v>
      </c>
      <c r="H3593" s="3" t="str">
        <f>"CACNA1C"</f>
        <v>CACNA1C</v>
      </c>
      <c r="I3593" s="3" t="str">
        <f t="shared" si="170"/>
        <v>protein_coding</v>
      </c>
    </row>
    <row r="3594" spans="1:9" x14ac:dyDescent="0.2">
      <c r="A3594" s="3" t="str">
        <f>"ENSG00000203593.3"</f>
        <v>ENSG00000203593.3</v>
      </c>
      <c r="B3594" s="3">
        <v>9.1375081310486408</v>
      </c>
      <c r="C3594" s="3">
        <v>6.5863269429523701</v>
      </c>
      <c r="D3594" s="3">
        <v>1.79353052999688</v>
      </c>
      <c r="E3594" s="3">
        <v>3.6722692102508199</v>
      </c>
      <c r="F3594" s="3">
        <v>2.4040623147508999E-4</v>
      </c>
      <c r="G3594" s="3">
        <v>1.2514995393583801E-3</v>
      </c>
      <c r="H3594" s="3" t="str">
        <f>"AC005342.1"</f>
        <v>AC005342.1</v>
      </c>
      <c r="I3594" s="3" t="str">
        <f>"antisense"</f>
        <v>antisense</v>
      </c>
    </row>
    <row r="3595" spans="1:9" x14ac:dyDescent="0.2">
      <c r="A3595" s="3" t="str">
        <f>"ENSG00000255669.2"</f>
        <v>ENSG00000255669.2</v>
      </c>
      <c r="B3595" s="3">
        <v>29.6432339995525</v>
      </c>
      <c r="C3595" s="3">
        <v>1.8569902961412901</v>
      </c>
      <c r="D3595" s="3">
        <v>0.68351027646981799</v>
      </c>
      <c r="E3595" s="3">
        <v>2.71684327225078</v>
      </c>
      <c r="F3595" s="3">
        <v>6.5907809389955203E-3</v>
      </c>
      <c r="G3595" s="3">
        <v>2.2405365969408699E-2</v>
      </c>
      <c r="H3595" s="3" t="str">
        <f>"AC092471.1"</f>
        <v>AC092471.1</v>
      </c>
      <c r="I3595" s="3" t="str">
        <f>"transcribed_unitary_pseudogene"</f>
        <v>transcribed_unitary_pseudogene</v>
      </c>
    </row>
    <row r="3596" spans="1:9" x14ac:dyDescent="0.2">
      <c r="A3596" s="3" t="str">
        <f>"ENSG00000004478.8"</f>
        <v>ENSG00000004478.8</v>
      </c>
      <c r="B3596" s="3">
        <v>3282.46632054256</v>
      </c>
      <c r="C3596" s="3">
        <v>-1.31007752023825</v>
      </c>
      <c r="D3596" s="3">
        <v>0.187899137815661</v>
      </c>
      <c r="E3596" s="3">
        <v>-6.9722380606317902</v>
      </c>
      <c r="F3596" s="4">
        <v>3.11938104089688E-12</v>
      </c>
      <c r="G3596" s="4">
        <v>5.8135277169163598E-11</v>
      </c>
      <c r="H3596" s="3" t="str">
        <f>"FKBP4"</f>
        <v>FKBP4</v>
      </c>
      <c r="I3596" s="3" t="str">
        <f>"protein_coding"</f>
        <v>protein_coding</v>
      </c>
    </row>
    <row r="3597" spans="1:9" x14ac:dyDescent="0.2">
      <c r="A3597" s="3" t="str">
        <f>"ENSG00000197905.9"</f>
        <v>ENSG00000197905.9</v>
      </c>
      <c r="B3597" s="3">
        <v>1998.23246204262</v>
      </c>
      <c r="C3597" s="3">
        <v>-1.4081443328462799</v>
      </c>
      <c r="D3597" s="3">
        <v>0.217925072076634</v>
      </c>
      <c r="E3597" s="3">
        <v>-6.4615985642583702</v>
      </c>
      <c r="F3597" s="4">
        <v>1.0360263922888901E-10</v>
      </c>
      <c r="G3597" s="4">
        <v>1.6084678695553E-9</v>
      </c>
      <c r="H3597" s="3" t="str">
        <f>"TEAD4"</f>
        <v>TEAD4</v>
      </c>
      <c r="I3597" s="3" t="str">
        <f>"protein_coding"</f>
        <v>protein_coding</v>
      </c>
    </row>
    <row r="3598" spans="1:9" x14ac:dyDescent="0.2">
      <c r="A3598" s="3" t="str">
        <f>"ENSG00000250899.3"</f>
        <v>ENSG00000250899.3</v>
      </c>
      <c r="B3598" s="3">
        <v>339.55548857640298</v>
      </c>
      <c r="C3598" s="3">
        <v>-1.41209427682549</v>
      </c>
      <c r="D3598" s="3">
        <v>0.25437303890378798</v>
      </c>
      <c r="E3598" s="3">
        <v>-5.5512733696576602</v>
      </c>
      <c r="F3598" s="4">
        <v>2.8359619912788901E-8</v>
      </c>
      <c r="G3598" s="4">
        <v>3.16426930288189E-7</v>
      </c>
      <c r="H3598" s="3" t="str">
        <f>"AC125807.2"</f>
        <v>AC125807.2</v>
      </c>
      <c r="I3598" s="3" t="str">
        <f>"lincRNA"</f>
        <v>lincRNA</v>
      </c>
    </row>
    <row r="3599" spans="1:9" x14ac:dyDescent="0.2">
      <c r="A3599" s="3" t="str">
        <f>"ENSG00000250770.3"</f>
        <v>ENSG00000250770.3</v>
      </c>
      <c r="B3599" s="3">
        <v>67.0518124756627</v>
      </c>
      <c r="C3599" s="3">
        <v>8.0156642521652</v>
      </c>
      <c r="D3599" s="3">
        <v>1.49643562043358</v>
      </c>
      <c r="E3599" s="3">
        <v>5.3565045784213003</v>
      </c>
      <c r="F3599" s="4">
        <v>8.4847351196513796E-8</v>
      </c>
      <c r="G3599" s="4">
        <v>8.6878458401030197E-7</v>
      </c>
      <c r="H3599" s="3" t="str">
        <f>"AC005865.2"</f>
        <v>AC005865.2</v>
      </c>
      <c r="I3599" s="3" t="str">
        <f>"transcribed_unprocessed_pseudogene"</f>
        <v>transcribed_unprocessed_pseudogene</v>
      </c>
    </row>
    <row r="3600" spans="1:9" x14ac:dyDescent="0.2">
      <c r="A3600" s="3" t="str">
        <f>"ENSG00000236908.2"</f>
        <v>ENSG00000236908.2</v>
      </c>
      <c r="B3600" s="3">
        <v>8.0745799301615602</v>
      </c>
      <c r="C3600" s="3">
        <v>6.4095409579650902</v>
      </c>
      <c r="D3600" s="3">
        <v>1.8297258268735599</v>
      </c>
      <c r="E3600" s="3">
        <v>3.5030062230236001</v>
      </c>
      <c r="F3600" s="3">
        <v>4.6003871540105699E-4</v>
      </c>
      <c r="G3600" s="3">
        <v>2.2244719662634599E-3</v>
      </c>
      <c r="H3600" s="3" t="str">
        <f>"AC005865.1"</f>
        <v>AC005865.1</v>
      </c>
      <c r="I3600" s="3" t="str">
        <f>"lincRNA"</f>
        <v>lincRNA</v>
      </c>
    </row>
    <row r="3601" spans="1:9" x14ac:dyDescent="0.2">
      <c r="A3601" s="3" t="str">
        <f>"ENSG00000256969.1"</f>
        <v>ENSG00000256969.1</v>
      </c>
      <c r="B3601" s="3">
        <v>12.737189684858199</v>
      </c>
      <c r="C3601" s="3">
        <v>3.1504115822231999</v>
      </c>
      <c r="D3601" s="3">
        <v>1.0784011272027101</v>
      </c>
      <c r="E3601" s="3">
        <v>2.9213726717767101</v>
      </c>
      <c r="F3601" s="3">
        <v>3.4849269154104598E-3</v>
      </c>
      <c r="G3601" s="3">
        <v>1.3037732207083401E-2</v>
      </c>
      <c r="H3601" s="3" t="str">
        <f>"AC007207.2"</f>
        <v>AC007207.2</v>
      </c>
      <c r="I3601" s="3" t="str">
        <f>"lincRNA"</f>
        <v>lincRNA</v>
      </c>
    </row>
    <row r="3602" spans="1:9" x14ac:dyDescent="0.2">
      <c r="A3602" s="3" t="str">
        <f>"ENSG00000256356.1"</f>
        <v>ENSG00000256356.1</v>
      </c>
      <c r="B3602" s="3">
        <v>41.259570785474999</v>
      </c>
      <c r="C3602" s="3">
        <v>3.6118311242308199</v>
      </c>
      <c r="D3602" s="3">
        <v>0.70445279995593202</v>
      </c>
      <c r="E3602" s="3">
        <v>5.1271442521866</v>
      </c>
      <c r="F3602" s="4">
        <v>2.9417012326394401E-7</v>
      </c>
      <c r="G3602" s="4">
        <v>2.7572250941082502E-6</v>
      </c>
      <c r="H3602" s="3" t="str">
        <f>"HSPA8P5"</f>
        <v>HSPA8P5</v>
      </c>
      <c r="I3602" s="3" t="str">
        <f>"processed_pseudogene"</f>
        <v>processed_pseudogene</v>
      </c>
    </row>
    <row r="3603" spans="1:9" x14ac:dyDescent="0.2">
      <c r="A3603" s="3" t="str">
        <f>"ENSG00000118971.8"</f>
        <v>ENSG00000118971.8</v>
      </c>
      <c r="B3603" s="3">
        <v>1086.45637072618</v>
      </c>
      <c r="C3603" s="3">
        <v>4.5842825223925301</v>
      </c>
      <c r="D3603" s="3">
        <v>0.24404249301785799</v>
      </c>
      <c r="E3603" s="3">
        <v>18.7847717243943</v>
      </c>
      <c r="F3603" s="4">
        <v>1.00617990136799E-78</v>
      </c>
      <c r="G3603" s="4">
        <v>6.8538459431433902E-76</v>
      </c>
      <c r="H3603" s="3" t="str">
        <f>"CCND2"</f>
        <v>CCND2</v>
      </c>
      <c r="I3603" s="3" t="str">
        <f>"protein_coding"</f>
        <v>protein_coding</v>
      </c>
    </row>
    <row r="3604" spans="1:9" x14ac:dyDescent="0.2">
      <c r="A3604" s="3" t="str">
        <f>"ENSG00000078237.7"</f>
        <v>ENSG00000078237.7</v>
      </c>
      <c r="B3604" s="3">
        <v>742.82869991876203</v>
      </c>
      <c r="C3604" s="3">
        <v>2.7293273575283998</v>
      </c>
      <c r="D3604" s="3">
        <v>0.21658435435547599</v>
      </c>
      <c r="E3604" s="3">
        <v>12.601682913110199</v>
      </c>
      <c r="F3604" s="4">
        <v>2.06686828722286E-36</v>
      </c>
      <c r="G3604" s="4">
        <v>2.3367618349361499E-34</v>
      </c>
      <c r="H3604" s="3" t="str">
        <f>"TIGAR"</f>
        <v>TIGAR</v>
      </c>
      <c r="I3604" s="3" t="str">
        <f>"protein_coding"</f>
        <v>protein_coding</v>
      </c>
    </row>
    <row r="3605" spans="1:9" x14ac:dyDescent="0.2">
      <c r="A3605" s="3" t="str">
        <f>"ENSG00000256654.3"</f>
        <v>ENSG00000256654.3</v>
      </c>
      <c r="B3605" s="3">
        <v>75.135241877980405</v>
      </c>
      <c r="C3605" s="3">
        <v>9.6281799024818806</v>
      </c>
      <c r="D3605" s="3">
        <v>1.49770546997599</v>
      </c>
      <c r="E3605" s="3">
        <v>6.4286203766326704</v>
      </c>
      <c r="F3605" s="4">
        <v>1.2876726008195E-10</v>
      </c>
      <c r="G3605" s="4">
        <v>1.9721874847964501E-9</v>
      </c>
      <c r="H3605" s="3" t="str">
        <f>"AC005906.2"</f>
        <v>AC005906.2</v>
      </c>
      <c r="I3605" s="3" t="str">
        <f>"processed_transcript"</f>
        <v>processed_transcript</v>
      </c>
    </row>
    <row r="3606" spans="1:9" x14ac:dyDescent="0.2">
      <c r="A3606" s="3" t="str">
        <f>"ENSG00000047617.15"</f>
        <v>ENSG00000047617.15</v>
      </c>
      <c r="B3606" s="3">
        <v>15.345785443776499</v>
      </c>
      <c r="C3606" s="3">
        <v>5.8656032899481696</v>
      </c>
      <c r="D3606" s="3">
        <v>1.65053694983076</v>
      </c>
      <c r="E3606" s="3">
        <v>3.55375460728074</v>
      </c>
      <c r="F3606" s="3">
        <v>3.7977339234076098E-4</v>
      </c>
      <c r="G3606" s="3">
        <v>1.8824241624720199E-3</v>
      </c>
      <c r="H3606" s="3" t="str">
        <f>"ANO2"</f>
        <v>ANO2</v>
      </c>
      <c r="I3606" s="3" t="str">
        <f>"protein_coding"</f>
        <v>protein_coding</v>
      </c>
    </row>
    <row r="3607" spans="1:9" x14ac:dyDescent="0.2">
      <c r="A3607" s="3" t="str">
        <f>"ENSG00000110799.13"</f>
        <v>ENSG00000110799.13</v>
      </c>
      <c r="B3607" s="3">
        <v>295.59814818378698</v>
      </c>
      <c r="C3607" s="3">
        <v>7.8332130673117204</v>
      </c>
      <c r="D3607" s="3">
        <v>0.69296537962054905</v>
      </c>
      <c r="E3607" s="3">
        <v>11.3039024714351</v>
      </c>
      <c r="F3607" s="4">
        <v>1.2551363846923899E-29</v>
      </c>
      <c r="G3607" s="4">
        <v>9.5794680878749204E-28</v>
      </c>
      <c r="H3607" s="3" t="str">
        <f>"VWF"</f>
        <v>VWF</v>
      </c>
      <c r="I3607" s="3" t="str">
        <f>"protein_coding"</f>
        <v>protein_coding</v>
      </c>
    </row>
    <row r="3608" spans="1:9" x14ac:dyDescent="0.2">
      <c r="A3608" s="3" t="str">
        <f>"ENSG00000010278.14"</f>
        <v>ENSG00000010278.14</v>
      </c>
      <c r="B3608" s="3">
        <v>396.80639747878701</v>
      </c>
      <c r="C3608" s="3">
        <v>1.56244058243844</v>
      </c>
      <c r="D3608" s="3">
        <v>0.244744993085976</v>
      </c>
      <c r="E3608" s="3">
        <v>6.3839532026282502</v>
      </c>
      <c r="F3608" s="4">
        <v>1.7257384812697701E-10</v>
      </c>
      <c r="G3608" s="4">
        <v>2.5964216675404399E-9</v>
      </c>
      <c r="H3608" s="3" t="str">
        <f>"CD9"</f>
        <v>CD9</v>
      </c>
      <c r="I3608" s="3" t="str">
        <f>"protein_coding"</f>
        <v>protein_coding</v>
      </c>
    </row>
    <row r="3609" spans="1:9" x14ac:dyDescent="0.2">
      <c r="A3609" s="3" t="str">
        <f>"ENSG00000184574.10"</f>
        <v>ENSG00000184574.10</v>
      </c>
      <c r="B3609" s="3">
        <v>29.360423337795101</v>
      </c>
      <c r="C3609" s="3">
        <v>1.82544726688069</v>
      </c>
      <c r="D3609" s="3">
        <v>0.64990560109259798</v>
      </c>
      <c r="E3609" s="3">
        <v>2.8087883283538599</v>
      </c>
      <c r="F3609" s="3">
        <v>4.97283306250575E-3</v>
      </c>
      <c r="G3609" s="3">
        <v>1.76356608686833E-2</v>
      </c>
      <c r="H3609" s="3" t="str">
        <f>"LPAR5"</f>
        <v>LPAR5</v>
      </c>
      <c r="I3609" s="3" t="str">
        <f>"protein_coding"</f>
        <v>protein_coding</v>
      </c>
    </row>
    <row r="3610" spans="1:9" x14ac:dyDescent="0.2">
      <c r="A3610" s="3" t="str">
        <f>"ENSG00000252186.1"</f>
        <v>ENSG00000252186.1</v>
      </c>
      <c r="B3610" s="3">
        <v>3.6234843933652998</v>
      </c>
      <c r="C3610" s="3">
        <v>-5.3714453130802902</v>
      </c>
      <c r="D3610" s="3">
        <v>2.21866052156542</v>
      </c>
      <c r="E3610" s="3">
        <v>-2.4210307349275602</v>
      </c>
      <c r="F3610" s="3">
        <v>1.54765686907347E-2</v>
      </c>
      <c r="G3610" s="3">
        <v>4.5761266100536997E-2</v>
      </c>
      <c r="H3610" s="3" t="str">
        <f>"RNU6-781P"</f>
        <v>RNU6-781P</v>
      </c>
      <c r="I3610" s="3" t="str">
        <f>"snRNA"</f>
        <v>snRNA</v>
      </c>
    </row>
    <row r="3611" spans="1:9" x14ac:dyDescent="0.2">
      <c r="A3611" s="3" t="str">
        <f>"ENSG00000089693.10"</f>
        <v>ENSG00000089693.10</v>
      </c>
      <c r="B3611" s="3">
        <v>9383.6479731092495</v>
      </c>
      <c r="C3611" s="3">
        <v>1.86113565450353</v>
      </c>
      <c r="D3611" s="3">
        <v>0.20155899982592701</v>
      </c>
      <c r="E3611" s="3">
        <v>9.2337015767634902</v>
      </c>
      <c r="F3611" s="4">
        <v>2.6143747128631201E-20</v>
      </c>
      <c r="G3611" s="4">
        <v>1.0444848651229E-18</v>
      </c>
      <c r="H3611" s="3" t="str">
        <f>"MLF2"</f>
        <v>MLF2</v>
      </c>
      <c r="I3611" s="3" t="str">
        <f t="shared" ref="I3611:I3620" si="171">"protein_coding"</f>
        <v>protein_coding</v>
      </c>
    </row>
    <row r="3612" spans="1:9" x14ac:dyDescent="0.2">
      <c r="A3612" s="3" t="str">
        <f>"ENSG00000010610.10"</f>
        <v>ENSG00000010610.10</v>
      </c>
      <c r="B3612" s="3">
        <v>56.638440390867999</v>
      </c>
      <c r="C3612" s="3">
        <v>-1.27805209521532</v>
      </c>
      <c r="D3612" s="3">
        <v>0.480360638176905</v>
      </c>
      <c r="E3612" s="3">
        <v>-2.6606095371716201</v>
      </c>
      <c r="F3612" s="3">
        <v>7.79993518152649E-3</v>
      </c>
      <c r="G3612" s="3">
        <v>2.5816913737980101E-2</v>
      </c>
      <c r="H3612" s="3" t="str">
        <f>"CD4"</f>
        <v>CD4</v>
      </c>
      <c r="I3612" s="3" t="str">
        <f t="shared" si="171"/>
        <v>protein_coding</v>
      </c>
    </row>
    <row r="3613" spans="1:9" x14ac:dyDescent="0.2">
      <c r="A3613" s="3" t="str">
        <f>"ENSG00000110811.20"</f>
        <v>ENSG00000110811.20</v>
      </c>
      <c r="B3613" s="3">
        <v>1040.3326953595799</v>
      </c>
      <c r="C3613" s="3">
        <v>-1.4040271142366301</v>
      </c>
      <c r="D3613" s="3">
        <v>0.19956272457299501</v>
      </c>
      <c r="E3613" s="3">
        <v>-7.0355178665796902</v>
      </c>
      <c r="F3613" s="4">
        <v>1.9852227598561E-12</v>
      </c>
      <c r="G3613" s="4">
        <v>3.79322331962126E-11</v>
      </c>
      <c r="H3613" s="3" t="str">
        <f>"P3H3"</f>
        <v>P3H3</v>
      </c>
      <c r="I3613" s="3" t="str">
        <f t="shared" si="171"/>
        <v>protein_coding</v>
      </c>
    </row>
    <row r="3614" spans="1:9" x14ac:dyDescent="0.2">
      <c r="A3614" s="3" t="str">
        <f>"ENSG00000111664.10"</f>
        <v>ENSG00000111664.10</v>
      </c>
      <c r="B3614" s="3">
        <v>115.338099765386</v>
      </c>
      <c r="C3614" s="3">
        <v>-1.2104273748591501</v>
      </c>
      <c r="D3614" s="3">
        <v>0.36895920643928098</v>
      </c>
      <c r="E3614" s="3">
        <v>-3.28065367047116</v>
      </c>
      <c r="F3614" s="3">
        <v>1.0356682937515899E-3</v>
      </c>
      <c r="G3614" s="3">
        <v>4.5520754458203902E-3</v>
      </c>
      <c r="H3614" s="3" t="str">
        <f>"GNB3"</f>
        <v>GNB3</v>
      </c>
      <c r="I3614" s="3" t="str">
        <f t="shared" si="171"/>
        <v>protein_coding</v>
      </c>
    </row>
    <row r="3615" spans="1:9" x14ac:dyDescent="0.2">
      <c r="A3615" s="3" t="str">
        <f>"ENSG00000111669.15"</f>
        <v>ENSG00000111669.15</v>
      </c>
      <c r="B3615" s="3">
        <v>16877.985748265699</v>
      </c>
      <c r="C3615" s="3">
        <v>-1.04621773014027</v>
      </c>
      <c r="D3615" s="3">
        <v>0.20745971832530299</v>
      </c>
      <c r="E3615" s="3">
        <v>-5.0429921460693796</v>
      </c>
      <c r="F3615" s="4">
        <v>4.5830806968195101E-7</v>
      </c>
      <c r="G3615" s="4">
        <v>4.1708483549178803E-6</v>
      </c>
      <c r="H3615" s="3" t="str">
        <f>"TPI1"</f>
        <v>TPI1</v>
      </c>
      <c r="I3615" s="3" t="str">
        <f t="shared" si="171"/>
        <v>protein_coding</v>
      </c>
    </row>
    <row r="3616" spans="1:9" x14ac:dyDescent="0.2">
      <c r="A3616" s="3" t="str">
        <f>"ENSG00000111679.17"</f>
        <v>ENSG00000111679.17</v>
      </c>
      <c r="B3616" s="3">
        <v>597.07550299748402</v>
      </c>
      <c r="C3616" s="3">
        <v>1.0632601176682801</v>
      </c>
      <c r="D3616" s="3">
        <v>0.24804899751133</v>
      </c>
      <c r="E3616" s="3">
        <v>4.2864922992470804</v>
      </c>
      <c r="F3616" s="4">
        <v>1.81516491704024E-5</v>
      </c>
      <c r="G3616" s="3">
        <v>1.2148808276736801E-4</v>
      </c>
      <c r="H3616" s="3" t="str">
        <f>"PTPN6"</f>
        <v>PTPN6</v>
      </c>
      <c r="I3616" s="3" t="str">
        <f t="shared" si="171"/>
        <v>protein_coding</v>
      </c>
    </row>
    <row r="3617" spans="1:9" x14ac:dyDescent="0.2">
      <c r="A3617" s="3" t="str">
        <f>"ENSG00000182326.15"</f>
        <v>ENSG00000182326.15</v>
      </c>
      <c r="B3617" s="3">
        <v>647.26734071894202</v>
      </c>
      <c r="C3617" s="3">
        <v>2.1893199792731601</v>
      </c>
      <c r="D3617" s="3">
        <v>0.21659265617205201</v>
      </c>
      <c r="E3617" s="3">
        <v>10.108006513083501</v>
      </c>
      <c r="F3617" s="4">
        <v>5.0909601087099501E-24</v>
      </c>
      <c r="G3617" s="4">
        <v>2.6221812869947098E-22</v>
      </c>
      <c r="H3617" s="3" t="str">
        <f>"C1S"</f>
        <v>C1S</v>
      </c>
      <c r="I3617" s="3" t="str">
        <f t="shared" si="171"/>
        <v>protein_coding</v>
      </c>
    </row>
    <row r="3618" spans="1:9" x14ac:dyDescent="0.2">
      <c r="A3618" s="3" t="str">
        <f>"ENSG00000139197.10"</f>
        <v>ENSG00000139197.10</v>
      </c>
      <c r="B3618" s="3">
        <v>1060.46803054671</v>
      </c>
      <c r="C3618" s="3">
        <v>-1.5580301618330199</v>
      </c>
      <c r="D3618" s="3">
        <v>0.21527695033726099</v>
      </c>
      <c r="E3618" s="3">
        <v>-7.2373292142616501</v>
      </c>
      <c r="F3618" s="4">
        <v>4.5760642889008498E-13</v>
      </c>
      <c r="G3618" s="4">
        <v>9.48889069099554E-12</v>
      </c>
      <c r="H3618" s="3" t="str">
        <f>"PEX5"</f>
        <v>PEX5</v>
      </c>
      <c r="I3618" s="3" t="str">
        <f t="shared" si="171"/>
        <v>protein_coding</v>
      </c>
    </row>
    <row r="3619" spans="1:9" x14ac:dyDescent="0.2">
      <c r="A3619" s="3" t="str">
        <f>"ENSG00000177575.12"</f>
        <v>ENSG00000177575.12</v>
      </c>
      <c r="B3619" s="3">
        <v>6.6402533100883696</v>
      </c>
      <c r="C3619" s="3">
        <v>6.1230850169320403</v>
      </c>
      <c r="D3619" s="3">
        <v>1.9311394990255999</v>
      </c>
      <c r="E3619" s="3">
        <v>3.1707108782258202</v>
      </c>
      <c r="F3619" s="3">
        <v>1.52066412906795E-3</v>
      </c>
      <c r="G3619" s="3">
        <v>6.3577620875731799E-3</v>
      </c>
      <c r="H3619" s="3" t="str">
        <f>"CD163"</f>
        <v>CD163</v>
      </c>
      <c r="I3619" s="3" t="str">
        <f t="shared" si="171"/>
        <v>protein_coding</v>
      </c>
    </row>
    <row r="3620" spans="1:9" x14ac:dyDescent="0.2">
      <c r="A3620" s="3" t="str">
        <f>"ENSG00000173262.11"</f>
        <v>ENSG00000173262.11</v>
      </c>
      <c r="B3620" s="3">
        <v>1077.29419833057</v>
      </c>
      <c r="C3620" s="3">
        <v>1.3895115750012601</v>
      </c>
      <c r="D3620" s="3">
        <v>0.211188622721451</v>
      </c>
      <c r="E3620" s="3">
        <v>6.5794812101879598</v>
      </c>
      <c r="F3620" s="4">
        <v>4.7209256166301898E-11</v>
      </c>
      <c r="G3620" s="4">
        <v>7.6794662851535897E-10</v>
      </c>
      <c r="H3620" s="3" t="str">
        <f>"SLC2A14"</f>
        <v>SLC2A14</v>
      </c>
      <c r="I3620" s="3" t="str">
        <f t="shared" si="171"/>
        <v>protein_coding</v>
      </c>
    </row>
    <row r="3621" spans="1:9" x14ac:dyDescent="0.2">
      <c r="A3621" s="3" t="str">
        <f>"ENSG00000201663.1"</f>
        <v>ENSG00000201663.1</v>
      </c>
      <c r="B3621" s="3">
        <v>23.496654653182201</v>
      </c>
      <c r="C3621" s="3">
        <v>2.0178400651741102</v>
      </c>
      <c r="D3621" s="3">
        <v>0.77448402576255604</v>
      </c>
      <c r="E3621" s="3">
        <v>2.6053992052158201</v>
      </c>
      <c r="F3621" s="3">
        <v>9.1767269787081697E-3</v>
      </c>
      <c r="G3621" s="3">
        <v>2.9593831221311599E-2</v>
      </c>
      <c r="H3621" s="3" t="str">
        <f>"RF00019"</f>
        <v>RF00019</v>
      </c>
      <c r="I3621" s="3" t="str">
        <f>"misc_RNA"</f>
        <v>misc_RNA</v>
      </c>
    </row>
    <row r="3622" spans="1:9" x14ac:dyDescent="0.2">
      <c r="A3622" s="3" t="str">
        <f>"ENSG00000176654.12"</f>
        <v>ENSG00000176654.12</v>
      </c>
      <c r="B3622" s="3">
        <v>63.157730971765403</v>
      </c>
      <c r="C3622" s="3">
        <v>1.3746247083206</v>
      </c>
      <c r="D3622" s="3">
        <v>0.48563435270840499</v>
      </c>
      <c r="E3622" s="3">
        <v>2.8305755156204602</v>
      </c>
      <c r="F3622" s="3">
        <v>4.6464341219424003E-3</v>
      </c>
      <c r="G3622" s="3">
        <v>1.66723271873657E-2</v>
      </c>
      <c r="H3622" s="3" t="str">
        <f>"NANOGP1"</f>
        <v>NANOGP1</v>
      </c>
      <c r="I3622" s="3" t="str">
        <f>"transcribed_unprocessed_pseudogene"</f>
        <v>transcribed_unprocessed_pseudogene</v>
      </c>
    </row>
    <row r="3623" spans="1:9" x14ac:dyDescent="0.2">
      <c r="A3623" s="3" t="str">
        <f>"ENSG00000059804.16"</f>
        <v>ENSG00000059804.16</v>
      </c>
      <c r="B3623" s="3">
        <v>31697.341966258198</v>
      </c>
      <c r="C3623" s="3">
        <v>-2.5484547903462298</v>
      </c>
      <c r="D3623" s="3">
        <v>0.166105409555654</v>
      </c>
      <c r="E3623" s="3">
        <v>-15.3423949115417</v>
      </c>
      <c r="F3623" s="4">
        <v>3.9822770383441602E-53</v>
      </c>
      <c r="G3623" s="4">
        <v>8.8938608576855303E-51</v>
      </c>
      <c r="H3623" s="3" t="str">
        <f>"SLC2A3"</f>
        <v>SLC2A3</v>
      </c>
      <c r="I3623" s="3" t="str">
        <f>"protein_coding"</f>
        <v>protein_coding</v>
      </c>
    </row>
    <row r="3624" spans="1:9" x14ac:dyDescent="0.2">
      <c r="A3624" s="3" t="str">
        <f>"ENSG00000164845.16"</f>
        <v>ENSG00000164845.16</v>
      </c>
      <c r="B3624" s="3">
        <v>53.102359332095197</v>
      </c>
      <c r="C3624" s="3">
        <v>1.3431180966478</v>
      </c>
      <c r="D3624" s="3">
        <v>0.50847683094426699</v>
      </c>
      <c r="E3624" s="3">
        <v>2.6414538773646101</v>
      </c>
      <c r="F3624" s="3">
        <v>8.2551046246184499E-3</v>
      </c>
      <c r="G3624" s="3">
        <v>2.7070265459980598E-2</v>
      </c>
      <c r="H3624" s="3" t="str">
        <f>"FAM86FP"</f>
        <v>FAM86FP</v>
      </c>
      <c r="I3624" s="3" t="str">
        <f>"transcribed_unprocessed_pseudogene"</f>
        <v>transcribed_unprocessed_pseudogene</v>
      </c>
    </row>
    <row r="3625" spans="1:9" x14ac:dyDescent="0.2">
      <c r="A3625" s="3" t="str">
        <f>"ENSG00000166527.8"</f>
        <v>ENSG00000166527.8</v>
      </c>
      <c r="B3625" s="3">
        <v>3.9618079650943998</v>
      </c>
      <c r="C3625" s="3">
        <v>5.3771408192735599</v>
      </c>
      <c r="D3625" s="3">
        <v>2.19654804218851</v>
      </c>
      <c r="E3625" s="3">
        <v>2.4479959991751898</v>
      </c>
      <c r="F3625" s="3">
        <v>1.43653250707227E-2</v>
      </c>
      <c r="G3625" s="3">
        <v>4.3002857855634E-2</v>
      </c>
      <c r="H3625" s="3" t="str">
        <f>"CLEC4D"</f>
        <v>CLEC4D</v>
      </c>
      <c r="I3625" s="3" t="str">
        <f>"protein_coding"</f>
        <v>protein_coding</v>
      </c>
    </row>
    <row r="3626" spans="1:9" x14ac:dyDescent="0.2">
      <c r="A3626" s="3" t="str">
        <f>"ENSG00000111752.11"</f>
        <v>ENSG00000111752.11</v>
      </c>
      <c r="B3626" s="3">
        <v>1214.6024322901201</v>
      </c>
      <c r="C3626" s="3">
        <v>1.22779704464214</v>
      </c>
      <c r="D3626" s="3">
        <v>0.19420706146509401</v>
      </c>
      <c r="E3626" s="3">
        <v>6.3221029934733703</v>
      </c>
      <c r="F3626" s="4">
        <v>2.5802729805930902E-10</v>
      </c>
      <c r="G3626" s="4">
        <v>3.7696888955613903E-9</v>
      </c>
      <c r="H3626" s="3" t="str">
        <f>"PHC1"</f>
        <v>PHC1</v>
      </c>
      <c r="I3626" s="3" t="str">
        <f>"protein_coding"</f>
        <v>protein_coding</v>
      </c>
    </row>
    <row r="3627" spans="1:9" x14ac:dyDescent="0.2">
      <c r="A3627" s="3" t="str">
        <f>"ENSG00000126838.10"</f>
        <v>ENSG00000126838.10</v>
      </c>
      <c r="B3627" s="3">
        <v>9.1680704530346393</v>
      </c>
      <c r="C3627" s="3">
        <v>4.0743649665848896</v>
      </c>
      <c r="D3627" s="3">
        <v>1.4700982948029</v>
      </c>
      <c r="E3627" s="3">
        <v>2.7714915261031301</v>
      </c>
      <c r="F3627" s="3">
        <v>5.5800124669810698E-3</v>
      </c>
      <c r="G3627" s="3">
        <v>1.9507133652531799E-2</v>
      </c>
      <c r="H3627" s="3" t="str">
        <f>"PZP"</f>
        <v>PZP</v>
      </c>
      <c r="I3627" s="3" t="str">
        <f>"protein_coding"</f>
        <v>protein_coding</v>
      </c>
    </row>
    <row r="3628" spans="1:9" x14ac:dyDescent="0.2">
      <c r="A3628" s="3" t="str">
        <f>"ENSG00000111788.10"</f>
        <v>ENSG00000111788.10</v>
      </c>
      <c r="B3628" s="3">
        <v>587.70474268745602</v>
      </c>
      <c r="C3628" s="3">
        <v>-1.0939317949584799</v>
      </c>
      <c r="D3628" s="3">
        <v>0.26286229568949598</v>
      </c>
      <c r="E3628" s="3">
        <v>-4.16161546519659</v>
      </c>
      <c r="F3628" s="4">
        <v>3.1600414796594502E-5</v>
      </c>
      <c r="G3628" s="3">
        <v>2.0145449273814E-4</v>
      </c>
      <c r="H3628" s="3" t="str">
        <f>"AC009533.1"</f>
        <v>AC009533.1</v>
      </c>
      <c r="I3628" s="3" t="str">
        <f>"unprocessed_pseudogene"</f>
        <v>unprocessed_pseudogene</v>
      </c>
    </row>
    <row r="3629" spans="1:9" x14ac:dyDescent="0.2">
      <c r="A3629" s="3" t="str">
        <f>"ENSG00000139112.11"</f>
        <v>ENSG00000139112.11</v>
      </c>
      <c r="B3629" s="3">
        <v>473.073988833079</v>
      </c>
      <c r="C3629" s="3">
        <v>1.6797686107057901</v>
      </c>
      <c r="D3629" s="3">
        <v>0.229533011024527</v>
      </c>
      <c r="E3629" s="3">
        <v>7.3182005638670402</v>
      </c>
      <c r="F3629" s="4">
        <v>2.5131806054410198E-13</v>
      </c>
      <c r="G3629" s="4">
        <v>5.3581089167802298E-12</v>
      </c>
      <c r="H3629" s="3" t="str">
        <f>"GABARAPL1"</f>
        <v>GABARAPL1</v>
      </c>
      <c r="I3629" s="3" t="str">
        <f>"protein_coding"</f>
        <v>protein_coding</v>
      </c>
    </row>
    <row r="3630" spans="1:9" x14ac:dyDescent="0.2">
      <c r="A3630" s="3" t="str">
        <f>"ENSG00000245648.1"</f>
        <v>ENSG00000245648.1</v>
      </c>
      <c r="B3630" s="3">
        <v>190.10345142865799</v>
      </c>
      <c r="C3630" s="3">
        <v>6.3387918555102702</v>
      </c>
      <c r="D3630" s="3">
        <v>0.56353677330263396</v>
      </c>
      <c r="E3630" s="3">
        <v>11.248231092997701</v>
      </c>
      <c r="F3630" s="4">
        <v>2.3628317345325801E-29</v>
      </c>
      <c r="G3630" s="4">
        <v>1.7494585943154699E-27</v>
      </c>
      <c r="H3630" s="3" t="str">
        <f>"AC022075.1"</f>
        <v>AC022075.1</v>
      </c>
      <c r="I3630" s="3" t="str">
        <f>"antisense"</f>
        <v>antisense</v>
      </c>
    </row>
    <row r="3631" spans="1:9" x14ac:dyDescent="0.2">
      <c r="A3631" s="3" t="str">
        <f>"ENSG00000060138.13"</f>
        <v>ENSG00000060138.13</v>
      </c>
      <c r="B3631" s="3">
        <v>6024.3742692870901</v>
      </c>
      <c r="C3631" s="3">
        <v>1.1176432691054199</v>
      </c>
      <c r="D3631" s="3">
        <v>0.17118782273432101</v>
      </c>
      <c r="E3631" s="3">
        <v>6.5287545063294301</v>
      </c>
      <c r="F3631" s="4">
        <v>6.63188463798793E-11</v>
      </c>
      <c r="G3631" s="4">
        <v>1.06091104848271E-9</v>
      </c>
      <c r="H3631" s="3" t="str">
        <f>"YBX3"</f>
        <v>YBX3</v>
      </c>
      <c r="I3631" s="3" t="str">
        <f>"protein_coding"</f>
        <v>protein_coding</v>
      </c>
    </row>
    <row r="3632" spans="1:9" x14ac:dyDescent="0.2">
      <c r="A3632" s="3" t="str">
        <f>"ENSG00000256651.1"</f>
        <v>ENSG00000256651.1</v>
      </c>
      <c r="B3632" s="3">
        <v>20.796078579692999</v>
      </c>
      <c r="C3632" s="3">
        <v>-3.31107766317731</v>
      </c>
      <c r="D3632" s="3">
        <v>0.85926588971832096</v>
      </c>
      <c r="E3632" s="3">
        <v>-3.8533796148509101</v>
      </c>
      <c r="F3632" s="3">
        <v>1.16498555408457E-4</v>
      </c>
      <c r="G3632" s="3">
        <v>6.5746398906674295E-4</v>
      </c>
      <c r="H3632" s="3" t="str">
        <f>"AC006518.1"</f>
        <v>AC006518.1</v>
      </c>
      <c r="I3632" s="3" t="str">
        <f>"unprocessed_pseudogene"</f>
        <v>unprocessed_pseudogene</v>
      </c>
    </row>
    <row r="3633" spans="1:9" x14ac:dyDescent="0.2">
      <c r="A3633" s="3" t="str">
        <f>"ENSG00000256682.2"</f>
        <v>ENSG00000256682.2</v>
      </c>
      <c r="B3633" s="3">
        <v>54.656257730198497</v>
      </c>
      <c r="C3633" s="3">
        <v>-1.2637452482967599</v>
      </c>
      <c r="D3633" s="3">
        <v>0.51104666655143605</v>
      </c>
      <c r="E3633" s="3">
        <v>-2.4728568465666099</v>
      </c>
      <c r="F3633" s="3">
        <v>1.3403782206008999E-2</v>
      </c>
      <c r="G3633" s="3">
        <v>4.0651475263482603E-2</v>
      </c>
      <c r="H3633" s="3" t="str">
        <f>"AC006518.2"</f>
        <v>AC006518.2</v>
      </c>
      <c r="I3633" s="3" t="str">
        <f>"transcribed_processed_pseudogene"</f>
        <v>transcribed_processed_pseudogene</v>
      </c>
    </row>
    <row r="3634" spans="1:9" x14ac:dyDescent="0.2">
      <c r="A3634" s="3" t="str">
        <f>"ENSG00000212128.2"</f>
        <v>ENSG00000212128.2</v>
      </c>
      <c r="B3634" s="3">
        <v>74.662262909996599</v>
      </c>
      <c r="C3634" s="3">
        <v>-1.2820044598367</v>
      </c>
      <c r="D3634" s="3">
        <v>0.449523284330968</v>
      </c>
      <c r="E3634" s="3">
        <v>-2.8519200328960101</v>
      </c>
      <c r="F3634" s="3">
        <v>4.3456031275890903E-3</v>
      </c>
      <c r="G3634" s="3">
        <v>1.5728566474152501E-2</v>
      </c>
      <c r="H3634" s="3" t="str">
        <f>"TAS2R13"</f>
        <v>TAS2R13</v>
      </c>
      <c r="I3634" s="3" t="str">
        <f>"protein_coding"</f>
        <v>protein_coding</v>
      </c>
    </row>
    <row r="3635" spans="1:9" x14ac:dyDescent="0.2">
      <c r="A3635" s="3" t="str">
        <f>"ENSG00000070018.9"</f>
        <v>ENSG00000070018.9</v>
      </c>
      <c r="B3635" s="3">
        <v>4290.0187740906804</v>
      </c>
      <c r="C3635" s="3">
        <v>-1.3644731481963099</v>
      </c>
      <c r="D3635" s="3">
        <v>0.175404561222337</v>
      </c>
      <c r="E3635" s="3">
        <v>-7.7790060799317002</v>
      </c>
      <c r="F3635" s="4">
        <v>7.30965494673948E-15</v>
      </c>
      <c r="G3635" s="4">
        <v>1.7830453745193401E-13</v>
      </c>
      <c r="H3635" s="3" t="str">
        <f>"LRP6"</f>
        <v>LRP6</v>
      </c>
      <c r="I3635" s="3" t="str">
        <f>"protein_coding"</f>
        <v>protein_coding</v>
      </c>
    </row>
    <row r="3636" spans="1:9" x14ac:dyDescent="0.2">
      <c r="A3636" s="3" t="str">
        <f>"ENSG00000013588.8"</f>
        <v>ENSG00000013588.8</v>
      </c>
      <c r="B3636" s="3">
        <v>88.0220205919791</v>
      </c>
      <c r="C3636" s="3">
        <v>-1.38255505360579</v>
      </c>
      <c r="D3636" s="3">
        <v>0.45188841560936899</v>
      </c>
      <c r="E3636" s="3">
        <v>-3.0595054129489498</v>
      </c>
      <c r="F3636" s="3">
        <v>2.2170278125580598E-3</v>
      </c>
      <c r="G3636" s="3">
        <v>8.7980420636133792E-3</v>
      </c>
      <c r="H3636" s="3" t="str">
        <f>"GPRC5A"</f>
        <v>GPRC5A</v>
      </c>
      <c r="I3636" s="3" t="str">
        <f>"protein_coding"</f>
        <v>protein_coding</v>
      </c>
    </row>
    <row r="3637" spans="1:9" x14ac:dyDescent="0.2">
      <c r="A3637" s="3" t="str">
        <f>"ENSG00000084444.14"</f>
        <v>ENSG00000084444.14</v>
      </c>
      <c r="B3637" s="3">
        <v>341.21127777184398</v>
      </c>
      <c r="C3637" s="3">
        <v>-1.44350739964458</v>
      </c>
      <c r="D3637" s="3">
        <v>0.24507436639872601</v>
      </c>
      <c r="E3637" s="3">
        <v>-5.8900790843872004</v>
      </c>
      <c r="F3637" s="4">
        <v>3.8601084695937698E-9</v>
      </c>
      <c r="G3637" s="4">
        <v>4.8760489323607503E-8</v>
      </c>
      <c r="H3637" s="3" t="str">
        <f>"FAM234B"</f>
        <v>FAM234B</v>
      </c>
      <c r="I3637" s="3" t="str">
        <f>"protein_coding"</f>
        <v>protein_coding</v>
      </c>
    </row>
    <row r="3638" spans="1:9" x14ac:dyDescent="0.2">
      <c r="A3638" s="3" t="str">
        <f>"ENSG00000261324.2"</f>
        <v>ENSG00000261324.2</v>
      </c>
      <c r="B3638" s="3">
        <v>234.99865946509601</v>
      </c>
      <c r="C3638" s="3">
        <v>1.3120437770480999</v>
      </c>
      <c r="D3638" s="3">
        <v>0.29241187923254702</v>
      </c>
      <c r="E3638" s="3">
        <v>4.48697152965073</v>
      </c>
      <c r="F3638" s="4">
        <v>7.2242724008954098E-6</v>
      </c>
      <c r="G3638" s="4">
        <v>5.2673200456836299E-5</v>
      </c>
      <c r="H3638" s="3" t="str">
        <f>"AC010168.2"</f>
        <v>AC010168.2</v>
      </c>
      <c r="I3638" s="3" t="str">
        <f>"sense_overlapping"</f>
        <v>sense_overlapping</v>
      </c>
    </row>
    <row r="3639" spans="1:9" x14ac:dyDescent="0.2">
      <c r="A3639" s="3" t="str">
        <f>"ENSG00000246705.4"</f>
        <v>ENSG00000246705.4</v>
      </c>
      <c r="B3639" s="3">
        <v>470.02603962031202</v>
      </c>
      <c r="C3639" s="3">
        <v>1.33435380721429</v>
      </c>
      <c r="D3639" s="3">
        <v>0.31120445402587299</v>
      </c>
      <c r="E3639" s="3">
        <v>4.2877079359004302</v>
      </c>
      <c r="F3639" s="4">
        <v>1.8052623956810999E-5</v>
      </c>
      <c r="G3639" s="3">
        <v>1.20914416163036E-4</v>
      </c>
      <c r="H3639" s="3" t="str">
        <f>"H2AFJ"</f>
        <v>H2AFJ</v>
      </c>
      <c r="I3639" s="3" t="str">
        <f t="shared" ref="I3639:I3644" si="172">"protein_coding"</f>
        <v>protein_coding</v>
      </c>
    </row>
    <row r="3640" spans="1:9" x14ac:dyDescent="0.2">
      <c r="A3640" s="3" t="str">
        <f>"ENSG00000111339.12"</f>
        <v>ENSG00000111339.12</v>
      </c>
      <c r="B3640" s="3">
        <v>257.77632289484399</v>
      </c>
      <c r="C3640" s="3">
        <v>-1.91815937606303</v>
      </c>
      <c r="D3640" s="3">
        <v>0.30078420744398299</v>
      </c>
      <c r="E3640" s="3">
        <v>-6.3771944423653402</v>
      </c>
      <c r="F3640" s="4">
        <v>1.80361414421589E-10</v>
      </c>
      <c r="G3640" s="4">
        <v>2.70462710993123E-9</v>
      </c>
      <c r="H3640" s="3" t="str">
        <f>"ART4"</f>
        <v>ART4</v>
      </c>
      <c r="I3640" s="3" t="str">
        <f t="shared" si="172"/>
        <v>protein_coding</v>
      </c>
    </row>
    <row r="3641" spans="1:9" x14ac:dyDescent="0.2">
      <c r="A3641" s="3" t="str">
        <f>"ENSG00000134533.6"</f>
        <v>ENSG00000134533.6</v>
      </c>
      <c r="B3641" s="3">
        <v>5.2844144803744602</v>
      </c>
      <c r="C3641" s="3">
        <v>5.7963924222255896</v>
      </c>
      <c r="D3641" s="3">
        <v>2.0064078652252801</v>
      </c>
      <c r="E3641" s="3">
        <v>2.8889402412578602</v>
      </c>
      <c r="F3641" s="3">
        <v>3.8654252525083602E-3</v>
      </c>
      <c r="G3641" s="3">
        <v>1.42326002506886E-2</v>
      </c>
      <c r="H3641" s="3" t="str">
        <f>"RERG"</f>
        <v>RERG</v>
      </c>
      <c r="I3641" s="3" t="str">
        <f t="shared" si="172"/>
        <v>protein_coding</v>
      </c>
    </row>
    <row r="3642" spans="1:9" x14ac:dyDescent="0.2">
      <c r="A3642" s="3" t="str">
        <f>"ENSG00000151490.14"</f>
        <v>ENSG00000151490.14</v>
      </c>
      <c r="B3642" s="3">
        <v>10.2122104333223</v>
      </c>
      <c r="C3642" s="3">
        <v>4.2191598263338603</v>
      </c>
      <c r="D3642" s="3">
        <v>1.43632359827995</v>
      </c>
      <c r="E3642" s="3">
        <v>2.93747163340243</v>
      </c>
      <c r="F3642" s="3">
        <v>3.3090044259239501E-3</v>
      </c>
      <c r="G3642" s="3">
        <v>1.2465151886236699E-2</v>
      </c>
      <c r="H3642" s="3" t="str">
        <f>"PTPRO"</f>
        <v>PTPRO</v>
      </c>
      <c r="I3642" s="3" t="str">
        <f t="shared" si="172"/>
        <v>protein_coding</v>
      </c>
    </row>
    <row r="3643" spans="1:9" x14ac:dyDescent="0.2">
      <c r="A3643" s="3" t="str">
        <f>"ENSG00000023697.13"</f>
        <v>ENSG00000023697.13</v>
      </c>
      <c r="B3643" s="3">
        <v>1665.6526743896</v>
      </c>
      <c r="C3643" s="3">
        <v>1.06322305537192</v>
      </c>
      <c r="D3643" s="3">
        <v>0.184506762587065</v>
      </c>
      <c r="E3643" s="3">
        <v>5.7625153705149996</v>
      </c>
      <c r="F3643" s="4">
        <v>8.2869493337332298E-9</v>
      </c>
      <c r="G3643" s="4">
        <v>9.9688524722397006E-8</v>
      </c>
      <c r="H3643" s="3" t="str">
        <f>"DERA"</f>
        <v>DERA</v>
      </c>
      <c r="I3643" s="3" t="str">
        <f t="shared" si="172"/>
        <v>protein_coding</v>
      </c>
    </row>
    <row r="3644" spans="1:9" x14ac:dyDescent="0.2">
      <c r="A3644" s="3" t="str">
        <f>"ENSG00000008394.13"</f>
        <v>ENSG00000008394.13</v>
      </c>
      <c r="B3644" s="3">
        <v>2214.1408181714501</v>
      </c>
      <c r="C3644" s="3">
        <v>-1.62184422222504</v>
      </c>
      <c r="D3644" s="3">
        <v>0.20717596896028101</v>
      </c>
      <c r="E3644" s="3">
        <v>-7.8283414353716898</v>
      </c>
      <c r="F3644" s="4">
        <v>4.9434790582701998E-15</v>
      </c>
      <c r="G3644" s="4">
        <v>1.22896873996978E-13</v>
      </c>
      <c r="H3644" s="3" t="str">
        <f>"MGST1"</f>
        <v>MGST1</v>
      </c>
      <c r="I3644" s="3" t="str">
        <f t="shared" si="172"/>
        <v>protein_coding</v>
      </c>
    </row>
    <row r="3645" spans="1:9" x14ac:dyDescent="0.2">
      <c r="A3645" s="3" t="str">
        <f>"ENSG00000256450.1"</f>
        <v>ENSG00000256450.1</v>
      </c>
      <c r="B3645" s="3">
        <v>21.169985772700802</v>
      </c>
      <c r="C3645" s="3">
        <v>-2.8320326080736602</v>
      </c>
      <c r="D3645" s="3">
        <v>0.80678473884199398</v>
      </c>
      <c r="E3645" s="3">
        <v>-3.5102704249693399</v>
      </c>
      <c r="F3645" s="3">
        <v>4.4765117652650102E-4</v>
      </c>
      <c r="G3645" s="3">
        <v>2.1722442754795301E-3</v>
      </c>
      <c r="H3645" s="3" t="str">
        <f>"AC007552.1"</f>
        <v>AC007552.1</v>
      </c>
      <c r="I3645" s="3" t="str">
        <f>"processed_pseudogene"</f>
        <v>processed_pseudogene</v>
      </c>
    </row>
    <row r="3646" spans="1:9" x14ac:dyDescent="0.2">
      <c r="A3646" s="3" t="str">
        <f>"ENSG00000048540.15"</f>
        <v>ENSG00000048540.15</v>
      </c>
      <c r="B3646" s="3">
        <v>9.0650319214351605</v>
      </c>
      <c r="C3646" s="3">
        <v>6.5758720895497902</v>
      </c>
      <c r="D3646" s="3">
        <v>1.7925554902224099</v>
      </c>
      <c r="E3646" s="3">
        <v>3.6684343248609199</v>
      </c>
      <c r="F3646" s="3">
        <v>2.4404036266015099E-4</v>
      </c>
      <c r="G3646" s="3">
        <v>1.2675081018485501E-3</v>
      </c>
      <c r="H3646" s="3" t="str">
        <f>"LMO3"</f>
        <v>LMO3</v>
      </c>
      <c r="I3646" s="3" t="str">
        <f>"protein_coding"</f>
        <v>protein_coding</v>
      </c>
    </row>
    <row r="3647" spans="1:9" x14ac:dyDescent="0.2">
      <c r="A3647" s="3" t="str">
        <f>"ENSG00000139151.15"</f>
        <v>ENSG00000139151.15</v>
      </c>
      <c r="B3647" s="3">
        <v>4.36643869871435</v>
      </c>
      <c r="C3647" s="3">
        <v>5.51984028109222</v>
      </c>
      <c r="D3647" s="3">
        <v>2.1118253273681198</v>
      </c>
      <c r="E3647" s="3">
        <v>2.6137769111668798</v>
      </c>
      <c r="F3647" s="3">
        <v>8.9547485688279607E-3</v>
      </c>
      <c r="G3647" s="3">
        <v>2.9049890969741098E-2</v>
      </c>
      <c r="H3647" s="3" t="str">
        <f>"PLCZ1"</f>
        <v>PLCZ1</v>
      </c>
      <c r="I3647" s="3" t="str">
        <f>"protein_coding"</f>
        <v>protein_coding</v>
      </c>
    </row>
    <row r="3648" spans="1:9" x14ac:dyDescent="0.2">
      <c r="A3648" s="3" t="str">
        <f>"ENSG00000172572.6"</f>
        <v>ENSG00000172572.6</v>
      </c>
      <c r="B3648" s="3">
        <v>80.591146535501593</v>
      </c>
      <c r="C3648" s="3">
        <v>-2.1332011738419099</v>
      </c>
      <c r="D3648" s="3">
        <v>0.44232141993511498</v>
      </c>
      <c r="E3648" s="3">
        <v>-4.8227399300599796</v>
      </c>
      <c r="F3648" s="4">
        <v>1.41599544291249E-6</v>
      </c>
      <c r="G3648" s="4">
        <v>1.18263284425249E-5</v>
      </c>
      <c r="H3648" s="3" t="str">
        <f>"PDE3A"</f>
        <v>PDE3A</v>
      </c>
      <c r="I3648" s="3" t="str">
        <f>"protein_coding"</f>
        <v>protein_coding</v>
      </c>
    </row>
    <row r="3649" spans="1:9" x14ac:dyDescent="0.2">
      <c r="A3649" s="3" t="str">
        <f>"ENSG00000256663.1"</f>
        <v>ENSG00000256663.1</v>
      </c>
      <c r="B3649" s="3">
        <v>288.77614925164602</v>
      </c>
      <c r="C3649" s="3">
        <v>-4.2843229102484104</v>
      </c>
      <c r="D3649" s="3">
        <v>0.34406902945377199</v>
      </c>
      <c r="E3649" s="3">
        <v>-12.4519283733558</v>
      </c>
      <c r="F3649" s="4">
        <v>1.3650657683071001E-35</v>
      </c>
      <c r="G3649" s="4">
        <v>1.48775787956254E-33</v>
      </c>
      <c r="H3649" s="3" t="str">
        <f>"AC112777.1"</f>
        <v>AC112777.1</v>
      </c>
      <c r="I3649" s="3" t="str">
        <f>"processed_pseudogene"</f>
        <v>processed_pseudogene</v>
      </c>
    </row>
    <row r="3650" spans="1:9" x14ac:dyDescent="0.2">
      <c r="A3650" s="3" t="str">
        <f>"ENSG00000069431.11"</f>
        <v>ENSG00000069431.11</v>
      </c>
      <c r="B3650" s="3">
        <v>12.039437054538899</v>
      </c>
      <c r="C3650" s="3">
        <v>4.47843573457547</v>
      </c>
      <c r="D3650" s="3">
        <v>1.35908364315046</v>
      </c>
      <c r="E3650" s="3">
        <v>3.2951877223642598</v>
      </c>
      <c r="F3650" s="3">
        <v>9.8355952081434191E-4</v>
      </c>
      <c r="G3650" s="3">
        <v>4.3554438913746803E-3</v>
      </c>
      <c r="H3650" s="3" t="str">
        <f>"ABCC9"</f>
        <v>ABCC9</v>
      </c>
      <c r="I3650" s="3" t="str">
        <f>"protein_coding"</f>
        <v>protein_coding</v>
      </c>
    </row>
    <row r="3651" spans="1:9" x14ac:dyDescent="0.2">
      <c r="A3651" s="3" t="str">
        <f>"ENSG00000255745.1"</f>
        <v>ENSG00000255745.1</v>
      </c>
      <c r="B3651" s="3">
        <v>124.52534120177801</v>
      </c>
      <c r="C3651" s="3">
        <v>2.71095988769479</v>
      </c>
      <c r="D3651" s="3">
        <v>0.415068819940006</v>
      </c>
      <c r="E3651" s="3">
        <v>6.5313503627823302</v>
      </c>
      <c r="F3651" s="4">
        <v>6.51793227816685E-11</v>
      </c>
      <c r="G3651" s="4">
        <v>1.0440570298836701E-9</v>
      </c>
      <c r="H3651" s="3" t="str">
        <f>"AC023796.1"</f>
        <v>AC023796.1</v>
      </c>
      <c r="I3651" s="3" t="str">
        <f>"lincRNA"</f>
        <v>lincRNA</v>
      </c>
    </row>
    <row r="3652" spans="1:9" x14ac:dyDescent="0.2">
      <c r="A3652" s="3" t="str">
        <f>"ENSG00000060982.15"</f>
        <v>ENSG00000060982.15</v>
      </c>
      <c r="B3652" s="3">
        <v>2253.86375583476</v>
      </c>
      <c r="C3652" s="3">
        <v>-3.8813274645394098</v>
      </c>
      <c r="D3652" s="3">
        <v>0.19612665864137699</v>
      </c>
      <c r="E3652" s="3">
        <v>-19.789902563100899</v>
      </c>
      <c r="F3652" s="4">
        <v>3.63744279906583E-87</v>
      </c>
      <c r="G3652" s="4">
        <v>3.00331527109536E-84</v>
      </c>
      <c r="H3652" s="3" t="str">
        <f>"BCAT1"</f>
        <v>BCAT1</v>
      </c>
      <c r="I3652" s="3" t="str">
        <f>"protein_coding"</f>
        <v>protein_coding</v>
      </c>
    </row>
    <row r="3653" spans="1:9" x14ac:dyDescent="0.2">
      <c r="A3653" s="3" t="str">
        <f>"ENSG00000118308.15"</f>
        <v>ENSG00000118308.15</v>
      </c>
      <c r="B3653" s="3">
        <v>18.9333137293644</v>
      </c>
      <c r="C3653" s="3">
        <v>7.63637643586679</v>
      </c>
      <c r="D3653" s="3">
        <v>1.6351326470816201</v>
      </c>
      <c r="E3653" s="3">
        <v>4.67018773644826</v>
      </c>
      <c r="F3653" s="4">
        <v>3.00924594192174E-6</v>
      </c>
      <c r="G3653" s="4">
        <v>2.3663181581397302E-5</v>
      </c>
      <c r="H3653" s="3" t="str">
        <f>"LRMP"</f>
        <v>LRMP</v>
      </c>
      <c r="I3653" s="3" t="str">
        <f>"protein_coding"</f>
        <v>protein_coding</v>
      </c>
    </row>
    <row r="3654" spans="1:9" x14ac:dyDescent="0.2">
      <c r="A3654" s="3" t="str">
        <f>"ENSG00000123094.15"</f>
        <v>ENSG00000123094.15</v>
      </c>
      <c r="B3654" s="3">
        <v>117.71789064590099</v>
      </c>
      <c r="C3654" s="3">
        <v>1.2481482775797199</v>
      </c>
      <c r="D3654" s="3">
        <v>0.35625086281816898</v>
      </c>
      <c r="E3654" s="3">
        <v>3.5035656270586402</v>
      </c>
      <c r="F3654" s="3">
        <v>4.5907352061585099E-4</v>
      </c>
      <c r="G3654" s="3">
        <v>2.22213114518033E-3</v>
      </c>
      <c r="H3654" s="3" t="str">
        <f>"RASSF8"</f>
        <v>RASSF8</v>
      </c>
      <c r="I3654" s="3" t="str">
        <f>"protein_coding"</f>
        <v>protein_coding</v>
      </c>
    </row>
    <row r="3655" spans="1:9" x14ac:dyDescent="0.2">
      <c r="A3655" s="3" t="str">
        <f>"ENSG00000123096.11"</f>
        <v>ENSG00000123096.11</v>
      </c>
      <c r="B3655" s="3">
        <v>11.574060843782</v>
      </c>
      <c r="C3655" s="3">
        <v>4.4137787617279898</v>
      </c>
      <c r="D3655" s="3">
        <v>1.3868473810792701</v>
      </c>
      <c r="E3655" s="3">
        <v>3.1825987646118001</v>
      </c>
      <c r="F3655" s="3">
        <v>1.4595972610150899E-3</v>
      </c>
      <c r="G3655" s="3">
        <v>6.1448774058835203E-3</v>
      </c>
      <c r="H3655" s="3" t="str">
        <f>"SSPN"</f>
        <v>SSPN</v>
      </c>
      <c r="I3655" s="3" t="str">
        <f>"protein_coding"</f>
        <v>protein_coding</v>
      </c>
    </row>
    <row r="3656" spans="1:9" x14ac:dyDescent="0.2">
      <c r="A3656" s="3" t="str">
        <f>"ENSG00000064115.11"</f>
        <v>ENSG00000064115.11</v>
      </c>
      <c r="B3656" s="3">
        <v>6257.3726218578604</v>
      </c>
      <c r="C3656" s="3">
        <v>1.9925073335610399</v>
      </c>
      <c r="D3656" s="3">
        <v>0.18088006434338599</v>
      </c>
      <c r="E3656" s="3">
        <v>11.015627071972</v>
      </c>
      <c r="F3656" s="4">
        <v>3.2129151791398699E-28</v>
      </c>
      <c r="G3656" s="4">
        <v>2.2050957150131999E-26</v>
      </c>
      <c r="H3656" s="3" t="str">
        <f>"TM7SF3"</f>
        <v>TM7SF3</v>
      </c>
      <c r="I3656" s="3" t="str">
        <f>"protein_coding"</f>
        <v>protein_coding</v>
      </c>
    </row>
    <row r="3657" spans="1:9" x14ac:dyDescent="0.2">
      <c r="A3657" s="3" t="str">
        <f>"ENSG00000275764.1"</f>
        <v>ENSG00000275764.1</v>
      </c>
      <c r="B3657" s="3">
        <v>118.50247684184799</v>
      </c>
      <c r="C3657" s="3">
        <v>1.2765547061606699</v>
      </c>
      <c r="D3657" s="3">
        <v>0.35280490648787599</v>
      </c>
      <c r="E3657" s="3">
        <v>3.6183020209911301</v>
      </c>
      <c r="F3657" s="3">
        <v>2.96542218859443E-4</v>
      </c>
      <c r="G3657" s="3">
        <v>1.50744138754911E-3</v>
      </c>
      <c r="H3657" s="3" t="str">
        <f>"AC092747.4"</f>
        <v>AC092747.4</v>
      </c>
      <c r="I3657" s="3" t="str">
        <f>"lincRNA"</f>
        <v>lincRNA</v>
      </c>
    </row>
    <row r="3658" spans="1:9" x14ac:dyDescent="0.2">
      <c r="A3658" s="3" t="str">
        <f>"ENSG00000029153.14"</f>
        <v>ENSG00000029153.14</v>
      </c>
      <c r="B3658" s="3">
        <v>655.52876776288804</v>
      </c>
      <c r="C3658" s="3">
        <v>-2.12239015913008</v>
      </c>
      <c r="D3658" s="3">
        <v>0.225161211869226</v>
      </c>
      <c r="E3658" s="3">
        <v>-9.4260913836383295</v>
      </c>
      <c r="F3658" s="4">
        <v>4.2565556277373198E-21</v>
      </c>
      <c r="G3658" s="4">
        <v>1.8093349639463199E-19</v>
      </c>
      <c r="H3658" s="3" t="str">
        <f>"ARNTL2"</f>
        <v>ARNTL2</v>
      </c>
      <c r="I3658" s="3" t="str">
        <f>"protein_coding"</f>
        <v>protein_coding</v>
      </c>
    </row>
    <row r="3659" spans="1:9" x14ac:dyDescent="0.2">
      <c r="A3659" s="3" t="str">
        <f>"ENSG00000110841.14"</f>
        <v>ENSG00000110841.14</v>
      </c>
      <c r="B3659" s="3">
        <v>2302.8727699465799</v>
      </c>
      <c r="C3659" s="3">
        <v>1.12958423214478</v>
      </c>
      <c r="D3659" s="3">
        <v>0.18486873188549699</v>
      </c>
      <c r="E3659" s="3">
        <v>6.1101962491115804</v>
      </c>
      <c r="F3659" s="4">
        <v>9.9508699641470599E-10</v>
      </c>
      <c r="G3659" s="4">
        <v>1.35295086782991E-8</v>
      </c>
      <c r="H3659" s="3" t="str">
        <f>"PPFIBP1"</f>
        <v>PPFIBP1</v>
      </c>
      <c r="I3659" s="3" t="str">
        <f>"protein_coding"</f>
        <v>protein_coding</v>
      </c>
    </row>
    <row r="3660" spans="1:9" x14ac:dyDescent="0.2">
      <c r="A3660" s="3" t="str">
        <f>"ENSG00000248100.2"</f>
        <v>ENSG00000248100.2</v>
      </c>
      <c r="B3660" s="3">
        <v>10.236842335704999</v>
      </c>
      <c r="C3660" s="3">
        <v>5.2748815452645301</v>
      </c>
      <c r="D3660" s="3">
        <v>1.73976649756363</v>
      </c>
      <c r="E3660" s="3">
        <v>3.0319479956945199</v>
      </c>
      <c r="F3660" s="3">
        <v>2.4298106144779899E-3</v>
      </c>
      <c r="G3660" s="3">
        <v>9.5217963199599794E-3</v>
      </c>
      <c r="H3660" s="3" t="str">
        <f>"AC087257.1"</f>
        <v>AC087257.1</v>
      </c>
      <c r="I3660" s="3" t="str">
        <f>"lincRNA"</f>
        <v>lincRNA</v>
      </c>
    </row>
    <row r="3661" spans="1:9" x14ac:dyDescent="0.2">
      <c r="A3661" s="3" t="str">
        <f>"ENSG00000087494.15"</f>
        <v>ENSG00000087494.15</v>
      </c>
      <c r="B3661" s="3">
        <v>15.9739431248027</v>
      </c>
      <c r="C3661" s="3">
        <v>3.50324499963773</v>
      </c>
      <c r="D3661" s="3">
        <v>1.01757258246905</v>
      </c>
      <c r="E3661" s="3">
        <v>3.4427470432992902</v>
      </c>
      <c r="F3661" s="3">
        <v>5.7583765543175102E-4</v>
      </c>
      <c r="G3661" s="3">
        <v>2.7154462785650602E-3</v>
      </c>
      <c r="H3661" s="3" t="str">
        <f>"PTHLH"</f>
        <v>PTHLH</v>
      </c>
      <c r="I3661" s="3" t="str">
        <f>"protein_coding"</f>
        <v>protein_coding</v>
      </c>
    </row>
    <row r="3662" spans="1:9" x14ac:dyDescent="0.2">
      <c r="A3662" s="3" t="str">
        <f>"ENSG00000247934.4"</f>
        <v>ENSG00000247934.4</v>
      </c>
      <c r="B3662" s="3">
        <v>46.148887857249697</v>
      </c>
      <c r="C3662" s="3">
        <v>2.6975160039819199</v>
      </c>
      <c r="D3662" s="3">
        <v>0.59647675051581595</v>
      </c>
      <c r="E3662" s="3">
        <v>4.5224160064062504</v>
      </c>
      <c r="F3662" s="4">
        <v>6.1137750252621196E-6</v>
      </c>
      <c r="G3662" s="4">
        <v>4.5353124996819201E-5</v>
      </c>
      <c r="H3662" s="3" t="str">
        <f>"AC022364.1"</f>
        <v>AC022364.1</v>
      </c>
      <c r="I3662" s="3" t="str">
        <f>"antisense"</f>
        <v>antisense</v>
      </c>
    </row>
    <row r="3663" spans="1:9" x14ac:dyDescent="0.2">
      <c r="A3663" s="3" t="str">
        <f>"ENSG00000064763.11"</f>
        <v>ENSG00000064763.11</v>
      </c>
      <c r="B3663" s="3">
        <v>7.8150695147310998</v>
      </c>
      <c r="C3663" s="3">
        <v>4.8752838063911099</v>
      </c>
      <c r="D3663" s="3">
        <v>1.8194879764528</v>
      </c>
      <c r="E3663" s="3">
        <v>2.6794811889308399</v>
      </c>
      <c r="F3663" s="3">
        <v>7.3736346191880901E-3</v>
      </c>
      <c r="G3663" s="3">
        <v>2.4609189425406401E-2</v>
      </c>
      <c r="H3663" s="3" t="str">
        <f>"FAR2"</f>
        <v>FAR2</v>
      </c>
      <c r="I3663" s="3" t="str">
        <f>"protein_coding"</f>
        <v>protein_coding</v>
      </c>
    </row>
    <row r="3664" spans="1:9" x14ac:dyDescent="0.2">
      <c r="A3664" s="3" t="str">
        <f>"ENSG00000257176.2"</f>
        <v>ENSG00000257176.2</v>
      </c>
      <c r="B3664" s="3">
        <v>36.4630470682674</v>
      </c>
      <c r="C3664" s="3">
        <v>2.2140166471100602</v>
      </c>
      <c r="D3664" s="3">
        <v>0.64393937092206099</v>
      </c>
      <c r="E3664" s="3">
        <v>3.43823773958687</v>
      </c>
      <c r="F3664" s="3">
        <v>5.8551339729340799E-4</v>
      </c>
      <c r="G3664" s="3">
        <v>2.7572560553151501E-3</v>
      </c>
      <c r="H3664" s="3" t="str">
        <f>"AC009318.1"</f>
        <v>AC009318.1</v>
      </c>
      <c r="I3664" s="3" t="str">
        <f>"antisense"</f>
        <v>antisense</v>
      </c>
    </row>
    <row r="3665" spans="1:9" x14ac:dyDescent="0.2">
      <c r="A3665" s="3" t="str">
        <f>"ENSG00000273680.1"</f>
        <v>ENSG00000273680.1</v>
      </c>
      <c r="B3665" s="3">
        <v>19.7319008034905</v>
      </c>
      <c r="C3665" s="3">
        <v>2.0417743214000601</v>
      </c>
      <c r="D3665" s="3">
        <v>0.82734206051832004</v>
      </c>
      <c r="E3665" s="3">
        <v>2.4678720191270198</v>
      </c>
      <c r="F3665" s="3">
        <v>1.35918904909559E-2</v>
      </c>
      <c r="G3665" s="3">
        <v>4.11212791702283E-2</v>
      </c>
      <c r="H3665" s="3" t="str">
        <f>"AC009318.2"</f>
        <v>AC009318.2</v>
      </c>
      <c r="I3665" s="3" t="str">
        <f>"antisense"</f>
        <v>antisense</v>
      </c>
    </row>
    <row r="3666" spans="1:9" x14ac:dyDescent="0.2">
      <c r="A3666" s="3" t="str">
        <f>"ENSG00000110900.15"</f>
        <v>ENSG00000110900.15</v>
      </c>
      <c r="B3666" s="3">
        <v>277.34582298001999</v>
      </c>
      <c r="C3666" s="3">
        <v>4.6904630983661102</v>
      </c>
      <c r="D3666" s="3">
        <v>0.35580679472414301</v>
      </c>
      <c r="E3666" s="3">
        <v>13.1826124962077</v>
      </c>
      <c r="F3666" s="4">
        <v>1.1049704571002601E-39</v>
      </c>
      <c r="G3666" s="4">
        <v>1.49786716639854E-37</v>
      </c>
      <c r="H3666" s="3" t="str">
        <f>"TSPAN11"</f>
        <v>TSPAN11</v>
      </c>
      <c r="I3666" s="3" t="str">
        <f>"protein_coding"</f>
        <v>protein_coding</v>
      </c>
    </row>
    <row r="3667" spans="1:9" x14ac:dyDescent="0.2">
      <c r="A3667" s="3" t="str">
        <f>"ENSG00000245614.3"</f>
        <v>ENSG00000245614.3</v>
      </c>
      <c r="B3667" s="3">
        <v>53.548856818615903</v>
      </c>
      <c r="C3667" s="3">
        <v>-1.3384461424611001</v>
      </c>
      <c r="D3667" s="3">
        <v>0.50041229324748504</v>
      </c>
      <c r="E3667" s="3">
        <v>-2.6746867743298099</v>
      </c>
      <c r="F3667" s="3">
        <v>7.4799098372280498E-3</v>
      </c>
      <c r="G3667" s="3">
        <v>2.4896787605051599E-2</v>
      </c>
      <c r="H3667" s="3" t="str">
        <f>"DDX11-AS1"</f>
        <v>DDX11-AS1</v>
      </c>
      <c r="I3667" s="3" t="str">
        <f>"antisense"</f>
        <v>antisense</v>
      </c>
    </row>
    <row r="3668" spans="1:9" x14ac:dyDescent="0.2">
      <c r="A3668" s="3" t="str">
        <f>"ENSG00000170456.16"</f>
        <v>ENSG00000170456.16</v>
      </c>
      <c r="B3668" s="3">
        <v>1539.4336937471201</v>
      </c>
      <c r="C3668" s="3">
        <v>-1.1184106492580499</v>
      </c>
      <c r="D3668" s="3">
        <v>0.18576682241081699</v>
      </c>
      <c r="E3668" s="3">
        <v>-6.0205080473666399</v>
      </c>
      <c r="F3668" s="4">
        <v>1.7387046099980101E-9</v>
      </c>
      <c r="G3668" s="4">
        <v>2.28200792430711E-8</v>
      </c>
      <c r="H3668" s="3" t="str">
        <f>"DENND5B"</f>
        <v>DENND5B</v>
      </c>
      <c r="I3668" s="3" t="str">
        <f>"protein_coding"</f>
        <v>protein_coding</v>
      </c>
    </row>
    <row r="3669" spans="1:9" x14ac:dyDescent="0.2">
      <c r="A3669" s="3" t="str">
        <f>"ENSG00000233381.3"</f>
        <v>ENSG00000233381.3</v>
      </c>
      <c r="B3669" s="3">
        <v>84.226318292433405</v>
      </c>
      <c r="C3669" s="3">
        <v>-2.1386232407407202</v>
      </c>
      <c r="D3669" s="3">
        <v>0.41180367140138102</v>
      </c>
      <c r="E3669" s="3">
        <v>-5.19330785338295</v>
      </c>
      <c r="F3669" s="4">
        <v>2.0659014754566199E-7</v>
      </c>
      <c r="G3669" s="4">
        <v>1.9925528319209398E-6</v>
      </c>
      <c r="H3669" s="3" t="str">
        <f>"AK4P3"</f>
        <v>AK4P3</v>
      </c>
      <c r="I3669" s="3" t="str">
        <f>"processed_pseudogene"</f>
        <v>processed_pseudogene</v>
      </c>
    </row>
    <row r="3670" spans="1:9" x14ac:dyDescent="0.2">
      <c r="A3670" s="3" t="str">
        <f>"ENSG00000151746.14"</f>
        <v>ENSG00000151746.14</v>
      </c>
      <c r="B3670" s="3">
        <v>198.506795801245</v>
      </c>
      <c r="C3670" s="3">
        <v>-1.7478296807706999</v>
      </c>
      <c r="D3670" s="3">
        <v>0.29209383588466598</v>
      </c>
      <c r="E3670" s="3">
        <v>-5.9837951577343196</v>
      </c>
      <c r="F3670" s="4">
        <v>2.17997446353468E-9</v>
      </c>
      <c r="G3670" s="4">
        <v>2.8217465181914301E-8</v>
      </c>
      <c r="H3670" s="3" t="str">
        <f>"BICD1"</f>
        <v>BICD1</v>
      </c>
      <c r="I3670" s="3" t="str">
        <f>"protein_coding"</f>
        <v>protein_coding</v>
      </c>
    </row>
    <row r="3671" spans="1:9" x14ac:dyDescent="0.2">
      <c r="A3671" s="3" t="str">
        <f>"ENSG00000276115.1"</f>
        <v>ENSG00000276115.1</v>
      </c>
      <c r="B3671" s="3">
        <v>10.511869192995899</v>
      </c>
      <c r="C3671" s="3">
        <v>-3.3287658448192201</v>
      </c>
      <c r="D3671" s="3">
        <v>1.1888760387784401</v>
      </c>
      <c r="E3671" s="3">
        <v>-2.7999267680081301</v>
      </c>
      <c r="F3671" s="3">
        <v>5.1114201082948802E-3</v>
      </c>
      <c r="G3671" s="3">
        <v>1.8061323264260201E-2</v>
      </c>
      <c r="H3671" s="3" t="str">
        <f>"AC026356.2"</f>
        <v>AC026356.2</v>
      </c>
      <c r="I3671" s="3" t="str">
        <f>"sense_intronic"</f>
        <v>sense_intronic</v>
      </c>
    </row>
    <row r="3672" spans="1:9" x14ac:dyDescent="0.2">
      <c r="A3672" s="3" t="str">
        <f>"ENSG00000139117.14"</f>
        <v>ENSG00000139117.14</v>
      </c>
      <c r="B3672" s="3">
        <v>247.567518436006</v>
      </c>
      <c r="C3672" s="3">
        <v>1.0744939875411399</v>
      </c>
      <c r="D3672" s="3">
        <v>0.27611992716855699</v>
      </c>
      <c r="E3672" s="3">
        <v>3.8914032701639099</v>
      </c>
      <c r="F3672" s="4">
        <v>9.9666122432453096E-5</v>
      </c>
      <c r="G3672" s="3">
        <v>5.70864586486662E-4</v>
      </c>
      <c r="H3672" s="3" t="str">
        <f>"CPNE8"</f>
        <v>CPNE8</v>
      </c>
      <c r="I3672" s="3" t="str">
        <f t="shared" ref="I3672:I3680" si="173">"protein_coding"</f>
        <v>protein_coding</v>
      </c>
    </row>
    <row r="3673" spans="1:9" x14ac:dyDescent="0.2">
      <c r="A3673" s="3" t="str">
        <f>"ENSG00000151229.13"</f>
        <v>ENSG00000151229.13</v>
      </c>
      <c r="B3673" s="3">
        <v>473.72184171346299</v>
      </c>
      <c r="C3673" s="3">
        <v>-1.09583307525568</v>
      </c>
      <c r="D3673" s="3">
        <v>0.25016475932649501</v>
      </c>
      <c r="E3673" s="3">
        <v>-4.3804454240714596</v>
      </c>
      <c r="F3673" s="4">
        <v>1.18436954670892E-5</v>
      </c>
      <c r="G3673" s="4">
        <v>8.2808614419240106E-5</v>
      </c>
      <c r="H3673" s="3" t="str">
        <f>"SLC2A13"</f>
        <v>SLC2A13</v>
      </c>
      <c r="I3673" s="3" t="str">
        <f t="shared" si="173"/>
        <v>protein_coding</v>
      </c>
    </row>
    <row r="3674" spans="1:9" x14ac:dyDescent="0.2">
      <c r="A3674" s="3" t="str">
        <f>"ENSG00000188906.16"</f>
        <v>ENSG00000188906.16</v>
      </c>
      <c r="B3674" s="3">
        <v>12.7673728400091</v>
      </c>
      <c r="C3674" s="3">
        <v>3.9519799902822901</v>
      </c>
      <c r="D3674" s="3">
        <v>1.2335507271179</v>
      </c>
      <c r="E3674" s="3">
        <v>3.2037433916607601</v>
      </c>
      <c r="F3674" s="3">
        <v>1.3565332459513899E-3</v>
      </c>
      <c r="G3674" s="3">
        <v>5.7635211839135196E-3</v>
      </c>
      <c r="H3674" s="3" t="str">
        <f>"LRRK2"</f>
        <v>LRRK2</v>
      </c>
      <c r="I3674" s="3" t="str">
        <f t="shared" si="173"/>
        <v>protein_coding</v>
      </c>
    </row>
    <row r="3675" spans="1:9" x14ac:dyDescent="0.2">
      <c r="A3675" s="3" t="str">
        <f>"ENSG00000205592.14"</f>
        <v>ENSG00000205592.14</v>
      </c>
      <c r="B3675" s="3">
        <v>2375.11282970092</v>
      </c>
      <c r="C3675" s="3">
        <v>7.5035158043716397</v>
      </c>
      <c r="D3675" s="3">
        <v>0.80542688407067398</v>
      </c>
      <c r="E3675" s="3">
        <v>9.3161973517055205</v>
      </c>
      <c r="F3675" s="4">
        <v>1.2058467158207501E-20</v>
      </c>
      <c r="G3675" s="4">
        <v>4.9630975024120998E-19</v>
      </c>
      <c r="H3675" s="3" t="str">
        <f>"MUC19"</f>
        <v>MUC19</v>
      </c>
      <c r="I3675" s="3" t="str">
        <f t="shared" si="173"/>
        <v>protein_coding</v>
      </c>
    </row>
    <row r="3676" spans="1:9" x14ac:dyDescent="0.2">
      <c r="A3676" s="3" t="str">
        <f>"ENSG00000018236.15"</f>
        <v>ENSG00000018236.15</v>
      </c>
      <c r="B3676" s="3">
        <v>31.087433310159302</v>
      </c>
      <c r="C3676" s="3">
        <v>8.3545197512149496</v>
      </c>
      <c r="D3676" s="3">
        <v>1.55805305206779</v>
      </c>
      <c r="E3676" s="3">
        <v>5.36215358015387</v>
      </c>
      <c r="F3676" s="4">
        <v>8.2235574227675904E-8</v>
      </c>
      <c r="G3676" s="4">
        <v>8.4553686452131595E-7</v>
      </c>
      <c r="H3676" s="3" t="str">
        <f>"CNTN1"</f>
        <v>CNTN1</v>
      </c>
      <c r="I3676" s="3" t="str">
        <f t="shared" si="173"/>
        <v>protein_coding</v>
      </c>
    </row>
    <row r="3677" spans="1:9" x14ac:dyDescent="0.2">
      <c r="A3677" s="3" t="str">
        <f>"ENSG00000173157.16"</f>
        <v>ENSG00000173157.16</v>
      </c>
      <c r="B3677" s="3">
        <v>12.042274945949201</v>
      </c>
      <c r="C3677" s="3">
        <v>5.5079654485360496</v>
      </c>
      <c r="D3677" s="3">
        <v>1.7029159387905599</v>
      </c>
      <c r="E3677" s="3">
        <v>3.2344317902432098</v>
      </c>
      <c r="F3677" s="3">
        <v>1.2188503065384501E-3</v>
      </c>
      <c r="G3677" s="3">
        <v>5.2472767107367797E-3</v>
      </c>
      <c r="H3677" s="3" t="str">
        <f>"ADAMTS20"</f>
        <v>ADAMTS20</v>
      </c>
      <c r="I3677" s="3" t="str">
        <f t="shared" si="173"/>
        <v>protein_coding</v>
      </c>
    </row>
    <row r="3678" spans="1:9" x14ac:dyDescent="0.2">
      <c r="A3678" s="3" t="str">
        <f>"ENSG00000129317.14"</f>
        <v>ENSG00000129317.14</v>
      </c>
      <c r="B3678" s="3">
        <v>2344.5882070929902</v>
      </c>
      <c r="C3678" s="3">
        <v>-1.12070572291298</v>
      </c>
      <c r="D3678" s="3">
        <v>0.196621770088209</v>
      </c>
      <c r="E3678" s="3">
        <v>-5.6998048710994897</v>
      </c>
      <c r="F3678" s="4">
        <v>1.19944639150566E-8</v>
      </c>
      <c r="G3678" s="4">
        <v>1.4105013305720701E-7</v>
      </c>
      <c r="H3678" s="3" t="str">
        <f>"PUS7L"</f>
        <v>PUS7L</v>
      </c>
      <c r="I3678" s="3" t="str">
        <f t="shared" si="173"/>
        <v>protein_coding</v>
      </c>
    </row>
    <row r="3679" spans="1:9" x14ac:dyDescent="0.2">
      <c r="A3679" s="3" t="str">
        <f>"ENSG00000198001.13"</f>
        <v>ENSG00000198001.13</v>
      </c>
      <c r="B3679" s="3">
        <v>356.623833705013</v>
      </c>
      <c r="C3679" s="3">
        <v>1.1378305231804999</v>
      </c>
      <c r="D3679" s="3">
        <v>0.25820765126565098</v>
      </c>
      <c r="E3679" s="3">
        <v>4.4066491353111203</v>
      </c>
      <c r="F3679" s="4">
        <v>1.04982035191876E-5</v>
      </c>
      <c r="G3679" s="4">
        <v>7.4297286048650705E-5</v>
      </c>
      <c r="H3679" s="3" t="str">
        <f>"IRAK4"</f>
        <v>IRAK4</v>
      </c>
      <c r="I3679" s="3" t="str">
        <f t="shared" si="173"/>
        <v>protein_coding</v>
      </c>
    </row>
    <row r="3680" spans="1:9" x14ac:dyDescent="0.2">
      <c r="A3680" s="3" t="str">
        <f>"ENSG00000184613.10"</f>
        <v>ENSG00000184613.10</v>
      </c>
      <c r="B3680" s="3">
        <v>9.0650319214351605</v>
      </c>
      <c r="C3680" s="3">
        <v>6.5758720895497902</v>
      </c>
      <c r="D3680" s="3">
        <v>1.7925554902224099</v>
      </c>
      <c r="E3680" s="3">
        <v>3.6684343248609199</v>
      </c>
      <c r="F3680" s="3">
        <v>2.4404036266015099E-4</v>
      </c>
      <c r="G3680" s="3">
        <v>1.2675081018485501E-3</v>
      </c>
      <c r="H3680" s="3" t="str">
        <f>"NELL2"</f>
        <v>NELL2</v>
      </c>
      <c r="I3680" s="3" t="str">
        <f t="shared" si="173"/>
        <v>protein_coding</v>
      </c>
    </row>
    <row r="3681" spans="1:9" x14ac:dyDescent="0.2">
      <c r="A3681" s="3" t="str">
        <f>"ENSG00000134297.6"</f>
        <v>ENSG00000134297.6</v>
      </c>
      <c r="B3681" s="3">
        <v>90.896404960173598</v>
      </c>
      <c r="C3681" s="3">
        <v>-2.1073591848146598</v>
      </c>
      <c r="D3681" s="3">
        <v>0.42611325023276497</v>
      </c>
      <c r="E3681" s="3">
        <v>-4.9455377969671499</v>
      </c>
      <c r="F3681" s="4">
        <v>7.5933934636380497E-7</v>
      </c>
      <c r="G3681" s="4">
        <v>6.6334463515147699E-6</v>
      </c>
      <c r="H3681" s="3" t="str">
        <f>"PLEKHA8P1"</f>
        <v>PLEKHA8P1</v>
      </c>
      <c r="I3681" s="3" t="str">
        <f>"transcribed_processed_pseudogene"</f>
        <v>transcribed_processed_pseudogene</v>
      </c>
    </row>
    <row r="3682" spans="1:9" x14ac:dyDescent="0.2">
      <c r="A3682" s="3" t="str">
        <f>"ENSG00000177119.16"</f>
        <v>ENSG00000177119.16</v>
      </c>
      <c r="B3682" s="3">
        <v>5177.1608342111604</v>
      </c>
      <c r="C3682" s="3">
        <v>-1.1443863744981499</v>
      </c>
      <c r="D3682" s="3">
        <v>0.19008758384533</v>
      </c>
      <c r="E3682" s="3">
        <v>-6.0203110132080599</v>
      </c>
      <c r="F3682" s="4">
        <v>1.74082252245533E-9</v>
      </c>
      <c r="G3682" s="4">
        <v>2.2836875912056101E-8</v>
      </c>
      <c r="H3682" s="3" t="str">
        <f>"ANO6"</f>
        <v>ANO6</v>
      </c>
      <c r="I3682" s="3" t="str">
        <f>"protein_coding"</f>
        <v>protein_coding</v>
      </c>
    </row>
    <row r="3683" spans="1:9" x14ac:dyDescent="0.2">
      <c r="A3683" s="3" t="str">
        <f>"ENSG00000257261.5"</f>
        <v>ENSG00000257261.5</v>
      </c>
      <c r="B3683" s="3">
        <v>483.664499347701</v>
      </c>
      <c r="C3683" s="3">
        <v>1.9088917629998601</v>
      </c>
      <c r="D3683" s="3">
        <v>0.233064332786241</v>
      </c>
      <c r="E3683" s="3">
        <v>8.1904070870879995</v>
      </c>
      <c r="F3683" s="4">
        <v>2.6034408636192902E-16</v>
      </c>
      <c r="G3683" s="4">
        <v>7.3129848671169799E-15</v>
      </c>
      <c r="H3683" s="3" t="str">
        <f>"AC008014.1"</f>
        <v>AC008014.1</v>
      </c>
      <c r="I3683" s="3" t="str">
        <f>"lincRNA"</f>
        <v>lincRNA</v>
      </c>
    </row>
    <row r="3684" spans="1:9" x14ac:dyDescent="0.2">
      <c r="A3684" s="3" t="str">
        <f>"ENSG00000257496.1"</f>
        <v>ENSG00000257496.1</v>
      </c>
      <c r="B3684" s="3">
        <v>9.8136346493581694</v>
      </c>
      <c r="C3684" s="3">
        <v>3.0809189750760102</v>
      </c>
      <c r="D3684" s="3">
        <v>1.22484247870451</v>
      </c>
      <c r="E3684" s="3">
        <v>2.5153593450927998</v>
      </c>
      <c r="F3684" s="3">
        <v>1.18911114627264E-2</v>
      </c>
      <c r="G3684" s="3">
        <v>3.6742698347120198E-2</v>
      </c>
      <c r="H3684" s="3" t="str">
        <f>"AC025031.1"</f>
        <v>AC025031.1</v>
      </c>
      <c r="I3684" s="3" t="str">
        <f>"lincRNA"</f>
        <v>lincRNA</v>
      </c>
    </row>
    <row r="3685" spans="1:9" x14ac:dyDescent="0.2">
      <c r="A3685" s="3" t="str">
        <f>"ENSG00000275481.1"</f>
        <v>ENSG00000275481.1</v>
      </c>
      <c r="B3685" s="3">
        <v>590.013095333509</v>
      </c>
      <c r="C3685" s="3">
        <v>2.11302417043626</v>
      </c>
      <c r="D3685" s="3">
        <v>0.25790896375475703</v>
      </c>
      <c r="E3685" s="3">
        <v>8.1929070617549709</v>
      </c>
      <c r="F3685" s="4">
        <v>2.5499107088649199E-16</v>
      </c>
      <c r="G3685" s="4">
        <v>7.1774191202936597E-15</v>
      </c>
      <c r="H3685" s="3" t="str">
        <f>"AC025031.4"</f>
        <v>AC025031.4</v>
      </c>
      <c r="I3685" s="3" t="str">
        <f>"lincRNA"</f>
        <v>lincRNA</v>
      </c>
    </row>
    <row r="3686" spans="1:9" x14ac:dyDescent="0.2">
      <c r="A3686" s="3" t="str">
        <f>"ENSG00000278896.1"</f>
        <v>ENSG00000278896.1</v>
      </c>
      <c r="B3686" s="3">
        <v>368.67171647758698</v>
      </c>
      <c r="C3686" s="3">
        <v>2.8920687986796501</v>
      </c>
      <c r="D3686" s="3">
        <v>0.32153986339049501</v>
      </c>
      <c r="E3686" s="3">
        <v>8.9944331262197608</v>
      </c>
      <c r="F3686" s="4">
        <v>2.3745442302392898E-19</v>
      </c>
      <c r="G3686" s="4">
        <v>8.5694313432225102E-18</v>
      </c>
      <c r="H3686" s="3" t="str">
        <f>"AC025031.5"</f>
        <v>AC025031.5</v>
      </c>
      <c r="I3686" s="3" t="str">
        <f>"TEC"</f>
        <v>TEC</v>
      </c>
    </row>
    <row r="3687" spans="1:9" x14ac:dyDescent="0.2">
      <c r="A3687" s="3" t="str">
        <f>"ENSG00000272369.1"</f>
        <v>ENSG00000272369.1</v>
      </c>
      <c r="B3687" s="3">
        <v>112.264489878559</v>
      </c>
      <c r="C3687" s="3">
        <v>1.98355059371718</v>
      </c>
      <c r="D3687" s="3">
        <v>0.40702170276246002</v>
      </c>
      <c r="E3687" s="3">
        <v>4.8733288182296004</v>
      </c>
      <c r="F3687" s="4">
        <v>1.0973335335357799E-6</v>
      </c>
      <c r="G3687" s="4">
        <v>9.3434521213279608E-6</v>
      </c>
      <c r="H3687" s="3" t="str">
        <f>"AC008035.1"</f>
        <v>AC008035.1</v>
      </c>
      <c r="I3687" s="3" t="str">
        <f>"lincRNA"</f>
        <v>lincRNA</v>
      </c>
    </row>
    <row r="3688" spans="1:9" x14ac:dyDescent="0.2">
      <c r="A3688" s="3" t="str">
        <f>"ENSG00000272963.1"</f>
        <v>ENSG00000272963.1</v>
      </c>
      <c r="B3688" s="3">
        <v>54.116014399889998</v>
      </c>
      <c r="C3688" s="3">
        <v>2.0844660564816602</v>
      </c>
      <c r="D3688" s="3">
        <v>0.49834025298878398</v>
      </c>
      <c r="E3688" s="3">
        <v>4.1828169488218601</v>
      </c>
      <c r="F3688" s="4">
        <v>2.87919210073627E-5</v>
      </c>
      <c r="G3688" s="3">
        <v>1.8554717873406099E-4</v>
      </c>
      <c r="H3688" s="3" t="str">
        <f>"OR7A19P"</f>
        <v>OR7A19P</v>
      </c>
      <c r="I3688" s="3" t="str">
        <f>"unprocessed_pseudogene"</f>
        <v>unprocessed_pseudogene</v>
      </c>
    </row>
    <row r="3689" spans="1:9" x14ac:dyDescent="0.2">
      <c r="A3689" s="3" t="str">
        <f>"ENSG00000079337.16"</f>
        <v>ENSG00000079337.16</v>
      </c>
      <c r="B3689" s="3">
        <v>125.849473910954</v>
      </c>
      <c r="C3689" s="3">
        <v>3.3367647879695599</v>
      </c>
      <c r="D3689" s="3">
        <v>0.39466256384465398</v>
      </c>
      <c r="E3689" s="3">
        <v>8.4547284025726892</v>
      </c>
      <c r="F3689" s="4">
        <v>2.7973771162731098E-17</v>
      </c>
      <c r="G3689" s="4">
        <v>8.5544482926030896E-16</v>
      </c>
      <c r="H3689" s="3" t="str">
        <f>"RAPGEF3"</f>
        <v>RAPGEF3</v>
      </c>
      <c r="I3689" s="3" t="str">
        <f>"protein_coding"</f>
        <v>protein_coding</v>
      </c>
    </row>
    <row r="3690" spans="1:9" x14ac:dyDescent="0.2">
      <c r="A3690" s="3" t="str">
        <f>"ENSG00000211584.14"</f>
        <v>ENSG00000211584.14</v>
      </c>
      <c r="B3690" s="3">
        <v>1440.8021284134099</v>
      </c>
      <c r="C3690" s="3">
        <v>2.5190450803796098</v>
      </c>
      <c r="D3690" s="3">
        <v>0.20273010436069799</v>
      </c>
      <c r="E3690" s="3">
        <v>12.425609350536901</v>
      </c>
      <c r="F3690" s="4">
        <v>1.8977485910454501E-35</v>
      </c>
      <c r="G3690" s="4">
        <v>2.0277629749103999E-33</v>
      </c>
      <c r="H3690" s="3" t="str">
        <f>"SLC48A1"</f>
        <v>SLC48A1</v>
      </c>
      <c r="I3690" s="3" t="str">
        <f>"protein_coding"</f>
        <v>protein_coding</v>
      </c>
    </row>
    <row r="3691" spans="1:9" x14ac:dyDescent="0.2">
      <c r="A3691" s="3" t="str">
        <f>"ENSG00000268069.2"</f>
        <v>ENSG00000268069.2</v>
      </c>
      <c r="B3691" s="3">
        <v>45.705168870398701</v>
      </c>
      <c r="C3691" s="3">
        <v>3.3297677004383401</v>
      </c>
      <c r="D3691" s="3">
        <v>0.62092347206225096</v>
      </c>
      <c r="E3691" s="3">
        <v>5.3626056193032898</v>
      </c>
      <c r="F3691" s="4">
        <v>8.2029974595265704E-8</v>
      </c>
      <c r="G3691" s="4">
        <v>8.4374130532170701E-7</v>
      </c>
      <c r="H3691" s="3" t="str">
        <f>"AC004466.1"</f>
        <v>AC004466.1</v>
      </c>
      <c r="I3691" s="3" t="str">
        <f>"antisense"</f>
        <v>antisense</v>
      </c>
    </row>
    <row r="3692" spans="1:9" x14ac:dyDescent="0.2">
      <c r="A3692" s="3" t="str">
        <f>"ENSG00000276691.1"</f>
        <v>ENSG00000276691.1</v>
      </c>
      <c r="B3692" s="3">
        <v>10.7866367564245</v>
      </c>
      <c r="C3692" s="3">
        <v>3.24579574489122</v>
      </c>
      <c r="D3692" s="3">
        <v>1.1911366129586101</v>
      </c>
      <c r="E3692" s="3">
        <v>2.7249567426436001</v>
      </c>
      <c r="F3692" s="3">
        <v>6.4309912101672799E-3</v>
      </c>
      <c r="G3692" s="3">
        <v>2.1949795503373198E-2</v>
      </c>
      <c r="H3692" s="3" t="str">
        <f>"AC004466.3"</f>
        <v>AC004466.3</v>
      </c>
      <c r="I3692" s="3" t="str">
        <f>"antisense"</f>
        <v>antisense</v>
      </c>
    </row>
    <row r="3693" spans="1:9" x14ac:dyDescent="0.2">
      <c r="A3693" s="3" t="str">
        <f>"ENSG00000111424.10"</f>
        <v>ENSG00000111424.10</v>
      </c>
      <c r="B3693" s="3">
        <v>43.706143407794102</v>
      </c>
      <c r="C3693" s="3">
        <v>3.7075764361264998</v>
      </c>
      <c r="D3693" s="3">
        <v>0.65361885137114195</v>
      </c>
      <c r="E3693" s="3">
        <v>5.6723829619492303</v>
      </c>
      <c r="F3693" s="4">
        <v>1.408247281828E-8</v>
      </c>
      <c r="G3693" s="4">
        <v>1.6411682501269201E-7</v>
      </c>
      <c r="H3693" s="3" t="str">
        <f>"VDR"</f>
        <v>VDR</v>
      </c>
      <c r="I3693" s="3" t="str">
        <f>"protein_coding"</f>
        <v>protein_coding</v>
      </c>
    </row>
    <row r="3694" spans="1:9" x14ac:dyDescent="0.2">
      <c r="A3694" s="3" t="str">
        <f>"ENSG00000257985.1"</f>
        <v>ENSG00000257985.1</v>
      </c>
      <c r="B3694" s="3">
        <v>20.258926035017399</v>
      </c>
      <c r="C3694" s="3">
        <v>7.7361805811788402</v>
      </c>
      <c r="D3694" s="3">
        <v>1.61243118622115</v>
      </c>
      <c r="E3694" s="3">
        <v>4.7978361168448602</v>
      </c>
      <c r="F3694" s="4">
        <v>1.6038892083415701E-6</v>
      </c>
      <c r="G3694" s="4">
        <v>1.325080935709E-5</v>
      </c>
      <c r="H3694" s="3" t="str">
        <f>"AC004801.4"</f>
        <v>AC004801.4</v>
      </c>
      <c r="I3694" s="3" t="str">
        <f>"antisense"</f>
        <v>antisense</v>
      </c>
    </row>
    <row r="3695" spans="1:9" x14ac:dyDescent="0.2">
      <c r="A3695" s="3" t="str">
        <f>"ENSG00000167528.12"</f>
        <v>ENSG00000167528.12</v>
      </c>
      <c r="B3695" s="3">
        <v>614.887739378471</v>
      </c>
      <c r="C3695" s="3">
        <v>1.35705304217719</v>
      </c>
      <c r="D3695" s="3">
        <v>0.21393070625344399</v>
      </c>
      <c r="E3695" s="3">
        <v>6.3434233726573499</v>
      </c>
      <c r="F3695" s="4">
        <v>2.2471476810780501E-10</v>
      </c>
      <c r="G3695" s="4">
        <v>3.3060492908387501E-9</v>
      </c>
      <c r="H3695" s="3" t="str">
        <f>"ZNF641"</f>
        <v>ZNF641</v>
      </c>
      <c r="I3695" s="3" t="str">
        <f>"protein_coding"</f>
        <v>protein_coding</v>
      </c>
    </row>
    <row r="3696" spans="1:9" x14ac:dyDescent="0.2">
      <c r="A3696" s="3" t="str">
        <f>"ENSG00000181418.8"</f>
        <v>ENSG00000181418.8</v>
      </c>
      <c r="B3696" s="3">
        <v>69.131245583737694</v>
      </c>
      <c r="C3696" s="3">
        <v>-2.9191815893866</v>
      </c>
      <c r="D3696" s="3">
        <v>0.47960605049182797</v>
      </c>
      <c r="E3696" s="3">
        <v>-6.0866237746438401</v>
      </c>
      <c r="F3696" s="4">
        <v>1.15316515485518E-9</v>
      </c>
      <c r="G3696" s="4">
        <v>1.5562303602941601E-8</v>
      </c>
      <c r="H3696" s="3" t="str">
        <f>"DDN"</f>
        <v>DDN</v>
      </c>
      <c r="I3696" s="3" t="str">
        <f>"protein_coding"</f>
        <v>protein_coding</v>
      </c>
    </row>
    <row r="3697" spans="1:9" x14ac:dyDescent="0.2">
      <c r="A3697" s="3" t="str">
        <f>"ENSG00000257913.2"</f>
        <v>ENSG00000257913.2</v>
      </c>
      <c r="B3697" s="3">
        <v>109.574158953767</v>
      </c>
      <c r="C3697" s="3">
        <v>-1.9270165906291501</v>
      </c>
      <c r="D3697" s="3">
        <v>0.36508186130828502</v>
      </c>
      <c r="E3697" s="3">
        <v>-5.2783137012713102</v>
      </c>
      <c r="F3697" s="4">
        <v>1.3037812638600799E-7</v>
      </c>
      <c r="G3697" s="4">
        <v>1.3022041091054101E-6</v>
      </c>
      <c r="H3697" s="3" t="str">
        <f>"DDN-AS1"</f>
        <v>DDN-AS1</v>
      </c>
      <c r="I3697" s="3" t="str">
        <f>"antisense"</f>
        <v>antisense</v>
      </c>
    </row>
    <row r="3698" spans="1:9" x14ac:dyDescent="0.2">
      <c r="A3698" s="3" t="str">
        <f>"ENSG00000123416.15"</f>
        <v>ENSG00000123416.15</v>
      </c>
      <c r="B3698" s="3">
        <v>25515.894061745799</v>
      </c>
      <c r="C3698" s="3">
        <v>-1.56308327445455</v>
      </c>
      <c r="D3698" s="3">
        <v>0.24117074461872201</v>
      </c>
      <c r="E3698" s="3">
        <v>-6.4812308678886303</v>
      </c>
      <c r="F3698" s="4">
        <v>9.0977335607530102E-11</v>
      </c>
      <c r="G3698" s="4">
        <v>1.42463187545884E-9</v>
      </c>
      <c r="H3698" s="3" t="str">
        <f>"TUBA1B"</f>
        <v>TUBA1B</v>
      </c>
      <c r="I3698" s="3" t="str">
        <f t="shared" ref="I3698:I3703" si="174">"protein_coding"</f>
        <v>protein_coding</v>
      </c>
    </row>
    <row r="3699" spans="1:9" x14ac:dyDescent="0.2">
      <c r="A3699" s="3" t="str">
        <f>"ENSG00000167553.15"</f>
        <v>ENSG00000167553.15</v>
      </c>
      <c r="B3699" s="3">
        <v>16240.3324455611</v>
      </c>
      <c r="C3699" s="3">
        <v>-1.2003702928931901</v>
      </c>
      <c r="D3699" s="3">
        <v>0.23767328802536</v>
      </c>
      <c r="E3699" s="3">
        <v>-5.0505056873076697</v>
      </c>
      <c r="F3699" s="4">
        <v>4.40641991046397E-7</v>
      </c>
      <c r="G3699" s="4">
        <v>4.0194751690797399E-6</v>
      </c>
      <c r="H3699" s="3" t="str">
        <f>"TUBA1C"</f>
        <v>TUBA1C</v>
      </c>
      <c r="I3699" s="3" t="str">
        <f t="shared" si="174"/>
        <v>protein_coding</v>
      </c>
    </row>
    <row r="3700" spans="1:9" x14ac:dyDescent="0.2">
      <c r="A3700" s="3" t="str">
        <f>"ENSG00000135406.14"</f>
        <v>ENSG00000135406.14</v>
      </c>
      <c r="B3700" s="3">
        <v>13.2493642954688</v>
      </c>
      <c r="C3700" s="3">
        <v>2.9021979056347398</v>
      </c>
      <c r="D3700" s="3">
        <v>1.1295561914630301</v>
      </c>
      <c r="E3700" s="3">
        <v>2.5693258357300102</v>
      </c>
      <c r="F3700" s="3">
        <v>1.01896597536352E-2</v>
      </c>
      <c r="G3700" s="3">
        <v>3.2324794423949102E-2</v>
      </c>
      <c r="H3700" s="3" t="str">
        <f>"PRPH"</f>
        <v>PRPH</v>
      </c>
      <c r="I3700" s="3" t="str">
        <f t="shared" si="174"/>
        <v>protein_coding</v>
      </c>
    </row>
    <row r="3701" spans="1:9" x14ac:dyDescent="0.2">
      <c r="A3701" s="3" t="str">
        <f>"ENSG00000135519.8"</f>
        <v>ENSG00000135519.8</v>
      </c>
      <c r="B3701" s="3">
        <v>36.004722768955901</v>
      </c>
      <c r="C3701" s="3">
        <v>2.7608619687545999</v>
      </c>
      <c r="D3701" s="3">
        <v>0.64437911064823905</v>
      </c>
      <c r="E3701" s="3">
        <v>4.2845305242393703</v>
      </c>
      <c r="F3701" s="4">
        <v>1.8312546690231401E-5</v>
      </c>
      <c r="G3701" s="3">
        <v>1.22504777723725E-4</v>
      </c>
      <c r="H3701" s="3" t="str">
        <f>"KCNH3"</f>
        <v>KCNH3</v>
      </c>
      <c r="I3701" s="3" t="str">
        <f t="shared" si="174"/>
        <v>protein_coding</v>
      </c>
    </row>
    <row r="3702" spans="1:9" x14ac:dyDescent="0.2">
      <c r="A3702" s="3" t="str">
        <f>"ENSG00000187778.14"</f>
        <v>ENSG00000187778.14</v>
      </c>
      <c r="B3702" s="3">
        <v>1414.07535568506</v>
      </c>
      <c r="C3702" s="3">
        <v>-1.3148360147817399</v>
      </c>
      <c r="D3702" s="3">
        <v>0.22562156954149301</v>
      </c>
      <c r="E3702" s="3">
        <v>-5.8276166478841001</v>
      </c>
      <c r="F3702" s="4">
        <v>5.6224549179094397E-9</v>
      </c>
      <c r="G3702" s="4">
        <v>6.9100148465619501E-8</v>
      </c>
      <c r="H3702" s="3" t="str">
        <f>"MCRS1"</f>
        <v>MCRS1</v>
      </c>
      <c r="I3702" s="3" t="str">
        <f t="shared" si="174"/>
        <v>protein_coding</v>
      </c>
    </row>
    <row r="3703" spans="1:9" x14ac:dyDescent="0.2">
      <c r="A3703" s="3" t="str">
        <f>"ENSG00000135436.8"</f>
        <v>ENSG00000135436.8</v>
      </c>
      <c r="B3703" s="3">
        <v>17.1099379700109</v>
      </c>
      <c r="C3703" s="3">
        <v>2.1802173883461999</v>
      </c>
      <c r="D3703" s="3">
        <v>0.85616442093682799</v>
      </c>
      <c r="E3703" s="3">
        <v>2.5464937984231701</v>
      </c>
      <c r="F3703" s="3">
        <v>1.0881114492554101E-2</v>
      </c>
      <c r="G3703" s="3">
        <v>3.4172167655442801E-2</v>
      </c>
      <c r="H3703" s="3" t="str">
        <f>"FAM186B"</f>
        <v>FAM186B</v>
      </c>
      <c r="I3703" s="3" t="str">
        <f t="shared" si="174"/>
        <v>protein_coding</v>
      </c>
    </row>
    <row r="3704" spans="1:9" x14ac:dyDescent="0.2">
      <c r="A3704" s="3" t="str">
        <f>"ENSG00000258057.5"</f>
        <v>ENSG00000258057.5</v>
      </c>
      <c r="B3704" s="3">
        <v>24.398549998923201</v>
      </c>
      <c r="C3704" s="3">
        <v>2.9204169626925802</v>
      </c>
      <c r="D3704" s="3">
        <v>0.776128035615265</v>
      </c>
      <c r="E3704" s="3">
        <v>3.7628030797488901</v>
      </c>
      <c r="F3704" s="3">
        <v>1.68019498686447E-4</v>
      </c>
      <c r="G3704" s="3">
        <v>9.1341326430758696E-4</v>
      </c>
      <c r="H3704" s="3" t="str">
        <f>"BCDIN3D-AS1"</f>
        <v>BCDIN3D-AS1</v>
      </c>
      <c r="I3704" s="3" t="str">
        <f>"antisense"</f>
        <v>antisense</v>
      </c>
    </row>
    <row r="3705" spans="1:9" x14ac:dyDescent="0.2">
      <c r="A3705" s="3" t="str">
        <f>"ENSG00000186666.6"</f>
        <v>ENSG00000186666.6</v>
      </c>
      <c r="B3705" s="3">
        <v>110.648862388034</v>
      </c>
      <c r="C3705" s="3">
        <v>1.4136389452052001</v>
      </c>
      <c r="D3705" s="3">
        <v>0.357498038515495</v>
      </c>
      <c r="E3705" s="3">
        <v>3.95425650746312</v>
      </c>
      <c r="F3705" s="4">
        <v>7.6773011421660497E-5</v>
      </c>
      <c r="G3705" s="3">
        <v>4.51800052312308E-4</v>
      </c>
      <c r="H3705" s="3" t="str">
        <f>"BCDIN3D"</f>
        <v>BCDIN3D</v>
      </c>
      <c r="I3705" s="3" t="str">
        <f t="shared" ref="I3705:I3710" si="175">"protein_coding"</f>
        <v>protein_coding</v>
      </c>
    </row>
    <row r="3706" spans="1:9" x14ac:dyDescent="0.2">
      <c r="A3706" s="3" t="str">
        <f>"ENSG00000135472.9"</f>
        <v>ENSG00000135472.9</v>
      </c>
      <c r="B3706" s="3">
        <v>4.5506350131209503</v>
      </c>
      <c r="C3706" s="3">
        <v>5.5810926405007502</v>
      </c>
      <c r="D3706" s="3">
        <v>2.0811975347712699</v>
      </c>
      <c r="E3706" s="3">
        <v>2.6816736745337999</v>
      </c>
      <c r="F3706" s="3">
        <v>7.3254878825888504E-3</v>
      </c>
      <c r="G3706" s="3">
        <v>2.4457489074488199E-2</v>
      </c>
      <c r="H3706" s="3" t="str">
        <f>"FAIM2"</f>
        <v>FAIM2</v>
      </c>
      <c r="I3706" s="3" t="str">
        <f t="shared" si="175"/>
        <v>protein_coding</v>
      </c>
    </row>
    <row r="3707" spans="1:9" x14ac:dyDescent="0.2">
      <c r="A3707" s="3" t="str">
        <f>"ENSG00000110881.11"</f>
        <v>ENSG00000110881.11</v>
      </c>
      <c r="B3707" s="3">
        <v>162.63657744367501</v>
      </c>
      <c r="C3707" s="3">
        <v>-1.3890845202495901</v>
      </c>
      <c r="D3707" s="3">
        <v>0.30899787555277503</v>
      </c>
      <c r="E3707" s="3">
        <v>-4.4954500666537403</v>
      </c>
      <c r="F3707" s="4">
        <v>6.9422948894947096E-6</v>
      </c>
      <c r="G3707" s="4">
        <v>5.0834912349922697E-5</v>
      </c>
      <c r="H3707" s="3" t="str">
        <f>"ASIC1"</f>
        <v>ASIC1</v>
      </c>
      <c r="I3707" s="3" t="str">
        <f t="shared" si="175"/>
        <v>protein_coding</v>
      </c>
    </row>
    <row r="3708" spans="1:9" x14ac:dyDescent="0.2">
      <c r="A3708" s="3" t="str">
        <f>"ENSG00000167588.13"</f>
        <v>ENSG00000167588.13</v>
      </c>
      <c r="B3708" s="3">
        <v>160.95678903164301</v>
      </c>
      <c r="C3708" s="3">
        <v>-3.3881940234200898</v>
      </c>
      <c r="D3708" s="3">
        <v>0.35651343299242899</v>
      </c>
      <c r="E3708" s="3">
        <v>-9.5036924555155302</v>
      </c>
      <c r="F3708" s="4">
        <v>2.02576873956763E-21</v>
      </c>
      <c r="G3708" s="4">
        <v>8.8172717007985902E-20</v>
      </c>
      <c r="H3708" s="3" t="str">
        <f>"GPD1"</f>
        <v>GPD1</v>
      </c>
      <c r="I3708" s="3" t="str">
        <f t="shared" si="175"/>
        <v>protein_coding</v>
      </c>
    </row>
    <row r="3709" spans="1:9" x14ac:dyDescent="0.2">
      <c r="A3709" s="3" t="str">
        <f>"ENSG00000139624.12"</f>
        <v>ENSG00000139624.12</v>
      </c>
      <c r="B3709" s="3">
        <v>1596.7233097984699</v>
      </c>
      <c r="C3709" s="3">
        <v>1.2895725803214699</v>
      </c>
      <c r="D3709" s="3">
        <v>0.185725157363652</v>
      </c>
      <c r="E3709" s="3">
        <v>6.9434458886819801</v>
      </c>
      <c r="F3709" s="4">
        <v>3.8264922017912304E-12</v>
      </c>
      <c r="G3709" s="4">
        <v>7.0406120522192001E-11</v>
      </c>
      <c r="H3709" s="3" t="str">
        <f>"CERS5"</f>
        <v>CERS5</v>
      </c>
      <c r="I3709" s="3" t="str">
        <f t="shared" si="175"/>
        <v>protein_coding</v>
      </c>
    </row>
    <row r="3710" spans="1:9" x14ac:dyDescent="0.2">
      <c r="A3710" s="3" t="str">
        <f>"ENSG00000050405.13"</f>
        <v>ENSG00000050405.13</v>
      </c>
      <c r="B3710" s="3">
        <v>2347.3275467794301</v>
      </c>
      <c r="C3710" s="3">
        <v>2.03707420679457</v>
      </c>
      <c r="D3710" s="3">
        <v>0.195361800396018</v>
      </c>
      <c r="E3710" s="3">
        <v>10.4271879285777</v>
      </c>
      <c r="F3710" s="4">
        <v>1.86320917004838E-25</v>
      </c>
      <c r="G3710" s="4">
        <v>1.08476197128864E-23</v>
      </c>
      <c r="H3710" s="3" t="str">
        <f>"LIMA1"</f>
        <v>LIMA1</v>
      </c>
      <c r="I3710" s="3" t="str">
        <f t="shared" si="175"/>
        <v>protein_coding</v>
      </c>
    </row>
    <row r="3711" spans="1:9" x14ac:dyDescent="0.2">
      <c r="A3711" s="3" t="str">
        <f>"ENSG00000257298.1"</f>
        <v>ENSG00000257298.1</v>
      </c>
      <c r="B3711" s="3">
        <v>88.337060777341506</v>
      </c>
      <c r="C3711" s="3">
        <v>2.1509554757204001</v>
      </c>
      <c r="D3711" s="3">
        <v>0.41286322234580097</v>
      </c>
      <c r="E3711" s="3">
        <v>5.20985004064815</v>
      </c>
      <c r="F3711" s="4">
        <v>1.88993323650454E-7</v>
      </c>
      <c r="G3711" s="4">
        <v>1.8357995546224499E-6</v>
      </c>
      <c r="H3711" s="3" t="str">
        <f>"AC008147.2"</f>
        <v>AC008147.2</v>
      </c>
      <c r="I3711" s="3" t="str">
        <f>"sense_intronic"</f>
        <v>sense_intronic</v>
      </c>
    </row>
    <row r="3712" spans="1:9" x14ac:dyDescent="0.2">
      <c r="A3712" s="3" t="str">
        <f>"ENSG00000257531.2"</f>
        <v>ENSG00000257531.2</v>
      </c>
      <c r="B3712" s="3">
        <v>23.0228459293367</v>
      </c>
      <c r="C3712" s="3">
        <v>1.9912809232399</v>
      </c>
      <c r="D3712" s="3">
        <v>0.75429089235692603</v>
      </c>
      <c r="E3712" s="3">
        <v>2.6399376466256501</v>
      </c>
      <c r="F3712" s="3">
        <v>8.2921282015074507E-3</v>
      </c>
      <c r="G3712" s="3">
        <v>2.7171263239184201E-2</v>
      </c>
      <c r="H3712" s="3" t="str">
        <f>"AC008147.3"</f>
        <v>AC008147.3</v>
      </c>
      <c r="I3712" s="3" t="str">
        <f>"transcribed_processed_pseudogene"</f>
        <v>transcribed_processed_pseudogene</v>
      </c>
    </row>
    <row r="3713" spans="1:9" x14ac:dyDescent="0.2">
      <c r="A3713" s="3" t="str">
        <f>"ENSG00000221604.1"</f>
        <v>ENSG00000221604.1</v>
      </c>
      <c r="B3713" s="3">
        <v>3.8893317554809199</v>
      </c>
      <c r="C3713" s="3">
        <v>5.35263968609567</v>
      </c>
      <c r="D3713" s="3">
        <v>2.1805139762792298</v>
      </c>
      <c r="E3713" s="3">
        <v>2.4547605492670499</v>
      </c>
      <c r="F3713" s="3">
        <v>1.40978459500909E-2</v>
      </c>
      <c r="G3713" s="3">
        <v>4.2402473628670397E-2</v>
      </c>
      <c r="H3713" s="3" t="str">
        <f>"MIR1293"</f>
        <v>MIR1293</v>
      </c>
      <c r="I3713" s="3" t="str">
        <f>"miRNA"</f>
        <v>miRNA</v>
      </c>
    </row>
    <row r="3714" spans="1:9" x14ac:dyDescent="0.2">
      <c r="A3714" s="3" t="str">
        <f>"ENSG00000278842.1"</f>
        <v>ENSG00000278842.1</v>
      </c>
      <c r="B3714" s="3">
        <v>41.023494474750898</v>
      </c>
      <c r="C3714" s="3">
        <v>1.9228195249623301</v>
      </c>
      <c r="D3714" s="3">
        <v>0.59257522523967499</v>
      </c>
      <c r="E3714" s="3">
        <v>3.2448530466062202</v>
      </c>
      <c r="F3714" s="3">
        <v>1.1751124943871101E-3</v>
      </c>
      <c r="G3714" s="3">
        <v>5.07904348581306E-3</v>
      </c>
      <c r="H3714" s="3" t="str">
        <f>"AC008147.4"</f>
        <v>AC008147.4</v>
      </c>
      <c r="I3714" s="3" t="str">
        <f>"processed_pseudogene"</f>
        <v>processed_pseudogene</v>
      </c>
    </row>
    <row r="3715" spans="1:9" x14ac:dyDescent="0.2">
      <c r="A3715" s="3" t="str">
        <f>"ENSG00000185958.9"</f>
        <v>ENSG00000185958.9</v>
      </c>
      <c r="B3715" s="3">
        <v>17.1817370070967</v>
      </c>
      <c r="C3715" s="3">
        <v>6.0321295240479298</v>
      </c>
      <c r="D3715" s="3">
        <v>1.62894636461581</v>
      </c>
      <c r="E3715" s="3">
        <v>3.7030866424325901</v>
      </c>
      <c r="F3715" s="3">
        <v>2.1299209865656299E-4</v>
      </c>
      <c r="G3715" s="3">
        <v>1.12845539532986E-3</v>
      </c>
      <c r="H3715" s="3" t="str">
        <f>"FAM186A"</f>
        <v>FAM186A</v>
      </c>
      <c r="I3715" s="3" t="str">
        <f t="shared" ref="I3715:I3730" si="176">"protein_coding"</f>
        <v>protein_coding</v>
      </c>
    </row>
    <row r="3716" spans="1:9" x14ac:dyDescent="0.2">
      <c r="A3716" s="3" t="str">
        <f>"ENSG00000185432.12"</f>
        <v>ENSG00000185432.12</v>
      </c>
      <c r="B3716" s="3">
        <v>7005.2481224681896</v>
      </c>
      <c r="C3716" s="3">
        <v>2.4944894397759101</v>
      </c>
      <c r="D3716" s="3">
        <v>0.188643469967093</v>
      </c>
      <c r="E3716" s="3">
        <v>13.223301290052801</v>
      </c>
      <c r="F3716" s="4">
        <v>6.4375233257322597E-40</v>
      </c>
      <c r="G3716" s="4">
        <v>8.7701599028113501E-38</v>
      </c>
      <c r="H3716" s="3" t="str">
        <f>"METTL7A"</f>
        <v>METTL7A</v>
      </c>
      <c r="I3716" s="3" t="str">
        <f t="shared" si="176"/>
        <v>protein_coding</v>
      </c>
    </row>
    <row r="3717" spans="1:9" x14ac:dyDescent="0.2">
      <c r="A3717" s="3" t="str">
        <f>"ENSG00000110911.15"</f>
        <v>ENSG00000110911.15</v>
      </c>
      <c r="B3717" s="3">
        <v>2238.6945415407899</v>
      </c>
      <c r="C3717" s="3">
        <v>-1.0504341888174</v>
      </c>
      <c r="D3717" s="3">
        <v>0.17890252589988601</v>
      </c>
      <c r="E3717" s="3">
        <v>-5.8715447617839498</v>
      </c>
      <c r="F3717" s="4">
        <v>4.3175298305027599E-9</v>
      </c>
      <c r="G3717" s="4">
        <v>5.40127342937138E-8</v>
      </c>
      <c r="H3717" s="3" t="str">
        <f>"SLC11A2"</f>
        <v>SLC11A2</v>
      </c>
      <c r="I3717" s="3" t="str">
        <f t="shared" si="176"/>
        <v>protein_coding</v>
      </c>
    </row>
    <row r="3718" spans="1:9" x14ac:dyDescent="0.2">
      <c r="A3718" s="3" t="str">
        <f>"ENSG00000139629.16"</f>
        <v>ENSG00000139629.16</v>
      </c>
      <c r="B3718" s="3">
        <v>137.53378507201799</v>
      </c>
      <c r="C3718" s="3">
        <v>-1.97874486417838</v>
      </c>
      <c r="D3718" s="3">
        <v>0.33855819544417298</v>
      </c>
      <c r="E3718" s="3">
        <v>-5.8446225517664896</v>
      </c>
      <c r="F3718" s="4">
        <v>5.0771814725032001E-9</v>
      </c>
      <c r="G3718" s="4">
        <v>6.2966756295536901E-8</v>
      </c>
      <c r="H3718" s="3" t="str">
        <f>"GALNT6"</f>
        <v>GALNT6</v>
      </c>
      <c r="I3718" s="3" t="str">
        <f t="shared" si="176"/>
        <v>protein_coding</v>
      </c>
    </row>
    <row r="3719" spans="1:9" x14ac:dyDescent="0.2">
      <c r="A3719" s="3" t="str">
        <f>"ENSG00000050438.17"</f>
        <v>ENSG00000050438.17</v>
      </c>
      <c r="B3719" s="3">
        <v>25.153462313284599</v>
      </c>
      <c r="C3719" s="3">
        <v>1.7753376355661299</v>
      </c>
      <c r="D3719" s="3">
        <v>0.70702476706464801</v>
      </c>
      <c r="E3719" s="3">
        <v>2.5109978013030401</v>
      </c>
      <c r="F3719" s="3">
        <v>1.20390446810681E-2</v>
      </c>
      <c r="G3719" s="3">
        <v>3.7124021098354797E-2</v>
      </c>
      <c r="H3719" s="3" t="str">
        <f>"SLC4A8"</f>
        <v>SLC4A8</v>
      </c>
      <c r="I3719" s="3" t="str">
        <f t="shared" si="176"/>
        <v>protein_coding</v>
      </c>
    </row>
    <row r="3720" spans="1:9" x14ac:dyDescent="0.2">
      <c r="A3720" s="3" t="str">
        <f>"ENSG00000139567.12"</f>
        <v>ENSG00000139567.12</v>
      </c>
      <c r="B3720" s="3">
        <v>6.6434269994238004</v>
      </c>
      <c r="C3720" s="3">
        <v>4.6375533349174596</v>
      </c>
      <c r="D3720" s="3">
        <v>1.9097940022045501</v>
      </c>
      <c r="E3720" s="3">
        <v>2.4283002928923998</v>
      </c>
      <c r="F3720" s="3">
        <v>1.51697770785527E-2</v>
      </c>
      <c r="G3720" s="3">
        <v>4.4961483308966099E-2</v>
      </c>
      <c r="H3720" s="3" t="str">
        <f>"ACVRL1"</f>
        <v>ACVRL1</v>
      </c>
      <c r="I3720" s="3" t="str">
        <f t="shared" si="176"/>
        <v>protein_coding</v>
      </c>
    </row>
    <row r="3721" spans="1:9" x14ac:dyDescent="0.2">
      <c r="A3721" s="3" t="str">
        <f>"ENSG00000123358.20"</f>
        <v>ENSG00000123358.20</v>
      </c>
      <c r="B3721" s="3">
        <v>673.31824086447295</v>
      </c>
      <c r="C3721" s="3">
        <v>-1.2459047477726899</v>
      </c>
      <c r="D3721" s="3">
        <v>0.26356842457443402</v>
      </c>
      <c r="E3721" s="3">
        <v>-4.7270637588108997</v>
      </c>
      <c r="F3721" s="4">
        <v>2.2778975595682401E-6</v>
      </c>
      <c r="G3721" s="4">
        <v>1.8319325503410801E-5</v>
      </c>
      <c r="H3721" s="3" t="str">
        <f>"NR4A1"</f>
        <v>NR4A1</v>
      </c>
      <c r="I3721" s="3" t="str">
        <f t="shared" si="176"/>
        <v>protein_coding</v>
      </c>
    </row>
    <row r="3722" spans="1:9" x14ac:dyDescent="0.2">
      <c r="A3722" s="3" t="str">
        <f>"ENSG00000167767.14"</f>
        <v>ENSG00000167767.14</v>
      </c>
      <c r="B3722" s="3">
        <v>180.63447881371101</v>
      </c>
      <c r="C3722" s="3">
        <v>1.14955882469774</v>
      </c>
      <c r="D3722" s="3">
        <v>0.31349976405470698</v>
      </c>
      <c r="E3722" s="3">
        <v>3.6668570649933301</v>
      </c>
      <c r="F3722" s="3">
        <v>2.45549958298387E-4</v>
      </c>
      <c r="G3722" s="3">
        <v>1.2741382048669101E-3</v>
      </c>
      <c r="H3722" s="3" t="str">
        <f>"KRT80"</f>
        <v>KRT80</v>
      </c>
      <c r="I3722" s="3" t="str">
        <f t="shared" si="176"/>
        <v>protein_coding</v>
      </c>
    </row>
    <row r="3723" spans="1:9" x14ac:dyDescent="0.2">
      <c r="A3723" s="3" t="str">
        <f>"ENSG00000063046.17"</f>
        <v>ENSG00000063046.17</v>
      </c>
      <c r="B3723" s="3">
        <v>25131.9762698056</v>
      </c>
      <c r="C3723" s="3">
        <v>-1.1069916479067501</v>
      </c>
      <c r="D3723" s="3">
        <v>0.16659407684635499</v>
      </c>
      <c r="E3723" s="3">
        <v>-6.64484397562161</v>
      </c>
      <c r="F3723" s="4">
        <v>3.03538440406378E-11</v>
      </c>
      <c r="G3723" s="4">
        <v>5.0770484258763599E-10</v>
      </c>
      <c r="H3723" s="3" t="str">
        <f>"EIF4B"</f>
        <v>EIF4B</v>
      </c>
      <c r="I3723" s="3" t="str">
        <f t="shared" si="176"/>
        <v>protein_coding</v>
      </c>
    </row>
    <row r="3724" spans="1:9" x14ac:dyDescent="0.2">
      <c r="A3724" s="3" t="str">
        <f>"ENSG00000167780.12"</f>
        <v>ENSG00000167780.12</v>
      </c>
      <c r="B3724" s="3">
        <v>538.67779208960405</v>
      </c>
      <c r="C3724" s="3">
        <v>-3.1253623872813501</v>
      </c>
      <c r="D3724" s="3">
        <v>0.25323187417211401</v>
      </c>
      <c r="E3724" s="3">
        <v>-12.3418996818589</v>
      </c>
      <c r="F3724" s="4">
        <v>5.3869667248435804E-35</v>
      </c>
      <c r="G3724" s="4">
        <v>5.6022397844203499E-33</v>
      </c>
      <c r="H3724" s="3" t="str">
        <f>"SOAT2"</f>
        <v>SOAT2</v>
      </c>
      <c r="I3724" s="3" t="str">
        <f t="shared" si="176"/>
        <v>protein_coding</v>
      </c>
    </row>
    <row r="3725" spans="1:9" x14ac:dyDescent="0.2">
      <c r="A3725" s="3" t="str">
        <f>"ENSG00000172819.17"</f>
        <v>ENSG00000172819.17</v>
      </c>
      <c r="B3725" s="3">
        <v>133.06667314812299</v>
      </c>
      <c r="C3725" s="3">
        <v>-1.9989633674235801</v>
      </c>
      <c r="D3725" s="3">
        <v>0.34767736854276099</v>
      </c>
      <c r="E3725" s="3">
        <v>-5.7494779594137402</v>
      </c>
      <c r="F3725" s="4">
        <v>8.9519421469911192E-9</v>
      </c>
      <c r="G3725" s="4">
        <v>1.06979634946959E-7</v>
      </c>
      <c r="H3725" s="3" t="str">
        <f>"RARG"</f>
        <v>RARG</v>
      </c>
      <c r="I3725" s="3" t="str">
        <f t="shared" si="176"/>
        <v>protein_coding</v>
      </c>
    </row>
    <row r="3726" spans="1:9" x14ac:dyDescent="0.2">
      <c r="A3726" s="3" t="str">
        <f>"ENSG00000094914.13"</f>
        <v>ENSG00000094914.13</v>
      </c>
      <c r="B3726" s="3">
        <v>1475.4418071498901</v>
      </c>
      <c r="C3726" s="3">
        <v>-1.4465887385581599</v>
      </c>
      <c r="D3726" s="3">
        <v>0.20381232227080701</v>
      </c>
      <c r="E3726" s="3">
        <v>-7.0976510273803299</v>
      </c>
      <c r="F3726" s="4">
        <v>1.26895106126132E-12</v>
      </c>
      <c r="G3726" s="4">
        <v>2.4820609882403E-11</v>
      </c>
      <c r="H3726" s="3" t="str">
        <f>"AAAS"</f>
        <v>AAAS</v>
      </c>
      <c r="I3726" s="3" t="str">
        <f t="shared" si="176"/>
        <v>protein_coding</v>
      </c>
    </row>
    <row r="3727" spans="1:9" x14ac:dyDescent="0.2">
      <c r="A3727" s="3" t="str">
        <f>"ENSG00000135409.11"</f>
        <v>ENSG00000135409.11</v>
      </c>
      <c r="B3727" s="3">
        <v>12.862004195510099</v>
      </c>
      <c r="C3727" s="3">
        <v>-4.1367519121924303</v>
      </c>
      <c r="D3727" s="3">
        <v>1.2574306301434299</v>
      </c>
      <c r="E3727" s="3">
        <v>-3.28984503242186</v>
      </c>
      <c r="F3727" s="3">
        <v>1.0024257374539401E-3</v>
      </c>
      <c r="G3727" s="3">
        <v>4.4289109888775097E-3</v>
      </c>
      <c r="H3727" s="3" t="str">
        <f>"AMHR2"</f>
        <v>AMHR2</v>
      </c>
      <c r="I3727" s="3" t="str">
        <f t="shared" si="176"/>
        <v>protein_coding</v>
      </c>
    </row>
    <row r="3728" spans="1:9" x14ac:dyDescent="0.2">
      <c r="A3728" s="3" t="str">
        <f>"ENSG00000205352.11"</f>
        <v>ENSG00000205352.11</v>
      </c>
      <c r="B3728" s="3">
        <v>1508.6787737160701</v>
      </c>
      <c r="C3728" s="3">
        <v>1.0434922919546501</v>
      </c>
      <c r="D3728" s="3">
        <v>0.19675343027036099</v>
      </c>
      <c r="E3728" s="3">
        <v>5.3035532367632898</v>
      </c>
      <c r="F3728" s="4">
        <v>1.13570063078215E-7</v>
      </c>
      <c r="G3728" s="4">
        <v>1.14397172225218E-6</v>
      </c>
      <c r="H3728" s="3" t="str">
        <f>"PRR13"</f>
        <v>PRR13</v>
      </c>
      <c r="I3728" s="3" t="str">
        <f t="shared" si="176"/>
        <v>protein_coding</v>
      </c>
    </row>
    <row r="3729" spans="1:9" x14ac:dyDescent="0.2">
      <c r="A3729" s="3" t="str">
        <f>"ENSG00000139625.13"</f>
        <v>ENSG00000139625.13</v>
      </c>
      <c r="B3729" s="3">
        <v>217.157357794121</v>
      </c>
      <c r="C3729" s="3">
        <v>5.2144803763733201</v>
      </c>
      <c r="D3729" s="3">
        <v>0.42898987266854999</v>
      </c>
      <c r="E3729" s="3">
        <v>12.1552528593191</v>
      </c>
      <c r="F3729" s="4">
        <v>5.3795087057765299E-34</v>
      </c>
      <c r="G3729" s="4">
        <v>5.3107055690685905E-32</v>
      </c>
      <c r="H3729" s="3" t="str">
        <f>"MAP3K12"</f>
        <v>MAP3K12</v>
      </c>
      <c r="I3729" s="3" t="str">
        <f t="shared" si="176"/>
        <v>protein_coding</v>
      </c>
    </row>
    <row r="3730" spans="1:9" x14ac:dyDescent="0.2">
      <c r="A3730" s="3" t="str">
        <f>"ENSG00000012822.16"</f>
        <v>ENSG00000012822.16</v>
      </c>
      <c r="B3730" s="3">
        <v>894.73739415773503</v>
      </c>
      <c r="C3730" s="3">
        <v>2.1341556122863699</v>
      </c>
      <c r="D3730" s="3">
        <v>0.22996352874180701</v>
      </c>
      <c r="E3730" s="3">
        <v>9.2804090455687298</v>
      </c>
      <c r="F3730" s="4">
        <v>1.6882916136509201E-20</v>
      </c>
      <c r="G3730" s="4">
        <v>6.84536928528966E-19</v>
      </c>
      <c r="H3730" s="3" t="str">
        <f>"CALCOCO1"</f>
        <v>CALCOCO1</v>
      </c>
      <c r="I3730" s="3" t="str">
        <f t="shared" si="176"/>
        <v>protein_coding</v>
      </c>
    </row>
    <row r="3731" spans="1:9" x14ac:dyDescent="0.2">
      <c r="A3731" s="3" t="str">
        <f>"ENSG00000249641.2"</f>
        <v>ENSG00000249641.2</v>
      </c>
      <c r="B3731" s="3">
        <v>37.214341572207502</v>
      </c>
      <c r="C3731" s="3">
        <v>8.6133999691525798</v>
      </c>
      <c r="D3731" s="3">
        <v>1.5420255135297201</v>
      </c>
      <c r="E3731" s="3">
        <v>5.5857700755134703</v>
      </c>
      <c r="F3731" s="4">
        <v>2.3266689578837302E-8</v>
      </c>
      <c r="G3731" s="4">
        <v>2.6348607271595098E-7</v>
      </c>
      <c r="H3731" s="3" t="str">
        <f>"HOXC13-AS"</f>
        <v>HOXC13-AS</v>
      </c>
      <c r="I3731" s="3" t="str">
        <f>"antisense"</f>
        <v>antisense</v>
      </c>
    </row>
    <row r="3732" spans="1:9" x14ac:dyDescent="0.2">
      <c r="A3732" s="3" t="str">
        <f>"ENSG00000123364.5"</f>
        <v>ENSG00000123364.5</v>
      </c>
      <c r="B3732" s="3">
        <v>50.299142845359299</v>
      </c>
      <c r="C3732" s="3">
        <v>3.2982344260213301</v>
      </c>
      <c r="D3732" s="3">
        <v>0.57323156235820205</v>
      </c>
      <c r="E3732" s="3">
        <v>5.7537557988831001</v>
      </c>
      <c r="F3732" s="4">
        <v>8.7282213865806306E-9</v>
      </c>
      <c r="G3732" s="4">
        <v>1.0448938845349799E-7</v>
      </c>
      <c r="H3732" s="3" t="str">
        <f>"HOXC13"</f>
        <v>HOXC13</v>
      </c>
      <c r="I3732" s="3" t="str">
        <f>"protein_coding"</f>
        <v>protein_coding</v>
      </c>
    </row>
    <row r="3733" spans="1:9" x14ac:dyDescent="0.2">
      <c r="A3733" s="3" t="str">
        <f>"ENSG00000180806.5"</f>
        <v>ENSG00000180806.5</v>
      </c>
      <c r="B3733" s="3">
        <v>68.597594103426005</v>
      </c>
      <c r="C3733" s="3">
        <v>-1.50377150826505</v>
      </c>
      <c r="D3733" s="3">
        <v>0.47133785199570399</v>
      </c>
      <c r="E3733" s="3">
        <v>-3.1904323022178001</v>
      </c>
      <c r="F3733" s="3">
        <v>1.42060118919962E-3</v>
      </c>
      <c r="G3733" s="3">
        <v>6.0020345173084199E-3</v>
      </c>
      <c r="H3733" s="3" t="str">
        <f>"HOXC9"</f>
        <v>HOXC9</v>
      </c>
      <c r="I3733" s="3" t="str">
        <f>"protein_coding"</f>
        <v>protein_coding</v>
      </c>
    </row>
    <row r="3734" spans="1:9" x14ac:dyDescent="0.2">
      <c r="A3734" s="3" t="str">
        <f>"ENSG00000250742.3"</f>
        <v>ENSG00000250742.3</v>
      </c>
      <c r="B3734" s="3">
        <v>157.903470924445</v>
      </c>
      <c r="C3734" s="3">
        <v>-2.9724721897477102</v>
      </c>
      <c r="D3734" s="3">
        <v>0.34073140836837601</v>
      </c>
      <c r="E3734" s="3">
        <v>-8.7237986189229506</v>
      </c>
      <c r="F3734" s="4">
        <v>2.6902135924981702E-18</v>
      </c>
      <c r="G3734" s="4">
        <v>8.9281668398048402E-17</v>
      </c>
      <c r="H3734" s="3" t="str">
        <f>"LINC02381"</f>
        <v>LINC02381</v>
      </c>
      <c r="I3734" s="3" t="str">
        <f>"lincRNA"</f>
        <v>lincRNA</v>
      </c>
    </row>
    <row r="3735" spans="1:9" x14ac:dyDescent="0.2">
      <c r="A3735" s="3" t="str">
        <f>"ENSG00000094916.16"</f>
        <v>ENSG00000094916.16</v>
      </c>
      <c r="B3735" s="3">
        <v>3404.1161178564598</v>
      </c>
      <c r="C3735" s="3">
        <v>1.35431559866633</v>
      </c>
      <c r="D3735" s="3">
        <v>0.18703003005969401</v>
      </c>
      <c r="E3735" s="3">
        <v>7.24116655616253</v>
      </c>
      <c r="F3735" s="4">
        <v>4.4484169446619601E-13</v>
      </c>
      <c r="G3735" s="4">
        <v>9.2382634520735005E-12</v>
      </c>
      <c r="H3735" s="3" t="str">
        <f>"CBX5"</f>
        <v>CBX5</v>
      </c>
      <c r="I3735" s="3" t="str">
        <f>"protein_coding"</f>
        <v>protein_coding</v>
      </c>
    </row>
    <row r="3736" spans="1:9" x14ac:dyDescent="0.2">
      <c r="A3736" s="3" t="str">
        <f>"ENSG00000123405.14"</f>
        <v>ENSG00000123405.14</v>
      </c>
      <c r="B3736" s="3">
        <v>56.111431168004501</v>
      </c>
      <c r="C3736" s="3">
        <v>-2.9477613820388999</v>
      </c>
      <c r="D3736" s="3">
        <v>0.52527210884280295</v>
      </c>
      <c r="E3736" s="3">
        <v>-5.6118749357032103</v>
      </c>
      <c r="F3736" s="4">
        <v>2.0014607305277799E-8</v>
      </c>
      <c r="G3736" s="4">
        <v>2.2865325167585099E-7</v>
      </c>
      <c r="H3736" s="3" t="str">
        <f>"NFE2"</f>
        <v>NFE2</v>
      </c>
      <c r="I3736" s="3" t="str">
        <f>"protein_coding"</f>
        <v>protein_coding</v>
      </c>
    </row>
    <row r="3737" spans="1:9" x14ac:dyDescent="0.2">
      <c r="A3737" s="3" t="str">
        <f>"ENSG00000161642.17"</f>
        <v>ENSG00000161642.17</v>
      </c>
      <c r="B3737" s="3">
        <v>1634.4319359108199</v>
      </c>
      <c r="C3737" s="3">
        <v>4.77435589723658</v>
      </c>
      <c r="D3737" s="3">
        <v>0.22283310295502401</v>
      </c>
      <c r="E3737" s="3">
        <v>21.4257030662102</v>
      </c>
      <c r="F3737" s="4">
        <v>7.6964123334300697E-102</v>
      </c>
      <c r="G3737" s="4">
        <v>9.1175716021290906E-99</v>
      </c>
      <c r="H3737" s="3" t="str">
        <f>"ZNF385A"</f>
        <v>ZNF385A</v>
      </c>
      <c r="I3737" s="3" t="str">
        <f>"protein_coding"</f>
        <v>protein_coding</v>
      </c>
    </row>
    <row r="3738" spans="1:9" x14ac:dyDescent="0.2">
      <c r="A3738" s="3" t="str">
        <f>"ENSG00000179899.8"</f>
        <v>ENSG00000179899.8</v>
      </c>
      <c r="B3738" s="3">
        <v>269.18764232457602</v>
      </c>
      <c r="C3738" s="3">
        <v>1.04232989331363</v>
      </c>
      <c r="D3738" s="3">
        <v>0.27514607065192997</v>
      </c>
      <c r="E3738" s="3">
        <v>3.7882783164736402</v>
      </c>
      <c r="F3738" s="3">
        <v>1.5169486230620199E-4</v>
      </c>
      <c r="G3738" s="3">
        <v>8.3348052293952301E-4</v>
      </c>
      <c r="H3738" s="3" t="str">
        <f>"PHC1P1"</f>
        <v>PHC1P1</v>
      </c>
      <c r="I3738" s="3" t="str">
        <f>"processed_pseudogene"</f>
        <v>processed_pseudogene</v>
      </c>
    </row>
    <row r="3739" spans="1:9" x14ac:dyDescent="0.2">
      <c r="A3739" s="3" t="str">
        <f>"ENSG00000170439.7"</f>
        <v>ENSG00000170439.7</v>
      </c>
      <c r="B3739" s="3">
        <v>172.74498981143299</v>
      </c>
      <c r="C3739" s="3">
        <v>-1.9946957787131701</v>
      </c>
      <c r="D3739" s="3">
        <v>0.341395919006446</v>
      </c>
      <c r="E3739" s="3">
        <v>-5.8427639806540901</v>
      </c>
      <c r="F3739" s="4">
        <v>5.1341735196254396E-9</v>
      </c>
      <c r="G3739" s="4">
        <v>6.3586739040561104E-8</v>
      </c>
      <c r="H3739" s="3" t="str">
        <f>"METTL7B"</f>
        <v>METTL7B</v>
      </c>
      <c r="I3739" s="3" t="str">
        <f t="shared" ref="I3739:I3749" si="177">"protein_coding"</f>
        <v>protein_coding</v>
      </c>
    </row>
    <row r="3740" spans="1:9" x14ac:dyDescent="0.2">
      <c r="A3740" s="3" t="str">
        <f>"ENSG00000123353.10"</f>
        <v>ENSG00000123353.10</v>
      </c>
      <c r="B3740" s="3">
        <v>975.40757426167397</v>
      </c>
      <c r="C3740" s="3">
        <v>1.7726823320518701</v>
      </c>
      <c r="D3740" s="3">
        <v>0.21276149818354601</v>
      </c>
      <c r="E3740" s="3">
        <v>8.3317815825991506</v>
      </c>
      <c r="F3740" s="4">
        <v>7.9634766237434103E-17</v>
      </c>
      <c r="G3740" s="4">
        <v>2.3533714486674301E-15</v>
      </c>
      <c r="H3740" s="3" t="str">
        <f>"ORMDL2"</f>
        <v>ORMDL2</v>
      </c>
      <c r="I3740" s="3" t="str">
        <f t="shared" si="177"/>
        <v>protein_coding</v>
      </c>
    </row>
    <row r="3741" spans="1:9" x14ac:dyDescent="0.2">
      <c r="A3741" s="3" t="str">
        <f>"ENSG00000065357.20"</f>
        <v>ENSG00000065357.20</v>
      </c>
      <c r="B3741" s="3">
        <v>1528.5452560014701</v>
      </c>
      <c r="C3741" s="3">
        <v>4.0764141992851801</v>
      </c>
      <c r="D3741" s="3">
        <v>0.20806236528414701</v>
      </c>
      <c r="E3741" s="3">
        <v>19.592270777649201</v>
      </c>
      <c r="F3741" s="4">
        <v>1.7998096612273101E-85</v>
      </c>
      <c r="G3741" s="4">
        <v>1.4011261096988699E-82</v>
      </c>
      <c r="H3741" s="3" t="str">
        <f>"DGKA"</f>
        <v>DGKA</v>
      </c>
      <c r="I3741" s="3" t="str">
        <f t="shared" si="177"/>
        <v>protein_coding</v>
      </c>
    </row>
    <row r="3742" spans="1:9" x14ac:dyDescent="0.2">
      <c r="A3742" s="3" t="str">
        <f>"ENSG00000185664.14"</f>
        <v>ENSG00000185664.14</v>
      </c>
      <c r="B3742" s="3">
        <v>44.186862584771298</v>
      </c>
      <c r="C3742" s="3">
        <v>1.6662842056476601</v>
      </c>
      <c r="D3742" s="3">
        <v>0.54073134801406597</v>
      </c>
      <c r="E3742" s="3">
        <v>3.0815380165536701</v>
      </c>
      <c r="F3742" s="3">
        <v>2.0593417792647501E-3</v>
      </c>
      <c r="G3742" s="3">
        <v>8.2661881938165295E-3</v>
      </c>
      <c r="H3742" s="3" t="str">
        <f>"PMEL"</f>
        <v>PMEL</v>
      </c>
      <c r="I3742" s="3" t="str">
        <f t="shared" si="177"/>
        <v>protein_coding</v>
      </c>
    </row>
    <row r="3743" spans="1:9" x14ac:dyDescent="0.2">
      <c r="A3743" s="3" t="str">
        <f>"ENSG00000123374.11"</f>
        <v>ENSG00000123374.11</v>
      </c>
      <c r="B3743" s="3">
        <v>1194.77692041251</v>
      </c>
      <c r="C3743" s="3">
        <v>-1.0996553151811701</v>
      </c>
      <c r="D3743" s="3">
        <v>0.19934216839729499</v>
      </c>
      <c r="E3743" s="3">
        <v>-5.5164209560995596</v>
      </c>
      <c r="F3743" s="4">
        <v>3.45972988562868E-8</v>
      </c>
      <c r="G3743" s="4">
        <v>3.8041670780357098E-7</v>
      </c>
      <c r="H3743" s="3" t="str">
        <f>"CDK2"</f>
        <v>CDK2</v>
      </c>
      <c r="I3743" s="3" t="str">
        <f t="shared" si="177"/>
        <v>protein_coding</v>
      </c>
    </row>
    <row r="3744" spans="1:9" x14ac:dyDescent="0.2">
      <c r="A3744" s="3" t="str">
        <f>"ENSG00000139531.13"</f>
        <v>ENSG00000139531.13</v>
      </c>
      <c r="B3744" s="3">
        <v>635.62431339938701</v>
      </c>
      <c r="C3744" s="3">
        <v>-1.3925396851828</v>
      </c>
      <c r="D3744" s="3">
        <v>0.229800079074195</v>
      </c>
      <c r="E3744" s="3">
        <v>-6.0597876675803901</v>
      </c>
      <c r="F3744" s="4">
        <v>1.3630135591916799E-9</v>
      </c>
      <c r="G3744" s="4">
        <v>1.82227823588301E-8</v>
      </c>
      <c r="H3744" s="3" t="str">
        <f>"SUOX"</f>
        <v>SUOX</v>
      </c>
      <c r="I3744" s="3" t="str">
        <f t="shared" si="177"/>
        <v>protein_coding</v>
      </c>
    </row>
    <row r="3745" spans="1:9" x14ac:dyDescent="0.2">
      <c r="A3745" s="3" t="str">
        <f>"ENSG00000123411.15"</f>
        <v>ENSG00000123411.15</v>
      </c>
      <c r="B3745" s="3">
        <v>229.36146391598299</v>
      </c>
      <c r="C3745" s="3">
        <v>-1.0236013637878101</v>
      </c>
      <c r="D3745" s="3">
        <v>0.27521896223236803</v>
      </c>
      <c r="E3745" s="3">
        <v>-3.7192254323071801</v>
      </c>
      <c r="F3745" s="3">
        <v>1.9983464188484399E-4</v>
      </c>
      <c r="G3745" s="3">
        <v>1.06595428493272E-3</v>
      </c>
      <c r="H3745" s="3" t="str">
        <f>"IKZF4"</f>
        <v>IKZF4</v>
      </c>
      <c r="I3745" s="3" t="str">
        <f t="shared" si="177"/>
        <v>protein_coding</v>
      </c>
    </row>
    <row r="3746" spans="1:9" x14ac:dyDescent="0.2">
      <c r="A3746" s="3" t="str">
        <f>"ENSG00000065361.15"</f>
        <v>ENSG00000065361.15</v>
      </c>
      <c r="B3746" s="3">
        <v>7532.2459536653396</v>
      </c>
      <c r="C3746" s="3">
        <v>-1.6888990139384299</v>
      </c>
      <c r="D3746" s="3">
        <v>0.174654015050763</v>
      </c>
      <c r="E3746" s="3">
        <v>-9.66996958785945</v>
      </c>
      <c r="F3746" s="4">
        <v>4.0449826517488198E-22</v>
      </c>
      <c r="G3746" s="4">
        <v>1.8399606396026699E-20</v>
      </c>
      <c r="H3746" s="3" t="str">
        <f>"ERBB3"</f>
        <v>ERBB3</v>
      </c>
      <c r="I3746" s="3" t="str">
        <f t="shared" si="177"/>
        <v>protein_coding</v>
      </c>
    </row>
    <row r="3747" spans="1:9" x14ac:dyDescent="0.2">
      <c r="A3747" s="3" t="str">
        <f>"ENSG00000139540.12"</f>
        <v>ENSG00000139540.12</v>
      </c>
      <c r="B3747" s="3">
        <v>523.82241224762595</v>
      </c>
      <c r="C3747" s="3">
        <v>-2.3856724607798498</v>
      </c>
      <c r="D3747" s="3">
        <v>0.30006928636525798</v>
      </c>
      <c r="E3747" s="3">
        <v>-7.9504053536352304</v>
      </c>
      <c r="F3747" s="4">
        <v>1.85902222637834E-15</v>
      </c>
      <c r="G3747" s="4">
        <v>4.8471558470938302E-14</v>
      </c>
      <c r="H3747" s="3" t="str">
        <f>"SLC39A5"</f>
        <v>SLC39A5</v>
      </c>
      <c r="I3747" s="3" t="str">
        <f t="shared" si="177"/>
        <v>protein_coding</v>
      </c>
    </row>
    <row r="3748" spans="1:9" x14ac:dyDescent="0.2">
      <c r="A3748" s="3" t="str">
        <f>"ENSG00000139645.10"</f>
        <v>ENSG00000139645.10</v>
      </c>
      <c r="B3748" s="3">
        <v>3447.9655562581902</v>
      </c>
      <c r="C3748" s="3">
        <v>-1.18190883460389</v>
      </c>
      <c r="D3748" s="3">
        <v>0.20911747259639099</v>
      </c>
      <c r="E3748" s="3">
        <v>-5.65188943768963</v>
      </c>
      <c r="F3748" s="4">
        <v>1.58693659562633E-8</v>
      </c>
      <c r="G3748" s="4">
        <v>1.8352827428281201E-7</v>
      </c>
      <c r="H3748" s="3" t="str">
        <f>"ANKRD52"</f>
        <v>ANKRD52</v>
      </c>
      <c r="I3748" s="3" t="str">
        <f t="shared" si="177"/>
        <v>protein_coding</v>
      </c>
    </row>
    <row r="3749" spans="1:9" x14ac:dyDescent="0.2">
      <c r="A3749" s="3" t="str">
        <f>"ENSG00000062485.19"</f>
        <v>ENSG00000062485.19</v>
      </c>
      <c r="B3749" s="3">
        <v>6312.5145227335097</v>
      </c>
      <c r="C3749" s="3">
        <v>-1.0022836274079301</v>
      </c>
      <c r="D3749" s="3">
        <v>0.17155634056800101</v>
      </c>
      <c r="E3749" s="3">
        <v>-5.8423001102116103</v>
      </c>
      <c r="F3749" s="4">
        <v>5.1484946263803098E-9</v>
      </c>
      <c r="G3749" s="4">
        <v>6.3735135431614805E-8</v>
      </c>
      <c r="H3749" s="3" t="str">
        <f>"CS"</f>
        <v>CS</v>
      </c>
      <c r="I3749" s="3" t="str">
        <f t="shared" si="177"/>
        <v>protein_coding</v>
      </c>
    </row>
    <row r="3750" spans="1:9" x14ac:dyDescent="0.2">
      <c r="A3750" s="3" t="str">
        <f>"ENSG00000257303.1"</f>
        <v>ENSG00000257303.1</v>
      </c>
      <c r="B3750" s="3">
        <v>16.590365402105299</v>
      </c>
      <c r="C3750" s="3">
        <v>-2.21851933040081</v>
      </c>
      <c r="D3750" s="3">
        <v>0.91736448472279697</v>
      </c>
      <c r="E3750" s="3">
        <v>-2.4183619132270899</v>
      </c>
      <c r="F3750" s="3">
        <v>1.55905617178767E-2</v>
      </c>
      <c r="G3750" s="3">
        <v>4.6041455193661797E-2</v>
      </c>
      <c r="H3750" s="3" t="str">
        <f>"AC073896.2"</f>
        <v>AC073896.2</v>
      </c>
      <c r="I3750" s="3" t="str">
        <f>"antisense"</f>
        <v>antisense</v>
      </c>
    </row>
    <row r="3751" spans="1:9" x14ac:dyDescent="0.2">
      <c r="A3751" s="3" t="str">
        <f>"ENSG00000175336.10"</f>
        <v>ENSG00000175336.10</v>
      </c>
      <c r="B3751" s="3">
        <v>77.823654208760104</v>
      </c>
      <c r="C3751" s="3">
        <v>-2.1939974165369902</v>
      </c>
      <c r="D3751" s="3">
        <v>0.43346731111390102</v>
      </c>
      <c r="E3751" s="3">
        <v>-5.0615060473625402</v>
      </c>
      <c r="F3751" s="4">
        <v>4.1595754357474299E-7</v>
      </c>
      <c r="G3751" s="4">
        <v>3.8096118284978199E-6</v>
      </c>
      <c r="H3751" s="3" t="str">
        <f>"APOF"</f>
        <v>APOF</v>
      </c>
      <c r="I3751" s="3" t="str">
        <f>"protein_coding"</f>
        <v>protein_coding</v>
      </c>
    </row>
    <row r="3752" spans="1:9" x14ac:dyDescent="0.2">
      <c r="A3752" s="3" t="str">
        <f>"ENSG00000135423.13"</f>
        <v>ENSG00000135423.13</v>
      </c>
      <c r="B3752" s="3">
        <v>2739.7478368072898</v>
      </c>
      <c r="C3752" s="3">
        <v>3.8620112640813602</v>
      </c>
      <c r="D3752" s="3">
        <v>0.222994046602248</v>
      </c>
      <c r="E3752" s="3">
        <v>17.318898521851501</v>
      </c>
      <c r="F3752" s="4">
        <v>3.3878041094613401E-67</v>
      </c>
      <c r="G3752" s="4">
        <v>1.24739862933099E-64</v>
      </c>
      <c r="H3752" s="3" t="str">
        <f>"GLS2"</f>
        <v>GLS2</v>
      </c>
      <c r="I3752" s="3" t="str">
        <f>"protein_coding"</f>
        <v>protein_coding</v>
      </c>
    </row>
    <row r="3753" spans="1:9" x14ac:dyDescent="0.2">
      <c r="A3753" s="3" t="str">
        <f>"ENSG00000076067.13"</f>
        <v>ENSG00000076067.13</v>
      </c>
      <c r="B3753" s="3">
        <v>627.85239803839897</v>
      </c>
      <c r="C3753" s="3">
        <v>-1.2234292604883801</v>
      </c>
      <c r="D3753" s="3">
        <v>0.216685439946045</v>
      </c>
      <c r="E3753" s="3">
        <v>-5.6461073747872303</v>
      </c>
      <c r="F3753" s="4">
        <v>1.64121364511059E-8</v>
      </c>
      <c r="G3753" s="4">
        <v>1.8932323534431999E-7</v>
      </c>
      <c r="H3753" s="3" t="str">
        <f>"RBMS2"</f>
        <v>RBMS2</v>
      </c>
      <c r="I3753" s="3" t="str">
        <f>"protein_coding"</f>
        <v>protein_coding</v>
      </c>
    </row>
    <row r="3754" spans="1:9" x14ac:dyDescent="0.2">
      <c r="A3754" s="3" t="str">
        <f>"ENSG00000166866.13"</f>
        <v>ENSG00000166866.13</v>
      </c>
      <c r="B3754" s="3">
        <v>61.716464699118099</v>
      </c>
      <c r="C3754" s="3">
        <v>-1.3992709139636199</v>
      </c>
      <c r="D3754" s="3">
        <v>0.46065716598650802</v>
      </c>
      <c r="E3754" s="3">
        <v>-3.0375537759562401</v>
      </c>
      <c r="F3754" s="3">
        <v>2.3850684443012401E-3</v>
      </c>
      <c r="G3754" s="3">
        <v>9.3696671284480403E-3</v>
      </c>
      <c r="H3754" s="3" t="str">
        <f>"MYO1A"</f>
        <v>MYO1A</v>
      </c>
      <c r="I3754" s="3" t="str">
        <f>"protein_coding"</f>
        <v>protein_coding</v>
      </c>
    </row>
    <row r="3755" spans="1:9" x14ac:dyDescent="0.2">
      <c r="A3755" s="3" t="str">
        <f>"ENSG00000182379.10"</f>
        <v>ENSG00000182379.10</v>
      </c>
      <c r="B3755" s="3">
        <v>53.003974284536802</v>
      </c>
      <c r="C3755" s="3">
        <v>3.13186638109865</v>
      </c>
      <c r="D3755" s="3">
        <v>0.55152988363306898</v>
      </c>
      <c r="E3755" s="3">
        <v>5.6785071381232104</v>
      </c>
      <c r="F3755" s="4">
        <v>1.35875364304888E-8</v>
      </c>
      <c r="G3755" s="4">
        <v>1.5882436942150499E-7</v>
      </c>
      <c r="H3755" s="3" t="str">
        <f>"NXPH4"</f>
        <v>NXPH4</v>
      </c>
      <c r="I3755" s="3" t="str">
        <f>"protein_coding"</f>
        <v>protein_coding</v>
      </c>
    </row>
    <row r="3756" spans="1:9" x14ac:dyDescent="0.2">
      <c r="A3756" s="3" t="str">
        <f>"ENSG00000276727.1"</f>
        <v>ENSG00000276727.1</v>
      </c>
      <c r="B3756" s="3">
        <v>12.0117012723797</v>
      </c>
      <c r="C3756" s="3">
        <v>-2.9134564363739401</v>
      </c>
      <c r="D3756" s="3">
        <v>1.0758856110916</v>
      </c>
      <c r="E3756" s="3">
        <v>-2.7079611497154601</v>
      </c>
      <c r="F3756" s="3">
        <v>6.7697946675504004E-3</v>
      </c>
      <c r="G3756" s="3">
        <v>2.2930954165433299E-2</v>
      </c>
      <c r="H3756" s="3" t="str">
        <f>"AC137834.2"</f>
        <v>AC137834.2</v>
      </c>
      <c r="I3756" s="3" t="str">
        <f>"antisense"</f>
        <v>antisense</v>
      </c>
    </row>
    <row r="3757" spans="1:9" x14ac:dyDescent="0.2">
      <c r="A3757" s="3" t="str">
        <f>"ENSG00000182199.11"</f>
        <v>ENSG00000182199.11</v>
      </c>
      <c r="B3757" s="3">
        <v>6084.7864286761796</v>
      </c>
      <c r="C3757" s="3">
        <v>-2.0950891190256198</v>
      </c>
      <c r="D3757" s="3">
        <v>0.19295614612383799</v>
      </c>
      <c r="E3757" s="3">
        <v>-10.857851180760001</v>
      </c>
      <c r="F3757" s="4">
        <v>1.8300478130147399E-27</v>
      </c>
      <c r="G3757" s="4">
        <v>1.2044278444737299E-25</v>
      </c>
      <c r="H3757" s="3" t="str">
        <f>"SHMT2"</f>
        <v>SHMT2</v>
      </c>
      <c r="I3757" s="3" t="str">
        <f t="shared" ref="I3757:I3769" si="178">"protein_coding"</f>
        <v>protein_coding</v>
      </c>
    </row>
    <row r="3758" spans="1:9" x14ac:dyDescent="0.2">
      <c r="A3758" s="3" t="str">
        <f>"ENSG00000175189.4"</f>
        <v>ENSG00000175189.4</v>
      </c>
      <c r="B3758" s="3">
        <v>103.34045645897299</v>
      </c>
      <c r="C3758" s="3">
        <v>-1.5009713778287901</v>
      </c>
      <c r="D3758" s="3">
        <v>0.38129163136225203</v>
      </c>
      <c r="E3758" s="3">
        <v>-3.9365442468963301</v>
      </c>
      <c r="F3758" s="4">
        <v>8.2663384530922706E-5</v>
      </c>
      <c r="G3758" s="3">
        <v>4.8281441335778201E-4</v>
      </c>
      <c r="H3758" s="3" t="str">
        <f>"INHBC"</f>
        <v>INHBC</v>
      </c>
      <c r="I3758" s="3" t="str">
        <f t="shared" si="178"/>
        <v>protein_coding</v>
      </c>
    </row>
    <row r="3759" spans="1:9" x14ac:dyDescent="0.2">
      <c r="A3759" s="3" t="str">
        <f>"ENSG00000139269.3"</f>
        <v>ENSG00000139269.3</v>
      </c>
      <c r="B3759" s="3">
        <v>386.18314216724099</v>
      </c>
      <c r="C3759" s="3">
        <v>-3.7156164100708602</v>
      </c>
      <c r="D3759" s="3">
        <v>0.27281706369122</v>
      </c>
      <c r="E3759" s="3">
        <v>-13.6194428596162</v>
      </c>
      <c r="F3759" s="4">
        <v>3.0690004033376503E-42</v>
      </c>
      <c r="G3759" s="4">
        <v>4.7243533327537197E-40</v>
      </c>
      <c r="H3759" s="3" t="str">
        <f>"INHBE"</f>
        <v>INHBE</v>
      </c>
      <c r="I3759" s="3" t="str">
        <f t="shared" si="178"/>
        <v>protein_coding</v>
      </c>
    </row>
    <row r="3760" spans="1:9" x14ac:dyDescent="0.2">
      <c r="A3760" s="3" t="str">
        <f>"ENSG00000166986.15"</f>
        <v>ENSG00000166986.15</v>
      </c>
      <c r="B3760" s="3">
        <v>5046.4025698187697</v>
      </c>
      <c r="C3760" s="3">
        <v>-1.3318826277976701</v>
      </c>
      <c r="D3760" s="3">
        <v>0.18434200783486701</v>
      </c>
      <c r="E3760" s="3">
        <v>-7.2250630414678296</v>
      </c>
      <c r="F3760" s="4">
        <v>5.0086943291641597E-13</v>
      </c>
      <c r="G3760" s="4">
        <v>1.03466182249231E-11</v>
      </c>
      <c r="H3760" s="3" t="str">
        <f>"MARS"</f>
        <v>MARS</v>
      </c>
      <c r="I3760" s="3" t="str">
        <f t="shared" si="178"/>
        <v>protein_coding</v>
      </c>
    </row>
    <row r="3761" spans="1:9" x14ac:dyDescent="0.2">
      <c r="A3761" s="3" t="str">
        <f>"ENSG00000155980.12"</f>
        <v>ENSG00000155980.12</v>
      </c>
      <c r="B3761" s="3">
        <v>408.27927743392002</v>
      </c>
      <c r="C3761" s="3">
        <v>-1.6476876938915399</v>
      </c>
      <c r="D3761" s="3">
        <v>0.246030968149168</v>
      </c>
      <c r="E3761" s="3">
        <v>-6.6970743816792604</v>
      </c>
      <c r="F3761" s="4">
        <v>2.1263340705875001E-11</v>
      </c>
      <c r="G3761" s="4">
        <v>3.6124657419794997E-10</v>
      </c>
      <c r="H3761" s="3" t="str">
        <f>"KIF5A"</f>
        <v>KIF5A</v>
      </c>
      <c r="I3761" s="3" t="str">
        <f t="shared" si="178"/>
        <v>protein_coding</v>
      </c>
    </row>
    <row r="3762" spans="1:9" x14ac:dyDescent="0.2">
      <c r="A3762" s="3" t="str">
        <f>"ENSG00000240771.7"</f>
        <v>ENSG00000240771.7</v>
      </c>
      <c r="B3762" s="3">
        <v>637.84129541184404</v>
      </c>
      <c r="C3762" s="3">
        <v>-1.86275559949391</v>
      </c>
      <c r="D3762" s="3">
        <v>0.21774568629511101</v>
      </c>
      <c r="E3762" s="3">
        <v>-8.5547302047091502</v>
      </c>
      <c r="F3762" s="4">
        <v>1.1814472573741E-17</v>
      </c>
      <c r="G3762" s="4">
        <v>3.7257978497305702E-16</v>
      </c>
      <c r="H3762" s="3" t="str">
        <f>"ARHGEF25"</f>
        <v>ARHGEF25</v>
      </c>
      <c r="I3762" s="3" t="str">
        <f t="shared" si="178"/>
        <v>protein_coding</v>
      </c>
    </row>
    <row r="3763" spans="1:9" x14ac:dyDescent="0.2">
      <c r="A3763" s="3" t="str">
        <f>"ENSG00000135502.17"</f>
        <v>ENSG00000135502.17</v>
      </c>
      <c r="B3763" s="3">
        <v>57.960767837805797</v>
      </c>
      <c r="C3763" s="3">
        <v>-1.27669875703131</v>
      </c>
      <c r="D3763" s="3">
        <v>0.46712489122926198</v>
      </c>
      <c r="E3763" s="3">
        <v>-2.7330993937651602</v>
      </c>
      <c r="F3763" s="3">
        <v>6.2741395596464002E-3</v>
      </c>
      <c r="G3763" s="3">
        <v>2.1516863509337399E-2</v>
      </c>
      <c r="H3763" s="3" t="str">
        <f>"SLC26A10"</f>
        <v>SLC26A10</v>
      </c>
      <c r="I3763" s="3" t="str">
        <f t="shared" si="178"/>
        <v>protein_coding</v>
      </c>
    </row>
    <row r="3764" spans="1:9" x14ac:dyDescent="0.2">
      <c r="A3764" s="3" t="str">
        <f>"ENSG00000135439.11"</f>
        <v>ENSG00000135439.11</v>
      </c>
      <c r="B3764" s="3">
        <v>63.516629171449601</v>
      </c>
      <c r="C3764" s="3">
        <v>2.12288756405618</v>
      </c>
      <c r="D3764" s="3">
        <v>0.47321385585500803</v>
      </c>
      <c r="E3764" s="3">
        <v>4.4861060972539004</v>
      </c>
      <c r="F3764" s="4">
        <v>7.2536631075372897E-6</v>
      </c>
      <c r="G3764" s="4">
        <v>5.2859202645378102E-5</v>
      </c>
      <c r="H3764" s="3" t="str">
        <f>"AGAP2"</f>
        <v>AGAP2</v>
      </c>
      <c r="I3764" s="3" t="str">
        <f t="shared" si="178"/>
        <v>protein_coding</v>
      </c>
    </row>
    <row r="3765" spans="1:9" x14ac:dyDescent="0.2">
      <c r="A3765" s="3" t="str">
        <f>"ENSG00000135452.10"</f>
        <v>ENSG00000135452.10</v>
      </c>
      <c r="B3765" s="3">
        <v>395.32842215730898</v>
      </c>
      <c r="C3765" s="3">
        <v>1.37336126554452</v>
      </c>
      <c r="D3765" s="3">
        <v>0.24218897125984901</v>
      </c>
      <c r="E3765" s="3">
        <v>5.6706185190861396</v>
      </c>
      <c r="F3765" s="4">
        <v>1.42282899310927E-8</v>
      </c>
      <c r="G3765" s="4">
        <v>1.6560368037269699E-7</v>
      </c>
      <c r="H3765" s="3" t="str">
        <f>"TSPAN31"</f>
        <v>TSPAN31</v>
      </c>
      <c r="I3765" s="3" t="str">
        <f t="shared" si="178"/>
        <v>protein_coding</v>
      </c>
    </row>
    <row r="3766" spans="1:9" x14ac:dyDescent="0.2">
      <c r="A3766" s="3" t="str">
        <f>"ENSG00000135446.17"</f>
        <v>ENSG00000135446.17</v>
      </c>
      <c r="B3766" s="3">
        <v>3452.2230730405499</v>
      </c>
      <c r="C3766" s="3">
        <v>-1.41618750983649</v>
      </c>
      <c r="D3766" s="3">
        <v>0.219724630771992</v>
      </c>
      <c r="E3766" s="3">
        <v>-6.4452833751991196</v>
      </c>
      <c r="F3766" s="4">
        <v>1.1538462337947999E-10</v>
      </c>
      <c r="G3766" s="4">
        <v>1.78022923738431E-9</v>
      </c>
      <c r="H3766" s="3" t="str">
        <f>"CDK4"</f>
        <v>CDK4</v>
      </c>
      <c r="I3766" s="3" t="str">
        <f t="shared" si="178"/>
        <v>protein_coding</v>
      </c>
    </row>
    <row r="3767" spans="1:9" x14ac:dyDescent="0.2">
      <c r="A3767" s="3" t="str">
        <f>"ENSG00000111012.10"</f>
        <v>ENSG00000111012.10</v>
      </c>
      <c r="B3767" s="3">
        <v>84.954794463364905</v>
      </c>
      <c r="C3767" s="3">
        <v>-2.1916658189415501</v>
      </c>
      <c r="D3767" s="3">
        <v>0.421100695485978</v>
      </c>
      <c r="E3767" s="3">
        <v>-5.2046122042430403</v>
      </c>
      <c r="F3767" s="4">
        <v>1.9440213627042399E-7</v>
      </c>
      <c r="G3767" s="4">
        <v>1.8823294267804699E-6</v>
      </c>
      <c r="H3767" s="3" t="str">
        <f>"CYP27B1"</f>
        <v>CYP27B1</v>
      </c>
      <c r="I3767" s="3" t="str">
        <f t="shared" si="178"/>
        <v>protein_coding</v>
      </c>
    </row>
    <row r="3768" spans="1:9" x14ac:dyDescent="0.2">
      <c r="A3768" s="3" t="str">
        <f>"ENSG00000037897.17"</f>
        <v>ENSG00000037897.17</v>
      </c>
      <c r="B3768" s="3">
        <v>384.91994412292701</v>
      </c>
      <c r="C3768" s="3">
        <v>-1.5567737241847599</v>
      </c>
      <c r="D3768" s="3">
        <v>0.28034016087871699</v>
      </c>
      <c r="E3768" s="3">
        <v>-5.55315984447288</v>
      </c>
      <c r="F3768" s="4">
        <v>2.80551311472811E-8</v>
      </c>
      <c r="G3768" s="4">
        <v>3.1354313304756701E-7</v>
      </c>
      <c r="H3768" s="3" t="str">
        <f>"METTL1"</f>
        <v>METTL1</v>
      </c>
      <c r="I3768" s="3" t="str">
        <f t="shared" si="178"/>
        <v>protein_coding</v>
      </c>
    </row>
    <row r="3769" spans="1:9" x14ac:dyDescent="0.2">
      <c r="A3769" s="3" t="str">
        <f>"ENSG00000135407.10"</f>
        <v>ENSG00000135407.10</v>
      </c>
      <c r="B3769" s="3">
        <v>42.107430992693402</v>
      </c>
      <c r="C3769" s="3">
        <v>1.3812160681560399</v>
      </c>
      <c r="D3769" s="3">
        <v>0.57337818412555397</v>
      </c>
      <c r="E3769" s="3">
        <v>2.4089093488314401</v>
      </c>
      <c r="F3769" s="3">
        <v>1.6000271672436499E-2</v>
      </c>
      <c r="G3769" s="3">
        <v>4.6993575752816499E-2</v>
      </c>
      <c r="H3769" s="3" t="str">
        <f>"AVIL"</f>
        <v>AVIL</v>
      </c>
      <c r="I3769" s="3" t="str">
        <f t="shared" si="178"/>
        <v>protein_coding</v>
      </c>
    </row>
    <row r="3770" spans="1:9" x14ac:dyDescent="0.2">
      <c r="A3770" s="3" t="str">
        <f>"ENSG00000257698.1"</f>
        <v>ENSG00000257698.1</v>
      </c>
      <c r="B3770" s="3">
        <v>61.2691355017799</v>
      </c>
      <c r="C3770" s="3">
        <v>1.1399630893567501</v>
      </c>
      <c r="D3770" s="3">
        <v>0.45548622134420402</v>
      </c>
      <c r="E3770" s="3">
        <v>2.5027389105043798</v>
      </c>
      <c r="F3770" s="3">
        <v>1.2323641856375399E-2</v>
      </c>
      <c r="G3770" s="3">
        <v>3.7860217573645501E-2</v>
      </c>
      <c r="H3770" s="3" t="str">
        <f>"GIHCG"</f>
        <v>GIHCG</v>
      </c>
      <c r="I3770" s="3" t="str">
        <f>"lincRNA"</f>
        <v>lincRNA</v>
      </c>
    </row>
    <row r="3771" spans="1:9" x14ac:dyDescent="0.2">
      <c r="A3771" s="3" t="str">
        <f>"ENSG00000139263.11"</f>
        <v>ENSG00000139263.11</v>
      </c>
      <c r="B3771" s="3">
        <v>463.95889995630102</v>
      </c>
      <c r="C3771" s="3">
        <v>-1.5757976876391599</v>
      </c>
      <c r="D3771" s="3">
        <v>0.23904818301896799</v>
      </c>
      <c r="E3771" s="3">
        <v>-6.5919668066003503</v>
      </c>
      <c r="F3771" s="4">
        <v>4.3403765161567297E-11</v>
      </c>
      <c r="G3771" s="4">
        <v>7.0943154730487297E-10</v>
      </c>
      <c r="H3771" s="3" t="str">
        <f>"LRIG3"</f>
        <v>LRIG3</v>
      </c>
      <c r="I3771" s="3" t="str">
        <f>"protein_coding"</f>
        <v>protein_coding</v>
      </c>
    </row>
    <row r="3772" spans="1:9" x14ac:dyDescent="0.2">
      <c r="A3772" s="3" t="str">
        <f>"ENSG00000118596.12"</f>
        <v>ENSG00000118596.12</v>
      </c>
      <c r="B3772" s="3">
        <v>7.7179614027349297</v>
      </c>
      <c r="C3772" s="3">
        <v>3.7895806290272098</v>
      </c>
      <c r="D3772" s="3">
        <v>1.5322983534133601</v>
      </c>
      <c r="E3772" s="3">
        <v>2.4731349613379798</v>
      </c>
      <c r="F3772" s="3">
        <v>1.3393355314734E-2</v>
      </c>
      <c r="G3772" s="3">
        <v>4.0628896933929702E-2</v>
      </c>
      <c r="H3772" s="3" t="str">
        <f>"SLC16A7"</f>
        <v>SLC16A7</v>
      </c>
      <c r="I3772" s="3" t="str">
        <f>"protein_coding"</f>
        <v>protein_coding</v>
      </c>
    </row>
    <row r="3773" spans="1:9" x14ac:dyDescent="0.2">
      <c r="A3773" s="3" t="str">
        <f>"ENSG00000198673.10"</f>
        <v>ENSG00000198673.10</v>
      </c>
      <c r="B3773" s="3">
        <v>98.637761798286704</v>
      </c>
      <c r="C3773" s="3">
        <v>2.8667203002744501</v>
      </c>
      <c r="D3773" s="3">
        <v>0.42287000470340402</v>
      </c>
      <c r="E3773" s="3">
        <v>6.7791999157876699</v>
      </c>
      <c r="F3773" s="4">
        <v>1.20843216208138E-11</v>
      </c>
      <c r="G3773" s="4">
        <v>2.1120045619134999E-10</v>
      </c>
      <c r="H3773" s="3" t="str">
        <f>"FAM19A2"</f>
        <v>FAM19A2</v>
      </c>
      <c r="I3773" s="3" t="str">
        <f>"protein_coding"</f>
        <v>protein_coding</v>
      </c>
    </row>
    <row r="3774" spans="1:9" x14ac:dyDescent="0.2">
      <c r="A3774" s="3" t="str">
        <f>"ENSG00000257880.1"</f>
        <v>ENSG00000257880.1</v>
      </c>
      <c r="B3774" s="3">
        <v>7.6278674099516</v>
      </c>
      <c r="C3774" s="3">
        <v>4.8339859819913098</v>
      </c>
      <c r="D3774" s="3">
        <v>1.8541696762293001</v>
      </c>
      <c r="E3774" s="3">
        <v>2.60708933166346</v>
      </c>
      <c r="F3774" s="3">
        <v>9.1315533550279208E-3</v>
      </c>
      <c r="G3774" s="3">
        <v>2.9469079031676601E-2</v>
      </c>
      <c r="H3774" s="3" t="str">
        <f>"AC078789.1"</f>
        <v>AC078789.1</v>
      </c>
      <c r="I3774" s="3" t="str">
        <f>"sense_intronic"</f>
        <v>sense_intronic</v>
      </c>
    </row>
    <row r="3775" spans="1:9" x14ac:dyDescent="0.2">
      <c r="A3775" s="3" t="str">
        <f>"ENSG00000111110.12"</f>
        <v>ENSG00000111110.12</v>
      </c>
      <c r="B3775" s="3">
        <v>3525.3164154665801</v>
      </c>
      <c r="C3775" s="3">
        <v>-2.4822783160489599</v>
      </c>
      <c r="D3775" s="3">
        <v>0.17839894876833201</v>
      </c>
      <c r="E3775" s="3">
        <v>-13.9141981115171</v>
      </c>
      <c r="F3775" s="4">
        <v>5.1939180195686201E-44</v>
      </c>
      <c r="G3775" s="4">
        <v>8.3246284870109601E-42</v>
      </c>
      <c r="H3775" s="3" t="str">
        <f>"PPM1H"</f>
        <v>PPM1H</v>
      </c>
      <c r="I3775" s="3" t="str">
        <f>"protein_coding"</f>
        <v>protein_coding</v>
      </c>
    </row>
    <row r="3776" spans="1:9" x14ac:dyDescent="0.2">
      <c r="A3776" s="3" t="str">
        <f>"ENSG00000177990.11"</f>
        <v>ENSG00000177990.11</v>
      </c>
      <c r="B3776" s="3">
        <v>11.6651573750324</v>
      </c>
      <c r="C3776" s="3">
        <v>5.4648771151596902</v>
      </c>
      <c r="D3776" s="3">
        <v>1.7189860743440799</v>
      </c>
      <c r="E3776" s="3">
        <v>3.1791282062857502</v>
      </c>
      <c r="F3776" s="3">
        <v>1.4771873871165101E-3</v>
      </c>
      <c r="G3776" s="3">
        <v>6.1997727567411499E-3</v>
      </c>
      <c r="H3776" s="3" t="str">
        <f>"DPY19L2"</f>
        <v>DPY19L2</v>
      </c>
      <c r="I3776" s="3" t="str">
        <f>"protein_coding"</f>
        <v>protein_coding</v>
      </c>
    </row>
    <row r="3777" spans="1:9" x14ac:dyDescent="0.2">
      <c r="A3777" s="3" t="str">
        <f>"ENSG00000256571.1"</f>
        <v>ENSG00000256571.1</v>
      </c>
      <c r="B3777" s="3">
        <v>88.519351009648005</v>
      </c>
      <c r="C3777" s="3">
        <v>1.7204930407074599</v>
      </c>
      <c r="D3777" s="3">
        <v>0.40850075384030698</v>
      </c>
      <c r="E3777" s="3">
        <v>4.2117254975251299</v>
      </c>
      <c r="F3777" s="4">
        <v>2.5342739523001199E-5</v>
      </c>
      <c r="G3777" s="3">
        <v>1.6464321024873901E-4</v>
      </c>
      <c r="H3777" s="3" t="str">
        <f>"AC079866.2"</f>
        <v>AC079866.2</v>
      </c>
      <c r="I3777" s="3" t="str">
        <f>"sense_intronic"</f>
        <v>sense_intronic</v>
      </c>
    </row>
    <row r="3778" spans="1:9" x14ac:dyDescent="0.2">
      <c r="A3778" s="3" t="str">
        <f>"ENSG00000185306.12"</f>
        <v>ENSG00000185306.12</v>
      </c>
      <c r="B3778" s="3">
        <v>3.8168555458674298</v>
      </c>
      <c r="C3778" s="3">
        <v>5.3279350919035302</v>
      </c>
      <c r="D3778" s="3">
        <v>2.1809774924298599</v>
      </c>
      <c r="E3778" s="3">
        <v>2.4429115432858599</v>
      </c>
      <c r="F3778" s="3">
        <v>1.4569307781241599E-2</v>
      </c>
      <c r="G3778" s="3">
        <v>4.3474967595607303E-2</v>
      </c>
      <c r="H3778" s="3" t="str">
        <f>"C12orf56"</f>
        <v>C12orf56</v>
      </c>
      <c r="I3778" s="3" t="str">
        <f>"protein_coding"</f>
        <v>protein_coding</v>
      </c>
    </row>
    <row r="3779" spans="1:9" x14ac:dyDescent="0.2">
      <c r="A3779" s="3" t="str">
        <f>"ENSG00000184575.12"</f>
        <v>ENSG00000184575.12</v>
      </c>
      <c r="B3779" s="3">
        <v>4807.7887381989003</v>
      </c>
      <c r="C3779" s="3">
        <v>-2.0535440104309899</v>
      </c>
      <c r="D3779" s="3">
        <v>0.187449981395616</v>
      </c>
      <c r="E3779" s="3">
        <v>-10.9551571845555</v>
      </c>
      <c r="F3779" s="4">
        <v>6.2769301339028202E-28</v>
      </c>
      <c r="G3779" s="4">
        <v>4.2021502545073699E-26</v>
      </c>
      <c r="H3779" s="3" t="str">
        <f>"XPOT"</f>
        <v>XPOT</v>
      </c>
      <c r="I3779" s="3" t="str">
        <f>"protein_coding"</f>
        <v>protein_coding</v>
      </c>
    </row>
    <row r="3780" spans="1:9" x14ac:dyDescent="0.2">
      <c r="A3780" s="3" t="str">
        <f>"ENSG00000197301.7"</f>
        <v>ENSG00000197301.7</v>
      </c>
      <c r="B3780" s="3">
        <v>9.7119778230608205</v>
      </c>
      <c r="C3780" s="3">
        <v>3.0841186436932002</v>
      </c>
      <c r="D3780" s="3">
        <v>1.29464847640821</v>
      </c>
      <c r="E3780" s="3">
        <v>2.3822054402362398</v>
      </c>
      <c r="F3780" s="3">
        <v>1.7209293668231599E-2</v>
      </c>
      <c r="G3780" s="3">
        <v>4.9968753258547598E-2</v>
      </c>
      <c r="H3780" s="3" t="str">
        <f>"HMGA2-AS1"</f>
        <v>HMGA2-AS1</v>
      </c>
      <c r="I3780" s="3" t="str">
        <f>"antisense"</f>
        <v>antisense</v>
      </c>
    </row>
    <row r="3781" spans="1:9" x14ac:dyDescent="0.2">
      <c r="A3781" s="3" t="str">
        <f>"ENSG00000090376.10"</f>
        <v>ENSG00000090376.10</v>
      </c>
      <c r="B3781" s="3">
        <v>8.5126108771778792</v>
      </c>
      <c r="C3781" s="3">
        <v>5.0026516998485802</v>
      </c>
      <c r="D3781" s="3">
        <v>1.7926380640027699</v>
      </c>
      <c r="E3781" s="3">
        <v>2.79066466360654</v>
      </c>
      <c r="F3781" s="3">
        <v>5.2599937132664504E-3</v>
      </c>
      <c r="G3781" s="3">
        <v>1.8511889525364401E-2</v>
      </c>
      <c r="H3781" s="3" t="str">
        <f>"IRAK3"</f>
        <v>IRAK3</v>
      </c>
      <c r="I3781" s="3" t="str">
        <f>"protein_coding"</f>
        <v>protein_coding</v>
      </c>
    </row>
    <row r="3782" spans="1:9" x14ac:dyDescent="0.2">
      <c r="A3782" s="3" t="str">
        <f>"ENSG00000155974.12"</f>
        <v>ENSG00000155974.12</v>
      </c>
      <c r="B3782" s="3">
        <v>13.766928940221501</v>
      </c>
      <c r="C3782" s="3">
        <v>2.72729378051742</v>
      </c>
      <c r="D3782" s="3">
        <v>0.99434200448433196</v>
      </c>
      <c r="E3782" s="3">
        <v>2.7428126019193999</v>
      </c>
      <c r="F3782" s="3">
        <v>6.0915438328857201E-3</v>
      </c>
      <c r="G3782" s="3">
        <v>2.0969841416883999E-2</v>
      </c>
      <c r="H3782" s="3" t="str">
        <f>"GRIP1"</f>
        <v>GRIP1</v>
      </c>
      <c r="I3782" s="3" t="str">
        <f>"protein_coding"</f>
        <v>protein_coding</v>
      </c>
    </row>
    <row r="3783" spans="1:9" x14ac:dyDescent="0.2">
      <c r="A3783" s="3" t="str">
        <f>"ENSG00000251301.6"</f>
        <v>ENSG00000251301.6</v>
      </c>
      <c r="B3783" s="3">
        <v>4.6231112227344298</v>
      </c>
      <c r="C3783" s="3">
        <v>5.6018746122246599</v>
      </c>
      <c r="D3783" s="3">
        <v>2.0840292310307702</v>
      </c>
      <c r="E3783" s="3">
        <v>2.68800193817528</v>
      </c>
      <c r="F3783" s="3">
        <v>7.1880979433398204E-3</v>
      </c>
      <c r="G3783" s="3">
        <v>2.4131851239795499E-2</v>
      </c>
      <c r="H3783" s="3" t="str">
        <f>"LINC02384"</f>
        <v>LINC02384</v>
      </c>
      <c r="I3783" s="3" t="str">
        <f>"lincRNA"</f>
        <v>lincRNA</v>
      </c>
    </row>
    <row r="3784" spans="1:9" x14ac:dyDescent="0.2">
      <c r="A3784" s="3" t="str">
        <f>"ENSG00000135679.24"</f>
        <v>ENSG00000135679.24</v>
      </c>
      <c r="B3784" s="3">
        <v>34488.736242155399</v>
      </c>
      <c r="C3784" s="3">
        <v>2.2907012430272502</v>
      </c>
      <c r="D3784" s="3">
        <v>0.18023801398324901</v>
      </c>
      <c r="E3784" s="3">
        <v>12.7093124940899</v>
      </c>
      <c r="F3784" s="4">
        <v>5.2493913958531803E-37</v>
      </c>
      <c r="G3784" s="4">
        <v>6.1917821369182501E-35</v>
      </c>
      <c r="H3784" s="3" t="str">
        <f>"MDM2"</f>
        <v>MDM2</v>
      </c>
      <c r="I3784" s="3" t="str">
        <f>"protein_coding"</f>
        <v>protein_coding</v>
      </c>
    </row>
    <row r="3785" spans="1:9" x14ac:dyDescent="0.2">
      <c r="A3785" s="3" t="str">
        <f>"ENSG00000256325.1"</f>
        <v>ENSG00000256325.1</v>
      </c>
      <c r="B3785" s="3">
        <v>204.64012708309801</v>
      </c>
      <c r="C3785" s="3">
        <v>2.0648640123736999</v>
      </c>
      <c r="D3785" s="3">
        <v>0.29344660354188901</v>
      </c>
      <c r="E3785" s="3">
        <v>7.03659196409457</v>
      </c>
      <c r="F3785" s="4">
        <v>1.96998649400863E-12</v>
      </c>
      <c r="G3785" s="4">
        <v>3.76675242121074E-11</v>
      </c>
      <c r="H3785" s="3" t="str">
        <f>"AC025423.1"</f>
        <v>AC025423.1</v>
      </c>
      <c r="I3785" s="3" t="str">
        <f>"antisense"</f>
        <v>antisense</v>
      </c>
    </row>
    <row r="3786" spans="1:9" x14ac:dyDescent="0.2">
      <c r="A3786" s="3" t="str">
        <f>"ENSG00000135678.12"</f>
        <v>ENSG00000135678.12</v>
      </c>
      <c r="B3786" s="3">
        <v>9.0738002324488392</v>
      </c>
      <c r="C3786" s="3">
        <v>4.0369325716009703</v>
      </c>
      <c r="D3786" s="3">
        <v>1.48884492657651</v>
      </c>
      <c r="E3786" s="3">
        <v>2.7114526835804198</v>
      </c>
      <c r="F3786" s="3">
        <v>6.6989101171090002E-3</v>
      </c>
      <c r="G3786" s="3">
        <v>2.27181004052751E-2</v>
      </c>
      <c r="H3786" s="3" t="str">
        <f>"CPM"</f>
        <v>CPM</v>
      </c>
      <c r="I3786" s="3" t="str">
        <f>"protein_coding"</f>
        <v>protein_coding</v>
      </c>
    </row>
    <row r="3787" spans="1:9" x14ac:dyDescent="0.2">
      <c r="A3787" s="3" t="str">
        <f>"ENSG00000127337.7"</f>
        <v>ENSG00000127337.7</v>
      </c>
      <c r="B3787" s="3">
        <v>612.35559974073794</v>
      </c>
      <c r="C3787" s="3">
        <v>-1.1031064577824801</v>
      </c>
      <c r="D3787" s="3">
        <v>0.21632120602011901</v>
      </c>
      <c r="E3787" s="3">
        <v>-5.0993912158564996</v>
      </c>
      <c r="F3787" s="4">
        <v>3.4074763429655801E-7</v>
      </c>
      <c r="G3787" s="4">
        <v>3.1622448200539199E-6</v>
      </c>
      <c r="H3787" s="3" t="str">
        <f>"YEATS4"</f>
        <v>YEATS4</v>
      </c>
      <c r="I3787" s="3" t="str">
        <f>"protein_coding"</f>
        <v>protein_coding</v>
      </c>
    </row>
    <row r="3788" spans="1:9" x14ac:dyDescent="0.2">
      <c r="A3788" s="3" t="str">
        <f>"ENSG00000127325.19"</f>
        <v>ENSG00000127325.19</v>
      </c>
      <c r="B3788" s="3">
        <v>10.532634224852201</v>
      </c>
      <c r="C3788" s="3">
        <v>4.27386840473911</v>
      </c>
      <c r="D3788" s="3">
        <v>1.4155831052264101</v>
      </c>
      <c r="E3788" s="3">
        <v>3.01915753936292</v>
      </c>
      <c r="F3788" s="3">
        <v>2.5347868531175599E-3</v>
      </c>
      <c r="G3788" s="3">
        <v>9.8848343190058897E-3</v>
      </c>
      <c r="H3788" s="3" t="str">
        <f>"BEST3"</f>
        <v>BEST3</v>
      </c>
      <c r="I3788" s="3" t="str">
        <f>"protein_coding"</f>
        <v>protein_coding</v>
      </c>
    </row>
    <row r="3789" spans="1:9" x14ac:dyDescent="0.2">
      <c r="A3789" s="3" t="str">
        <f>"ENSG00000247131.5"</f>
        <v>ENSG00000247131.5</v>
      </c>
      <c r="B3789" s="3">
        <v>9.7656224431648493</v>
      </c>
      <c r="C3789" s="3">
        <v>4.1630775935429396</v>
      </c>
      <c r="D3789" s="3">
        <v>1.416626287343</v>
      </c>
      <c r="E3789" s="3">
        <v>2.9387267698887101</v>
      </c>
      <c r="F3789" s="3">
        <v>3.2956346679516801E-3</v>
      </c>
      <c r="G3789" s="3">
        <v>1.24216569093484E-2</v>
      </c>
      <c r="H3789" s="3" t="str">
        <f>"AC025263.1"</f>
        <v>AC025263.1</v>
      </c>
      <c r="I3789" s="3" t="str">
        <f>"antisense"</f>
        <v>antisense</v>
      </c>
    </row>
    <row r="3790" spans="1:9" x14ac:dyDescent="0.2">
      <c r="A3790" s="3" t="str">
        <f>"ENSG00000258168.5"</f>
        <v>ENSG00000258168.5</v>
      </c>
      <c r="B3790" s="3">
        <v>40.2925651559217</v>
      </c>
      <c r="C3790" s="3">
        <v>1.48664533279637</v>
      </c>
      <c r="D3790" s="3">
        <v>0.59286945099709598</v>
      </c>
      <c r="E3790" s="3">
        <v>2.5075424788646399</v>
      </c>
      <c r="F3790" s="3">
        <v>1.21573967741356E-2</v>
      </c>
      <c r="G3790" s="3">
        <v>3.7442363502302803E-2</v>
      </c>
      <c r="H3790" s="3" t="str">
        <f>"AC025569.1"</f>
        <v>AC025569.1</v>
      </c>
      <c r="I3790" s="3" t="str">
        <f>"antisense"</f>
        <v>antisense</v>
      </c>
    </row>
    <row r="3791" spans="1:9" x14ac:dyDescent="0.2">
      <c r="A3791" s="3" t="str">
        <f>"ENSG00000127329.15"</f>
        <v>ENSG00000127329.15</v>
      </c>
      <c r="B3791" s="3">
        <v>31.341100043806499</v>
      </c>
      <c r="C3791" s="3">
        <v>8.3652314369437804</v>
      </c>
      <c r="D3791" s="3">
        <v>1.5590662489785601</v>
      </c>
      <c r="E3791" s="3">
        <v>5.3655394326086796</v>
      </c>
      <c r="F3791" s="4">
        <v>8.0707644796084699E-8</v>
      </c>
      <c r="G3791" s="4">
        <v>8.3202466808888399E-7</v>
      </c>
      <c r="H3791" s="3" t="str">
        <f>"PTPRB"</f>
        <v>PTPRB</v>
      </c>
      <c r="I3791" s="3" t="str">
        <f>"protein_coding"</f>
        <v>protein_coding</v>
      </c>
    </row>
    <row r="3792" spans="1:9" x14ac:dyDescent="0.2">
      <c r="A3792" s="3" t="str">
        <f>"ENSG00000277247.1"</f>
        <v>ENSG00000277247.1</v>
      </c>
      <c r="B3792" s="3">
        <v>7.1173602533217997</v>
      </c>
      <c r="C3792" s="3">
        <v>6.2234268829893002</v>
      </c>
      <c r="D3792" s="3">
        <v>1.9008064396946101</v>
      </c>
      <c r="E3792" s="3">
        <v>3.27409816855902</v>
      </c>
      <c r="F3792" s="3">
        <v>1.0599977934550001E-3</v>
      </c>
      <c r="G3792" s="3">
        <v>4.6366607606788297E-3</v>
      </c>
      <c r="H3792" s="3" t="str">
        <f>"AC083809.1"</f>
        <v>AC083809.1</v>
      </c>
      <c r="I3792" s="3" t="str">
        <f>"antisense"</f>
        <v>antisense</v>
      </c>
    </row>
    <row r="3793" spans="1:9" x14ac:dyDescent="0.2">
      <c r="A3793" s="3" t="str">
        <f>"ENSG00000153233.13"</f>
        <v>ENSG00000153233.13</v>
      </c>
      <c r="B3793" s="3">
        <v>7.0086459389015801</v>
      </c>
      <c r="C3793" s="3">
        <v>6.2030126340395801</v>
      </c>
      <c r="D3793" s="3">
        <v>1.8887047567333499</v>
      </c>
      <c r="E3793" s="3">
        <v>3.28426802120631</v>
      </c>
      <c r="F3793" s="3">
        <v>1.02247634261809E-3</v>
      </c>
      <c r="G3793" s="3">
        <v>4.5056187300167401E-3</v>
      </c>
      <c r="H3793" s="3" t="str">
        <f>"PTPRR"</f>
        <v>PTPRR</v>
      </c>
      <c r="I3793" s="3" t="str">
        <f>"protein_coding"</f>
        <v>protein_coding</v>
      </c>
    </row>
    <row r="3794" spans="1:9" x14ac:dyDescent="0.2">
      <c r="A3794" s="3" t="str">
        <f>"ENSG00000080371.6"</f>
        <v>ENSG00000080371.6</v>
      </c>
      <c r="B3794" s="3">
        <v>3299.1995927969101</v>
      </c>
      <c r="C3794" s="3">
        <v>1.01639906287774</v>
      </c>
      <c r="D3794" s="3">
        <v>0.184401906534578</v>
      </c>
      <c r="E3794" s="3">
        <v>5.5118685157799696</v>
      </c>
      <c r="F3794" s="4">
        <v>3.55044120256753E-8</v>
      </c>
      <c r="G3794" s="4">
        <v>3.8876810334310801E-7</v>
      </c>
      <c r="H3794" s="3" t="str">
        <f>"RAB21"</f>
        <v>RAB21</v>
      </c>
      <c r="I3794" s="3" t="str">
        <f>"protein_coding"</f>
        <v>protein_coding</v>
      </c>
    </row>
    <row r="3795" spans="1:9" x14ac:dyDescent="0.2">
      <c r="A3795" s="3" t="str">
        <f>"ENSG00000139287.13"</f>
        <v>ENSG00000139287.13</v>
      </c>
      <c r="B3795" s="3">
        <v>6.0574378428076203</v>
      </c>
      <c r="C3795" s="3">
        <v>5.9974035649027302</v>
      </c>
      <c r="D3795" s="3">
        <v>1.9478456296942701</v>
      </c>
      <c r="E3795" s="3">
        <v>3.0789932597708298</v>
      </c>
      <c r="F3795" s="3">
        <v>2.0770138080427399E-3</v>
      </c>
      <c r="G3795" s="3">
        <v>8.3285349856866107E-3</v>
      </c>
      <c r="H3795" s="3" t="str">
        <f>"TPH2"</f>
        <v>TPH2</v>
      </c>
      <c r="I3795" s="3" t="str">
        <f>"protein_coding"</f>
        <v>protein_coding</v>
      </c>
    </row>
    <row r="3796" spans="1:9" x14ac:dyDescent="0.2">
      <c r="A3796" s="3" t="str">
        <f>"ENSG00000072657.8"</f>
        <v>ENSG00000072657.8</v>
      </c>
      <c r="B3796" s="3">
        <v>13.905907570935099</v>
      </c>
      <c r="C3796" s="3">
        <v>4.7051247240713501</v>
      </c>
      <c r="D3796" s="3">
        <v>1.33687475761528</v>
      </c>
      <c r="E3796" s="3">
        <v>3.5194955228748301</v>
      </c>
      <c r="F3796" s="3">
        <v>4.32368333466744E-4</v>
      </c>
      <c r="G3796" s="3">
        <v>2.10633648881966E-3</v>
      </c>
      <c r="H3796" s="3" t="str">
        <f>"TRHDE"</f>
        <v>TRHDE</v>
      </c>
      <c r="I3796" s="3" t="str">
        <f>"protein_coding"</f>
        <v>protein_coding</v>
      </c>
    </row>
    <row r="3797" spans="1:9" x14ac:dyDescent="0.2">
      <c r="A3797" s="3" t="str">
        <f>"ENSG00000258077.2"</f>
        <v>ENSG00000258077.2</v>
      </c>
      <c r="B3797" s="3">
        <v>16.705307236391</v>
      </c>
      <c r="C3797" s="3">
        <v>2.1370990724456602</v>
      </c>
      <c r="D3797" s="3">
        <v>0.86525259915758301</v>
      </c>
      <c r="E3797" s="3">
        <v>2.4699134963897902</v>
      </c>
      <c r="F3797" s="3">
        <v>1.35145728007503E-2</v>
      </c>
      <c r="G3797" s="3">
        <v>4.0937361323184498E-2</v>
      </c>
      <c r="H3797" s="3" t="str">
        <f>"AC078923.1"</f>
        <v>AC078923.1</v>
      </c>
      <c r="I3797" s="3" t="str">
        <f>"lincRNA"</f>
        <v>lincRNA</v>
      </c>
    </row>
    <row r="3798" spans="1:9" x14ac:dyDescent="0.2">
      <c r="A3798" s="3" t="str">
        <f>"ENSG00000258088.1"</f>
        <v>ENSG00000258088.1</v>
      </c>
      <c r="B3798" s="3">
        <v>10.777911814320801</v>
      </c>
      <c r="C3798" s="3">
        <v>3.25213077094056</v>
      </c>
      <c r="D3798" s="3">
        <v>1.2421455152013701</v>
      </c>
      <c r="E3798" s="3">
        <v>2.6181560301437998</v>
      </c>
      <c r="F3798" s="3">
        <v>8.8406370888838102E-3</v>
      </c>
      <c r="G3798" s="3">
        <v>2.87344433688199E-2</v>
      </c>
      <c r="H3798" s="3" t="str">
        <f>"AC078820.1"</f>
        <v>AC078820.1</v>
      </c>
      <c r="I3798" s="3" t="str">
        <f>"lincRNA"</f>
        <v>lincRNA</v>
      </c>
    </row>
    <row r="3799" spans="1:9" x14ac:dyDescent="0.2">
      <c r="A3799" s="3" t="str">
        <f>"ENSG00000257839.1"</f>
        <v>ENSG00000257839.1</v>
      </c>
      <c r="B3799" s="3">
        <v>89.926478481373906</v>
      </c>
      <c r="C3799" s="3">
        <v>1.1369886661177</v>
      </c>
      <c r="D3799" s="3">
        <v>0.392771612628183</v>
      </c>
      <c r="E3799" s="3">
        <v>2.89478320113228</v>
      </c>
      <c r="F3799" s="3">
        <v>3.7942048172689602E-3</v>
      </c>
      <c r="G3799" s="3">
        <v>1.4021524298945799E-2</v>
      </c>
      <c r="H3799" s="3" t="str">
        <f>"AC011611.4"</f>
        <v>AC011611.4</v>
      </c>
      <c r="I3799" s="3" t="str">
        <f>"antisense"</f>
        <v>antisense</v>
      </c>
    </row>
    <row r="3800" spans="1:9" x14ac:dyDescent="0.2">
      <c r="A3800" s="3" t="str">
        <f>"ENSG00000165891.16"</f>
        <v>ENSG00000165891.16</v>
      </c>
      <c r="B3800" s="3">
        <v>2457.21164332223</v>
      </c>
      <c r="C3800" s="3">
        <v>1.9340341094319899</v>
      </c>
      <c r="D3800" s="3">
        <v>0.18176258433911499</v>
      </c>
      <c r="E3800" s="3">
        <v>10.6404413012948</v>
      </c>
      <c r="F3800" s="4">
        <v>1.93212059158973E-26</v>
      </c>
      <c r="G3800" s="4">
        <v>1.1856867062848099E-24</v>
      </c>
      <c r="H3800" s="3" t="str">
        <f>"E2F7"</f>
        <v>E2F7</v>
      </c>
      <c r="I3800" s="3" t="str">
        <f t="shared" ref="I3800:I3814" si="179">"protein_coding"</f>
        <v>protein_coding</v>
      </c>
    </row>
    <row r="3801" spans="1:9" x14ac:dyDescent="0.2">
      <c r="A3801" s="3" t="str">
        <f>"ENSG00000067798.16"</f>
        <v>ENSG00000067798.16</v>
      </c>
      <c r="B3801" s="3">
        <v>18.930519206864101</v>
      </c>
      <c r="C3801" s="3">
        <v>4.5497149414129501</v>
      </c>
      <c r="D3801" s="3">
        <v>1.1418338665588501</v>
      </c>
      <c r="E3801" s="3">
        <v>3.98456822368078</v>
      </c>
      <c r="F3801" s="4">
        <v>6.7602933338648197E-5</v>
      </c>
      <c r="G3801" s="3">
        <v>4.0173983090035999E-4</v>
      </c>
      <c r="H3801" s="3" t="str">
        <f>"NAV3"</f>
        <v>NAV3</v>
      </c>
      <c r="I3801" s="3" t="str">
        <f t="shared" si="179"/>
        <v>protein_coding</v>
      </c>
    </row>
    <row r="3802" spans="1:9" x14ac:dyDescent="0.2">
      <c r="A3802" s="3" t="str">
        <f>"ENSG00000067715.14"</f>
        <v>ENSG00000067715.14</v>
      </c>
      <c r="B3802" s="3">
        <v>17.360046270810098</v>
      </c>
      <c r="C3802" s="3">
        <v>7.5136803001997698</v>
      </c>
      <c r="D3802" s="3">
        <v>1.6373409754739701</v>
      </c>
      <c r="E3802" s="3">
        <v>4.5889527060939397</v>
      </c>
      <c r="F3802" s="4">
        <v>4.4547533281249901E-6</v>
      </c>
      <c r="G3802" s="4">
        <v>3.3993727186886497E-5</v>
      </c>
      <c r="H3802" s="3" t="str">
        <f>"SYT1"</f>
        <v>SYT1</v>
      </c>
      <c r="I3802" s="3" t="str">
        <f t="shared" si="179"/>
        <v>protein_coding</v>
      </c>
    </row>
    <row r="3803" spans="1:9" x14ac:dyDescent="0.2">
      <c r="A3803" s="3" t="str">
        <f>"ENSG00000165899.11"</f>
        <v>ENSG00000165899.11</v>
      </c>
      <c r="B3803" s="3">
        <v>35.991432000228997</v>
      </c>
      <c r="C3803" s="3">
        <v>8.5627212810961595</v>
      </c>
      <c r="D3803" s="3">
        <v>1.56821714033139</v>
      </c>
      <c r="E3803" s="3">
        <v>5.4601630481393304</v>
      </c>
      <c r="F3803" s="4">
        <v>4.7569750830168E-8</v>
      </c>
      <c r="G3803" s="4">
        <v>5.1129506937656405E-7</v>
      </c>
      <c r="H3803" s="3" t="str">
        <f>"OTOGL"</f>
        <v>OTOGL</v>
      </c>
      <c r="I3803" s="3" t="str">
        <f t="shared" si="179"/>
        <v>protein_coding</v>
      </c>
    </row>
    <row r="3804" spans="1:9" x14ac:dyDescent="0.2">
      <c r="A3804" s="3" t="str">
        <f>"ENSG00000139304.14"</f>
        <v>ENSG00000139304.14</v>
      </c>
      <c r="B3804" s="3">
        <v>19.117385513718499</v>
      </c>
      <c r="C3804" s="3">
        <v>6.18409325128499</v>
      </c>
      <c r="D3804" s="3">
        <v>1.6589816464518601</v>
      </c>
      <c r="E3804" s="3">
        <v>3.7276441632197601</v>
      </c>
      <c r="F3804" s="3">
        <v>1.93278005913673E-4</v>
      </c>
      <c r="G3804" s="3">
        <v>1.03320498864623E-3</v>
      </c>
      <c r="H3804" s="3" t="str">
        <f>"PTPRQ"</f>
        <v>PTPRQ</v>
      </c>
      <c r="I3804" s="3" t="str">
        <f t="shared" si="179"/>
        <v>protein_coding</v>
      </c>
    </row>
    <row r="3805" spans="1:9" x14ac:dyDescent="0.2">
      <c r="A3805" s="3" t="str">
        <f>"ENSG00000111052.7"</f>
        <v>ENSG00000111052.7</v>
      </c>
      <c r="B3805" s="3">
        <v>1675.7478048795899</v>
      </c>
      <c r="C3805" s="3">
        <v>-1.20294380127221</v>
      </c>
      <c r="D3805" s="3">
        <v>0.18455530620228899</v>
      </c>
      <c r="E3805" s="3">
        <v>-6.51806673037989</v>
      </c>
      <c r="F3805" s="4">
        <v>7.1219310224062306E-11</v>
      </c>
      <c r="G3805" s="4">
        <v>1.13413941886325E-9</v>
      </c>
      <c r="H3805" s="3" t="str">
        <f>"LIN7A"</f>
        <v>LIN7A</v>
      </c>
      <c r="I3805" s="3" t="str">
        <f t="shared" si="179"/>
        <v>protein_coding</v>
      </c>
    </row>
    <row r="3806" spans="1:9" x14ac:dyDescent="0.2">
      <c r="A3806" s="3" t="str">
        <f>"ENSG00000139220.16"</f>
        <v>ENSG00000139220.16</v>
      </c>
      <c r="B3806" s="3">
        <v>13.6911923034525</v>
      </c>
      <c r="C3806" s="3">
        <v>4.6720369161800601</v>
      </c>
      <c r="D3806" s="3">
        <v>1.3246226742628</v>
      </c>
      <c r="E3806" s="3">
        <v>3.5270700154519199</v>
      </c>
      <c r="F3806" s="3">
        <v>4.2018563438202098E-4</v>
      </c>
      <c r="G3806" s="3">
        <v>2.0569166331309602E-3</v>
      </c>
      <c r="H3806" s="3" t="str">
        <f>"PPFIA2"</f>
        <v>PPFIA2</v>
      </c>
      <c r="I3806" s="3" t="str">
        <f t="shared" si="179"/>
        <v>protein_coding</v>
      </c>
    </row>
    <row r="3807" spans="1:9" x14ac:dyDescent="0.2">
      <c r="A3807" s="3" t="str">
        <f>"ENSG00000179104.9"</f>
        <v>ENSG00000179104.9</v>
      </c>
      <c r="B3807" s="3">
        <v>45.583695735649002</v>
      </c>
      <c r="C3807" s="3">
        <v>-1.9254302848379901</v>
      </c>
      <c r="D3807" s="3">
        <v>0.53292178484498398</v>
      </c>
      <c r="E3807" s="3">
        <v>-3.61296974451525</v>
      </c>
      <c r="F3807" s="3">
        <v>3.0271003646026198E-4</v>
      </c>
      <c r="G3807" s="3">
        <v>1.5359293041774199E-3</v>
      </c>
      <c r="H3807" s="3" t="str">
        <f>"TMTC2"</f>
        <v>TMTC2</v>
      </c>
      <c r="I3807" s="3" t="str">
        <f t="shared" si="179"/>
        <v>protein_coding</v>
      </c>
    </row>
    <row r="3808" spans="1:9" x14ac:dyDescent="0.2">
      <c r="A3808" s="3" t="str">
        <f>"ENSG00000133640.20"</f>
        <v>ENSG00000133640.20</v>
      </c>
      <c r="B3808" s="3">
        <v>14.114654626581901</v>
      </c>
      <c r="C3808" s="3">
        <v>3.67272063007877</v>
      </c>
      <c r="D3808" s="3">
        <v>1.15966530680536</v>
      </c>
      <c r="E3808" s="3">
        <v>3.1670522594112498</v>
      </c>
      <c r="F3808" s="3">
        <v>1.5399264224418101E-3</v>
      </c>
      <c r="G3808" s="3">
        <v>6.4235112113092399E-3</v>
      </c>
      <c r="H3808" s="3" t="str">
        <f>"LRRIQ1"</f>
        <v>LRRIQ1</v>
      </c>
      <c r="I3808" s="3" t="str">
        <f t="shared" si="179"/>
        <v>protein_coding</v>
      </c>
    </row>
    <row r="3809" spans="1:9" x14ac:dyDescent="0.2">
      <c r="A3809" s="3" t="str">
        <f>"ENSG00000133636.11"</f>
        <v>ENSG00000133636.11</v>
      </c>
      <c r="B3809" s="3">
        <v>6.2748664716480604</v>
      </c>
      <c r="C3809" s="3">
        <v>6.0436307079929099</v>
      </c>
      <c r="D3809" s="3">
        <v>1.9320769159683999</v>
      </c>
      <c r="E3809" s="3">
        <v>3.1280487117479501</v>
      </c>
      <c r="F3809" s="3">
        <v>1.7597101450729099E-3</v>
      </c>
      <c r="G3809" s="3">
        <v>7.2285274118500898E-3</v>
      </c>
      <c r="H3809" s="3" t="str">
        <f>"NTS"</f>
        <v>NTS</v>
      </c>
      <c r="I3809" s="3" t="str">
        <f t="shared" si="179"/>
        <v>protein_coding</v>
      </c>
    </row>
    <row r="3810" spans="1:9" x14ac:dyDescent="0.2">
      <c r="A3810" s="3" t="str">
        <f>"ENSG00000139324.12"</f>
        <v>ENSG00000139324.12</v>
      </c>
      <c r="B3810" s="3">
        <v>3137.2761951121502</v>
      </c>
      <c r="C3810" s="3">
        <v>1.18345211047586</v>
      </c>
      <c r="D3810" s="3">
        <v>0.19422717531762199</v>
      </c>
      <c r="E3810" s="3">
        <v>6.0931335099763704</v>
      </c>
      <c r="F3810" s="4">
        <v>1.1072164316355799E-9</v>
      </c>
      <c r="G3810" s="4">
        <v>1.4957028315703898E-8</v>
      </c>
      <c r="H3810" s="3" t="str">
        <f>"TMTC3"</f>
        <v>TMTC3</v>
      </c>
      <c r="I3810" s="3" t="str">
        <f t="shared" si="179"/>
        <v>protein_coding</v>
      </c>
    </row>
    <row r="3811" spans="1:9" x14ac:dyDescent="0.2">
      <c r="A3811" s="3" t="str">
        <f>"ENSG00000049130.15"</f>
        <v>ENSG00000049130.15</v>
      </c>
      <c r="B3811" s="3">
        <v>3412.8952338704298</v>
      </c>
      <c r="C3811" s="3">
        <v>1.4931365045437599</v>
      </c>
      <c r="D3811" s="3">
        <v>0.193770320513733</v>
      </c>
      <c r="E3811" s="3">
        <v>7.7057028165360304</v>
      </c>
      <c r="F3811" s="4">
        <v>1.3012513156354E-14</v>
      </c>
      <c r="G3811" s="4">
        <v>3.0965235455997999E-13</v>
      </c>
      <c r="H3811" s="3" t="str">
        <f>"KITLG"</f>
        <v>KITLG</v>
      </c>
      <c r="I3811" s="3" t="str">
        <f t="shared" si="179"/>
        <v>protein_coding</v>
      </c>
    </row>
    <row r="3812" spans="1:9" x14ac:dyDescent="0.2">
      <c r="A3812" s="3" t="str">
        <f>"ENSG00000257594.4"</f>
        <v>ENSG00000257594.4</v>
      </c>
      <c r="B3812" s="3">
        <v>44.059001548659602</v>
      </c>
      <c r="C3812" s="3">
        <v>-1.3706283401966599</v>
      </c>
      <c r="D3812" s="3">
        <v>0.56825356327610399</v>
      </c>
      <c r="E3812" s="3">
        <v>-2.4120013120457999</v>
      </c>
      <c r="F3812" s="3">
        <v>1.5865224434742201E-2</v>
      </c>
      <c r="G3812" s="3">
        <v>4.6647218104393998E-2</v>
      </c>
      <c r="H3812" s="3" t="str">
        <f>"GALNT4"</f>
        <v>GALNT4</v>
      </c>
      <c r="I3812" s="3" t="str">
        <f t="shared" si="179"/>
        <v>protein_coding</v>
      </c>
    </row>
    <row r="3813" spans="1:9" x14ac:dyDescent="0.2">
      <c r="A3813" s="3" t="str">
        <f>"ENSG00000070961.15"</f>
        <v>ENSG00000070961.15</v>
      </c>
      <c r="B3813" s="3">
        <v>2787.13380085058</v>
      </c>
      <c r="C3813" s="3">
        <v>-1.3897867969264199</v>
      </c>
      <c r="D3813" s="3">
        <v>0.18999966982430599</v>
      </c>
      <c r="E3813" s="3">
        <v>-7.31468006345255</v>
      </c>
      <c r="F3813" s="4">
        <v>2.5799533975964099E-13</v>
      </c>
      <c r="G3813" s="4">
        <v>5.4875870588844303E-12</v>
      </c>
      <c r="H3813" s="3" t="str">
        <f>"ATP2B1"</f>
        <v>ATP2B1</v>
      </c>
      <c r="I3813" s="3" t="str">
        <f t="shared" si="179"/>
        <v>protein_coding</v>
      </c>
    </row>
    <row r="3814" spans="1:9" x14ac:dyDescent="0.2">
      <c r="A3814" s="3" t="str">
        <f>"ENSG00000133639.5"</f>
        <v>ENSG00000133639.5</v>
      </c>
      <c r="B3814" s="3">
        <v>1212.0529260025801</v>
      </c>
      <c r="C3814" s="3">
        <v>1.4039263120500201</v>
      </c>
      <c r="D3814" s="3">
        <v>0.19129905041602999</v>
      </c>
      <c r="E3814" s="3">
        <v>7.3389089438594501</v>
      </c>
      <c r="F3814" s="4">
        <v>2.1534204733162401E-13</v>
      </c>
      <c r="G3814" s="4">
        <v>4.6346167169390002E-12</v>
      </c>
      <c r="H3814" s="3" t="str">
        <f>"BTG1"</f>
        <v>BTG1</v>
      </c>
      <c r="I3814" s="3" t="str">
        <f t="shared" si="179"/>
        <v>protein_coding</v>
      </c>
    </row>
    <row r="3815" spans="1:9" x14ac:dyDescent="0.2">
      <c r="A3815" s="3" t="str">
        <f>"ENSG00000245904.3"</f>
        <v>ENSG00000245904.3</v>
      </c>
      <c r="B3815" s="3">
        <v>4.4026768035210901</v>
      </c>
      <c r="C3815" s="3">
        <v>5.5307600532189003</v>
      </c>
      <c r="D3815" s="3">
        <v>2.1164928962203402</v>
      </c>
      <c r="E3815" s="3">
        <v>2.6131720371449498</v>
      </c>
      <c r="F3815" s="3">
        <v>8.9706133959924893E-3</v>
      </c>
      <c r="G3815" s="3">
        <v>2.9077123863978999E-2</v>
      </c>
      <c r="H3815" s="3" t="str">
        <f>"AC025164.1"</f>
        <v>AC025164.1</v>
      </c>
      <c r="I3815" s="3" t="str">
        <f>"antisense"</f>
        <v>antisense</v>
      </c>
    </row>
    <row r="3816" spans="1:9" x14ac:dyDescent="0.2">
      <c r="A3816" s="3" t="str">
        <f>"ENSG00000187510.9"</f>
        <v>ENSG00000187510.9</v>
      </c>
      <c r="B3816" s="3">
        <v>10.342550859752301</v>
      </c>
      <c r="C3816" s="3">
        <v>5.2858713358382197</v>
      </c>
      <c r="D3816" s="3">
        <v>1.7667697828187801</v>
      </c>
      <c r="E3816" s="3">
        <v>2.9918280170067901</v>
      </c>
      <c r="F3816" s="3">
        <v>2.7731244162131101E-3</v>
      </c>
      <c r="G3816" s="3">
        <v>1.06903396956082E-2</v>
      </c>
      <c r="H3816" s="3" t="str">
        <f>"C12orf74"</f>
        <v>C12orf74</v>
      </c>
      <c r="I3816" s="3" t="str">
        <f>"protein_coding"</f>
        <v>protein_coding</v>
      </c>
    </row>
    <row r="3817" spans="1:9" x14ac:dyDescent="0.2">
      <c r="A3817" s="3" t="str">
        <f>"ENSG00000257345.2"</f>
        <v>ENSG00000257345.2</v>
      </c>
      <c r="B3817" s="3">
        <v>255.71889457252101</v>
      </c>
      <c r="C3817" s="3">
        <v>-1.6548169598428799</v>
      </c>
      <c r="D3817" s="3">
        <v>0.27148288559326</v>
      </c>
      <c r="E3817" s="3">
        <v>-6.0954743288022604</v>
      </c>
      <c r="F3817" s="4">
        <v>1.0911342263602299E-9</v>
      </c>
      <c r="G3817" s="4">
        <v>1.4769068189586301E-8</v>
      </c>
      <c r="H3817" s="3" t="str">
        <f>"LINC02413"</f>
        <v>LINC02413</v>
      </c>
      <c r="I3817" s="3" t="str">
        <f>"lincRNA"</f>
        <v>lincRNA</v>
      </c>
    </row>
    <row r="3818" spans="1:9" x14ac:dyDescent="0.2">
      <c r="A3818" s="3" t="str">
        <f>"ENSG00000120833.14"</f>
        <v>ENSG00000120833.14</v>
      </c>
      <c r="B3818" s="3">
        <v>102.374559241285</v>
      </c>
      <c r="C3818" s="3">
        <v>-1.2769393241907301</v>
      </c>
      <c r="D3818" s="3">
        <v>0.36753487154454401</v>
      </c>
      <c r="E3818" s="3">
        <v>-3.4743351530821101</v>
      </c>
      <c r="F3818" s="3">
        <v>5.1212092942468904E-4</v>
      </c>
      <c r="G3818" s="3">
        <v>2.44931700263902E-3</v>
      </c>
      <c r="H3818" s="3" t="str">
        <f>"SOCS2"</f>
        <v>SOCS2</v>
      </c>
      <c r="I3818" s="3" t="str">
        <f>"protein_coding"</f>
        <v>protein_coding</v>
      </c>
    </row>
    <row r="3819" spans="1:9" x14ac:dyDescent="0.2">
      <c r="A3819" s="3" t="str">
        <f>"ENSG00000258365.1"</f>
        <v>ENSG00000258365.1</v>
      </c>
      <c r="B3819" s="3">
        <v>46.654839605074599</v>
      </c>
      <c r="C3819" s="3">
        <v>-1.34684258343212</v>
      </c>
      <c r="D3819" s="3">
        <v>0.51852150620299298</v>
      </c>
      <c r="E3819" s="3">
        <v>-2.59746715868107</v>
      </c>
      <c r="F3819" s="3">
        <v>9.3914100434845903E-3</v>
      </c>
      <c r="G3819" s="3">
        <v>3.0132801395999099E-2</v>
      </c>
      <c r="H3819" s="3" t="str">
        <f>"AC073655.2"</f>
        <v>AC073655.2</v>
      </c>
      <c r="I3819" s="3" t="str">
        <f>"antisense"</f>
        <v>antisense</v>
      </c>
    </row>
    <row r="3820" spans="1:9" x14ac:dyDescent="0.2">
      <c r="A3820" s="3" t="str">
        <f>"ENSG00000057704.13"</f>
        <v>ENSG00000057704.13</v>
      </c>
      <c r="B3820" s="3">
        <v>5.7615214236078902</v>
      </c>
      <c r="C3820" s="3">
        <v>5.9211747952185396</v>
      </c>
      <c r="D3820" s="3">
        <v>1.9659340584970799</v>
      </c>
      <c r="E3820" s="3">
        <v>3.01188881164467</v>
      </c>
      <c r="F3820" s="3">
        <v>2.59627675744899E-3</v>
      </c>
      <c r="G3820" s="3">
        <v>1.0090311611256401E-2</v>
      </c>
      <c r="H3820" s="3" t="str">
        <f>"TMCC3"</f>
        <v>TMCC3</v>
      </c>
      <c r="I3820" s="3" t="str">
        <f t="shared" ref="I3820:I3825" si="180">"protein_coding"</f>
        <v>protein_coding</v>
      </c>
    </row>
    <row r="3821" spans="1:9" x14ac:dyDescent="0.2">
      <c r="A3821" s="3" t="str">
        <f>"ENSG00000136014.12"</f>
        <v>ENSG00000136014.12</v>
      </c>
      <c r="B3821" s="3">
        <v>19.088047430057799</v>
      </c>
      <c r="C3821" s="3">
        <v>1.97537216101991</v>
      </c>
      <c r="D3821" s="3">
        <v>0.81864925949828105</v>
      </c>
      <c r="E3821" s="3">
        <v>2.4129651839305799</v>
      </c>
      <c r="F3821" s="3">
        <v>1.5823330983942702E-2</v>
      </c>
      <c r="G3821" s="3">
        <v>4.6558518901330399E-2</v>
      </c>
      <c r="H3821" s="3" t="str">
        <f>"USP44"</f>
        <v>USP44</v>
      </c>
      <c r="I3821" s="3" t="str">
        <f t="shared" si="180"/>
        <v>protein_coding</v>
      </c>
    </row>
    <row r="3822" spans="1:9" x14ac:dyDescent="0.2">
      <c r="A3822" s="3" t="str">
        <f>"ENSG00000074527.12"</f>
        <v>ENSG00000074527.12</v>
      </c>
      <c r="B3822" s="3">
        <v>856.00351256506895</v>
      </c>
      <c r="C3822" s="3">
        <v>1.3433716957166599</v>
      </c>
      <c r="D3822" s="3">
        <v>0.21085283274178701</v>
      </c>
      <c r="E3822" s="3">
        <v>6.3711342088620002</v>
      </c>
      <c r="F3822" s="4">
        <v>1.8763535395775E-10</v>
      </c>
      <c r="G3822" s="4">
        <v>2.8059827054263502E-9</v>
      </c>
      <c r="H3822" s="3" t="str">
        <f>"NTN4"</f>
        <v>NTN4</v>
      </c>
      <c r="I3822" s="3" t="str">
        <f t="shared" si="180"/>
        <v>protein_coding</v>
      </c>
    </row>
    <row r="3823" spans="1:9" x14ac:dyDescent="0.2">
      <c r="A3823" s="3" t="str">
        <f>"ENSG00000139344.8"</f>
        <v>ENSG00000139344.8</v>
      </c>
      <c r="B3823" s="3">
        <v>317.06557964154302</v>
      </c>
      <c r="C3823" s="3">
        <v>-1.3699855056900201</v>
      </c>
      <c r="D3823" s="3">
        <v>0.25913857459628997</v>
      </c>
      <c r="E3823" s="3">
        <v>-5.2866907515575603</v>
      </c>
      <c r="F3823" s="4">
        <v>1.2454893177973901E-7</v>
      </c>
      <c r="G3823" s="4">
        <v>1.2453521997073601E-6</v>
      </c>
      <c r="H3823" s="3" t="str">
        <f>"AMDHD1"</f>
        <v>AMDHD1</v>
      </c>
      <c r="I3823" s="3" t="str">
        <f t="shared" si="180"/>
        <v>protein_coding</v>
      </c>
    </row>
    <row r="3824" spans="1:9" x14ac:dyDescent="0.2">
      <c r="A3824" s="3" t="str">
        <f>"ENSG00000084110.11"</f>
        <v>ENSG00000084110.11</v>
      </c>
      <c r="B3824" s="3">
        <v>86.541282881087199</v>
      </c>
      <c r="C3824" s="3">
        <v>-1.52648591890434</v>
      </c>
      <c r="D3824" s="3">
        <v>0.40467723293035501</v>
      </c>
      <c r="E3824" s="3">
        <v>-3.7721072367988802</v>
      </c>
      <c r="F3824" s="3">
        <v>1.6187465303376799E-4</v>
      </c>
      <c r="G3824" s="3">
        <v>8.8317954970185597E-4</v>
      </c>
      <c r="H3824" s="3" t="str">
        <f>"HAL"</f>
        <v>HAL</v>
      </c>
      <c r="I3824" s="3" t="str">
        <f t="shared" si="180"/>
        <v>protein_coding</v>
      </c>
    </row>
    <row r="3825" spans="1:9" x14ac:dyDescent="0.2">
      <c r="A3825" s="3" t="str">
        <f>"ENSG00000188596.11"</f>
        <v>ENSG00000188596.11</v>
      </c>
      <c r="B3825" s="3">
        <v>21.388654662697199</v>
      </c>
      <c r="C3825" s="3">
        <v>5.3408768767696797</v>
      </c>
      <c r="D3825" s="3">
        <v>1.2422227485951201</v>
      </c>
      <c r="E3825" s="3">
        <v>4.2994518356791396</v>
      </c>
      <c r="F3825" s="4">
        <v>1.71221080095337E-5</v>
      </c>
      <c r="G3825" s="3">
        <v>1.15448175435725E-4</v>
      </c>
      <c r="H3825" s="3" t="str">
        <f>"CFAP54"</f>
        <v>CFAP54</v>
      </c>
      <c r="I3825" s="3" t="str">
        <f t="shared" si="180"/>
        <v>protein_coding</v>
      </c>
    </row>
    <row r="3826" spans="1:9" x14ac:dyDescent="0.2">
      <c r="A3826" s="3" t="str">
        <f>"ENSG00000257501.6"</f>
        <v>ENSG00000257501.6</v>
      </c>
      <c r="B3826" s="3">
        <v>3.9285756506605498</v>
      </c>
      <c r="C3826" s="3">
        <v>5.37376557133706</v>
      </c>
      <c r="D3826" s="3">
        <v>2.1769892180050601</v>
      </c>
      <c r="E3826" s="3">
        <v>2.46843922188161</v>
      </c>
      <c r="F3826" s="3">
        <v>1.35703694853358E-2</v>
      </c>
      <c r="G3826" s="3">
        <v>4.1065669334892897E-2</v>
      </c>
      <c r="H3826" s="3" t="str">
        <f>"AC007424.1"</f>
        <v>AC007424.1</v>
      </c>
      <c r="I3826" s="3" t="str">
        <f>"transcribed_processed_pseudogene"</f>
        <v>transcribed_processed_pseudogene</v>
      </c>
    </row>
    <row r="3827" spans="1:9" x14ac:dyDescent="0.2">
      <c r="A3827" s="3" t="str">
        <f>"ENSG00000258312.1"</f>
        <v>ENSG00000258312.1</v>
      </c>
      <c r="B3827" s="3">
        <v>4.5506350131209503</v>
      </c>
      <c r="C3827" s="3">
        <v>5.5810926405007502</v>
      </c>
      <c r="D3827" s="3">
        <v>2.0811975347712699</v>
      </c>
      <c r="E3827" s="3">
        <v>2.6816736745337999</v>
      </c>
      <c r="F3827" s="3">
        <v>7.3254878825888504E-3</v>
      </c>
      <c r="G3827" s="3">
        <v>2.4457489074488199E-2</v>
      </c>
      <c r="H3827" s="3" t="str">
        <f>"AC016152.1"</f>
        <v>AC016152.1</v>
      </c>
      <c r="I3827" s="3" t="str">
        <f>"lincRNA"</f>
        <v>lincRNA</v>
      </c>
    </row>
    <row r="3828" spans="1:9" x14ac:dyDescent="0.2">
      <c r="A3828" s="3" t="str">
        <f>"ENSG00000120802.13"</f>
        <v>ENSG00000120802.13</v>
      </c>
      <c r="B3828" s="3">
        <v>4252.8747835435297</v>
      </c>
      <c r="C3828" s="3">
        <v>-1.18974133811053</v>
      </c>
      <c r="D3828" s="3">
        <v>0.17783154044514701</v>
      </c>
      <c r="E3828" s="3">
        <v>-6.6902717883024403</v>
      </c>
      <c r="F3828" s="4">
        <v>2.2275649016516702E-11</v>
      </c>
      <c r="G3828" s="4">
        <v>3.77687995490374E-10</v>
      </c>
      <c r="H3828" s="3" t="str">
        <f>"TMPO"</f>
        <v>TMPO</v>
      </c>
      <c r="I3828" s="3" t="str">
        <f t="shared" ref="I3828:I3844" si="181">"protein_coding"</f>
        <v>protein_coding</v>
      </c>
    </row>
    <row r="3829" spans="1:9" x14ac:dyDescent="0.2">
      <c r="A3829" s="3" t="str">
        <f>"ENSG00000166130.15"</f>
        <v>ENSG00000166130.15</v>
      </c>
      <c r="B3829" s="3">
        <v>5127.7369266179303</v>
      </c>
      <c r="C3829" s="3">
        <v>2.0194325101987398</v>
      </c>
      <c r="D3829" s="3">
        <v>0.188404820049203</v>
      </c>
      <c r="E3829" s="3">
        <v>10.718581985701601</v>
      </c>
      <c r="F3829" s="4">
        <v>8.3270146643457896E-27</v>
      </c>
      <c r="G3829" s="4">
        <v>5.2398653246981497E-25</v>
      </c>
      <c r="H3829" s="3" t="str">
        <f>"IKBIP"</f>
        <v>IKBIP</v>
      </c>
      <c r="I3829" s="3" t="str">
        <f t="shared" si="181"/>
        <v>protein_coding</v>
      </c>
    </row>
    <row r="3830" spans="1:9" x14ac:dyDescent="0.2">
      <c r="A3830" s="3" t="str">
        <f>"ENSG00000120868.13"</f>
        <v>ENSG00000120868.13</v>
      </c>
      <c r="B3830" s="3">
        <v>3010.7023287494098</v>
      </c>
      <c r="C3830" s="3">
        <v>2.0924622576842999</v>
      </c>
      <c r="D3830" s="3">
        <v>0.178316500549031</v>
      </c>
      <c r="E3830" s="3">
        <v>11.734540837452901</v>
      </c>
      <c r="F3830" s="4">
        <v>8.4785186855016197E-32</v>
      </c>
      <c r="G3830" s="4">
        <v>7.3571400835625007E-30</v>
      </c>
      <c r="H3830" s="3" t="str">
        <f>"APAF1"</f>
        <v>APAF1</v>
      </c>
      <c r="I3830" s="3" t="str">
        <f t="shared" si="181"/>
        <v>protein_coding</v>
      </c>
    </row>
    <row r="3831" spans="1:9" x14ac:dyDescent="0.2">
      <c r="A3831" s="3" t="str">
        <f>"ENSG00000185046.18"</f>
        <v>ENSG00000185046.18</v>
      </c>
      <c r="B3831" s="3">
        <v>17.507879950357399</v>
      </c>
      <c r="C3831" s="3">
        <v>6.0572201936699797</v>
      </c>
      <c r="D3831" s="3">
        <v>1.63812134003479</v>
      </c>
      <c r="E3831" s="3">
        <v>3.6976627101026298</v>
      </c>
      <c r="F3831" s="3">
        <v>2.1759374521586301E-4</v>
      </c>
      <c r="G3831" s="3">
        <v>1.1465435652478499E-3</v>
      </c>
      <c r="H3831" s="3" t="str">
        <f>"ANKS1B"</f>
        <v>ANKS1B</v>
      </c>
      <c r="I3831" s="3" t="str">
        <f t="shared" si="181"/>
        <v>protein_coding</v>
      </c>
    </row>
    <row r="3832" spans="1:9" x14ac:dyDescent="0.2">
      <c r="A3832" s="3" t="str">
        <f>"ENSG00000012504.15"</f>
        <v>ENSG00000012504.15</v>
      </c>
      <c r="B3832" s="3">
        <v>901.65975136204702</v>
      </c>
      <c r="C3832" s="3">
        <v>-1.2962324585618501</v>
      </c>
      <c r="D3832" s="3">
        <v>0.199705083060157</v>
      </c>
      <c r="E3832" s="3">
        <v>-6.4907334290103504</v>
      </c>
      <c r="F3832" s="4">
        <v>8.5419503442879497E-11</v>
      </c>
      <c r="G3832" s="4">
        <v>1.3422290716886601E-9</v>
      </c>
      <c r="H3832" s="3" t="str">
        <f>"NR1H4"</f>
        <v>NR1H4</v>
      </c>
      <c r="I3832" s="3" t="str">
        <f t="shared" si="181"/>
        <v>protein_coding</v>
      </c>
    </row>
    <row r="3833" spans="1:9" x14ac:dyDescent="0.2">
      <c r="A3833" s="3" t="str">
        <f>"ENSG00000151572.18"</f>
        <v>ENSG00000151572.18</v>
      </c>
      <c r="B3833" s="3">
        <v>50.969117244207297</v>
      </c>
      <c r="C3833" s="3">
        <v>7.61714475486992</v>
      </c>
      <c r="D3833" s="3">
        <v>1.5156985296754399</v>
      </c>
      <c r="E3833" s="3">
        <v>5.0255011836034402</v>
      </c>
      <c r="F3833" s="4">
        <v>5.0211947028481105E-7</v>
      </c>
      <c r="G3833" s="4">
        <v>4.5362232118203797E-6</v>
      </c>
      <c r="H3833" s="3" t="str">
        <f>"ANO4"</f>
        <v>ANO4</v>
      </c>
      <c r="I3833" s="3" t="str">
        <f t="shared" si="181"/>
        <v>protein_coding</v>
      </c>
    </row>
    <row r="3834" spans="1:9" x14ac:dyDescent="0.2">
      <c r="A3834" s="3" t="str">
        <f>"ENSG00000120800.5"</f>
        <v>ENSG00000120800.5</v>
      </c>
      <c r="B3834" s="3">
        <v>4189.5824766956803</v>
      </c>
      <c r="C3834" s="3">
        <v>-1.2886613980995201</v>
      </c>
      <c r="D3834" s="3">
        <v>0.18032828163525699</v>
      </c>
      <c r="E3834" s="3">
        <v>-7.1461968495105301</v>
      </c>
      <c r="F3834" s="4">
        <v>8.9215098778519501E-13</v>
      </c>
      <c r="G3834" s="4">
        <v>1.7795342579929101E-11</v>
      </c>
      <c r="H3834" s="3" t="str">
        <f>"UTP20"</f>
        <v>UTP20</v>
      </c>
      <c r="I3834" s="3" t="str">
        <f t="shared" si="181"/>
        <v>protein_coding</v>
      </c>
    </row>
    <row r="3835" spans="1:9" x14ac:dyDescent="0.2">
      <c r="A3835" s="3" t="str">
        <f>"ENSG00000196091.13"</f>
        <v>ENSG00000196091.13</v>
      </c>
      <c r="B3835" s="3">
        <v>35.2614600259285</v>
      </c>
      <c r="C3835" s="3">
        <v>3.6651609711953701</v>
      </c>
      <c r="D3835" s="3">
        <v>0.72487354117146097</v>
      </c>
      <c r="E3835" s="3">
        <v>5.05627638894385</v>
      </c>
      <c r="F3835" s="4">
        <v>4.2752161516565602E-7</v>
      </c>
      <c r="G3835" s="4">
        <v>3.9076422168462303E-6</v>
      </c>
      <c r="H3835" s="3" t="str">
        <f>"MYBPC1"</f>
        <v>MYBPC1</v>
      </c>
      <c r="I3835" s="3" t="str">
        <f t="shared" si="181"/>
        <v>protein_coding</v>
      </c>
    </row>
    <row r="3836" spans="1:9" x14ac:dyDescent="0.2">
      <c r="A3836" s="3" t="str">
        <f>"ENSG00000120860.10"</f>
        <v>ENSG00000120860.10</v>
      </c>
      <c r="B3836" s="3">
        <v>334.36862110396697</v>
      </c>
      <c r="C3836" s="3">
        <v>1.0904232906420399</v>
      </c>
      <c r="D3836" s="3">
        <v>0.25676581326354098</v>
      </c>
      <c r="E3836" s="3">
        <v>4.2467619687471698</v>
      </c>
      <c r="F3836" s="4">
        <v>2.1688216035874001E-5</v>
      </c>
      <c r="G3836" s="3">
        <v>1.4311911415099501E-4</v>
      </c>
      <c r="H3836" s="3" t="str">
        <f>"WASHC3"</f>
        <v>WASHC3</v>
      </c>
      <c r="I3836" s="3" t="str">
        <f t="shared" si="181"/>
        <v>protein_coding</v>
      </c>
    </row>
    <row r="3837" spans="1:9" x14ac:dyDescent="0.2">
      <c r="A3837" s="3" t="str">
        <f>"ENSG00000017427.16"</f>
        <v>ENSG00000017427.16</v>
      </c>
      <c r="B3837" s="3">
        <v>5.0277419563543804</v>
      </c>
      <c r="C3837" s="3">
        <v>5.7249864720364698</v>
      </c>
      <c r="D3837" s="3">
        <v>2.0292551541625601</v>
      </c>
      <c r="E3837" s="3">
        <v>2.82122554193983</v>
      </c>
      <c r="F3837" s="3">
        <v>4.7840554620197E-3</v>
      </c>
      <c r="G3837" s="3">
        <v>1.7077316805142299E-2</v>
      </c>
      <c r="H3837" s="3" t="str">
        <f>"IGF1"</f>
        <v>IGF1</v>
      </c>
      <c r="I3837" s="3" t="str">
        <f t="shared" si="181"/>
        <v>protein_coding</v>
      </c>
    </row>
    <row r="3838" spans="1:9" x14ac:dyDescent="0.2">
      <c r="A3838" s="3" t="str">
        <f>"ENSG00000171759.10"</f>
        <v>ENSG00000171759.10</v>
      </c>
      <c r="B3838" s="3">
        <v>8647.5093259368005</v>
      </c>
      <c r="C3838" s="3">
        <v>-1.2583444059239199</v>
      </c>
      <c r="D3838" s="3">
        <v>0.170319789387468</v>
      </c>
      <c r="E3838" s="3">
        <v>-7.3881280058494196</v>
      </c>
      <c r="F3838" s="4">
        <v>1.48910354643071E-13</v>
      </c>
      <c r="G3838" s="4">
        <v>3.27735091515328E-12</v>
      </c>
      <c r="H3838" s="3" t="str">
        <f>"PAH"</f>
        <v>PAH</v>
      </c>
      <c r="I3838" s="3" t="str">
        <f t="shared" si="181"/>
        <v>protein_coding</v>
      </c>
    </row>
    <row r="3839" spans="1:9" x14ac:dyDescent="0.2">
      <c r="A3839" s="3" t="str">
        <f>"ENSG00000136011.15"</f>
        <v>ENSG00000136011.15</v>
      </c>
      <c r="B3839" s="3">
        <v>19.3077179389234</v>
      </c>
      <c r="C3839" s="3">
        <v>7.6683830466855998</v>
      </c>
      <c r="D3839" s="3">
        <v>1.6206972703342499</v>
      </c>
      <c r="E3839" s="3">
        <v>4.7315332647558899</v>
      </c>
      <c r="F3839" s="4">
        <v>2.2283029247737899E-6</v>
      </c>
      <c r="G3839" s="4">
        <v>1.7957577578027598E-5</v>
      </c>
      <c r="H3839" s="3" t="str">
        <f>"STAB2"</f>
        <v>STAB2</v>
      </c>
      <c r="I3839" s="3" t="str">
        <f t="shared" si="181"/>
        <v>protein_coding</v>
      </c>
    </row>
    <row r="3840" spans="1:9" x14ac:dyDescent="0.2">
      <c r="A3840" s="3" t="str">
        <f>"ENSG00000120820.12"</f>
        <v>ENSG00000120820.12</v>
      </c>
      <c r="B3840" s="3">
        <v>7.2290803581149197</v>
      </c>
      <c r="C3840" s="3">
        <v>6.2480594941131198</v>
      </c>
      <c r="D3840" s="3">
        <v>1.87478034210473</v>
      </c>
      <c r="E3840" s="3">
        <v>3.3326888242804502</v>
      </c>
      <c r="F3840" s="3">
        <v>8.6011082883706298E-4</v>
      </c>
      <c r="G3840" s="3">
        <v>3.8704277049254302E-3</v>
      </c>
      <c r="H3840" s="3" t="str">
        <f>"GLT8D2"</f>
        <v>GLT8D2</v>
      </c>
      <c r="I3840" s="3" t="str">
        <f t="shared" si="181"/>
        <v>protein_coding</v>
      </c>
    </row>
    <row r="3841" spans="1:9" x14ac:dyDescent="0.2">
      <c r="A3841" s="3" t="str">
        <f>"ENSG00000111727.12"</f>
        <v>ENSG00000111727.12</v>
      </c>
      <c r="B3841" s="3">
        <v>446.380828800399</v>
      </c>
      <c r="C3841" s="3">
        <v>1.43923138543759</v>
      </c>
      <c r="D3841" s="3">
        <v>0.235151866307204</v>
      </c>
      <c r="E3841" s="3">
        <v>6.1204336076047401</v>
      </c>
      <c r="F3841" s="4">
        <v>9.3321060502082699E-10</v>
      </c>
      <c r="G3841" s="4">
        <v>1.27839061613889E-8</v>
      </c>
      <c r="H3841" s="3" t="str">
        <f>"HCFC2"</f>
        <v>HCFC2</v>
      </c>
      <c r="I3841" s="3" t="str">
        <f t="shared" si="181"/>
        <v>protein_coding</v>
      </c>
    </row>
    <row r="3842" spans="1:9" x14ac:dyDescent="0.2">
      <c r="A3842" s="3" t="str">
        <f>"ENSG00000151131.11"</f>
        <v>ENSG00000151131.11</v>
      </c>
      <c r="B3842" s="3">
        <v>4358.4212282443004</v>
      </c>
      <c r="C3842" s="3">
        <v>2.0718898220501201</v>
      </c>
      <c r="D3842" s="3">
        <v>0.19373966675606599</v>
      </c>
      <c r="E3842" s="3">
        <v>10.6941952401456</v>
      </c>
      <c r="F3842" s="4">
        <v>1.0835617741636399E-26</v>
      </c>
      <c r="G3842" s="4">
        <v>6.7870822208360297E-25</v>
      </c>
      <c r="H3842" s="3" t="str">
        <f>"C12orf45"</f>
        <v>C12orf45</v>
      </c>
      <c r="I3842" s="3" t="str">
        <f t="shared" si="181"/>
        <v>protein_coding</v>
      </c>
    </row>
    <row r="3843" spans="1:9" x14ac:dyDescent="0.2">
      <c r="A3843" s="3" t="str">
        <f>"ENSG00000136010.14"</f>
        <v>ENSG00000136010.14</v>
      </c>
      <c r="B3843" s="3">
        <v>85.726761767131805</v>
      </c>
      <c r="C3843" s="3">
        <v>-1.07367717939495</v>
      </c>
      <c r="D3843" s="3">
        <v>0.42085163515770702</v>
      </c>
      <c r="E3843" s="3">
        <v>-2.5512011590322201</v>
      </c>
      <c r="F3843" s="3">
        <v>1.07352344529867E-2</v>
      </c>
      <c r="G3843" s="3">
        <v>3.3800304924121297E-2</v>
      </c>
      <c r="H3843" s="3" t="str">
        <f>"ALDH1L2"</f>
        <v>ALDH1L2</v>
      </c>
      <c r="I3843" s="3" t="str">
        <f t="shared" si="181"/>
        <v>protein_coding</v>
      </c>
    </row>
    <row r="3844" spans="1:9" x14ac:dyDescent="0.2">
      <c r="A3844" s="3" t="str">
        <f>"ENSG00000166046.11"</f>
        <v>ENSG00000166046.11</v>
      </c>
      <c r="B3844" s="3">
        <v>690.69483376658604</v>
      </c>
      <c r="C3844" s="3">
        <v>2.24514025245267</v>
      </c>
      <c r="D3844" s="3">
        <v>0.22719935920689299</v>
      </c>
      <c r="E3844" s="3">
        <v>9.8818071507332004</v>
      </c>
      <c r="F3844" s="4">
        <v>4.9924325457198098E-23</v>
      </c>
      <c r="G3844" s="4">
        <v>2.4151675053260499E-21</v>
      </c>
      <c r="H3844" s="3" t="str">
        <f>"TCP11L2"</f>
        <v>TCP11L2</v>
      </c>
      <c r="I3844" s="3" t="str">
        <f t="shared" si="181"/>
        <v>protein_coding</v>
      </c>
    </row>
    <row r="3845" spans="1:9" x14ac:dyDescent="0.2">
      <c r="A3845" s="3" t="str">
        <f>"ENSG00000200897.1"</f>
        <v>ENSG00000200897.1</v>
      </c>
      <c r="B3845" s="3">
        <v>13.7727726220047</v>
      </c>
      <c r="C3845" s="3">
        <v>2.9817344994337098</v>
      </c>
      <c r="D3845" s="3">
        <v>1.0186881063586799</v>
      </c>
      <c r="E3845" s="3">
        <v>2.92703378082226</v>
      </c>
      <c r="F3845" s="3">
        <v>3.4221170865014199E-3</v>
      </c>
      <c r="G3845" s="3">
        <v>1.28262780725015E-2</v>
      </c>
      <c r="H3845" s="3" t="str">
        <f>"RF00284"</f>
        <v>RF00284</v>
      </c>
      <c r="I3845" s="3" t="str">
        <f>"snoRNA"</f>
        <v>snoRNA</v>
      </c>
    </row>
    <row r="3846" spans="1:9" x14ac:dyDescent="0.2">
      <c r="A3846" s="3" t="str">
        <f>"ENSG00000136003.15"</f>
        <v>ENSG00000136003.15</v>
      </c>
      <c r="B3846" s="3">
        <v>3934.54600152376</v>
      </c>
      <c r="C3846" s="3">
        <v>2.14009938801934</v>
      </c>
      <c r="D3846" s="3">
        <v>0.181919560987334</v>
      </c>
      <c r="E3846" s="3">
        <v>11.7639872062375</v>
      </c>
      <c r="F3846" s="4">
        <v>5.9840130345393401E-32</v>
      </c>
      <c r="G3846" s="4">
        <v>5.2426496190383699E-30</v>
      </c>
      <c r="H3846" s="3" t="str">
        <f>"ISCU"</f>
        <v>ISCU</v>
      </c>
      <c r="I3846" s="3" t="str">
        <f t="shared" ref="I3846:I3855" si="182">"protein_coding"</f>
        <v>protein_coding</v>
      </c>
    </row>
    <row r="3847" spans="1:9" x14ac:dyDescent="0.2">
      <c r="A3847" s="3" t="str">
        <f>"ENSG00000183160.9"</f>
        <v>ENSG00000183160.9</v>
      </c>
      <c r="B3847" s="3">
        <v>12.296066209648901</v>
      </c>
      <c r="C3847" s="3">
        <v>7.0168555582280501</v>
      </c>
      <c r="D3847" s="3">
        <v>1.70849403015836</v>
      </c>
      <c r="E3847" s="3">
        <v>4.1070413091099001</v>
      </c>
      <c r="F3847" s="4">
        <v>4.0075957735880903E-5</v>
      </c>
      <c r="G3847" s="3">
        <v>2.4998846621555599E-4</v>
      </c>
      <c r="H3847" s="3" t="str">
        <f>"TMEM119"</f>
        <v>TMEM119</v>
      </c>
      <c r="I3847" s="3" t="str">
        <f t="shared" si="182"/>
        <v>protein_coding</v>
      </c>
    </row>
    <row r="3848" spans="1:9" x14ac:dyDescent="0.2">
      <c r="A3848" s="3" t="str">
        <f>"ENSG00000110887.8"</f>
        <v>ENSG00000110887.8</v>
      </c>
      <c r="B3848" s="3">
        <v>104.836290045103</v>
      </c>
      <c r="C3848" s="3">
        <v>4.2693886166900903</v>
      </c>
      <c r="D3848" s="3">
        <v>0.47593761261466699</v>
      </c>
      <c r="E3848" s="3">
        <v>8.9704795408694</v>
      </c>
      <c r="F3848" s="4">
        <v>2.9522627700509802E-19</v>
      </c>
      <c r="G3848" s="4">
        <v>1.0570342141337599E-17</v>
      </c>
      <c r="H3848" s="3" t="str">
        <f>"DAO"</f>
        <v>DAO</v>
      </c>
      <c r="I3848" s="3" t="str">
        <f t="shared" si="182"/>
        <v>protein_coding</v>
      </c>
    </row>
    <row r="3849" spans="1:9" x14ac:dyDescent="0.2">
      <c r="A3849" s="3" t="str">
        <f>"ENSG00000166111.9"</f>
        <v>ENSG00000166111.9</v>
      </c>
      <c r="B3849" s="3">
        <v>5.9457177380145003</v>
      </c>
      <c r="C3849" s="3">
        <v>5.9678110559896602</v>
      </c>
      <c r="D3849" s="3">
        <v>1.9490680149737301</v>
      </c>
      <c r="E3849" s="3">
        <v>3.0618793239342601</v>
      </c>
      <c r="F3849" s="3">
        <v>2.1995210751093899E-3</v>
      </c>
      <c r="G3849" s="3">
        <v>8.7349294175055308E-3</v>
      </c>
      <c r="H3849" s="3" t="str">
        <f>"SVOP"</f>
        <v>SVOP</v>
      </c>
      <c r="I3849" s="3" t="str">
        <f t="shared" si="182"/>
        <v>protein_coding</v>
      </c>
    </row>
    <row r="3850" spans="1:9" x14ac:dyDescent="0.2">
      <c r="A3850" s="3" t="str">
        <f>"ENSG00000076248.10"</f>
        <v>ENSG00000076248.10</v>
      </c>
      <c r="B3850" s="3">
        <v>2003.27482224408</v>
      </c>
      <c r="C3850" s="3">
        <v>-2.26842858851048</v>
      </c>
      <c r="D3850" s="3">
        <v>0.19674245219283301</v>
      </c>
      <c r="E3850" s="3">
        <v>-11.529939589688199</v>
      </c>
      <c r="F3850" s="4">
        <v>9.3209095985521196E-31</v>
      </c>
      <c r="G3850" s="4">
        <v>7.7193563474695901E-29</v>
      </c>
      <c r="H3850" s="3" t="str">
        <f>"UNG"</f>
        <v>UNG</v>
      </c>
      <c r="I3850" s="3" t="str">
        <f t="shared" si="182"/>
        <v>protein_coding</v>
      </c>
    </row>
    <row r="3851" spans="1:9" x14ac:dyDescent="0.2">
      <c r="A3851" s="3" t="str">
        <f>"ENSG00000174527.9"</f>
        <v>ENSG00000174527.9</v>
      </c>
      <c r="B3851" s="3">
        <v>10.309318545318501</v>
      </c>
      <c r="C3851" s="3">
        <v>5.2843039028978804</v>
      </c>
      <c r="D3851" s="3">
        <v>1.7396631771225</v>
      </c>
      <c r="E3851" s="3">
        <v>3.0375442628143698</v>
      </c>
      <c r="F3851" s="3">
        <v>2.3851437296919099E-3</v>
      </c>
      <c r="G3851" s="3">
        <v>9.3696671284480403E-3</v>
      </c>
      <c r="H3851" s="3" t="str">
        <f>"MYO1H"</f>
        <v>MYO1H</v>
      </c>
      <c r="I3851" s="3" t="str">
        <f t="shared" si="182"/>
        <v>protein_coding</v>
      </c>
    </row>
    <row r="3852" spans="1:9" x14ac:dyDescent="0.2">
      <c r="A3852" s="3" t="str">
        <f>"ENSG00000139428.12"</f>
        <v>ENSG00000139428.12</v>
      </c>
      <c r="B3852" s="3">
        <v>964.41124097242698</v>
      </c>
      <c r="C3852" s="3">
        <v>-1.1735885895726801</v>
      </c>
      <c r="D3852" s="3">
        <v>0.25039424268208799</v>
      </c>
      <c r="E3852" s="3">
        <v>-4.6869631545910702</v>
      </c>
      <c r="F3852" s="4">
        <v>2.7728886435535002E-6</v>
      </c>
      <c r="G3852" s="4">
        <v>2.19057398871853E-5</v>
      </c>
      <c r="H3852" s="3" t="str">
        <f>"MMAB"</f>
        <v>MMAB</v>
      </c>
      <c r="I3852" s="3" t="str">
        <f t="shared" si="182"/>
        <v>protein_coding</v>
      </c>
    </row>
    <row r="3853" spans="1:9" x14ac:dyDescent="0.2">
      <c r="A3853" s="3" t="str">
        <f>"ENSG00000110921.14"</f>
        <v>ENSG00000110921.14</v>
      </c>
      <c r="B3853" s="3">
        <v>896.60573658832504</v>
      </c>
      <c r="C3853" s="3">
        <v>-2.7301140626345402</v>
      </c>
      <c r="D3853" s="3">
        <v>0.24993233723107</v>
      </c>
      <c r="E3853" s="3">
        <v>-10.9234126839316</v>
      </c>
      <c r="F3853" s="4">
        <v>8.9084339260319896E-28</v>
      </c>
      <c r="G3853" s="4">
        <v>5.9346723516526598E-26</v>
      </c>
      <c r="H3853" s="3" t="str">
        <f>"MVK"</f>
        <v>MVK</v>
      </c>
      <c r="I3853" s="3" t="str">
        <f t="shared" si="182"/>
        <v>protein_coding</v>
      </c>
    </row>
    <row r="3854" spans="1:9" x14ac:dyDescent="0.2">
      <c r="A3854" s="3" t="str">
        <f>"ENSG00000139438.5"</f>
        <v>ENSG00000139438.5</v>
      </c>
      <c r="B3854" s="3">
        <v>452.93604287948398</v>
      </c>
      <c r="C3854" s="3">
        <v>-1.5101311956078001</v>
      </c>
      <c r="D3854" s="3">
        <v>0.22814935202921399</v>
      </c>
      <c r="E3854" s="3">
        <v>-6.6190466121263798</v>
      </c>
      <c r="F3854" s="4">
        <v>3.6152285385868401E-11</v>
      </c>
      <c r="G3854" s="4">
        <v>5.9953823488055799E-10</v>
      </c>
      <c r="H3854" s="3" t="str">
        <f>"FAM222A"</f>
        <v>FAM222A</v>
      </c>
      <c r="I3854" s="3" t="str">
        <f t="shared" si="182"/>
        <v>protein_coding</v>
      </c>
    </row>
    <row r="3855" spans="1:9" x14ac:dyDescent="0.2">
      <c r="A3855" s="3" t="str">
        <f>"ENSG00000139433.10"</f>
        <v>ENSG00000139433.10</v>
      </c>
      <c r="B3855" s="3">
        <v>1364.6837787989</v>
      </c>
      <c r="C3855" s="3">
        <v>1.84138588405874</v>
      </c>
      <c r="D3855" s="3">
        <v>0.18995983219565499</v>
      </c>
      <c r="E3855" s="3">
        <v>9.6935539623036995</v>
      </c>
      <c r="F3855" s="4">
        <v>3.2115458932075102E-22</v>
      </c>
      <c r="G3855" s="4">
        <v>1.47067211684412E-20</v>
      </c>
      <c r="H3855" s="3" t="str">
        <f>"GLTP"</f>
        <v>GLTP</v>
      </c>
      <c r="I3855" s="3" t="str">
        <f t="shared" si="182"/>
        <v>protein_coding</v>
      </c>
    </row>
    <row r="3856" spans="1:9" x14ac:dyDescent="0.2">
      <c r="A3856" s="3" t="str">
        <f>"ENSG00000241413.3"</f>
        <v>ENSG00000241413.3</v>
      </c>
      <c r="B3856" s="3">
        <v>12.226471260355799</v>
      </c>
      <c r="C3856" s="3">
        <v>5.5310299748746701</v>
      </c>
      <c r="D3856" s="3">
        <v>1.6972002070359</v>
      </c>
      <c r="E3856" s="3">
        <v>3.25891427065898</v>
      </c>
      <c r="F3856" s="3">
        <v>1.11839458173542E-3</v>
      </c>
      <c r="G3856" s="3">
        <v>4.8632137198443897E-3</v>
      </c>
      <c r="H3856" s="3" t="str">
        <f>"RN7SL441P"</f>
        <v>RN7SL441P</v>
      </c>
      <c r="I3856" s="3" t="str">
        <f>"misc_RNA"</f>
        <v>misc_RNA</v>
      </c>
    </row>
    <row r="3857" spans="1:9" x14ac:dyDescent="0.2">
      <c r="A3857" s="3" t="str">
        <f>"ENSG00000139437.18"</f>
        <v>ENSG00000139437.18</v>
      </c>
      <c r="B3857" s="3">
        <v>585.66613439066396</v>
      </c>
      <c r="C3857" s="3">
        <v>-1.64893682832762</v>
      </c>
      <c r="D3857" s="3">
        <v>0.228735734981412</v>
      </c>
      <c r="E3857" s="3">
        <v>-7.20891656243227</v>
      </c>
      <c r="F3857" s="4">
        <v>5.6398804779782204E-13</v>
      </c>
      <c r="G3857" s="4">
        <v>1.1571522845140999E-11</v>
      </c>
      <c r="H3857" s="3" t="str">
        <f>"TCHP"</f>
        <v>TCHP</v>
      </c>
      <c r="I3857" s="3" t="str">
        <f t="shared" ref="I3857:I3866" si="183">"protein_coding"</f>
        <v>protein_coding</v>
      </c>
    </row>
    <row r="3858" spans="1:9" x14ac:dyDescent="0.2">
      <c r="A3858" s="3" t="str">
        <f>"ENSG00000122986.13"</f>
        <v>ENSG00000122986.13</v>
      </c>
      <c r="B3858" s="3">
        <v>62.025354135206904</v>
      </c>
      <c r="C3858" s="3">
        <v>2.2840247366852702</v>
      </c>
      <c r="D3858" s="3">
        <v>0.47897249081026499</v>
      </c>
      <c r="E3858" s="3">
        <v>4.7685927281991702</v>
      </c>
      <c r="F3858" s="4">
        <v>1.8551727795872601E-6</v>
      </c>
      <c r="G3858" s="4">
        <v>1.51205183145121E-5</v>
      </c>
      <c r="H3858" s="3" t="str">
        <f>"HVCN1"</f>
        <v>HVCN1</v>
      </c>
      <c r="I3858" s="3" t="str">
        <f t="shared" si="183"/>
        <v>protein_coding</v>
      </c>
    </row>
    <row r="3859" spans="1:9" x14ac:dyDescent="0.2">
      <c r="A3859" s="3" t="str">
        <f>"ENSG00000173093.12"</f>
        <v>ENSG00000173093.12</v>
      </c>
      <c r="B3859" s="3">
        <v>7.8571513013211103</v>
      </c>
      <c r="C3859" s="3">
        <v>6.3736980928424503</v>
      </c>
      <c r="D3859" s="3">
        <v>1.8548380440636101</v>
      </c>
      <c r="E3859" s="3">
        <v>3.43625585707679</v>
      </c>
      <c r="F3859" s="3">
        <v>5.8981367703012902E-4</v>
      </c>
      <c r="G3859" s="3">
        <v>2.77462936084944E-3</v>
      </c>
      <c r="H3859" s="3" t="str">
        <f>"CCDC63"</f>
        <v>CCDC63</v>
      </c>
      <c r="I3859" s="3" t="str">
        <f t="shared" si="183"/>
        <v>protein_coding</v>
      </c>
    </row>
    <row r="3860" spans="1:9" x14ac:dyDescent="0.2">
      <c r="A3860" s="3" t="str">
        <f>"ENSG00000111249.14"</f>
        <v>ENSG00000111249.14</v>
      </c>
      <c r="B3860" s="3">
        <v>10.6050670655557</v>
      </c>
      <c r="C3860" s="3">
        <v>6.8009228913127302</v>
      </c>
      <c r="D3860" s="3">
        <v>1.7518865706715101</v>
      </c>
      <c r="E3860" s="3">
        <v>3.8820566383506701</v>
      </c>
      <c r="F3860" s="3">
        <v>1.0357674446690501E-4</v>
      </c>
      <c r="G3860" s="3">
        <v>5.9102734167324898E-4</v>
      </c>
      <c r="H3860" s="3" t="str">
        <f>"CUX2"</f>
        <v>CUX2</v>
      </c>
      <c r="I3860" s="3" t="str">
        <f t="shared" si="183"/>
        <v>protein_coding</v>
      </c>
    </row>
    <row r="3861" spans="1:9" x14ac:dyDescent="0.2">
      <c r="A3861" s="3" t="str">
        <f>"ENSG00000198270.13"</f>
        <v>ENSG00000198270.13</v>
      </c>
      <c r="B3861" s="3">
        <v>412.68390753927201</v>
      </c>
      <c r="C3861" s="3">
        <v>1.3849040862265301</v>
      </c>
      <c r="D3861" s="3">
        <v>0.249041102376724</v>
      </c>
      <c r="E3861" s="3">
        <v>5.5609458559639497</v>
      </c>
      <c r="F3861" s="4">
        <v>2.6831643857534201E-8</v>
      </c>
      <c r="G3861" s="4">
        <v>3.0060929283973498E-7</v>
      </c>
      <c r="H3861" s="3" t="str">
        <f>"TMEM116"</f>
        <v>TMEM116</v>
      </c>
      <c r="I3861" s="3" t="str">
        <f t="shared" si="183"/>
        <v>protein_coding</v>
      </c>
    </row>
    <row r="3862" spans="1:9" x14ac:dyDescent="0.2">
      <c r="A3862" s="3" t="str">
        <f>"ENSG00000089169.15"</f>
        <v>ENSG00000089169.15</v>
      </c>
      <c r="B3862" s="3">
        <v>19.341118152319801</v>
      </c>
      <c r="C3862" s="3">
        <v>6.2103855016405003</v>
      </c>
      <c r="D3862" s="3">
        <v>1.6108607390024701</v>
      </c>
      <c r="E3862" s="3">
        <v>3.8553211654325299</v>
      </c>
      <c r="F3862" s="3">
        <v>1.1557779501862399E-4</v>
      </c>
      <c r="G3862" s="3">
        <v>6.5267319810827695E-4</v>
      </c>
      <c r="H3862" s="3" t="str">
        <f>"RPH3A"</f>
        <v>RPH3A</v>
      </c>
      <c r="I3862" s="3" t="str">
        <f t="shared" si="183"/>
        <v>protein_coding</v>
      </c>
    </row>
    <row r="3863" spans="1:9" x14ac:dyDescent="0.2">
      <c r="A3863" s="3" t="str">
        <f>"ENSG00000111344.11"</f>
        <v>ENSG00000111344.11</v>
      </c>
      <c r="B3863" s="3">
        <v>1898.1829907732599</v>
      </c>
      <c r="C3863" s="3">
        <v>10.238817451031</v>
      </c>
      <c r="D3863" s="3">
        <v>1.67414096394062</v>
      </c>
      <c r="E3863" s="3">
        <v>6.1158634019268598</v>
      </c>
      <c r="F3863" s="4">
        <v>9.6035563133589209E-10</v>
      </c>
      <c r="G3863" s="4">
        <v>1.31096241918883E-8</v>
      </c>
      <c r="H3863" s="3" t="str">
        <f>"RASAL1"</f>
        <v>RASAL1</v>
      </c>
      <c r="I3863" s="3" t="str">
        <f t="shared" si="183"/>
        <v>protein_coding</v>
      </c>
    </row>
    <row r="3864" spans="1:9" x14ac:dyDescent="0.2">
      <c r="A3864" s="3" t="str">
        <f>"ENSG00000139405.16"</f>
        <v>ENSG00000139405.16</v>
      </c>
      <c r="B3864" s="3">
        <v>712.75811746913996</v>
      </c>
      <c r="C3864" s="3">
        <v>-1.15520562469864</v>
      </c>
      <c r="D3864" s="3">
        <v>0.241616641715268</v>
      </c>
      <c r="E3864" s="3">
        <v>-4.7811509029249004</v>
      </c>
      <c r="F3864" s="4">
        <v>1.74294463037105E-6</v>
      </c>
      <c r="G3864" s="4">
        <v>1.4308530383766201E-5</v>
      </c>
      <c r="H3864" s="3" t="str">
        <f>"RITA1"</f>
        <v>RITA1</v>
      </c>
      <c r="I3864" s="3" t="str">
        <f t="shared" si="183"/>
        <v>protein_coding</v>
      </c>
    </row>
    <row r="3865" spans="1:9" x14ac:dyDescent="0.2">
      <c r="A3865" s="3" t="str">
        <f>"ENSG00000166578.10"</f>
        <v>ENSG00000166578.10</v>
      </c>
      <c r="B3865" s="3">
        <v>81.001799310187707</v>
      </c>
      <c r="C3865" s="3">
        <v>2.29525752041509</v>
      </c>
      <c r="D3865" s="3">
        <v>0.43235001187204702</v>
      </c>
      <c r="E3865" s="3">
        <v>5.3087948592317096</v>
      </c>
      <c r="F3865" s="4">
        <v>1.10352449821888E-7</v>
      </c>
      <c r="G3865" s="4">
        <v>1.1136197038136999E-6</v>
      </c>
      <c r="H3865" s="3" t="str">
        <f>"IQCD"</f>
        <v>IQCD</v>
      </c>
      <c r="I3865" s="3" t="str">
        <f t="shared" si="183"/>
        <v>protein_coding</v>
      </c>
    </row>
    <row r="3866" spans="1:9" x14ac:dyDescent="0.2">
      <c r="A3866" s="3" t="str">
        <f>"ENSG00000186815.12"</f>
        <v>ENSG00000186815.12</v>
      </c>
      <c r="B3866" s="3">
        <v>3674.5383505591999</v>
      </c>
      <c r="C3866" s="3">
        <v>1.5820340674968201</v>
      </c>
      <c r="D3866" s="3">
        <v>0.198612431916976</v>
      </c>
      <c r="E3866" s="3">
        <v>7.9654332421554699</v>
      </c>
      <c r="F3866" s="4">
        <v>1.64645901599129E-15</v>
      </c>
      <c r="G3866" s="4">
        <v>4.3094206348428997E-14</v>
      </c>
      <c r="H3866" s="3" t="str">
        <f>"TPCN1"</f>
        <v>TPCN1</v>
      </c>
      <c r="I3866" s="3" t="str">
        <f t="shared" si="183"/>
        <v>protein_coding</v>
      </c>
    </row>
    <row r="3867" spans="1:9" x14ac:dyDescent="0.2">
      <c r="A3867" s="3" t="str">
        <f>"ENSG00000277566.1"</f>
        <v>ENSG00000277566.1</v>
      </c>
      <c r="B3867" s="3">
        <v>43.329123006682998</v>
      </c>
      <c r="C3867" s="3">
        <v>2.1411809111574098</v>
      </c>
      <c r="D3867" s="3">
        <v>0.55787967230379498</v>
      </c>
      <c r="E3867" s="3">
        <v>3.8380694215211002</v>
      </c>
      <c r="F3867" s="3">
        <v>1.24005427673622E-4</v>
      </c>
      <c r="G3867" s="3">
        <v>6.9507835585747404E-4</v>
      </c>
      <c r="H3867" s="3" t="str">
        <f>"AC089999.2"</f>
        <v>AC089999.2</v>
      </c>
      <c r="I3867" s="3" t="str">
        <f>"sense_intronic"</f>
        <v>sense_intronic</v>
      </c>
    </row>
    <row r="3868" spans="1:9" x14ac:dyDescent="0.2">
      <c r="A3868" s="3" t="str">
        <f>"ENSG00000139410.15"</f>
        <v>ENSG00000139410.15</v>
      </c>
      <c r="B3868" s="3">
        <v>122.581491408481</v>
      </c>
      <c r="C3868" s="3">
        <v>3.2238179558238</v>
      </c>
      <c r="D3868" s="3">
        <v>0.413218570465753</v>
      </c>
      <c r="E3868" s="3">
        <v>7.8017257360677901</v>
      </c>
      <c r="F3868" s="4">
        <v>6.1066252113852E-15</v>
      </c>
      <c r="G3868" s="4">
        <v>1.4989839381496599E-13</v>
      </c>
      <c r="H3868" s="3" t="str">
        <f>"SDSL"</f>
        <v>SDSL</v>
      </c>
      <c r="I3868" s="3" t="str">
        <f>"protein_coding"</f>
        <v>protein_coding</v>
      </c>
    </row>
    <row r="3869" spans="1:9" x14ac:dyDescent="0.2">
      <c r="A3869" s="3" t="str">
        <f>"ENSG00000089116.4"</f>
        <v>ENSG00000089116.4</v>
      </c>
      <c r="B3869" s="3">
        <v>14.1078084063316</v>
      </c>
      <c r="C3869" s="3">
        <v>2.76512161478274</v>
      </c>
      <c r="D3869" s="3">
        <v>0.98476384605374001</v>
      </c>
      <c r="E3869" s="3">
        <v>2.8079032611356101</v>
      </c>
      <c r="F3869" s="3">
        <v>4.9865203764676101E-3</v>
      </c>
      <c r="G3869" s="3">
        <v>1.7677299075932001E-2</v>
      </c>
      <c r="H3869" s="3" t="str">
        <f>"LHX5"</f>
        <v>LHX5</v>
      </c>
      <c r="I3869" s="3" t="str">
        <f>"protein_coding"</f>
        <v>protein_coding</v>
      </c>
    </row>
    <row r="3870" spans="1:9" x14ac:dyDescent="0.2">
      <c r="A3870" s="3" t="str">
        <f>"ENSG00000257817.1"</f>
        <v>ENSG00000257817.1</v>
      </c>
      <c r="B3870" s="3">
        <v>33.896067191283997</v>
      </c>
      <c r="C3870" s="3">
        <v>2.4736508155374</v>
      </c>
      <c r="D3870" s="3">
        <v>0.64956540797334605</v>
      </c>
      <c r="E3870" s="3">
        <v>3.80816278880248</v>
      </c>
      <c r="F3870" s="3">
        <v>1.40003099410538E-4</v>
      </c>
      <c r="G3870" s="3">
        <v>7.7533830277214198E-4</v>
      </c>
      <c r="H3870" s="3" t="str">
        <f>"AC026765.2"</f>
        <v>AC026765.2</v>
      </c>
      <c r="I3870" s="3" t="str">
        <f>"lincRNA"</f>
        <v>lincRNA</v>
      </c>
    </row>
    <row r="3871" spans="1:9" x14ac:dyDescent="0.2">
      <c r="A3871" s="3" t="str">
        <f>"ENSG00000257683.1"</f>
        <v>ENSG00000257683.1</v>
      </c>
      <c r="B3871" s="3">
        <v>44.999314669607699</v>
      </c>
      <c r="C3871" s="3">
        <v>4.5793866995848704</v>
      </c>
      <c r="D3871" s="3">
        <v>0.73368516143380902</v>
      </c>
      <c r="E3871" s="3">
        <v>6.2416237104149399</v>
      </c>
      <c r="F3871" s="4">
        <v>4.3305173305939002E-10</v>
      </c>
      <c r="G3871" s="4">
        <v>6.1359129332653196E-9</v>
      </c>
      <c r="H3871" s="3" t="str">
        <f>"LINC02463"</f>
        <v>LINC02463</v>
      </c>
      <c r="I3871" s="3" t="str">
        <f>"lincRNA"</f>
        <v>lincRNA</v>
      </c>
    </row>
    <row r="3872" spans="1:9" x14ac:dyDescent="0.2">
      <c r="A3872" s="3" t="str">
        <f>"ENSG00000200112.1"</f>
        <v>ENSG00000200112.1</v>
      </c>
      <c r="B3872" s="3">
        <v>5.5773251092012899</v>
      </c>
      <c r="C3872" s="3">
        <v>5.8730172189294603</v>
      </c>
      <c r="D3872" s="3">
        <v>1.9878318593136</v>
      </c>
      <c r="E3872" s="3">
        <v>2.9544838973238998</v>
      </c>
      <c r="F3872" s="3">
        <v>3.13192497340763E-3</v>
      </c>
      <c r="G3872" s="3">
        <v>1.18835203663052E-2</v>
      </c>
      <c r="H3872" s="3" t="str">
        <f>"RF00275"</f>
        <v>RF00275</v>
      </c>
      <c r="I3872" s="3" t="str">
        <f>"snoRNA"</f>
        <v>snoRNA</v>
      </c>
    </row>
    <row r="3873" spans="1:9" x14ac:dyDescent="0.2">
      <c r="A3873" s="3" t="str">
        <f>"ENSG00000088992.18"</f>
        <v>ENSG00000088992.18</v>
      </c>
      <c r="B3873" s="3">
        <v>1567.2302334782601</v>
      </c>
      <c r="C3873" s="3">
        <v>-1.69459034946702</v>
      </c>
      <c r="D3873" s="3">
        <v>0.21574437469483301</v>
      </c>
      <c r="E3873" s="3">
        <v>-7.8546212473163903</v>
      </c>
      <c r="F3873" s="4">
        <v>4.0098200925042903E-15</v>
      </c>
      <c r="G3873" s="4">
        <v>1.0135024866462399E-13</v>
      </c>
      <c r="H3873" s="3" t="str">
        <f>"TESC"</f>
        <v>TESC</v>
      </c>
      <c r="I3873" s="3" t="str">
        <f t="shared" ref="I3873:I3878" si="184">"protein_coding"</f>
        <v>protein_coding</v>
      </c>
    </row>
    <row r="3874" spans="1:9" x14ac:dyDescent="0.2">
      <c r="A3874" s="3" t="str">
        <f>"ENSG00000089250.19"</f>
        <v>ENSG00000089250.19</v>
      </c>
      <c r="B3874" s="3">
        <v>11.1098984393647</v>
      </c>
      <c r="C3874" s="3">
        <v>3.74777978381782</v>
      </c>
      <c r="D3874" s="3">
        <v>1.28960457449606</v>
      </c>
      <c r="E3874" s="3">
        <v>2.9061464715122902</v>
      </c>
      <c r="F3874" s="3">
        <v>3.6591012118952198E-3</v>
      </c>
      <c r="G3874" s="3">
        <v>1.36034289426264E-2</v>
      </c>
      <c r="H3874" s="3" t="str">
        <f>"NOS1"</f>
        <v>NOS1</v>
      </c>
      <c r="I3874" s="3" t="str">
        <f t="shared" si="184"/>
        <v>protein_coding</v>
      </c>
    </row>
    <row r="3875" spans="1:9" x14ac:dyDescent="0.2">
      <c r="A3875" s="3" t="str">
        <f>"ENSG00000171435.13"</f>
        <v>ENSG00000171435.13</v>
      </c>
      <c r="B3875" s="3">
        <v>22.906452580189899</v>
      </c>
      <c r="C3875" s="3">
        <v>1.98743052230824</v>
      </c>
      <c r="D3875" s="3">
        <v>0.81344246538723797</v>
      </c>
      <c r="E3875" s="3">
        <v>2.4432342874577202</v>
      </c>
      <c r="F3875" s="3">
        <v>1.4556284143348501E-2</v>
      </c>
      <c r="G3875" s="3">
        <v>4.3474967595607303E-2</v>
      </c>
      <c r="H3875" s="3" t="str">
        <f>"KSR2"</f>
        <v>KSR2</v>
      </c>
      <c r="I3875" s="3" t="str">
        <f t="shared" si="184"/>
        <v>protein_coding</v>
      </c>
    </row>
    <row r="3876" spans="1:9" x14ac:dyDescent="0.2">
      <c r="A3876" s="3" t="str">
        <f>"ENSG00000152137.6"</f>
        <v>ENSG00000152137.6</v>
      </c>
      <c r="B3876" s="3">
        <v>69.412335203014294</v>
      </c>
      <c r="C3876" s="3">
        <v>1.95681826498515</v>
      </c>
      <c r="D3876" s="3">
        <v>0.45962044008658298</v>
      </c>
      <c r="E3876" s="3">
        <v>4.2574657137017899</v>
      </c>
      <c r="F3876" s="4">
        <v>2.06757357195244E-5</v>
      </c>
      <c r="G3876" s="3">
        <v>1.37068557457392E-4</v>
      </c>
      <c r="H3876" s="3" t="str">
        <f>"HSPB8"</f>
        <v>HSPB8</v>
      </c>
      <c r="I3876" s="3" t="str">
        <f t="shared" si="184"/>
        <v>protein_coding</v>
      </c>
    </row>
    <row r="3877" spans="1:9" x14ac:dyDescent="0.2">
      <c r="A3877" s="3" t="str">
        <f>"ENSG00000183273.7"</f>
        <v>ENSG00000183273.7</v>
      </c>
      <c r="B3877" s="3">
        <v>190.89417445677299</v>
      </c>
      <c r="C3877" s="3">
        <v>6.9334704767277602</v>
      </c>
      <c r="D3877" s="3">
        <v>0.65421742398594795</v>
      </c>
      <c r="E3877" s="3">
        <v>10.598113444432901</v>
      </c>
      <c r="F3877" s="4">
        <v>3.0405171214189499E-26</v>
      </c>
      <c r="G3877" s="4">
        <v>1.8533550337203998E-24</v>
      </c>
      <c r="H3877" s="3" t="str">
        <f>"CCDC60"</f>
        <v>CCDC60</v>
      </c>
      <c r="I3877" s="3" t="str">
        <f t="shared" si="184"/>
        <v>protein_coding</v>
      </c>
    </row>
    <row r="3878" spans="1:9" x14ac:dyDescent="0.2">
      <c r="A3878" s="3" t="str">
        <f>"ENSG00000111725.11"</f>
        <v>ENSG00000111725.11</v>
      </c>
      <c r="B3878" s="3">
        <v>3998.88458105068</v>
      </c>
      <c r="C3878" s="3">
        <v>1.63114992431952</v>
      </c>
      <c r="D3878" s="3">
        <v>0.18590670180173499</v>
      </c>
      <c r="E3878" s="3">
        <v>8.7740243278539705</v>
      </c>
      <c r="F3878" s="4">
        <v>1.7239196248967699E-18</v>
      </c>
      <c r="G3878" s="4">
        <v>5.8422435347714296E-17</v>
      </c>
      <c r="H3878" s="3" t="str">
        <f>"PRKAB1"</f>
        <v>PRKAB1</v>
      </c>
      <c r="I3878" s="3" t="str">
        <f t="shared" si="184"/>
        <v>protein_coding</v>
      </c>
    </row>
    <row r="3879" spans="1:9" x14ac:dyDescent="0.2">
      <c r="A3879" s="3" t="str">
        <f>"ENSG00000255857.5"</f>
        <v>ENSG00000255857.5</v>
      </c>
      <c r="B3879" s="3">
        <v>133.102376642374</v>
      </c>
      <c r="C3879" s="3">
        <v>-1.2077566961317401</v>
      </c>
      <c r="D3879" s="3">
        <v>0.352598279449993</v>
      </c>
      <c r="E3879" s="3">
        <v>-3.42530513199238</v>
      </c>
      <c r="F3879" s="3">
        <v>6.1410929518039797E-4</v>
      </c>
      <c r="G3879" s="3">
        <v>2.8725555306060601E-3</v>
      </c>
      <c r="H3879" s="3" t="str">
        <f>"PXN-AS1"</f>
        <v>PXN-AS1</v>
      </c>
      <c r="I3879" s="3" t="str">
        <f>"antisense"</f>
        <v>antisense</v>
      </c>
    </row>
    <row r="3880" spans="1:9" x14ac:dyDescent="0.2">
      <c r="A3880" s="3" t="str">
        <f>"ENSG00000123009.4"</f>
        <v>ENSG00000123009.4</v>
      </c>
      <c r="B3880" s="3">
        <v>41.290244262673397</v>
      </c>
      <c r="C3880" s="3">
        <v>-1.4726487728464699</v>
      </c>
      <c r="D3880" s="3">
        <v>0.57270193059241803</v>
      </c>
      <c r="E3880" s="3">
        <v>-2.5714052881280201</v>
      </c>
      <c r="F3880" s="3">
        <v>1.0128671580374201E-2</v>
      </c>
      <c r="G3880" s="3">
        <v>3.2150036643808902E-2</v>
      </c>
      <c r="H3880" s="3" t="str">
        <f>"NME2P1"</f>
        <v>NME2P1</v>
      </c>
      <c r="I3880" s="3" t="str">
        <f>"processed_pseudogene"</f>
        <v>processed_pseudogene</v>
      </c>
    </row>
    <row r="3881" spans="1:9" x14ac:dyDescent="0.2">
      <c r="A3881" s="3" t="str">
        <f>"ENSG00000248008.2"</f>
        <v>ENSG00000248008.2</v>
      </c>
      <c r="B3881" s="3">
        <v>255.680468004582</v>
      </c>
      <c r="C3881" s="3">
        <v>1.04766748325187</v>
      </c>
      <c r="D3881" s="3">
        <v>0.267236485365759</v>
      </c>
      <c r="E3881" s="3">
        <v>3.92037592403581</v>
      </c>
      <c r="F3881" s="4">
        <v>8.8410946461278005E-5</v>
      </c>
      <c r="G3881" s="3">
        <v>5.1330344304931599E-4</v>
      </c>
      <c r="H3881" s="3" t="str">
        <f>"NRAV"</f>
        <v>NRAV</v>
      </c>
      <c r="I3881" s="3" t="str">
        <f>"antisense"</f>
        <v>antisense</v>
      </c>
    </row>
    <row r="3882" spans="1:9" x14ac:dyDescent="0.2">
      <c r="A3882" s="3" t="str">
        <f>"ENSG00000241388.5"</f>
        <v>ENSG00000241388.5</v>
      </c>
      <c r="B3882" s="3">
        <v>463.15031043390798</v>
      </c>
      <c r="C3882" s="3">
        <v>-2.09360241349437</v>
      </c>
      <c r="D3882" s="3">
        <v>0.23266316948614399</v>
      </c>
      <c r="E3882" s="3">
        <v>-8.9984264295817091</v>
      </c>
      <c r="F3882" s="4">
        <v>2.2897588648340898E-19</v>
      </c>
      <c r="G3882" s="4">
        <v>8.2853997065251594E-18</v>
      </c>
      <c r="H3882" s="3" t="str">
        <f>"HNF1A-AS1"</f>
        <v>HNF1A-AS1</v>
      </c>
      <c r="I3882" s="3" t="str">
        <f>"processed_transcript"</f>
        <v>processed_transcript</v>
      </c>
    </row>
    <row r="3883" spans="1:9" x14ac:dyDescent="0.2">
      <c r="A3883" s="3" t="str">
        <f>"ENSG00000135100.17"</f>
        <v>ENSG00000135100.17</v>
      </c>
      <c r="B3883" s="3">
        <v>1823.5908957118199</v>
      </c>
      <c r="C3883" s="3">
        <v>-1.1742060832153101</v>
      </c>
      <c r="D3883" s="3">
        <v>0.22297555461628699</v>
      </c>
      <c r="E3883" s="3">
        <v>-5.2660754011172699</v>
      </c>
      <c r="F3883" s="4">
        <v>1.39371060062408E-7</v>
      </c>
      <c r="G3883" s="4">
        <v>1.3803865043694799E-6</v>
      </c>
      <c r="H3883" s="3" t="str">
        <f>"HNF1A"</f>
        <v>HNF1A</v>
      </c>
      <c r="I3883" s="3" t="str">
        <f>"protein_coding"</f>
        <v>protein_coding</v>
      </c>
    </row>
    <row r="3884" spans="1:9" x14ac:dyDescent="0.2">
      <c r="A3884" s="3" t="str">
        <f>"ENSG00000139725.8"</f>
        <v>ENSG00000139725.8</v>
      </c>
      <c r="B3884" s="3">
        <v>1498.7746703292901</v>
      </c>
      <c r="C3884" s="3">
        <v>-1.2115209531830999</v>
      </c>
      <c r="D3884" s="3">
        <v>0.21466992810560401</v>
      </c>
      <c r="E3884" s="3">
        <v>-5.6436454042464002</v>
      </c>
      <c r="F3884" s="4">
        <v>1.6648679357759601E-8</v>
      </c>
      <c r="G3884" s="4">
        <v>1.91889410516445E-7</v>
      </c>
      <c r="H3884" s="3" t="str">
        <f>"RHOF"</f>
        <v>RHOF</v>
      </c>
      <c r="I3884" s="3" t="str">
        <f>"protein_coding"</f>
        <v>protein_coding</v>
      </c>
    </row>
    <row r="3885" spans="1:9" x14ac:dyDescent="0.2">
      <c r="A3885" s="3" t="str">
        <f>"ENSG00000212694.8"</f>
        <v>ENSG00000212694.8</v>
      </c>
      <c r="B3885" s="3">
        <v>540.22606081670904</v>
      </c>
      <c r="C3885" s="3">
        <v>-1.13770453220127</v>
      </c>
      <c r="D3885" s="3">
        <v>0.235529390440151</v>
      </c>
      <c r="E3885" s="3">
        <v>-4.8304142853474099</v>
      </c>
      <c r="F3885" s="4">
        <v>1.3624925931905401E-6</v>
      </c>
      <c r="G3885" s="4">
        <v>1.1419205071258899E-5</v>
      </c>
      <c r="H3885" s="3" t="str">
        <f>"LINC01089"</f>
        <v>LINC01089</v>
      </c>
      <c r="I3885" s="3" t="str">
        <f>"lincRNA"</f>
        <v>lincRNA</v>
      </c>
    </row>
    <row r="3886" spans="1:9" x14ac:dyDescent="0.2">
      <c r="A3886" s="3" t="str">
        <f>"ENSG00000274292.1"</f>
        <v>ENSG00000274292.1</v>
      </c>
      <c r="B3886" s="3">
        <v>68.546730645149594</v>
      </c>
      <c r="C3886" s="3">
        <v>-1.39131436854812</v>
      </c>
      <c r="D3886" s="3">
        <v>0.43807842230962402</v>
      </c>
      <c r="E3886" s="3">
        <v>-3.1759481811792498</v>
      </c>
      <c r="F3886" s="3">
        <v>1.4934762622048701E-3</v>
      </c>
      <c r="G3886" s="3">
        <v>6.2584970341888696E-3</v>
      </c>
      <c r="H3886" s="3" t="str">
        <f>"AC084018.2"</f>
        <v>AC084018.2</v>
      </c>
      <c r="I3886" s="3" t="str">
        <f>"lincRNA"</f>
        <v>lincRNA</v>
      </c>
    </row>
    <row r="3887" spans="1:9" x14ac:dyDescent="0.2">
      <c r="A3887" s="3" t="str">
        <f>"ENSG00000139718.10"</f>
        <v>ENSG00000139718.10</v>
      </c>
      <c r="B3887" s="3">
        <v>2063.6379443745</v>
      </c>
      <c r="C3887" s="3">
        <v>-1.1187048355745099</v>
      </c>
      <c r="D3887" s="3">
        <v>0.23660538099506201</v>
      </c>
      <c r="E3887" s="3">
        <v>-4.7281462106639998</v>
      </c>
      <c r="F3887" s="4">
        <v>2.2657900667249401E-6</v>
      </c>
      <c r="G3887" s="4">
        <v>1.8227334498982698E-5</v>
      </c>
      <c r="H3887" s="3" t="str">
        <f>"SETD1B"</f>
        <v>SETD1B</v>
      </c>
      <c r="I3887" s="3" t="str">
        <f>"protein_coding"</f>
        <v>protein_coding</v>
      </c>
    </row>
    <row r="3888" spans="1:9" x14ac:dyDescent="0.2">
      <c r="A3888" s="3" t="str">
        <f>"ENSG00000158023.10"</f>
        <v>ENSG00000158023.10</v>
      </c>
      <c r="B3888" s="3">
        <v>163.85493368677501</v>
      </c>
      <c r="C3888" s="3">
        <v>3.0832637327274899</v>
      </c>
      <c r="D3888" s="3">
        <v>0.34740389593094201</v>
      </c>
      <c r="E3888" s="3">
        <v>8.8751558886961508</v>
      </c>
      <c r="F3888" s="4">
        <v>6.9835528964865E-19</v>
      </c>
      <c r="G3888" s="4">
        <v>2.4363747217742299E-17</v>
      </c>
      <c r="H3888" s="3" t="str">
        <f>"WDR66"</f>
        <v>WDR66</v>
      </c>
      <c r="I3888" s="3" t="str">
        <f>"protein_coding"</f>
        <v>protein_coding</v>
      </c>
    </row>
    <row r="3889" spans="1:9" x14ac:dyDescent="0.2">
      <c r="A3889" s="3" t="str">
        <f>"ENSG00000255856.2"</f>
        <v>ENSG00000255856.2</v>
      </c>
      <c r="B3889" s="3">
        <v>19.051007622670902</v>
      </c>
      <c r="C3889" s="3">
        <v>3.7751877144346202</v>
      </c>
      <c r="D3889" s="3">
        <v>1.02013284580036</v>
      </c>
      <c r="E3889" s="3">
        <v>3.7006824454051599</v>
      </c>
      <c r="F3889" s="3">
        <v>2.1502041968081401E-4</v>
      </c>
      <c r="G3889" s="3">
        <v>1.13605999128236E-3</v>
      </c>
      <c r="H3889" s="3" t="str">
        <f>"AC069503.1"</f>
        <v>AC069503.1</v>
      </c>
      <c r="I3889" s="3" t="str">
        <f>"lincRNA"</f>
        <v>lincRNA</v>
      </c>
    </row>
    <row r="3890" spans="1:9" x14ac:dyDescent="0.2">
      <c r="A3890" s="3" t="str">
        <f>"ENSG00000182782.7"</f>
        <v>ENSG00000182782.7</v>
      </c>
      <c r="B3890" s="3">
        <v>162.607087908674</v>
      </c>
      <c r="C3890" s="3">
        <v>3.3879247692129599</v>
      </c>
      <c r="D3890" s="3">
        <v>0.37226683712238501</v>
      </c>
      <c r="E3890" s="3">
        <v>9.1007966097693505</v>
      </c>
      <c r="F3890" s="4">
        <v>8.9671669475253797E-20</v>
      </c>
      <c r="G3890" s="4">
        <v>3.3840498312911901E-18</v>
      </c>
      <c r="H3890" s="3" t="str">
        <f>"HCAR2"</f>
        <v>HCAR2</v>
      </c>
      <c r="I3890" s="3" t="str">
        <f>"protein_coding"</f>
        <v>protein_coding</v>
      </c>
    </row>
    <row r="3891" spans="1:9" x14ac:dyDescent="0.2">
      <c r="A3891" s="3" t="str">
        <f>"ENSG00000255398.2"</f>
        <v>ENSG00000255398.2</v>
      </c>
      <c r="B3891" s="3">
        <v>464.92259475206902</v>
      </c>
      <c r="C3891" s="3">
        <v>3.2915954106196899</v>
      </c>
      <c r="D3891" s="3">
        <v>0.26820237734404501</v>
      </c>
      <c r="E3891" s="3">
        <v>12.2728047499642</v>
      </c>
      <c r="F3891" s="4">
        <v>1.2678409004602401E-34</v>
      </c>
      <c r="G3891" s="4">
        <v>1.3035796609373701E-32</v>
      </c>
      <c r="H3891" s="3" t="str">
        <f>"HCAR3"</f>
        <v>HCAR3</v>
      </c>
      <c r="I3891" s="3" t="str">
        <f>"protein_coding"</f>
        <v>protein_coding</v>
      </c>
    </row>
    <row r="3892" spans="1:9" x14ac:dyDescent="0.2">
      <c r="A3892" s="3" t="str">
        <f>"ENSG00000196917.5"</f>
        <v>ENSG00000196917.5</v>
      </c>
      <c r="B3892" s="3">
        <v>182.52469548004601</v>
      </c>
      <c r="C3892" s="3">
        <v>-2.0612578766523399</v>
      </c>
      <c r="D3892" s="3">
        <v>0.312106708515132</v>
      </c>
      <c r="E3892" s="3">
        <v>-6.6043369796788696</v>
      </c>
      <c r="F3892" s="4">
        <v>3.99300327279418E-11</v>
      </c>
      <c r="G3892" s="4">
        <v>6.5857966206914696E-10</v>
      </c>
      <c r="H3892" s="3" t="str">
        <f>"HCAR1"</f>
        <v>HCAR1</v>
      </c>
      <c r="I3892" s="3" t="str">
        <f>"protein_coding"</f>
        <v>protein_coding</v>
      </c>
    </row>
    <row r="3893" spans="1:9" x14ac:dyDescent="0.2">
      <c r="A3893" s="3" t="str">
        <f>"ENSG00000280138.1"</f>
        <v>ENSG00000280138.1</v>
      </c>
      <c r="B3893" s="3">
        <v>549.39319920139997</v>
      </c>
      <c r="C3893" s="3">
        <v>1.1317238810557899</v>
      </c>
      <c r="D3893" s="3">
        <v>0.25031524822022599</v>
      </c>
      <c r="E3893" s="3">
        <v>4.5211943303594104</v>
      </c>
      <c r="F3893" s="4">
        <v>6.1491704705994496E-6</v>
      </c>
      <c r="G3893" s="4">
        <v>4.55967881176722E-5</v>
      </c>
      <c r="H3893" s="3" t="str">
        <f>"AC027290.2"</f>
        <v>AC027290.2</v>
      </c>
      <c r="I3893" s="3" t="str">
        <f>"TEC"</f>
        <v>TEC</v>
      </c>
    </row>
    <row r="3894" spans="1:9" x14ac:dyDescent="0.2">
      <c r="A3894" s="3" t="str">
        <f>"ENSG00000280120.1"</f>
        <v>ENSG00000280120.1</v>
      </c>
      <c r="B3894" s="3">
        <v>66.662518919189793</v>
      </c>
      <c r="C3894" s="3">
        <v>-1.3855356090648501</v>
      </c>
      <c r="D3894" s="3">
        <v>0.45711162001968397</v>
      </c>
      <c r="E3894" s="3">
        <v>-3.0310662612453001</v>
      </c>
      <c r="F3894" s="3">
        <v>2.4369176279566101E-3</v>
      </c>
      <c r="G3894" s="3">
        <v>9.5455282646540601E-3</v>
      </c>
      <c r="H3894" s="3" t="str">
        <f>"AC073857.1"</f>
        <v>AC073857.1</v>
      </c>
      <c r="I3894" s="3" t="str">
        <f>"TEC"</f>
        <v>TEC</v>
      </c>
    </row>
    <row r="3895" spans="1:9" x14ac:dyDescent="0.2">
      <c r="A3895" s="3" t="str">
        <f>"ENSG00000168778.12"</f>
        <v>ENSG00000168778.12</v>
      </c>
      <c r="B3895" s="3">
        <v>295.87695844397302</v>
      </c>
      <c r="C3895" s="3">
        <v>-1.4794887605574301</v>
      </c>
      <c r="D3895" s="3">
        <v>0.25864509205254899</v>
      </c>
      <c r="E3895" s="3">
        <v>-5.7201501440314901</v>
      </c>
      <c r="F3895" s="4">
        <v>1.0642996147800299E-8</v>
      </c>
      <c r="G3895" s="4">
        <v>1.2586359203086601E-7</v>
      </c>
      <c r="H3895" s="3" t="str">
        <f>"TCTN2"</f>
        <v>TCTN2</v>
      </c>
      <c r="I3895" s="3" t="str">
        <f>"protein_coding"</f>
        <v>protein_coding</v>
      </c>
    </row>
    <row r="3896" spans="1:9" x14ac:dyDescent="0.2">
      <c r="A3896" s="3" t="str">
        <f>"ENSG00000197653.15"</f>
        <v>ENSG00000197653.15</v>
      </c>
      <c r="B3896" s="3">
        <v>172.69121672385199</v>
      </c>
      <c r="C3896" s="3">
        <v>6.3683367077910704</v>
      </c>
      <c r="D3896" s="3">
        <v>0.59376816330849302</v>
      </c>
      <c r="E3896" s="3">
        <v>10.725291622754799</v>
      </c>
      <c r="F3896" s="4">
        <v>7.7442401422997904E-27</v>
      </c>
      <c r="G3896" s="4">
        <v>4.8957612797503996E-25</v>
      </c>
      <c r="H3896" s="3" t="str">
        <f>"DNAH10"</f>
        <v>DNAH10</v>
      </c>
      <c r="I3896" s="3" t="str">
        <f>"protein_coding"</f>
        <v>protein_coding</v>
      </c>
    </row>
    <row r="3897" spans="1:9" x14ac:dyDescent="0.2">
      <c r="A3897" s="3" t="str">
        <f>"ENSG00000119242.8"</f>
        <v>ENSG00000119242.8</v>
      </c>
      <c r="B3897" s="3">
        <v>758.76163455535504</v>
      </c>
      <c r="C3897" s="3">
        <v>1.1158002781490399</v>
      </c>
      <c r="D3897" s="3">
        <v>0.212219082850197</v>
      </c>
      <c r="E3897" s="3">
        <v>5.2577754232246701</v>
      </c>
      <c r="F3897" s="4">
        <v>1.4580842405483499E-7</v>
      </c>
      <c r="G3897" s="4">
        <v>1.43787264937463E-6</v>
      </c>
      <c r="H3897" s="3" t="str">
        <f>"CCDC92"</f>
        <v>CCDC92</v>
      </c>
      <c r="I3897" s="3" t="str">
        <f>"protein_coding"</f>
        <v>protein_coding</v>
      </c>
    </row>
    <row r="3898" spans="1:9" x14ac:dyDescent="0.2">
      <c r="A3898" s="3" t="str">
        <f>"ENSG00000270130.1"</f>
        <v>ENSG00000270130.1</v>
      </c>
      <c r="B3898" s="3">
        <v>60.7561658689255</v>
      </c>
      <c r="C3898" s="3">
        <v>1.39464680187503</v>
      </c>
      <c r="D3898" s="3">
        <v>0.47681842879796799</v>
      </c>
      <c r="E3898" s="3">
        <v>2.9249012153134499</v>
      </c>
      <c r="F3898" s="3">
        <v>3.4456558407177399E-3</v>
      </c>
      <c r="G3898" s="3">
        <v>1.2904987586534199E-2</v>
      </c>
      <c r="H3898" s="3" t="str">
        <f>"AC068790.7"</f>
        <v>AC068790.7</v>
      </c>
      <c r="I3898" s="3" t="str">
        <f>"sense_intronic"</f>
        <v>sense_intronic</v>
      </c>
    </row>
    <row r="3899" spans="1:9" x14ac:dyDescent="0.2">
      <c r="A3899" s="3" t="str">
        <f>"ENSG00000270048.1"</f>
        <v>ENSG00000270048.1</v>
      </c>
      <c r="B3899" s="3">
        <v>43.653896501655503</v>
      </c>
      <c r="C3899" s="3">
        <v>1.78725268001159</v>
      </c>
      <c r="D3899" s="3">
        <v>0.56677108144618804</v>
      </c>
      <c r="E3899" s="3">
        <v>3.1533942689016201</v>
      </c>
      <c r="F3899" s="3">
        <v>1.6138367798498099E-3</v>
      </c>
      <c r="G3899" s="3">
        <v>6.7000168734675999E-3</v>
      </c>
      <c r="H3899" s="3" t="str">
        <f>"AC068790.4"</f>
        <v>AC068790.4</v>
      </c>
      <c r="I3899" s="3" t="str">
        <f>"sense_intronic"</f>
        <v>sense_intronic</v>
      </c>
    </row>
    <row r="3900" spans="1:9" x14ac:dyDescent="0.2">
      <c r="A3900" s="3" t="str">
        <f>"ENSG00000269997.1"</f>
        <v>ENSG00000269997.1</v>
      </c>
      <c r="B3900" s="3">
        <v>79.623654349717498</v>
      </c>
      <c r="C3900" s="3">
        <v>1.4924043335374899</v>
      </c>
      <c r="D3900" s="3">
        <v>0.45076435130408499</v>
      </c>
      <c r="E3900" s="3">
        <v>3.3108304355033602</v>
      </c>
      <c r="F3900" s="3">
        <v>9.3019555787821095E-4</v>
      </c>
      <c r="G3900" s="3">
        <v>4.1413461381548397E-3</v>
      </c>
      <c r="H3900" s="3" t="str">
        <f>"AC068790.3"</f>
        <v>AC068790.3</v>
      </c>
      <c r="I3900" s="3" t="str">
        <f>"sense_intronic"</f>
        <v>sense_intronic</v>
      </c>
    </row>
    <row r="3901" spans="1:9" x14ac:dyDescent="0.2">
      <c r="A3901" s="3" t="str">
        <f>"ENSG00000269938.1"</f>
        <v>ENSG00000269938.1</v>
      </c>
      <c r="B3901" s="3">
        <v>105.406283562832</v>
      </c>
      <c r="C3901" s="3">
        <v>1.5012863453671701</v>
      </c>
      <c r="D3901" s="3">
        <v>0.42781754619322598</v>
      </c>
      <c r="E3901" s="3">
        <v>3.5091743167754599</v>
      </c>
      <c r="F3901" s="3">
        <v>4.4950019479641199E-4</v>
      </c>
      <c r="G3901" s="3">
        <v>2.18044005832613E-3</v>
      </c>
      <c r="H3901" s="3" t="str">
        <f>"AC068790.2"</f>
        <v>AC068790.2</v>
      </c>
      <c r="I3901" s="3" t="str">
        <f>"sense_intronic"</f>
        <v>sense_intronic</v>
      </c>
    </row>
    <row r="3902" spans="1:9" x14ac:dyDescent="0.2">
      <c r="A3902" s="3" t="str">
        <f>"ENSG00000270061.1"</f>
        <v>ENSG00000270061.1</v>
      </c>
      <c r="B3902" s="3">
        <v>80.111415006154303</v>
      </c>
      <c r="C3902" s="3">
        <v>1.3434007366793399</v>
      </c>
      <c r="D3902" s="3">
        <v>0.44758634307175699</v>
      </c>
      <c r="E3902" s="3">
        <v>3.0014337065328398</v>
      </c>
      <c r="F3902" s="3">
        <v>2.68711541760329E-3</v>
      </c>
      <c r="G3902" s="3">
        <v>1.03955464693223E-2</v>
      </c>
      <c r="H3902" s="3" t="str">
        <f>"AC068790.5"</f>
        <v>AC068790.5</v>
      </c>
      <c r="I3902" s="3" t="str">
        <f>"sense_intronic"</f>
        <v>sense_intronic</v>
      </c>
    </row>
    <row r="3903" spans="1:9" x14ac:dyDescent="0.2">
      <c r="A3903" s="3" t="str">
        <f>"ENSG00000150990.8"</f>
        <v>ENSG00000150990.8</v>
      </c>
      <c r="B3903" s="3">
        <v>2255.5685098981498</v>
      </c>
      <c r="C3903" s="3">
        <v>-1.49124817543614</v>
      </c>
      <c r="D3903" s="3">
        <v>0.21285923012339</v>
      </c>
      <c r="E3903" s="3">
        <v>-7.0057952129756904</v>
      </c>
      <c r="F3903" s="4">
        <v>2.4558691102311498E-12</v>
      </c>
      <c r="G3903" s="4">
        <v>4.6308003907590398E-11</v>
      </c>
      <c r="H3903" s="3" t="str">
        <f>"DHX37"</f>
        <v>DHX37</v>
      </c>
      <c r="I3903" s="3" t="str">
        <f>"protein_coding"</f>
        <v>protein_coding</v>
      </c>
    </row>
    <row r="3904" spans="1:9" x14ac:dyDescent="0.2">
      <c r="A3904" s="3" t="str">
        <f>"ENSG00000279233.1"</f>
        <v>ENSG00000279233.1</v>
      </c>
      <c r="B3904" s="3">
        <v>131.196820801434</v>
      </c>
      <c r="C3904" s="3">
        <v>-1.0220633414895299</v>
      </c>
      <c r="D3904" s="3">
        <v>0.35024340505594198</v>
      </c>
      <c r="E3904" s="3">
        <v>-2.91815156755424</v>
      </c>
      <c r="F3904" s="3">
        <v>3.5211315083939301E-3</v>
      </c>
      <c r="G3904" s="3">
        <v>1.31533137111611E-2</v>
      </c>
      <c r="H3904" s="3" t="str">
        <f>"AC122688.3"</f>
        <v>AC122688.3</v>
      </c>
      <c r="I3904" s="3" t="str">
        <f>"TEC"</f>
        <v>TEC</v>
      </c>
    </row>
    <row r="3905" spans="1:9" x14ac:dyDescent="0.2">
      <c r="A3905" s="3" t="str">
        <f>"ENSG00000139364.10"</f>
        <v>ENSG00000139364.10</v>
      </c>
      <c r="B3905" s="3">
        <v>24.673967374632699</v>
      </c>
      <c r="C3905" s="3">
        <v>3.2686664636431901</v>
      </c>
      <c r="D3905" s="3">
        <v>0.79775822917740302</v>
      </c>
      <c r="E3905" s="3">
        <v>4.0973146300397598</v>
      </c>
      <c r="F3905" s="4">
        <v>4.1797063209306299E-5</v>
      </c>
      <c r="G3905" s="3">
        <v>2.5971370154252401E-4</v>
      </c>
      <c r="H3905" s="3" t="str">
        <f>"TMEM132B"</f>
        <v>TMEM132B</v>
      </c>
      <c r="I3905" s="3" t="str">
        <f>"protein_coding"</f>
        <v>protein_coding</v>
      </c>
    </row>
    <row r="3906" spans="1:9" x14ac:dyDescent="0.2">
      <c r="A3906" s="3" t="str">
        <f>"ENSG00000249267.6"</f>
        <v>ENSG00000249267.6</v>
      </c>
      <c r="B3906" s="3">
        <v>19.386081199230201</v>
      </c>
      <c r="C3906" s="3">
        <v>6.2102383191068098</v>
      </c>
      <c r="D3906" s="3">
        <v>1.6095296543243001</v>
      </c>
      <c r="E3906" s="3">
        <v>3.85841808035152</v>
      </c>
      <c r="F3906" s="3">
        <v>1.14123306571918E-4</v>
      </c>
      <c r="G3906" s="3">
        <v>6.4552994273719001E-4</v>
      </c>
      <c r="H3906" s="3" t="str">
        <f>"LINC00939"</f>
        <v>LINC00939</v>
      </c>
      <c r="I3906" s="3" t="str">
        <f>"lincRNA"</f>
        <v>lincRNA</v>
      </c>
    </row>
    <row r="3907" spans="1:9" x14ac:dyDescent="0.2">
      <c r="A3907" s="3" t="str">
        <f>"ENSG00000275212.2"</f>
        <v>ENSG00000275212.2</v>
      </c>
      <c r="B3907" s="3">
        <v>6.3169916271481004</v>
      </c>
      <c r="C3907" s="3">
        <v>4.5450273633212097</v>
      </c>
      <c r="D3907" s="3">
        <v>1.9026583346896899</v>
      </c>
      <c r="E3907" s="3">
        <v>2.3887774701612301</v>
      </c>
      <c r="F3907" s="3">
        <v>1.69045379963308E-2</v>
      </c>
      <c r="G3907" s="3">
        <v>4.9230220904876498E-2</v>
      </c>
      <c r="H3907" s="3" t="str">
        <f>"AC005186.1"</f>
        <v>AC005186.1</v>
      </c>
      <c r="I3907" s="3" t="str">
        <f>"lincRNA"</f>
        <v>lincRNA</v>
      </c>
    </row>
    <row r="3908" spans="1:9" x14ac:dyDescent="0.2">
      <c r="A3908" s="3" t="str">
        <f>"ENSG00000151948.12"</f>
        <v>ENSG00000151948.12</v>
      </c>
      <c r="B3908" s="3">
        <v>14.1624121959926</v>
      </c>
      <c r="C3908" s="3">
        <v>5.7517093719335701</v>
      </c>
      <c r="D3908" s="3">
        <v>1.6673646927277599</v>
      </c>
      <c r="E3908" s="3">
        <v>3.4495808847457101</v>
      </c>
      <c r="F3908" s="3">
        <v>5.6145750218663496E-4</v>
      </c>
      <c r="G3908" s="3">
        <v>2.6536049543936201E-3</v>
      </c>
      <c r="H3908" s="3" t="str">
        <f>"GLT1D1"</f>
        <v>GLT1D1</v>
      </c>
      <c r="I3908" s="3" t="str">
        <f>"protein_coding"</f>
        <v>protein_coding</v>
      </c>
    </row>
    <row r="3909" spans="1:9" x14ac:dyDescent="0.2">
      <c r="A3909" s="3" t="str">
        <f>"ENSG00000111450.14"</f>
        <v>ENSG00000111450.14</v>
      </c>
      <c r="B3909" s="3">
        <v>783.04362065735597</v>
      </c>
      <c r="C3909" s="3">
        <v>-1.07735946942765</v>
      </c>
      <c r="D3909" s="3">
        <v>0.20448293893035299</v>
      </c>
      <c r="E3909" s="3">
        <v>-5.2687010225073196</v>
      </c>
      <c r="F3909" s="4">
        <v>1.3739252799655401E-7</v>
      </c>
      <c r="G3909" s="4">
        <v>1.36277182756538E-6</v>
      </c>
      <c r="H3909" s="3" t="str">
        <f>"STX2"</f>
        <v>STX2</v>
      </c>
      <c r="I3909" s="3" t="str">
        <f>"protein_coding"</f>
        <v>protein_coding</v>
      </c>
    </row>
    <row r="3910" spans="1:9" x14ac:dyDescent="0.2">
      <c r="A3910" s="3" t="str">
        <f>"ENSG00000198598.6"</f>
        <v>ENSG00000198598.6</v>
      </c>
      <c r="B3910" s="3">
        <v>80.395859067141998</v>
      </c>
      <c r="C3910" s="3">
        <v>-1.12488011719808</v>
      </c>
      <c r="D3910" s="3">
        <v>0.41941975777613999</v>
      </c>
      <c r="E3910" s="3">
        <v>-2.6819912422878001</v>
      </c>
      <c r="F3910" s="3">
        <v>7.3185375660764999E-3</v>
      </c>
      <c r="G3910" s="3">
        <v>2.4457489074488199E-2</v>
      </c>
      <c r="H3910" s="3" t="str">
        <f>"MMP17"</f>
        <v>MMP17</v>
      </c>
      <c r="I3910" s="3" t="str">
        <f>"protein_coding"</f>
        <v>protein_coding</v>
      </c>
    </row>
    <row r="3911" spans="1:9" x14ac:dyDescent="0.2">
      <c r="A3911" s="3" t="str">
        <f>"ENSG00000177192.13"</f>
        <v>ENSG00000177192.13</v>
      </c>
      <c r="B3911" s="3">
        <v>1137.42563608148</v>
      </c>
      <c r="C3911" s="3">
        <v>-1.7724620708746699</v>
      </c>
      <c r="D3911" s="3">
        <v>0.198017536337906</v>
      </c>
      <c r="E3911" s="3">
        <v>-8.9510358711364901</v>
      </c>
      <c r="F3911" s="4">
        <v>3.5216190471930801E-19</v>
      </c>
      <c r="G3911" s="4">
        <v>1.2526573652594E-17</v>
      </c>
      <c r="H3911" s="3" t="str">
        <f>"PUS1"</f>
        <v>PUS1</v>
      </c>
      <c r="I3911" s="3" t="str">
        <f>"protein_coding"</f>
        <v>protein_coding</v>
      </c>
    </row>
    <row r="3912" spans="1:9" x14ac:dyDescent="0.2">
      <c r="A3912" s="3" t="str">
        <f>"ENSG00000273568.1"</f>
        <v>ENSG00000273568.1</v>
      </c>
      <c r="B3912" s="3">
        <v>97.989043925302198</v>
      </c>
      <c r="C3912" s="3">
        <v>-1.1894649144856499</v>
      </c>
      <c r="D3912" s="3">
        <v>0.40236370187274301</v>
      </c>
      <c r="E3912" s="3">
        <v>-2.9561933866038599</v>
      </c>
      <c r="F3912" s="3">
        <v>3.1146173635155298E-3</v>
      </c>
      <c r="G3912" s="3">
        <v>1.1834329842937899E-2</v>
      </c>
      <c r="H3912" s="3" t="str">
        <f>"AC131009.3"</f>
        <v>AC131009.3</v>
      </c>
      <c r="I3912" s="3" t="str">
        <f>"sense_intronic"</f>
        <v>sense_intronic</v>
      </c>
    </row>
    <row r="3913" spans="1:9" x14ac:dyDescent="0.2">
      <c r="A3913" s="3" t="str">
        <f>"ENSG00000185163.10"</f>
        <v>ENSG00000185163.10</v>
      </c>
      <c r="B3913" s="3">
        <v>478.36138216755</v>
      </c>
      <c r="C3913" s="3">
        <v>-1.1091679228597999</v>
      </c>
      <c r="D3913" s="3">
        <v>0.228118323269422</v>
      </c>
      <c r="E3913" s="3">
        <v>-4.8622482708230299</v>
      </c>
      <c r="F3913" s="4">
        <v>1.16059925985282E-6</v>
      </c>
      <c r="G3913" s="4">
        <v>9.8177112801024108E-6</v>
      </c>
      <c r="H3913" s="3" t="str">
        <f>"DDX51"</f>
        <v>DDX51</v>
      </c>
      <c r="I3913" s="3" t="str">
        <f>"protein_coding"</f>
        <v>protein_coding</v>
      </c>
    </row>
    <row r="3914" spans="1:9" x14ac:dyDescent="0.2">
      <c r="A3914" s="3" t="str">
        <f>"ENSG00000182870.13"</f>
        <v>ENSG00000182870.13</v>
      </c>
      <c r="B3914" s="3">
        <v>13.6304468263156</v>
      </c>
      <c r="C3914" s="3">
        <v>4.6613292264468402</v>
      </c>
      <c r="D3914" s="3">
        <v>1.3427814071184601</v>
      </c>
      <c r="E3914" s="3">
        <v>3.4713983986789101</v>
      </c>
      <c r="F3914" s="3">
        <v>5.1775521922929699E-4</v>
      </c>
      <c r="G3914" s="3">
        <v>2.4732251855435899E-3</v>
      </c>
      <c r="H3914" s="3" t="str">
        <f>"GALNT9"</f>
        <v>GALNT9</v>
      </c>
      <c r="I3914" s="3" t="str">
        <f>"protein_coding"</f>
        <v>protein_coding</v>
      </c>
    </row>
    <row r="3915" spans="1:9" x14ac:dyDescent="0.2">
      <c r="A3915" s="3" t="str">
        <f>"ENSG00000279480.1"</f>
        <v>ENSG00000279480.1</v>
      </c>
      <c r="B3915" s="3">
        <v>10.680549065541999</v>
      </c>
      <c r="C3915" s="3">
        <v>6.8131489558824798</v>
      </c>
      <c r="D3915" s="3">
        <v>1.7441808252743201</v>
      </c>
      <c r="E3915" s="3">
        <v>3.9062170946701702</v>
      </c>
      <c r="F3915" s="4">
        <v>9.3752289433606401E-5</v>
      </c>
      <c r="G3915" s="3">
        <v>5.4017099390938305E-4</v>
      </c>
      <c r="H3915" s="3" t="str">
        <f>"AC138466.4"</f>
        <v>AC138466.4</v>
      </c>
      <c r="I3915" s="3" t="str">
        <f>"TEC"</f>
        <v>TEC</v>
      </c>
    </row>
    <row r="3916" spans="1:9" x14ac:dyDescent="0.2">
      <c r="A3916" s="3" t="str">
        <f>"ENSG00000177084.16"</f>
        <v>ENSG00000177084.16</v>
      </c>
      <c r="B3916" s="3">
        <v>3839.6157560767001</v>
      </c>
      <c r="C3916" s="3">
        <v>-1.2545304031009901</v>
      </c>
      <c r="D3916" s="3">
        <v>0.206361110784862</v>
      </c>
      <c r="E3916" s="3">
        <v>-6.0792966190653903</v>
      </c>
      <c r="F3916" s="4">
        <v>1.2071088073393399E-9</v>
      </c>
      <c r="G3916" s="4">
        <v>1.6250046281410601E-8</v>
      </c>
      <c r="H3916" s="3" t="str">
        <f>"POLE"</f>
        <v>POLE</v>
      </c>
      <c r="I3916" s="3" t="str">
        <f>"protein_coding"</f>
        <v>protein_coding</v>
      </c>
    </row>
    <row r="3917" spans="1:9" x14ac:dyDescent="0.2">
      <c r="A3917" s="3" t="str">
        <f>"ENSG00000176894.10"</f>
        <v>ENSG00000176894.10</v>
      </c>
      <c r="B3917" s="3">
        <v>98.3400390864484</v>
      </c>
      <c r="C3917" s="3">
        <v>-2.2948901755074802</v>
      </c>
      <c r="D3917" s="3">
        <v>0.39222159865248102</v>
      </c>
      <c r="E3917" s="3">
        <v>-5.8510040838949804</v>
      </c>
      <c r="F3917" s="4">
        <v>4.88614225636162E-9</v>
      </c>
      <c r="G3917" s="4">
        <v>6.0735729041553403E-8</v>
      </c>
      <c r="H3917" s="3" t="str">
        <f>"PXMP2"</f>
        <v>PXMP2</v>
      </c>
      <c r="I3917" s="3" t="str">
        <f>"protein_coding"</f>
        <v>protein_coding</v>
      </c>
    </row>
    <row r="3918" spans="1:9" x14ac:dyDescent="0.2">
      <c r="A3918" s="3" t="str">
        <f>"ENSG00000247077.7"</f>
        <v>ENSG00000247077.7</v>
      </c>
      <c r="B3918" s="3">
        <v>1801.8754065231301</v>
      </c>
      <c r="C3918" s="3">
        <v>-1.46681685988912</v>
      </c>
      <c r="D3918" s="3">
        <v>0.215311874205349</v>
      </c>
      <c r="E3918" s="3">
        <v>-6.8125219071298098</v>
      </c>
      <c r="F3918" s="4">
        <v>9.5902446094866501E-12</v>
      </c>
      <c r="G3918" s="4">
        <v>1.6989947651149699E-10</v>
      </c>
      <c r="H3918" s="3" t="str">
        <f>"PGAM5"</f>
        <v>PGAM5</v>
      </c>
      <c r="I3918" s="3" t="str">
        <f>"protein_coding"</f>
        <v>protein_coding</v>
      </c>
    </row>
    <row r="3919" spans="1:9" x14ac:dyDescent="0.2">
      <c r="A3919" s="3" t="str">
        <f>"ENSG00000226057.7"</f>
        <v>ENSG00000226057.7</v>
      </c>
      <c r="B3919" s="3">
        <v>8.4429725589747608</v>
      </c>
      <c r="C3919" s="3">
        <v>6.47557405053211</v>
      </c>
      <c r="D3919" s="3">
        <v>1.81756859866179</v>
      </c>
      <c r="E3919" s="3">
        <v>3.5627673449573498</v>
      </c>
      <c r="F3919" s="3">
        <v>3.66965882809507E-4</v>
      </c>
      <c r="G3919" s="3">
        <v>1.8255124774993899E-3</v>
      </c>
      <c r="H3919" s="3" t="str">
        <f>"PHF2P2"</f>
        <v>PHF2P2</v>
      </c>
      <c r="I3919" s="3" t="str">
        <f>"transcribed_unprocessed_pseudogene"</f>
        <v>transcribed_unprocessed_pseudogene</v>
      </c>
    </row>
    <row r="3920" spans="1:9" x14ac:dyDescent="0.2">
      <c r="A3920" s="3" t="str">
        <f>"ENSG00000237636.2"</f>
        <v>ENSG00000237636.2</v>
      </c>
      <c r="B3920" s="3">
        <v>6.0181939476279798</v>
      </c>
      <c r="C3920" s="3">
        <v>5.98369926978887</v>
      </c>
      <c r="D3920" s="3">
        <v>1.9482039589606199</v>
      </c>
      <c r="E3920" s="3">
        <v>3.0713926240973302</v>
      </c>
      <c r="F3920" s="3">
        <v>2.1306278147072899E-3</v>
      </c>
      <c r="G3920" s="3">
        <v>8.51844696512539E-3</v>
      </c>
      <c r="H3920" s="3" t="str">
        <f>"ANKRD26P3"</f>
        <v>ANKRD26P3</v>
      </c>
      <c r="I3920" s="3" t="str">
        <f>"unprocessed_pseudogene"</f>
        <v>unprocessed_pseudogene</v>
      </c>
    </row>
    <row r="3921" spans="1:9" x14ac:dyDescent="0.2">
      <c r="A3921" s="3" t="str">
        <f>"ENSG00000121743.4"</f>
        <v>ENSG00000121743.4</v>
      </c>
      <c r="B3921" s="3">
        <v>58.316357400283799</v>
      </c>
      <c r="C3921" s="3">
        <v>3.91918115282752</v>
      </c>
      <c r="D3921" s="3">
        <v>0.605822993802694</v>
      </c>
      <c r="E3921" s="3">
        <v>6.4691852123789202</v>
      </c>
      <c r="F3921" s="4">
        <v>9.8532764678706398E-11</v>
      </c>
      <c r="G3921" s="4">
        <v>1.53588228787226E-9</v>
      </c>
      <c r="H3921" s="3" t="str">
        <f>"GJA3"</f>
        <v>GJA3</v>
      </c>
      <c r="I3921" s="3" t="str">
        <f>"protein_coding"</f>
        <v>protein_coding</v>
      </c>
    </row>
    <row r="3922" spans="1:9" x14ac:dyDescent="0.2">
      <c r="A3922" s="3" t="str">
        <f>"ENSG00000229558.2"</f>
        <v>ENSG00000229558.2</v>
      </c>
      <c r="B3922" s="3">
        <v>4.8797837467545202</v>
      </c>
      <c r="C3922" s="3">
        <v>5.6795021195980304</v>
      </c>
      <c r="D3922" s="3">
        <v>2.05906026095156</v>
      </c>
      <c r="E3922" s="3">
        <v>2.7582981553795598</v>
      </c>
      <c r="F3922" s="3">
        <v>5.8103175464449099E-3</v>
      </c>
      <c r="G3922" s="3">
        <v>2.0167353144966201E-2</v>
      </c>
      <c r="H3922" s="3" t="str">
        <f>"SACS-AS1"</f>
        <v>SACS-AS1</v>
      </c>
      <c r="I3922" s="3" t="str">
        <f>"lincRNA"</f>
        <v>lincRNA</v>
      </c>
    </row>
    <row r="3923" spans="1:9" x14ac:dyDescent="0.2">
      <c r="A3923" s="3" t="str">
        <f>"ENSG00000182957.16"</f>
        <v>ENSG00000182957.16</v>
      </c>
      <c r="B3923" s="3">
        <v>970.37280061983699</v>
      </c>
      <c r="C3923" s="3">
        <v>-1.0297600051431499</v>
      </c>
      <c r="D3923" s="3">
        <v>0.195792046757779</v>
      </c>
      <c r="E3923" s="3">
        <v>-5.25945778797184</v>
      </c>
      <c r="F3923" s="4">
        <v>1.4448079001919201E-7</v>
      </c>
      <c r="G3923" s="4">
        <v>1.4258124178388E-6</v>
      </c>
      <c r="H3923" s="3" t="str">
        <f>"SPATA13"</f>
        <v>SPATA13</v>
      </c>
      <c r="I3923" s="3" t="str">
        <f t="shared" ref="I3923:I3930" si="185">"protein_coding"</f>
        <v>protein_coding</v>
      </c>
    </row>
    <row r="3924" spans="1:9" x14ac:dyDescent="0.2">
      <c r="A3924" s="3" t="str">
        <f>"ENSG00000132972.19"</f>
        <v>ENSG00000132972.19</v>
      </c>
      <c r="B3924" s="3">
        <v>17.317796585257501</v>
      </c>
      <c r="C3924" s="3">
        <v>7.5071893816449604</v>
      </c>
      <c r="D3924" s="3">
        <v>1.65596116089301</v>
      </c>
      <c r="E3924" s="3">
        <v>4.5334332464636802</v>
      </c>
      <c r="F3924" s="4">
        <v>5.8032611935974201E-6</v>
      </c>
      <c r="G3924" s="4">
        <v>4.3226204959526797E-5</v>
      </c>
      <c r="H3924" s="3" t="str">
        <f>"RNF17"</f>
        <v>RNF17</v>
      </c>
      <c r="I3924" s="3" t="str">
        <f t="shared" si="185"/>
        <v>protein_coding</v>
      </c>
    </row>
    <row r="3925" spans="1:9" x14ac:dyDescent="0.2">
      <c r="A3925" s="3" t="str">
        <f>"ENSG00000132932.17"</f>
        <v>ENSG00000132932.17</v>
      </c>
      <c r="B3925" s="3">
        <v>57.539320132333103</v>
      </c>
      <c r="C3925" s="3">
        <v>4.5682640200310898</v>
      </c>
      <c r="D3925" s="3">
        <v>0.65456768337095605</v>
      </c>
      <c r="E3925" s="3">
        <v>6.9790552391847402</v>
      </c>
      <c r="F3925" s="4">
        <v>2.9717162701217601E-12</v>
      </c>
      <c r="G3925" s="4">
        <v>5.5573337825674403E-11</v>
      </c>
      <c r="H3925" s="3" t="str">
        <f>"ATP8A2"</f>
        <v>ATP8A2</v>
      </c>
      <c r="I3925" s="3" t="str">
        <f t="shared" si="185"/>
        <v>protein_coding</v>
      </c>
    </row>
    <row r="3926" spans="1:9" x14ac:dyDescent="0.2">
      <c r="A3926" s="3" t="str">
        <f>"ENSG00000180730.4"</f>
        <v>ENSG00000180730.4</v>
      </c>
      <c r="B3926" s="3">
        <v>5.61356321400803</v>
      </c>
      <c r="C3926" s="3">
        <v>5.8815806399936301</v>
      </c>
      <c r="D3926" s="3">
        <v>1.9919118933064399</v>
      </c>
      <c r="E3926" s="3">
        <v>2.95273132298568</v>
      </c>
      <c r="F3926" s="3">
        <v>3.1497597753697899E-3</v>
      </c>
      <c r="G3926" s="3">
        <v>1.1936231515924999E-2</v>
      </c>
      <c r="H3926" s="3" t="str">
        <f>"SHISA2"</f>
        <v>SHISA2</v>
      </c>
      <c r="I3926" s="3" t="str">
        <f t="shared" si="185"/>
        <v>protein_coding</v>
      </c>
    </row>
    <row r="3927" spans="1:9" x14ac:dyDescent="0.2">
      <c r="A3927" s="3" t="str">
        <f>"ENSG00000132970.12"</f>
        <v>ENSG00000132970.12</v>
      </c>
      <c r="B3927" s="3">
        <v>1378.8695975794401</v>
      </c>
      <c r="C3927" s="3">
        <v>-1.5654599706805701</v>
      </c>
      <c r="D3927" s="3">
        <v>0.19550546024287799</v>
      </c>
      <c r="E3927" s="3">
        <v>-8.0072442413413398</v>
      </c>
      <c r="F3927" s="4">
        <v>1.17307370356066E-15</v>
      </c>
      <c r="G3927" s="4">
        <v>3.1122433496511497E-14</v>
      </c>
      <c r="H3927" s="3" t="str">
        <f>"WASF3"</f>
        <v>WASF3</v>
      </c>
      <c r="I3927" s="3" t="str">
        <f t="shared" si="185"/>
        <v>protein_coding</v>
      </c>
    </row>
    <row r="3928" spans="1:9" x14ac:dyDescent="0.2">
      <c r="A3928" s="3" t="str">
        <f>"ENSG00000102755.12"</f>
        <v>ENSG00000102755.12</v>
      </c>
      <c r="B3928" s="3">
        <v>5.6890452139944099</v>
      </c>
      <c r="C3928" s="3">
        <v>5.90458838774253</v>
      </c>
      <c r="D3928" s="3">
        <v>1.96865330632059</v>
      </c>
      <c r="E3928" s="3">
        <v>2.9993033150048101</v>
      </c>
      <c r="F3928" s="3">
        <v>2.70597772509573E-3</v>
      </c>
      <c r="G3928" s="3">
        <v>1.04610918098302E-2</v>
      </c>
      <c r="H3928" s="3" t="str">
        <f>"FLT1"</f>
        <v>FLT1</v>
      </c>
      <c r="I3928" s="3" t="str">
        <f t="shared" si="185"/>
        <v>protein_coding</v>
      </c>
    </row>
    <row r="3929" spans="1:9" x14ac:dyDescent="0.2">
      <c r="A3929" s="3" t="str">
        <f>"ENSG00000132938.20"</f>
        <v>ENSG00000132938.20</v>
      </c>
      <c r="B3929" s="3">
        <v>8.6966392926219491</v>
      </c>
      <c r="C3929" s="3">
        <v>6.5144029355640098</v>
      </c>
      <c r="D3929" s="3">
        <v>1.8123678082977399</v>
      </c>
      <c r="E3929" s="3">
        <v>3.5944154965335899</v>
      </c>
      <c r="F3929" s="3">
        <v>3.25120643338362E-4</v>
      </c>
      <c r="G3929" s="3">
        <v>1.6365346700610299E-3</v>
      </c>
      <c r="H3929" s="3" t="str">
        <f>"MTUS2"</f>
        <v>MTUS2</v>
      </c>
      <c r="I3929" s="3" t="str">
        <f t="shared" si="185"/>
        <v>protein_coding</v>
      </c>
    </row>
    <row r="3930" spans="1:9" x14ac:dyDescent="0.2">
      <c r="A3930" s="3" t="str">
        <f>"ENSG00000139514.13"</f>
        <v>ENSG00000139514.13</v>
      </c>
      <c r="B3930" s="3">
        <v>6821.5870825557604</v>
      </c>
      <c r="C3930" s="3">
        <v>-1.19736823744039</v>
      </c>
      <c r="D3930" s="3">
        <v>0.17569319131768199</v>
      </c>
      <c r="E3930" s="3">
        <v>-6.81510893199812</v>
      </c>
      <c r="F3930" s="4">
        <v>9.4192365543525503E-12</v>
      </c>
      <c r="G3930" s="4">
        <v>1.6697848952273501E-10</v>
      </c>
      <c r="H3930" s="3" t="str">
        <f>"SLC7A1"</f>
        <v>SLC7A1</v>
      </c>
      <c r="I3930" s="3" t="str">
        <f t="shared" si="185"/>
        <v>protein_coding</v>
      </c>
    </row>
    <row r="3931" spans="1:9" x14ac:dyDescent="0.2">
      <c r="A3931" s="3" t="str">
        <f>"ENSG00000232489.1"</f>
        <v>ENSG00000232489.1</v>
      </c>
      <c r="B3931" s="3">
        <v>7.9207780387784297</v>
      </c>
      <c r="C3931" s="3">
        <v>4.8895609818340198</v>
      </c>
      <c r="D3931" s="3">
        <v>1.8530265712284899</v>
      </c>
      <c r="E3931" s="3">
        <v>2.6386890818259601</v>
      </c>
      <c r="F3931" s="3">
        <v>8.3227273300021908E-3</v>
      </c>
      <c r="G3931" s="3">
        <v>2.7262485159962699E-2</v>
      </c>
      <c r="H3931" s="3" t="str">
        <f>"MFAP1P1"</f>
        <v>MFAP1P1</v>
      </c>
      <c r="I3931" s="3" t="str">
        <f>"processed_pseudogene"</f>
        <v>processed_pseudogene</v>
      </c>
    </row>
    <row r="3932" spans="1:9" x14ac:dyDescent="0.2">
      <c r="A3932" s="3" t="str">
        <f>"ENSG00000229427.1"</f>
        <v>ENSG00000229427.1</v>
      </c>
      <c r="B3932" s="3">
        <v>17.466388598475</v>
      </c>
      <c r="C3932" s="3">
        <v>2.7077063285096998</v>
      </c>
      <c r="D3932" s="3">
        <v>0.89900917368814504</v>
      </c>
      <c r="E3932" s="3">
        <v>3.0118784187723602</v>
      </c>
      <c r="F3932" s="3">
        <v>2.59636564416335E-3</v>
      </c>
      <c r="G3932" s="3">
        <v>1.0090311611256401E-2</v>
      </c>
      <c r="H3932" s="3" t="str">
        <f>"ANKRD26P4"</f>
        <v>ANKRD26P4</v>
      </c>
      <c r="I3932" s="3" t="str">
        <f>"processed_pseudogene"</f>
        <v>processed_pseudogene</v>
      </c>
    </row>
    <row r="3933" spans="1:9" x14ac:dyDescent="0.2">
      <c r="A3933" s="3" t="str">
        <f>"ENSG00000073910.21"</f>
        <v>ENSG00000073910.21</v>
      </c>
      <c r="B3933" s="3">
        <v>1230.6753595832599</v>
      </c>
      <c r="C3933" s="3">
        <v>-1.1914332855857299</v>
      </c>
      <c r="D3933" s="3">
        <v>0.19333366062305599</v>
      </c>
      <c r="E3933" s="3">
        <v>-6.1625755274384</v>
      </c>
      <c r="F3933" s="4">
        <v>7.1571174641731899E-10</v>
      </c>
      <c r="G3933" s="4">
        <v>9.9241719870904307E-9</v>
      </c>
      <c r="H3933" s="3" t="str">
        <f>"FRY"</f>
        <v>FRY</v>
      </c>
      <c r="I3933" s="3" t="str">
        <f>"protein_coding"</f>
        <v>protein_coding</v>
      </c>
    </row>
    <row r="3934" spans="1:9" x14ac:dyDescent="0.2">
      <c r="A3934" s="3" t="str">
        <f>"ENSG00000139597.18"</f>
        <v>ENSG00000139597.18</v>
      </c>
      <c r="B3934" s="3">
        <v>1103.8215384647899</v>
      </c>
      <c r="C3934" s="3">
        <v>2.1508523969469802</v>
      </c>
      <c r="D3934" s="3">
        <v>0.205676285806356</v>
      </c>
      <c r="E3934" s="3">
        <v>10.457464206505501</v>
      </c>
      <c r="F3934" s="4">
        <v>1.3543167796730301E-25</v>
      </c>
      <c r="G3934" s="4">
        <v>7.9699933684127495E-24</v>
      </c>
      <c r="H3934" s="3" t="str">
        <f>"N4BP2L1"</f>
        <v>N4BP2L1</v>
      </c>
      <c r="I3934" s="3" t="str">
        <f>"protein_coding"</f>
        <v>protein_coding</v>
      </c>
    </row>
    <row r="3935" spans="1:9" x14ac:dyDescent="0.2">
      <c r="A3935" s="3" t="str">
        <f>"ENSG00000281026.1"</f>
        <v>ENSG00000281026.1</v>
      </c>
      <c r="B3935" s="3">
        <v>523.37406764677905</v>
      </c>
      <c r="C3935" s="3">
        <v>1.1804602366024799</v>
      </c>
      <c r="D3935" s="3">
        <v>0.26988933276627303</v>
      </c>
      <c r="E3935" s="3">
        <v>4.3738677053411799</v>
      </c>
      <c r="F3935" s="4">
        <v>1.22064368490924E-5</v>
      </c>
      <c r="G3935" s="4">
        <v>8.5061070288291806E-5</v>
      </c>
      <c r="H3935" s="3" t="str">
        <f>"N4BP2L2-IT2"</f>
        <v>N4BP2L2-IT2</v>
      </c>
      <c r="I3935" s="3" t="str">
        <f>"sense_intronic"</f>
        <v>sense_intronic</v>
      </c>
    </row>
    <row r="3936" spans="1:9" x14ac:dyDescent="0.2">
      <c r="A3936" s="3" t="str">
        <f>"ENSG00000277151.1"</f>
        <v>ENSG00000277151.1</v>
      </c>
      <c r="B3936" s="3">
        <v>66.410602625694196</v>
      </c>
      <c r="C3936" s="3">
        <v>-1.16760862634069</v>
      </c>
      <c r="D3936" s="3">
        <v>0.45456622354960002</v>
      </c>
      <c r="E3936" s="3">
        <v>-2.5686216129810799</v>
      </c>
      <c r="F3936" s="3">
        <v>1.02103878579477E-2</v>
      </c>
      <c r="G3936" s="3">
        <v>3.23792409177725E-2</v>
      </c>
      <c r="H3936" s="3" t="str">
        <f>"AL138820.1"</f>
        <v>AL138820.1</v>
      </c>
      <c r="I3936" s="3" t="str">
        <f>"lincRNA"</f>
        <v>lincRNA</v>
      </c>
    </row>
    <row r="3937" spans="1:9" x14ac:dyDescent="0.2">
      <c r="A3937" s="3" t="str">
        <f>"ENSG00000133083.14"</f>
        <v>ENSG00000133083.14</v>
      </c>
      <c r="B3937" s="3">
        <v>18.824767313906701</v>
      </c>
      <c r="C3937" s="3">
        <v>6.1694452796158501</v>
      </c>
      <c r="D3937" s="3">
        <v>1.6143966197086801</v>
      </c>
      <c r="E3937" s="3">
        <v>3.8215177139860099</v>
      </c>
      <c r="F3937" s="3">
        <v>1.32632884882839E-4</v>
      </c>
      <c r="G3937" s="3">
        <v>7.3842423669855095E-4</v>
      </c>
      <c r="H3937" s="3" t="str">
        <f>"DCLK1"</f>
        <v>DCLK1</v>
      </c>
      <c r="I3937" s="3" t="str">
        <f>"protein_coding"</f>
        <v>protein_coding</v>
      </c>
    </row>
    <row r="3938" spans="1:9" x14ac:dyDescent="0.2">
      <c r="A3938" s="3" t="str">
        <f>"ENSG00000133111.3"</f>
        <v>ENSG00000133111.3</v>
      </c>
      <c r="B3938" s="3">
        <v>424.62229595090901</v>
      </c>
      <c r="C3938" s="3">
        <v>-1.0720329271403299</v>
      </c>
      <c r="D3938" s="3">
        <v>0.24378268395711</v>
      </c>
      <c r="E3938" s="3">
        <v>-4.3974941523284699</v>
      </c>
      <c r="F3938" s="4">
        <v>1.0950783420958101E-5</v>
      </c>
      <c r="G3938" s="4">
        <v>7.7079823268107696E-5</v>
      </c>
      <c r="H3938" s="3" t="str">
        <f>"RFXAP"</f>
        <v>RFXAP</v>
      </c>
      <c r="I3938" s="3" t="str">
        <f>"protein_coding"</f>
        <v>protein_coding</v>
      </c>
    </row>
    <row r="3939" spans="1:9" x14ac:dyDescent="0.2">
      <c r="A3939" s="3" t="str">
        <f>"ENSG00000120693.13"</f>
        <v>ENSG00000120693.13</v>
      </c>
      <c r="B3939" s="3">
        <v>1228.5475091629901</v>
      </c>
      <c r="C3939" s="3">
        <v>-2.1455842726748</v>
      </c>
      <c r="D3939" s="3">
        <v>0.20292779000407199</v>
      </c>
      <c r="E3939" s="3">
        <v>-10.5731416708956</v>
      </c>
      <c r="F3939" s="4">
        <v>3.9696907213515498E-26</v>
      </c>
      <c r="G3939" s="4">
        <v>2.4143339974255699E-24</v>
      </c>
      <c r="H3939" s="3" t="str">
        <f>"SMAD9"</f>
        <v>SMAD9</v>
      </c>
      <c r="I3939" s="3" t="str">
        <f>"protein_coding"</f>
        <v>protein_coding</v>
      </c>
    </row>
    <row r="3940" spans="1:9" x14ac:dyDescent="0.2">
      <c r="A3940" s="3" t="str">
        <f>"ENSG00000279511.1"</f>
        <v>ENSG00000279511.1</v>
      </c>
      <c r="B3940" s="3">
        <v>17.610918481956901</v>
      </c>
      <c r="C3940" s="3">
        <v>4.44136472379164</v>
      </c>
      <c r="D3940" s="3">
        <v>1.1464923292423901</v>
      </c>
      <c r="E3940" s="3">
        <v>3.87387216687836</v>
      </c>
      <c r="F3940" s="3">
        <v>1.0711961679625899E-4</v>
      </c>
      <c r="G3940" s="3">
        <v>6.0932947783876295E-4</v>
      </c>
      <c r="H3940" s="3" t="str">
        <f>"AL356274.2"</f>
        <v>AL356274.2</v>
      </c>
      <c r="I3940" s="3" t="str">
        <f>"TEC"</f>
        <v>TEC</v>
      </c>
    </row>
    <row r="3941" spans="1:9" x14ac:dyDescent="0.2">
      <c r="A3941" s="3" t="str">
        <f>"ENSG00000133107.14"</f>
        <v>ENSG00000133107.14</v>
      </c>
      <c r="B3941" s="3">
        <v>4.1822423843077399</v>
      </c>
      <c r="C3941" s="3">
        <v>5.4559790170220399</v>
      </c>
      <c r="D3941" s="3">
        <v>2.1535693190750198</v>
      </c>
      <c r="E3941" s="3">
        <v>2.5334587415860099</v>
      </c>
      <c r="F3941" s="3">
        <v>1.12943035283908E-2</v>
      </c>
      <c r="G3941" s="3">
        <v>3.5206027712854998E-2</v>
      </c>
      <c r="H3941" s="3" t="str">
        <f>"TRPC4"</f>
        <v>TRPC4</v>
      </c>
      <c r="I3941" s="3" t="str">
        <f>"protein_coding"</f>
        <v>protein_coding</v>
      </c>
    </row>
    <row r="3942" spans="1:9" x14ac:dyDescent="0.2">
      <c r="A3942" s="3" t="str">
        <f>"ENSG00000274317.1"</f>
        <v>ENSG00000274317.1</v>
      </c>
      <c r="B3942" s="3">
        <v>462.54926370661798</v>
      </c>
      <c r="C3942" s="3">
        <v>4.5766792243002401</v>
      </c>
      <c r="D3942" s="3">
        <v>0.28463818190617601</v>
      </c>
      <c r="E3942" s="3">
        <v>16.078936401472799</v>
      </c>
      <c r="F3942" s="4">
        <v>3.5848073716215002E-58</v>
      </c>
      <c r="G3942" s="4">
        <v>9.7675246454571001E-56</v>
      </c>
      <c r="H3942" s="3" t="str">
        <f>"LINC02334"</f>
        <v>LINC02334</v>
      </c>
      <c r="I3942" s="3" t="str">
        <f>"lincRNA"</f>
        <v>lincRNA</v>
      </c>
    </row>
    <row r="3943" spans="1:9" x14ac:dyDescent="0.2">
      <c r="A3943" s="3" t="str">
        <f>"ENSG00000223685.5"</f>
        <v>ENSG00000223685.5</v>
      </c>
      <c r="B3943" s="3">
        <v>60.606645798047097</v>
      </c>
      <c r="C3943" s="3">
        <v>1.7738817482218301</v>
      </c>
      <c r="D3943" s="3">
        <v>0.48197140472469402</v>
      </c>
      <c r="E3943" s="3">
        <v>3.6804709383850098</v>
      </c>
      <c r="F3943" s="3">
        <v>2.32803592473823E-4</v>
      </c>
      <c r="G3943" s="3">
        <v>1.2163373890957401E-3</v>
      </c>
      <c r="H3943" s="3" t="str">
        <f>"LINC00571"</f>
        <v>LINC00571</v>
      </c>
      <c r="I3943" s="3" t="str">
        <f>"lincRNA"</f>
        <v>lincRNA</v>
      </c>
    </row>
    <row r="3944" spans="1:9" x14ac:dyDescent="0.2">
      <c r="A3944" s="3" t="str">
        <f>"ENSG00000120686.12"</f>
        <v>ENSG00000120686.12</v>
      </c>
      <c r="B3944" s="3">
        <v>3618.3453463606102</v>
      </c>
      <c r="C3944" s="3">
        <v>1.4534683910013499</v>
      </c>
      <c r="D3944" s="3">
        <v>0.181426991223651</v>
      </c>
      <c r="E3944" s="3">
        <v>8.0113128768674304</v>
      </c>
      <c r="F3944" s="4">
        <v>1.1349031346605001E-15</v>
      </c>
      <c r="G3944" s="4">
        <v>3.0168493375701998E-14</v>
      </c>
      <c r="H3944" s="3" t="str">
        <f>"UFM1"</f>
        <v>UFM1</v>
      </c>
      <c r="I3944" s="3" t="str">
        <f>"protein_coding"</f>
        <v>protein_coding</v>
      </c>
    </row>
    <row r="3945" spans="1:9" x14ac:dyDescent="0.2">
      <c r="A3945" s="3" t="str">
        <f>"ENSG00000150893.11"</f>
        <v>ENSG00000150893.11</v>
      </c>
      <c r="B3945" s="3">
        <v>10.7501873837452</v>
      </c>
      <c r="C3945" s="3">
        <v>5.3466505989389503</v>
      </c>
      <c r="D3945" s="3">
        <v>1.7277361324741001</v>
      </c>
      <c r="E3945" s="3">
        <v>3.0945990527399601</v>
      </c>
      <c r="F3945" s="3">
        <v>1.9707911541667201E-3</v>
      </c>
      <c r="G3945" s="3">
        <v>7.9529245523668104E-3</v>
      </c>
      <c r="H3945" s="3" t="str">
        <f>"FREM2"</f>
        <v>FREM2</v>
      </c>
      <c r="I3945" s="3" t="str">
        <f>"protein_coding"</f>
        <v>protein_coding</v>
      </c>
    </row>
    <row r="3946" spans="1:9" x14ac:dyDescent="0.2">
      <c r="A3946" s="3" t="str">
        <f>"ENSG00000183722.9"</f>
        <v>ENSG00000183722.9</v>
      </c>
      <c r="B3946" s="3">
        <v>8.9650859180286204</v>
      </c>
      <c r="C3946" s="3">
        <v>4.0202500459949304</v>
      </c>
      <c r="D3946" s="3">
        <v>1.4778274930742099</v>
      </c>
      <c r="E3946" s="3">
        <v>2.7203784371556901</v>
      </c>
      <c r="F3946" s="3">
        <v>6.5207242531590002E-3</v>
      </c>
      <c r="G3946" s="3">
        <v>2.2203220910500299E-2</v>
      </c>
      <c r="H3946" s="3" t="str">
        <f>"LHFPL6"</f>
        <v>LHFPL6</v>
      </c>
      <c r="I3946" s="3" t="str">
        <f>"protein_coding"</f>
        <v>protein_coding</v>
      </c>
    </row>
    <row r="3947" spans="1:9" x14ac:dyDescent="0.2">
      <c r="A3947" s="3" t="str">
        <f>"ENSG00000120690.16"</f>
        <v>ENSG00000120690.16</v>
      </c>
      <c r="B3947" s="3">
        <v>2198.2785543456198</v>
      </c>
      <c r="C3947" s="3">
        <v>-1.08989287947782</v>
      </c>
      <c r="D3947" s="3">
        <v>0.18923602380664101</v>
      </c>
      <c r="E3947" s="3">
        <v>-5.7594365890474304</v>
      </c>
      <c r="F3947" s="4">
        <v>8.4395155899761402E-9</v>
      </c>
      <c r="G3947" s="4">
        <v>1.01255606023813E-7</v>
      </c>
      <c r="H3947" s="3" t="str">
        <f>"ELF1"</f>
        <v>ELF1</v>
      </c>
      <c r="I3947" s="3" t="str">
        <f>"protein_coding"</f>
        <v>protein_coding</v>
      </c>
    </row>
    <row r="3948" spans="1:9" x14ac:dyDescent="0.2">
      <c r="A3948" s="3" t="str">
        <f>"ENSG00000278390.4"</f>
        <v>ENSG00000278390.4</v>
      </c>
      <c r="B3948" s="3">
        <v>28.336030747663902</v>
      </c>
      <c r="C3948" s="3">
        <v>2.0908923006759101</v>
      </c>
      <c r="D3948" s="3">
        <v>0.74729499807741795</v>
      </c>
      <c r="E3948" s="3">
        <v>2.7979476726797201</v>
      </c>
      <c r="F3948" s="3">
        <v>5.1428443648169897E-3</v>
      </c>
      <c r="G3948" s="3">
        <v>1.8155879814481499E-2</v>
      </c>
      <c r="H3948" s="3" t="str">
        <f>"AL354696.2"</f>
        <v>AL354696.2</v>
      </c>
      <c r="I3948" s="3" t="str">
        <f>"antisense"</f>
        <v>antisense</v>
      </c>
    </row>
    <row r="3949" spans="1:9" x14ac:dyDescent="0.2">
      <c r="A3949" s="3" t="str">
        <f>"ENSG00000102780.16"</f>
        <v>ENSG00000102780.16</v>
      </c>
      <c r="B3949" s="3">
        <v>63.842507045942</v>
      </c>
      <c r="C3949" s="3">
        <v>3.0889879521110601</v>
      </c>
      <c r="D3949" s="3">
        <v>0.51278248525680703</v>
      </c>
      <c r="E3949" s="3">
        <v>6.0239732068150804</v>
      </c>
      <c r="F3949" s="4">
        <v>1.7018655132866501E-9</v>
      </c>
      <c r="G3949" s="4">
        <v>2.2358114580772102E-8</v>
      </c>
      <c r="H3949" s="3" t="str">
        <f>"DGKH"</f>
        <v>DGKH</v>
      </c>
      <c r="I3949" s="3" t="str">
        <f>"protein_coding"</f>
        <v>protein_coding</v>
      </c>
    </row>
    <row r="3950" spans="1:9" x14ac:dyDescent="0.2">
      <c r="A3950" s="3" t="str">
        <f>"ENSG00000120675.6"</f>
        <v>ENSG00000120675.6</v>
      </c>
      <c r="B3950" s="3">
        <v>891.17774260625299</v>
      </c>
      <c r="C3950" s="3">
        <v>-1.3403582235929301</v>
      </c>
      <c r="D3950" s="3">
        <v>0.201998533393562</v>
      </c>
      <c r="E3950" s="3">
        <v>-6.6354849269200296</v>
      </c>
      <c r="F3950" s="4">
        <v>3.2343742137566401E-11</v>
      </c>
      <c r="G3950" s="4">
        <v>5.3933288985451205E-10</v>
      </c>
      <c r="H3950" s="3" t="str">
        <f>"DNAJC15"</f>
        <v>DNAJC15</v>
      </c>
      <c r="I3950" s="3" t="str">
        <f>"protein_coding"</f>
        <v>protein_coding</v>
      </c>
    </row>
    <row r="3951" spans="1:9" x14ac:dyDescent="0.2">
      <c r="A3951" s="3" t="str">
        <f>"ENSG00000151773.13"</f>
        <v>ENSG00000151773.13</v>
      </c>
      <c r="B3951" s="3">
        <v>359.98950627715902</v>
      </c>
      <c r="C3951" s="3">
        <v>2.38445886085539</v>
      </c>
      <c r="D3951" s="3">
        <v>0.26071970338974598</v>
      </c>
      <c r="E3951" s="3">
        <v>9.1456795549161001</v>
      </c>
      <c r="F3951" s="4">
        <v>5.9256123802163694E-20</v>
      </c>
      <c r="G3951" s="4">
        <v>2.2708180101793998E-18</v>
      </c>
      <c r="H3951" s="3" t="str">
        <f>"CCDC122"</f>
        <v>CCDC122</v>
      </c>
      <c r="I3951" s="3" t="str">
        <f>"protein_coding"</f>
        <v>protein_coding</v>
      </c>
    </row>
    <row r="3952" spans="1:9" x14ac:dyDescent="0.2">
      <c r="A3952" s="3" t="str">
        <f>"ENSG00000274001.1"</f>
        <v>ENSG00000274001.1</v>
      </c>
      <c r="B3952" s="3">
        <v>30.101542290200801</v>
      </c>
      <c r="C3952" s="3">
        <v>3.4231477685397498</v>
      </c>
      <c r="D3952" s="3">
        <v>0.823573554640462</v>
      </c>
      <c r="E3952" s="3">
        <v>4.1564566385745003</v>
      </c>
      <c r="F3952" s="4">
        <v>3.2322148321664202E-5</v>
      </c>
      <c r="G3952" s="3">
        <v>2.05526622011758E-4</v>
      </c>
      <c r="H3952" s="3" t="str">
        <f>"AL512506.1"</f>
        <v>AL512506.1</v>
      </c>
      <c r="I3952" s="3" t="str">
        <f>"sense_intronic"</f>
        <v>sense_intronic</v>
      </c>
    </row>
    <row r="3953" spans="1:9" x14ac:dyDescent="0.2">
      <c r="A3953" s="3" t="str">
        <f>"ENSG00000179630.11"</f>
        <v>ENSG00000179630.11</v>
      </c>
      <c r="B3953" s="3">
        <v>903.33825243326601</v>
      </c>
      <c r="C3953" s="3">
        <v>4.2023828347556798</v>
      </c>
      <c r="D3953" s="3">
        <v>0.243710251180525</v>
      </c>
      <c r="E3953" s="3">
        <v>17.243356873169901</v>
      </c>
      <c r="F3953" s="4">
        <v>1.25531217704006E-66</v>
      </c>
      <c r="G3953" s="4">
        <v>4.5604654517080599E-64</v>
      </c>
      <c r="H3953" s="3" t="str">
        <f>"LACC1"</f>
        <v>LACC1</v>
      </c>
      <c r="I3953" s="3" t="str">
        <f>"protein_coding"</f>
        <v>protein_coding</v>
      </c>
    </row>
    <row r="3954" spans="1:9" x14ac:dyDescent="0.2">
      <c r="A3954" s="3" t="str">
        <f>"ENSG00000281883.1"</f>
        <v>ENSG00000281883.1</v>
      </c>
      <c r="B3954" s="3">
        <v>15.0773821872799</v>
      </c>
      <c r="C3954" s="3">
        <v>5.8419920411439801</v>
      </c>
      <c r="D3954" s="3">
        <v>1.6656922344656999</v>
      </c>
      <c r="E3954" s="3">
        <v>3.5072457686145802</v>
      </c>
      <c r="F3954" s="3">
        <v>4.52770764851306E-4</v>
      </c>
      <c r="G3954" s="3">
        <v>2.1945640987764701E-3</v>
      </c>
      <c r="H3954" s="3" t="str">
        <f>"AL512506.3"</f>
        <v>AL512506.3</v>
      </c>
      <c r="I3954" s="3" t="str">
        <f>"protein_coding"</f>
        <v>protein_coding</v>
      </c>
    </row>
    <row r="3955" spans="1:9" x14ac:dyDescent="0.2">
      <c r="A3955" s="3" t="str">
        <f>"ENSG00000179611.3"</f>
        <v>ENSG00000179611.3</v>
      </c>
      <c r="B3955" s="3">
        <v>335.32607840686001</v>
      </c>
      <c r="C3955" s="3">
        <v>1.02650936158257</v>
      </c>
      <c r="D3955" s="3">
        <v>0.26157040273502202</v>
      </c>
      <c r="E3955" s="3">
        <v>3.9244094547748101</v>
      </c>
      <c r="F3955" s="4">
        <v>8.6942751719595895E-5</v>
      </c>
      <c r="G3955" s="3">
        <v>5.0574917935606895E-4</v>
      </c>
      <c r="H3955" s="3" t="str">
        <f>"DGKZP1"</f>
        <v>DGKZP1</v>
      </c>
      <c r="I3955" s="3" t="str">
        <f>"processed_pseudogene"</f>
        <v>processed_pseudogene</v>
      </c>
    </row>
    <row r="3956" spans="1:9" x14ac:dyDescent="0.2">
      <c r="A3956" s="3" t="str">
        <f>"ENSG00000080618.15"</f>
        <v>ENSG00000080618.15</v>
      </c>
      <c r="B3956" s="3">
        <v>852.758733479797</v>
      </c>
      <c r="C3956" s="3">
        <v>-2.6321791937067802</v>
      </c>
      <c r="D3956" s="3">
        <v>0.211445013000222</v>
      </c>
      <c r="E3956" s="3">
        <v>-12.4485281367408</v>
      </c>
      <c r="F3956" s="4">
        <v>1.4244788428551401E-35</v>
      </c>
      <c r="G3956" s="4">
        <v>1.54632569845713E-33</v>
      </c>
      <c r="H3956" s="3" t="str">
        <f>"CPB2"</f>
        <v>CPB2</v>
      </c>
      <c r="I3956" s="3" t="str">
        <f>"protein_coding"</f>
        <v>protein_coding</v>
      </c>
    </row>
    <row r="3957" spans="1:9" x14ac:dyDescent="0.2">
      <c r="A3957" s="3" t="str">
        <f>"ENSG00000102445.18"</f>
        <v>ENSG00000102445.18</v>
      </c>
      <c r="B3957" s="3">
        <v>4.4056825938939799</v>
      </c>
      <c r="C3957" s="3">
        <v>5.5386844559520796</v>
      </c>
      <c r="D3957" s="3">
        <v>2.1077177075898899</v>
      </c>
      <c r="E3957" s="3">
        <v>2.62781132217434</v>
      </c>
      <c r="F3957" s="3">
        <v>8.5936166095153897E-3</v>
      </c>
      <c r="G3957" s="3">
        <v>2.8031877380517899E-2</v>
      </c>
      <c r="H3957" s="3" t="str">
        <f>"RUBCNL"</f>
        <v>RUBCNL</v>
      </c>
      <c r="I3957" s="3" t="str">
        <f>"protein_coding"</f>
        <v>protein_coding</v>
      </c>
    </row>
    <row r="3958" spans="1:9" x14ac:dyDescent="0.2">
      <c r="A3958" s="3" t="str">
        <f>"ENSG00000139687.15"</f>
        <v>ENSG00000139687.15</v>
      </c>
      <c r="B3958" s="3">
        <v>2814.6545581580999</v>
      </c>
      <c r="C3958" s="3">
        <v>1.19691645478631</v>
      </c>
      <c r="D3958" s="3">
        <v>0.23481277822159599</v>
      </c>
      <c r="E3958" s="3">
        <v>5.0973224875213701</v>
      </c>
      <c r="F3958" s="4">
        <v>3.44491192146956E-7</v>
      </c>
      <c r="G3958" s="4">
        <v>3.1948099089272002E-6</v>
      </c>
      <c r="H3958" s="3" t="str">
        <f>"RB1"</f>
        <v>RB1</v>
      </c>
      <c r="I3958" s="3" t="str">
        <f>"protein_coding"</f>
        <v>protein_coding</v>
      </c>
    </row>
    <row r="3959" spans="1:9" x14ac:dyDescent="0.2">
      <c r="A3959" s="3" t="str">
        <f>"ENSG00000139679.15"</f>
        <v>ENSG00000139679.15</v>
      </c>
      <c r="B3959" s="3">
        <v>729.47039962478198</v>
      </c>
      <c r="C3959" s="3">
        <v>-1.71008034223656</v>
      </c>
      <c r="D3959" s="3">
        <v>0.20852513247639201</v>
      </c>
      <c r="E3959" s="3">
        <v>-8.2008356591269003</v>
      </c>
      <c r="F3959" s="4">
        <v>2.3872169604831302E-16</v>
      </c>
      <c r="G3959" s="4">
        <v>6.7403627484231901E-15</v>
      </c>
      <c r="H3959" s="3" t="str">
        <f>"LPAR6"</f>
        <v>LPAR6</v>
      </c>
      <c r="I3959" s="3" t="str">
        <f>"protein_coding"</f>
        <v>protein_coding</v>
      </c>
    </row>
    <row r="3960" spans="1:9" x14ac:dyDescent="0.2">
      <c r="A3960" s="3" t="str">
        <f>"ENSG00000231665.1"</f>
        <v>ENSG00000231665.1</v>
      </c>
      <c r="B3960" s="3">
        <v>8.4067344541680207</v>
      </c>
      <c r="C3960" s="3">
        <v>6.4699284650662499</v>
      </c>
      <c r="D3960" s="3">
        <v>1.82161314280359</v>
      </c>
      <c r="E3960" s="3">
        <v>3.5517576773236201</v>
      </c>
      <c r="F3960" s="3">
        <v>3.82667100367185E-4</v>
      </c>
      <c r="G3960" s="3">
        <v>1.8943551024172801E-3</v>
      </c>
      <c r="H3960" s="3" t="str">
        <f>"OGFOD1P1"</f>
        <v>OGFOD1P1</v>
      </c>
      <c r="I3960" s="3" t="str">
        <f>"processed_pseudogene"</f>
        <v>processed_pseudogene</v>
      </c>
    </row>
    <row r="3961" spans="1:9" x14ac:dyDescent="0.2">
      <c r="A3961" s="3" t="str">
        <f>"ENSG00000102539.5"</f>
        <v>ENSG00000102539.5</v>
      </c>
      <c r="B3961" s="3">
        <v>15.895579864496</v>
      </c>
      <c r="C3961" s="3">
        <v>3.8457676020328901</v>
      </c>
      <c r="D3961" s="3">
        <v>1.0653588314095701</v>
      </c>
      <c r="E3961" s="3">
        <v>3.60983312725212</v>
      </c>
      <c r="F3961" s="3">
        <v>3.0639405301380302E-4</v>
      </c>
      <c r="G3961" s="3">
        <v>1.5534646003846401E-3</v>
      </c>
      <c r="H3961" s="3" t="str">
        <f>"MLNR"</f>
        <v>MLNR</v>
      </c>
      <c r="I3961" s="3" t="str">
        <f>"protein_coding"</f>
        <v>protein_coding</v>
      </c>
    </row>
    <row r="3962" spans="1:9" x14ac:dyDescent="0.2">
      <c r="A3962" s="3" t="str">
        <f>"ENSG00000102547.19"</f>
        <v>ENSG00000102547.19</v>
      </c>
      <c r="B3962" s="3">
        <v>144.30730921267201</v>
      </c>
      <c r="C3962" s="3">
        <v>-1.0609304402724899</v>
      </c>
      <c r="D3962" s="3">
        <v>0.32136544563069303</v>
      </c>
      <c r="E3962" s="3">
        <v>-3.3013208317725899</v>
      </c>
      <c r="F3962" s="3">
        <v>9.6230774124289196E-4</v>
      </c>
      <c r="G3962" s="3">
        <v>4.2689676043056101E-3</v>
      </c>
      <c r="H3962" s="3" t="str">
        <f>"CAB39L"</f>
        <v>CAB39L</v>
      </c>
      <c r="I3962" s="3" t="str">
        <f>"protein_coding"</f>
        <v>protein_coding</v>
      </c>
    </row>
    <row r="3963" spans="1:9" x14ac:dyDescent="0.2">
      <c r="A3963" s="3" t="str">
        <f>"ENSG00000152213.3"</f>
        <v>ENSG00000152213.3</v>
      </c>
      <c r="B3963" s="3">
        <v>48.405907067944497</v>
      </c>
      <c r="C3963" s="3">
        <v>4.0055938583462396</v>
      </c>
      <c r="D3963" s="3">
        <v>0.65124267807025704</v>
      </c>
      <c r="E3963" s="3">
        <v>6.1506931182942397</v>
      </c>
      <c r="F3963" s="4">
        <v>7.7145060645445097E-10</v>
      </c>
      <c r="G3963" s="4">
        <v>1.0664492477962699E-8</v>
      </c>
      <c r="H3963" s="3" t="str">
        <f>"ARL11"</f>
        <v>ARL11</v>
      </c>
      <c r="I3963" s="3" t="str">
        <f>"protein_coding"</f>
        <v>protein_coding</v>
      </c>
    </row>
    <row r="3964" spans="1:9" x14ac:dyDescent="0.2">
      <c r="A3964" s="3" t="str">
        <f>"ENSG00000123179.14"</f>
        <v>ENSG00000123179.14</v>
      </c>
      <c r="B3964" s="3">
        <v>866.70235856624095</v>
      </c>
      <c r="C3964" s="3">
        <v>-1.2205944379559599</v>
      </c>
      <c r="D3964" s="3">
        <v>0.20131496870423299</v>
      </c>
      <c r="E3964" s="3">
        <v>-6.0631082020990803</v>
      </c>
      <c r="F3964" s="4">
        <v>1.33515776094069E-9</v>
      </c>
      <c r="G3964" s="4">
        <v>1.78942663612154E-8</v>
      </c>
      <c r="H3964" s="3" t="str">
        <f>"EBPL"</f>
        <v>EBPL</v>
      </c>
      <c r="I3964" s="3" t="str">
        <f>"protein_coding"</f>
        <v>protein_coding</v>
      </c>
    </row>
    <row r="3965" spans="1:9" x14ac:dyDescent="0.2">
      <c r="A3965" s="3" t="str">
        <f>"ENSG00000232150.3"</f>
        <v>ENSG00000232150.3</v>
      </c>
      <c r="B3965" s="3">
        <v>42.329870488840797</v>
      </c>
      <c r="C3965" s="3">
        <v>1.5773851466425599</v>
      </c>
      <c r="D3965" s="3">
        <v>0.65224400471882005</v>
      </c>
      <c r="E3965" s="3">
        <v>2.4183973102559402</v>
      </c>
      <c r="F3965" s="3">
        <v>1.5589044988091501E-2</v>
      </c>
      <c r="G3965" s="3">
        <v>4.6041455193661797E-2</v>
      </c>
      <c r="H3965" s="3" t="str">
        <f>"ST13P4"</f>
        <v>ST13P4</v>
      </c>
      <c r="I3965" s="3" t="str">
        <f>"processed_pseudogene"</f>
        <v>processed_pseudogene</v>
      </c>
    </row>
    <row r="3966" spans="1:9" x14ac:dyDescent="0.2">
      <c r="A3966" s="3" t="str">
        <f>"ENSG00000123201.14"</f>
        <v>ENSG00000123201.14</v>
      </c>
      <c r="B3966" s="3">
        <v>6.1661521572278399</v>
      </c>
      <c r="C3966" s="3">
        <v>6.0207072949405402</v>
      </c>
      <c r="D3966" s="3">
        <v>1.93317068918253</v>
      </c>
      <c r="E3966" s="3">
        <v>3.11442095032307</v>
      </c>
      <c r="F3966" s="3">
        <v>1.84306335590704E-3</v>
      </c>
      <c r="G3966" s="3">
        <v>7.5120339952728498E-3</v>
      </c>
      <c r="H3966" s="3" t="str">
        <f>"GUCY1B2"</f>
        <v>GUCY1B2</v>
      </c>
      <c r="I3966" s="3" t="str">
        <f>"transcribed_unitary_pseudogene"</f>
        <v>transcribed_unitary_pseudogene</v>
      </c>
    </row>
    <row r="3967" spans="1:9" x14ac:dyDescent="0.2">
      <c r="A3967" s="3" t="str">
        <f>"ENSG00000236778.7"</f>
        <v>ENSG00000236778.7</v>
      </c>
      <c r="B3967" s="3">
        <v>79.612756431717202</v>
      </c>
      <c r="C3967" s="3">
        <v>1.41839113381488</v>
      </c>
      <c r="D3967" s="3">
        <v>0.411908398126279</v>
      </c>
      <c r="E3967" s="3">
        <v>3.4434625277536601</v>
      </c>
      <c r="F3967" s="3">
        <v>5.7431617554843598E-4</v>
      </c>
      <c r="G3967" s="3">
        <v>2.7092092858670802E-3</v>
      </c>
      <c r="H3967" s="3" t="str">
        <f>"INTS6-AS1"</f>
        <v>INTS6-AS1</v>
      </c>
      <c r="I3967" s="3" t="str">
        <f>"antisense"</f>
        <v>antisense</v>
      </c>
    </row>
    <row r="3968" spans="1:9" x14ac:dyDescent="0.2">
      <c r="A3968" s="3" t="str">
        <f>"ENSG00000102796.11"</f>
        <v>ENSG00000102796.11</v>
      </c>
      <c r="B3968" s="3">
        <v>144.155257068406</v>
      </c>
      <c r="C3968" s="3">
        <v>1.38112720846988</v>
      </c>
      <c r="D3968" s="3">
        <v>0.33139181552650998</v>
      </c>
      <c r="E3968" s="3">
        <v>4.1676563625313596</v>
      </c>
      <c r="F3968" s="4">
        <v>3.0774740422523803E-5</v>
      </c>
      <c r="G3968" s="3">
        <v>1.9669700968625499E-4</v>
      </c>
      <c r="H3968" s="3" t="str">
        <f>"DHRS12"</f>
        <v>DHRS12</v>
      </c>
      <c r="I3968" s="3" t="str">
        <f>"protein_coding"</f>
        <v>protein_coding</v>
      </c>
    </row>
    <row r="3969" spans="1:9" x14ac:dyDescent="0.2">
      <c r="A3969" s="3" t="str">
        <f>"ENSG00000231856.2"</f>
        <v>ENSG00000231856.2</v>
      </c>
      <c r="B3969" s="3">
        <v>37.557879679182001</v>
      </c>
      <c r="C3969" s="3">
        <v>1.3924097831217199</v>
      </c>
      <c r="D3969" s="3">
        <v>0.57941960012731597</v>
      </c>
      <c r="E3969" s="3">
        <v>2.4031112907049899</v>
      </c>
      <c r="F3969" s="3">
        <v>1.6256239268997798E-2</v>
      </c>
      <c r="G3969" s="3">
        <v>4.7596577623295E-2</v>
      </c>
      <c r="H3969" s="3" t="str">
        <f>"AL162377.1"</f>
        <v>AL162377.1</v>
      </c>
      <c r="I3969" s="3" t="str">
        <f>"antisense"</f>
        <v>antisense</v>
      </c>
    </row>
    <row r="3970" spans="1:9" x14ac:dyDescent="0.2">
      <c r="A3970" s="3" t="str">
        <f>"ENSG00000232872.2"</f>
        <v>ENSG00000232872.2</v>
      </c>
      <c r="B3970" s="3">
        <v>103.58677062749101</v>
      </c>
      <c r="C3970" s="3">
        <v>-1.16368422031525</v>
      </c>
      <c r="D3970" s="3">
        <v>0.38074071501440099</v>
      </c>
      <c r="E3970" s="3">
        <v>-3.05636926765564</v>
      </c>
      <c r="F3970" s="3">
        <v>2.2403515447734601E-3</v>
      </c>
      <c r="G3970" s="3">
        <v>8.8815449644176394E-3</v>
      </c>
      <c r="H3970" s="3" t="str">
        <f>"CTAGE3P"</f>
        <v>CTAGE3P</v>
      </c>
      <c r="I3970" s="3" t="str">
        <f>"processed_pseudogene"</f>
        <v>processed_pseudogene</v>
      </c>
    </row>
    <row r="3971" spans="1:9" x14ac:dyDescent="0.2">
      <c r="A3971" s="3" t="str">
        <f>"ENSG00000123191.14"</f>
        <v>ENSG00000123191.14</v>
      </c>
      <c r="B3971" s="3">
        <v>4380.7735158118803</v>
      </c>
      <c r="C3971" s="3">
        <v>-1.32770271760699</v>
      </c>
      <c r="D3971" s="3">
        <v>0.20382926405829199</v>
      </c>
      <c r="E3971" s="3">
        <v>-6.5137983191034596</v>
      </c>
      <c r="F3971" s="4">
        <v>7.3273865295154403E-11</v>
      </c>
      <c r="G3971" s="4">
        <v>1.1648150569994601E-9</v>
      </c>
      <c r="H3971" s="3" t="str">
        <f>"ATP7B"</f>
        <v>ATP7B</v>
      </c>
      <c r="I3971" s="3" t="str">
        <f>"protein_coding"</f>
        <v>protein_coding</v>
      </c>
    </row>
    <row r="3972" spans="1:9" x14ac:dyDescent="0.2">
      <c r="A3972" s="3" t="str">
        <f>"ENSG00000197168.13"</f>
        <v>ENSG00000197168.13</v>
      </c>
      <c r="B3972" s="3">
        <v>31.894452897373998</v>
      </c>
      <c r="C3972" s="3">
        <v>2.8558788027006501</v>
      </c>
      <c r="D3972" s="3">
        <v>0.69447002849805195</v>
      </c>
      <c r="E3972" s="3">
        <v>4.1123139739768702</v>
      </c>
      <c r="F3972" s="4">
        <v>3.9171307531429502E-5</v>
      </c>
      <c r="G3972" s="3">
        <v>2.44962271358471E-4</v>
      </c>
      <c r="H3972" s="3" t="str">
        <f>"NEK5"</f>
        <v>NEK5</v>
      </c>
      <c r="I3972" s="3" t="str">
        <f>"protein_coding"</f>
        <v>protein_coding</v>
      </c>
    </row>
    <row r="3973" spans="1:9" x14ac:dyDescent="0.2">
      <c r="A3973" s="3" t="str">
        <f>"ENSG00000272281.6"</f>
        <v>ENSG00000272281.6</v>
      </c>
      <c r="B3973" s="3">
        <v>4.0735280698875203</v>
      </c>
      <c r="C3973" s="3">
        <v>5.4212402584095702</v>
      </c>
      <c r="D3973" s="3">
        <v>2.1434463209324499</v>
      </c>
      <c r="E3973" s="3">
        <v>2.52921671304146</v>
      </c>
      <c r="F3973" s="3">
        <v>1.1431741709104999E-2</v>
      </c>
      <c r="G3973" s="3">
        <v>3.5553095120189997E-2</v>
      </c>
      <c r="H3973" s="3" t="str">
        <f>"TPTE2P2"</f>
        <v>TPTE2P2</v>
      </c>
      <c r="I3973" s="3" t="str">
        <f>"transcribed_unprocessed_pseudogene"</f>
        <v>transcribed_unprocessed_pseudogene</v>
      </c>
    </row>
    <row r="3974" spans="1:9" x14ac:dyDescent="0.2">
      <c r="A3974" s="3" t="str">
        <f>"ENSG00000278238.1"</f>
        <v>ENSG00000278238.1</v>
      </c>
      <c r="B3974" s="3">
        <v>35.261047922169098</v>
      </c>
      <c r="C3974" s="3">
        <v>2.6328130998013002</v>
      </c>
      <c r="D3974" s="3">
        <v>0.64267285110066796</v>
      </c>
      <c r="E3974" s="3">
        <v>4.0966614589246104</v>
      </c>
      <c r="F3974" s="4">
        <v>4.1915117880010502E-5</v>
      </c>
      <c r="G3974" s="3">
        <v>2.6038787434488003E-4</v>
      </c>
      <c r="H3974" s="3" t="str">
        <f>"AL359513.1"</f>
        <v>AL359513.1</v>
      </c>
      <c r="I3974" s="3" t="str">
        <f>"lincRNA"</f>
        <v>lincRNA</v>
      </c>
    </row>
    <row r="3975" spans="1:9" x14ac:dyDescent="0.2">
      <c r="A3975" s="3" t="str">
        <f>"ENSG00000235660.2"</f>
        <v>ENSG00000235660.2</v>
      </c>
      <c r="B3975" s="3">
        <v>17.142704379789699</v>
      </c>
      <c r="C3975" s="3">
        <v>3.9616129873905899</v>
      </c>
      <c r="D3975" s="3">
        <v>1.04865470218379</v>
      </c>
      <c r="E3975" s="3">
        <v>3.77780500973356</v>
      </c>
      <c r="F3975" s="3">
        <v>1.5821667564441401E-4</v>
      </c>
      <c r="G3975" s="3">
        <v>8.6495380443084703E-4</v>
      </c>
      <c r="H3975" s="3" t="str">
        <f>"LINC00345"</f>
        <v>LINC00345</v>
      </c>
      <c r="I3975" s="3" t="str">
        <f>"lincRNA"</f>
        <v>lincRNA</v>
      </c>
    </row>
    <row r="3976" spans="1:9" x14ac:dyDescent="0.2">
      <c r="A3976" s="3" t="str">
        <f>"ENSG00000280296.1"</f>
        <v>ENSG00000280296.1</v>
      </c>
      <c r="B3976" s="3">
        <v>8.0021470894581004</v>
      </c>
      <c r="C3976" s="3">
        <v>3.8551285893564899</v>
      </c>
      <c r="D3976" s="3">
        <v>1.49130665487341</v>
      </c>
      <c r="E3976" s="3">
        <v>2.58506764974085</v>
      </c>
      <c r="F3976" s="3">
        <v>9.7359892650425092E-3</v>
      </c>
      <c r="G3976" s="3">
        <v>3.1073737788990599E-2</v>
      </c>
      <c r="H3976" s="3" t="str">
        <f>"AL137058.3"</f>
        <v>AL137058.3</v>
      </c>
      <c r="I3976" s="3" t="str">
        <f>"TEC"</f>
        <v>TEC</v>
      </c>
    </row>
    <row r="3977" spans="1:9" x14ac:dyDescent="0.2">
      <c r="A3977" s="3" t="str">
        <f>"ENSG00000102837.7"</f>
        <v>ENSG00000102837.7</v>
      </c>
      <c r="B3977" s="3">
        <v>6.64325910046127</v>
      </c>
      <c r="C3977" s="3">
        <v>6.1281723100268497</v>
      </c>
      <c r="D3977" s="3">
        <v>1.9022887928487999</v>
      </c>
      <c r="E3977" s="3">
        <v>3.2214731711947402</v>
      </c>
      <c r="F3977" s="3">
        <v>1.27533402088571E-3</v>
      </c>
      <c r="G3977" s="3">
        <v>5.4508276183643902E-3</v>
      </c>
      <c r="H3977" s="3" t="str">
        <f>"OLFM4"</f>
        <v>OLFM4</v>
      </c>
      <c r="I3977" s="3" t="str">
        <f>"protein_coding"</f>
        <v>protein_coding</v>
      </c>
    </row>
    <row r="3978" spans="1:9" x14ac:dyDescent="0.2">
      <c r="A3978" s="3" t="str">
        <f>"ENSG00000139734.18"</f>
        <v>ENSG00000139734.18</v>
      </c>
      <c r="B3978" s="3">
        <v>1331.00659676992</v>
      </c>
      <c r="C3978" s="3">
        <v>-1.2452579474968699</v>
      </c>
      <c r="D3978" s="3">
        <v>0.19428684341776301</v>
      </c>
      <c r="E3978" s="3">
        <v>-6.4093786567898201</v>
      </c>
      <c r="F3978" s="4">
        <v>1.46113886441261E-10</v>
      </c>
      <c r="G3978" s="4">
        <v>2.2228727324763002E-9</v>
      </c>
      <c r="H3978" s="3" t="str">
        <f>"DIAPH3"</f>
        <v>DIAPH3</v>
      </c>
      <c r="I3978" s="3" t="str">
        <f>"protein_coding"</f>
        <v>protein_coding</v>
      </c>
    </row>
    <row r="3979" spans="1:9" x14ac:dyDescent="0.2">
      <c r="A3979" s="3" t="str">
        <f>"ENSG00000118922.17"</f>
        <v>ENSG00000118922.17</v>
      </c>
      <c r="B3979" s="3">
        <v>142.26669549490899</v>
      </c>
      <c r="C3979" s="3">
        <v>-2.0026774781737999</v>
      </c>
      <c r="D3979" s="3">
        <v>0.399614290274386</v>
      </c>
      <c r="E3979" s="3">
        <v>-5.0115261814053502</v>
      </c>
      <c r="F3979" s="4">
        <v>5.4000034619086797E-7</v>
      </c>
      <c r="G3979" s="4">
        <v>4.8511010328594102E-6</v>
      </c>
      <c r="H3979" s="3" t="str">
        <f>"KLF12"</f>
        <v>KLF12</v>
      </c>
      <c r="I3979" s="3" t="str">
        <f>"protein_coding"</f>
        <v>protein_coding</v>
      </c>
    </row>
    <row r="3980" spans="1:9" x14ac:dyDescent="0.2">
      <c r="A3980" s="3" t="str">
        <f>"ENSG00000178695.5"</f>
        <v>ENSG00000178695.5</v>
      </c>
      <c r="B3980" s="3">
        <v>9.2100277095721506</v>
      </c>
      <c r="C3980" s="3">
        <v>4.0676445916447097</v>
      </c>
      <c r="D3980" s="3">
        <v>1.49165237729621</v>
      </c>
      <c r="E3980" s="3">
        <v>2.7269386980214398</v>
      </c>
      <c r="F3980" s="3">
        <v>6.3924913960237703E-3</v>
      </c>
      <c r="G3980" s="3">
        <v>2.1832064811664501E-2</v>
      </c>
      <c r="H3980" s="3" t="str">
        <f>"KCTD12"</f>
        <v>KCTD12</v>
      </c>
      <c r="I3980" s="3" t="str">
        <f>"protein_coding"</f>
        <v>protein_coding</v>
      </c>
    </row>
    <row r="3981" spans="1:9" x14ac:dyDescent="0.2">
      <c r="A3981" s="3" t="str">
        <f>"ENSG00000234377.7"</f>
        <v>ENSG00000234377.7</v>
      </c>
      <c r="B3981" s="3">
        <v>3.9648137554673002</v>
      </c>
      <c r="C3981" s="3">
        <v>5.38581965917892</v>
      </c>
      <c r="D3981" s="3">
        <v>2.16320773319238</v>
      </c>
      <c r="E3981" s="3">
        <v>2.4897376135165499</v>
      </c>
      <c r="F3981" s="3">
        <v>1.2783743375967001E-2</v>
      </c>
      <c r="G3981" s="3">
        <v>3.9066695352733702E-2</v>
      </c>
      <c r="H3981" s="3" t="str">
        <f>"RNF219-AS1"</f>
        <v>RNF219-AS1</v>
      </c>
      <c r="I3981" s="3" t="str">
        <f>"antisense"</f>
        <v>antisense</v>
      </c>
    </row>
    <row r="3982" spans="1:9" x14ac:dyDescent="0.2">
      <c r="A3982" s="3" t="str">
        <f>"ENSG00000136158.12"</f>
        <v>ENSG00000136158.12</v>
      </c>
      <c r="B3982" s="3">
        <v>371.244766836385</v>
      </c>
      <c r="C3982" s="3">
        <v>-1.5165249864574</v>
      </c>
      <c r="D3982" s="3">
        <v>0.24443389433927701</v>
      </c>
      <c r="E3982" s="3">
        <v>-6.2042336254416499</v>
      </c>
      <c r="F3982" s="4">
        <v>5.49640837240651E-10</v>
      </c>
      <c r="G3982" s="4">
        <v>7.6918664059044805E-9</v>
      </c>
      <c r="H3982" s="3" t="str">
        <f>"SPRY2"</f>
        <v>SPRY2</v>
      </c>
      <c r="I3982" s="3" t="str">
        <f>"protein_coding"</f>
        <v>protein_coding</v>
      </c>
    </row>
    <row r="3983" spans="1:9" x14ac:dyDescent="0.2">
      <c r="A3983" s="3" t="str">
        <f>"ENSG00000215417.12"</f>
        <v>ENSG00000215417.12</v>
      </c>
      <c r="B3983" s="3">
        <v>596.05246835246896</v>
      </c>
      <c r="C3983" s="3">
        <v>-1.3042879333478501</v>
      </c>
      <c r="D3983" s="3">
        <v>0.260679250976598</v>
      </c>
      <c r="E3983" s="3">
        <v>-5.0034205962366398</v>
      </c>
      <c r="F3983" s="4">
        <v>5.6321871189473601E-7</v>
      </c>
      <c r="G3983" s="4">
        <v>5.0298329213359104E-6</v>
      </c>
      <c r="H3983" s="3" t="str">
        <f>"MIR17HG"</f>
        <v>MIR17HG</v>
      </c>
      <c r="I3983" s="3" t="str">
        <f>"processed_transcript"</f>
        <v>processed_transcript</v>
      </c>
    </row>
    <row r="3984" spans="1:9" x14ac:dyDescent="0.2">
      <c r="A3984" s="3" t="str">
        <f>"ENSG00000183098.11"</f>
        <v>ENSG00000183098.11</v>
      </c>
      <c r="B3984" s="3">
        <v>3845.2286437091502</v>
      </c>
      <c r="C3984" s="3">
        <v>-1.6525835658055901</v>
      </c>
      <c r="D3984" s="3">
        <v>0.18235599817304399</v>
      </c>
      <c r="E3984" s="3">
        <v>-9.0624031145791903</v>
      </c>
      <c r="F3984" s="4">
        <v>1.2760761637176799E-19</v>
      </c>
      <c r="G3984" s="4">
        <v>4.7049049029520598E-18</v>
      </c>
      <c r="H3984" s="3" t="str">
        <f>"GPC6"</f>
        <v>GPC6</v>
      </c>
      <c r="I3984" s="3" t="str">
        <f t="shared" ref="I3984:I3989" si="186">"protein_coding"</f>
        <v>protein_coding</v>
      </c>
    </row>
    <row r="3985" spans="1:9" x14ac:dyDescent="0.2">
      <c r="A3985" s="3" t="str">
        <f>"ENSG00000080166.16"</f>
        <v>ENSG00000080166.16</v>
      </c>
      <c r="B3985" s="3">
        <v>4.0372899650807801</v>
      </c>
      <c r="C3985" s="3">
        <v>5.4095356733146298</v>
      </c>
      <c r="D3985" s="3">
        <v>2.1467512296701501</v>
      </c>
      <c r="E3985" s="3">
        <v>2.5198707696307201</v>
      </c>
      <c r="F3985" s="3">
        <v>1.17397926988685E-2</v>
      </c>
      <c r="G3985" s="3">
        <v>3.6345203007166198E-2</v>
      </c>
      <c r="H3985" s="3" t="str">
        <f>"DCT"</f>
        <v>DCT</v>
      </c>
      <c r="I3985" s="3" t="str">
        <f t="shared" si="186"/>
        <v>protein_coding</v>
      </c>
    </row>
    <row r="3986" spans="1:9" x14ac:dyDescent="0.2">
      <c r="A3986" s="3" t="str">
        <f>"ENSG00000125257.15"</f>
        <v>ENSG00000125257.15</v>
      </c>
      <c r="B3986" s="3">
        <v>1284.5160377561299</v>
      </c>
      <c r="C3986" s="3">
        <v>-1.90722678176275</v>
      </c>
      <c r="D3986" s="3">
        <v>0.20588272504315</v>
      </c>
      <c r="E3986" s="3">
        <v>-9.2636561972988698</v>
      </c>
      <c r="F3986" s="4">
        <v>1.9754913077379701E-20</v>
      </c>
      <c r="G3986" s="4">
        <v>7.9742535795461502E-19</v>
      </c>
      <c r="H3986" s="3" t="str">
        <f>"ABCC4"</f>
        <v>ABCC4</v>
      </c>
      <c r="I3986" s="3" t="str">
        <f t="shared" si="186"/>
        <v>protein_coding</v>
      </c>
    </row>
    <row r="3987" spans="1:9" x14ac:dyDescent="0.2">
      <c r="A3987" s="3" t="str">
        <f>"ENSG00000134874.17"</f>
        <v>ENSG00000134874.17</v>
      </c>
      <c r="B3987" s="3">
        <v>3602.6047819789001</v>
      </c>
      <c r="C3987" s="3">
        <v>1.0325131099940701</v>
      </c>
      <c r="D3987" s="3">
        <v>0.18198962009050801</v>
      </c>
      <c r="E3987" s="3">
        <v>5.6734725281616303</v>
      </c>
      <c r="F3987" s="4">
        <v>1.3993154993536E-8</v>
      </c>
      <c r="G3987" s="4">
        <v>1.6314569709408499E-7</v>
      </c>
      <c r="H3987" s="3" t="str">
        <f>"DZIP1"</f>
        <v>DZIP1</v>
      </c>
      <c r="I3987" s="3" t="str">
        <f t="shared" si="186"/>
        <v>protein_coding</v>
      </c>
    </row>
    <row r="3988" spans="1:9" x14ac:dyDescent="0.2">
      <c r="A3988" s="3" t="str">
        <f>"ENSG00000102580.15"</f>
        <v>ENSG00000102580.15</v>
      </c>
      <c r="B3988" s="3">
        <v>3786.9627791164198</v>
      </c>
      <c r="C3988" s="3">
        <v>-1.1047942281182599</v>
      </c>
      <c r="D3988" s="3">
        <v>0.18067689020150299</v>
      </c>
      <c r="E3988" s="3">
        <v>-6.1147511830988099</v>
      </c>
      <c r="F3988" s="4">
        <v>9.6707733526764603E-10</v>
      </c>
      <c r="G3988" s="4">
        <v>1.31887113888186E-8</v>
      </c>
      <c r="H3988" s="3" t="str">
        <f>"DNAJC3"</f>
        <v>DNAJC3</v>
      </c>
      <c r="I3988" s="3" t="str">
        <f t="shared" si="186"/>
        <v>protein_coding</v>
      </c>
    </row>
    <row r="3989" spans="1:9" x14ac:dyDescent="0.2">
      <c r="A3989" s="3" t="str">
        <f>"ENSG00000185352.8"</f>
        <v>ENSG00000185352.8</v>
      </c>
      <c r="B3989" s="3">
        <v>10.091722017515499</v>
      </c>
      <c r="C3989" s="3">
        <v>6.7297273601434204</v>
      </c>
      <c r="D3989" s="3">
        <v>1.7636644007934299</v>
      </c>
      <c r="E3989" s="3">
        <v>3.8157641312688799</v>
      </c>
      <c r="F3989" s="3">
        <v>1.35762143629137E-4</v>
      </c>
      <c r="G3989" s="3">
        <v>7.5399737616451302E-4</v>
      </c>
      <c r="H3989" s="3" t="str">
        <f>"HS6ST3"</f>
        <v>HS6ST3</v>
      </c>
      <c r="I3989" s="3" t="str">
        <f t="shared" si="186"/>
        <v>protein_coding</v>
      </c>
    </row>
    <row r="3990" spans="1:9" x14ac:dyDescent="0.2">
      <c r="A3990" s="3" t="str">
        <f>"ENSG00000233273.1"</f>
        <v>ENSG00000233273.1</v>
      </c>
      <c r="B3990" s="3">
        <v>4.9915038515476402</v>
      </c>
      <c r="C3990" s="3">
        <v>5.7155107172183204</v>
      </c>
      <c r="D3990" s="3">
        <v>2.03125899621197</v>
      </c>
      <c r="E3990" s="3">
        <v>2.81377742960253</v>
      </c>
      <c r="F3990" s="3">
        <v>4.8963116077231396E-3</v>
      </c>
      <c r="G3990" s="3">
        <v>1.7423247012620099E-2</v>
      </c>
      <c r="H3990" s="3" t="str">
        <f>"AMMECR1LP1"</f>
        <v>AMMECR1LP1</v>
      </c>
      <c r="I3990" s="3" t="str">
        <f>"processed_pseudogene"</f>
        <v>processed_pseudogene</v>
      </c>
    </row>
    <row r="3991" spans="1:9" x14ac:dyDescent="0.2">
      <c r="A3991" s="3" t="str">
        <f>"ENSG00000152767.16"</f>
        <v>ENSG00000152767.16</v>
      </c>
      <c r="B3991" s="3">
        <v>15927.746051591001</v>
      </c>
      <c r="C3991" s="3">
        <v>-1.0397240526604199</v>
      </c>
      <c r="D3991" s="3">
        <v>0.169358495281867</v>
      </c>
      <c r="E3991" s="3">
        <v>-6.1391904251982297</v>
      </c>
      <c r="F3991" s="4">
        <v>8.2943092603418099E-10</v>
      </c>
      <c r="G3991" s="4">
        <v>1.14081294506074E-8</v>
      </c>
      <c r="H3991" s="3" t="str">
        <f>"FARP1"</f>
        <v>FARP1</v>
      </c>
      <c r="I3991" s="3" t="str">
        <f>"protein_coding"</f>
        <v>protein_coding</v>
      </c>
    </row>
    <row r="3992" spans="1:9" x14ac:dyDescent="0.2">
      <c r="A3992" s="3" t="str">
        <f>"ENSG00000228889.6"</f>
        <v>ENSG00000228889.6</v>
      </c>
      <c r="B3992" s="3">
        <v>95.367423317722199</v>
      </c>
      <c r="C3992" s="3">
        <v>1.8765536535451699</v>
      </c>
      <c r="D3992" s="3">
        <v>0.38870289134992603</v>
      </c>
      <c r="E3992" s="3">
        <v>4.8277326855688898</v>
      </c>
      <c r="F3992" s="4">
        <v>1.38096289394788E-6</v>
      </c>
      <c r="G3992" s="4">
        <v>1.15668908611736E-5</v>
      </c>
      <c r="H3992" s="3" t="str">
        <f>"UBAC2-AS1"</f>
        <v>UBAC2-AS1</v>
      </c>
      <c r="I3992" s="3" t="str">
        <f>"lincRNA"</f>
        <v>lincRNA</v>
      </c>
    </row>
    <row r="3993" spans="1:9" x14ac:dyDescent="0.2">
      <c r="A3993" s="3" t="str">
        <f>"ENSG00000274605.1"</f>
        <v>ENSG00000274605.1</v>
      </c>
      <c r="B3993" s="3">
        <v>143.583653533481</v>
      </c>
      <c r="C3993" s="3">
        <v>1.0534308893948801</v>
      </c>
      <c r="D3993" s="3">
        <v>0.32153369008346799</v>
      </c>
      <c r="E3993" s="3">
        <v>3.2762690874521199</v>
      </c>
      <c r="F3993" s="3">
        <v>1.05188288866112E-3</v>
      </c>
      <c r="G3993" s="3">
        <v>4.6078220365513602E-3</v>
      </c>
      <c r="H3993" s="3" t="str">
        <f>"AL355338.1"</f>
        <v>AL355338.1</v>
      </c>
      <c r="I3993" s="3" t="str">
        <f>"lincRNA"</f>
        <v>lincRNA</v>
      </c>
    </row>
    <row r="3994" spans="1:9" x14ac:dyDescent="0.2">
      <c r="A3994" s="3" t="str">
        <f>"ENSG00000134864.10"</f>
        <v>ENSG00000134864.10</v>
      </c>
      <c r="B3994" s="3">
        <v>52.967513560274</v>
      </c>
      <c r="C3994" s="3">
        <v>1.2720535370485999</v>
      </c>
      <c r="D3994" s="3">
        <v>0.49369159110635302</v>
      </c>
      <c r="E3994" s="3">
        <v>2.5766157657211699</v>
      </c>
      <c r="F3994" s="3">
        <v>9.9772789423628605E-3</v>
      </c>
      <c r="G3994" s="3">
        <v>3.1743451581335902E-2</v>
      </c>
      <c r="H3994" s="3" t="str">
        <f>"GGACT"</f>
        <v>GGACT</v>
      </c>
      <c r="I3994" s="3" t="str">
        <f t="shared" ref="I3994:I3999" si="187">"protein_coding"</f>
        <v>protein_coding</v>
      </c>
    </row>
    <row r="3995" spans="1:9" x14ac:dyDescent="0.2">
      <c r="A3995" s="3" t="str">
        <f>"ENSG00000102452.17"</f>
        <v>ENSG00000102452.17</v>
      </c>
      <c r="B3995" s="3">
        <v>13.356156519125699</v>
      </c>
      <c r="C3995" s="3">
        <v>5.6665059458537899</v>
      </c>
      <c r="D3995" s="3">
        <v>1.67719695530623</v>
      </c>
      <c r="E3995" s="3">
        <v>3.37855725764727</v>
      </c>
      <c r="F3995" s="3">
        <v>7.2867256509866901E-4</v>
      </c>
      <c r="G3995" s="3">
        <v>3.3526074605274301E-3</v>
      </c>
      <c r="H3995" s="3" t="str">
        <f>"NALCN"</f>
        <v>NALCN</v>
      </c>
      <c r="I3995" s="3" t="str">
        <f t="shared" si="187"/>
        <v>protein_coding</v>
      </c>
    </row>
    <row r="3996" spans="1:9" x14ac:dyDescent="0.2">
      <c r="A3996" s="3" t="str">
        <f>"ENSG00000102466.15"</f>
        <v>ENSG00000102466.15</v>
      </c>
      <c r="B3996" s="3">
        <v>4.1097661746942604</v>
      </c>
      <c r="C3996" s="3">
        <v>5.4328693169605202</v>
      </c>
      <c r="D3996" s="3">
        <v>2.14332345947187</v>
      </c>
      <c r="E3996" s="3">
        <v>2.5347874082893802</v>
      </c>
      <c r="F3996" s="3">
        <v>1.1251558606317101E-2</v>
      </c>
      <c r="G3996" s="3">
        <v>3.5125024902190903E-2</v>
      </c>
      <c r="H3996" s="3" t="str">
        <f>"FGF14"</f>
        <v>FGF14</v>
      </c>
      <c r="I3996" s="3" t="str">
        <f t="shared" si="187"/>
        <v>protein_coding</v>
      </c>
    </row>
    <row r="3997" spans="1:9" x14ac:dyDescent="0.2">
      <c r="A3997" s="3" t="str">
        <f>"ENSG00000134901.13"</f>
        <v>ENSG00000134901.13</v>
      </c>
      <c r="B3997" s="3">
        <v>578.93318611027598</v>
      </c>
      <c r="C3997" s="3">
        <v>-1.0726930303649</v>
      </c>
      <c r="D3997" s="3">
        <v>0.21424855827193101</v>
      </c>
      <c r="E3997" s="3">
        <v>-5.0067689557257298</v>
      </c>
      <c r="F3997" s="4">
        <v>5.5351300450200999E-7</v>
      </c>
      <c r="G3997" s="4">
        <v>4.9545232699297798E-6</v>
      </c>
      <c r="H3997" s="3" t="str">
        <f>"KDELC1"</f>
        <v>KDELC1</v>
      </c>
      <c r="I3997" s="3" t="str">
        <f t="shared" si="187"/>
        <v>protein_coding</v>
      </c>
    </row>
    <row r="3998" spans="1:9" x14ac:dyDescent="0.2">
      <c r="A3998" s="3" t="str">
        <f>"ENSG00000187498.16"</f>
        <v>ENSG00000187498.16</v>
      </c>
      <c r="B3998" s="3">
        <v>40.477692374208097</v>
      </c>
      <c r="C3998" s="3">
        <v>4.6312477197339499</v>
      </c>
      <c r="D3998" s="3">
        <v>1.6906888348390099</v>
      </c>
      <c r="E3998" s="3">
        <v>2.7392667558338499</v>
      </c>
      <c r="F3998" s="3">
        <v>6.1576389504354604E-3</v>
      </c>
      <c r="G3998" s="3">
        <v>2.11492737277846E-2</v>
      </c>
      <c r="H3998" s="3" t="str">
        <f>"COL4A1"</f>
        <v>COL4A1</v>
      </c>
      <c r="I3998" s="3" t="str">
        <f t="shared" si="187"/>
        <v>protein_coding</v>
      </c>
    </row>
    <row r="3999" spans="1:9" x14ac:dyDescent="0.2">
      <c r="A3999" s="3" t="str">
        <f>"ENSG00000134871.18"</f>
        <v>ENSG00000134871.18</v>
      </c>
      <c r="B3999" s="3">
        <v>126.963350284681</v>
      </c>
      <c r="C3999" s="3">
        <v>1.7165879181371599</v>
      </c>
      <c r="D3999" s="3">
        <v>0.35332337261156299</v>
      </c>
      <c r="E3999" s="3">
        <v>4.8584046547759598</v>
      </c>
      <c r="F3999" s="4">
        <v>1.1833536948384399E-6</v>
      </c>
      <c r="G3999" s="4">
        <v>9.9946801374032805E-6</v>
      </c>
      <c r="H3999" s="3" t="str">
        <f>"COL4A2"</f>
        <v>COL4A2</v>
      </c>
      <c r="I3999" s="3" t="str">
        <f t="shared" si="187"/>
        <v>protein_coding</v>
      </c>
    </row>
    <row r="4000" spans="1:9" x14ac:dyDescent="0.2">
      <c r="A4000" s="3" t="str">
        <f>"ENSG00000275880.1"</f>
        <v>ENSG00000275880.1</v>
      </c>
      <c r="B4000" s="3">
        <v>38.049210120050397</v>
      </c>
      <c r="C4000" s="3">
        <v>2.94479816358812</v>
      </c>
      <c r="D4000" s="3">
        <v>0.64668127215745097</v>
      </c>
      <c r="E4000" s="3">
        <v>4.5537087439747799</v>
      </c>
      <c r="F4000" s="4">
        <v>5.2708319027123499E-6</v>
      </c>
      <c r="G4000" s="4">
        <v>3.9617753614676797E-5</v>
      </c>
      <c r="H4000" s="3" t="str">
        <f>"AL139385.1"</f>
        <v>AL139385.1</v>
      </c>
      <c r="I4000" s="3" t="str">
        <f>"antisense"</f>
        <v>antisense</v>
      </c>
    </row>
    <row r="4001" spans="1:9" x14ac:dyDescent="0.2">
      <c r="A4001" s="3" t="str">
        <f>"ENSG00000153487.12"</f>
        <v>ENSG00000153487.12</v>
      </c>
      <c r="B4001" s="3">
        <v>538.18800326906296</v>
      </c>
      <c r="C4001" s="3">
        <v>-1.33441026901292</v>
      </c>
      <c r="D4001" s="3">
        <v>0.25609122471794299</v>
      </c>
      <c r="E4001" s="3">
        <v>-5.2106833042898302</v>
      </c>
      <c r="F4001" s="4">
        <v>1.8814638297505899E-7</v>
      </c>
      <c r="G4001" s="4">
        <v>1.82825410018596E-6</v>
      </c>
      <c r="H4001" s="3" t="str">
        <f>"ING1"</f>
        <v>ING1</v>
      </c>
      <c r="I4001" s="3" t="str">
        <f>"protein_coding"</f>
        <v>protein_coding</v>
      </c>
    </row>
    <row r="4002" spans="1:9" x14ac:dyDescent="0.2">
      <c r="A4002" s="3" t="str">
        <f>"ENSG00000255874.2"</f>
        <v>ENSG00000255874.2</v>
      </c>
      <c r="B4002" s="3">
        <v>55.630653731280098</v>
      </c>
      <c r="C4002" s="3">
        <v>2.8622073213252901</v>
      </c>
      <c r="D4002" s="3">
        <v>0.53213111258246304</v>
      </c>
      <c r="E4002" s="3">
        <v>5.3787633416787601</v>
      </c>
      <c r="F4002" s="4">
        <v>7.4999218313286404E-8</v>
      </c>
      <c r="G4002" s="4">
        <v>7.7847760052652002E-7</v>
      </c>
      <c r="H4002" s="3" t="str">
        <f>"LINC00346"</f>
        <v>LINC00346</v>
      </c>
      <c r="I4002" s="3" t="str">
        <f>"lincRNA"</f>
        <v>lincRNA</v>
      </c>
    </row>
    <row r="4003" spans="1:9" x14ac:dyDescent="0.2">
      <c r="A4003" s="3" t="str">
        <f>"ENSG00000126216.15"</f>
        <v>ENSG00000126216.15</v>
      </c>
      <c r="B4003" s="3">
        <v>1632.72643723695</v>
      </c>
      <c r="C4003" s="3">
        <v>-1.5530052123621201</v>
      </c>
      <c r="D4003" s="3">
        <v>0.19250319447668299</v>
      </c>
      <c r="E4003" s="3">
        <v>-8.0674256683580801</v>
      </c>
      <c r="F4003" s="4">
        <v>7.1795888632423905E-16</v>
      </c>
      <c r="G4003" s="4">
        <v>1.9445552460911101E-14</v>
      </c>
      <c r="H4003" s="3" t="str">
        <f>"TUBGCP3"</f>
        <v>TUBGCP3</v>
      </c>
      <c r="I4003" s="3" t="str">
        <f>"protein_coding"</f>
        <v>protein_coding</v>
      </c>
    </row>
    <row r="4004" spans="1:9" x14ac:dyDescent="0.2">
      <c r="A4004" s="3" t="str">
        <f>"ENSG00000274922.1"</f>
        <v>ENSG00000274922.1</v>
      </c>
      <c r="B4004" s="3">
        <v>89.300844677402196</v>
      </c>
      <c r="C4004" s="3">
        <v>1.85679575281708</v>
      </c>
      <c r="D4004" s="3">
        <v>0.404347216889479</v>
      </c>
      <c r="E4004" s="3">
        <v>4.5920824362310402</v>
      </c>
      <c r="F4004" s="4">
        <v>4.3884494496207399E-6</v>
      </c>
      <c r="G4004" s="4">
        <v>3.3531150351603002E-5</v>
      </c>
      <c r="H4004" s="3" t="str">
        <f>"AL139384.1"</f>
        <v>AL139384.1</v>
      </c>
      <c r="I4004" s="3" t="str">
        <f>"lincRNA"</f>
        <v>lincRNA</v>
      </c>
    </row>
    <row r="4005" spans="1:9" x14ac:dyDescent="0.2">
      <c r="A4005" s="3" t="str">
        <f>"ENSG00000068650.18"</f>
        <v>ENSG00000068650.18</v>
      </c>
      <c r="B4005" s="3">
        <v>7511.6136999419896</v>
      </c>
      <c r="C4005" s="3">
        <v>-1.76015983547152</v>
      </c>
      <c r="D4005" s="3">
        <v>0.175516972829559</v>
      </c>
      <c r="E4005" s="3">
        <v>-10.028430909532499</v>
      </c>
      <c r="F4005" s="4">
        <v>1.1431879946139999E-23</v>
      </c>
      <c r="G4005" s="4">
        <v>5.7575680756465304E-22</v>
      </c>
      <c r="H4005" s="3" t="str">
        <f>"ATP11A"</f>
        <v>ATP11A</v>
      </c>
      <c r="I4005" s="3" t="str">
        <f>"protein_coding"</f>
        <v>protein_coding</v>
      </c>
    </row>
    <row r="4006" spans="1:9" x14ac:dyDescent="0.2">
      <c r="A4006" s="3" t="str">
        <f>"ENSG00000126217.21"</f>
        <v>ENSG00000126217.21</v>
      </c>
      <c r="B4006" s="3">
        <v>1404.1697148850899</v>
      </c>
      <c r="C4006" s="3">
        <v>-1.1295467904403</v>
      </c>
      <c r="D4006" s="3">
        <v>0.22707686498419799</v>
      </c>
      <c r="E4006" s="3">
        <v>-4.9742926938810097</v>
      </c>
      <c r="F4006" s="4">
        <v>6.5486301123844204E-7</v>
      </c>
      <c r="G4006" s="4">
        <v>5.7856849763987696E-6</v>
      </c>
      <c r="H4006" s="3" t="str">
        <f>"MCF2L"</f>
        <v>MCF2L</v>
      </c>
      <c r="I4006" s="3" t="str">
        <f>"protein_coding"</f>
        <v>protein_coding</v>
      </c>
    </row>
    <row r="4007" spans="1:9" x14ac:dyDescent="0.2">
      <c r="A4007" s="3" t="str">
        <f>"ENSG00000057593.13"</f>
        <v>ENSG00000057593.13</v>
      </c>
      <c r="B4007" s="3">
        <v>327.94945925960599</v>
      </c>
      <c r="C4007" s="3">
        <v>-2.3842763354502399</v>
      </c>
      <c r="D4007" s="3">
        <v>0.291632370612601</v>
      </c>
      <c r="E4007" s="3">
        <v>-8.1756230642086898</v>
      </c>
      <c r="F4007" s="4">
        <v>2.9434083438013298E-16</v>
      </c>
      <c r="G4007" s="4">
        <v>8.2171154860199701E-15</v>
      </c>
      <c r="H4007" s="3" t="str">
        <f>"F7"</f>
        <v>F7</v>
      </c>
      <c r="I4007" s="3" t="str">
        <f>"protein_coding"</f>
        <v>protein_coding</v>
      </c>
    </row>
    <row r="4008" spans="1:9" x14ac:dyDescent="0.2">
      <c r="A4008" s="3" t="str">
        <f>"ENSG00000283828.1"</f>
        <v>ENSG00000283828.1</v>
      </c>
      <c r="B4008" s="3">
        <v>405.35789300206301</v>
      </c>
      <c r="C4008" s="3">
        <v>-1.46829265774297</v>
      </c>
      <c r="D4008" s="3">
        <v>0.26459426210047998</v>
      </c>
      <c r="E4008" s="3">
        <v>-5.5492233508275604</v>
      </c>
      <c r="F4008" s="4">
        <v>2.8694141111455901E-8</v>
      </c>
      <c r="G4008" s="4">
        <v>3.1989740706376402E-7</v>
      </c>
      <c r="H4008" s="3" t="str">
        <f>"AL137002.2"</f>
        <v>AL137002.2</v>
      </c>
      <c r="I4008" s="3" t="str">
        <f>"antisense"</f>
        <v>antisense</v>
      </c>
    </row>
    <row r="4009" spans="1:9" x14ac:dyDescent="0.2">
      <c r="A4009" s="3" t="str">
        <f>"ENSG00000126231.14"</f>
        <v>ENSG00000126231.14</v>
      </c>
      <c r="B4009" s="3">
        <v>136.493695884049</v>
      </c>
      <c r="C4009" s="3">
        <v>-1.2722469280966999</v>
      </c>
      <c r="D4009" s="3">
        <v>0.33690199072184701</v>
      </c>
      <c r="E4009" s="3">
        <v>-3.7763116963802501</v>
      </c>
      <c r="F4009" s="3">
        <v>1.5916778867977E-4</v>
      </c>
      <c r="G4009" s="3">
        <v>8.6945564117034597E-4</v>
      </c>
      <c r="H4009" s="3" t="str">
        <f>"PROZ"</f>
        <v>PROZ</v>
      </c>
      <c r="I4009" s="3" t="str">
        <f>"protein_coding"</f>
        <v>protein_coding</v>
      </c>
    </row>
    <row r="4010" spans="1:9" x14ac:dyDescent="0.2">
      <c r="A4010" s="3" t="str">
        <f>"ENSG00000276434.1"</f>
        <v>ENSG00000276434.1</v>
      </c>
      <c r="B4010" s="3">
        <v>66.953675370383195</v>
      </c>
      <c r="C4010" s="3">
        <v>1.2978109643389499</v>
      </c>
      <c r="D4010" s="3">
        <v>0.43863558186735901</v>
      </c>
      <c r="E4010" s="3">
        <v>2.9587452956139901</v>
      </c>
      <c r="F4010" s="3">
        <v>3.0889429403948799E-3</v>
      </c>
      <c r="G4010" s="3">
        <v>1.17531669176008E-2</v>
      </c>
      <c r="H4010" s="3" t="str">
        <f>"AL136221.1"</f>
        <v>AL136221.1</v>
      </c>
      <c r="I4010" s="3" t="str">
        <f>"sense_intronic"</f>
        <v>sense_intronic</v>
      </c>
    </row>
    <row r="4011" spans="1:9" x14ac:dyDescent="0.2">
      <c r="A4011" s="3" t="str">
        <f>"ENSG00000153531.13"</f>
        <v>ENSG00000153531.13</v>
      </c>
      <c r="B4011" s="3">
        <v>461.91891742332098</v>
      </c>
      <c r="C4011" s="3">
        <v>5.2776173533434196</v>
      </c>
      <c r="D4011" s="3">
        <v>0.31519671290032197</v>
      </c>
      <c r="E4011" s="3">
        <v>16.743884492895798</v>
      </c>
      <c r="F4011" s="4">
        <v>6.2755859042306397E-63</v>
      </c>
      <c r="G4011" s="4">
        <v>2.03560582300681E-60</v>
      </c>
      <c r="H4011" s="3" t="str">
        <f>"ADPRHL1"</f>
        <v>ADPRHL1</v>
      </c>
      <c r="I4011" s="3" t="str">
        <f>"protein_coding"</f>
        <v>protein_coding</v>
      </c>
    </row>
    <row r="4012" spans="1:9" x14ac:dyDescent="0.2">
      <c r="A4012" s="3" t="str">
        <f>"ENSG00000198176.13"</f>
        <v>ENSG00000198176.13</v>
      </c>
      <c r="B4012" s="3">
        <v>3390.4322853431099</v>
      </c>
      <c r="C4012" s="3">
        <v>-1.1168599287860399</v>
      </c>
      <c r="D4012" s="3">
        <v>0.201184224443859</v>
      </c>
      <c r="E4012" s="3">
        <v>-5.55142895459828</v>
      </c>
      <c r="F4012" s="4">
        <v>2.8334386697410902E-8</v>
      </c>
      <c r="G4012" s="4">
        <v>3.1627490141104201E-7</v>
      </c>
      <c r="H4012" s="3" t="str">
        <f>"TFDP1"</f>
        <v>TFDP1</v>
      </c>
      <c r="I4012" s="3" t="str">
        <f>"protein_coding"</f>
        <v>protein_coding</v>
      </c>
    </row>
    <row r="4013" spans="1:9" x14ac:dyDescent="0.2">
      <c r="A4013" s="3" t="str">
        <f>"ENSG00000184497.12"</f>
        <v>ENSG00000184497.12</v>
      </c>
      <c r="B4013" s="3">
        <v>18.667336260518699</v>
      </c>
      <c r="C4013" s="3">
        <v>3.00539336995215</v>
      </c>
      <c r="D4013" s="3">
        <v>0.89445503239796897</v>
      </c>
      <c r="E4013" s="3">
        <v>3.3600273474843201</v>
      </c>
      <c r="F4013" s="3">
        <v>7.7934757586245104E-4</v>
      </c>
      <c r="G4013" s="3">
        <v>3.5515777553979302E-3</v>
      </c>
      <c r="H4013" s="3" t="str">
        <f>"TMEM255B"</f>
        <v>TMEM255B</v>
      </c>
      <c r="I4013" s="3" t="str">
        <f>"protein_coding"</f>
        <v>protein_coding</v>
      </c>
    </row>
    <row r="4014" spans="1:9" x14ac:dyDescent="0.2">
      <c r="A4014" s="3" t="str">
        <f>"ENSG00000233695.2"</f>
        <v>ENSG00000233695.2</v>
      </c>
      <c r="B4014" s="3">
        <v>637.50230987081295</v>
      </c>
      <c r="C4014" s="3">
        <v>7.0108556908982598</v>
      </c>
      <c r="D4014" s="3">
        <v>0.39341015609654501</v>
      </c>
      <c r="E4014" s="3">
        <v>17.820728779502499</v>
      </c>
      <c r="F4014" s="4">
        <v>4.8796641602736302E-71</v>
      </c>
      <c r="G4014" s="4">
        <v>2.2923484374995802E-68</v>
      </c>
      <c r="H4014" s="3" t="str">
        <f>"GAS6-AS1"</f>
        <v>GAS6-AS1</v>
      </c>
      <c r="I4014" s="3" t="str">
        <f>"antisense"</f>
        <v>antisense</v>
      </c>
    </row>
    <row r="4015" spans="1:9" x14ac:dyDescent="0.2">
      <c r="A4015" s="3" t="str">
        <f>"ENSG00000183087.15"</f>
        <v>ENSG00000183087.15</v>
      </c>
      <c r="B4015" s="3">
        <v>247.267532711928</v>
      </c>
      <c r="C4015" s="3">
        <v>5.4782677745420401</v>
      </c>
      <c r="D4015" s="3">
        <v>0.41607007499309401</v>
      </c>
      <c r="E4015" s="3">
        <v>13.1666949963488</v>
      </c>
      <c r="F4015" s="4">
        <v>1.3644082288470201E-39</v>
      </c>
      <c r="G4015" s="4">
        <v>1.8403975748215199E-37</v>
      </c>
      <c r="H4015" s="3" t="str">
        <f>"GAS6"</f>
        <v>GAS6</v>
      </c>
      <c r="I4015" s="3" t="str">
        <f>"protein_coding"</f>
        <v>protein_coding</v>
      </c>
    </row>
    <row r="4016" spans="1:9" x14ac:dyDescent="0.2">
      <c r="A4016" s="3" t="str">
        <f>"ENSG00000185989.11"</f>
        <v>ENSG00000185989.11</v>
      </c>
      <c r="B4016" s="3">
        <v>54.8786453662387</v>
      </c>
      <c r="C4016" s="3">
        <v>2.1144141882950498</v>
      </c>
      <c r="D4016" s="3">
        <v>0.50744753682688604</v>
      </c>
      <c r="E4016" s="3">
        <v>4.1667641181523303</v>
      </c>
      <c r="F4016" s="4">
        <v>3.0895389233656497E-5</v>
      </c>
      <c r="G4016" s="3">
        <v>1.9742182702847999E-4</v>
      </c>
      <c r="H4016" s="3" t="str">
        <f>"RASA3"</f>
        <v>RASA3</v>
      </c>
      <c r="I4016" s="3" t="str">
        <f>"protein_coding"</f>
        <v>protein_coding</v>
      </c>
    </row>
    <row r="4017" spans="1:9" x14ac:dyDescent="0.2">
      <c r="A4017" s="3" t="str">
        <f>"ENSG00000260615.1"</f>
        <v>ENSG00000260615.1</v>
      </c>
      <c r="B4017" s="3">
        <v>3.7443793362539499</v>
      </c>
      <c r="C4017" s="3">
        <v>5.3028405840866704</v>
      </c>
      <c r="D4017" s="3">
        <v>2.1958005004532399</v>
      </c>
      <c r="E4017" s="3">
        <v>2.4149919735386298</v>
      </c>
      <c r="F4017" s="3">
        <v>1.5735556439619401E-2</v>
      </c>
      <c r="G4017" s="3">
        <v>4.6361019280959197E-2</v>
      </c>
      <c r="H4017" s="3" t="str">
        <f>"RPL23AP97"</f>
        <v>RPL23AP97</v>
      </c>
      <c r="I4017" s="3" t="str">
        <f>"processed_pseudogene"</f>
        <v>processed_pseudogene</v>
      </c>
    </row>
    <row r="4018" spans="1:9" x14ac:dyDescent="0.2">
      <c r="A4018" s="3" t="str">
        <f>"ENSG00000274827.4"</f>
        <v>ENSG00000274827.4</v>
      </c>
      <c r="B4018" s="3">
        <v>9.8322116020850405</v>
      </c>
      <c r="C4018" s="3">
        <v>5.2142120034951898</v>
      </c>
      <c r="D4018" s="3">
        <v>1.75237422050625</v>
      </c>
      <c r="E4018" s="3">
        <v>2.9755128456459601</v>
      </c>
      <c r="F4018" s="3">
        <v>2.9249909973922202E-3</v>
      </c>
      <c r="G4018" s="3">
        <v>1.11950034704236E-2</v>
      </c>
      <c r="H4018" s="3" t="str">
        <f>"LINC01297"</f>
        <v>LINC01297</v>
      </c>
      <c r="I4018" s="3" t="str">
        <f>"lincRNA"</f>
        <v>lincRNA</v>
      </c>
    </row>
    <row r="4019" spans="1:9" x14ac:dyDescent="0.2">
      <c r="A4019" s="3" t="str">
        <f>"ENSG00000176230.6"</f>
        <v>ENSG00000176230.6</v>
      </c>
      <c r="B4019" s="3">
        <v>4.3694444890872397</v>
      </c>
      <c r="C4019" s="3">
        <v>5.5278073040699196</v>
      </c>
      <c r="D4019" s="3">
        <v>2.1223585767351398</v>
      </c>
      <c r="E4019" s="3">
        <v>2.6045586097771598</v>
      </c>
      <c r="F4019" s="3">
        <v>9.1992685622235906E-3</v>
      </c>
      <c r="G4019" s="3">
        <v>2.9634957497624299E-2</v>
      </c>
      <c r="H4019" s="3" t="str">
        <f>"OR4K17"</f>
        <v>OR4K17</v>
      </c>
      <c r="I4019" s="3" t="str">
        <f>"protein_coding"</f>
        <v>protein_coding</v>
      </c>
    </row>
    <row r="4020" spans="1:9" x14ac:dyDescent="0.2">
      <c r="A4020" s="3" t="str">
        <f>"ENSG00000176198.3"</f>
        <v>ENSG00000176198.3</v>
      </c>
      <c r="B4020" s="3">
        <v>3.9618079650943998</v>
      </c>
      <c r="C4020" s="3">
        <v>5.3771408192735599</v>
      </c>
      <c r="D4020" s="3">
        <v>2.19654804218851</v>
      </c>
      <c r="E4020" s="3">
        <v>2.4479959991751898</v>
      </c>
      <c r="F4020" s="3">
        <v>1.43653250707227E-2</v>
      </c>
      <c r="G4020" s="3">
        <v>4.3002857855634E-2</v>
      </c>
      <c r="H4020" s="3" t="str">
        <f>"OR11H4"</f>
        <v>OR11H4</v>
      </c>
      <c r="I4020" s="3" t="str">
        <f>"protein_coding"</f>
        <v>protein_coding</v>
      </c>
    </row>
    <row r="4021" spans="1:9" x14ac:dyDescent="0.2">
      <c r="A4021" s="3" t="str">
        <f>"ENSG00000129566.13"</f>
        <v>ENSG00000129566.13</v>
      </c>
      <c r="B4021" s="3">
        <v>3963.0535814344698</v>
      </c>
      <c r="C4021" s="3">
        <v>2.79439615594542</v>
      </c>
      <c r="D4021" s="3">
        <v>0.18848114768369201</v>
      </c>
      <c r="E4021" s="3">
        <v>14.8258655588991</v>
      </c>
      <c r="F4021" s="4">
        <v>9.9686616982149309E-50</v>
      </c>
      <c r="G4021" s="4">
        <v>1.9971773918475201E-47</v>
      </c>
      <c r="H4021" s="3" t="str">
        <f>"TEP1"</f>
        <v>TEP1</v>
      </c>
      <c r="I4021" s="3" t="str">
        <f>"protein_coding"</f>
        <v>protein_coding</v>
      </c>
    </row>
    <row r="4022" spans="1:9" x14ac:dyDescent="0.2">
      <c r="A4022" s="3" t="str">
        <f>"ENSG00000259162.1"</f>
        <v>ENSG00000259162.1</v>
      </c>
      <c r="B4022" s="3">
        <v>49.730761039927302</v>
      </c>
      <c r="C4022" s="3">
        <v>5.9790560419171701</v>
      </c>
      <c r="D4022" s="3">
        <v>0.967216018455333</v>
      </c>
      <c r="E4022" s="3">
        <v>6.1817173494147299</v>
      </c>
      <c r="F4022" s="4">
        <v>6.3407981580409602E-10</v>
      </c>
      <c r="G4022" s="4">
        <v>8.8236837289143004E-9</v>
      </c>
      <c r="H4022" s="3" t="str">
        <f>"AL355075.5"</f>
        <v>AL355075.5</v>
      </c>
      <c r="I4022" s="3" t="str">
        <f>"transcribed_unprocessed_pseudogene"</f>
        <v>transcribed_unprocessed_pseudogene</v>
      </c>
    </row>
    <row r="4023" spans="1:9" x14ac:dyDescent="0.2">
      <c r="A4023" s="3" t="str">
        <f>"ENSG00000258818.4"</f>
        <v>ENSG00000258818.4</v>
      </c>
      <c r="B4023" s="3">
        <v>52.930799104659101</v>
      </c>
      <c r="C4023" s="3">
        <v>-1.2751745401249399</v>
      </c>
      <c r="D4023" s="3">
        <v>0.483555583713146</v>
      </c>
      <c r="E4023" s="3">
        <v>-2.6370795479871698</v>
      </c>
      <c r="F4023" s="3">
        <v>8.3623219137962303E-3</v>
      </c>
      <c r="G4023" s="3">
        <v>2.7382308038121101E-2</v>
      </c>
      <c r="H4023" s="3" t="str">
        <f>"RNASE4"</f>
        <v>RNASE4</v>
      </c>
      <c r="I4023" s="3" t="str">
        <f>"protein_coding"</f>
        <v>protein_coding</v>
      </c>
    </row>
    <row r="4024" spans="1:9" x14ac:dyDescent="0.2">
      <c r="A4024" s="3" t="str">
        <f>"ENSG00000165795.23"</f>
        <v>ENSG00000165795.23</v>
      </c>
      <c r="B4024" s="3">
        <v>1588.18728639603</v>
      </c>
      <c r="C4024" s="3">
        <v>-1.33222564654554</v>
      </c>
      <c r="D4024" s="3">
        <v>0.21382712916287999</v>
      </c>
      <c r="E4024" s="3">
        <v>-6.2303864423617297</v>
      </c>
      <c r="F4024" s="4">
        <v>4.6528599507507501E-10</v>
      </c>
      <c r="G4024" s="4">
        <v>6.56532755453681E-9</v>
      </c>
      <c r="H4024" s="3" t="str">
        <f>"NDRG2"</f>
        <v>NDRG2</v>
      </c>
      <c r="I4024" s="3" t="str">
        <f>"protein_coding"</f>
        <v>protein_coding</v>
      </c>
    </row>
    <row r="4025" spans="1:9" x14ac:dyDescent="0.2">
      <c r="A4025" s="3" t="str">
        <f>"ENSG00000179636.15"</f>
        <v>ENSG00000179636.15</v>
      </c>
      <c r="B4025" s="3">
        <v>55.5536230182921</v>
      </c>
      <c r="C4025" s="3">
        <v>-2.45450398780623</v>
      </c>
      <c r="D4025" s="3">
        <v>0.50179370485161101</v>
      </c>
      <c r="E4025" s="3">
        <v>-4.8914603034569204</v>
      </c>
      <c r="F4025" s="4">
        <v>1.0009058214871601E-6</v>
      </c>
      <c r="G4025" s="4">
        <v>8.5976295454163408E-6</v>
      </c>
      <c r="H4025" s="3" t="str">
        <f>"TPPP2"</f>
        <v>TPPP2</v>
      </c>
      <c r="I4025" s="3" t="str">
        <f>"protein_coding"</f>
        <v>protein_coding</v>
      </c>
    </row>
    <row r="4026" spans="1:9" x14ac:dyDescent="0.2">
      <c r="A4026" s="3" t="str">
        <f>"ENSG00000258604.1"</f>
        <v>ENSG00000258604.1</v>
      </c>
      <c r="B4026" s="3">
        <v>31.174424328596601</v>
      </c>
      <c r="C4026" s="3">
        <v>-1.5507390389203799</v>
      </c>
      <c r="D4026" s="3">
        <v>0.62970069426673503</v>
      </c>
      <c r="E4026" s="3">
        <v>-2.4626605195761502</v>
      </c>
      <c r="F4026" s="3">
        <v>1.37910425042397E-2</v>
      </c>
      <c r="G4026" s="3">
        <v>4.1645188419929001E-2</v>
      </c>
      <c r="H4026" s="3" t="str">
        <f>"AL161668.4"</f>
        <v>AL161668.4</v>
      </c>
      <c r="I4026" s="3" t="str">
        <f>"lincRNA"</f>
        <v>lincRNA</v>
      </c>
    </row>
    <row r="4027" spans="1:9" x14ac:dyDescent="0.2">
      <c r="A4027" s="3" t="str">
        <f>"ENSG00000165799.5"</f>
        <v>ENSG00000165799.5</v>
      </c>
      <c r="B4027" s="3">
        <v>17.6142600702549</v>
      </c>
      <c r="C4027" s="3">
        <v>3.6699847455574699</v>
      </c>
      <c r="D4027" s="3">
        <v>1.00897266843273</v>
      </c>
      <c r="E4027" s="3">
        <v>3.6373480277301899</v>
      </c>
      <c r="F4027" s="3">
        <v>2.7545962040555498E-4</v>
      </c>
      <c r="G4027" s="3">
        <v>1.41186009728935E-3</v>
      </c>
      <c r="H4027" s="3" t="str">
        <f>"RNASE7"</f>
        <v>RNASE7</v>
      </c>
      <c r="I4027" s="3" t="str">
        <f t="shared" ref="I4027:I4032" si="188">"protein_coding"</f>
        <v>protein_coding</v>
      </c>
    </row>
    <row r="4028" spans="1:9" x14ac:dyDescent="0.2">
      <c r="A4028" s="3" t="str">
        <f>"ENSG00000165801.10"</f>
        <v>ENSG00000165801.10</v>
      </c>
      <c r="B4028" s="3">
        <v>3793.12878284013</v>
      </c>
      <c r="C4028" s="3">
        <v>-1.28430409144323</v>
      </c>
      <c r="D4028" s="3">
        <v>0.21071898022694599</v>
      </c>
      <c r="E4028" s="3">
        <v>-6.0948666800685203</v>
      </c>
      <c r="F4028" s="4">
        <v>1.09528695240514E-9</v>
      </c>
      <c r="G4028" s="4">
        <v>1.4817916381421499E-8</v>
      </c>
      <c r="H4028" s="3" t="str">
        <f>"ARHGEF40"</f>
        <v>ARHGEF40</v>
      </c>
      <c r="I4028" s="3" t="str">
        <f t="shared" si="188"/>
        <v>protein_coding</v>
      </c>
    </row>
    <row r="4029" spans="1:9" x14ac:dyDescent="0.2">
      <c r="A4029" s="3" t="str">
        <f>"ENSG00000232070.8"</f>
        <v>ENSG00000232070.8</v>
      </c>
      <c r="B4029" s="3">
        <v>63.942409680438601</v>
      </c>
      <c r="C4029" s="3">
        <v>3.3603410448681101</v>
      </c>
      <c r="D4029" s="3">
        <v>0.523403745030527</v>
      </c>
      <c r="E4029" s="3">
        <v>6.42017004420196</v>
      </c>
      <c r="F4029" s="4">
        <v>1.3612220730264399E-10</v>
      </c>
      <c r="G4029" s="4">
        <v>2.07782732906171E-9</v>
      </c>
      <c r="H4029" s="3" t="str">
        <f>"TMEM253"</f>
        <v>TMEM253</v>
      </c>
      <c r="I4029" s="3" t="str">
        <f t="shared" si="188"/>
        <v>protein_coding</v>
      </c>
    </row>
    <row r="4030" spans="1:9" x14ac:dyDescent="0.2">
      <c r="A4030" s="3" t="str">
        <f>"ENSG00000169327.5"</f>
        <v>ENSG00000169327.5</v>
      </c>
      <c r="B4030" s="3">
        <v>8.6241630830084706</v>
      </c>
      <c r="C4030" s="3">
        <v>6.5033912896469896</v>
      </c>
      <c r="D4030" s="3">
        <v>1.80982836961607</v>
      </c>
      <c r="E4030" s="3">
        <v>3.5933745977396598</v>
      </c>
      <c r="F4030" s="3">
        <v>3.2642278224370301E-4</v>
      </c>
      <c r="G4030" s="3">
        <v>1.64182231686876E-3</v>
      </c>
      <c r="H4030" s="3" t="str">
        <f>"OR5AU1"</f>
        <v>OR5AU1</v>
      </c>
      <c r="I4030" s="3" t="str">
        <f t="shared" si="188"/>
        <v>protein_coding</v>
      </c>
    </row>
    <row r="4031" spans="1:9" x14ac:dyDescent="0.2">
      <c r="A4031" s="3" t="str">
        <f>"ENSG00000092200.12"</f>
        <v>ENSG00000092200.12</v>
      </c>
      <c r="B4031" s="3">
        <v>26.935628717785001</v>
      </c>
      <c r="C4031" s="3">
        <v>5.07851956545026</v>
      </c>
      <c r="D4031" s="3">
        <v>1.0420263883326599</v>
      </c>
      <c r="E4031" s="3">
        <v>4.8736957358406201</v>
      </c>
      <c r="F4031" s="4">
        <v>1.0952964066487E-6</v>
      </c>
      <c r="G4031" s="4">
        <v>9.33193908441439E-6</v>
      </c>
      <c r="H4031" s="3" t="str">
        <f>"RPGRIP1"</f>
        <v>RPGRIP1</v>
      </c>
      <c r="I4031" s="3" t="str">
        <f t="shared" si="188"/>
        <v>protein_coding</v>
      </c>
    </row>
    <row r="4032" spans="1:9" x14ac:dyDescent="0.2">
      <c r="A4032" s="3" t="str">
        <f>"ENSG00000276240.2"</f>
        <v>ENSG00000276240.2</v>
      </c>
      <c r="B4032" s="3">
        <v>4.1097661746942604</v>
      </c>
      <c r="C4032" s="3">
        <v>5.4328693169605202</v>
      </c>
      <c r="D4032" s="3">
        <v>2.14332345947187</v>
      </c>
      <c r="E4032" s="3">
        <v>2.5347874082893802</v>
      </c>
      <c r="F4032" s="3">
        <v>1.1251558606317101E-2</v>
      </c>
      <c r="G4032" s="3">
        <v>3.5125024902190903E-2</v>
      </c>
      <c r="H4032" s="3" t="str">
        <f>"OR4E1"</f>
        <v>OR4E1</v>
      </c>
      <c r="I4032" s="3" t="str">
        <f t="shared" si="188"/>
        <v>protein_coding</v>
      </c>
    </row>
    <row r="4033" spans="1:9" x14ac:dyDescent="0.2">
      <c r="A4033" s="3" t="str">
        <f>"ENSG00000251002.7"</f>
        <v>ENSG00000251002.7</v>
      </c>
      <c r="B4033" s="3">
        <v>3.7806174410606901</v>
      </c>
      <c r="C4033" s="3">
        <v>5.3154478000652503</v>
      </c>
      <c r="D4033" s="3">
        <v>2.1865395084011801</v>
      </c>
      <c r="E4033" s="3">
        <v>2.43098639637752</v>
      </c>
      <c r="F4033" s="3">
        <v>1.5057779905063901E-2</v>
      </c>
      <c r="G4033" s="3">
        <v>4.4683002512881202E-2</v>
      </c>
      <c r="H4033" s="3" t="str">
        <f>"AC244502.1"</f>
        <v>AC244502.1</v>
      </c>
      <c r="I4033" s="3" t="str">
        <f>"processed_transcript"</f>
        <v>processed_transcript</v>
      </c>
    </row>
    <row r="4034" spans="1:9" x14ac:dyDescent="0.2">
      <c r="A4034" s="3" t="str">
        <f>"ENSG00000277734.8"</f>
        <v>ENSG00000277734.8</v>
      </c>
      <c r="B4034" s="3">
        <v>11.3839774786821</v>
      </c>
      <c r="C4034" s="3">
        <v>5.4271137577044604</v>
      </c>
      <c r="D4034" s="3">
        <v>1.7123771210305601</v>
      </c>
      <c r="E4034" s="3">
        <v>3.1693449363760799</v>
      </c>
      <c r="F4034" s="3">
        <v>1.52782957540774E-3</v>
      </c>
      <c r="G4034" s="3">
        <v>6.3818446176812501E-3</v>
      </c>
      <c r="H4034" s="3" t="str">
        <f>"TRAC"</f>
        <v>TRAC</v>
      </c>
      <c r="I4034" s="3" t="str">
        <f>"TR_C_gene"</f>
        <v>TR_C_gene</v>
      </c>
    </row>
    <row r="4035" spans="1:9" x14ac:dyDescent="0.2">
      <c r="A4035" s="3" t="str">
        <f>"ENSG00000100439.10"</f>
        <v>ENSG00000100439.10</v>
      </c>
      <c r="B4035" s="3">
        <v>4026.6056530420801</v>
      </c>
      <c r="C4035" s="3">
        <v>2.1954494445036201</v>
      </c>
      <c r="D4035" s="3">
        <v>0.205533189029626</v>
      </c>
      <c r="E4035" s="3">
        <v>10.6817271452309</v>
      </c>
      <c r="F4035" s="4">
        <v>1.23943922558055E-26</v>
      </c>
      <c r="G4035" s="4">
        <v>7.7102741048842897E-25</v>
      </c>
      <c r="H4035" s="3" t="str">
        <f>"ABHD4"</f>
        <v>ABHD4</v>
      </c>
      <c r="I4035" s="3" t="str">
        <f>"protein_coding"</f>
        <v>protein_coding</v>
      </c>
    </row>
    <row r="4036" spans="1:9" x14ac:dyDescent="0.2">
      <c r="A4036" s="3" t="str">
        <f>"ENSG00000255804.2"</f>
        <v>ENSG00000255804.2</v>
      </c>
      <c r="B4036" s="3">
        <v>6.9813006751610196</v>
      </c>
      <c r="C4036" s="3">
        <v>4.7018221056523801</v>
      </c>
      <c r="D4036" s="3">
        <v>1.8687806903439499</v>
      </c>
      <c r="E4036" s="3">
        <v>2.5159838872195301</v>
      </c>
      <c r="F4036" s="3">
        <v>1.18700609339923E-2</v>
      </c>
      <c r="G4036" s="3">
        <v>3.6685974395245999E-2</v>
      </c>
      <c r="H4036" s="3" t="str">
        <f>"OR6J1"</f>
        <v>OR6J1</v>
      </c>
      <c r="I4036" s="3" t="str">
        <f>"protein_coding"</f>
        <v>protein_coding</v>
      </c>
    </row>
    <row r="4037" spans="1:9" x14ac:dyDescent="0.2">
      <c r="A4037" s="3" t="str">
        <f>"ENSG00000258458.6"</f>
        <v>ENSG00000258458.6</v>
      </c>
      <c r="B4037" s="3">
        <v>53.289048411660197</v>
      </c>
      <c r="C4037" s="3">
        <v>2.2940166491907399</v>
      </c>
      <c r="D4037" s="3">
        <v>0.50946021558029897</v>
      </c>
      <c r="E4037" s="3">
        <v>4.5028376682519697</v>
      </c>
      <c r="F4037" s="4">
        <v>6.70520998408303E-6</v>
      </c>
      <c r="G4037" s="4">
        <v>4.9257712708630502E-5</v>
      </c>
      <c r="H4037" s="3" t="str">
        <f>"AL160314.2"</f>
        <v>AL160314.2</v>
      </c>
      <c r="I4037" s="3" t="str">
        <f>"processed_transcript"</f>
        <v>processed_transcript</v>
      </c>
    </row>
    <row r="4038" spans="1:9" x14ac:dyDescent="0.2">
      <c r="A4038" s="3" t="str">
        <f>"ENSG00000157227.13"</f>
        <v>ENSG00000157227.13</v>
      </c>
      <c r="B4038" s="3">
        <v>1652.13072853568</v>
      </c>
      <c r="C4038" s="3">
        <v>1.64982161597207</v>
      </c>
      <c r="D4038" s="3">
        <v>0.21306952234995299</v>
      </c>
      <c r="E4038" s="3">
        <v>7.7431140680099002</v>
      </c>
      <c r="F4038" s="4">
        <v>9.7010933838405892E-15</v>
      </c>
      <c r="G4038" s="4">
        <v>2.34123730229853E-13</v>
      </c>
      <c r="H4038" s="3" t="str">
        <f>"MMP14"</f>
        <v>MMP14</v>
      </c>
      <c r="I4038" s="3" t="str">
        <f>"protein_coding"</f>
        <v>protein_coding</v>
      </c>
    </row>
    <row r="4039" spans="1:9" x14ac:dyDescent="0.2">
      <c r="A4039" s="3" t="str">
        <f>"ENSG00000197324.9"</f>
        <v>ENSG00000197324.9</v>
      </c>
      <c r="B4039" s="3">
        <v>10190.9897884197</v>
      </c>
      <c r="C4039" s="3">
        <v>2.8632911456640802</v>
      </c>
      <c r="D4039" s="3">
        <v>0.190056887207498</v>
      </c>
      <c r="E4039" s="3">
        <v>15.0654427089402</v>
      </c>
      <c r="F4039" s="4">
        <v>2.7332856343011401E-51</v>
      </c>
      <c r="G4039" s="4">
        <v>5.7287564367540802E-49</v>
      </c>
      <c r="H4039" s="3" t="str">
        <f>"LRP10"</f>
        <v>LRP10</v>
      </c>
      <c r="I4039" s="3" t="str">
        <f>"protein_coding"</f>
        <v>protein_coding</v>
      </c>
    </row>
    <row r="4040" spans="1:9" x14ac:dyDescent="0.2">
      <c r="A4040" s="3" t="str">
        <f>"ENSG00000092036.18"</f>
        <v>ENSG00000092036.18</v>
      </c>
      <c r="B4040" s="3">
        <v>559.27900800067005</v>
      </c>
      <c r="C4040" s="3">
        <v>-1.07490055073202</v>
      </c>
      <c r="D4040" s="3">
        <v>0.23454588133468299</v>
      </c>
      <c r="E4040" s="3">
        <v>-4.5829009855781697</v>
      </c>
      <c r="F4040" s="4">
        <v>4.5856921058173703E-6</v>
      </c>
      <c r="G4040" s="4">
        <v>3.4881728868566698E-5</v>
      </c>
      <c r="H4040" s="3" t="str">
        <f>"HAUS4"</f>
        <v>HAUS4</v>
      </c>
      <c r="I4040" s="3" t="str">
        <f>"protein_coding"</f>
        <v>protein_coding</v>
      </c>
    </row>
    <row r="4041" spans="1:9" x14ac:dyDescent="0.2">
      <c r="A4041" s="3" t="str">
        <f>"ENSG00000258457.5"</f>
        <v>ENSG00000258457.5</v>
      </c>
      <c r="B4041" s="3">
        <v>225.571079714457</v>
      </c>
      <c r="C4041" s="3">
        <v>2.30473664310444</v>
      </c>
      <c r="D4041" s="3">
        <v>0.29234969859403098</v>
      </c>
      <c r="E4041" s="3">
        <v>7.8834924550577297</v>
      </c>
      <c r="F4041" s="4">
        <v>3.1835539629466001E-15</v>
      </c>
      <c r="G4041" s="4">
        <v>8.1067565260192597E-14</v>
      </c>
      <c r="H4041" s="3" t="str">
        <f>"AL132780.2"</f>
        <v>AL132780.2</v>
      </c>
      <c r="I4041" s="3" t="str">
        <f>"antisense"</f>
        <v>antisense</v>
      </c>
    </row>
    <row r="4042" spans="1:9" x14ac:dyDescent="0.2">
      <c r="A4042" s="3" t="str">
        <f>"ENSG00000139880.19"</f>
        <v>ENSG00000139880.19</v>
      </c>
      <c r="B4042" s="3">
        <v>257.08060314066398</v>
      </c>
      <c r="C4042" s="3">
        <v>1.0328964851660201</v>
      </c>
      <c r="D4042" s="3">
        <v>0.276397318870854</v>
      </c>
      <c r="E4042" s="3">
        <v>3.73699893105199</v>
      </c>
      <c r="F4042" s="3">
        <v>1.8622971509955099E-4</v>
      </c>
      <c r="G4042" s="3">
        <v>1.00023675287157E-3</v>
      </c>
      <c r="H4042" s="3" t="str">
        <f>"CDH24"</f>
        <v>CDH24</v>
      </c>
      <c r="I4042" s="3" t="str">
        <f>"protein_coding"</f>
        <v>protein_coding</v>
      </c>
    </row>
    <row r="4043" spans="1:9" x14ac:dyDescent="0.2">
      <c r="A4043" s="3" t="str">
        <f>"ENSG00000092067.5"</f>
        <v>ENSG00000092067.5</v>
      </c>
      <c r="B4043" s="3">
        <v>49.296662115916597</v>
      </c>
      <c r="C4043" s="3">
        <v>4.0356163136164698</v>
      </c>
      <c r="D4043" s="3">
        <v>0.64315000370831998</v>
      </c>
      <c r="E4043" s="3">
        <v>6.2747668356489701</v>
      </c>
      <c r="F4043" s="4">
        <v>3.5015863167713098E-10</v>
      </c>
      <c r="G4043" s="4">
        <v>5.0320528677778396E-9</v>
      </c>
      <c r="H4043" s="3" t="str">
        <f>"CEBPE"</f>
        <v>CEBPE</v>
      </c>
      <c r="I4043" s="3" t="str">
        <f>"protein_coding"</f>
        <v>protein_coding</v>
      </c>
    </row>
    <row r="4044" spans="1:9" x14ac:dyDescent="0.2">
      <c r="A4044" s="3" t="str">
        <f>"ENSG00000092068.20"</f>
        <v>ENSG00000092068.20</v>
      </c>
      <c r="B4044" s="3">
        <v>33.947404977112001</v>
      </c>
      <c r="C4044" s="3">
        <v>6.02134330522538</v>
      </c>
      <c r="D4044" s="3">
        <v>1.16855210090467</v>
      </c>
      <c r="E4044" s="3">
        <v>5.1528239952363197</v>
      </c>
      <c r="F4044" s="4">
        <v>2.5659276811228298E-7</v>
      </c>
      <c r="G4044" s="4">
        <v>2.43178544443665E-6</v>
      </c>
      <c r="H4044" s="3" t="str">
        <f>"SLC7A8"</f>
        <v>SLC7A8</v>
      </c>
      <c r="I4044" s="3" t="str">
        <f>"protein_coding"</f>
        <v>protein_coding</v>
      </c>
    </row>
    <row r="4045" spans="1:9" x14ac:dyDescent="0.2">
      <c r="A4045" s="3" t="str">
        <f>"ENSG00000215277.8"</f>
        <v>ENSG00000215277.8</v>
      </c>
      <c r="B4045" s="3">
        <v>8.5124429782153506</v>
      </c>
      <c r="C4045" s="3">
        <v>6.4827049885886003</v>
      </c>
      <c r="D4045" s="3">
        <v>1.8258597173722999</v>
      </c>
      <c r="E4045" s="3">
        <v>3.5504945571164899</v>
      </c>
      <c r="F4045" s="3">
        <v>3.8450808648691701E-4</v>
      </c>
      <c r="G4045" s="3">
        <v>1.90174112044092E-3</v>
      </c>
      <c r="H4045" s="3" t="str">
        <f>"RNF212B"</f>
        <v>RNF212B</v>
      </c>
      <c r="I4045" s="3" t="str">
        <f>"protein_coding"</f>
        <v>protein_coding</v>
      </c>
    </row>
    <row r="4046" spans="1:9" x14ac:dyDescent="0.2">
      <c r="A4046" s="3" t="str">
        <f>"ENSG00000136367.14"</f>
        <v>ENSG00000136367.14</v>
      </c>
      <c r="B4046" s="3">
        <v>183.35303693220101</v>
      </c>
      <c r="C4046" s="3">
        <v>2.0273613837675901</v>
      </c>
      <c r="D4046" s="3">
        <v>0.32409967988458099</v>
      </c>
      <c r="E4046" s="3">
        <v>6.2553637340511399</v>
      </c>
      <c r="F4046" s="4">
        <v>3.96590491166804E-10</v>
      </c>
      <c r="G4046" s="4">
        <v>5.6575398496449797E-9</v>
      </c>
      <c r="H4046" s="3" t="str">
        <f>"ZFHX2"</f>
        <v>ZFHX2</v>
      </c>
      <c r="I4046" s="3" t="str">
        <f>"protein_coding"</f>
        <v>protein_coding</v>
      </c>
    </row>
    <row r="4047" spans="1:9" x14ac:dyDescent="0.2">
      <c r="A4047" s="3" t="str">
        <f>"ENSG00000258727.1"</f>
        <v>ENSG00000258727.1</v>
      </c>
      <c r="B4047" s="3">
        <v>126.044729347819</v>
      </c>
      <c r="C4047" s="3">
        <v>1.2037601226778301</v>
      </c>
      <c r="D4047" s="3">
        <v>0.34345575357663299</v>
      </c>
      <c r="E4047" s="3">
        <v>3.5048477428090199</v>
      </c>
      <c r="F4047" s="3">
        <v>4.56868484039087E-4</v>
      </c>
      <c r="G4047" s="3">
        <v>2.21224375059765E-3</v>
      </c>
      <c r="H4047" s="3" t="str">
        <f>"AL135999.1"</f>
        <v>AL135999.1</v>
      </c>
      <c r="I4047" s="3" t="str">
        <f>"antisense"</f>
        <v>antisense</v>
      </c>
    </row>
    <row r="4048" spans="1:9" x14ac:dyDescent="0.2">
      <c r="A4048" s="3" t="str">
        <f>"ENSG00000092051.17"</f>
        <v>ENSG00000092051.17</v>
      </c>
      <c r="B4048" s="3">
        <v>332.57010961957099</v>
      </c>
      <c r="C4048" s="3">
        <v>3.9572995599924101</v>
      </c>
      <c r="D4048" s="3">
        <v>0.29090688881919802</v>
      </c>
      <c r="E4048" s="3">
        <v>13.6033202103094</v>
      </c>
      <c r="F4048" s="4">
        <v>3.8265954106216998E-42</v>
      </c>
      <c r="G4048" s="4">
        <v>5.85748568276457E-40</v>
      </c>
      <c r="H4048" s="3" t="str">
        <f>"JPH4"</f>
        <v>JPH4</v>
      </c>
      <c r="I4048" s="3" t="str">
        <f t="shared" ref="I4048:I4054" si="189">"protein_coding"</f>
        <v>protein_coding</v>
      </c>
    </row>
    <row r="4049" spans="1:9" x14ac:dyDescent="0.2">
      <c r="A4049" s="3" t="str">
        <f>"ENSG00000100889.11"</f>
        <v>ENSG00000100889.11</v>
      </c>
      <c r="B4049" s="3">
        <v>5454.1204857378298</v>
      </c>
      <c r="C4049" s="3">
        <v>-1.33391024958962</v>
      </c>
      <c r="D4049" s="3">
        <v>0.21559466842258601</v>
      </c>
      <c r="E4049" s="3">
        <v>-6.1871207639283297</v>
      </c>
      <c r="F4049" s="4">
        <v>6.1273025148129104E-10</v>
      </c>
      <c r="G4049" s="4">
        <v>8.5484184137791706E-9</v>
      </c>
      <c r="H4049" s="3" t="str">
        <f>"PCK2"</f>
        <v>PCK2</v>
      </c>
      <c r="I4049" s="3" t="str">
        <f t="shared" si="189"/>
        <v>protein_coding</v>
      </c>
    </row>
    <row r="4050" spans="1:9" x14ac:dyDescent="0.2">
      <c r="A4050" s="3" t="str">
        <f>"ENSG00000196497.17"</f>
        <v>ENSG00000196497.17</v>
      </c>
      <c r="B4050" s="3">
        <v>129.369728038597</v>
      </c>
      <c r="C4050" s="3">
        <v>-1.34749055644597</v>
      </c>
      <c r="D4050" s="3">
        <v>0.37629171260534899</v>
      </c>
      <c r="E4050" s="3">
        <v>-3.5809732484308099</v>
      </c>
      <c r="F4050" s="3">
        <v>3.4231670594374E-4</v>
      </c>
      <c r="G4050" s="3">
        <v>1.71254294784946E-3</v>
      </c>
      <c r="H4050" s="3" t="str">
        <f>"IPO4"</f>
        <v>IPO4</v>
      </c>
      <c r="I4050" s="3" t="str">
        <f t="shared" si="189"/>
        <v>protein_coding</v>
      </c>
    </row>
    <row r="4051" spans="1:9" x14ac:dyDescent="0.2">
      <c r="A4051" s="3" t="str">
        <f>"ENSG00000100926.15"</f>
        <v>ENSG00000100926.15</v>
      </c>
      <c r="B4051" s="3">
        <v>683.15745733991298</v>
      </c>
      <c r="C4051" s="3">
        <v>-1.1885014868985599</v>
      </c>
      <c r="D4051" s="3">
        <v>0.22139849268234099</v>
      </c>
      <c r="E4051" s="3">
        <v>-5.3681552773884702</v>
      </c>
      <c r="F4051" s="4">
        <v>7.9546055717267702E-8</v>
      </c>
      <c r="G4051" s="4">
        <v>8.2160401066277198E-7</v>
      </c>
      <c r="H4051" s="3" t="str">
        <f>"TM9SF1"</f>
        <v>TM9SF1</v>
      </c>
      <c r="I4051" s="3" t="str">
        <f t="shared" si="189"/>
        <v>protein_coding</v>
      </c>
    </row>
    <row r="4052" spans="1:9" x14ac:dyDescent="0.2">
      <c r="A4052" s="3" t="str">
        <f>"ENSG00000139908.14"</f>
        <v>ENSG00000139908.14</v>
      </c>
      <c r="B4052" s="3">
        <v>35.687900779184098</v>
      </c>
      <c r="C4052" s="3">
        <v>1.7344296925390701</v>
      </c>
      <c r="D4052" s="3">
        <v>0.59722102607899696</v>
      </c>
      <c r="E4052" s="3">
        <v>2.9041671622419498</v>
      </c>
      <c r="F4052" s="3">
        <v>3.6823149672444199E-3</v>
      </c>
      <c r="G4052" s="3">
        <v>1.3672940298788299E-2</v>
      </c>
      <c r="H4052" s="3" t="str">
        <f>"TSSK4"</f>
        <v>TSSK4</v>
      </c>
      <c r="I4052" s="3" t="str">
        <f t="shared" si="189"/>
        <v>protein_coding</v>
      </c>
    </row>
    <row r="4053" spans="1:9" x14ac:dyDescent="0.2">
      <c r="A4053" s="3" t="str">
        <f>"ENSG00000213903.9"</f>
        <v>ENSG00000213903.9</v>
      </c>
      <c r="B4053" s="3">
        <v>305.41895345723498</v>
      </c>
      <c r="C4053" s="3">
        <v>1.1157896041676201</v>
      </c>
      <c r="D4053" s="3">
        <v>0.25725685170219698</v>
      </c>
      <c r="E4053" s="3">
        <v>4.3372590342482802</v>
      </c>
      <c r="F4053" s="4">
        <v>1.44270562627977E-5</v>
      </c>
      <c r="G4053" s="4">
        <v>9.9016121408677398E-5</v>
      </c>
      <c r="H4053" s="3" t="str">
        <f>"LTB4R"</f>
        <v>LTB4R</v>
      </c>
      <c r="I4053" s="3" t="str">
        <f t="shared" si="189"/>
        <v>protein_coding</v>
      </c>
    </row>
    <row r="4054" spans="1:9" x14ac:dyDescent="0.2">
      <c r="A4054" s="3" t="str">
        <f>"ENSG00000129467.13"</f>
        <v>ENSG00000129467.13</v>
      </c>
      <c r="B4054" s="3">
        <v>6.0936759476143596</v>
      </c>
      <c r="C4054" s="3">
        <v>6.0052274683767202</v>
      </c>
      <c r="D4054" s="3">
        <v>1.9413763682855201</v>
      </c>
      <c r="E4054" s="3">
        <v>3.09328349024877</v>
      </c>
      <c r="F4054" s="3">
        <v>1.9795493731592298E-3</v>
      </c>
      <c r="G4054" s="3">
        <v>7.9823563372013705E-3</v>
      </c>
      <c r="H4054" s="3" t="str">
        <f>"ADCY4"</f>
        <v>ADCY4</v>
      </c>
      <c r="I4054" s="3" t="str">
        <f t="shared" si="189"/>
        <v>protein_coding</v>
      </c>
    </row>
    <row r="4055" spans="1:9" x14ac:dyDescent="0.2">
      <c r="A4055" s="3" t="str">
        <f>"ENSG00000258744.1"</f>
        <v>ENSG00000258744.1</v>
      </c>
      <c r="B4055" s="3">
        <v>24.929767466915798</v>
      </c>
      <c r="C4055" s="3">
        <v>2.22151907306975</v>
      </c>
      <c r="D4055" s="3">
        <v>0.73102161831073798</v>
      </c>
      <c r="E4055" s="3">
        <v>3.0389239078911099</v>
      </c>
      <c r="F4055" s="3">
        <v>2.37424814453469E-3</v>
      </c>
      <c r="G4055" s="3">
        <v>9.3349407206546609E-3</v>
      </c>
      <c r="H4055" s="3" t="str">
        <f>"AL132800.1"</f>
        <v>AL132800.1</v>
      </c>
      <c r="I4055" s="3" t="str">
        <f>"antisense"</f>
        <v>antisense</v>
      </c>
    </row>
    <row r="4056" spans="1:9" x14ac:dyDescent="0.2">
      <c r="A4056" s="3" t="str">
        <f>"ENSG00000168952.15"</f>
        <v>ENSG00000168952.15</v>
      </c>
      <c r="B4056" s="3">
        <v>1438.8774955895699</v>
      </c>
      <c r="C4056" s="3">
        <v>-1.6292316736747099</v>
      </c>
      <c r="D4056" s="3">
        <v>0.18880007805382901</v>
      </c>
      <c r="E4056" s="3">
        <v>-8.6294014836699606</v>
      </c>
      <c r="F4056" s="4">
        <v>6.1673846753614302E-18</v>
      </c>
      <c r="G4056" s="4">
        <v>1.97930188750969E-16</v>
      </c>
      <c r="H4056" s="3" t="str">
        <f>"STXBP6"</f>
        <v>STXBP6</v>
      </c>
      <c r="I4056" s="3" t="str">
        <f>"protein_coding"</f>
        <v>protein_coding</v>
      </c>
    </row>
    <row r="4057" spans="1:9" x14ac:dyDescent="0.2">
      <c r="A4057" s="3" t="str">
        <f>"ENSG00000258028.2"</f>
        <v>ENSG00000258028.2</v>
      </c>
      <c r="B4057" s="3">
        <v>4.36643869871435</v>
      </c>
      <c r="C4057" s="3">
        <v>5.51984028109222</v>
      </c>
      <c r="D4057" s="3">
        <v>2.1118253273681198</v>
      </c>
      <c r="E4057" s="3">
        <v>2.6137769111668798</v>
      </c>
      <c r="F4057" s="3">
        <v>8.9547485688279607E-3</v>
      </c>
      <c r="G4057" s="3">
        <v>2.9049890969741098E-2</v>
      </c>
      <c r="H4057" s="3" t="str">
        <f>"AL135878.1"</f>
        <v>AL135878.1</v>
      </c>
      <c r="I4057" s="3" t="str">
        <f>"lincRNA"</f>
        <v>lincRNA</v>
      </c>
    </row>
    <row r="4058" spans="1:9" x14ac:dyDescent="0.2">
      <c r="A4058" s="3" t="str">
        <f>"ENSG00000257636.6"</f>
        <v>ENSG00000257636.6</v>
      </c>
      <c r="B4058" s="3">
        <v>5.1002181659678598</v>
      </c>
      <c r="C4058" s="3">
        <v>5.7438055377337802</v>
      </c>
      <c r="D4058" s="3">
        <v>2.03182000205382</v>
      </c>
      <c r="E4058" s="3">
        <v>2.8269263674576499</v>
      </c>
      <c r="F4058" s="3">
        <v>4.69971330147441E-3</v>
      </c>
      <c r="G4058" s="3">
        <v>1.6840227291592999E-2</v>
      </c>
      <c r="H4058" s="3" t="str">
        <f>"G2E3-AS1"</f>
        <v>G2E3-AS1</v>
      </c>
      <c r="I4058" s="3" t="str">
        <f>"antisense"</f>
        <v>antisense</v>
      </c>
    </row>
    <row r="4059" spans="1:9" x14ac:dyDescent="0.2">
      <c r="A4059" s="3" t="str">
        <f>"ENSG00000100473.17"</f>
        <v>ENSG00000100473.17</v>
      </c>
      <c r="B4059" s="3">
        <v>2696.6953833380198</v>
      </c>
      <c r="C4059" s="3">
        <v>-1.7008614747794699</v>
      </c>
      <c r="D4059" s="3">
        <v>0.18251330101142901</v>
      </c>
      <c r="E4059" s="3">
        <v>-9.3191097051768192</v>
      </c>
      <c r="F4059" s="4">
        <v>1.17320573088433E-20</v>
      </c>
      <c r="G4059" s="4">
        <v>4.83605696662713E-19</v>
      </c>
      <c r="H4059" s="3" t="str">
        <f>"COCH"</f>
        <v>COCH</v>
      </c>
      <c r="I4059" s="3" t="str">
        <f>"protein_coding"</f>
        <v>protein_coding</v>
      </c>
    </row>
    <row r="4060" spans="1:9" x14ac:dyDescent="0.2">
      <c r="A4060" s="3" t="str">
        <f>"ENSG00000100478.14"</f>
        <v>ENSG00000100478.14</v>
      </c>
      <c r="B4060" s="3">
        <v>834.63973894732806</v>
      </c>
      <c r="C4060" s="3">
        <v>1.24726953079266</v>
      </c>
      <c r="D4060" s="3">
        <v>0.20164288154742699</v>
      </c>
      <c r="E4060" s="3">
        <v>6.1855371299050699</v>
      </c>
      <c r="F4060" s="4">
        <v>6.1891364775871299E-10</v>
      </c>
      <c r="G4060" s="4">
        <v>8.6258517444918892E-9</v>
      </c>
      <c r="H4060" s="3" t="str">
        <f>"AP4S1"</f>
        <v>AP4S1</v>
      </c>
      <c r="I4060" s="3" t="str">
        <f>"protein_coding"</f>
        <v>protein_coding</v>
      </c>
    </row>
    <row r="4061" spans="1:9" x14ac:dyDescent="0.2">
      <c r="A4061" s="3" t="str">
        <f>"ENSG00000092148.13"</f>
        <v>ENSG00000092148.13</v>
      </c>
      <c r="B4061" s="3">
        <v>21504.113817190399</v>
      </c>
      <c r="C4061" s="3">
        <v>-1.06646198405065</v>
      </c>
      <c r="D4061" s="3">
        <v>0.17297258264462001</v>
      </c>
      <c r="E4061" s="3">
        <v>-6.1654972582663401</v>
      </c>
      <c r="F4061" s="4">
        <v>7.0261987537046396E-10</v>
      </c>
      <c r="G4061" s="4">
        <v>9.7475986477693695E-9</v>
      </c>
      <c r="H4061" s="3" t="str">
        <f>"HECTD1"</f>
        <v>HECTD1</v>
      </c>
      <c r="I4061" s="3" t="str">
        <f>"protein_coding"</f>
        <v>protein_coding</v>
      </c>
    </row>
    <row r="4062" spans="1:9" x14ac:dyDescent="0.2">
      <c r="A4062" s="3" t="str">
        <f>"ENSG00000258474.1"</f>
        <v>ENSG00000258474.1</v>
      </c>
      <c r="B4062" s="3">
        <v>74.019456266903205</v>
      </c>
      <c r="C4062" s="3">
        <v>-1.9999382873930001</v>
      </c>
      <c r="D4062" s="3">
        <v>0.44747929855771901</v>
      </c>
      <c r="E4062" s="3">
        <v>-4.4693425904595996</v>
      </c>
      <c r="F4062" s="4">
        <v>7.8460375312446805E-6</v>
      </c>
      <c r="G4062" s="4">
        <v>5.6932352760006403E-5</v>
      </c>
      <c r="H4062" s="3" t="str">
        <f>"LINC02313"</f>
        <v>LINC02313</v>
      </c>
      <c r="I4062" s="3" t="str">
        <f>"lincRNA"</f>
        <v>lincRNA</v>
      </c>
    </row>
    <row r="4063" spans="1:9" x14ac:dyDescent="0.2">
      <c r="A4063" s="3" t="str">
        <f>"ENSG00000258619.2"</f>
        <v>ENSG00000258619.2</v>
      </c>
      <c r="B4063" s="3">
        <v>6.0906701572414601</v>
      </c>
      <c r="C4063" s="3">
        <v>5.9994883584307201</v>
      </c>
      <c r="D4063" s="3">
        <v>1.95364730102219</v>
      </c>
      <c r="E4063" s="3">
        <v>3.0709168207033302</v>
      </c>
      <c r="F4063" s="3">
        <v>2.1340259192662702E-3</v>
      </c>
      <c r="G4063" s="3">
        <v>8.5282787066952095E-3</v>
      </c>
      <c r="H4063" s="3" t="str">
        <f>"AL136298.2"</f>
        <v>AL136298.2</v>
      </c>
      <c r="I4063" s="3" t="str">
        <f>"processed_pseudogene"</f>
        <v>processed_pseudogene</v>
      </c>
    </row>
    <row r="4064" spans="1:9" x14ac:dyDescent="0.2">
      <c r="A4064" s="3" t="str">
        <f>"ENSG00000151320.11"</f>
        <v>ENSG00000151320.11</v>
      </c>
      <c r="B4064" s="3">
        <v>95.737887081379199</v>
      </c>
      <c r="C4064" s="3">
        <v>1.42211637749925</v>
      </c>
      <c r="D4064" s="3">
        <v>0.411173351821915</v>
      </c>
      <c r="E4064" s="3">
        <v>3.4586783681331301</v>
      </c>
      <c r="F4064" s="3">
        <v>5.4283270811038102E-4</v>
      </c>
      <c r="G4064" s="3">
        <v>2.5776512369960901E-3</v>
      </c>
      <c r="H4064" s="3" t="str">
        <f>"AKAP6"</f>
        <v>AKAP6</v>
      </c>
      <c r="I4064" s="3" t="str">
        <f>"protein_coding"</f>
        <v>protein_coding</v>
      </c>
    </row>
    <row r="4065" spans="1:9" x14ac:dyDescent="0.2">
      <c r="A4065" s="3" t="str">
        <f>"ENSG00000151322.18"</f>
        <v>ENSG00000151322.18</v>
      </c>
      <c r="B4065" s="3">
        <v>13.7577814623727</v>
      </c>
      <c r="C4065" s="3">
        <v>5.7084424573034998</v>
      </c>
      <c r="D4065" s="3">
        <v>1.67667991990635</v>
      </c>
      <c r="E4065" s="3">
        <v>3.4046107366887002</v>
      </c>
      <c r="F4065" s="3">
        <v>6.6258429638668096E-4</v>
      </c>
      <c r="G4065" s="3">
        <v>3.07868934577897E-3</v>
      </c>
      <c r="H4065" s="3" t="str">
        <f>"NPAS3"</f>
        <v>NPAS3</v>
      </c>
      <c r="I4065" s="3" t="str">
        <f>"protein_coding"</f>
        <v>protein_coding</v>
      </c>
    </row>
    <row r="4066" spans="1:9" x14ac:dyDescent="0.2">
      <c r="A4066" s="3" t="str">
        <f>"ENSG00000258897.1"</f>
        <v>ENSG00000258897.1</v>
      </c>
      <c r="B4066" s="3">
        <v>28.104812508517099</v>
      </c>
      <c r="C4066" s="3">
        <v>3.6612111730425299</v>
      </c>
      <c r="D4066" s="3">
        <v>0.80205252692524598</v>
      </c>
      <c r="E4066" s="3">
        <v>4.5648022419157099</v>
      </c>
      <c r="F4066" s="4">
        <v>4.9996541540991402E-6</v>
      </c>
      <c r="G4066" s="4">
        <v>3.7746072800426502E-5</v>
      </c>
      <c r="H4066" s="3" t="str">
        <f>"EGLN3-AS1"</f>
        <v>EGLN3-AS1</v>
      </c>
      <c r="I4066" s="3" t="str">
        <f>"antisense"</f>
        <v>antisense</v>
      </c>
    </row>
    <row r="4067" spans="1:9" x14ac:dyDescent="0.2">
      <c r="A4067" s="3" t="str">
        <f>"ENSG00000165389.7"</f>
        <v>ENSG00000165389.7</v>
      </c>
      <c r="B4067" s="3">
        <v>6702.84999239846</v>
      </c>
      <c r="C4067" s="3">
        <v>1.71914476275085</v>
      </c>
      <c r="D4067" s="3">
        <v>0.18170949168551401</v>
      </c>
      <c r="E4067" s="3">
        <v>9.4609519117811605</v>
      </c>
      <c r="F4067" s="4">
        <v>3.05152406074441E-21</v>
      </c>
      <c r="G4067" s="4">
        <v>1.3135051513918301E-19</v>
      </c>
      <c r="H4067" s="3" t="str">
        <f>"SPTSSA"</f>
        <v>SPTSSA</v>
      </c>
      <c r="I4067" s="3" t="str">
        <f>"protein_coding"</f>
        <v>protein_coding</v>
      </c>
    </row>
    <row r="4068" spans="1:9" x14ac:dyDescent="0.2">
      <c r="A4068" s="3" t="str">
        <f>"ENSG00000129518.9"</f>
        <v>ENSG00000129518.9</v>
      </c>
      <c r="B4068" s="3">
        <v>1534.90718740691</v>
      </c>
      <c r="C4068" s="3">
        <v>1.00979549644138</v>
      </c>
      <c r="D4068" s="3">
        <v>0.20892066995019901</v>
      </c>
      <c r="E4068" s="3">
        <v>4.8333920079908097</v>
      </c>
      <c r="F4068" s="4">
        <v>1.34226106383181E-6</v>
      </c>
      <c r="G4068" s="4">
        <v>1.1263500833454099E-5</v>
      </c>
      <c r="H4068" s="3" t="str">
        <f>"EAPP"</f>
        <v>EAPP</v>
      </c>
      <c r="I4068" s="3" t="str">
        <f>"protein_coding"</f>
        <v>protein_coding</v>
      </c>
    </row>
    <row r="4069" spans="1:9" x14ac:dyDescent="0.2">
      <c r="A4069" s="3" t="str">
        <f>"ENSG00000206588.1"</f>
        <v>ENSG00000206588.1</v>
      </c>
      <c r="B4069" s="3">
        <v>50.962252977869703</v>
      </c>
      <c r="C4069" s="3">
        <v>-1.7485283597156001</v>
      </c>
      <c r="D4069" s="3">
        <v>0.52146933888413005</v>
      </c>
      <c r="E4069" s="3">
        <v>-3.3530799019884898</v>
      </c>
      <c r="F4069" s="3">
        <v>7.9917631769632397E-4</v>
      </c>
      <c r="G4069" s="3">
        <v>3.6265036622829998E-3</v>
      </c>
      <c r="H4069" s="3" t="str">
        <f>"RNU1-28P"</f>
        <v>RNU1-28P</v>
      </c>
      <c r="I4069" s="3" t="str">
        <f>"snRNA"</f>
        <v>snRNA</v>
      </c>
    </row>
    <row r="4070" spans="1:9" x14ac:dyDescent="0.2">
      <c r="A4070" s="3" t="str">
        <f>"ENSG00000258738.1"</f>
        <v>ENSG00000258738.1</v>
      </c>
      <c r="B4070" s="3">
        <v>304.72683719241797</v>
      </c>
      <c r="C4070" s="3">
        <v>-1.01325083818591</v>
      </c>
      <c r="D4070" s="3">
        <v>0.26620447453263302</v>
      </c>
      <c r="E4070" s="3">
        <v>-3.8062877792149901</v>
      </c>
      <c r="F4070" s="3">
        <v>1.4106823008887701E-4</v>
      </c>
      <c r="G4070" s="3">
        <v>7.8022588056661296E-4</v>
      </c>
      <c r="H4070" s="3" t="str">
        <f>"AL121603.2"</f>
        <v>AL121603.2</v>
      </c>
      <c r="I4070" s="3" t="str">
        <f>"antisense"</f>
        <v>antisense</v>
      </c>
    </row>
    <row r="4071" spans="1:9" x14ac:dyDescent="0.2">
      <c r="A4071" s="3" t="str">
        <f>"ENSG00000258704.6"</f>
        <v>ENSG00000258704.6</v>
      </c>
      <c r="B4071" s="3">
        <v>504.20041427536802</v>
      </c>
      <c r="C4071" s="3">
        <v>-1.0482729689928101</v>
      </c>
      <c r="D4071" s="3">
        <v>0.23291711566496401</v>
      </c>
      <c r="E4071" s="3">
        <v>-4.5006266113164601</v>
      </c>
      <c r="F4071" s="4">
        <v>6.7753432796061496E-6</v>
      </c>
      <c r="G4071" s="4">
        <v>4.9719304696856697E-5</v>
      </c>
      <c r="H4071" s="3" t="str">
        <f>"SRP54-AS1"</f>
        <v>SRP54-AS1</v>
      </c>
      <c r="I4071" s="3" t="str">
        <f>"transcribed_unitary_pseudogene"</f>
        <v>transcribed_unitary_pseudogene</v>
      </c>
    </row>
    <row r="4072" spans="1:9" x14ac:dyDescent="0.2">
      <c r="A4072" s="3" t="str">
        <f>"ENSG00000151327.12"</f>
        <v>ENSG00000151327.12</v>
      </c>
      <c r="B4072" s="3">
        <v>1966.18348600948</v>
      </c>
      <c r="C4072" s="3">
        <v>-1.0758702310591599</v>
      </c>
      <c r="D4072" s="3">
        <v>0.19031258743680499</v>
      </c>
      <c r="E4072" s="3">
        <v>-5.6531743146858799</v>
      </c>
      <c r="F4072" s="4">
        <v>1.5751141936323199E-8</v>
      </c>
      <c r="G4072" s="4">
        <v>1.8223837126921401E-7</v>
      </c>
      <c r="H4072" s="3" t="str">
        <f>"FAM177A1"</f>
        <v>FAM177A1</v>
      </c>
      <c r="I4072" s="3" t="str">
        <f>"protein_coding"</f>
        <v>protein_coding</v>
      </c>
    </row>
    <row r="4073" spans="1:9" x14ac:dyDescent="0.2">
      <c r="A4073" s="3" t="str">
        <f>"ENSG00000168348.4"</f>
        <v>ENSG00000168348.4</v>
      </c>
      <c r="B4073" s="3">
        <v>5.5773251092012899</v>
      </c>
      <c r="C4073" s="3">
        <v>5.8730172189294603</v>
      </c>
      <c r="D4073" s="3">
        <v>1.9878318593136</v>
      </c>
      <c r="E4073" s="3">
        <v>2.9544838973238998</v>
      </c>
      <c r="F4073" s="3">
        <v>3.13192497340763E-3</v>
      </c>
      <c r="G4073" s="3">
        <v>1.18835203663052E-2</v>
      </c>
      <c r="H4073" s="3" t="str">
        <f>"INSM2"</f>
        <v>INSM2</v>
      </c>
      <c r="I4073" s="3" t="str">
        <f>"protein_coding"</f>
        <v>protein_coding</v>
      </c>
    </row>
    <row r="4074" spans="1:9" x14ac:dyDescent="0.2">
      <c r="A4074" s="3" t="str">
        <f>"ENSG00000100916.14"</f>
        <v>ENSG00000100916.14</v>
      </c>
      <c r="B4074" s="3">
        <v>3562.6033139791798</v>
      </c>
      <c r="C4074" s="3">
        <v>1.8624072877320801</v>
      </c>
      <c r="D4074" s="3">
        <v>0.193173088815564</v>
      </c>
      <c r="E4074" s="3">
        <v>9.6411322050674002</v>
      </c>
      <c r="F4074" s="4">
        <v>5.3593559595852997E-22</v>
      </c>
      <c r="G4074" s="4">
        <v>2.42568723971463E-20</v>
      </c>
      <c r="H4074" s="3" t="str">
        <f>"BRMS1L"</f>
        <v>BRMS1L</v>
      </c>
      <c r="I4074" s="3" t="str">
        <f>"protein_coding"</f>
        <v>protein_coding</v>
      </c>
    </row>
    <row r="4075" spans="1:9" x14ac:dyDescent="0.2">
      <c r="A4075" s="3" t="str">
        <f>"ENSG00000257272.1"</f>
        <v>ENSG00000257272.1</v>
      </c>
      <c r="B4075" s="3">
        <v>67.252869144999494</v>
      </c>
      <c r="C4075" s="3">
        <v>2.26042512075907</v>
      </c>
      <c r="D4075" s="3">
        <v>0.49110312950897</v>
      </c>
      <c r="E4075" s="3">
        <v>4.6027503897585804</v>
      </c>
      <c r="F4075" s="4">
        <v>4.1694782747669903E-6</v>
      </c>
      <c r="G4075" s="4">
        <v>3.1992614630407301E-5</v>
      </c>
      <c r="H4075" s="3" t="str">
        <f>"AL162311.1"</f>
        <v>AL162311.1</v>
      </c>
      <c r="I4075" s="3" t="str">
        <f>"lincRNA"</f>
        <v>lincRNA</v>
      </c>
    </row>
    <row r="4076" spans="1:9" x14ac:dyDescent="0.2">
      <c r="A4076" s="3" t="str">
        <f>"ENSG00000257307.1"</f>
        <v>ENSG00000257307.1</v>
      </c>
      <c r="B4076" s="3">
        <v>61.128116025156402</v>
      </c>
      <c r="C4076" s="3">
        <v>3.0218526683393501</v>
      </c>
      <c r="D4076" s="3">
        <v>0.511351530869392</v>
      </c>
      <c r="E4076" s="3">
        <v>5.9095406699998403</v>
      </c>
      <c r="F4076" s="4">
        <v>3.4306297423881298E-9</v>
      </c>
      <c r="G4076" s="4">
        <v>4.3476450507371799E-8</v>
      </c>
      <c r="H4076" s="3" t="str">
        <f>"AL162311.2"</f>
        <v>AL162311.2</v>
      </c>
      <c r="I4076" s="3" t="str">
        <f>"processed_pseudogene"</f>
        <v>processed_pseudogene</v>
      </c>
    </row>
    <row r="4077" spans="1:9" x14ac:dyDescent="0.2">
      <c r="A4077" s="3" t="str">
        <f>"ENSG00000258342.1"</f>
        <v>ENSG00000258342.1</v>
      </c>
      <c r="B4077" s="3">
        <v>8.0717420387511893</v>
      </c>
      <c r="C4077" s="3">
        <v>4.9230134977364699</v>
      </c>
      <c r="D4077" s="3">
        <v>1.8087000759398699</v>
      </c>
      <c r="E4077" s="3">
        <v>2.7218517670367599</v>
      </c>
      <c r="F4077" s="3">
        <v>6.4917254119630898E-3</v>
      </c>
      <c r="G4077" s="3">
        <v>2.21182996498385E-2</v>
      </c>
      <c r="H4077" s="3" t="str">
        <f>"AL133304.3"</f>
        <v>AL133304.3</v>
      </c>
      <c r="I4077" s="3" t="str">
        <f>"sense_overlapping"</f>
        <v>sense_overlapping</v>
      </c>
    </row>
    <row r="4078" spans="1:9" x14ac:dyDescent="0.2">
      <c r="A4078" s="3" t="str">
        <f>"ENSG00000257585.1"</f>
        <v>ENSG00000257585.1</v>
      </c>
      <c r="B4078" s="3">
        <v>5.7615214236078902</v>
      </c>
      <c r="C4078" s="3">
        <v>5.9211747952185396</v>
      </c>
      <c r="D4078" s="3">
        <v>1.9659340584970799</v>
      </c>
      <c r="E4078" s="3">
        <v>3.01188881164467</v>
      </c>
      <c r="F4078" s="3">
        <v>2.59627675744899E-3</v>
      </c>
      <c r="G4078" s="3">
        <v>1.0090311611256401E-2</v>
      </c>
      <c r="H4078" s="3" t="str">
        <f>"LINC00609"</f>
        <v>LINC00609</v>
      </c>
      <c r="I4078" s="3" t="str">
        <f>"lincRNA"</f>
        <v>lincRNA</v>
      </c>
    </row>
    <row r="4079" spans="1:9" x14ac:dyDescent="0.2">
      <c r="A4079" s="3" t="str">
        <f>"ENSG00000151338.18"</f>
        <v>ENSG00000151338.18</v>
      </c>
      <c r="B4079" s="3">
        <v>1445.6184375179801</v>
      </c>
      <c r="C4079" s="3">
        <v>-1.26062662765251</v>
      </c>
      <c r="D4079" s="3">
        <v>0.22798070341594001</v>
      </c>
      <c r="E4079" s="3">
        <v>-5.5295321435716396</v>
      </c>
      <c r="F4079" s="4">
        <v>3.2108596576283402E-8</v>
      </c>
      <c r="G4079" s="4">
        <v>3.5505800767613402E-7</v>
      </c>
      <c r="H4079" s="3" t="str">
        <f>"MIPOL1"</f>
        <v>MIPOL1</v>
      </c>
      <c r="I4079" s="3" t="str">
        <f>"protein_coding"</f>
        <v>protein_coding</v>
      </c>
    </row>
    <row r="4080" spans="1:9" x14ac:dyDescent="0.2">
      <c r="A4080" s="3" t="str">
        <f>"ENSG00000259091.1"</f>
        <v>ENSG00000259091.1</v>
      </c>
      <c r="B4080" s="3">
        <v>3.7081412314472102</v>
      </c>
      <c r="C4080" s="3">
        <v>5.2900887480517502</v>
      </c>
      <c r="D4080" s="3">
        <v>2.20912909971939</v>
      </c>
      <c r="E4080" s="3">
        <v>2.39464898123143</v>
      </c>
      <c r="F4080" s="3">
        <v>1.66362833632147E-2</v>
      </c>
      <c r="G4080" s="3">
        <v>4.8568393099487003E-2</v>
      </c>
      <c r="H4080" s="3" t="str">
        <f>"LINC00517"</f>
        <v>LINC00517</v>
      </c>
      <c r="I4080" s="3" t="str">
        <f>"antisense"</f>
        <v>antisense</v>
      </c>
    </row>
    <row r="4081" spans="1:9" x14ac:dyDescent="0.2">
      <c r="A4081" s="3" t="str">
        <f>"ENSG00000259048.1"</f>
        <v>ENSG00000259048.1</v>
      </c>
      <c r="B4081" s="3">
        <v>5.4293668996014297</v>
      </c>
      <c r="C4081" s="3">
        <v>5.8322105786942098</v>
      </c>
      <c r="D4081" s="3">
        <v>2.0243950943545901</v>
      </c>
      <c r="E4081" s="3">
        <v>2.8809645878704302</v>
      </c>
      <c r="F4081" s="3">
        <v>3.9646018122070003E-3</v>
      </c>
      <c r="G4081" s="3">
        <v>1.45368733114257E-2</v>
      </c>
      <c r="H4081" s="3" t="str">
        <f>"AL392023.2"</f>
        <v>AL392023.2</v>
      </c>
      <c r="I4081" s="3" t="str">
        <f>"antisense"</f>
        <v>antisense</v>
      </c>
    </row>
    <row r="4082" spans="1:9" x14ac:dyDescent="0.2">
      <c r="A4082" s="3" t="str">
        <f>"ENSG00000259070.6"</f>
        <v>ENSG00000259070.6</v>
      </c>
      <c r="B4082" s="3">
        <v>40.360675653429297</v>
      </c>
      <c r="C4082" s="3">
        <v>3.5862863866881498</v>
      </c>
      <c r="D4082" s="3">
        <v>0.65852013370624396</v>
      </c>
      <c r="E4082" s="3">
        <v>5.4459783431434703</v>
      </c>
      <c r="F4082" s="4">
        <v>5.1521405389001703E-8</v>
      </c>
      <c r="G4082" s="4">
        <v>5.4986436844266698E-7</v>
      </c>
      <c r="H4082" s="3" t="str">
        <f>"LINC00639"</f>
        <v>LINC00639</v>
      </c>
      <c r="I4082" s="3" t="str">
        <f>"lincRNA"</f>
        <v>lincRNA</v>
      </c>
    </row>
    <row r="4083" spans="1:9" x14ac:dyDescent="0.2">
      <c r="A4083" s="3" t="str">
        <f>"ENSG00000165379.13"</f>
        <v>ENSG00000165379.13</v>
      </c>
      <c r="B4083" s="3">
        <v>4.8073075371410301</v>
      </c>
      <c r="C4083" s="3">
        <v>5.6597867282439296</v>
      </c>
      <c r="D4083" s="3">
        <v>2.0539032196280198</v>
      </c>
      <c r="E4083" s="3">
        <v>2.7556248386761699</v>
      </c>
      <c r="F4083" s="3">
        <v>5.8580144965317896E-3</v>
      </c>
      <c r="G4083" s="3">
        <v>2.0291548561785101E-2</v>
      </c>
      <c r="H4083" s="3" t="str">
        <f>"LRFN5"</f>
        <v>LRFN5</v>
      </c>
      <c r="I4083" s="3" t="str">
        <f>"protein_coding"</f>
        <v>protein_coding</v>
      </c>
    </row>
    <row r="4084" spans="1:9" x14ac:dyDescent="0.2">
      <c r="A4084" s="3" t="str">
        <f>"ENSG00000179476.8"</f>
        <v>ENSG00000179476.8</v>
      </c>
      <c r="B4084" s="3">
        <v>235.59280956975701</v>
      </c>
      <c r="C4084" s="3">
        <v>1.0845734735635699</v>
      </c>
      <c r="D4084" s="3">
        <v>0.28193483149380399</v>
      </c>
      <c r="E4084" s="3">
        <v>3.8468942195508999</v>
      </c>
      <c r="F4084" s="3">
        <v>1.19624585266642E-4</v>
      </c>
      <c r="G4084" s="3">
        <v>6.7357120784463699E-4</v>
      </c>
      <c r="H4084" s="3" t="str">
        <f>"C14orf28"</f>
        <v>C14orf28</v>
      </c>
      <c r="I4084" s="3" t="str">
        <f>"protein_coding"</f>
        <v>protein_coding</v>
      </c>
    </row>
    <row r="4085" spans="1:9" x14ac:dyDescent="0.2">
      <c r="A4085" s="3" t="str">
        <f>"ENSG00000258616.5"</f>
        <v>ENSG00000258616.5</v>
      </c>
      <c r="B4085" s="3">
        <v>115.281864149161</v>
      </c>
      <c r="C4085" s="3">
        <v>10.2433998549349</v>
      </c>
      <c r="D4085" s="3">
        <v>1.4995315294161999</v>
      </c>
      <c r="E4085" s="3">
        <v>6.8310666724846403</v>
      </c>
      <c r="F4085" s="4">
        <v>8.4285546564329395E-12</v>
      </c>
      <c r="G4085" s="4">
        <v>1.49708493301062E-10</v>
      </c>
      <c r="H4085" s="3" t="str">
        <f>"LINC02303"</f>
        <v>LINC02303</v>
      </c>
      <c r="I4085" s="3" t="str">
        <f>"lincRNA"</f>
        <v>lincRNA</v>
      </c>
    </row>
    <row r="4086" spans="1:9" x14ac:dyDescent="0.2">
      <c r="A4086" s="3" t="str">
        <f>"ENSG00000139915.20"</f>
        <v>ENSG00000139915.20</v>
      </c>
      <c r="B4086" s="3">
        <v>4.5506350131209503</v>
      </c>
      <c r="C4086" s="3">
        <v>5.5810926405007502</v>
      </c>
      <c r="D4086" s="3">
        <v>2.0811975347712699</v>
      </c>
      <c r="E4086" s="3">
        <v>2.6816736745337999</v>
      </c>
      <c r="F4086" s="3">
        <v>7.3254878825888504E-3</v>
      </c>
      <c r="G4086" s="3">
        <v>2.4457489074488199E-2</v>
      </c>
      <c r="H4086" s="3" t="str">
        <f>"MDGA2"</f>
        <v>MDGA2</v>
      </c>
      <c r="I4086" s="3" t="str">
        <f>"protein_coding"</f>
        <v>protein_coding</v>
      </c>
    </row>
    <row r="4087" spans="1:9" x14ac:dyDescent="0.2">
      <c r="A4087" s="3" t="str">
        <f>"ENSG00000258377.1"</f>
        <v>ENSG00000258377.1</v>
      </c>
      <c r="B4087" s="3">
        <v>24.959405284661798</v>
      </c>
      <c r="C4087" s="3">
        <v>-2.9775228917023702</v>
      </c>
      <c r="D4087" s="3">
        <v>0.86098597301282798</v>
      </c>
      <c r="E4087" s="3">
        <v>-3.4582710810992601</v>
      </c>
      <c r="F4087" s="3">
        <v>5.4365406562043798E-4</v>
      </c>
      <c r="G4087" s="3">
        <v>2.5811016424394598E-3</v>
      </c>
      <c r="H4087" s="3" t="str">
        <f>"AL139099.1"</f>
        <v>AL139099.1</v>
      </c>
      <c r="I4087" s="3" t="str">
        <f>"antisense"</f>
        <v>antisense</v>
      </c>
    </row>
    <row r="4088" spans="1:9" x14ac:dyDescent="0.2">
      <c r="A4088" s="3" t="str">
        <f>"ENSG00000165506.14"</f>
        <v>ENSG00000165506.14</v>
      </c>
      <c r="B4088" s="3">
        <v>502.38022528532599</v>
      </c>
      <c r="C4088" s="3">
        <v>-1.2239640768720299</v>
      </c>
      <c r="D4088" s="3">
        <v>0.22258543063403899</v>
      </c>
      <c r="E4088" s="3">
        <v>-5.4988508160015002</v>
      </c>
      <c r="F4088" s="4">
        <v>3.8227437500012098E-8</v>
      </c>
      <c r="G4088" s="4">
        <v>4.1679991579144899E-7</v>
      </c>
      <c r="H4088" s="3" t="str">
        <f>"DNAAF2"</f>
        <v>DNAAF2</v>
      </c>
      <c r="I4088" s="3" t="str">
        <f>"protein_coding"</f>
        <v>protein_coding</v>
      </c>
    </row>
    <row r="4089" spans="1:9" x14ac:dyDescent="0.2">
      <c r="A4089" s="3" t="str">
        <f>"ENSG00000100479.13"</f>
        <v>ENSG00000100479.13</v>
      </c>
      <c r="B4089" s="3">
        <v>386.91302012698497</v>
      </c>
      <c r="C4089" s="3">
        <v>-1.3596319663348899</v>
      </c>
      <c r="D4089" s="3">
        <v>0.246555571470924</v>
      </c>
      <c r="E4089" s="3">
        <v>-5.5145051406604804</v>
      </c>
      <c r="F4089" s="4">
        <v>3.4976268464824498E-8</v>
      </c>
      <c r="G4089" s="4">
        <v>3.8380925769676702E-7</v>
      </c>
      <c r="H4089" s="3" t="str">
        <f>"POLE2"</f>
        <v>POLE2</v>
      </c>
      <c r="I4089" s="3" t="str">
        <f>"protein_coding"</f>
        <v>protein_coding</v>
      </c>
    </row>
    <row r="4090" spans="1:9" x14ac:dyDescent="0.2">
      <c r="A4090" s="3" t="str">
        <f>"ENSG00000278771.1"</f>
        <v>ENSG00000278771.1</v>
      </c>
      <c r="B4090" s="3">
        <v>20076.193898264199</v>
      </c>
      <c r="C4090" s="3">
        <v>-1.0245513309418299</v>
      </c>
      <c r="D4090" s="3">
        <v>0.25762841057222102</v>
      </c>
      <c r="E4090" s="3">
        <v>-3.9768569338536501</v>
      </c>
      <c r="F4090" s="4">
        <v>6.9832149125480104E-5</v>
      </c>
      <c r="G4090" s="3">
        <v>4.1381395546367001E-4</v>
      </c>
      <c r="H4090" s="3" t="str">
        <f>"RN7SL3"</f>
        <v>RN7SL3</v>
      </c>
      <c r="I4090" s="3" t="str">
        <f>"misc_RNA"</f>
        <v>misc_RNA</v>
      </c>
    </row>
    <row r="4091" spans="1:9" x14ac:dyDescent="0.2">
      <c r="A4091" s="3" t="str">
        <f>"ENSG00000165527.7"</f>
        <v>ENSG00000165527.7</v>
      </c>
      <c r="B4091" s="3">
        <v>2828.22889854506</v>
      </c>
      <c r="C4091" s="3">
        <v>-1.08319975465729</v>
      </c>
      <c r="D4091" s="3">
        <v>0.177553063728562</v>
      </c>
      <c r="E4091" s="3">
        <v>-6.1007100182357297</v>
      </c>
      <c r="F4091" s="4">
        <v>1.05598332468753E-9</v>
      </c>
      <c r="G4091" s="4">
        <v>1.43074975871512E-8</v>
      </c>
      <c r="H4091" s="3" t="str">
        <f>"ARF6"</f>
        <v>ARF6</v>
      </c>
      <c r="I4091" s="3" t="str">
        <f>"protein_coding"</f>
        <v>protein_coding</v>
      </c>
    </row>
    <row r="4092" spans="1:9" x14ac:dyDescent="0.2">
      <c r="A4092" s="3" t="str">
        <f>"ENSG00000100490.9"</f>
        <v>ENSG00000100490.9</v>
      </c>
      <c r="B4092" s="3">
        <v>263.36293526848402</v>
      </c>
      <c r="C4092" s="3">
        <v>1.6000712290433201</v>
      </c>
      <c r="D4092" s="3">
        <v>0.29239564007221402</v>
      </c>
      <c r="E4092" s="3">
        <v>5.4722814220080203</v>
      </c>
      <c r="F4092" s="4">
        <v>4.4427856362938298E-8</v>
      </c>
      <c r="G4092" s="4">
        <v>4.7960610234587197E-7</v>
      </c>
      <c r="H4092" s="3" t="str">
        <f>"CDKL1"</f>
        <v>CDKL1</v>
      </c>
      <c r="I4092" s="3" t="str">
        <f>"protein_coding"</f>
        <v>protein_coding</v>
      </c>
    </row>
    <row r="4093" spans="1:9" x14ac:dyDescent="0.2">
      <c r="A4093" s="3" t="str">
        <f>"ENSG00000198513.11"</f>
        <v>ENSG00000198513.11</v>
      </c>
      <c r="B4093" s="3">
        <v>15.5724049193757</v>
      </c>
      <c r="C4093" s="3">
        <v>2.50447182147939</v>
      </c>
      <c r="D4093" s="3">
        <v>0.958507796062535</v>
      </c>
      <c r="E4093" s="3">
        <v>2.6128862297912798</v>
      </c>
      <c r="F4093" s="3">
        <v>8.9781183702593997E-3</v>
      </c>
      <c r="G4093" s="3">
        <v>2.9097988727781399E-2</v>
      </c>
      <c r="H4093" s="3" t="str">
        <f>"ATL1"</f>
        <v>ATL1</v>
      </c>
      <c r="I4093" s="3" t="str">
        <f>"protein_coding"</f>
        <v>protein_coding</v>
      </c>
    </row>
    <row r="4094" spans="1:9" x14ac:dyDescent="0.2">
      <c r="A4094" s="3" t="str">
        <f>"ENSG00000100504.17"</f>
        <v>ENSG00000100504.17</v>
      </c>
      <c r="B4094" s="3">
        <v>2627.8661280538099</v>
      </c>
      <c r="C4094" s="3">
        <v>-1.34668271185505</v>
      </c>
      <c r="D4094" s="3">
        <v>0.181482922819488</v>
      </c>
      <c r="E4094" s="3">
        <v>-7.4204376419181299</v>
      </c>
      <c r="F4094" s="4">
        <v>1.16733959456962E-13</v>
      </c>
      <c r="G4094" s="4">
        <v>2.5879985299624502E-12</v>
      </c>
      <c r="H4094" s="3" t="str">
        <f>"PYGL"</f>
        <v>PYGL</v>
      </c>
      <c r="I4094" s="3" t="str">
        <f>"protein_coding"</f>
        <v>protein_coding</v>
      </c>
    </row>
    <row r="4095" spans="1:9" x14ac:dyDescent="0.2">
      <c r="A4095" s="3" t="str">
        <f>"ENSG00000258535.1"</f>
        <v>ENSG00000258535.1</v>
      </c>
      <c r="B4095" s="3">
        <v>6.2386283668413203</v>
      </c>
      <c r="C4095" s="3">
        <v>6.0360181644107502</v>
      </c>
      <c r="D4095" s="3">
        <v>1.9309295819082299</v>
      </c>
      <c r="E4095" s="3">
        <v>3.1259649346951801</v>
      </c>
      <c r="F4095" s="3">
        <v>1.7722268208323301E-3</v>
      </c>
      <c r="G4095" s="3">
        <v>7.2711736466222702E-3</v>
      </c>
      <c r="H4095" s="3" t="str">
        <f>"AL079307.1"</f>
        <v>AL079307.1</v>
      </c>
      <c r="I4095" s="3" t="str">
        <f>"sense_overlapping"</f>
        <v>sense_overlapping</v>
      </c>
    </row>
    <row r="4096" spans="1:9" x14ac:dyDescent="0.2">
      <c r="A4096" s="3" t="str">
        <f>"ENSG00000087303.18"</f>
        <v>ENSG00000087303.18</v>
      </c>
      <c r="B4096" s="3">
        <v>14.9020353450294</v>
      </c>
      <c r="C4096" s="3">
        <v>7.2941232384298802</v>
      </c>
      <c r="D4096" s="3">
        <v>1.66613471413003</v>
      </c>
      <c r="E4096" s="3">
        <v>4.3778712348830098</v>
      </c>
      <c r="F4096" s="4">
        <v>1.1984411652579201E-5</v>
      </c>
      <c r="G4096" s="4">
        <v>8.36422295844843E-5</v>
      </c>
      <c r="H4096" s="3" t="str">
        <f>"NID2"</f>
        <v>NID2</v>
      </c>
      <c r="I4096" s="3" t="str">
        <f t="shared" ref="I4096:I4102" si="190">"protein_coding"</f>
        <v>protein_coding</v>
      </c>
    </row>
    <row r="4097" spans="1:9" x14ac:dyDescent="0.2">
      <c r="A4097" s="3" t="str">
        <f>"ENSG00000197930.13"</f>
        <v>ENSG00000197930.13</v>
      </c>
      <c r="B4097" s="3">
        <v>5178.2940087985899</v>
      </c>
      <c r="C4097" s="3">
        <v>-1.4783114988591799</v>
      </c>
      <c r="D4097" s="3">
        <v>0.19348184525779399</v>
      </c>
      <c r="E4097" s="3">
        <v>-7.6405695681136896</v>
      </c>
      <c r="F4097" s="4">
        <v>2.16262906301462E-14</v>
      </c>
      <c r="G4097" s="4">
        <v>5.0753793350524896E-13</v>
      </c>
      <c r="H4097" s="3" t="str">
        <f>"ERO1A"</f>
        <v>ERO1A</v>
      </c>
      <c r="I4097" s="3" t="str">
        <f t="shared" si="190"/>
        <v>protein_coding</v>
      </c>
    </row>
    <row r="4098" spans="1:9" x14ac:dyDescent="0.2">
      <c r="A4098" s="3" t="str">
        <f>"ENSG00000100522.10"</f>
        <v>ENSG00000100522.10</v>
      </c>
      <c r="B4098" s="3">
        <v>2425.0429208516698</v>
      </c>
      <c r="C4098" s="3">
        <v>-1.0780816062165099</v>
      </c>
      <c r="D4098" s="3">
        <v>0.17990205992943101</v>
      </c>
      <c r="E4098" s="3">
        <v>-5.9926029009306498</v>
      </c>
      <c r="F4098" s="4">
        <v>2.0650868252873999E-9</v>
      </c>
      <c r="G4098" s="4">
        <v>2.68067750017178E-8</v>
      </c>
      <c r="H4098" s="3" t="str">
        <f>"GNPNAT1"</f>
        <v>GNPNAT1</v>
      </c>
      <c r="I4098" s="3" t="str">
        <f t="shared" si="190"/>
        <v>protein_coding</v>
      </c>
    </row>
    <row r="4099" spans="1:9" x14ac:dyDescent="0.2">
      <c r="A4099" s="3" t="str">
        <f>"ENSG00000073712.15"</f>
        <v>ENSG00000073712.15</v>
      </c>
      <c r="B4099" s="3">
        <v>1700.50976513398</v>
      </c>
      <c r="C4099" s="3">
        <v>-1.3871863460242499</v>
      </c>
      <c r="D4099" s="3">
        <v>0.19762790929945501</v>
      </c>
      <c r="E4099" s="3">
        <v>-7.01918241680292</v>
      </c>
      <c r="F4099" s="4">
        <v>2.2317026059611499E-12</v>
      </c>
      <c r="G4099" s="4">
        <v>4.2315379891874399E-11</v>
      </c>
      <c r="H4099" s="3" t="str">
        <f>"FERMT2"</f>
        <v>FERMT2</v>
      </c>
      <c r="I4099" s="3" t="str">
        <f t="shared" si="190"/>
        <v>protein_coding</v>
      </c>
    </row>
    <row r="4100" spans="1:9" x14ac:dyDescent="0.2">
      <c r="A4100" s="3" t="str">
        <f>"ENSG00000180008.9"</f>
        <v>ENSG00000180008.9</v>
      </c>
      <c r="B4100" s="3">
        <v>2342.40553122746</v>
      </c>
      <c r="C4100" s="3">
        <v>1.2240969038974501</v>
      </c>
      <c r="D4100" s="3">
        <v>0.19562031528097601</v>
      </c>
      <c r="E4100" s="3">
        <v>6.2575142164516002</v>
      </c>
      <c r="F4100" s="4">
        <v>3.91162008292818E-10</v>
      </c>
      <c r="G4100" s="4">
        <v>5.5842909689607604E-9</v>
      </c>
      <c r="H4100" s="3" t="str">
        <f>"SOCS4"</f>
        <v>SOCS4</v>
      </c>
      <c r="I4100" s="3" t="str">
        <f t="shared" si="190"/>
        <v>protein_coding</v>
      </c>
    </row>
    <row r="4101" spans="1:9" x14ac:dyDescent="0.2">
      <c r="A4101" s="3" t="str">
        <f>"ENSG00000131981.16"</f>
        <v>ENSG00000131981.16</v>
      </c>
      <c r="B4101" s="3">
        <v>775.89734102282296</v>
      </c>
      <c r="C4101" s="3">
        <v>1.22621195504153</v>
      </c>
      <c r="D4101" s="3">
        <v>0.21972471069424801</v>
      </c>
      <c r="E4101" s="3">
        <v>5.5806738858235896</v>
      </c>
      <c r="F4101" s="4">
        <v>2.3958849087332599E-8</v>
      </c>
      <c r="G4101" s="4">
        <v>2.7064956927137297E-7</v>
      </c>
      <c r="H4101" s="3" t="str">
        <f>"LGALS3"</f>
        <v>LGALS3</v>
      </c>
      <c r="I4101" s="3" t="str">
        <f t="shared" si="190"/>
        <v>protein_coding</v>
      </c>
    </row>
    <row r="4102" spans="1:9" x14ac:dyDescent="0.2">
      <c r="A4102" s="3" t="str">
        <f>"ENSG00000139946.10"</f>
        <v>ENSG00000139946.10</v>
      </c>
      <c r="B4102" s="3">
        <v>20.150975630944899</v>
      </c>
      <c r="C4102" s="3">
        <v>2.0719363899271501</v>
      </c>
      <c r="D4102" s="3">
        <v>0.814342487161269</v>
      </c>
      <c r="E4102" s="3">
        <v>2.5443058941327599</v>
      </c>
      <c r="F4102" s="3">
        <v>1.0949514912973799E-2</v>
      </c>
      <c r="G4102" s="3">
        <v>3.4335531457451697E-2</v>
      </c>
      <c r="H4102" s="3" t="str">
        <f>"PELI2"</f>
        <v>PELI2</v>
      </c>
      <c r="I4102" s="3" t="str">
        <f t="shared" si="190"/>
        <v>protein_coding</v>
      </c>
    </row>
    <row r="4103" spans="1:9" x14ac:dyDescent="0.2">
      <c r="A4103" s="3" t="str">
        <f>"ENSG00000258592.1"</f>
        <v>ENSG00000258592.1</v>
      </c>
      <c r="B4103" s="3">
        <v>19.187148361974099</v>
      </c>
      <c r="C4103" s="3">
        <v>6.1949936650943203</v>
      </c>
      <c r="D4103" s="3">
        <v>1.62336261048538</v>
      </c>
      <c r="E4103" s="3">
        <v>3.8161490384714698</v>
      </c>
      <c r="F4103" s="3">
        <v>1.3555064807994801E-4</v>
      </c>
      <c r="G4103" s="3">
        <v>7.5317984001400202E-4</v>
      </c>
      <c r="H4103" s="3" t="str">
        <f>"AL391152.1"</f>
        <v>AL391152.1</v>
      </c>
      <c r="I4103" s="3" t="str">
        <f>"lincRNA"</f>
        <v>lincRNA</v>
      </c>
    </row>
    <row r="4104" spans="1:9" x14ac:dyDescent="0.2">
      <c r="A4104" s="3" t="str">
        <f>"ENSG00000032219.18"</f>
        <v>ENSG00000032219.18</v>
      </c>
      <c r="B4104" s="3">
        <v>1647.1801508051301</v>
      </c>
      <c r="C4104" s="3">
        <v>1.0054161626162501</v>
      </c>
      <c r="D4104" s="3">
        <v>0.19161127921927401</v>
      </c>
      <c r="E4104" s="3">
        <v>5.2471658595091801</v>
      </c>
      <c r="F4104" s="4">
        <v>1.5445683689057201E-7</v>
      </c>
      <c r="G4104" s="4">
        <v>1.5187605322112701E-6</v>
      </c>
      <c r="H4104" s="3" t="str">
        <f>"ARID4A"</f>
        <v>ARID4A</v>
      </c>
      <c r="I4104" s="3" t="str">
        <f>"protein_coding"</f>
        <v>protein_coding</v>
      </c>
    </row>
    <row r="4105" spans="1:9" x14ac:dyDescent="0.2">
      <c r="A4105" s="3" t="str">
        <f>"ENSG00000165617.14"</f>
        <v>ENSG00000165617.14</v>
      </c>
      <c r="B4105" s="3">
        <v>10.055695180581299</v>
      </c>
      <c r="C4105" s="3">
        <v>3.5862900693822599</v>
      </c>
      <c r="D4105" s="3">
        <v>1.27943796461116</v>
      </c>
      <c r="E4105" s="3">
        <v>2.80301989512418</v>
      </c>
      <c r="F4105" s="3">
        <v>5.0626546210804004E-3</v>
      </c>
      <c r="G4105" s="3">
        <v>1.7912238730110101E-2</v>
      </c>
      <c r="H4105" s="3" t="str">
        <f>"DACT1"</f>
        <v>DACT1</v>
      </c>
      <c r="I4105" s="3" t="str">
        <f>"protein_coding"</f>
        <v>protein_coding</v>
      </c>
    </row>
    <row r="4106" spans="1:9" x14ac:dyDescent="0.2">
      <c r="A4106" s="3" t="str">
        <f>"ENSG00000258583.6"</f>
        <v>ENSG00000258583.6</v>
      </c>
      <c r="B4106" s="3">
        <v>5.4293668996014297</v>
      </c>
      <c r="C4106" s="3">
        <v>5.8322105786942098</v>
      </c>
      <c r="D4106" s="3">
        <v>2.0243950943545901</v>
      </c>
      <c r="E4106" s="3">
        <v>2.8809645878704302</v>
      </c>
      <c r="F4106" s="3">
        <v>3.9646018122070003E-3</v>
      </c>
      <c r="G4106" s="3">
        <v>1.45368733114257E-2</v>
      </c>
      <c r="H4106" s="3" t="str">
        <f>"LINC01500"</f>
        <v>LINC01500</v>
      </c>
      <c r="I4106" s="3" t="str">
        <f>"lincRNA"</f>
        <v>lincRNA</v>
      </c>
    </row>
    <row r="4107" spans="1:9" x14ac:dyDescent="0.2">
      <c r="A4107" s="3" t="str">
        <f>"ENSG00000139970.17"</f>
        <v>ENSG00000139970.17</v>
      </c>
      <c r="B4107" s="3">
        <v>48.592518738016402</v>
      </c>
      <c r="C4107" s="3">
        <v>5.5239194577699697</v>
      </c>
      <c r="D4107" s="3">
        <v>0.86981576577358</v>
      </c>
      <c r="E4107" s="3">
        <v>6.3506775516504996</v>
      </c>
      <c r="F4107" s="4">
        <v>2.1436862761166901E-10</v>
      </c>
      <c r="G4107" s="4">
        <v>3.1675173517001798E-9</v>
      </c>
      <c r="H4107" s="3" t="str">
        <f>"RTN1"</f>
        <v>RTN1</v>
      </c>
      <c r="I4107" s="3" t="str">
        <f>"protein_coding"</f>
        <v>protein_coding</v>
      </c>
    </row>
    <row r="4108" spans="1:9" x14ac:dyDescent="0.2">
      <c r="A4108" s="3" t="str">
        <f>"ENSG00000232774.7"</f>
        <v>ENSG00000232774.7</v>
      </c>
      <c r="B4108" s="3">
        <v>23.984603888492</v>
      </c>
      <c r="C4108" s="3">
        <v>4.4634149686465001</v>
      </c>
      <c r="D4108" s="3">
        <v>1.00649080665415</v>
      </c>
      <c r="E4108" s="3">
        <v>4.4346306385888399</v>
      </c>
      <c r="F4108" s="4">
        <v>9.2230278795800004E-6</v>
      </c>
      <c r="G4108" s="4">
        <v>6.6158894598539303E-5</v>
      </c>
      <c r="H4108" s="3" t="str">
        <f>"AL355916.1"</f>
        <v>AL355916.1</v>
      </c>
      <c r="I4108" s="3" t="str">
        <f>"lincRNA"</f>
        <v>lincRNA</v>
      </c>
    </row>
    <row r="4109" spans="1:9" x14ac:dyDescent="0.2">
      <c r="A4109" s="3" t="str">
        <f>"ENSG00000139973.16"</f>
        <v>ENSG00000139973.16</v>
      </c>
      <c r="B4109" s="3">
        <v>17.103585014662499</v>
      </c>
      <c r="C4109" s="3">
        <v>4.4011083303040701</v>
      </c>
      <c r="D4109" s="3">
        <v>1.1274318137041099</v>
      </c>
      <c r="E4109" s="3">
        <v>3.9036580987053102</v>
      </c>
      <c r="F4109" s="4">
        <v>9.4749607015139105E-5</v>
      </c>
      <c r="G4109" s="3">
        <v>5.4545585090671805E-4</v>
      </c>
      <c r="H4109" s="3" t="str">
        <f>"SYT16"</f>
        <v>SYT16</v>
      </c>
      <c r="I4109" s="3" t="str">
        <f>"protein_coding"</f>
        <v>protein_coding</v>
      </c>
    </row>
    <row r="4110" spans="1:9" x14ac:dyDescent="0.2">
      <c r="A4110" s="3" t="str">
        <f>"ENSG00000140015.20"</f>
        <v>ENSG00000140015.20</v>
      </c>
      <c r="B4110" s="3">
        <v>11.1938941135822</v>
      </c>
      <c r="C4110" s="3">
        <v>6.8804166641102098</v>
      </c>
      <c r="D4110" s="3">
        <v>1.7320910563340099</v>
      </c>
      <c r="E4110" s="3">
        <v>3.9723181058810302</v>
      </c>
      <c r="F4110" s="4">
        <v>7.1176582275353704E-5</v>
      </c>
      <c r="G4110" s="3">
        <v>4.2104827122374299E-4</v>
      </c>
      <c r="H4110" s="3" t="str">
        <f>"KCNH5"</f>
        <v>KCNH5</v>
      </c>
      <c r="I4110" s="3" t="str">
        <f>"protein_coding"</f>
        <v>protein_coding</v>
      </c>
    </row>
    <row r="4111" spans="1:9" x14ac:dyDescent="0.2">
      <c r="A4111" s="3" t="str">
        <f>"ENSG00000270878.1"</f>
        <v>ENSG00000270878.1</v>
      </c>
      <c r="B4111" s="3">
        <v>48.937962912923602</v>
      </c>
      <c r="C4111" s="3">
        <v>-1.3061724155341701</v>
      </c>
      <c r="D4111" s="3">
        <v>0.50795451851364304</v>
      </c>
      <c r="E4111" s="3">
        <v>-2.5714357642810999</v>
      </c>
      <c r="F4111" s="3">
        <v>1.0127780168414801E-2</v>
      </c>
      <c r="G4111" s="3">
        <v>3.2150036643808902E-2</v>
      </c>
      <c r="H4111" s="3" t="str">
        <f>"AL136038.4"</f>
        <v>AL136038.4</v>
      </c>
      <c r="I4111" s="3" t="str">
        <f>"processed_pseudogene"</f>
        <v>processed_pseudogene</v>
      </c>
    </row>
    <row r="4112" spans="1:9" x14ac:dyDescent="0.2">
      <c r="A4112" s="3" t="str">
        <f>"ENSG00000100714.16"</f>
        <v>ENSG00000100714.16</v>
      </c>
      <c r="B4112" s="3">
        <v>4160.9856212921004</v>
      </c>
      <c r="C4112" s="3">
        <v>-1.86409564730315</v>
      </c>
      <c r="D4112" s="3">
        <v>0.20394721023908599</v>
      </c>
      <c r="E4112" s="3">
        <v>-9.1400889726213492</v>
      </c>
      <c r="F4112" s="4">
        <v>6.2400970031786302E-20</v>
      </c>
      <c r="G4112" s="4">
        <v>2.3713238918494899E-18</v>
      </c>
      <c r="H4112" s="3" t="str">
        <f>"MTHFD1"</f>
        <v>MTHFD1</v>
      </c>
      <c r="I4112" s="3" t="str">
        <f t="shared" ref="I4112:I4117" si="191">"protein_coding"</f>
        <v>protein_coding</v>
      </c>
    </row>
    <row r="4113" spans="1:9" x14ac:dyDescent="0.2">
      <c r="A4113" s="3" t="str">
        <f>"ENSG00000179841.8"</f>
        <v>ENSG00000179841.8</v>
      </c>
      <c r="B4113" s="3">
        <v>91.232896930608703</v>
      </c>
      <c r="C4113" s="3">
        <v>-2.02836365293587</v>
      </c>
      <c r="D4113" s="3">
        <v>0.405890746358888</v>
      </c>
      <c r="E4113" s="3">
        <v>-4.99731435400202</v>
      </c>
      <c r="F4113" s="4">
        <v>5.8134259575744998E-7</v>
      </c>
      <c r="G4113" s="4">
        <v>5.1814987591112998E-6</v>
      </c>
      <c r="H4113" s="3" t="str">
        <f>"AKAP5"</f>
        <v>AKAP5</v>
      </c>
      <c r="I4113" s="3" t="str">
        <f t="shared" si="191"/>
        <v>protein_coding</v>
      </c>
    </row>
    <row r="4114" spans="1:9" x14ac:dyDescent="0.2">
      <c r="A4114" s="3" t="str">
        <f>"ENSG00000126822.17"</f>
        <v>ENSG00000126822.17</v>
      </c>
      <c r="B4114" s="3">
        <v>903.59582801438296</v>
      </c>
      <c r="C4114" s="3">
        <v>-1.09951241963288</v>
      </c>
      <c r="D4114" s="3">
        <v>0.23680947055182899</v>
      </c>
      <c r="E4114" s="3">
        <v>-4.6430255389310604</v>
      </c>
      <c r="F4114" s="4">
        <v>3.4334389112711601E-6</v>
      </c>
      <c r="G4114" s="4">
        <v>2.6767070104550901E-5</v>
      </c>
      <c r="H4114" s="3" t="str">
        <f>"PLEKHG3"</f>
        <v>PLEKHG3</v>
      </c>
      <c r="I4114" s="3" t="str">
        <f t="shared" si="191"/>
        <v>protein_coding</v>
      </c>
    </row>
    <row r="4115" spans="1:9" x14ac:dyDescent="0.2">
      <c r="A4115" s="3" t="str">
        <f>"ENSG00000070182.20"</f>
        <v>ENSG00000070182.20</v>
      </c>
      <c r="B4115" s="3">
        <v>25.862100604590299</v>
      </c>
      <c r="C4115" s="3">
        <v>2.7346151545798598</v>
      </c>
      <c r="D4115" s="3">
        <v>0.80140496749867796</v>
      </c>
      <c r="E4115" s="3">
        <v>3.4122762716520998</v>
      </c>
      <c r="F4115" s="3">
        <v>6.4422785276707596E-4</v>
      </c>
      <c r="G4115" s="3">
        <v>2.9974857077090999E-3</v>
      </c>
      <c r="H4115" s="3" t="str">
        <f>"SPTB"</f>
        <v>SPTB</v>
      </c>
      <c r="I4115" s="3" t="str">
        <f t="shared" si="191"/>
        <v>protein_coding</v>
      </c>
    </row>
    <row r="4116" spans="1:9" x14ac:dyDescent="0.2">
      <c r="A4116" s="3" t="str">
        <f>"ENSG00000258289.8"</f>
        <v>ENSG00000258289.8</v>
      </c>
      <c r="B4116" s="3">
        <v>378.95952581267898</v>
      </c>
      <c r="C4116" s="3">
        <v>1.21587666566638</v>
      </c>
      <c r="D4116" s="3">
        <v>0.26877361272762201</v>
      </c>
      <c r="E4116" s="3">
        <v>4.5237947777952598</v>
      </c>
      <c r="F4116" s="4">
        <v>6.0740622727782204E-6</v>
      </c>
      <c r="G4116" s="4">
        <v>4.5083076749220398E-5</v>
      </c>
      <c r="H4116" s="3" t="str">
        <f>"CHURC1"</f>
        <v>CHURC1</v>
      </c>
      <c r="I4116" s="3" t="str">
        <f t="shared" si="191"/>
        <v>protein_coding</v>
      </c>
    </row>
    <row r="4117" spans="1:9" x14ac:dyDescent="0.2">
      <c r="A4117" s="3" t="str">
        <f>"ENSG00000139998.15"</f>
        <v>ENSG00000139998.15</v>
      </c>
      <c r="B4117" s="3">
        <v>782.91905400651501</v>
      </c>
      <c r="C4117" s="3">
        <v>-1.1718649371692</v>
      </c>
      <c r="D4117" s="3">
        <v>0.21014064347495001</v>
      </c>
      <c r="E4117" s="3">
        <v>-5.5765744207826096</v>
      </c>
      <c r="F4117" s="4">
        <v>2.4530099886652298E-8</v>
      </c>
      <c r="G4117" s="4">
        <v>2.7652942971105303E-7</v>
      </c>
      <c r="H4117" s="3" t="str">
        <f>"RAB15"</f>
        <v>RAB15</v>
      </c>
      <c r="I4117" s="3" t="str">
        <f t="shared" si="191"/>
        <v>protein_coding</v>
      </c>
    </row>
    <row r="4118" spans="1:9" x14ac:dyDescent="0.2">
      <c r="A4118" s="3" t="str">
        <f>"ENSG00000276116.2"</f>
        <v>ENSG00000276116.2</v>
      </c>
      <c r="B4118" s="3">
        <v>58.748034472353901</v>
      </c>
      <c r="C4118" s="3">
        <v>1.38466915824995</v>
      </c>
      <c r="D4118" s="3">
        <v>0.46748295364936598</v>
      </c>
      <c r="E4118" s="3">
        <v>2.96196716359526</v>
      </c>
      <c r="F4118" s="3">
        <v>3.0568038168198898E-3</v>
      </c>
      <c r="G4118" s="3">
        <v>1.16487739296352E-2</v>
      </c>
      <c r="H4118" s="3" t="str">
        <f>"FUT8-AS1"</f>
        <v>FUT8-AS1</v>
      </c>
      <c r="I4118" s="3" t="str">
        <f>"antisense"</f>
        <v>antisense</v>
      </c>
    </row>
    <row r="4119" spans="1:9" x14ac:dyDescent="0.2">
      <c r="A4119" s="3" t="str">
        <f>"ENSG00000224861.1"</f>
        <v>ENSG00000224861.1</v>
      </c>
      <c r="B4119" s="3">
        <v>188.72922551452399</v>
      </c>
      <c r="C4119" s="3">
        <v>-1.1379047762885</v>
      </c>
      <c r="D4119" s="3">
        <v>0.30270121706997799</v>
      </c>
      <c r="E4119" s="3">
        <v>-3.7591681569798201</v>
      </c>
      <c r="F4119" s="3">
        <v>1.70479231216787E-4</v>
      </c>
      <c r="G4119" s="3">
        <v>9.2409323413689202E-4</v>
      </c>
      <c r="H4119" s="3" t="str">
        <f>"YBX1P1"</f>
        <v>YBX1P1</v>
      </c>
      <c r="I4119" s="3" t="str">
        <f>"processed_pseudogene"</f>
        <v>processed_pseudogene</v>
      </c>
    </row>
    <row r="4120" spans="1:9" x14ac:dyDescent="0.2">
      <c r="A4120" s="3" t="str">
        <f>"ENSG00000258561.1"</f>
        <v>ENSG00000258561.1</v>
      </c>
      <c r="B4120" s="3">
        <v>24.9628318823871</v>
      </c>
      <c r="C4120" s="3">
        <v>2.32396875942139</v>
      </c>
      <c r="D4120" s="3">
        <v>0.75922030349762404</v>
      </c>
      <c r="E4120" s="3">
        <v>3.0609939548707801</v>
      </c>
      <c r="F4120" s="3">
        <v>2.2060354831876599E-3</v>
      </c>
      <c r="G4120" s="3">
        <v>8.7582469489165399E-3</v>
      </c>
      <c r="H4120" s="3" t="str">
        <f>"AL359232.1"</f>
        <v>AL359232.1</v>
      </c>
      <c r="I4120" s="3" t="str">
        <f>"lincRNA"</f>
        <v>lincRNA</v>
      </c>
    </row>
    <row r="4121" spans="1:9" x14ac:dyDescent="0.2">
      <c r="A4121" s="3" t="str">
        <f>"ENSG00000100554.12"</f>
        <v>ENSG00000100554.12</v>
      </c>
      <c r="B4121" s="3">
        <v>978.46737654553397</v>
      </c>
      <c r="C4121" s="3">
        <v>1.2144620906010799</v>
      </c>
      <c r="D4121" s="3">
        <v>0.211029188158953</v>
      </c>
      <c r="E4121" s="3">
        <v>5.7549484087779899</v>
      </c>
      <c r="F4121" s="4">
        <v>8.6668258944404296E-9</v>
      </c>
      <c r="G4121" s="4">
        <v>1.0380000226189801E-7</v>
      </c>
      <c r="H4121" s="3" t="str">
        <f>"ATP6V1D"</f>
        <v>ATP6V1D</v>
      </c>
      <c r="I4121" s="3" t="str">
        <f t="shared" ref="I4121:I4126" si="192">"protein_coding"</f>
        <v>protein_coding</v>
      </c>
    </row>
    <row r="4122" spans="1:9" x14ac:dyDescent="0.2">
      <c r="A4122" s="3" t="str">
        <f>"ENSG00000100558.9"</f>
        <v>ENSG00000100558.9</v>
      </c>
      <c r="B4122" s="3">
        <v>13.9449835671522</v>
      </c>
      <c r="C4122" s="3">
        <v>5.7311467461249999</v>
      </c>
      <c r="D4122" s="3">
        <v>1.66835490251245</v>
      </c>
      <c r="E4122" s="3">
        <v>3.4352083825175401</v>
      </c>
      <c r="F4122" s="3">
        <v>5.92098340889849E-4</v>
      </c>
      <c r="G4122" s="3">
        <v>2.7834547091486698E-3</v>
      </c>
      <c r="H4122" s="3" t="str">
        <f>"PLEK2"</f>
        <v>PLEK2</v>
      </c>
      <c r="I4122" s="3" t="str">
        <f t="shared" si="192"/>
        <v>protein_coding</v>
      </c>
    </row>
    <row r="4123" spans="1:9" x14ac:dyDescent="0.2">
      <c r="A4123" s="3" t="str">
        <f>"ENSG00000198133.8"</f>
        <v>ENSG00000198133.8</v>
      </c>
      <c r="B4123" s="3">
        <v>375.60270328157497</v>
      </c>
      <c r="C4123" s="3">
        <v>6.0234952695283299</v>
      </c>
      <c r="D4123" s="3">
        <v>0.39557186148989099</v>
      </c>
      <c r="E4123" s="3">
        <v>15.2273097657687</v>
      </c>
      <c r="F4123" s="4">
        <v>2.32982793390387E-52</v>
      </c>
      <c r="G4123" s="4">
        <v>5.0784657372062899E-50</v>
      </c>
      <c r="H4123" s="3" t="str">
        <f>"TMEM229B"</f>
        <v>TMEM229B</v>
      </c>
      <c r="I4123" s="3" t="str">
        <f t="shared" si="192"/>
        <v>protein_coding</v>
      </c>
    </row>
    <row r="4124" spans="1:9" x14ac:dyDescent="0.2">
      <c r="A4124" s="3" t="str">
        <f>"ENSG00000081181.8"</f>
        <v>ENSG00000081181.8</v>
      </c>
      <c r="B4124" s="3">
        <v>1822.9296227232101</v>
      </c>
      <c r="C4124" s="3">
        <v>1.6676031155759601</v>
      </c>
      <c r="D4124" s="3">
        <v>0.19670426910705699</v>
      </c>
      <c r="E4124" s="3">
        <v>8.4777169460839907</v>
      </c>
      <c r="F4124" s="4">
        <v>2.2965586030366499E-17</v>
      </c>
      <c r="G4124" s="4">
        <v>7.0865608445005102E-16</v>
      </c>
      <c r="H4124" s="3" t="str">
        <f>"ARG2"</f>
        <v>ARG2</v>
      </c>
      <c r="I4124" s="3" t="str">
        <f t="shared" si="192"/>
        <v>protein_coding</v>
      </c>
    </row>
    <row r="4125" spans="1:9" x14ac:dyDescent="0.2">
      <c r="A4125" s="3" t="str">
        <f>"ENSG00000072110.13"</f>
        <v>ENSG00000072110.13</v>
      </c>
      <c r="B4125" s="3">
        <v>11049.669258072499</v>
      </c>
      <c r="C4125" s="3">
        <v>-1.1631380155545601</v>
      </c>
      <c r="D4125" s="3">
        <v>0.18541443303358801</v>
      </c>
      <c r="E4125" s="3">
        <v>-6.2731794743500799</v>
      </c>
      <c r="F4125" s="4">
        <v>3.5374873870305898E-10</v>
      </c>
      <c r="G4125" s="4">
        <v>5.0782886635628299E-9</v>
      </c>
      <c r="H4125" s="3" t="str">
        <f>"ACTN1"</f>
        <v>ACTN1</v>
      </c>
      <c r="I4125" s="3" t="str">
        <f t="shared" si="192"/>
        <v>protein_coding</v>
      </c>
    </row>
    <row r="4126" spans="1:9" x14ac:dyDescent="0.2">
      <c r="A4126" s="3" t="str">
        <f>"ENSG00000100647.8"</f>
        <v>ENSG00000100647.8</v>
      </c>
      <c r="B4126" s="3">
        <v>2694.7613182846599</v>
      </c>
      <c r="C4126" s="3">
        <v>2.3986330077061302</v>
      </c>
      <c r="D4126" s="3">
        <v>0.20109934173442801</v>
      </c>
      <c r="E4126" s="3">
        <v>11.927602482527099</v>
      </c>
      <c r="F4126" s="4">
        <v>8.4985997041724795E-33</v>
      </c>
      <c r="G4126" s="4">
        <v>7.8939367054757899E-31</v>
      </c>
      <c r="H4126" s="3" t="str">
        <f>"SUSD6"</f>
        <v>SUSD6</v>
      </c>
      <c r="I4126" s="3" t="str">
        <f t="shared" si="192"/>
        <v>protein_coding</v>
      </c>
    </row>
    <row r="4127" spans="1:9" x14ac:dyDescent="0.2">
      <c r="A4127" s="3" t="str">
        <f>"ENSG00000273797.1"</f>
        <v>ENSG00000273797.1</v>
      </c>
      <c r="B4127" s="3">
        <v>54.947260282003398</v>
      </c>
      <c r="C4127" s="3">
        <v>3.9463814059659299</v>
      </c>
      <c r="D4127" s="3">
        <v>0.670140254783121</v>
      </c>
      <c r="E4127" s="3">
        <v>5.8888887479876999</v>
      </c>
      <c r="F4127" s="4">
        <v>3.8880105716738698E-9</v>
      </c>
      <c r="G4127" s="4">
        <v>4.9058920442085398E-8</v>
      </c>
      <c r="H4127" s="3" t="str">
        <f>"AL133445.2"</f>
        <v>AL133445.2</v>
      </c>
      <c r="I4127" s="3" t="str">
        <f>"sense_intronic"</f>
        <v>sense_intronic</v>
      </c>
    </row>
    <row r="4128" spans="1:9" x14ac:dyDescent="0.2">
      <c r="A4128" s="3" t="str">
        <f>"ENSG00000100652.5"</f>
        <v>ENSG00000100652.5</v>
      </c>
      <c r="B4128" s="3">
        <v>3.8893317554809199</v>
      </c>
      <c r="C4128" s="3">
        <v>5.35263968609567</v>
      </c>
      <c r="D4128" s="3">
        <v>2.1805139762792298</v>
      </c>
      <c r="E4128" s="3">
        <v>2.4547605492670499</v>
      </c>
      <c r="F4128" s="3">
        <v>1.40978459500909E-2</v>
      </c>
      <c r="G4128" s="3">
        <v>4.2402473628670397E-2</v>
      </c>
      <c r="H4128" s="3" t="str">
        <f>"SLC10A1"</f>
        <v>SLC10A1</v>
      </c>
      <c r="I4128" s="3" t="str">
        <f>"protein_coding"</f>
        <v>protein_coding</v>
      </c>
    </row>
    <row r="4129" spans="1:9" x14ac:dyDescent="0.2">
      <c r="A4129" s="3" t="str">
        <f>"ENSG00000198732.10"</f>
        <v>ENSG00000198732.10</v>
      </c>
      <c r="B4129" s="3">
        <v>1072.8555428843499</v>
      </c>
      <c r="C4129" s="3">
        <v>-3.30031223297703</v>
      </c>
      <c r="D4129" s="3">
        <v>0.23174026972943401</v>
      </c>
      <c r="E4129" s="3">
        <v>-14.2414274257568</v>
      </c>
      <c r="F4129" s="4">
        <v>5.0681154687994997E-46</v>
      </c>
      <c r="G4129" s="4">
        <v>8.5241322332333305E-44</v>
      </c>
      <c r="H4129" s="3" t="str">
        <f>"SMOC1"</f>
        <v>SMOC1</v>
      </c>
      <c r="I4129" s="3" t="str">
        <f>"protein_coding"</f>
        <v>protein_coding</v>
      </c>
    </row>
    <row r="4130" spans="1:9" x14ac:dyDescent="0.2">
      <c r="A4130" s="3" t="str">
        <f>"ENSG00000100678.18"</f>
        <v>ENSG00000100678.18</v>
      </c>
      <c r="B4130" s="3">
        <v>16.668559858019101</v>
      </c>
      <c r="C4130" s="3">
        <v>4.9692702793295203</v>
      </c>
      <c r="D4130" s="3">
        <v>1.28185264660584</v>
      </c>
      <c r="E4130" s="3">
        <v>3.8766314462800602</v>
      </c>
      <c r="F4130" s="3">
        <v>1.05912602664413E-4</v>
      </c>
      <c r="G4130" s="3">
        <v>6.0334532402200598E-4</v>
      </c>
      <c r="H4130" s="3" t="str">
        <f>"SLC8A3"</f>
        <v>SLC8A3</v>
      </c>
      <c r="I4130" s="3" t="str">
        <f>"protein_coding"</f>
        <v>protein_coding</v>
      </c>
    </row>
    <row r="4131" spans="1:9" x14ac:dyDescent="0.2">
      <c r="A4131" s="3" t="str">
        <f>"ENSG00000258431.1"</f>
        <v>ENSG00000258431.1</v>
      </c>
      <c r="B4131" s="3">
        <v>7.7816693013347296</v>
      </c>
      <c r="C4131" s="3">
        <v>6.3571816435620097</v>
      </c>
      <c r="D4131" s="3">
        <v>1.8433164230325001</v>
      </c>
      <c r="E4131" s="3">
        <v>3.4487739403436799</v>
      </c>
      <c r="F4131" s="3">
        <v>5.63137934857868E-4</v>
      </c>
      <c r="G4131" s="3">
        <v>2.6601628486602499E-3</v>
      </c>
      <c r="H4131" s="3" t="str">
        <f>"AC004825.1"</f>
        <v>AC004825.1</v>
      </c>
      <c r="I4131" s="3" t="str">
        <f>"processed_pseudogene"</f>
        <v>processed_pseudogene</v>
      </c>
    </row>
    <row r="4132" spans="1:9" x14ac:dyDescent="0.2">
      <c r="A4132" s="3" t="str">
        <f>"ENSG00000274818.1"</f>
        <v>ENSG00000274818.1</v>
      </c>
      <c r="B4132" s="3">
        <v>20.1349819328458</v>
      </c>
      <c r="C4132" s="3">
        <v>2.4543856807322499</v>
      </c>
      <c r="D4132" s="3">
        <v>0.81539947329144402</v>
      </c>
      <c r="E4132" s="3">
        <v>3.0100407973344301</v>
      </c>
      <c r="F4132" s="3">
        <v>2.6121260087708302E-3</v>
      </c>
      <c r="G4132" s="3">
        <v>1.01428811972322E-2</v>
      </c>
      <c r="H4132" s="3" t="str">
        <f>"AC004825.2"</f>
        <v>AC004825.2</v>
      </c>
      <c r="I4132" s="3" t="str">
        <f>"lincRNA"</f>
        <v>lincRNA</v>
      </c>
    </row>
    <row r="4133" spans="1:9" x14ac:dyDescent="0.2">
      <c r="A4133" s="3" t="str">
        <f>"ENSG00000182732.18"</f>
        <v>ENSG00000182732.18</v>
      </c>
      <c r="B4133" s="3">
        <v>6.1661521572278399</v>
      </c>
      <c r="C4133" s="3">
        <v>6.0207072949405402</v>
      </c>
      <c r="D4133" s="3">
        <v>1.93317068918253</v>
      </c>
      <c r="E4133" s="3">
        <v>3.11442095032307</v>
      </c>
      <c r="F4133" s="3">
        <v>1.84306335590704E-3</v>
      </c>
      <c r="G4133" s="3">
        <v>7.5120339952728498E-3</v>
      </c>
      <c r="H4133" s="3" t="str">
        <f>"RGS6"</f>
        <v>RGS6</v>
      </c>
      <c r="I4133" s="3" t="str">
        <f>"protein_coding"</f>
        <v>protein_coding</v>
      </c>
    </row>
    <row r="4134" spans="1:9" x14ac:dyDescent="0.2">
      <c r="A4134" s="3" t="str">
        <f>"ENSG00000165861.14"</f>
        <v>ENSG00000165861.14</v>
      </c>
      <c r="B4134" s="3">
        <v>960.78148800255701</v>
      </c>
      <c r="C4134" s="3">
        <v>2.1060396747808099</v>
      </c>
      <c r="D4134" s="3">
        <v>0.228366972376598</v>
      </c>
      <c r="E4134" s="3">
        <v>9.2221727724609899</v>
      </c>
      <c r="F4134" s="4">
        <v>2.91139869729575E-20</v>
      </c>
      <c r="G4134" s="4">
        <v>1.15468530284159E-18</v>
      </c>
      <c r="H4134" s="3" t="str">
        <f>"ZFYVE1"</f>
        <v>ZFYVE1</v>
      </c>
      <c r="I4134" s="3" t="str">
        <f>"protein_coding"</f>
        <v>protein_coding</v>
      </c>
    </row>
    <row r="4135" spans="1:9" x14ac:dyDescent="0.2">
      <c r="A4135" s="3" t="str">
        <f>"ENSG00000100767.16"</f>
        <v>ENSG00000100767.16</v>
      </c>
      <c r="B4135" s="3">
        <v>7.6642734137208697</v>
      </c>
      <c r="C4135" s="3">
        <v>3.8012401979641699</v>
      </c>
      <c r="D4135" s="3">
        <v>1.53541644828465</v>
      </c>
      <c r="E4135" s="3">
        <v>2.4757063155151702</v>
      </c>
      <c r="F4135" s="3">
        <v>1.3297290869859601E-2</v>
      </c>
      <c r="G4135" s="3">
        <v>4.0355456040439198E-2</v>
      </c>
      <c r="H4135" s="3" t="str">
        <f>"PAPLN"</f>
        <v>PAPLN</v>
      </c>
      <c r="I4135" s="3" t="str">
        <f>"protein_coding"</f>
        <v>protein_coding</v>
      </c>
    </row>
    <row r="4136" spans="1:9" x14ac:dyDescent="0.2">
      <c r="A4136" s="3" t="str">
        <f>"ENSG00000170468.7"</f>
        <v>ENSG00000170468.7</v>
      </c>
      <c r="B4136" s="3">
        <v>478.683037516642</v>
      </c>
      <c r="C4136" s="3">
        <v>-1.0733206991492099</v>
      </c>
      <c r="D4136" s="3">
        <v>0.22469349665994301</v>
      </c>
      <c r="E4136" s="3">
        <v>-4.7768213815889897</v>
      </c>
      <c r="F4136" s="4">
        <v>1.78087829542986E-6</v>
      </c>
      <c r="G4136" s="4">
        <v>1.45716489235968E-5</v>
      </c>
      <c r="H4136" s="3" t="str">
        <f>"RIOX1"</f>
        <v>RIOX1</v>
      </c>
      <c r="I4136" s="3" t="str">
        <f>"protein_coding"</f>
        <v>protein_coding</v>
      </c>
    </row>
    <row r="4137" spans="1:9" x14ac:dyDescent="0.2">
      <c r="A4137" s="3" t="str">
        <f>"ENSG00000279026.1"</f>
        <v>ENSG00000279026.1</v>
      </c>
      <c r="B4137" s="3">
        <v>39.729219738847803</v>
      </c>
      <c r="C4137" s="3">
        <v>-1.6235774732631101</v>
      </c>
      <c r="D4137" s="3">
        <v>0.59610249201806498</v>
      </c>
      <c r="E4137" s="3">
        <v>-2.7236548999595702</v>
      </c>
      <c r="F4137" s="3">
        <v>6.4563931104605803E-3</v>
      </c>
      <c r="G4137" s="3">
        <v>2.2028217265304201E-2</v>
      </c>
      <c r="H4137" s="3" t="str">
        <f>"AC005225.4"</f>
        <v>AC005225.4</v>
      </c>
      <c r="I4137" s="3" t="str">
        <f>"TEC"</f>
        <v>TEC</v>
      </c>
    </row>
    <row r="4138" spans="1:9" x14ac:dyDescent="0.2">
      <c r="A4138" s="3" t="str">
        <f>"ENSG00000156030.13"</f>
        <v>ENSG00000156030.13</v>
      </c>
      <c r="B4138" s="3">
        <v>1943.76679112377</v>
      </c>
      <c r="C4138" s="3">
        <v>-1.69923940944952</v>
      </c>
      <c r="D4138" s="3">
        <v>0.19525507450878801</v>
      </c>
      <c r="E4138" s="3">
        <v>-8.7026645208805498</v>
      </c>
      <c r="F4138" s="4">
        <v>3.24181172664846E-18</v>
      </c>
      <c r="G4138" s="4">
        <v>1.06936615152531E-16</v>
      </c>
      <c r="H4138" s="3" t="str">
        <f>"ELMSAN1"</f>
        <v>ELMSAN1</v>
      </c>
      <c r="I4138" s="3" t="str">
        <f t="shared" ref="I4138:I4145" si="193">"protein_coding"</f>
        <v>protein_coding</v>
      </c>
    </row>
    <row r="4139" spans="1:9" x14ac:dyDescent="0.2">
      <c r="A4139" s="3" t="str">
        <f>"ENSG00000140043.11"</f>
        <v>ENSG00000140043.11</v>
      </c>
      <c r="B4139" s="3">
        <v>169.462163705747</v>
      </c>
      <c r="C4139" s="3">
        <v>2.5947989068504098</v>
      </c>
      <c r="D4139" s="3">
        <v>0.33667939217044301</v>
      </c>
      <c r="E4139" s="3">
        <v>7.7070321712378602</v>
      </c>
      <c r="F4139" s="4">
        <v>1.28777346140598E-14</v>
      </c>
      <c r="G4139" s="4">
        <v>3.0671296768294298E-13</v>
      </c>
      <c r="H4139" s="3" t="str">
        <f>"PTGR2"</f>
        <v>PTGR2</v>
      </c>
      <c r="I4139" s="3" t="str">
        <f t="shared" si="193"/>
        <v>protein_coding</v>
      </c>
    </row>
    <row r="4140" spans="1:9" x14ac:dyDescent="0.2">
      <c r="A4140" s="3" t="str">
        <f>"ENSG00000205659.10"</f>
        <v>ENSG00000205659.10</v>
      </c>
      <c r="B4140" s="3">
        <v>719.45486765348198</v>
      </c>
      <c r="C4140" s="3">
        <v>-1.0405724718527301</v>
      </c>
      <c r="D4140" s="3">
        <v>0.20792639451283701</v>
      </c>
      <c r="E4140" s="3">
        <v>-5.00452323184245</v>
      </c>
      <c r="F4140" s="4">
        <v>5.6000458327812596E-7</v>
      </c>
      <c r="G4140" s="4">
        <v>5.0060514700062602E-6</v>
      </c>
      <c r="H4140" s="3" t="str">
        <f>"LIN52"</f>
        <v>LIN52</v>
      </c>
      <c r="I4140" s="3" t="str">
        <f t="shared" si="193"/>
        <v>protein_coding</v>
      </c>
    </row>
    <row r="4141" spans="1:9" x14ac:dyDescent="0.2">
      <c r="A4141" s="3" t="str">
        <f>"ENSG00000119681.12"</f>
        <v>ENSG00000119681.12</v>
      </c>
      <c r="B4141" s="3">
        <v>266.39636584326701</v>
      </c>
      <c r="C4141" s="3">
        <v>2.5527180901703601</v>
      </c>
      <c r="D4141" s="3">
        <v>0.28873080644355098</v>
      </c>
      <c r="E4141" s="3">
        <v>8.8411698135489107</v>
      </c>
      <c r="F4141" s="4">
        <v>9.4721565077473694E-19</v>
      </c>
      <c r="G4141" s="4">
        <v>3.2793881622184602E-17</v>
      </c>
      <c r="H4141" s="3" t="str">
        <f>"LTBP2"</f>
        <v>LTBP2</v>
      </c>
      <c r="I4141" s="3" t="str">
        <f t="shared" si="193"/>
        <v>protein_coding</v>
      </c>
    </row>
    <row r="4142" spans="1:9" x14ac:dyDescent="0.2">
      <c r="A4142" s="3" t="str">
        <f>"ENSG00000119630.14"</f>
        <v>ENSG00000119630.14</v>
      </c>
      <c r="B4142" s="3">
        <v>1829.12293299115</v>
      </c>
      <c r="C4142" s="3">
        <v>2.13060152923171</v>
      </c>
      <c r="D4142" s="3">
        <v>0.21234830971260299</v>
      </c>
      <c r="E4142" s="3">
        <v>10.033522433568301</v>
      </c>
      <c r="F4142" s="4">
        <v>1.0857271300554699E-23</v>
      </c>
      <c r="G4142" s="4">
        <v>5.4782976134484201E-22</v>
      </c>
      <c r="H4142" s="3" t="str">
        <f>"PGF"</f>
        <v>PGF</v>
      </c>
      <c r="I4142" s="3" t="str">
        <f t="shared" si="193"/>
        <v>protein_coding</v>
      </c>
    </row>
    <row r="4143" spans="1:9" x14ac:dyDescent="0.2">
      <c r="A4143" s="3" t="str">
        <f>"ENSG00000140044.13"</f>
        <v>ENSG00000140044.13</v>
      </c>
      <c r="B4143" s="3">
        <v>437.48018912026902</v>
      </c>
      <c r="C4143" s="3">
        <v>-2.1720436939960899</v>
      </c>
      <c r="D4143" s="3">
        <v>0.24400060498276699</v>
      </c>
      <c r="E4143" s="3">
        <v>-8.9017963465684495</v>
      </c>
      <c r="F4143" s="4">
        <v>5.4950022972028501E-19</v>
      </c>
      <c r="G4143" s="4">
        <v>1.9269282830358599E-17</v>
      </c>
      <c r="H4143" s="3" t="str">
        <f>"JDP2"</f>
        <v>JDP2</v>
      </c>
      <c r="I4143" s="3" t="str">
        <f t="shared" si="193"/>
        <v>protein_coding</v>
      </c>
    </row>
    <row r="4144" spans="1:9" x14ac:dyDescent="0.2">
      <c r="A4144" s="3" t="str">
        <f>"ENSG00000133935.6"</f>
        <v>ENSG00000133935.6</v>
      </c>
      <c r="B4144" s="3">
        <v>879.25474483529297</v>
      </c>
      <c r="C4144" s="3">
        <v>-1.3939872853398401</v>
      </c>
      <c r="D4144" s="3">
        <v>0.21789424611965</v>
      </c>
      <c r="E4144" s="3">
        <v>-6.3975405967093701</v>
      </c>
      <c r="F4144" s="4">
        <v>1.5789950755429E-10</v>
      </c>
      <c r="G4144" s="4">
        <v>2.3928186219865E-9</v>
      </c>
      <c r="H4144" s="3" t="str">
        <f>"ERG28"</f>
        <v>ERG28</v>
      </c>
      <c r="I4144" s="3" t="str">
        <f t="shared" si="193"/>
        <v>protein_coding</v>
      </c>
    </row>
    <row r="4145" spans="1:9" x14ac:dyDescent="0.2">
      <c r="A4145" s="3" t="str">
        <f>"ENSG00000071246.11"</f>
        <v>ENSG00000071246.11</v>
      </c>
      <c r="B4145" s="3">
        <v>26.9960968549724</v>
      </c>
      <c r="C4145" s="3">
        <v>-1.8786991229644401</v>
      </c>
      <c r="D4145" s="3">
        <v>0.68347781005308506</v>
      </c>
      <c r="E4145" s="3">
        <v>-2.7487346265397101</v>
      </c>
      <c r="F4145" s="3">
        <v>5.9825800566680404E-3</v>
      </c>
      <c r="G4145" s="3">
        <v>2.0636455096092399E-2</v>
      </c>
      <c r="H4145" s="3" t="str">
        <f>"VASH1"</f>
        <v>VASH1</v>
      </c>
      <c r="I4145" s="3" t="str">
        <f t="shared" si="193"/>
        <v>protein_coding</v>
      </c>
    </row>
    <row r="4146" spans="1:9" x14ac:dyDescent="0.2">
      <c r="A4146" s="3" t="str">
        <f>"ENSG00000285966.1"</f>
        <v>ENSG00000285966.1</v>
      </c>
      <c r="B4146" s="3">
        <v>14.180241247034999</v>
      </c>
      <c r="C4146" s="3">
        <v>3.3191310673682302</v>
      </c>
      <c r="D4146" s="3">
        <v>1.04963307322931</v>
      </c>
      <c r="E4146" s="3">
        <v>3.1621822444643</v>
      </c>
      <c r="F4146" s="3">
        <v>1.56591530013533E-3</v>
      </c>
      <c r="G4146" s="3">
        <v>6.5219342988057701E-3</v>
      </c>
      <c r="H4146" s="3" t="str">
        <f>"AC007686.4"</f>
        <v>AC007686.4</v>
      </c>
      <c r="I4146" s="3" t="str">
        <f>"lincRNA"</f>
        <v>lincRNA</v>
      </c>
    </row>
    <row r="4147" spans="1:9" x14ac:dyDescent="0.2">
      <c r="A4147" s="3" t="str">
        <f>"ENSG00000258602.1"</f>
        <v>ENSG00000258602.1</v>
      </c>
      <c r="B4147" s="3">
        <v>335.91335151674099</v>
      </c>
      <c r="C4147" s="3">
        <v>7.5301749644568998</v>
      </c>
      <c r="D4147" s="3">
        <v>0.59715744167067997</v>
      </c>
      <c r="E4147" s="3">
        <v>12.610032864012499</v>
      </c>
      <c r="F4147" s="4">
        <v>1.8591547740401601E-36</v>
      </c>
      <c r="G4147" s="4">
        <v>2.1284197532887499E-34</v>
      </c>
      <c r="H4147" s="3" t="str">
        <f>"LINC01629"</f>
        <v>LINC01629</v>
      </c>
      <c r="I4147" s="3" t="str">
        <f>"lincRNA"</f>
        <v>lincRNA</v>
      </c>
    </row>
    <row r="4148" spans="1:9" x14ac:dyDescent="0.2">
      <c r="A4148" s="3" t="str">
        <f>"ENSG00000243225.2"</f>
        <v>ENSG00000243225.2</v>
      </c>
      <c r="B4148" s="3">
        <v>121.351075371986</v>
      </c>
      <c r="C4148" s="3">
        <v>7.2821772185048799</v>
      </c>
      <c r="D4148" s="3">
        <v>0.89635894846079001</v>
      </c>
      <c r="E4148" s="3">
        <v>8.1241752882700595</v>
      </c>
      <c r="F4148" s="4">
        <v>4.5041443182835204E-16</v>
      </c>
      <c r="G4148" s="4">
        <v>1.2383897097908299E-14</v>
      </c>
      <c r="H4148" s="3" t="str">
        <f>"AC007686.1"</f>
        <v>AC007686.1</v>
      </c>
      <c r="I4148" s="3" t="str">
        <f>"processed_pseudogene"</f>
        <v>processed_pseudogene</v>
      </c>
    </row>
    <row r="4149" spans="1:9" x14ac:dyDescent="0.2">
      <c r="A4149" s="3" t="str">
        <f>"ENSG00000177108.5"</f>
        <v>ENSG00000177108.5</v>
      </c>
      <c r="B4149" s="3">
        <v>18.676809104306901</v>
      </c>
      <c r="C4149" s="3">
        <v>6.1572676378607003</v>
      </c>
      <c r="D4149" s="3">
        <v>1.61703126446194</v>
      </c>
      <c r="E4149" s="3">
        <v>3.8077604145208102</v>
      </c>
      <c r="F4149" s="3">
        <v>1.40231034511139E-4</v>
      </c>
      <c r="G4149" s="3">
        <v>7.7628504618549601E-4</v>
      </c>
      <c r="H4149" s="3" t="str">
        <f>"ZDHHC22"</f>
        <v>ZDHHC22</v>
      </c>
      <c r="I4149" s="3" t="str">
        <f>"protein_coding"</f>
        <v>protein_coding</v>
      </c>
    </row>
    <row r="4150" spans="1:9" x14ac:dyDescent="0.2">
      <c r="A4150" s="3" t="str">
        <f>"ENSG00000100593.18"</f>
        <v>ENSG00000100593.18</v>
      </c>
      <c r="B4150" s="3">
        <v>892.46309624704395</v>
      </c>
      <c r="C4150" s="3">
        <v>-2.4581330444309502</v>
      </c>
      <c r="D4150" s="3">
        <v>0.21579382289926599</v>
      </c>
      <c r="E4150" s="3">
        <v>-11.3911186678333</v>
      </c>
      <c r="F4150" s="4">
        <v>4.63006842479574E-30</v>
      </c>
      <c r="G4150" s="4">
        <v>3.6461119760234E-28</v>
      </c>
      <c r="H4150" s="3" t="str">
        <f>"ISM2"</f>
        <v>ISM2</v>
      </c>
      <c r="I4150" s="3" t="str">
        <f>"protein_coding"</f>
        <v>protein_coding</v>
      </c>
    </row>
    <row r="4151" spans="1:9" x14ac:dyDescent="0.2">
      <c r="A4151" s="3" t="str">
        <f>"ENSG00000021645.18"</f>
        <v>ENSG00000021645.18</v>
      </c>
      <c r="B4151" s="3">
        <v>16.445542184177999</v>
      </c>
      <c r="C4151" s="3">
        <v>2.8045387233836201</v>
      </c>
      <c r="D4151" s="3">
        <v>0.92189347581207304</v>
      </c>
      <c r="E4151" s="3">
        <v>3.0421505271128702</v>
      </c>
      <c r="F4151" s="3">
        <v>2.34894397651771E-3</v>
      </c>
      <c r="G4151" s="3">
        <v>9.2487971861529E-3</v>
      </c>
      <c r="H4151" s="3" t="str">
        <f>"NRXN3"</f>
        <v>NRXN3</v>
      </c>
      <c r="I4151" s="3" t="str">
        <f>"protein_coding"</f>
        <v>protein_coding</v>
      </c>
    </row>
    <row r="4152" spans="1:9" x14ac:dyDescent="0.2">
      <c r="A4152" s="3" t="str">
        <f>"ENSG00000284959.1"</f>
        <v>ENSG00000284959.1</v>
      </c>
      <c r="B4152" s="3">
        <v>14.4670969262061</v>
      </c>
      <c r="C4152" s="3">
        <v>4.1392387019064696</v>
      </c>
      <c r="D4152" s="3">
        <v>1.1733031474625599</v>
      </c>
      <c r="E4152" s="3">
        <v>3.5278510168989099</v>
      </c>
      <c r="F4152" s="3">
        <v>4.1894788205639301E-4</v>
      </c>
      <c r="G4152" s="3">
        <v>2.0515947056776698E-3</v>
      </c>
      <c r="H4152" s="3" t="str">
        <f>"AC007262.2"</f>
        <v>AC007262.2</v>
      </c>
      <c r="I4152" s="3" t="str">
        <f>"antisense"</f>
        <v>antisense</v>
      </c>
    </row>
    <row r="4153" spans="1:9" x14ac:dyDescent="0.2">
      <c r="A4153" s="3" t="str">
        <f>"ENSG00000185070.11"</f>
        <v>ENSG00000185070.11</v>
      </c>
      <c r="B4153" s="3">
        <v>3808.3787876985498</v>
      </c>
      <c r="C4153" s="3">
        <v>2.0529948847810302</v>
      </c>
      <c r="D4153" s="3">
        <v>0.19747813213288101</v>
      </c>
      <c r="E4153" s="3">
        <v>10.396061896107</v>
      </c>
      <c r="F4153" s="4">
        <v>2.5839253908058998E-25</v>
      </c>
      <c r="G4153" s="4">
        <v>1.4821940025955401E-23</v>
      </c>
      <c r="H4153" s="3" t="str">
        <f>"FLRT2"</f>
        <v>FLRT2</v>
      </c>
      <c r="I4153" s="3" t="str">
        <f>"protein_coding"</f>
        <v>protein_coding</v>
      </c>
    </row>
    <row r="4154" spans="1:9" x14ac:dyDescent="0.2">
      <c r="A4154" s="3" t="str">
        <f>"ENSG00000100433.15"</f>
        <v>ENSG00000100433.15</v>
      </c>
      <c r="B4154" s="3">
        <v>27.013948609181799</v>
      </c>
      <c r="C4154" s="3">
        <v>5.6807163963260701</v>
      </c>
      <c r="D4154" s="3">
        <v>1.19316207246896</v>
      </c>
      <c r="E4154" s="3">
        <v>4.7610601505051102</v>
      </c>
      <c r="F4154" s="4">
        <v>1.9257863487046601E-6</v>
      </c>
      <c r="G4154" s="4">
        <v>1.5667930917633901E-5</v>
      </c>
      <c r="H4154" s="3" t="str">
        <f>"KCNK10"</f>
        <v>KCNK10</v>
      </c>
      <c r="I4154" s="3" t="str">
        <f>"protein_coding"</f>
        <v>protein_coding</v>
      </c>
    </row>
    <row r="4155" spans="1:9" x14ac:dyDescent="0.2">
      <c r="A4155" s="3" t="str">
        <f>"ENSG00000042317.17"</f>
        <v>ENSG00000042317.17</v>
      </c>
      <c r="B4155" s="3">
        <v>634.98046883621498</v>
      </c>
      <c r="C4155" s="3">
        <v>2.9214788485379799</v>
      </c>
      <c r="D4155" s="3">
        <v>0.23911291677101601</v>
      </c>
      <c r="E4155" s="3">
        <v>12.2179884214942</v>
      </c>
      <c r="F4155" s="4">
        <v>2.4917411926205402E-34</v>
      </c>
      <c r="G4155" s="4">
        <v>2.5145360101974799E-32</v>
      </c>
      <c r="H4155" s="3" t="str">
        <f>"SPATA7"</f>
        <v>SPATA7</v>
      </c>
      <c r="I4155" s="3" t="str">
        <f>"protein_coding"</f>
        <v>protein_coding</v>
      </c>
    </row>
    <row r="4156" spans="1:9" x14ac:dyDescent="0.2">
      <c r="A4156" s="3" t="str">
        <f>"ENSG00000165521.15"</f>
        <v>ENSG00000165521.15</v>
      </c>
      <c r="B4156" s="3">
        <v>20.4073501492724</v>
      </c>
      <c r="C4156" s="3">
        <v>3.1535364094584799</v>
      </c>
      <c r="D4156" s="3">
        <v>0.86271187311731101</v>
      </c>
      <c r="E4156" s="3">
        <v>3.6553761548030401</v>
      </c>
      <c r="F4156" s="3">
        <v>2.5680515898583701E-4</v>
      </c>
      <c r="G4156" s="3">
        <v>1.3257237906190099E-3</v>
      </c>
      <c r="H4156" s="3" t="str">
        <f>"AL121768.1"</f>
        <v>AL121768.1</v>
      </c>
      <c r="I4156" s="3" t="str">
        <f>"protein_coding"</f>
        <v>protein_coding</v>
      </c>
    </row>
    <row r="4157" spans="1:9" x14ac:dyDescent="0.2">
      <c r="A4157" s="3" t="str">
        <f>"ENSG00000258920.1"</f>
        <v>ENSG00000258920.1</v>
      </c>
      <c r="B4157" s="3">
        <v>71.697691967991901</v>
      </c>
      <c r="C4157" s="3">
        <v>1.4119172841502901</v>
      </c>
      <c r="D4157" s="3">
        <v>0.44514306186443697</v>
      </c>
      <c r="E4157" s="3">
        <v>3.1718281269770099</v>
      </c>
      <c r="F4157" s="3">
        <v>1.51482630311382E-3</v>
      </c>
      <c r="G4157" s="3">
        <v>6.3352988919328302E-3</v>
      </c>
      <c r="H4157" s="3" t="str">
        <f>"FOXN3-AS1"</f>
        <v>FOXN3-AS1</v>
      </c>
      <c r="I4157" s="3" t="str">
        <f>"antisense"</f>
        <v>antisense</v>
      </c>
    </row>
    <row r="4158" spans="1:9" x14ac:dyDescent="0.2">
      <c r="A4158" s="3" t="str">
        <f>"ENSG00000152315.5"</f>
        <v>ENSG00000152315.5</v>
      </c>
      <c r="B4158" s="3">
        <v>14.0802952436285</v>
      </c>
      <c r="C4158" s="3">
        <v>2.7575941563777202</v>
      </c>
      <c r="D4158" s="3">
        <v>0.99966300340871905</v>
      </c>
      <c r="E4158" s="3">
        <v>2.7585237694850102</v>
      </c>
      <c r="F4158" s="3">
        <v>5.8063082363339303E-3</v>
      </c>
      <c r="G4158" s="3">
        <v>2.0165460516304801E-2</v>
      </c>
      <c r="H4158" s="3" t="str">
        <f>"KCNK13"</f>
        <v>KCNK13</v>
      </c>
      <c r="I4158" s="3" t="str">
        <f>"protein_coding"</f>
        <v>protein_coding</v>
      </c>
    </row>
    <row r="4159" spans="1:9" x14ac:dyDescent="0.2">
      <c r="A4159" s="3" t="str">
        <f>"ENSG00000119720.18"</f>
        <v>ENSG00000119720.18</v>
      </c>
      <c r="B4159" s="3">
        <v>938.46311702928097</v>
      </c>
      <c r="C4159" s="3">
        <v>-1.08233900877366</v>
      </c>
      <c r="D4159" s="3">
        <v>0.198941205716029</v>
      </c>
      <c r="E4159" s="3">
        <v>-5.4404968788547396</v>
      </c>
      <c r="F4159" s="4">
        <v>5.3132170793914098E-8</v>
      </c>
      <c r="G4159" s="4">
        <v>5.6616826657089497E-7</v>
      </c>
      <c r="H4159" s="3" t="str">
        <f>"NRDE2"</f>
        <v>NRDE2</v>
      </c>
      <c r="I4159" s="3" t="str">
        <f>"protein_coding"</f>
        <v>protein_coding</v>
      </c>
    </row>
    <row r="4160" spans="1:9" x14ac:dyDescent="0.2">
      <c r="A4160" s="3" t="str">
        <f>"ENSG00000259163.1"</f>
        <v>ENSG00000259163.1</v>
      </c>
      <c r="B4160" s="3">
        <v>10.9372215895621</v>
      </c>
      <c r="C4160" s="3">
        <v>6.8471745393496901</v>
      </c>
      <c r="D4160" s="3">
        <v>1.7379365666843001</v>
      </c>
      <c r="E4160" s="3">
        <v>3.9398299515689401</v>
      </c>
      <c r="F4160" s="4">
        <v>8.1539385622998899E-5</v>
      </c>
      <c r="G4160" s="3">
        <v>4.7706756282367402E-4</v>
      </c>
      <c r="H4160" s="3" t="str">
        <f>"AL096869.2"</f>
        <v>AL096869.2</v>
      </c>
      <c r="I4160" s="3" t="str">
        <f>"antisense"</f>
        <v>antisense</v>
      </c>
    </row>
    <row r="4161" spans="1:9" x14ac:dyDescent="0.2">
      <c r="A4161" s="3" t="str">
        <f>"ENSG00000100784.12"</f>
        <v>ENSG00000100784.12</v>
      </c>
      <c r="B4161" s="3">
        <v>172.83528981860999</v>
      </c>
      <c r="C4161" s="3">
        <v>1.4612177774480399</v>
      </c>
      <c r="D4161" s="3">
        <v>0.31442152083288399</v>
      </c>
      <c r="E4161" s="3">
        <v>4.64732112985575</v>
      </c>
      <c r="F4161" s="4">
        <v>3.3627346033724398E-6</v>
      </c>
      <c r="G4161" s="4">
        <v>2.6260942888532201E-5</v>
      </c>
      <c r="H4161" s="3" t="str">
        <f>"RPS6KA5"</f>
        <v>RPS6KA5</v>
      </c>
      <c r="I4161" s="3" t="str">
        <f>"protein_coding"</f>
        <v>protein_coding</v>
      </c>
    </row>
    <row r="4162" spans="1:9" x14ac:dyDescent="0.2">
      <c r="A4162" s="3" t="str">
        <f>"ENSG00000221102.1"</f>
        <v>ENSG00000221102.1</v>
      </c>
      <c r="B4162" s="3">
        <v>24.474373373512201</v>
      </c>
      <c r="C4162" s="3">
        <v>1.8978946695244201</v>
      </c>
      <c r="D4162" s="3">
        <v>0.72348608177440998</v>
      </c>
      <c r="E4162" s="3">
        <v>2.62326355314213</v>
      </c>
      <c r="F4162" s="3">
        <v>8.7091872994610395E-3</v>
      </c>
      <c r="G4162" s="3">
        <v>2.836471746933E-2</v>
      </c>
      <c r="H4162" s="3" t="str">
        <f>"SNORA11B"</f>
        <v>SNORA11B</v>
      </c>
      <c r="I4162" s="3" t="str">
        <f>"snoRNA"</f>
        <v>snoRNA</v>
      </c>
    </row>
    <row r="4163" spans="1:9" x14ac:dyDescent="0.2">
      <c r="A4163" s="3" t="str">
        <f>"ENSG00000015133.19"</f>
        <v>ENSG00000015133.19</v>
      </c>
      <c r="B4163" s="3">
        <v>1601.16094916558</v>
      </c>
      <c r="C4163" s="3">
        <v>-1.6189910717729801</v>
      </c>
      <c r="D4163" s="3">
        <v>0.194677139351041</v>
      </c>
      <c r="E4163" s="3">
        <v>-8.31628755779907</v>
      </c>
      <c r="F4163" s="4">
        <v>9.0761456058244102E-17</v>
      </c>
      <c r="G4163" s="4">
        <v>2.66772102828369E-15</v>
      </c>
      <c r="H4163" s="3" t="str">
        <f>"CCDC88C"</f>
        <v>CCDC88C</v>
      </c>
      <c r="I4163" s="3" t="str">
        <f t="shared" ref="I4163:I4175" si="194">"protein_coding"</f>
        <v>protein_coding</v>
      </c>
    </row>
    <row r="4164" spans="1:9" x14ac:dyDescent="0.2">
      <c r="A4164" s="3" t="str">
        <f>"ENSG00000133962.7"</f>
        <v>ENSG00000133962.7</v>
      </c>
      <c r="B4164" s="3">
        <v>7.3045623581013004</v>
      </c>
      <c r="C4164" s="3">
        <v>6.2660001736162201</v>
      </c>
      <c r="D4164" s="3">
        <v>1.8664868521764999</v>
      </c>
      <c r="E4164" s="3">
        <v>3.35710919490778</v>
      </c>
      <c r="F4164" s="3">
        <v>7.8762000251612603E-4</v>
      </c>
      <c r="G4164" s="3">
        <v>3.5838814643548598E-3</v>
      </c>
      <c r="H4164" s="3" t="str">
        <f>"CATSPERB"</f>
        <v>CATSPERB</v>
      </c>
      <c r="I4164" s="3" t="str">
        <f t="shared" si="194"/>
        <v>protein_coding</v>
      </c>
    </row>
    <row r="4165" spans="1:9" x14ac:dyDescent="0.2">
      <c r="A4165" s="3" t="str">
        <f>"ENSG00000165929.13"</f>
        <v>ENSG00000165929.13</v>
      </c>
      <c r="B4165" s="3">
        <v>12.5499875800787</v>
      </c>
      <c r="C4165" s="3">
        <v>3.123051785565</v>
      </c>
      <c r="D4165" s="3">
        <v>1.1144240822034199</v>
      </c>
      <c r="E4165" s="3">
        <v>2.80239079129566</v>
      </c>
      <c r="F4165" s="3">
        <v>5.0725387116587898E-3</v>
      </c>
      <c r="G4165" s="3">
        <v>1.7943334811251099E-2</v>
      </c>
      <c r="H4165" s="3" t="str">
        <f>"TC2N"</f>
        <v>TC2N</v>
      </c>
      <c r="I4165" s="3" t="str">
        <f t="shared" si="194"/>
        <v>protein_coding</v>
      </c>
    </row>
    <row r="4166" spans="1:9" x14ac:dyDescent="0.2">
      <c r="A4166" s="3" t="str">
        <f>"ENSG00000066427.22"</f>
        <v>ENSG00000066427.22</v>
      </c>
      <c r="B4166" s="3">
        <v>1114.8361305851599</v>
      </c>
      <c r="C4166" s="3">
        <v>1.3974836192890201</v>
      </c>
      <c r="D4166" s="3">
        <v>0.21744935308452301</v>
      </c>
      <c r="E4166" s="3">
        <v>6.4267085620890096</v>
      </c>
      <c r="F4166" s="4">
        <v>1.30396474868256E-10</v>
      </c>
      <c r="G4166" s="4">
        <v>1.9948976702613001E-9</v>
      </c>
      <c r="H4166" s="3" t="str">
        <f>"ATXN3"</f>
        <v>ATXN3</v>
      </c>
      <c r="I4166" s="3" t="str">
        <f t="shared" si="194"/>
        <v>protein_coding</v>
      </c>
    </row>
    <row r="4167" spans="1:9" x14ac:dyDescent="0.2">
      <c r="A4167" s="3" t="str">
        <f>"ENSG00000140090.17"</f>
        <v>ENSG00000140090.17</v>
      </c>
      <c r="B4167" s="3">
        <v>22.647466541557399</v>
      </c>
      <c r="C4167" s="3">
        <v>7.89830176371958</v>
      </c>
      <c r="D4167" s="3">
        <v>1.5964710940481699</v>
      </c>
      <c r="E4167" s="3">
        <v>4.9473503110487798</v>
      </c>
      <c r="F4167" s="4">
        <v>7.52305153835455E-7</v>
      </c>
      <c r="G4167" s="4">
        <v>6.5741047230771797E-6</v>
      </c>
      <c r="H4167" s="3" t="str">
        <f>"SLC24A4"</f>
        <v>SLC24A4</v>
      </c>
      <c r="I4167" s="3" t="str">
        <f t="shared" si="194"/>
        <v>protein_coding</v>
      </c>
    </row>
    <row r="4168" spans="1:9" x14ac:dyDescent="0.2">
      <c r="A4168" s="3" t="str">
        <f>"ENSG00000165943.5"</f>
        <v>ENSG00000165943.5</v>
      </c>
      <c r="B4168" s="3">
        <v>890.08699818254104</v>
      </c>
      <c r="C4168" s="3">
        <v>1.4751137534908201</v>
      </c>
      <c r="D4168" s="3">
        <v>0.21716494645829901</v>
      </c>
      <c r="E4168" s="3">
        <v>6.7925960314873999</v>
      </c>
      <c r="F4168" s="4">
        <v>1.10133455612596E-11</v>
      </c>
      <c r="G4168" s="4">
        <v>1.9385053391966401E-10</v>
      </c>
      <c r="H4168" s="3" t="str">
        <f>"MOAP1"</f>
        <v>MOAP1</v>
      </c>
      <c r="I4168" s="3" t="str">
        <f t="shared" si="194"/>
        <v>protein_coding</v>
      </c>
    </row>
    <row r="4169" spans="1:9" x14ac:dyDescent="0.2">
      <c r="A4169" s="3" t="str">
        <f>"ENSG00000133958.13"</f>
        <v>ENSG00000133958.13</v>
      </c>
      <c r="B4169" s="3">
        <v>40.7147109262282</v>
      </c>
      <c r="C4169" s="3">
        <v>3.1483372548406998</v>
      </c>
      <c r="D4169" s="3">
        <v>0.62097165562615797</v>
      </c>
      <c r="E4169" s="3">
        <v>5.0700176510730799</v>
      </c>
      <c r="F4169" s="4">
        <v>3.9777880923663297E-7</v>
      </c>
      <c r="G4169" s="4">
        <v>3.65417370710402E-6</v>
      </c>
      <c r="H4169" s="3" t="str">
        <f>"UNC79"</f>
        <v>UNC79</v>
      </c>
      <c r="I4169" s="3" t="str">
        <f t="shared" si="194"/>
        <v>protein_coding</v>
      </c>
    </row>
    <row r="4170" spans="1:9" x14ac:dyDescent="0.2">
      <c r="A4170" s="3" t="str">
        <f>"ENSG00000140067.6"</f>
        <v>ENSG00000140067.6</v>
      </c>
      <c r="B4170" s="3">
        <v>97.517608959106695</v>
      </c>
      <c r="C4170" s="3">
        <v>5.7291609280835099</v>
      </c>
      <c r="D4170" s="3">
        <v>0.65402421683590095</v>
      </c>
      <c r="E4170" s="3">
        <v>8.7598605381931893</v>
      </c>
      <c r="F4170" s="4">
        <v>1.95492089398269E-18</v>
      </c>
      <c r="G4170" s="4">
        <v>6.5922932671220703E-17</v>
      </c>
      <c r="H4170" s="3" t="str">
        <f>"FAM181A"</f>
        <v>FAM181A</v>
      </c>
      <c r="I4170" s="3" t="str">
        <f t="shared" si="194"/>
        <v>protein_coding</v>
      </c>
    </row>
    <row r="4171" spans="1:9" x14ac:dyDescent="0.2">
      <c r="A4171" s="3" t="str">
        <f>"ENSG00000089723.10"</f>
        <v>ENSG00000089723.10</v>
      </c>
      <c r="B4171" s="3">
        <v>501.18688022306901</v>
      </c>
      <c r="C4171" s="3">
        <v>1.8300257055834099</v>
      </c>
      <c r="D4171" s="3">
        <v>0.23045293292706201</v>
      </c>
      <c r="E4171" s="3">
        <v>7.9409955097538596</v>
      </c>
      <c r="F4171" s="4">
        <v>2.0056493741583101E-15</v>
      </c>
      <c r="G4171" s="4">
        <v>5.2194774114318499E-14</v>
      </c>
      <c r="H4171" s="3" t="str">
        <f>"OTUB2"</f>
        <v>OTUB2</v>
      </c>
      <c r="I4171" s="3" t="str">
        <f t="shared" si="194"/>
        <v>protein_coding</v>
      </c>
    </row>
    <row r="4172" spans="1:9" x14ac:dyDescent="0.2">
      <c r="A4172" s="3" t="str">
        <f>"ENSG00000119632.4"</f>
        <v>ENSG00000119632.4</v>
      </c>
      <c r="B4172" s="3">
        <v>27.877249872024102</v>
      </c>
      <c r="C4172" s="3">
        <v>1.6562832504706999</v>
      </c>
      <c r="D4172" s="3">
        <v>0.68393669516919997</v>
      </c>
      <c r="E4172" s="3">
        <v>2.4216908701776099</v>
      </c>
      <c r="F4172" s="3">
        <v>1.5448485831293501E-2</v>
      </c>
      <c r="G4172" s="3">
        <v>4.5688146471861001E-2</v>
      </c>
      <c r="H4172" s="3" t="str">
        <f>"IFI27L2"</f>
        <v>IFI27L2</v>
      </c>
      <c r="I4172" s="3" t="str">
        <f t="shared" si="194"/>
        <v>protein_coding</v>
      </c>
    </row>
    <row r="4173" spans="1:9" x14ac:dyDescent="0.2">
      <c r="A4173" s="3" t="str">
        <f>"ENSG00000170099.6"</f>
        <v>ENSG00000170099.6</v>
      </c>
      <c r="B4173" s="3">
        <v>4658.9735245124402</v>
      </c>
      <c r="C4173" s="3">
        <v>1.1996217830837199</v>
      </c>
      <c r="D4173" s="3">
        <v>0.21121600718233</v>
      </c>
      <c r="E4173" s="3">
        <v>5.6795969163840603</v>
      </c>
      <c r="F4173" s="4">
        <v>1.35012532820531E-8</v>
      </c>
      <c r="G4173" s="4">
        <v>1.5788353998974199E-7</v>
      </c>
      <c r="H4173" s="3" t="str">
        <f>"SERPINA6"</f>
        <v>SERPINA6</v>
      </c>
      <c r="I4173" s="3" t="str">
        <f t="shared" si="194"/>
        <v>protein_coding</v>
      </c>
    </row>
    <row r="4174" spans="1:9" x14ac:dyDescent="0.2">
      <c r="A4174" s="3" t="str">
        <f>"ENSG00000186910.4"</f>
        <v>ENSG00000186910.4</v>
      </c>
      <c r="B4174" s="3">
        <v>1169.0550175650301</v>
      </c>
      <c r="C4174" s="3">
        <v>-1.2184193742015801</v>
      </c>
      <c r="D4174" s="3">
        <v>0.22405715139587201</v>
      </c>
      <c r="E4174" s="3">
        <v>-5.4379847579550704</v>
      </c>
      <c r="F4174" s="4">
        <v>5.3886583094824102E-8</v>
      </c>
      <c r="G4174" s="4">
        <v>5.7353426936901298E-7</v>
      </c>
      <c r="H4174" s="3" t="str">
        <f>"SERPINA11"</f>
        <v>SERPINA11</v>
      </c>
      <c r="I4174" s="3" t="str">
        <f t="shared" si="194"/>
        <v>protein_coding</v>
      </c>
    </row>
    <row r="4175" spans="1:9" x14ac:dyDescent="0.2">
      <c r="A4175" s="3" t="str">
        <f>"ENSG00000176438.12"</f>
        <v>ENSG00000176438.12</v>
      </c>
      <c r="B4175" s="3">
        <v>2209.0173852999601</v>
      </c>
      <c r="C4175" s="3">
        <v>1.7037115366731701</v>
      </c>
      <c r="D4175" s="3">
        <v>0.185913142001399</v>
      </c>
      <c r="E4175" s="3">
        <v>9.1640188441350396</v>
      </c>
      <c r="F4175" s="4">
        <v>4.9999732130886997E-20</v>
      </c>
      <c r="G4175" s="4">
        <v>1.9296638829607301E-18</v>
      </c>
      <c r="H4175" s="3" t="str">
        <f>"SYNE3"</f>
        <v>SYNE3</v>
      </c>
      <c r="I4175" s="3" t="str">
        <f t="shared" si="194"/>
        <v>protein_coding</v>
      </c>
    </row>
    <row r="4176" spans="1:9" x14ac:dyDescent="0.2">
      <c r="A4176" s="3" t="str">
        <f>"ENSG00000258572.1"</f>
        <v>ENSG00000258572.1</v>
      </c>
      <c r="B4176" s="3">
        <v>11.440925894851601</v>
      </c>
      <c r="C4176" s="3">
        <v>2.6647337394684798</v>
      </c>
      <c r="D4176" s="3">
        <v>1.1171553611818801</v>
      </c>
      <c r="E4176" s="3">
        <v>2.3852848333013799</v>
      </c>
      <c r="F4176" s="3">
        <v>1.70659022819485E-2</v>
      </c>
      <c r="G4176" s="3">
        <v>4.9633111687531803E-2</v>
      </c>
      <c r="H4176" s="3" t="str">
        <f>"AL133467.1"</f>
        <v>AL133467.1</v>
      </c>
      <c r="I4176" s="3" t="str">
        <f>"lincRNA"</f>
        <v>lincRNA</v>
      </c>
    </row>
    <row r="4177" spans="1:9" x14ac:dyDescent="0.2">
      <c r="A4177" s="3" t="str">
        <f>"ENSG00000247092.6"</f>
        <v>ENSG00000247092.6</v>
      </c>
      <c r="B4177" s="3">
        <v>620.42351184493896</v>
      </c>
      <c r="C4177" s="3">
        <v>-1.51012953431344</v>
      </c>
      <c r="D4177" s="3">
        <v>0.250551341658802</v>
      </c>
      <c r="E4177" s="3">
        <v>-6.0272258943634602</v>
      </c>
      <c r="F4177" s="4">
        <v>1.66797799787429E-9</v>
      </c>
      <c r="G4177" s="4">
        <v>2.1976497344333101E-8</v>
      </c>
      <c r="H4177" s="3" t="str">
        <f>"SNHG10"</f>
        <v>SNHG10</v>
      </c>
      <c r="I4177" s="3" t="str">
        <f>"antisense"</f>
        <v>antisense</v>
      </c>
    </row>
    <row r="4178" spans="1:9" x14ac:dyDescent="0.2">
      <c r="A4178" s="3" t="str">
        <f>"ENSG00000258702.2"</f>
        <v>ENSG00000258702.2</v>
      </c>
      <c r="B4178" s="3">
        <v>4.0735280698875203</v>
      </c>
      <c r="C4178" s="3">
        <v>5.4212402584095702</v>
      </c>
      <c r="D4178" s="3">
        <v>2.1434463209324499</v>
      </c>
      <c r="E4178" s="3">
        <v>2.52921671304146</v>
      </c>
      <c r="F4178" s="3">
        <v>1.1431741709104999E-2</v>
      </c>
      <c r="G4178" s="3">
        <v>3.5553095120189997E-2</v>
      </c>
      <c r="H4178" s="3" t="str">
        <f>"AL137786.1"</f>
        <v>AL137786.1</v>
      </c>
      <c r="I4178" s="3" t="str">
        <f>"processed_transcript"</f>
        <v>processed_transcript</v>
      </c>
    </row>
    <row r="4179" spans="1:9" x14ac:dyDescent="0.2">
      <c r="A4179" s="3" t="str">
        <f>"ENSG00000258383.1"</f>
        <v>ENSG00000258383.1</v>
      </c>
      <c r="B4179" s="3">
        <v>9.8712875983021497</v>
      </c>
      <c r="C4179" s="3">
        <v>6.6976096981378701</v>
      </c>
      <c r="D4179" s="3">
        <v>1.77123875103644</v>
      </c>
      <c r="E4179" s="3">
        <v>3.7813138935780302</v>
      </c>
      <c r="F4179" s="3">
        <v>1.5600282380696999E-4</v>
      </c>
      <c r="G4179" s="3">
        <v>8.5456552880347903E-4</v>
      </c>
      <c r="H4179" s="3" t="str">
        <f>"AL132819.1"</f>
        <v>AL132819.1</v>
      </c>
      <c r="I4179" s="3" t="str">
        <f>"lincRNA"</f>
        <v>lincRNA</v>
      </c>
    </row>
    <row r="4180" spans="1:9" x14ac:dyDescent="0.2">
      <c r="A4180" s="3" t="str">
        <f>"ENSG00000090061.17"</f>
        <v>ENSG00000090061.17</v>
      </c>
      <c r="B4180" s="3">
        <v>5376.0500191647598</v>
      </c>
      <c r="C4180" s="3">
        <v>1.5243446839119901</v>
      </c>
      <c r="D4180" s="3">
        <v>0.17506685224080501</v>
      </c>
      <c r="E4180" s="3">
        <v>8.7072147833860107</v>
      </c>
      <c r="F4180" s="4">
        <v>3.11432623322895E-18</v>
      </c>
      <c r="G4180" s="4">
        <v>1.0285581439610801E-16</v>
      </c>
      <c r="H4180" s="3" t="str">
        <f>"CCNK"</f>
        <v>CCNK</v>
      </c>
      <c r="I4180" s="3" t="str">
        <f t="shared" ref="I4180:I4185" si="195">"protein_coding"</f>
        <v>protein_coding</v>
      </c>
    </row>
    <row r="4181" spans="1:9" x14ac:dyDescent="0.2">
      <c r="A4181" s="3" t="str">
        <f>"ENSG00000205476.9"</f>
        <v>ENSG00000205476.9</v>
      </c>
      <c r="B4181" s="3">
        <v>2744.2551635824202</v>
      </c>
      <c r="C4181" s="3">
        <v>-2.3408076755259102</v>
      </c>
      <c r="D4181" s="3">
        <v>0.21253076694300399</v>
      </c>
      <c r="E4181" s="3">
        <v>-11.013970867350499</v>
      </c>
      <c r="F4181" s="4">
        <v>3.2725497494357699E-28</v>
      </c>
      <c r="G4181" s="4">
        <v>2.2403809804742901E-26</v>
      </c>
      <c r="H4181" s="3" t="str">
        <f>"CCDC85C"</f>
        <v>CCDC85C</v>
      </c>
      <c r="I4181" s="3" t="str">
        <f t="shared" si="195"/>
        <v>protein_coding</v>
      </c>
    </row>
    <row r="4182" spans="1:9" x14ac:dyDescent="0.2">
      <c r="A4182" s="3" t="str">
        <f>"ENSG00000168350.8"</f>
        <v>ENSG00000168350.8</v>
      </c>
      <c r="B4182" s="3">
        <v>77.345402391650396</v>
      </c>
      <c r="C4182" s="3">
        <v>3.8840175908460099</v>
      </c>
      <c r="D4182" s="3">
        <v>0.520525952760727</v>
      </c>
      <c r="E4182" s="3">
        <v>7.4617174614373099</v>
      </c>
      <c r="F4182" s="4">
        <v>8.5401865525392905E-14</v>
      </c>
      <c r="G4182" s="4">
        <v>1.9136057812256399E-12</v>
      </c>
      <c r="H4182" s="3" t="str">
        <f>"DEGS2"</f>
        <v>DEGS2</v>
      </c>
      <c r="I4182" s="3" t="str">
        <f t="shared" si="195"/>
        <v>protein_coding</v>
      </c>
    </row>
    <row r="4183" spans="1:9" x14ac:dyDescent="0.2">
      <c r="A4183" s="3" t="str">
        <f>"ENSG00000197119.13"</f>
        <v>ENSG00000197119.13</v>
      </c>
      <c r="B4183" s="3">
        <v>607.61969475986905</v>
      </c>
      <c r="C4183" s="3">
        <v>1.20402051092943</v>
      </c>
      <c r="D4183" s="3">
        <v>0.24562275484652399</v>
      </c>
      <c r="E4183" s="3">
        <v>4.9019094818057702</v>
      </c>
      <c r="F4183" s="4">
        <v>9.4909569533170202E-7</v>
      </c>
      <c r="G4183" s="4">
        <v>8.1887303390446108E-6</v>
      </c>
      <c r="H4183" s="3" t="str">
        <f>"SLC25A29"</f>
        <v>SLC25A29</v>
      </c>
      <c r="I4183" s="3" t="str">
        <f t="shared" si="195"/>
        <v>protein_coding</v>
      </c>
    </row>
    <row r="4184" spans="1:9" x14ac:dyDescent="0.2">
      <c r="A4184" s="3" t="str">
        <f>"ENSG00000140107.11"</f>
        <v>ENSG00000140107.11</v>
      </c>
      <c r="B4184" s="3">
        <v>203.739254248533</v>
      </c>
      <c r="C4184" s="3">
        <v>4.7111689872881897</v>
      </c>
      <c r="D4184" s="3">
        <v>0.389166604834838</v>
      </c>
      <c r="E4184" s="3">
        <v>12.105789471035401</v>
      </c>
      <c r="F4184" s="4">
        <v>9.8417909935336307E-34</v>
      </c>
      <c r="G4184" s="4">
        <v>9.6114436989537897E-32</v>
      </c>
      <c r="H4184" s="3" t="str">
        <f>"SLC25A47"</f>
        <v>SLC25A47</v>
      </c>
      <c r="I4184" s="3" t="str">
        <f t="shared" si="195"/>
        <v>protein_coding</v>
      </c>
    </row>
    <row r="4185" spans="1:9" x14ac:dyDescent="0.2">
      <c r="A4185" s="3" t="str">
        <f>"ENSG00000183092.16"</f>
        <v>ENSG00000183092.16</v>
      </c>
      <c r="B4185" s="3">
        <v>16.7194533245328</v>
      </c>
      <c r="C4185" s="3">
        <v>3.5720611944581999</v>
      </c>
      <c r="D4185" s="3">
        <v>1.01378570314163</v>
      </c>
      <c r="E4185" s="3">
        <v>3.5234874425519198</v>
      </c>
      <c r="F4185" s="3">
        <v>4.2590727856393098E-4</v>
      </c>
      <c r="G4185" s="3">
        <v>2.07969455538197E-3</v>
      </c>
      <c r="H4185" s="3" t="str">
        <f>"BEGAIN"</f>
        <v>BEGAIN</v>
      </c>
      <c r="I4185" s="3" t="str">
        <f t="shared" si="195"/>
        <v>protein_coding</v>
      </c>
    </row>
    <row r="4186" spans="1:9" x14ac:dyDescent="0.2">
      <c r="A4186" s="3" t="str">
        <f>"ENSG00000225746.11"</f>
        <v>ENSG00000225746.11</v>
      </c>
      <c r="B4186" s="3">
        <v>11.205668214968799</v>
      </c>
      <c r="C4186" s="3">
        <v>4.36339852086875</v>
      </c>
      <c r="D4186" s="3">
        <v>1.3947016791289299</v>
      </c>
      <c r="E4186" s="3">
        <v>3.1285532857420399</v>
      </c>
      <c r="F4186" s="3">
        <v>1.7566915555756401E-3</v>
      </c>
      <c r="G4186" s="3">
        <v>7.2226610554956298E-3</v>
      </c>
      <c r="H4186" s="3" t="str">
        <f>"MEG8"</f>
        <v>MEG8</v>
      </c>
      <c r="I4186" s="3" t="str">
        <f>"lincRNA"</f>
        <v>lincRNA</v>
      </c>
    </row>
    <row r="4187" spans="1:9" x14ac:dyDescent="0.2">
      <c r="A4187" s="3" t="str">
        <f>"ENSG00000258498.8"</f>
        <v>ENSG00000258498.8</v>
      </c>
      <c r="B4187" s="3">
        <v>16.5175524891363</v>
      </c>
      <c r="C4187" s="3">
        <v>7.44293254116036</v>
      </c>
      <c r="D4187" s="3">
        <v>1.6467510040985101</v>
      </c>
      <c r="E4187" s="3">
        <v>4.5197680296754399</v>
      </c>
      <c r="F4187" s="4">
        <v>6.19074259937304E-6</v>
      </c>
      <c r="G4187" s="4">
        <v>4.5874126626357703E-5</v>
      </c>
      <c r="H4187" s="3" t="str">
        <f>"DIO3OS"</f>
        <v>DIO3OS</v>
      </c>
      <c r="I4187" s="3" t="str">
        <f>"lincRNA"</f>
        <v>lincRNA</v>
      </c>
    </row>
    <row r="4188" spans="1:9" x14ac:dyDescent="0.2">
      <c r="A4188" s="3" t="str">
        <f>"ENSG00000140153.17"</f>
        <v>ENSG00000140153.17</v>
      </c>
      <c r="B4188" s="3">
        <v>2200.05072231755</v>
      </c>
      <c r="C4188" s="3">
        <v>1.29754124390055</v>
      </c>
      <c r="D4188" s="3">
        <v>0.17987604658268699</v>
      </c>
      <c r="E4188" s="3">
        <v>7.2135299199167298</v>
      </c>
      <c r="F4188" s="4">
        <v>5.4519737591151905E-13</v>
      </c>
      <c r="G4188" s="4">
        <v>1.1219783158203301E-11</v>
      </c>
      <c r="H4188" s="3" t="str">
        <f>"WDR20"</f>
        <v>WDR20</v>
      </c>
      <c r="I4188" s="3" t="str">
        <f t="shared" ref="I4188:I4205" si="196">"protein_coding"</f>
        <v>protein_coding</v>
      </c>
    </row>
    <row r="4189" spans="1:9" x14ac:dyDescent="0.2">
      <c r="A4189" s="3" t="str">
        <f>"ENSG00000156381.9"</f>
        <v>ENSG00000156381.9</v>
      </c>
      <c r="B4189" s="3">
        <v>240.509460511187</v>
      </c>
      <c r="C4189" s="3">
        <v>-1.3435619370345699</v>
      </c>
      <c r="D4189" s="3">
        <v>0.28841074692125501</v>
      </c>
      <c r="E4189" s="3">
        <v>-4.6585016382950801</v>
      </c>
      <c r="F4189" s="4">
        <v>3.1851927231995499E-6</v>
      </c>
      <c r="G4189" s="4">
        <v>2.49387776232811E-5</v>
      </c>
      <c r="H4189" s="3" t="str">
        <f>"ANKRD9"</f>
        <v>ANKRD9</v>
      </c>
      <c r="I4189" s="3" t="str">
        <f t="shared" si="196"/>
        <v>protein_coding</v>
      </c>
    </row>
    <row r="4190" spans="1:9" x14ac:dyDescent="0.2">
      <c r="A4190" s="3" t="str">
        <f>"ENSG00000166165.13"</f>
        <v>ENSG00000166165.13</v>
      </c>
      <c r="B4190" s="3">
        <v>5407.6544906722402</v>
      </c>
      <c r="C4190" s="3">
        <v>-1.6659459802490899</v>
      </c>
      <c r="D4190" s="3">
        <v>0.214420905318076</v>
      </c>
      <c r="E4190" s="3">
        <v>-7.7695128549979602</v>
      </c>
      <c r="F4190" s="4">
        <v>7.8788547234892294E-15</v>
      </c>
      <c r="G4190" s="4">
        <v>1.9167424522402801E-13</v>
      </c>
      <c r="H4190" s="3" t="str">
        <f>"CKB"</f>
        <v>CKB</v>
      </c>
      <c r="I4190" s="3" t="str">
        <f t="shared" si="196"/>
        <v>protein_coding</v>
      </c>
    </row>
    <row r="4191" spans="1:9" x14ac:dyDescent="0.2">
      <c r="A4191" s="3" t="str">
        <f>"ENSG00000166166.13"</f>
        <v>ENSG00000166166.13</v>
      </c>
      <c r="B4191" s="3">
        <v>758.08450638405895</v>
      </c>
      <c r="C4191" s="3">
        <v>-1.6597948669582401</v>
      </c>
      <c r="D4191" s="3">
        <v>0.23128297381205201</v>
      </c>
      <c r="E4191" s="3">
        <v>-7.1764680278931703</v>
      </c>
      <c r="F4191" s="4">
        <v>7.15353708689053E-13</v>
      </c>
      <c r="G4191" s="4">
        <v>1.44916301120079E-11</v>
      </c>
      <c r="H4191" s="3" t="str">
        <f>"TRMT61A"</f>
        <v>TRMT61A</v>
      </c>
      <c r="I4191" s="3" t="str">
        <f t="shared" si="196"/>
        <v>protein_coding</v>
      </c>
    </row>
    <row r="4192" spans="1:9" x14ac:dyDescent="0.2">
      <c r="A4192" s="3" t="str">
        <f>"ENSG00000126215.14"</f>
        <v>ENSG00000126215.14</v>
      </c>
      <c r="B4192" s="3">
        <v>753.93887159902897</v>
      </c>
      <c r="C4192" s="3">
        <v>-1.3626570777508999</v>
      </c>
      <c r="D4192" s="3">
        <v>0.22873290323479101</v>
      </c>
      <c r="E4192" s="3">
        <v>-5.9574160887213896</v>
      </c>
      <c r="F4192" s="4">
        <v>2.5625721213393399E-9</v>
      </c>
      <c r="G4192" s="4">
        <v>3.2888555153147903E-8</v>
      </c>
      <c r="H4192" s="3" t="str">
        <f>"XRCC3"</f>
        <v>XRCC3</v>
      </c>
      <c r="I4192" s="3" t="str">
        <f t="shared" si="196"/>
        <v>protein_coding</v>
      </c>
    </row>
    <row r="4193" spans="1:9" x14ac:dyDescent="0.2">
      <c r="A4193" s="3" t="str">
        <f>"ENSG00000156414.19"</f>
        <v>ENSG00000156414.19</v>
      </c>
      <c r="B4193" s="3">
        <v>10.568828960748901</v>
      </c>
      <c r="C4193" s="3">
        <v>6.7964142631009201</v>
      </c>
      <c r="D4193" s="3">
        <v>1.7506232326000499</v>
      </c>
      <c r="E4193" s="3">
        <v>3.88228268455389</v>
      </c>
      <c r="F4193" s="3">
        <v>1.03480481591609E-4</v>
      </c>
      <c r="G4193" s="3">
        <v>5.9072547285282998E-4</v>
      </c>
      <c r="H4193" s="3" t="str">
        <f>"TDRD9"</f>
        <v>TDRD9</v>
      </c>
      <c r="I4193" s="3" t="str">
        <f t="shared" si="196"/>
        <v>protein_coding</v>
      </c>
    </row>
    <row r="4194" spans="1:9" x14ac:dyDescent="0.2">
      <c r="A4194" s="3" t="str">
        <f>"ENSG00000166183.16"</f>
        <v>ENSG00000166183.16</v>
      </c>
      <c r="B4194" s="3">
        <v>404.52581713338901</v>
      </c>
      <c r="C4194" s="3">
        <v>9.6115427761358294</v>
      </c>
      <c r="D4194" s="3">
        <v>1.0465639207517099</v>
      </c>
      <c r="E4194" s="3">
        <v>9.1839041892751592</v>
      </c>
      <c r="F4194" s="4">
        <v>4.15738499613294E-20</v>
      </c>
      <c r="G4194" s="4">
        <v>1.62519754647969E-18</v>
      </c>
      <c r="H4194" s="3" t="str">
        <f>"ASPG"</f>
        <v>ASPG</v>
      </c>
      <c r="I4194" s="3" t="str">
        <f t="shared" si="196"/>
        <v>protein_coding</v>
      </c>
    </row>
    <row r="4195" spans="1:9" x14ac:dyDescent="0.2">
      <c r="A4195" s="3" t="str">
        <f>"ENSG00000203485.13"</f>
        <v>ENSG00000203485.13</v>
      </c>
      <c r="B4195" s="3">
        <v>2123.7578493176702</v>
      </c>
      <c r="C4195" s="3">
        <v>-1.16869597311241</v>
      </c>
      <c r="D4195" s="3">
        <v>0.214002179578555</v>
      </c>
      <c r="E4195" s="3">
        <v>-5.4611405146152103</v>
      </c>
      <c r="F4195" s="4">
        <v>4.7308540640046599E-8</v>
      </c>
      <c r="G4195" s="4">
        <v>5.0868816370140103E-7</v>
      </c>
      <c r="H4195" s="3" t="str">
        <f>"INF2"</f>
        <v>INF2</v>
      </c>
      <c r="I4195" s="3" t="str">
        <f t="shared" si="196"/>
        <v>protein_coding</v>
      </c>
    </row>
    <row r="4196" spans="1:9" x14ac:dyDescent="0.2">
      <c r="A4196" s="3" t="str">
        <f>"ENSG00000185100.10"</f>
        <v>ENSG00000185100.10</v>
      </c>
      <c r="B4196" s="3">
        <v>118.524212578906</v>
      </c>
      <c r="C4196" s="3">
        <v>1.7605385200364601</v>
      </c>
      <c r="D4196" s="3">
        <v>0.37825664193550701</v>
      </c>
      <c r="E4196" s="3">
        <v>4.6543492561767801</v>
      </c>
      <c r="F4196" s="4">
        <v>3.25005506885653E-6</v>
      </c>
      <c r="G4196" s="4">
        <v>2.5418166560310899E-5</v>
      </c>
      <c r="H4196" s="3" t="str">
        <f>"ADSSL1"</f>
        <v>ADSSL1</v>
      </c>
      <c r="I4196" s="3" t="str">
        <f t="shared" si="196"/>
        <v>protein_coding</v>
      </c>
    </row>
    <row r="4197" spans="1:9" x14ac:dyDescent="0.2">
      <c r="A4197" s="3" t="str">
        <f>"ENSG00000184990.13"</f>
        <v>ENSG00000184990.13</v>
      </c>
      <c r="B4197" s="3">
        <v>1343.27507189019</v>
      </c>
      <c r="C4197" s="3">
        <v>-1.6713985764435699</v>
      </c>
      <c r="D4197" s="3">
        <v>0.25347003215365499</v>
      </c>
      <c r="E4197" s="3">
        <v>-6.5940677966630599</v>
      </c>
      <c r="F4197" s="4">
        <v>4.2793613411790697E-11</v>
      </c>
      <c r="G4197" s="4">
        <v>7.0029884962826596E-10</v>
      </c>
      <c r="H4197" s="3" t="str">
        <f>"SIVA1"</f>
        <v>SIVA1</v>
      </c>
      <c r="I4197" s="3" t="str">
        <f t="shared" si="196"/>
        <v>protein_coding</v>
      </c>
    </row>
    <row r="4198" spans="1:9" x14ac:dyDescent="0.2">
      <c r="A4198" s="3" t="str">
        <f>"ENSG00000142208.16"</f>
        <v>ENSG00000142208.16</v>
      </c>
      <c r="B4198" s="3">
        <v>3878.8779629519599</v>
      </c>
      <c r="C4198" s="3">
        <v>-1.1556643348016999</v>
      </c>
      <c r="D4198" s="3">
        <v>0.22657358500653499</v>
      </c>
      <c r="E4198" s="3">
        <v>-5.1006137135022502</v>
      </c>
      <c r="F4198" s="4">
        <v>3.3855390228257802E-7</v>
      </c>
      <c r="G4198" s="4">
        <v>3.1429567889244998E-6</v>
      </c>
      <c r="H4198" s="3" t="str">
        <f>"AKT1"</f>
        <v>AKT1</v>
      </c>
      <c r="I4198" s="3" t="str">
        <f t="shared" si="196"/>
        <v>protein_coding</v>
      </c>
    </row>
    <row r="4199" spans="1:9" x14ac:dyDescent="0.2">
      <c r="A4199" s="3" t="str">
        <f>"ENSG00000099814.16"</f>
        <v>ENSG00000099814.16</v>
      </c>
      <c r="B4199" s="3">
        <v>5083.3489361217298</v>
      </c>
      <c r="C4199" s="3">
        <v>1.1639928045986101</v>
      </c>
      <c r="D4199" s="3">
        <v>0.21095072510684801</v>
      </c>
      <c r="E4199" s="3">
        <v>5.5178421596277802</v>
      </c>
      <c r="F4199" s="4">
        <v>3.4318745196196302E-8</v>
      </c>
      <c r="G4199" s="4">
        <v>3.7765866331210001E-7</v>
      </c>
      <c r="H4199" s="3" t="str">
        <f>"CEP170B"</f>
        <v>CEP170B</v>
      </c>
      <c r="I4199" s="3" t="str">
        <f t="shared" si="196"/>
        <v>protein_coding</v>
      </c>
    </row>
    <row r="4200" spans="1:9" x14ac:dyDescent="0.2">
      <c r="A4200" s="3" t="str">
        <f>"ENSG00000185567.7"</f>
        <v>ENSG00000185567.7</v>
      </c>
      <c r="B4200" s="3">
        <v>505.83719284397</v>
      </c>
      <c r="C4200" s="3">
        <v>4.9126453897867801</v>
      </c>
      <c r="D4200" s="3">
        <v>0.288383151115577</v>
      </c>
      <c r="E4200" s="3">
        <v>17.035133192708301</v>
      </c>
      <c r="F4200" s="4">
        <v>4.5071436668625197E-65</v>
      </c>
      <c r="G4200" s="4">
        <v>1.5545081454557301E-62</v>
      </c>
      <c r="H4200" s="3" t="str">
        <f>"AHNAK2"</f>
        <v>AHNAK2</v>
      </c>
      <c r="I4200" s="3" t="str">
        <f t="shared" si="196"/>
        <v>protein_coding</v>
      </c>
    </row>
    <row r="4201" spans="1:9" x14ac:dyDescent="0.2">
      <c r="A4201" s="3" t="str">
        <f>"ENSG00000140104.14"</f>
        <v>ENSG00000140104.14</v>
      </c>
      <c r="B4201" s="3">
        <v>102.177969233844</v>
      </c>
      <c r="C4201" s="3">
        <v>1.9320331636549499</v>
      </c>
      <c r="D4201" s="3">
        <v>0.39363404402291502</v>
      </c>
      <c r="E4201" s="3">
        <v>4.9081963132804596</v>
      </c>
      <c r="F4201" s="4">
        <v>9.1917823043127904E-7</v>
      </c>
      <c r="G4201" s="4">
        <v>7.9507457919241499E-6</v>
      </c>
      <c r="H4201" s="3" t="str">
        <f>"CLBA1"</f>
        <v>CLBA1</v>
      </c>
      <c r="I4201" s="3" t="str">
        <f t="shared" si="196"/>
        <v>protein_coding</v>
      </c>
    </row>
    <row r="4202" spans="1:9" x14ac:dyDescent="0.2">
      <c r="A4202" s="3" t="str">
        <f>"ENSG00000170779.10"</f>
        <v>ENSG00000170779.10</v>
      </c>
      <c r="B4202" s="3">
        <v>1387.4322202788301</v>
      </c>
      <c r="C4202" s="3">
        <v>-1.40556318914</v>
      </c>
      <c r="D4202" s="3">
        <v>0.22111169394593999</v>
      </c>
      <c r="E4202" s="3">
        <v>-6.3568016872217097</v>
      </c>
      <c r="F4202" s="4">
        <v>2.0599765527701799E-10</v>
      </c>
      <c r="G4202" s="4">
        <v>3.05210337864758E-9</v>
      </c>
      <c r="H4202" s="3" t="str">
        <f>"CDCA4"</f>
        <v>CDCA4</v>
      </c>
      <c r="I4202" s="3" t="str">
        <f t="shared" si="196"/>
        <v>protein_coding</v>
      </c>
    </row>
    <row r="4203" spans="1:9" x14ac:dyDescent="0.2">
      <c r="A4203" s="3" t="str">
        <f>"ENSG00000184916.9"</f>
        <v>ENSG00000184916.9</v>
      </c>
      <c r="B4203" s="3">
        <v>97.328451826639494</v>
      </c>
      <c r="C4203" s="3">
        <v>4.5996372699746404</v>
      </c>
      <c r="D4203" s="3">
        <v>0.53944838961874897</v>
      </c>
      <c r="E4203" s="3">
        <v>8.5265566799177801</v>
      </c>
      <c r="F4203" s="4">
        <v>1.50768319063941E-17</v>
      </c>
      <c r="G4203" s="4">
        <v>4.7218211373967896E-16</v>
      </c>
      <c r="H4203" s="3" t="str">
        <f>"JAG2"</f>
        <v>JAG2</v>
      </c>
      <c r="I4203" s="3" t="str">
        <f t="shared" si="196"/>
        <v>protein_coding</v>
      </c>
    </row>
    <row r="4204" spans="1:9" x14ac:dyDescent="0.2">
      <c r="A4204" s="3" t="str">
        <f>"ENSG00000185347.17"</f>
        <v>ENSG00000185347.17</v>
      </c>
      <c r="B4204" s="3">
        <v>380.11589298059602</v>
      </c>
      <c r="C4204" s="3">
        <v>-1.7486699099732801</v>
      </c>
      <c r="D4204" s="3">
        <v>0.27122147269390301</v>
      </c>
      <c r="E4204" s="3">
        <v>-6.4473874159174898</v>
      </c>
      <c r="F4204" s="4">
        <v>1.13794643126688E-10</v>
      </c>
      <c r="G4204" s="4">
        <v>1.7566927146022E-9</v>
      </c>
      <c r="H4204" s="3" t="str">
        <f>"TEDC1"</f>
        <v>TEDC1</v>
      </c>
      <c r="I4204" s="3" t="str">
        <f t="shared" si="196"/>
        <v>protein_coding</v>
      </c>
    </row>
    <row r="4205" spans="1:9" x14ac:dyDescent="0.2">
      <c r="A4205" s="3" t="str">
        <f>"ENSG00000184986.11"</f>
        <v>ENSG00000184986.11</v>
      </c>
      <c r="B4205" s="3">
        <v>89.107590242622706</v>
      </c>
      <c r="C4205" s="3">
        <v>-3.0061187718156099</v>
      </c>
      <c r="D4205" s="3">
        <v>0.435902009687123</v>
      </c>
      <c r="E4205" s="3">
        <v>-6.8963177618137204</v>
      </c>
      <c r="F4205" s="4">
        <v>5.3367749898816502E-12</v>
      </c>
      <c r="G4205" s="4">
        <v>9.6747244277648304E-11</v>
      </c>
      <c r="H4205" s="3" t="str">
        <f>"TMEM121"</f>
        <v>TMEM121</v>
      </c>
      <c r="I4205" s="3" t="str">
        <f t="shared" si="196"/>
        <v>protein_coding</v>
      </c>
    </row>
    <row r="4206" spans="1:9" x14ac:dyDescent="0.2">
      <c r="A4206" s="3" t="str">
        <f>"ENSG00000211895.5"</f>
        <v>ENSG00000211895.5</v>
      </c>
      <c r="B4206" s="3">
        <v>35.676905691378003</v>
      </c>
      <c r="C4206" s="3">
        <v>2.9291526348328198</v>
      </c>
      <c r="D4206" s="3">
        <v>0.65136476087462403</v>
      </c>
      <c r="E4206" s="3">
        <v>4.4969467351897903</v>
      </c>
      <c r="F4206" s="4">
        <v>6.8936248988952196E-6</v>
      </c>
      <c r="G4206" s="4">
        <v>5.0519257025335702E-5</v>
      </c>
      <c r="H4206" s="3" t="str">
        <f>"IGHA1"</f>
        <v>IGHA1</v>
      </c>
      <c r="I4206" s="3" t="str">
        <f>"IG_C_gene"</f>
        <v>IG_C_gene</v>
      </c>
    </row>
    <row r="4207" spans="1:9" x14ac:dyDescent="0.2">
      <c r="A4207" s="3" t="str">
        <f>"ENSG00000253149.3"</f>
        <v>ENSG00000253149.3</v>
      </c>
      <c r="B4207" s="3">
        <v>10.019245807901999</v>
      </c>
      <c r="C4207" s="3">
        <v>6.7202635024288702</v>
      </c>
      <c r="D4207" s="3">
        <v>1.7626796579996999</v>
      </c>
      <c r="E4207" s="3">
        <v>3.8125268377210699</v>
      </c>
      <c r="F4207" s="3">
        <v>1.3755328778652701E-4</v>
      </c>
      <c r="G4207" s="3">
        <v>7.6301189583051997E-4</v>
      </c>
      <c r="H4207" s="3" t="str">
        <f>"IGHVII-28-1"</f>
        <v>IGHVII-28-1</v>
      </c>
      <c r="I4207" s="3" t="str">
        <f>"IG_V_pseudogene"</f>
        <v>IG_V_pseudogene</v>
      </c>
    </row>
    <row r="4208" spans="1:9" x14ac:dyDescent="0.2">
      <c r="A4208" s="3" t="str">
        <f>"ENSG00000254289.2"</f>
        <v>ENSG00000254289.2</v>
      </c>
      <c r="B4208" s="3">
        <v>53.025335327778301</v>
      </c>
      <c r="C4208" s="3">
        <v>9.1231673231017005</v>
      </c>
      <c r="D4208" s="3">
        <v>1.52174620902116</v>
      </c>
      <c r="E4208" s="3">
        <v>5.9951963533853903</v>
      </c>
      <c r="F4208" s="4">
        <v>2.0323971958679599E-9</v>
      </c>
      <c r="G4208" s="4">
        <v>2.6407594847789302E-8</v>
      </c>
      <c r="H4208" s="3" t="str">
        <f>"IGHV3-32"</f>
        <v>IGHV3-32</v>
      </c>
      <c r="I4208" s="3" t="str">
        <f>"IG_V_pseudogene"</f>
        <v>IG_V_pseudogene</v>
      </c>
    </row>
    <row r="4209" spans="1:9" x14ac:dyDescent="0.2">
      <c r="A4209" s="3" t="str">
        <f>"ENSG00000278626.1"</f>
        <v>ENSG00000278626.1</v>
      </c>
      <c r="B4209" s="3">
        <v>73.392975677215901</v>
      </c>
      <c r="C4209" s="3">
        <v>9.5923909940664398</v>
      </c>
      <c r="D4209" s="3">
        <v>1.50355794619912</v>
      </c>
      <c r="E4209" s="3">
        <v>6.3797946852100198</v>
      </c>
      <c r="F4209" s="4">
        <v>1.7732555651170299E-10</v>
      </c>
      <c r="G4209" s="4">
        <v>2.6635002416065998E-9</v>
      </c>
      <c r="H4209" s="3" t="str">
        <f>"AC023310.4"</f>
        <v>AC023310.4</v>
      </c>
      <c r="I4209" s="3" t="str">
        <f>"lincRNA"</f>
        <v>lincRNA</v>
      </c>
    </row>
    <row r="4210" spans="1:9" x14ac:dyDescent="0.2">
      <c r="A4210" s="3" t="str">
        <f>"ENSG00000258590.5"</f>
        <v>ENSG00000258590.5</v>
      </c>
      <c r="B4210" s="3">
        <v>836.59610124305402</v>
      </c>
      <c r="C4210" s="3">
        <v>8.3360201882951408</v>
      </c>
      <c r="D4210" s="3">
        <v>0.52547796117622902</v>
      </c>
      <c r="E4210" s="3">
        <v>15.8636913518424</v>
      </c>
      <c r="F4210" s="4">
        <v>1.13049356644861E-56</v>
      </c>
      <c r="G4210" s="4">
        <v>2.9335769719071597E-54</v>
      </c>
      <c r="H4210" s="3" t="str">
        <f>"NBEAP1"</f>
        <v>NBEAP1</v>
      </c>
      <c r="I4210" s="3" t="str">
        <f>"transcribed_unprocessed_pseudogene"</f>
        <v>transcribed_unprocessed_pseudogene</v>
      </c>
    </row>
    <row r="4211" spans="1:9" x14ac:dyDescent="0.2">
      <c r="A4211" s="3" t="str">
        <f>"ENSG00000260409.1"</f>
        <v>ENSG00000260409.1</v>
      </c>
      <c r="B4211" s="3">
        <v>17.9724215216098</v>
      </c>
      <c r="C4211" s="3">
        <v>4.02680113167425</v>
      </c>
      <c r="D4211" s="3">
        <v>1.0709377057726499</v>
      </c>
      <c r="E4211" s="3">
        <v>3.7600703663421902</v>
      </c>
      <c r="F4211" s="3">
        <v>1.6986557032769699E-4</v>
      </c>
      <c r="G4211" s="3">
        <v>9.2106013825248804E-4</v>
      </c>
      <c r="H4211" s="3" t="str">
        <f>"AC012414.5"</f>
        <v>AC012414.5</v>
      </c>
      <c r="I4211" s="3" t="str">
        <f>"lincRNA"</f>
        <v>lincRNA</v>
      </c>
    </row>
    <row r="4212" spans="1:9" x14ac:dyDescent="0.2">
      <c r="A4212" s="3" t="str">
        <f>"ENSG00000237161.4"</f>
        <v>ENSG00000237161.4</v>
      </c>
      <c r="B4212" s="3">
        <v>39.8570147170498</v>
      </c>
      <c r="C4212" s="3">
        <v>4.1949171327590298</v>
      </c>
      <c r="D4212" s="3">
        <v>0.729103596299289</v>
      </c>
      <c r="E4212" s="3">
        <v>5.75352687059996</v>
      </c>
      <c r="F4212" s="4">
        <v>8.7400548778147597E-9</v>
      </c>
      <c r="G4212" s="4">
        <v>1.0458510112245E-7</v>
      </c>
      <c r="H4212" s="3" t="str">
        <f>"AC068446.1"</f>
        <v>AC068446.1</v>
      </c>
      <c r="I4212" s="3" t="str">
        <f>"processed_pseudogene"</f>
        <v>processed_pseudogene</v>
      </c>
    </row>
    <row r="4213" spans="1:9" x14ac:dyDescent="0.2">
      <c r="A4213" s="3" t="str">
        <f>"ENSG00000247765.2"</f>
        <v>ENSG00000247765.2</v>
      </c>
      <c r="B4213" s="3">
        <v>18.646458050193399</v>
      </c>
      <c r="C4213" s="3">
        <v>5.1332786600074103</v>
      </c>
      <c r="D4213" s="3">
        <v>1.25507443864787</v>
      </c>
      <c r="E4213" s="3">
        <v>4.0900192864557496</v>
      </c>
      <c r="F4213" s="4">
        <v>4.31337320349533E-5</v>
      </c>
      <c r="G4213" s="3">
        <v>2.6728787736101203E-4</v>
      </c>
      <c r="H4213" s="3" t="str">
        <f>"AC068446.2"</f>
        <v>AC068446.2</v>
      </c>
      <c r="I4213" s="3" t="str">
        <f>"lincRNA"</f>
        <v>lincRNA</v>
      </c>
    </row>
    <row r="4214" spans="1:9" x14ac:dyDescent="0.2">
      <c r="A4214" s="3" t="str">
        <f>"ENSG00000259098.1"</f>
        <v>ENSG00000259098.1</v>
      </c>
      <c r="B4214" s="3">
        <v>9.2884721310214005</v>
      </c>
      <c r="C4214" s="3">
        <v>6.6145257827209596</v>
      </c>
      <c r="D4214" s="3">
        <v>1.7948076291152</v>
      </c>
      <c r="E4214" s="3">
        <v>3.6853675432512998</v>
      </c>
      <c r="F4214" s="3">
        <v>2.2837283085908001E-4</v>
      </c>
      <c r="G4214" s="3">
        <v>1.19662971584949E-3</v>
      </c>
      <c r="H4214" s="3" t="str">
        <f>"AC025884.2"</f>
        <v>AC025884.2</v>
      </c>
      <c r="I4214" s="3" t="str">
        <f>"processed_pseudogene"</f>
        <v>processed_pseudogene</v>
      </c>
    </row>
    <row r="4215" spans="1:9" x14ac:dyDescent="0.2">
      <c r="A4215" s="3" t="str">
        <f>"ENSG00000258732.1"</f>
        <v>ENSG00000258732.1</v>
      </c>
      <c r="B4215" s="3">
        <v>23.8523413712986</v>
      </c>
      <c r="C4215" s="3">
        <v>7.97044572251232</v>
      </c>
      <c r="D4215" s="3">
        <v>1.5946967634679401</v>
      </c>
      <c r="E4215" s="3">
        <v>4.9980948761563901</v>
      </c>
      <c r="F4215" s="4">
        <v>5.7899497599087097E-7</v>
      </c>
      <c r="G4215" s="4">
        <v>5.1622631252694002E-6</v>
      </c>
      <c r="H4215" s="3" t="str">
        <f>"AC025884.1"</f>
        <v>AC025884.1</v>
      </c>
      <c r="I4215" s="3" t="str">
        <f>"unprocessed_pseudogene"</f>
        <v>unprocessed_pseudogene</v>
      </c>
    </row>
    <row r="4216" spans="1:9" x14ac:dyDescent="0.2">
      <c r="A4216" s="3" t="str">
        <f>"ENSG00000274835.1"</f>
        <v>ENSG00000274835.1</v>
      </c>
      <c r="B4216" s="3">
        <v>4.0372899650807801</v>
      </c>
      <c r="C4216" s="3">
        <v>5.4095356733146298</v>
      </c>
      <c r="D4216" s="3">
        <v>2.1467512296701501</v>
      </c>
      <c r="E4216" s="3">
        <v>2.5198707696307201</v>
      </c>
      <c r="F4216" s="3">
        <v>1.17397926988685E-2</v>
      </c>
      <c r="G4216" s="3">
        <v>3.6345203007166198E-2</v>
      </c>
      <c r="H4216" s="3" t="str">
        <f>"AC100757.2"</f>
        <v>AC100757.2</v>
      </c>
      <c r="I4216" s="3" t="str">
        <f>"unprocessed_pseudogene"</f>
        <v>unprocessed_pseudogene</v>
      </c>
    </row>
    <row r="4217" spans="1:9" x14ac:dyDescent="0.2">
      <c r="A4217" s="3" t="str">
        <f>"ENSG00000276141.4"</f>
        <v>ENSG00000276141.4</v>
      </c>
      <c r="B4217" s="3">
        <v>141.51618577945499</v>
      </c>
      <c r="C4217" s="3">
        <v>-1.47072396280324</v>
      </c>
      <c r="D4217" s="3">
        <v>0.35327192599698698</v>
      </c>
      <c r="E4217" s="3">
        <v>-4.1631498417334702</v>
      </c>
      <c r="F4217" s="4">
        <v>3.1388723246357902E-5</v>
      </c>
      <c r="G4217" s="3">
        <v>2.00151776806345E-4</v>
      </c>
      <c r="H4217" s="3" t="str">
        <f>"WHAMMP3"</f>
        <v>WHAMMP3</v>
      </c>
      <c r="I4217" s="3" t="str">
        <f>"transcribed_unprocessed_pseudogene"</f>
        <v>transcribed_unprocessed_pseudogene</v>
      </c>
    </row>
    <row r="4218" spans="1:9" x14ac:dyDescent="0.2">
      <c r="A4218" s="3" t="str">
        <f>"ENSG00000274253.4"</f>
        <v>ENSG00000274253.4</v>
      </c>
      <c r="B4218" s="3">
        <v>23.4873817256831</v>
      </c>
      <c r="C4218" s="3">
        <v>-1.7400377658784301</v>
      </c>
      <c r="D4218" s="3">
        <v>0.71620451717687506</v>
      </c>
      <c r="E4218" s="3">
        <v>-2.4295263770986599</v>
      </c>
      <c r="F4218" s="3">
        <v>1.51185647775233E-2</v>
      </c>
      <c r="G4218" s="3">
        <v>4.4843842204787501E-2</v>
      </c>
      <c r="H4218" s="3" t="str">
        <f>"AC138649.1"</f>
        <v>AC138649.1</v>
      </c>
      <c r="I4218" s="3" t="str">
        <f>"sense_overlapping"</f>
        <v>sense_overlapping</v>
      </c>
    </row>
    <row r="4219" spans="1:9" x14ac:dyDescent="0.2">
      <c r="A4219" s="3" t="str">
        <f>"ENSG00000248334.6"</f>
        <v>ENSG00000248334.6</v>
      </c>
      <c r="B4219" s="3">
        <v>70.461436892625599</v>
      </c>
      <c r="C4219" s="3">
        <v>-1.63067436065561</v>
      </c>
      <c r="D4219" s="3">
        <v>0.466627099079444</v>
      </c>
      <c r="E4219" s="3">
        <v>-3.4945985003283799</v>
      </c>
      <c r="F4219" s="3">
        <v>4.7477538187487101E-4</v>
      </c>
      <c r="G4219" s="3">
        <v>2.2891886090859398E-3</v>
      </c>
      <c r="H4219" s="3" t="str">
        <f>"WHAMMP2"</f>
        <v>WHAMMP2</v>
      </c>
      <c r="I4219" s="3" t="str">
        <f>"transcribed_unprocessed_pseudogene"</f>
        <v>transcribed_unprocessed_pseudogene</v>
      </c>
    </row>
    <row r="4220" spans="1:9" x14ac:dyDescent="0.2">
      <c r="A4220" s="3" t="str">
        <f>"ENSG00000261377.5"</f>
        <v>ENSG00000261377.5</v>
      </c>
      <c r="B4220" s="3">
        <v>124.27923067286299</v>
      </c>
      <c r="C4220" s="3">
        <v>-1.50929281270003</v>
      </c>
      <c r="D4220" s="3">
        <v>0.34871893952782501</v>
      </c>
      <c r="E4220" s="3">
        <v>-4.3281067978230503</v>
      </c>
      <c r="F4220" s="4">
        <v>1.5039654228493701E-5</v>
      </c>
      <c r="G4220" s="3">
        <v>1.0278040099417299E-4</v>
      </c>
      <c r="H4220" s="3" t="str">
        <f>"PDCD6IPP2"</f>
        <v>PDCD6IPP2</v>
      </c>
      <c r="I4220" s="3" t="str">
        <f>"transcribed_unprocessed_pseudogene"</f>
        <v>transcribed_unprocessed_pseudogene</v>
      </c>
    </row>
    <row r="4221" spans="1:9" x14ac:dyDescent="0.2">
      <c r="A4221" s="3" t="str">
        <f>"ENSG00000034053.14"</f>
        <v>ENSG00000034053.14</v>
      </c>
      <c r="B4221" s="3">
        <v>230.350835959297</v>
      </c>
      <c r="C4221" s="3">
        <v>-1.1390694446296601</v>
      </c>
      <c r="D4221" s="3">
        <v>0.28329973196987701</v>
      </c>
      <c r="E4221" s="3">
        <v>-4.0207219283595297</v>
      </c>
      <c r="F4221" s="4">
        <v>5.8020060331179001E-5</v>
      </c>
      <c r="G4221" s="3">
        <v>3.50603811009899E-4</v>
      </c>
      <c r="H4221" s="3" t="str">
        <f>"APBA2"</f>
        <v>APBA2</v>
      </c>
      <c r="I4221" s="3" t="str">
        <f>"protein_coding"</f>
        <v>protein_coding</v>
      </c>
    </row>
    <row r="4222" spans="1:9" x14ac:dyDescent="0.2">
      <c r="A4222" s="3" t="str">
        <f>"ENSG00000256802.2"</f>
        <v>ENSG00000256802.2</v>
      </c>
      <c r="B4222" s="3">
        <v>29.167626611337301</v>
      </c>
      <c r="C4222" s="3">
        <v>1.8941768705378099</v>
      </c>
      <c r="D4222" s="3">
        <v>0.659571096815467</v>
      </c>
      <c r="E4222" s="3">
        <v>2.8718312243869502</v>
      </c>
      <c r="F4222" s="3">
        <v>4.0810085916545601E-3</v>
      </c>
      <c r="G4222" s="3">
        <v>1.49032020292488E-2</v>
      </c>
      <c r="H4222" s="3" t="str">
        <f>"AC022613.1"</f>
        <v>AC022613.1</v>
      </c>
      <c r="I4222" s="3" t="str">
        <f>"antisense"</f>
        <v>antisense</v>
      </c>
    </row>
    <row r="4223" spans="1:9" x14ac:dyDescent="0.2">
      <c r="A4223" s="3" t="str">
        <f>"ENSG00000225930.4"</f>
        <v>ENSG00000225930.4</v>
      </c>
      <c r="B4223" s="3">
        <v>228.76629001071299</v>
      </c>
      <c r="C4223" s="3">
        <v>1.9358143579160301</v>
      </c>
      <c r="D4223" s="3">
        <v>0.30141586462288</v>
      </c>
      <c r="E4223" s="3">
        <v>6.4224036791761101</v>
      </c>
      <c r="F4223" s="4">
        <v>1.3413912835787101E-10</v>
      </c>
      <c r="G4223" s="4">
        <v>2.0487045013267402E-9</v>
      </c>
      <c r="H4223" s="3" t="str">
        <f>"LINC02249"</f>
        <v>LINC02249</v>
      </c>
      <c r="I4223" s="3" t="str">
        <f>"lincRNA"</f>
        <v>lincRNA</v>
      </c>
    </row>
    <row r="4224" spans="1:9" x14ac:dyDescent="0.2">
      <c r="A4224" s="3" t="str">
        <f>"ENSG00000259993.1"</f>
        <v>ENSG00000259993.1</v>
      </c>
      <c r="B4224" s="3">
        <v>39.0454350639504</v>
      </c>
      <c r="C4224" s="3">
        <v>1.7902522035033701</v>
      </c>
      <c r="D4224" s="3">
        <v>0.57533823335273804</v>
      </c>
      <c r="E4224" s="3">
        <v>3.1116517201904399</v>
      </c>
      <c r="F4224" s="3">
        <v>1.86043846103797E-3</v>
      </c>
      <c r="G4224" s="3">
        <v>7.5726571180014099E-3</v>
      </c>
      <c r="H4224" s="3" t="str">
        <f>"AC135731.1"</f>
        <v>AC135731.1</v>
      </c>
      <c r="I4224" s="3" t="str">
        <f>"processed_pseudogene"</f>
        <v>processed_pseudogene</v>
      </c>
    </row>
    <row r="4225" spans="1:9" x14ac:dyDescent="0.2">
      <c r="A4225" s="3" t="str">
        <f>"ENSG00000270055.1"</f>
        <v>ENSG00000270055.1</v>
      </c>
      <c r="B4225" s="3">
        <v>61.087528004511299</v>
      </c>
      <c r="C4225" s="3">
        <v>-1.7813415060939599</v>
      </c>
      <c r="D4225" s="3">
        <v>0.486497005442451</v>
      </c>
      <c r="E4225" s="3">
        <v>-3.66156725769339</v>
      </c>
      <c r="F4225" s="3">
        <v>2.5067703088704502E-4</v>
      </c>
      <c r="G4225" s="3">
        <v>1.2982697321002299E-3</v>
      </c>
      <c r="H4225" s="3" t="str">
        <f>"AC127502.2"</f>
        <v>AC127502.2</v>
      </c>
      <c r="I4225" s="3" t="str">
        <f>"sense_intronic"</f>
        <v>sense_intronic</v>
      </c>
    </row>
    <row r="4226" spans="1:9" x14ac:dyDescent="0.2">
      <c r="A4226" s="3" t="str">
        <f>"ENSG00000134160.13"</f>
        <v>ENSG00000134160.13</v>
      </c>
      <c r="B4226" s="3">
        <v>3.7806174410606901</v>
      </c>
      <c r="C4226" s="3">
        <v>5.3154478000652503</v>
      </c>
      <c r="D4226" s="3">
        <v>2.1865395084011801</v>
      </c>
      <c r="E4226" s="3">
        <v>2.43098639637752</v>
      </c>
      <c r="F4226" s="3">
        <v>1.5057779905063901E-2</v>
      </c>
      <c r="G4226" s="3">
        <v>4.4683002512881202E-2</v>
      </c>
      <c r="H4226" s="3" t="str">
        <f>"TRPM1"</f>
        <v>TRPM1</v>
      </c>
      <c r="I4226" s="3" t="str">
        <f>"protein_coding"</f>
        <v>protein_coding</v>
      </c>
    </row>
    <row r="4227" spans="1:9" x14ac:dyDescent="0.2">
      <c r="A4227" s="3" t="str">
        <f>"ENSG00000169926.11"</f>
        <v>ENSG00000169926.11</v>
      </c>
      <c r="B4227" s="3">
        <v>1934.8687912446101</v>
      </c>
      <c r="C4227" s="3">
        <v>-1.45046508126082</v>
      </c>
      <c r="D4227" s="3">
        <v>0.219689927438215</v>
      </c>
      <c r="E4227" s="3">
        <v>-6.6023285554079099</v>
      </c>
      <c r="F4227" s="4">
        <v>4.0474923618745401E-11</v>
      </c>
      <c r="G4227" s="4">
        <v>6.6675951864568098E-10</v>
      </c>
      <c r="H4227" s="3" t="str">
        <f>"KLF13"</f>
        <v>KLF13</v>
      </c>
      <c r="I4227" s="3" t="str">
        <f>"protein_coding"</f>
        <v>protein_coding</v>
      </c>
    </row>
    <row r="4228" spans="1:9" x14ac:dyDescent="0.2">
      <c r="A4228" s="3" t="str">
        <f>"ENSG00000175344.17"</f>
        <v>ENSG00000175344.17</v>
      </c>
      <c r="B4228" s="3">
        <v>52.057088531638698</v>
      </c>
      <c r="C4228" s="3">
        <v>1.6781312160619599</v>
      </c>
      <c r="D4228" s="3">
        <v>0.499742374972452</v>
      </c>
      <c r="E4228" s="3">
        <v>3.3579926380156699</v>
      </c>
      <c r="F4228" s="3">
        <v>7.8510704136624903E-4</v>
      </c>
      <c r="G4228" s="3">
        <v>3.5754323175841798E-3</v>
      </c>
      <c r="H4228" s="3" t="str">
        <f>"CHRNA7"</f>
        <v>CHRNA7</v>
      </c>
      <c r="I4228" s="3" t="str">
        <f>"protein_coding"</f>
        <v>protein_coding</v>
      </c>
    </row>
    <row r="4229" spans="1:9" x14ac:dyDescent="0.2">
      <c r="A4229" s="3" t="str">
        <f>"ENSG00000271078.1"</f>
        <v>ENSG00000271078.1</v>
      </c>
      <c r="B4229" s="3">
        <v>36.2232877946428</v>
      </c>
      <c r="C4229" s="3">
        <v>1.5818918884895801</v>
      </c>
      <c r="D4229" s="3">
        <v>0.60027050656305903</v>
      </c>
      <c r="E4229" s="3">
        <v>2.6352983716407201</v>
      </c>
      <c r="F4229" s="3">
        <v>8.4063352468386893E-3</v>
      </c>
      <c r="G4229" s="3">
        <v>2.75093785560135E-2</v>
      </c>
      <c r="H4229" s="3" t="str">
        <f>"AC139426.3"</f>
        <v>AC139426.3</v>
      </c>
      <c r="I4229" s="3" t="str">
        <f>"processed_pseudogene"</f>
        <v>processed_pseudogene</v>
      </c>
    </row>
    <row r="4230" spans="1:9" x14ac:dyDescent="0.2">
      <c r="A4230" s="3" t="str">
        <f>"ENSG00000260211.2"</f>
        <v>ENSG00000260211.2</v>
      </c>
      <c r="B4230" s="3">
        <v>65.007889104459494</v>
      </c>
      <c r="C4230" s="3">
        <v>1.1084704114995201</v>
      </c>
      <c r="D4230" s="3">
        <v>0.44977542643930601</v>
      </c>
      <c r="E4230" s="3">
        <v>2.4644974943936799</v>
      </c>
      <c r="F4230" s="3">
        <v>1.3720552284371801E-2</v>
      </c>
      <c r="G4230" s="3">
        <v>4.14598966499145E-2</v>
      </c>
      <c r="H4230" s="3" t="str">
        <f>"AC139426.1"</f>
        <v>AC139426.1</v>
      </c>
      <c r="I4230" s="3" t="str">
        <f>"processed_pseudogene"</f>
        <v>processed_pseudogene</v>
      </c>
    </row>
    <row r="4231" spans="1:9" x14ac:dyDescent="0.2">
      <c r="A4231" s="3" t="str">
        <f>"ENSG00000223509.8"</f>
        <v>ENSG00000223509.8</v>
      </c>
      <c r="B4231" s="3">
        <v>178.35713380860301</v>
      </c>
      <c r="C4231" s="3">
        <v>-1.4788853505673101</v>
      </c>
      <c r="D4231" s="3">
        <v>0.30727687374990298</v>
      </c>
      <c r="E4231" s="3">
        <v>-4.8128755428922902</v>
      </c>
      <c r="F4231" s="4">
        <v>1.4877394682034899E-6</v>
      </c>
      <c r="G4231" s="4">
        <v>1.2377538103859701E-5</v>
      </c>
      <c r="H4231" s="3" t="str">
        <f>"AC135983.2"</f>
        <v>AC135983.2</v>
      </c>
      <c r="I4231" s="3" t="str">
        <f>"transcribed_processed_pseudogene"</f>
        <v>transcribed_processed_pseudogene</v>
      </c>
    </row>
    <row r="4232" spans="1:9" x14ac:dyDescent="0.2">
      <c r="A4232" s="3" t="str">
        <f>"ENSG00000248905.8"</f>
        <v>ENSG00000248905.8</v>
      </c>
      <c r="B4232" s="3">
        <v>215.68771423416999</v>
      </c>
      <c r="C4232" s="3">
        <v>1.79214191488056</v>
      </c>
      <c r="D4232" s="3">
        <v>0.296682672278545</v>
      </c>
      <c r="E4232" s="3">
        <v>6.0406019034302698</v>
      </c>
      <c r="F4232" s="4">
        <v>1.53540377032271E-9</v>
      </c>
      <c r="G4232" s="4">
        <v>2.03379419202639E-8</v>
      </c>
      <c r="H4232" s="3" t="str">
        <f>"FMN1"</f>
        <v>FMN1</v>
      </c>
      <c r="I4232" s="3" t="str">
        <f>"protein_coding"</f>
        <v>protein_coding</v>
      </c>
    </row>
    <row r="4233" spans="1:9" x14ac:dyDescent="0.2">
      <c r="A4233" s="3" t="str">
        <f>"ENSG00000279958.1"</f>
        <v>ENSG00000279958.1</v>
      </c>
      <c r="B4233" s="3">
        <v>6.5677771004748902</v>
      </c>
      <c r="C4233" s="3">
        <v>6.1084846562903197</v>
      </c>
      <c r="D4233" s="3">
        <v>1.92051677073079</v>
      </c>
      <c r="E4233" s="3">
        <v>3.18064634966241</v>
      </c>
      <c r="F4233" s="3">
        <v>1.4694689540206501E-3</v>
      </c>
      <c r="G4233" s="3">
        <v>6.17265510513399E-3</v>
      </c>
      <c r="H4233" s="3" t="str">
        <f>"AC019278.1"</f>
        <v>AC019278.1</v>
      </c>
      <c r="I4233" s="3" t="str">
        <f>"TEC"</f>
        <v>TEC</v>
      </c>
    </row>
    <row r="4234" spans="1:9" x14ac:dyDescent="0.2">
      <c r="A4234" s="3" t="str">
        <f>"ENSG00000198838.13"</f>
        <v>ENSG00000198838.13</v>
      </c>
      <c r="B4234" s="3">
        <v>29.779482156586202</v>
      </c>
      <c r="C4234" s="3">
        <v>5.2200840002255804</v>
      </c>
      <c r="D4234" s="3">
        <v>1.03404490609233</v>
      </c>
      <c r="E4234" s="3">
        <v>5.0482178960219004</v>
      </c>
      <c r="F4234" s="4">
        <v>4.4595035745727398E-7</v>
      </c>
      <c r="G4234" s="4">
        <v>4.0624571680502597E-6</v>
      </c>
      <c r="H4234" s="3" t="str">
        <f>"RYR3"</f>
        <v>RYR3</v>
      </c>
      <c r="I4234" s="3" t="str">
        <f t="shared" ref="I4234:I4241" si="197">"protein_coding"</f>
        <v>protein_coding</v>
      </c>
    </row>
    <row r="4235" spans="1:9" x14ac:dyDescent="0.2">
      <c r="A4235" s="3" t="str">
        <f>"ENSG00000184984.9"</f>
        <v>ENSG00000184984.9</v>
      </c>
      <c r="B4235" s="3">
        <v>6.9754136244677296</v>
      </c>
      <c r="C4235" s="3">
        <v>6.20122432996419</v>
      </c>
      <c r="D4235" s="3">
        <v>1.8919127084438101</v>
      </c>
      <c r="E4235" s="3">
        <v>3.27775393774114</v>
      </c>
      <c r="F4235" s="3">
        <v>1.04636565522329E-3</v>
      </c>
      <c r="G4235" s="3">
        <v>4.5895565048082801E-3</v>
      </c>
      <c r="H4235" s="3" t="str">
        <f>"CHRM5"</f>
        <v>CHRM5</v>
      </c>
      <c r="I4235" s="3" t="str">
        <f t="shared" si="197"/>
        <v>protein_coding</v>
      </c>
    </row>
    <row r="4236" spans="1:9" x14ac:dyDescent="0.2">
      <c r="A4236" s="3" t="str">
        <f>"ENSG00000176454.14"</f>
        <v>ENSG00000176454.14</v>
      </c>
      <c r="B4236" s="3">
        <v>462.26770466173502</v>
      </c>
      <c r="C4236" s="3">
        <v>-1.04564880251772</v>
      </c>
      <c r="D4236" s="3">
        <v>0.23507878873472601</v>
      </c>
      <c r="E4236" s="3">
        <v>-4.4480780598954199</v>
      </c>
      <c r="F4236" s="4">
        <v>8.6642045210359902E-6</v>
      </c>
      <c r="G4236" s="4">
        <v>6.2502933699938498E-5</v>
      </c>
      <c r="H4236" s="3" t="str">
        <f>"LPCAT4"</f>
        <v>LPCAT4</v>
      </c>
      <c r="I4236" s="3" t="str">
        <f t="shared" si="197"/>
        <v>protein_coding</v>
      </c>
    </row>
    <row r="4237" spans="1:9" x14ac:dyDescent="0.2">
      <c r="A4237" s="3" t="str">
        <f>"ENSG00000215252.11"</f>
        <v>ENSG00000215252.11</v>
      </c>
      <c r="B4237" s="3">
        <v>2194.6351952292698</v>
      </c>
      <c r="C4237" s="3">
        <v>1.0334285169392201</v>
      </c>
      <c r="D4237" s="3">
        <v>0.22097317003244299</v>
      </c>
      <c r="E4237" s="3">
        <v>4.6767149006709401</v>
      </c>
      <c r="F4237" s="4">
        <v>2.9150709029178999E-6</v>
      </c>
      <c r="G4237" s="4">
        <v>2.2962398638856301E-5</v>
      </c>
      <c r="H4237" s="3" t="str">
        <f>"GOLGA8B"</f>
        <v>GOLGA8B</v>
      </c>
      <c r="I4237" s="3" t="str">
        <f t="shared" si="197"/>
        <v>protein_coding</v>
      </c>
    </row>
    <row r="4238" spans="1:9" x14ac:dyDescent="0.2">
      <c r="A4238" s="3" t="str">
        <f>"ENSG00000134138.20"</f>
        <v>ENSG00000134138.20</v>
      </c>
      <c r="B4238" s="3">
        <v>1012.62566244083</v>
      </c>
      <c r="C4238" s="3">
        <v>-1.27950145894976</v>
      </c>
      <c r="D4238" s="3">
        <v>0.20472212518135199</v>
      </c>
      <c r="E4238" s="3">
        <v>-6.2499422464295202</v>
      </c>
      <c r="F4238" s="4">
        <v>4.1060448903284399E-10</v>
      </c>
      <c r="G4238" s="4">
        <v>5.8391130024415003E-9</v>
      </c>
      <c r="H4238" s="3" t="str">
        <f>"MEIS2"</f>
        <v>MEIS2</v>
      </c>
      <c r="I4238" s="3" t="str">
        <f t="shared" si="197"/>
        <v>protein_coding</v>
      </c>
    </row>
    <row r="4239" spans="1:9" x14ac:dyDescent="0.2">
      <c r="A4239" s="3" t="str">
        <f>"ENSG00000172575.12"</f>
        <v>ENSG00000172575.12</v>
      </c>
      <c r="B4239" s="3">
        <v>9.1492822324352208</v>
      </c>
      <c r="C4239" s="3">
        <v>4.0524759251747398</v>
      </c>
      <c r="D4239" s="3">
        <v>1.4659299740645899</v>
      </c>
      <c r="E4239" s="3">
        <v>2.7644403190272699</v>
      </c>
      <c r="F4239" s="3">
        <v>5.7020536887699503E-3</v>
      </c>
      <c r="G4239" s="3">
        <v>1.9859881996409898E-2</v>
      </c>
      <c r="H4239" s="3" t="str">
        <f>"RASGRP1"</f>
        <v>RASGRP1</v>
      </c>
      <c r="I4239" s="3" t="str">
        <f t="shared" si="197"/>
        <v>protein_coding</v>
      </c>
    </row>
    <row r="4240" spans="1:9" x14ac:dyDescent="0.2">
      <c r="A4240" s="3" t="str">
        <f>"ENSG00000175779.2"</f>
        <v>ENSG00000175779.2</v>
      </c>
      <c r="B4240" s="3">
        <v>3.9618079650943998</v>
      </c>
      <c r="C4240" s="3">
        <v>5.3771408192735599</v>
      </c>
      <c r="D4240" s="3">
        <v>2.19654804218851</v>
      </c>
      <c r="E4240" s="3">
        <v>2.4479959991751898</v>
      </c>
      <c r="F4240" s="3">
        <v>1.43653250707227E-2</v>
      </c>
      <c r="G4240" s="3">
        <v>4.3002857855634E-2</v>
      </c>
      <c r="H4240" s="3" t="str">
        <f>"C15orf53"</f>
        <v>C15orf53</v>
      </c>
      <c r="I4240" s="3" t="str">
        <f t="shared" si="197"/>
        <v>protein_coding</v>
      </c>
    </row>
    <row r="4241" spans="1:9" x14ac:dyDescent="0.2">
      <c r="A4241" s="3" t="str">
        <f>"ENSG00000137801.10"</f>
        <v>ENSG00000137801.10</v>
      </c>
      <c r="B4241" s="3">
        <v>22104.606301027001</v>
      </c>
      <c r="C4241" s="3">
        <v>-2.1672619641231199</v>
      </c>
      <c r="D4241" s="3">
        <v>0.23836777436242099</v>
      </c>
      <c r="E4241" s="3">
        <v>-9.0920929639925294</v>
      </c>
      <c r="F4241" s="4">
        <v>9.7150574839738295E-20</v>
      </c>
      <c r="G4241" s="4">
        <v>3.6612195195827801E-18</v>
      </c>
      <c r="H4241" s="3" t="str">
        <f>"THBS1"</f>
        <v>THBS1</v>
      </c>
      <c r="I4241" s="3" t="str">
        <f t="shared" si="197"/>
        <v>protein_coding</v>
      </c>
    </row>
    <row r="4242" spans="1:9" x14ac:dyDescent="0.2">
      <c r="A4242" s="3" t="str">
        <f>"ENSG00000276107.1"</f>
        <v>ENSG00000276107.1</v>
      </c>
      <c r="B4242" s="3">
        <v>121.164439866753</v>
      </c>
      <c r="C4242" s="3">
        <v>-1.0282881761442799</v>
      </c>
      <c r="D4242" s="3">
        <v>0.35548378388775598</v>
      </c>
      <c r="E4242" s="3">
        <v>-2.8926443982855701</v>
      </c>
      <c r="F4242" s="3">
        <v>3.82013536724951E-3</v>
      </c>
      <c r="G4242" s="3">
        <v>1.4102049634391999E-2</v>
      </c>
      <c r="H4242" s="3" t="str">
        <f>"AC037198.1"</f>
        <v>AC037198.1</v>
      </c>
      <c r="I4242" s="3" t="str">
        <f>"sense_intronic"</f>
        <v>sense_intronic</v>
      </c>
    </row>
    <row r="4243" spans="1:9" x14ac:dyDescent="0.2">
      <c r="A4243" s="3" t="str">
        <f>"ENSG00000166073.10"</f>
        <v>ENSG00000166073.10</v>
      </c>
      <c r="B4243" s="3">
        <v>20.7501517061459</v>
      </c>
      <c r="C4243" s="3">
        <v>2.36468821889282</v>
      </c>
      <c r="D4243" s="3">
        <v>0.83192715067558398</v>
      </c>
      <c r="E4243" s="3">
        <v>2.8424222204702998</v>
      </c>
      <c r="F4243" s="3">
        <v>4.4772154204763097E-3</v>
      </c>
      <c r="G4243" s="3">
        <v>1.6136334465835699E-2</v>
      </c>
      <c r="H4243" s="3" t="str">
        <f>"GPR176"</f>
        <v>GPR176</v>
      </c>
      <c r="I4243" s="3" t="str">
        <f>"protein_coding"</f>
        <v>protein_coding</v>
      </c>
    </row>
    <row r="4244" spans="1:9" x14ac:dyDescent="0.2">
      <c r="A4244" s="3" t="str">
        <f>"ENSG00000248508.7"</f>
        <v>ENSG00000248508.7</v>
      </c>
      <c r="B4244" s="3">
        <v>82.836126788437198</v>
      </c>
      <c r="C4244" s="3">
        <v>2.2720795996782299</v>
      </c>
      <c r="D4244" s="3">
        <v>0.42144044609964898</v>
      </c>
      <c r="E4244" s="3">
        <v>5.3912234117676396</v>
      </c>
      <c r="F4244" s="4">
        <v>6.9979606417760099E-8</v>
      </c>
      <c r="G4244" s="4">
        <v>7.2999017460363997E-7</v>
      </c>
      <c r="H4244" s="3" t="str">
        <f>"SRP14-AS1"</f>
        <v>SRP14-AS1</v>
      </c>
      <c r="I4244" s="3" t="str">
        <f>"bidirectional_promoter_lncRNA"</f>
        <v>bidirectional_promoter_lncRNA</v>
      </c>
    </row>
    <row r="4245" spans="1:9" x14ac:dyDescent="0.2">
      <c r="A4245" s="3" t="str">
        <f>"ENSG00000140323.6"</f>
        <v>ENSG00000140323.6</v>
      </c>
      <c r="B4245" s="3">
        <v>47.949352969096999</v>
      </c>
      <c r="C4245" s="3">
        <v>2.3760315367074298</v>
      </c>
      <c r="D4245" s="3">
        <v>0.54240401542551797</v>
      </c>
      <c r="E4245" s="3">
        <v>4.3805566867778802</v>
      </c>
      <c r="F4245" s="4">
        <v>1.18376490654967E-5</v>
      </c>
      <c r="G4245" s="4">
        <v>8.2787583184699105E-5</v>
      </c>
      <c r="H4245" s="3" t="str">
        <f>"DISP2"</f>
        <v>DISP2</v>
      </c>
      <c r="I4245" s="3" t="str">
        <f t="shared" ref="I4245:I4258" si="198">"protein_coding"</f>
        <v>protein_coding</v>
      </c>
    </row>
    <row r="4246" spans="1:9" x14ac:dyDescent="0.2">
      <c r="A4246" s="3" t="str">
        <f>"ENSG00000166145.14"</f>
        <v>ENSG00000166145.14</v>
      </c>
      <c r="B4246" s="3">
        <v>237.527499303279</v>
      </c>
      <c r="C4246" s="3">
        <v>1.99944505748559</v>
      </c>
      <c r="D4246" s="3">
        <v>0.29705918622053201</v>
      </c>
      <c r="E4246" s="3">
        <v>6.7307969261089804</v>
      </c>
      <c r="F4246" s="4">
        <v>1.6873633063785001E-11</v>
      </c>
      <c r="G4246" s="4">
        <v>2.8970124769310001E-10</v>
      </c>
      <c r="H4246" s="3" t="str">
        <f>"SPINT1"</f>
        <v>SPINT1</v>
      </c>
      <c r="I4246" s="3" t="str">
        <f t="shared" si="198"/>
        <v>protein_coding</v>
      </c>
    </row>
    <row r="4247" spans="1:9" x14ac:dyDescent="0.2">
      <c r="A4247" s="3" t="str">
        <f>"ENSG00000137825.11"</f>
        <v>ENSG00000137825.11</v>
      </c>
      <c r="B4247" s="3">
        <v>814.46293668078795</v>
      </c>
      <c r="C4247" s="3">
        <v>-1.8634404437205101</v>
      </c>
      <c r="D4247" s="3">
        <v>0.23482617511549</v>
      </c>
      <c r="E4247" s="3">
        <v>-7.93540346515484</v>
      </c>
      <c r="F4247" s="4">
        <v>2.0981213165309499E-15</v>
      </c>
      <c r="G4247" s="4">
        <v>5.45491522056476E-14</v>
      </c>
      <c r="H4247" s="3" t="str">
        <f>"ITPKA"</f>
        <v>ITPKA</v>
      </c>
      <c r="I4247" s="3" t="str">
        <f t="shared" si="198"/>
        <v>protein_coding</v>
      </c>
    </row>
    <row r="4248" spans="1:9" x14ac:dyDescent="0.2">
      <c r="A4248" s="3" t="str">
        <f>"ENSG00000092445.12"</f>
        <v>ENSG00000092445.12</v>
      </c>
      <c r="B4248" s="3">
        <v>1659.9700976583599</v>
      </c>
      <c r="C4248" s="3">
        <v>-2.3246371086691902</v>
      </c>
      <c r="D4248" s="3">
        <v>0.20242414723298999</v>
      </c>
      <c r="E4248" s="3">
        <v>-11.4839911168974</v>
      </c>
      <c r="F4248" s="4">
        <v>1.5877811875409399E-30</v>
      </c>
      <c r="G4248" s="4">
        <v>1.29141116468442E-28</v>
      </c>
      <c r="H4248" s="3" t="str">
        <f>"TYRO3"</f>
        <v>TYRO3</v>
      </c>
      <c r="I4248" s="3" t="str">
        <f t="shared" si="198"/>
        <v>protein_coding</v>
      </c>
    </row>
    <row r="4249" spans="1:9" x14ac:dyDescent="0.2">
      <c r="A4249" s="3" t="str">
        <f>"ENSG00000137877.10"</f>
        <v>ENSG00000137877.10</v>
      </c>
      <c r="B4249" s="3">
        <v>38.313225880871997</v>
      </c>
      <c r="C4249" s="3">
        <v>3.1497455497335101</v>
      </c>
      <c r="D4249" s="3">
        <v>0.64196483973771401</v>
      </c>
      <c r="E4249" s="3">
        <v>4.9064144245351304</v>
      </c>
      <c r="F4249" s="4">
        <v>9.2756431020742497E-7</v>
      </c>
      <c r="G4249" s="4">
        <v>8.0156500983893804E-6</v>
      </c>
      <c r="H4249" s="3" t="str">
        <f>"SPTBN5"</f>
        <v>SPTBN5</v>
      </c>
      <c r="I4249" s="3" t="str">
        <f t="shared" si="198"/>
        <v>protein_coding</v>
      </c>
    </row>
    <row r="4250" spans="1:9" x14ac:dyDescent="0.2">
      <c r="A4250" s="3" t="str">
        <f>"ENSG00000188089.13"</f>
        <v>ENSG00000188089.13</v>
      </c>
      <c r="B4250" s="3">
        <v>3.8923375458538101</v>
      </c>
      <c r="C4250" s="3">
        <v>5.3615434764946199</v>
      </c>
      <c r="D4250" s="3">
        <v>2.1957923110067701</v>
      </c>
      <c r="E4250" s="3">
        <v>2.44173524500428</v>
      </c>
      <c r="F4250" s="3">
        <v>1.4616861732854E-2</v>
      </c>
      <c r="G4250" s="3">
        <v>4.3592998208742503E-2</v>
      </c>
      <c r="H4250" s="3" t="str">
        <f>"PLA2G4E"</f>
        <v>PLA2G4E</v>
      </c>
      <c r="I4250" s="3" t="str">
        <f t="shared" si="198"/>
        <v>protein_coding</v>
      </c>
    </row>
    <row r="4251" spans="1:9" x14ac:dyDescent="0.2">
      <c r="A4251" s="3" t="str">
        <f>"ENSG00000159337.6"</f>
        <v>ENSG00000159337.6</v>
      </c>
      <c r="B4251" s="3">
        <v>77.475732386094705</v>
      </c>
      <c r="C4251" s="3">
        <v>6.6304033038646404</v>
      </c>
      <c r="D4251" s="3">
        <v>0.92181378575655504</v>
      </c>
      <c r="E4251" s="3">
        <v>7.1927795030998602</v>
      </c>
      <c r="F4251" s="4">
        <v>6.3485425578828196E-13</v>
      </c>
      <c r="G4251" s="4">
        <v>1.28992348303231E-11</v>
      </c>
      <c r="H4251" s="3" t="str">
        <f>"PLA2G4D"</f>
        <v>PLA2G4D</v>
      </c>
      <c r="I4251" s="3" t="str">
        <f t="shared" si="198"/>
        <v>protein_coding</v>
      </c>
    </row>
    <row r="4252" spans="1:9" x14ac:dyDescent="0.2">
      <c r="A4252" s="3" t="str">
        <f>"ENSG00000168907.13"</f>
        <v>ENSG00000168907.13</v>
      </c>
      <c r="B4252" s="3">
        <v>7.5671219328146799</v>
      </c>
      <c r="C4252" s="3">
        <v>4.82033408964804</v>
      </c>
      <c r="D4252" s="3">
        <v>1.8300607674228599</v>
      </c>
      <c r="E4252" s="3">
        <v>2.6339748796626901</v>
      </c>
      <c r="F4252" s="3">
        <v>8.4391731347117499E-3</v>
      </c>
      <c r="G4252" s="3">
        <v>2.7597473643961999E-2</v>
      </c>
      <c r="H4252" s="3" t="str">
        <f>"PLA2G4F"</f>
        <v>PLA2G4F</v>
      </c>
      <c r="I4252" s="3" t="str">
        <f t="shared" si="198"/>
        <v>protein_coding</v>
      </c>
    </row>
    <row r="4253" spans="1:9" x14ac:dyDescent="0.2">
      <c r="A4253" s="3" t="str">
        <f>"ENSG00000159459.12"</f>
        <v>ENSG00000159459.12</v>
      </c>
      <c r="B4253" s="3">
        <v>1946.15200230746</v>
      </c>
      <c r="C4253" s="3">
        <v>1.1205167960075599</v>
      </c>
      <c r="D4253" s="3">
        <v>0.21246941501415301</v>
      </c>
      <c r="E4253" s="3">
        <v>5.2737792681027402</v>
      </c>
      <c r="F4253" s="4">
        <v>1.3364263427274799E-7</v>
      </c>
      <c r="G4253" s="4">
        <v>1.33051847809549E-6</v>
      </c>
      <c r="H4253" s="3" t="str">
        <f>"UBR1"</f>
        <v>UBR1</v>
      </c>
      <c r="I4253" s="3" t="str">
        <f t="shared" si="198"/>
        <v>protein_coding</v>
      </c>
    </row>
    <row r="4254" spans="1:9" x14ac:dyDescent="0.2">
      <c r="A4254" s="3" t="str">
        <f>"ENSG00000137842.7"</f>
        <v>ENSG00000137842.7</v>
      </c>
      <c r="B4254" s="3">
        <v>355.54075362177502</v>
      </c>
      <c r="C4254" s="3">
        <v>-1.1769777916189099</v>
      </c>
      <c r="D4254" s="3">
        <v>0.27246284951396899</v>
      </c>
      <c r="E4254" s="3">
        <v>-4.3197734800118699</v>
      </c>
      <c r="F4254" s="4">
        <v>1.5618944057476299E-5</v>
      </c>
      <c r="G4254" s="3">
        <v>1.0633917259721601E-4</v>
      </c>
      <c r="H4254" s="3" t="str">
        <f>"TMEM62"</f>
        <v>TMEM62</v>
      </c>
      <c r="I4254" s="3" t="str">
        <f t="shared" si="198"/>
        <v>protein_coding</v>
      </c>
    </row>
    <row r="4255" spans="1:9" x14ac:dyDescent="0.2">
      <c r="A4255" s="3" t="str">
        <f>"ENSG00000104055.15"</f>
        <v>ENSG00000104055.15</v>
      </c>
      <c r="B4255" s="3">
        <v>146.97117107127701</v>
      </c>
      <c r="C4255" s="3">
        <v>4.2740773190325898</v>
      </c>
      <c r="D4255" s="3">
        <v>0.411243518116231</v>
      </c>
      <c r="E4255" s="3">
        <v>10.39305698631</v>
      </c>
      <c r="F4255" s="4">
        <v>2.6666643686761801E-25</v>
      </c>
      <c r="G4255" s="4">
        <v>1.5200544781029299E-23</v>
      </c>
      <c r="H4255" s="3" t="str">
        <f>"TGM5"</f>
        <v>TGM5</v>
      </c>
      <c r="I4255" s="3" t="str">
        <f t="shared" si="198"/>
        <v>protein_coding</v>
      </c>
    </row>
    <row r="4256" spans="1:9" x14ac:dyDescent="0.2">
      <c r="A4256" s="3" t="str">
        <f>"ENSG00000137822.12"</f>
        <v>ENSG00000137822.12</v>
      </c>
      <c r="B4256" s="3">
        <v>1599.7601988758599</v>
      </c>
      <c r="C4256" s="3">
        <v>-1.0030431664284301</v>
      </c>
      <c r="D4256" s="3">
        <v>0.18539790133263201</v>
      </c>
      <c r="E4256" s="3">
        <v>-5.4102185581314304</v>
      </c>
      <c r="F4256" s="4">
        <v>6.2947877927274396E-8</v>
      </c>
      <c r="G4256" s="4">
        <v>6.6196095325528599E-7</v>
      </c>
      <c r="H4256" s="3" t="str">
        <f>"TUBGCP4"</f>
        <v>TUBGCP4</v>
      </c>
      <c r="I4256" s="3" t="str">
        <f t="shared" si="198"/>
        <v>protein_coding</v>
      </c>
    </row>
    <row r="4257" spans="1:9" x14ac:dyDescent="0.2">
      <c r="A4257" s="3" t="str">
        <f>"ENSG00000166963.13"</f>
        <v>ENSG00000166963.13</v>
      </c>
      <c r="B4257" s="3">
        <v>221.20576252175201</v>
      </c>
      <c r="C4257" s="3">
        <v>4.8347046243967204</v>
      </c>
      <c r="D4257" s="3">
        <v>0.38009789918479298</v>
      </c>
      <c r="E4257" s="3">
        <v>12.719629955245299</v>
      </c>
      <c r="F4257" s="4">
        <v>4.6003360295167503E-37</v>
      </c>
      <c r="G4257" s="4">
        <v>5.5462546812496895E-35</v>
      </c>
      <c r="H4257" s="3" t="str">
        <f>"MAP1A"</f>
        <v>MAP1A</v>
      </c>
      <c r="I4257" s="3" t="str">
        <f t="shared" si="198"/>
        <v>protein_coding</v>
      </c>
    </row>
    <row r="4258" spans="1:9" x14ac:dyDescent="0.2">
      <c r="A4258" s="3" t="str">
        <f>"ENSG00000242866.10"</f>
        <v>ENSG00000242866.10</v>
      </c>
      <c r="B4258" s="3">
        <v>19.1383015162763</v>
      </c>
      <c r="C4258" s="3">
        <v>5.16942993325973</v>
      </c>
      <c r="D4258" s="3">
        <v>1.2690391621036201</v>
      </c>
      <c r="E4258" s="3">
        <v>4.0734991382698196</v>
      </c>
      <c r="F4258" s="4">
        <v>4.6312022960853603E-5</v>
      </c>
      <c r="G4258" s="3">
        <v>2.8568342531455198E-4</v>
      </c>
      <c r="H4258" s="3" t="str">
        <f>"STRC"</f>
        <v>STRC</v>
      </c>
      <c r="I4258" s="3" t="str">
        <f t="shared" si="198"/>
        <v>protein_coding</v>
      </c>
    </row>
    <row r="4259" spans="1:9" x14ac:dyDescent="0.2">
      <c r="A4259" s="3" t="str">
        <f>"ENSG00000166763.7"</f>
        <v>ENSG00000166763.7</v>
      </c>
      <c r="B4259" s="3">
        <v>3.8168555458674298</v>
      </c>
      <c r="C4259" s="3">
        <v>5.3279350919035302</v>
      </c>
      <c r="D4259" s="3">
        <v>2.1809774924298599</v>
      </c>
      <c r="E4259" s="3">
        <v>2.4429115432858599</v>
      </c>
      <c r="F4259" s="3">
        <v>1.4569307781241599E-2</v>
      </c>
      <c r="G4259" s="3">
        <v>4.3474967595607303E-2</v>
      </c>
      <c r="H4259" s="3" t="str">
        <f>"STRCP1"</f>
        <v>STRCP1</v>
      </c>
      <c r="I4259" s="3" t="str">
        <f>"unprocessed_pseudogene"</f>
        <v>unprocessed_pseudogene</v>
      </c>
    </row>
    <row r="4260" spans="1:9" x14ac:dyDescent="0.2">
      <c r="A4260" s="3" t="str">
        <f>"ENSG00000128886.12"</f>
        <v>ENSG00000128886.12</v>
      </c>
      <c r="B4260" s="3">
        <v>26.5903343957531</v>
      </c>
      <c r="C4260" s="3">
        <v>1.9556827325597601</v>
      </c>
      <c r="D4260" s="3">
        <v>0.71025946468024503</v>
      </c>
      <c r="E4260" s="3">
        <v>2.7534764826262399</v>
      </c>
      <c r="F4260" s="3">
        <v>5.8966006480778701E-3</v>
      </c>
      <c r="G4260" s="3">
        <v>2.0396683744849299E-2</v>
      </c>
      <c r="H4260" s="3" t="str">
        <f>"ELL3"</f>
        <v>ELL3</v>
      </c>
      <c r="I4260" s="3" t="str">
        <f>"protein_coding"</f>
        <v>protein_coding</v>
      </c>
    </row>
    <row r="4261" spans="1:9" x14ac:dyDescent="0.2">
      <c r="A4261" s="3" t="str">
        <f>"ENSG00000092470.12"</f>
        <v>ENSG00000092470.12</v>
      </c>
      <c r="B4261" s="3">
        <v>250.247725860103</v>
      </c>
      <c r="C4261" s="3">
        <v>-2.2439233539336798</v>
      </c>
      <c r="D4261" s="3">
        <v>0.28503596667664599</v>
      </c>
      <c r="E4261" s="3">
        <v>-7.8724217862627004</v>
      </c>
      <c r="F4261" s="4">
        <v>3.4784113503741199E-15</v>
      </c>
      <c r="G4261" s="4">
        <v>8.8246065236167295E-14</v>
      </c>
      <c r="H4261" s="3" t="str">
        <f>"WDR76"</f>
        <v>WDR76</v>
      </c>
      <c r="I4261" s="3" t="str">
        <f>"protein_coding"</f>
        <v>protein_coding</v>
      </c>
    </row>
    <row r="4262" spans="1:9" x14ac:dyDescent="0.2">
      <c r="A4262" s="3" t="str">
        <f>"ENSG00000171877.21"</f>
        <v>ENSG00000171877.21</v>
      </c>
      <c r="B4262" s="3">
        <v>708.91158020438297</v>
      </c>
      <c r="C4262" s="3">
        <v>2.4448120723795101</v>
      </c>
      <c r="D4262" s="3">
        <v>0.23148389942724301</v>
      </c>
      <c r="E4262" s="3">
        <v>10.5614778324915</v>
      </c>
      <c r="F4262" s="4">
        <v>4.4952820326346198E-26</v>
      </c>
      <c r="G4262" s="4">
        <v>2.7158081938624301E-24</v>
      </c>
      <c r="H4262" s="3" t="str">
        <f>"FRMD5"</f>
        <v>FRMD5</v>
      </c>
      <c r="I4262" s="3" t="str">
        <f>"protein_coding"</f>
        <v>protein_coding</v>
      </c>
    </row>
    <row r="4263" spans="1:9" x14ac:dyDescent="0.2">
      <c r="A4263" s="3" t="str">
        <f>"ENSG00000185607.5"</f>
        <v>ENSG00000185607.5</v>
      </c>
      <c r="B4263" s="3">
        <v>72.2924607872053</v>
      </c>
      <c r="C4263" s="3">
        <v>2.7200273791659</v>
      </c>
      <c r="D4263" s="3">
        <v>0.47070279722873898</v>
      </c>
      <c r="E4263" s="3">
        <v>5.7786514020737796</v>
      </c>
      <c r="F4263" s="4">
        <v>7.53017635296592E-9</v>
      </c>
      <c r="G4263" s="4">
        <v>9.1148251927704405E-8</v>
      </c>
      <c r="H4263" s="3" t="str">
        <f>"ACTBP7"</f>
        <v>ACTBP7</v>
      </c>
      <c r="I4263" s="3" t="str">
        <f>"processed_pseudogene"</f>
        <v>processed_pseudogene</v>
      </c>
    </row>
    <row r="4264" spans="1:9" x14ac:dyDescent="0.2">
      <c r="A4264" s="3" t="str">
        <f>"ENSG00000166710.19"</f>
        <v>ENSG00000166710.19</v>
      </c>
      <c r="B4264" s="3">
        <v>7670.8912049967003</v>
      </c>
      <c r="C4264" s="3">
        <v>1.07839562071974</v>
      </c>
      <c r="D4264" s="3">
        <v>0.1698199965752</v>
      </c>
      <c r="E4264" s="3">
        <v>6.3502275495701497</v>
      </c>
      <c r="F4264" s="4">
        <v>2.1499666721249001E-10</v>
      </c>
      <c r="G4264" s="4">
        <v>3.1733554667056901E-9</v>
      </c>
      <c r="H4264" s="3" t="str">
        <f>"B2M"</f>
        <v>B2M</v>
      </c>
      <c r="I4264" s="3" t="str">
        <f>"protein_coding"</f>
        <v>protein_coding</v>
      </c>
    </row>
    <row r="4265" spans="1:9" x14ac:dyDescent="0.2">
      <c r="A4265" s="3" t="str">
        <f>"ENSG00000276121.1"</f>
        <v>ENSG00000276121.1</v>
      </c>
      <c r="B4265" s="3">
        <v>12.1394697957655</v>
      </c>
      <c r="C4265" s="3">
        <v>3.4284277992697199</v>
      </c>
      <c r="D4265" s="3">
        <v>1.20298385328851</v>
      </c>
      <c r="E4265" s="3">
        <v>2.8499366719658701</v>
      </c>
      <c r="F4265" s="3">
        <v>4.3727934659917598E-3</v>
      </c>
      <c r="G4265" s="3">
        <v>1.5810178286607999E-2</v>
      </c>
      <c r="H4265" s="3" t="str">
        <f>"AC122108.2"</f>
        <v>AC122108.2</v>
      </c>
      <c r="I4265" s="3" t="str">
        <f>"lincRNA"</f>
        <v>lincRNA</v>
      </c>
    </row>
    <row r="4266" spans="1:9" x14ac:dyDescent="0.2">
      <c r="A4266" s="3" t="str">
        <f>"ENSG00000140263.14"</f>
        <v>ENSG00000140263.14</v>
      </c>
      <c r="B4266" s="3">
        <v>1990.6614053814301</v>
      </c>
      <c r="C4266" s="3">
        <v>-1.62694257173019</v>
      </c>
      <c r="D4266" s="3">
        <v>0.20870051266939199</v>
      </c>
      <c r="E4266" s="3">
        <v>-7.7955849313483601</v>
      </c>
      <c r="F4266" s="4">
        <v>6.4110799145649598E-15</v>
      </c>
      <c r="G4266" s="4">
        <v>1.5680672749744299E-13</v>
      </c>
      <c r="H4266" s="3" t="str">
        <f>"SORD"</f>
        <v>SORD</v>
      </c>
      <c r="I4266" s="3" t="str">
        <f>"protein_coding"</f>
        <v>protein_coding</v>
      </c>
    </row>
    <row r="4267" spans="1:9" x14ac:dyDescent="0.2">
      <c r="A4267" s="3" t="str">
        <f>"ENSG00000259418.1"</f>
        <v>ENSG00000259418.1</v>
      </c>
      <c r="B4267" s="3">
        <v>10.7862575895894</v>
      </c>
      <c r="C4267" s="3">
        <v>6.82345670499266</v>
      </c>
      <c r="D4267" s="3">
        <v>1.7663455735537099</v>
      </c>
      <c r="E4267" s="3">
        <v>3.86303609393067</v>
      </c>
      <c r="F4267" s="3">
        <v>1.1198645372784101E-4</v>
      </c>
      <c r="G4267" s="3">
        <v>6.3396943792280898E-4</v>
      </c>
      <c r="H4267" s="3" t="str">
        <f>"AC091117.2"</f>
        <v>AC091117.2</v>
      </c>
      <c r="I4267" s="3" t="str">
        <f>"antisense"</f>
        <v>antisense</v>
      </c>
    </row>
    <row r="4268" spans="1:9" x14ac:dyDescent="0.2">
      <c r="A4268" s="3" t="str">
        <f>"ENSG00000140279.12"</f>
        <v>ENSG00000140279.12</v>
      </c>
      <c r="B4268" s="3">
        <v>124.413235448042</v>
      </c>
      <c r="C4268" s="3">
        <v>7.9060050933204398</v>
      </c>
      <c r="D4268" s="3">
        <v>1.0741813233713799</v>
      </c>
      <c r="E4268" s="3">
        <v>7.3600284433422898</v>
      </c>
      <c r="F4268" s="4">
        <v>1.8387104594640999E-13</v>
      </c>
      <c r="G4268" s="4">
        <v>3.98880126504922E-12</v>
      </c>
      <c r="H4268" s="3" t="str">
        <f>"DUOX2"</f>
        <v>DUOX2</v>
      </c>
      <c r="I4268" s="3" t="str">
        <f t="shared" ref="I4268:I4277" si="199">"protein_coding"</f>
        <v>protein_coding</v>
      </c>
    </row>
    <row r="4269" spans="1:9" x14ac:dyDescent="0.2">
      <c r="A4269" s="3" t="str">
        <f>"ENSG00000140274.13"</f>
        <v>ENSG00000140274.13</v>
      </c>
      <c r="B4269" s="3">
        <v>38.316513668274197</v>
      </c>
      <c r="C4269" s="3">
        <v>8.6557989089264904</v>
      </c>
      <c r="D4269" s="3">
        <v>1.5390165971240699</v>
      </c>
      <c r="E4269" s="3">
        <v>5.6242401317187802</v>
      </c>
      <c r="F4269" s="4">
        <v>1.86326312071425E-8</v>
      </c>
      <c r="G4269" s="4">
        <v>2.1340197667129501E-7</v>
      </c>
      <c r="H4269" s="3" t="str">
        <f>"DUOXA2"</f>
        <v>DUOXA2</v>
      </c>
      <c r="I4269" s="3" t="str">
        <f t="shared" si="199"/>
        <v>protein_coding</v>
      </c>
    </row>
    <row r="4270" spans="1:9" x14ac:dyDescent="0.2">
      <c r="A4270" s="3" t="str">
        <f>"ENSG00000137857.17"</f>
        <v>ENSG00000137857.17</v>
      </c>
      <c r="B4270" s="3">
        <v>27.9260373401486</v>
      </c>
      <c r="C4270" s="3">
        <v>6.7442691815578897</v>
      </c>
      <c r="D4270" s="3">
        <v>1.5627825459397799</v>
      </c>
      <c r="E4270" s="3">
        <v>4.3155518975304599</v>
      </c>
      <c r="F4270" s="4">
        <v>1.59204641971691E-5</v>
      </c>
      <c r="G4270" s="3">
        <v>1.08202765772079E-4</v>
      </c>
      <c r="H4270" s="3" t="str">
        <f>"DUOX1"</f>
        <v>DUOX1</v>
      </c>
      <c r="I4270" s="3" t="str">
        <f t="shared" si="199"/>
        <v>protein_coding</v>
      </c>
    </row>
    <row r="4271" spans="1:9" x14ac:dyDescent="0.2">
      <c r="A4271" s="3" t="str">
        <f>"ENSG00000171766.16"</f>
        <v>ENSG00000171766.16</v>
      </c>
      <c r="B4271" s="3">
        <v>146.83384830223</v>
      </c>
      <c r="C4271" s="3">
        <v>-2.0042187168799499</v>
      </c>
      <c r="D4271" s="3">
        <v>0.34372143707422897</v>
      </c>
      <c r="E4271" s="3">
        <v>-5.8309389543461201</v>
      </c>
      <c r="F4271" s="4">
        <v>5.5116347177009498E-9</v>
      </c>
      <c r="G4271" s="4">
        <v>6.7860601515227202E-8</v>
      </c>
      <c r="H4271" s="3" t="str">
        <f>"GATM"</f>
        <v>GATM</v>
      </c>
      <c r="I4271" s="3" t="str">
        <f t="shared" si="199"/>
        <v>protein_coding</v>
      </c>
    </row>
    <row r="4272" spans="1:9" x14ac:dyDescent="0.2">
      <c r="A4272" s="3" t="str">
        <f>"ENSG00000104154.7"</f>
        <v>ENSG00000104154.7</v>
      </c>
      <c r="B4272" s="3">
        <v>12.196374843025</v>
      </c>
      <c r="C4272" s="3">
        <v>2.5177703950355501</v>
      </c>
      <c r="D4272" s="3">
        <v>1.0428683914199599</v>
      </c>
      <c r="E4272" s="3">
        <v>2.4142743377305398</v>
      </c>
      <c r="F4272" s="3">
        <v>1.57665861244707E-2</v>
      </c>
      <c r="G4272" s="3">
        <v>4.6442396987400401E-2</v>
      </c>
      <c r="H4272" s="3" t="str">
        <f>"SLC30A4"</f>
        <v>SLC30A4</v>
      </c>
      <c r="I4272" s="3" t="str">
        <f t="shared" si="199"/>
        <v>protein_coding</v>
      </c>
    </row>
    <row r="4273" spans="1:9" x14ac:dyDescent="0.2">
      <c r="A4273" s="3" t="str">
        <f>"ENSG00000137767.14"</f>
        <v>ENSG00000137767.14</v>
      </c>
      <c r="B4273" s="3">
        <v>226.14133647592601</v>
      </c>
      <c r="C4273" s="3">
        <v>1.2465211359177799</v>
      </c>
      <c r="D4273" s="3">
        <v>0.27833089697197499</v>
      </c>
      <c r="E4273" s="3">
        <v>4.4785582537870097</v>
      </c>
      <c r="F4273" s="4">
        <v>7.5148863941339797E-6</v>
      </c>
      <c r="G4273" s="4">
        <v>5.4704277205709E-5</v>
      </c>
      <c r="H4273" s="3" t="str">
        <f>"SQOR"</f>
        <v>SQOR</v>
      </c>
      <c r="I4273" s="3" t="str">
        <f t="shared" si="199"/>
        <v>protein_coding</v>
      </c>
    </row>
    <row r="4274" spans="1:9" x14ac:dyDescent="0.2">
      <c r="A4274" s="3" t="str">
        <f>"ENSG00000104177.18"</f>
        <v>ENSG00000104177.18</v>
      </c>
      <c r="B4274" s="3">
        <v>911.57311802651202</v>
      </c>
      <c r="C4274" s="3">
        <v>1.17770978443217</v>
      </c>
      <c r="D4274" s="3">
        <v>0.20083925335858599</v>
      </c>
      <c r="E4274" s="3">
        <v>5.8639422559963599</v>
      </c>
      <c r="F4274" s="4">
        <v>4.5200472591987301E-9</v>
      </c>
      <c r="G4274" s="4">
        <v>5.6365092755783899E-8</v>
      </c>
      <c r="H4274" s="3" t="str">
        <f>"MYEF2"</f>
        <v>MYEF2</v>
      </c>
      <c r="I4274" s="3" t="str">
        <f t="shared" si="199"/>
        <v>protein_coding</v>
      </c>
    </row>
    <row r="4275" spans="1:9" x14ac:dyDescent="0.2">
      <c r="A4275" s="3" t="str">
        <f>"ENSG00000074803.18"</f>
        <v>ENSG00000074803.18</v>
      </c>
      <c r="B4275" s="3">
        <v>4.4389149083278303</v>
      </c>
      <c r="C4275" s="3">
        <v>5.5416549708147302</v>
      </c>
      <c r="D4275" s="3">
        <v>2.1243404820932601</v>
      </c>
      <c r="E4275" s="3">
        <v>2.6086472566554701</v>
      </c>
      <c r="F4275" s="3">
        <v>9.0900891388015007E-3</v>
      </c>
      <c r="G4275" s="3">
        <v>2.93596086729403E-2</v>
      </c>
      <c r="H4275" s="3" t="str">
        <f>"SLC12A1"</f>
        <v>SLC12A1</v>
      </c>
      <c r="I4275" s="3" t="str">
        <f t="shared" si="199"/>
        <v>protein_coding</v>
      </c>
    </row>
    <row r="4276" spans="1:9" x14ac:dyDescent="0.2">
      <c r="A4276" s="3" t="str">
        <f>"ENSG00000128951.14"</f>
        <v>ENSG00000128951.14</v>
      </c>
      <c r="B4276" s="3">
        <v>1163.6265754870899</v>
      </c>
      <c r="C4276" s="3">
        <v>-2.66341815004948</v>
      </c>
      <c r="D4276" s="3">
        <v>0.21005870715081501</v>
      </c>
      <c r="E4276" s="3">
        <v>-12.6793989460158</v>
      </c>
      <c r="F4276" s="4">
        <v>7.6919431220409401E-37</v>
      </c>
      <c r="G4276" s="4">
        <v>8.9949516843883902E-35</v>
      </c>
      <c r="H4276" s="3" t="str">
        <f>"DUT"</f>
        <v>DUT</v>
      </c>
      <c r="I4276" s="3" t="str">
        <f t="shared" si="199"/>
        <v>protein_coding</v>
      </c>
    </row>
    <row r="4277" spans="1:9" x14ac:dyDescent="0.2">
      <c r="A4277" s="3" t="str">
        <f>"ENSG00000166147.13"</f>
        <v>ENSG00000166147.13</v>
      </c>
      <c r="B4277" s="3">
        <v>528.282727850573</v>
      </c>
      <c r="C4277" s="3">
        <v>2.4883195908870399</v>
      </c>
      <c r="D4277" s="3">
        <v>0.23937044539746699</v>
      </c>
      <c r="E4277" s="3">
        <v>10.395266578358299</v>
      </c>
      <c r="F4277" s="4">
        <v>2.60557327597875E-25</v>
      </c>
      <c r="G4277" s="4">
        <v>1.49147174476036E-23</v>
      </c>
      <c r="H4277" s="3" t="str">
        <f>"FBN1"</f>
        <v>FBN1</v>
      </c>
      <c r="I4277" s="3" t="str">
        <f t="shared" si="199"/>
        <v>protein_coding</v>
      </c>
    </row>
    <row r="4278" spans="1:9" x14ac:dyDescent="0.2">
      <c r="A4278" s="3" t="str">
        <f>"ENSG00000259469.1"</f>
        <v>ENSG00000259469.1</v>
      </c>
      <c r="B4278" s="3">
        <v>24.096751186109898</v>
      </c>
      <c r="C4278" s="3">
        <v>-1.9467401238577999</v>
      </c>
      <c r="D4278" s="3">
        <v>0.71525276392786996</v>
      </c>
      <c r="E4278" s="3">
        <v>-2.7217512773625798</v>
      </c>
      <c r="F4278" s="3">
        <v>6.49369960922235E-3</v>
      </c>
      <c r="G4278" s="3">
        <v>2.2122259721490602E-2</v>
      </c>
      <c r="H4278" s="3" t="str">
        <f>"AC084757.2"</f>
        <v>AC084757.2</v>
      </c>
      <c r="I4278" s="3" t="str">
        <f>"lincRNA"</f>
        <v>lincRNA</v>
      </c>
    </row>
    <row r="4279" spans="1:9" x14ac:dyDescent="0.2">
      <c r="A4279" s="3" t="str">
        <f>"ENSG00000185634.12"</f>
        <v>ENSG00000185634.12</v>
      </c>
      <c r="B4279" s="3">
        <v>19.0782661485914</v>
      </c>
      <c r="C4279" s="3">
        <v>7.6466521243727996</v>
      </c>
      <c r="D4279" s="3">
        <v>1.6436240568712399</v>
      </c>
      <c r="E4279" s="3">
        <v>4.6523121223528099</v>
      </c>
      <c r="F4279" s="4">
        <v>3.2823375065091699E-6</v>
      </c>
      <c r="G4279" s="4">
        <v>2.5655149179533998E-5</v>
      </c>
      <c r="H4279" s="3" t="str">
        <f>"SHC4"</f>
        <v>SHC4</v>
      </c>
      <c r="I4279" s="3" t="str">
        <f t="shared" ref="I4279:I4284" si="200">"protein_coding"</f>
        <v>protein_coding</v>
      </c>
    </row>
    <row r="4280" spans="1:9" x14ac:dyDescent="0.2">
      <c r="A4280" s="3" t="str">
        <f>"ENSG00000166262.15"</f>
        <v>ENSG00000166262.15</v>
      </c>
      <c r="B4280" s="3">
        <v>48.929747258552403</v>
      </c>
      <c r="C4280" s="3">
        <v>2.0355367891703602</v>
      </c>
      <c r="D4280" s="3">
        <v>0.55182893640194697</v>
      </c>
      <c r="E4280" s="3">
        <v>3.6887097701735998</v>
      </c>
      <c r="F4280" s="3">
        <v>2.25394151339357E-4</v>
      </c>
      <c r="G4280" s="3">
        <v>1.1821586990458999E-3</v>
      </c>
      <c r="H4280" s="3" t="str">
        <f>"FAM227B"</f>
        <v>FAM227B</v>
      </c>
      <c r="I4280" s="3" t="str">
        <f t="shared" si="200"/>
        <v>protein_coding</v>
      </c>
    </row>
    <row r="4281" spans="1:9" x14ac:dyDescent="0.2">
      <c r="A4281" s="3" t="str">
        <f>"ENSG00000140285.10"</f>
        <v>ENSG00000140285.10</v>
      </c>
      <c r="B4281" s="3">
        <v>4.2909566987279701</v>
      </c>
      <c r="C4281" s="3">
        <v>5.4906776166512303</v>
      </c>
      <c r="D4281" s="3">
        <v>2.2108381641221801</v>
      </c>
      <c r="E4281" s="3">
        <v>2.4835276076534099</v>
      </c>
      <c r="F4281" s="3">
        <v>1.30088250259493E-2</v>
      </c>
      <c r="G4281" s="3">
        <v>3.9643379429822101E-2</v>
      </c>
      <c r="H4281" s="3" t="str">
        <f>"FGF7"</f>
        <v>FGF7</v>
      </c>
      <c r="I4281" s="3" t="str">
        <f t="shared" si="200"/>
        <v>protein_coding</v>
      </c>
    </row>
    <row r="4282" spans="1:9" x14ac:dyDescent="0.2">
      <c r="A4282" s="3" t="str">
        <f>"ENSG00000104043.14"</f>
        <v>ENSG00000104043.14</v>
      </c>
      <c r="B4282" s="3">
        <v>61.802893775088101</v>
      </c>
      <c r="C4282" s="3">
        <v>3.8976452465923099</v>
      </c>
      <c r="D4282" s="3">
        <v>0.582568979379677</v>
      </c>
      <c r="E4282" s="3">
        <v>6.6904441955397997</v>
      </c>
      <c r="F4282" s="4">
        <v>2.2249419408599901E-11</v>
      </c>
      <c r="G4282" s="4">
        <v>3.7747816352809602E-10</v>
      </c>
      <c r="H4282" s="3" t="str">
        <f>"ATP8B4"</f>
        <v>ATP8B4</v>
      </c>
      <c r="I4282" s="3" t="str">
        <f t="shared" si="200"/>
        <v>protein_coding</v>
      </c>
    </row>
    <row r="4283" spans="1:9" x14ac:dyDescent="0.2">
      <c r="A4283" s="3" t="str">
        <f>"ENSG00000140287.11"</f>
        <v>ENSG00000140287.11</v>
      </c>
      <c r="B4283" s="3">
        <v>4.5506350131209503</v>
      </c>
      <c r="C4283" s="3">
        <v>5.5810926405007502</v>
      </c>
      <c r="D4283" s="3">
        <v>2.0811975347712699</v>
      </c>
      <c r="E4283" s="3">
        <v>2.6816736745337999</v>
      </c>
      <c r="F4283" s="3">
        <v>7.3254878825888504E-3</v>
      </c>
      <c r="G4283" s="3">
        <v>2.4457489074488199E-2</v>
      </c>
      <c r="H4283" s="3" t="str">
        <f>"HDC"</f>
        <v>HDC</v>
      </c>
      <c r="I4283" s="3" t="str">
        <f t="shared" si="200"/>
        <v>protein_coding</v>
      </c>
    </row>
    <row r="4284" spans="1:9" x14ac:dyDescent="0.2">
      <c r="A4284" s="3" t="str">
        <f>"ENSG00000081014.11"</f>
        <v>ENSG00000081014.11</v>
      </c>
      <c r="B4284" s="3">
        <v>1488.0644090011399</v>
      </c>
      <c r="C4284" s="3">
        <v>1.32958873284889</v>
      </c>
      <c r="D4284" s="3">
        <v>0.19991008936141999</v>
      </c>
      <c r="E4284" s="3">
        <v>6.6509336126858303</v>
      </c>
      <c r="F4284" s="4">
        <v>2.91239635529801E-11</v>
      </c>
      <c r="G4284" s="4">
        <v>4.8833269841726097E-10</v>
      </c>
      <c r="H4284" s="3" t="str">
        <f>"AP4E1"</f>
        <v>AP4E1</v>
      </c>
      <c r="I4284" s="3" t="str">
        <f t="shared" si="200"/>
        <v>protein_coding</v>
      </c>
    </row>
    <row r="4285" spans="1:9" x14ac:dyDescent="0.2">
      <c r="A4285" s="3" t="str">
        <f>"ENSG00000259378.1"</f>
        <v>ENSG00000259378.1</v>
      </c>
      <c r="B4285" s="3">
        <v>61.344315744424399</v>
      </c>
      <c r="C4285" s="3">
        <v>1.7701121849965999</v>
      </c>
      <c r="D4285" s="3">
        <v>0.476306362005807</v>
      </c>
      <c r="E4285" s="3">
        <v>3.7163311813479898</v>
      </c>
      <c r="F4285" s="3">
        <v>2.02136592768499E-4</v>
      </c>
      <c r="G4285" s="3">
        <v>1.0777099247009699E-3</v>
      </c>
      <c r="H4285" s="3" t="str">
        <f>"DCAF13P3"</f>
        <v>DCAF13P3</v>
      </c>
      <c r="I4285" s="3" t="str">
        <f>"processed_pseudogene"</f>
        <v>processed_pseudogene</v>
      </c>
    </row>
    <row r="4286" spans="1:9" x14ac:dyDescent="0.2">
      <c r="A4286" s="3" t="str">
        <f>"ENSG00000183578.7"</f>
        <v>ENSG00000183578.7</v>
      </c>
      <c r="B4286" s="3">
        <v>151.30265325782699</v>
      </c>
      <c r="C4286" s="3">
        <v>1.80727767126835</v>
      </c>
      <c r="D4286" s="3">
        <v>0.33080383686926501</v>
      </c>
      <c r="E4286" s="3">
        <v>5.4632911406725899</v>
      </c>
      <c r="F4286" s="4">
        <v>4.6738710591015902E-8</v>
      </c>
      <c r="G4286" s="4">
        <v>5.0355462533547299E-7</v>
      </c>
      <c r="H4286" s="3" t="str">
        <f>"TNFAIP8L3"</f>
        <v>TNFAIP8L3</v>
      </c>
      <c r="I4286" s="3" t="str">
        <f>"protein_coding"</f>
        <v>protein_coding</v>
      </c>
    </row>
    <row r="4287" spans="1:9" x14ac:dyDescent="0.2">
      <c r="A4287" s="3" t="str">
        <f>"ENSG00000137869.14"</f>
        <v>ENSG00000137869.14</v>
      </c>
      <c r="B4287" s="3">
        <v>182.66257646824599</v>
      </c>
      <c r="C4287" s="3">
        <v>1.7424006943614101</v>
      </c>
      <c r="D4287" s="3">
        <v>0.31464348829275501</v>
      </c>
      <c r="E4287" s="3">
        <v>5.53769824958278</v>
      </c>
      <c r="F4287" s="4">
        <v>3.06472693090879E-8</v>
      </c>
      <c r="G4287" s="4">
        <v>3.4028216977071502E-7</v>
      </c>
      <c r="H4287" s="3" t="str">
        <f>"CYP19A1"</f>
        <v>CYP19A1</v>
      </c>
      <c r="I4287" s="3" t="str">
        <f>"protein_coding"</f>
        <v>protein_coding</v>
      </c>
    </row>
    <row r="4288" spans="1:9" x14ac:dyDescent="0.2">
      <c r="A4288" s="3" t="str">
        <f>"ENSG00000259306.2"</f>
        <v>ENSG00000259306.2</v>
      </c>
      <c r="B4288" s="3">
        <v>27.2293890751818</v>
      </c>
      <c r="C4288" s="3">
        <v>-1.57597491693188</v>
      </c>
      <c r="D4288" s="3">
        <v>0.661043744672421</v>
      </c>
      <c r="E4288" s="3">
        <v>-2.3840705394056099</v>
      </c>
      <c r="F4288" s="3">
        <v>1.7122319992861901E-2</v>
      </c>
      <c r="G4288" s="3">
        <v>4.9763397636854098E-2</v>
      </c>
      <c r="H4288" s="3" t="str">
        <f>"AC020891.2"</f>
        <v>AC020891.2</v>
      </c>
      <c r="I4288" s="3" t="str">
        <f>"lincRNA"</f>
        <v>lincRNA</v>
      </c>
    </row>
    <row r="4289" spans="1:9" x14ac:dyDescent="0.2">
      <c r="A4289" s="3" t="str">
        <f>"ENSG00000186417.14"</f>
        <v>ENSG00000186417.14</v>
      </c>
      <c r="B4289" s="3">
        <v>48.9123474094241</v>
      </c>
      <c r="C4289" s="3">
        <v>-1.8699645408044201</v>
      </c>
      <c r="D4289" s="3">
        <v>0.52062329460870505</v>
      </c>
      <c r="E4289" s="3">
        <v>-3.5917803912517199</v>
      </c>
      <c r="F4289" s="3">
        <v>3.2842656099370498E-4</v>
      </c>
      <c r="G4289" s="3">
        <v>1.6505202488883799E-3</v>
      </c>
      <c r="H4289" s="3" t="str">
        <f>"GLDN"</f>
        <v>GLDN</v>
      </c>
      <c r="I4289" s="3" t="str">
        <f>"protein_coding"</f>
        <v>protein_coding</v>
      </c>
    </row>
    <row r="4290" spans="1:9" x14ac:dyDescent="0.2">
      <c r="A4290" s="3" t="str">
        <f>"ENSG00000140280.14"</f>
        <v>ENSG00000140280.14</v>
      </c>
      <c r="B4290" s="3">
        <v>32.433674766032603</v>
      </c>
      <c r="C4290" s="3">
        <v>3.8716931097030698</v>
      </c>
      <c r="D4290" s="3">
        <v>0.77345358357505201</v>
      </c>
      <c r="E4290" s="3">
        <v>5.0057213411661401</v>
      </c>
      <c r="F4290" s="4">
        <v>5.5653220117626503E-7</v>
      </c>
      <c r="G4290" s="4">
        <v>4.9782069352808104E-6</v>
      </c>
      <c r="H4290" s="3" t="str">
        <f>"LYSMD2"</f>
        <v>LYSMD2</v>
      </c>
      <c r="I4290" s="3" t="str">
        <f>"protein_coding"</f>
        <v>protein_coding</v>
      </c>
    </row>
    <row r="4291" spans="1:9" x14ac:dyDescent="0.2">
      <c r="A4291" s="3" t="str">
        <f>"ENSG00000128872.10"</f>
        <v>ENSG00000128872.10</v>
      </c>
      <c r="B4291" s="3">
        <v>21.729577497717401</v>
      </c>
      <c r="C4291" s="3">
        <v>4.3230485536469399</v>
      </c>
      <c r="D4291" s="3">
        <v>0.99586543025827301</v>
      </c>
      <c r="E4291" s="3">
        <v>4.3409967072818096</v>
      </c>
      <c r="F4291" s="4">
        <v>1.41837849150706E-5</v>
      </c>
      <c r="G4291" s="4">
        <v>9.7469252857737595E-5</v>
      </c>
      <c r="H4291" s="3" t="str">
        <f>"TMOD2"</f>
        <v>TMOD2</v>
      </c>
      <c r="I4291" s="3" t="str">
        <f>"protein_coding"</f>
        <v>protein_coding</v>
      </c>
    </row>
    <row r="4292" spans="1:9" x14ac:dyDescent="0.2">
      <c r="A4292" s="3" t="str">
        <f>"ENSG00000259178.1"</f>
        <v>ENSG00000259178.1</v>
      </c>
      <c r="B4292" s="3">
        <v>59.432713376724799</v>
      </c>
      <c r="C4292" s="3">
        <v>6.83201890267864</v>
      </c>
      <c r="D4292" s="3">
        <v>1.1111197099565999</v>
      </c>
      <c r="E4292" s="3">
        <v>6.1487694273243596</v>
      </c>
      <c r="F4292" s="4">
        <v>7.8086395291394797E-10</v>
      </c>
      <c r="G4292" s="4">
        <v>1.0789148136433201E-8</v>
      </c>
      <c r="H4292" s="3" t="str">
        <f>"AC023906.2"</f>
        <v>AC023906.2</v>
      </c>
      <c r="I4292" s="3" t="str">
        <f>"lincRNA"</f>
        <v>lincRNA</v>
      </c>
    </row>
    <row r="4293" spans="1:9" x14ac:dyDescent="0.2">
      <c r="A4293" s="3" t="str">
        <f>"ENSG00000197535.14"</f>
        <v>ENSG00000197535.14</v>
      </c>
      <c r="B4293" s="3">
        <v>699.09953068753498</v>
      </c>
      <c r="C4293" s="3">
        <v>1.09854443568367</v>
      </c>
      <c r="D4293" s="3">
        <v>0.21476977844723999</v>
      </c>
      <c r="E4293" s="3">
        <v>5.1149861196767201</v>
      </c>
      <c r="F4293" s="4">
        <v>3.13764028006925E-7</v>
      </c>
      <c r="G4293" s="4">
        <v>2.9267814005836001E-6</v>
      </c>
      <c r="H4293" s="3" t="str">
        <f>"MYO5A"</f>
        <v>MYO5A</v>
      </c>
      <c r="I4293" s="3" t="str">
        <f>"protein_coding"</f>
        <v>protein_coding</v>
      </c>
    </row>
    <row r="4294" spans="1:9" x14ac:dyDescent="0.2">
      <c r="A4294" s="3" t="str">
        <f>"ENSG00000047346.12"</f>
        <v>ENSG00000047346.12</v>
      </c>
      <c r="B4294" s="3">
        <v>996.25452637271701</v>
      </c>
      <c r="C4294" s="3">
        <v>2.3602065012389901</v>
      </c>
      <c r="D4294" s="3">
        <v>0.215123769221224</v>
      </c>
      <c r="E4294" s="3">
        <v>10.971388748827</v>
      </c>
      <c r="F4294" s="4">
        <v>5.2460378077570003E-28</v>
      </c>
      <c r="G4294" s="4">
        <v>3.53808891455334E-26</v>
      </c>
      <c r="H4294" s="3" t="str">
        <f>"FAM214A"</f>
        <v>FAM214A</v>
      </c>
      <c r="I4294" s="3" t="str">
        <f>"protein_coding"</f>
        <v>protein_coding</v>
      </c>
    </row>
    <row r="4295" spans="1:9" x14ac:dyDescent="0.2">
      <c r="A4295" s="3" t="str">
        <f>"ENSG00000259935.1"</f>
        <v>ENSG00000259935.1</v>
      </c>
      <c r="B4295" s="3">
        <v>46.060634794087299</v>
      </c>
      <c r="C4295" s="3">
        <v>2.2512474950062802</v>
      </c>
      <c r="D4295" s="3">
        <v>0.57945680579949599</v>
      </c>
      <c r="E4295" s="3">
        <v>3.8850997563142999</v>
      </c>
      <c r="F4295" s="3">
        <v>1.02287879206233E-4</v>
      </c>
      <c r="G4295" s="3">
        <v>5.8465236935855498E-4</v>
      </c>
      <c r="H4295" s="3" t="str">
        <f>"AC009754.1"</f>
        <v>AC009754.1</v>
      </c>
      <c r="I4295" s="3" t="str">
        <f>"sense_intronic"</f>
        <v>sense_intronic</v>
      </c>
    </row>
    <row r="4296" spans="1:9" x14ac:dyDescent="0.2">
      <c r="A4296" s="3" t="str">
        <f>"ENSG00000166415.15"</f>
        <v>ENSG00000166415.15</v>
      </c>
      <c r="B4296" s="3">
        <v>269.39844865622302</v>
      </c>
      <c r="C4296" s="3">
        <v>-1.0813016139850999</v>
      </c>
      <c r="D4296" s="3">
        <v>0.26333571880846801</v>
      </c>
      <c r="E4296" s="3">
        <v>-4.1061714638550999</v>
      </c>
      <c r="F4296" s="4">
        <v>4.0227092474474502E-5</v>
      </c>
      <c r="G4296" s="3">
        <v>2.5087379003250299E-4</v>
      </c>
      <c r="H4296" s="3" t="str">
        <f>"WDR72"</f>
        <v>WDR72</v>
      </c>
      <c r="I4296" s="3" t="str">
        <f>"protein_coding"</f>
        <v>protein_coding</v>
      </c>
    </row>
    <row r="4297" spans="1:9" x14ac:dyDescent="0.2">
      <c r="A4297" s="3" t="str">
        <f>"ENSG00000280362.1"</f>
        <v>ENSG00000280362.1</v>
      </c>
      <c r="B4297" s="3">
        <v>15.0299604157942</v>
      </c>
      <c r="C4297" s="3">
        <v>3.1371857154621199</v>
      </c>
      <c r="D4297" s="3">
        <v>1.0711932435304701</v>
      </c>
      <c r="E4297" s="3">
        <v>2.9286832552476501</v>
      </c>
      <c r="F4297" s="3">
        <v>3.4040110798744098E-3</v>
      </c>
      <c r="G4297" s="3">
        <v>1.2768321846549901E-2</v>
      </c>
      <c r="H4297" s="3" t="str">
        <f>"AC084759.3"</f>
        <v>AC084759.3</v>
      </c>
      <c r="I4297" s="3" t="str">
        <f>"TEC"</f>
        <v>TEC</v>
      </c>
    </row>
    <row r="4298" spans="1:9" x14ac:dyDescent="0.2">
      <c r="A4298" s="3" t="str">
        <f>"ENSG00000069974.16"</f>
        <v>ENSG00000069974.16</v>
      </c>
      <c r="B4298" s="3">
        <v>406.09404125418399</v>
      </c>
      <c r="C4298" s="3">
        <v>1.0766565670375901</v>
      </c>
      <c r="D4298" s="3">
        <v>0.23267785348828901</v>
      </c>
      <c r="E4298" s="3">
        <v>4.6272412732730297</v>
      </c>
      <c r="F4298" s="4">
        <v>3.7056872324112199E-6</v>
      </c>
      <c r="G4298" s="4">
        <v>2.8692486507959199E-5</v>
      </c>
      <c r="H4298" s="3" t="str">
        <f>"RAB27A"</f>
        <v>RAB27A</v>
      </c>
      <c r="I4298" s="3" t="str">
        <f>"protein_coding"</f>
        <v>protein_coding</v>
      </c>
    </row>
    <row r="4299" spans="1:9" x14ac:dyDescent="0.2">
      <c r="A4299" s="3" t="str">
        <f>"ENSG00000166450.13"</f>
        <v>ENSG00000166450.13</v>
      </c>
      <c r="B4299" s="3">
        <v>3627.18310833344</v>
      </c>
      <c r="C4299" s="3">
        <v>-1.3343717477664701</v>
      </c>
      <c r="D4299" s="3">
        <v>0.19792466796109601</v>
      </c>
      <c r="E4299" s="3">
        <v>-6.7418162754162303</v>
      </c>
      <c r="F4299" s="4">
        <v>1.5641879957137E-11</v>
      </c>
      <c r="G4299" s="4">
        <v>2.6940221440715E-10</v>
      </c>
      <c r="H4299" s="3" t="str">
        <f>"PRTG"</f>
        <v>PRTG</v>
      </c>
      <c r="I4299" s="3" t="str">
        <f>"protein_coding"</f>
        <v>protein_coding</v>
      </c>
    </row>
    <row r="4300" spans="1:9" x14ac:dyDescent="0.2">
      <c r="A4300" s="3" t="str">
        <f>"ENSG00000151575.14"</f>
        <v>ENSG00000151575.14</v>
      </c>
      <c r="B4300" s="3">
        <v>555.03544266459801</v>
      </c>
      <c r="C4300" s="3">
        <v>2.4525740462613301</v>
      </c>
      <c r="D4300" s="3">
        <v>0.24366265983673499</v>
      </c>
      <c r="E4300" s="3">
        <v>10.0654488788092</v>
      </c>
      <c r="F4300" s="4">
        <v>7.8528282267615902E-24</v>
      </c>
      <c r="G4300" s="4">
        <v>4.0143716828250101E-22</v>
      </c>
      <c r="H4300" s="3" t="str">
        <f>"TEX9"</f>
        <v>TEX9</v>
      </c>
      <c r="I4300" s="3" t="str">
        <f>"protein_coding"</f>
        <v>protein_coding</v>
      </c>
    </row>
    <row r="4301" spans="1:9" x14ac:dyDescent="0.2">
      <c r="A4301" s="3" t="str">
        <f>"ENSG00000277245.1"</f>
        <v>ENSG00000277245.1</v>
      </c>
      <c r="B4301" s="3">
        <v>9.3158607636719797</v>
      </c>
      <c r="C4301" s="3">
        <v>5.1315671139241399</v>
      </c>
      <c r="D4301" s="3">
        <v>1.7877146086435001</v>
      </c>
      <c r="E4301" s="3">
        <v>2.8704621470973599</v>
      </c>
      <c r="F4301" s="3">
        <v>4.0987226724449998E-3</v>
      </c>
      <c r="G4301" s="3">
        <v>1.49561934720917E-2</v>
      </c>
      <c r="H4301" s="3" t="str">
        <f>"AC084782.3"</f>
        <v>AC084782.3</v>
      </c>
      <c r="I4301" s="3" t="str">
        <f>"antisense"</f>
        <v>antisense</v>
      </c>
    </row>
    <row r="4302" spans="1:9" x14ac:dyDescent="0.2">
      <c r="A4302" s="3" t="str">
        <f>"ENSG00000128849.10"</f>
        <v>ENSG00000128849.10</v>
      </c>
      <c r="B4302" s="3">
        <v>1328.1268810229601</v>
      </c>
      <c r="C4302" s="3">
        <v>-3.58948950290331</v>
      </c>
      <c r="D4302" s="3">
        <v>0.21998284151917599</v>
      </c>
      <c r="E4302" s="3">
        <v>-16.317134000609801</v>
      </c>
      <c r="F4302" s="4">
        <v>7.4554570505417005E-60</v>
      </c>
      <c r="G4302" s="4">
        <v>2.1610514708096801E-57</v>
      </c>
      <c r="H4302" s="3" t="str">
        <f>"CGNL1"</f>
        <v>CGNL1</v>
      </c>
      <c r="I4302" s="3" t="str">
        <f>"protein_coding"</f>
        <v>protein_coding</v>
      </c>
    </row>
    <row r="4303" spans="1:9" x14ac:dyDescent="0.2">
      <c r="A4303" s="3" t="str">
        <f>"ENSG00000276772.1"</f>
        <v>ENSG00000276772.1</v>
      </c>
      <c r="B4303" s="3">
        <v>12.815330325708899</v>
      </c>
      <c r="C4303" s="3">
        <v>-3.3009997924867398</v>
      </c>
      <c r="D4303" s="3">
        <v>1.0801035508093499</v>
      </c>
      <c r="E4303" s="3">
        <v>-3.05618826085075</v>
      </c>
      <c r="F4303" s="3">
        <v>2.2417045434120798E-3</v>
      </c>
      <c r="G4303" s="3">
        <v>8.8856158996725408E-3</v>
      </c>
      <c r="H4303" s="3" t="str">
        <f>"AC025271.4"</f>
        <v>AC025271.4</v>
      </c>
      <c r="I4303" s="3" t="str">
        <f>"lincRNA"</f>
        <v>lincRNA</v>
      </c>
    </row>
    <row r="4304" spans="1:9" x14ac:dyDescent="0.2">
      <c r="A4304" s="3" t="str">
        <f>"ENSG00000103569.9"</f>
        <v>ENSG00000103569.9</v>
      </c>
      <c r="B4304" s="3">
        <v>4.9915038515476402</v>
      </c>
      <c r="C4304" s="3">
        <v>5.7155107172183204</v>
      </c>
      <c r="D4304" s="3">
        <v>2.03125899621197</v>
      </c>
      <c r="E4304" s="3">
        <v>2.81377742960253</v>
      </c>
      <c r="F4304" s="3">
        <v>4.8963116077231396E-3</v>
      </c>
      <c r="G4304" s="3">
        <v>1.7423247012620099E-2</v>
      </c>
      <c r="H4304" s="3" t="str">
        <f>"AQP9"</f>
        <v>AQP9</v>
      </c>
      <c r="I4304" s="3" t="str">
        <f>"protein_coding"</f>
        <v>protein_coding</v>
      </c>
    </row>
    <row r="4305" spans="1:9" x14ac:dyDescent="0.2">
      <c r="A4305" s="3" t="str">
        <f>"ENSG00000225798.1"</f>
        <v>ENSG00000225798.1</v>
      </c>
      <c r="B4305" s="3">
        <v>53.885951494939903</v>
      </c>
      <c r="C4305" s="3">
        <v>1.4867096350198099</v>
      </c>
      <c r="D4305" s="3">
        <v>0.51236546621841605</v>
      </c>
      <c r="E4305" s="3">
        <v>2.9016585485213802</v>
      </c>
      <c r="F4305" s="3">
        <v>3.7119288910277101E-3</v>
      </c>
      <c r="G4305" s="3">
        <v>1.37566548549826E-2</v>
      </c>
      <c r="H4305" s="3" t="str">
        <f>"AC025918.1"</f>
        <v>AC025918.1</v>
      </c>
      <c r="I4305" s="3" t="str">
        <f>"antisense"</f>
        <v>antisense</v>
      </c>
    </row>
    <row r="4306" spans="1:9" x14ac:dyDescent="0.2">
      <c r="A4306" s="3" t="str">
        <f>"ENSG00000259735.1"</f>
        <v>ENSG00000259735.1</v>
      </c>
      <c r="B4306" s="3">
        <v>41.563194505078499</v>
      </c>
      <c r="C4306" s="3">
        <v>1.4524722868752</v>
      </c>
      <c r="D4306" s="3">
        <v>0.56441897148819997</v>
      </c>
      <c r="E4306" s="3">
        <v>2.5733938089385502</v>
      </c>
      <c r="F4306" s="3">
        <v>1.00706545738075E-2</v>
      </c>
      <c r="G4306" s="3">
        <v>3.1988240285909499E-2</v>
      </c>
      <c r="H4306" s="3" t="str">
        <f>"AC092868.2"</f>
        <v>AC092868.2</v>
      </c>
      <c r="I4306" s="3" t="str">
        <f>"sense_intronic"</f>
        <v>sense_intronic</v>
      </c>
    </row>
    <row r="4307" spans="1:9" x14ac:dyDescent="0.2">
      <c r="A4307" s="3" t="str">
        <f>"ENSG00000140297.13"</f>
        <v>ENSG00000140297.13</v>
      </c>
      <c r="B4307" s="3">
        <v>367.66047977903298</v>
      </c>
      <c r="C4307" s="3">
        <v>-1.12338982055569</v>
      </c>
      <c r="D4307" s="3">
        <v>0.251881824057129</v>
      </c>
      <c r="E4307" s="3">
        <v>-4.4599876341251701</v>
      </c>
      <c r="F4307" s="4">
        <v>8.1964381949185804E-6</v>
      </c>
      <c r="G4307" s="4">
        <v>5.93012085759284E-5</v>
      </c>
      <c r="H4307" s="3" t="str">
        <f>"GCNT3"</f>
        <v>GCNT3</v>
      </c>
      <c r="I4307" s="3" t="str">
        <f>"protein_coding"</f>
        <v>protein_coding</v>
      </c>
    </row>
    <row r="4308" spans="1:9" x14ac:dyDescent="0.2">
      <c r="A4308" s="3" t="str">
        <f>"ENSG00000182718.16"</f>
        <v>ENSG00000182718.16</v>
      </c>
      <c r="B4308" s="3">
        <v>3114.4021058236399</v>
      </c>
      <c r="C4308" s="3">
        <v>-1.2165018533224901</v>
      </c>
      <c r="D4308" s="3">
        <v>0.18489911313748</v>
      </c>
      <c r="E4308" s="3">
        <v>-6.5792735978023398</v>
      </c>
      <c r="F4308" s="4">
        <v>4.7275215860311E-11</v>
      </c>
      <c r="G4308" s="4">
        <v>7.6839795097948402E-10</v>
      </c>
      <c r="H4308" s="3" t="str">
        <f>"ANXA2"</f>
        <v>ANXA2</v>
      </c>
      <c r="I4308" s="3" t="str">
        <f>"protein_coding"</f>
        <v>protein_coding</v>
      </c>
    </row>
    <row r="4309" spans="1:9" x14ac:dyDescent="0.2">
      <c r="A4309" s="3" t="str">
        <f>"ENSG00000171914.16"</f>
        <v>ENSG00000171914.16</v>
      </c>
      <c r="B4309" s="3">
        <v>1602.2390584985301</v>
      </c>
      <c r="C4309" s="3">
        <v>-1.43110969532444</v>
      </c>
      <c r="D4309" s="3">
        <v>0.21266563622817899</v>
      </c>
      <c r="E4309" s="3">
        <v>-6.7293885401820797</v>
      </c>
      <c r="F4309" s="4">
        <v>1.70377540114398E-11</v>
      </c>
      <c r="G4309" s="4">
        <v>2.9233481331845101E-10</v>
      </c>
      <c r="H4309" s="3" t="str">
        <f>"TLN2"</f>
        <v>TLN2</v>
      </c>
      <c r="I4309" s="3" t="str">
        <f>"protein_coding"</f>
        <v>protein_coding</v>
      </c>
    </row>
    <row r="4310" spans="1:9" x14ac:dyDescent="0.2">
      <c r="A4310" s="3" t="str">
        <f>"ENSG00000259370.2"</f>
        <v>ENSG00000259370.2</v>
      </c>
      <c r="B4310" s="3">
        <v>89.885950970295696</v>
      </c>
      <c r="C4310" s="3">
        <v>2.0176392416265498</v>
      </c>
      <c r="D4310" s="3">
        <v>0.41763007122165602</v>
      </c>
      <c r="E4310" s="3">
        <v>4.8311637036206099</v>
      </c>
      <c r="F4310" s="4">
        <v>1.35737338096889E-6</v>
      </c>
      <c r="G4310" s="4">
        <v>1.1383303327565199E-5</v>
      </c>
      <c r="H4310" s="3" t="str">
        <f>"AC103740.1"</f>
        <v>AC103740.1</v>
      </c>
      <c r="I4310" s="3" t="str">
        <f>"antisense"</f>
        <v>antisense</v>
      </c>
    </row>
    <row r="4311" spans="1:9" x14ac:dyDescent="0.2">
      <c r="A4311" s="3" t="str">
        <f>"ENSG00000140416.21"</f>
        <v>ENSG00000140416.21</v>
      </c>
      <c r="B4311" s="3">
        <v>2353.5476334892201</v>
      </c>
      <c r="C4311" s="3">
        <v>-1.34961119895183</v>
      </c>
      <c r="D4311" s="3">
        <v>0.18391933215067099</v>
      </c>
      <c r="E4311" s="3">
        <v>-7.3380605680222599</v>
      </c>
      <c r="F4311" s="4">
        <v>2.1671110210405301E-13</v>
      </c>
      <c r="G4311" s="4">
        <v>4.6567250780986796E-12</v>
      </c>
      <c r="H4311" s="3" t="str">
        <f>"TPM1"</f>
        <v>TPM1</v>
      </c>
      <c r="I4311" s="3" t="str">
        <f t="shared" ref="I4311:I4318" si="201">"protein_coding"</f>
        <v>protein_coding</v>
      </c>
    </row>
    <row r="4312" spans="1:9" x14ac:dyDescent="0.2">
      <c r="A4312" s="3" t="str">
        <f>"ENSG00000185088.14"</f>
        <v>ENSG00000185088.14</v>
      </c>
      <c r="B4312" s="3">
        <v>6018.1181161198201</v>
      </c>
      <c r="C4312" s="3">
        <v>1.1393780927025501</v>
      </c>
      <c r="D4312" s="3">
        <v>0.18261682943750299</v>
      </c>
      <c r="E4312" s="3">
        <v>6.2391735537850597</v>
      </c>
      <c r="F4312" s="4">
        <v>4.39888728584418E-10</v>
      </c>
      <c r="G4312" s="4">
        <v>6.2263107468777402E-9</v>
      </c>
      <c r="H4312" s="3" t="str">
        <f>"RPS27L"</f>
        <v>RPS27L</v>
      </c>
      <c r="I4312" s="3" t="str">
        <f t="shared" si="201"/>
        <v>protein_coding</v>
      </c>
    </row>
    <row r="4313" spans="1:9" x14ac:dyDescent="0.2">
      <c r="A4313" s="3" t="str">
        <f>"ENSG00000035664.11"</f>
        <v>ENSG00000035664.11</v>
      </c>
      <c r="B4313" s="3">
        <v>17.775789941952201</v>
      </c>
      <c r="C4313" s="3">
        <v>2.0924797556461798</v>
      </c>
      <c r="D4313" s="3">
        <v>0.87423794255926801</v>
      </c>
      <c r="E4313" s="3">
        <v>2.3934899799939999</v>
      </c>
      <c r="F4313" s="3">
        <v>1.6688937167083501E-2</v>
      </c>
      <c r="G4313" s="3">
        <v>4.8686030430255801E-2</v>
      </c>
      <c r="H4313" s="3" t="str">
        <f>"DAPK2"</f>
        <v>DAPK2</v>
      </c>
      <c r="I4313" s="3" t="str">
        <f t="shared" si="201"/>
        <v>protein_coding</v>
      </c>
    </row>
    <row r="4314" spans="1:9" x14ac:dyDescent="0.2">
      <c r="A4314" s="3" t="str">
        <f>"ENSG00000166794.4"</f>
        <v>ENSG00000166794.4</v>
      </c>
      <c r="B4314" s="3">
        <v>13884.8251402809</v>
      </c>
      <c r="C4314" s="3">
        <v>-1.3312371372921501</v>
      </c>
      <c r="D4314" s="3">
        <v>0.21072850581174801</v>
      </c>
      <c r="E4314" s="3">
        <v>-6.3173092418801504</v>
      </c>
      <c r="F4314" s="4">
        <v>2.66156659520736E-10</v>
      </c>
      <c r="G4314" s="4">
        <v>3.8780590919580201E-9</v>
      </c>
      <c r="H4314" s="3" t="str">
        <f>"PPIB"</f>
        <v>PPIB</v>
      </c>
      <c r="I4314" s="3" t="str">
        <f t="shared" si="201"/>
        <v>protein_coding</v>
      </c>
    </row>
    <row r="4315" spans="1:9" x14ac:dyDescent="0.2">
      <c r="A4315" s="3" t="str">
        <f>"ENSG00000169118.18"</f>
        <v>ENSG00000169118.18</v>
      </c>
      <c r="B4315" s="3">
        <v>1679.56717206557</v>
      </c>
      <c r="C4315" s="3">
        <v>1.41023033647582</v>
      </c>
      <c r="D4315" s="3">
        <v>0.19131755147440899</v>
      </c>
      <c r="E4315" s="3">
        <v>7.3711498271210898</v>
      </c>
      <c r="F4315" s="4">
        <v>1.6916259460296601E-13</v>
      </c>
      <c r="G4315" s="4">
        <v>3.6902908047614201E-12</v>
      </c>
      <c r="H4315" s="3" t="str">
        <f>"CSNK1G1"</f>
        <v>CSNK1G1</v>
      </c>
      <c r="I4315" s="3" t="str">
        <f t="shared" si="201"/>
        <v>protein_coding</v>
      </c>
    </row>
    <row r="4316" spans="1:9" x14ac:dyDescent="0.2">
      <c r="A4316" s="3" t="str">
        <f>"ENSG00000259316.11"</f>
        <v>ENSG00000259316.11</v>
      </c>
      <c r="B4316" s="3">
        <v>109.24844992617</v>
      </c>
      <c r="C4316" s="3">
        <v>2.00985760701675</v>
      </c>
      <c r="D4316" s="3">
        <v>0.38359604547112103</v>
      </c>
      <c r="E4316" s="3">
        <v>5.2395159719342201</v>
      </c>
      <c r="F4316" s="4">
        <v>1.6099831254602101E-7</v>
      </c>
      <c r="G4316" s="4">
        <v>1.5796618732234199E-6</v>
      </c>
      <c r="H4316" s="3" t="str">
        <f>"AC087632.1"</f>
        <v>AC087632.1</v>
      </c>
      <c r="I4316" s="3" t="str">
        <f t="shared" si="201"/>
        <v>protein_coding</v>
      </c>
    </row>
    <row r="4317" spans="1:9" x14ac:dyDescent="0.2">
      <c r="A4317" s="3" t="str">
        <f>"ENSG00000166831.9"</f>
        <v>ENSG00000166831.9</v>
      </c>
      <c r="B4317" s="3">
        <v>380.348180325915</v>
      </c>
      <c r="C4317" s="3">
        <v>2.70024820528646</v>
      </c>
      <c r="D4317" s="3">
        <v>0.267721922018613</v>
      </c>
      <c r="E4317" s="3">
        <v>10.086018301851</v>
      </c>
      <c r="F4317" s="4">
        <v>6.3701219343260802E-24</v>
      </c>
      <c r="G4317" s="4">
        <v>3.2748436291430699E-22</v>
      </c>
      <c r="H4317" s="3" t="str">
        <f>"RBPMS2"</f>
        <v>RBPMS2</v>
      </c>
      <c r="I4317" s="3" t="str">
        <f t="shared" si="201"/>
        <v>protein_coding</v>
      </c>
    </row>
    <row r="4318" spans="1:9" x14ac:dyDescent="0.2">
      <c r="A4318" s="3" t="str">
        <f>"ENSG00000140451.13"</f>
        <v>ENSG00000140451.13</v>
      </c>
      <c r="B4318" s="3">
        <v>542.31139289766099</v>
      </c>
      <c r="C4318" s="3">
        <v>-1.2291082979885899</v>
      </c>
      <c r="D4318" s="3">
        <v>0.253537103396756</v>
      </c>
      <c r="E4318" s="3">
        <v>-4.84784389157109</v>
      </c>
      <c r="F4318" s="4">
        <v>1.2481055240462801E-6</v>
      </c>
      <c r="G4318" s="4">
        <v>1.0505755703950901E-5</v>
      </c>
      <c r="H4318" s="3" t="str">
        <f>"PIF1"</f>
        <v>PIF1</v>
      </c>
      <c r="I4318" s="3" t="str">
        <f t="shared" si="201"/>
        <v>protein_coding</v>
      </c>
    </row>
    <row r="4319" spans="1:9" x14ac:dyDescent="0.2">
      <c r="A4319" s="3" t="str">
        <f>"ENSG00000274383.1"</f>
        <v>ENSG00000274383.1</v>
      </c>
      <c r="B4319" s="3">
        <v>55.372031756249903</v>
      </c>
      <c r="C4319" s="3">
        <v>2.0814758715762101</v>
      </c>
      <c r="D4319" s="3">
        <v>0.49599747805398597</v>
      </c>
      <c r="E4319" s="3">
        <v>4.1965452722516901</v>
      </c>
      <c r="F4319" s="4">
        <v>2.7101730733703599E-5</v>
      </c>
      <c r="G4319" s="3">
        <v>1.7527672853102799E-4</v>
      </c>
      <c r="H4319" s="3" t="str">
        <f>"AC103691.1"</f>
        <v>AC103691.1</v>
      </c>
      <c r="I4319" s="3" t="str">
        <f>"antisense"</f>
        <v>antisense</v>
      </c>
    </row>
    <row r="4320" spans="1:9" x14ac:dyDescent="0.2">
      <c r="A4320" s="3" t="str">
        <f>"ENSG00000138617.15"</f>
        <v>ENSG00000138617.15</v>
      </c>
      <c r="B4320" s="3">
        <v>371.98127240093601</v>
      </c>
      <c r="C4320" s="3">
        <v>-1.1249430792151001</v>
      </c>
      <c r="D4320" s="3">
        <v>0.244498474207029</v>
      </c>
      <c r="E4320" s="3">
        <v>-4.6010229015276103</v>
      </c>
      <c r="F4320" s="4">
        <v>4.20421195501099E-6</v>
      </c>
      <c r="G4320" s="4">
        <v>3.2250045928542902E-5</v>
      </c>
      <c r="H4320" s="3" t="str">
        <f>"PARP16"</f>
        <v>PARP16</v>
      </c>
      <c r="I4320" s="3" t="str">
        <f t="shared" ref="I4320:I4330" si="202">"protein_coding"</f>
        <v>protein_coding</v>
      </c>
    </row>
    <row r="4321" spans="1:9" x14ac:dyDescent="0.2">
      <c r="A4321" s="3" t="str">
        <f>"ENSG00000174498.14"</f>
        <v>ENSG00000174498.14</v>
      </c>
      <c r="B4321" s="3">
        <v>5738.3013988692701</v>
      </c>
      <c r="C4321" s="3">
        <v>-2.7682829799175099</v>
      </c>
      <c r="D4321" s="3">
        <v>0.19566983968656601</v>
      </c>
      <c r="E4321" s="3">
        <v>-14.1477244748188</v>
      </c>
      <c r="F4321" s="4">
        <v>1.9289869971287301E-45</v>
      </c>
      <c r="G4321" s="4">
        <v>3.1854005279252399E-43</v>
      </c>
      <c r="H4321" s="3" t="str">
        <f>"IGDCC3"</f>
        <v>IGDCC3</v>
      </c>
      <c r="I4321" s="3" t="str">
        <f t="shared" si="202"/>
        <v>protein_coding</v>
      </c>
    </row>
    <row r="4322" spans="1:9" x14ac:dyDescent="0.2">
      <c r="A4322" s="3" t="str">
        <f>"ENSG00000103742.12"</f>
        <v>ENSG00000103742.12</v>
      </c>
      <c r="B4322" s="3">
        <v>1007.85036970924</v>
      </c>
      <c r="C4322" s="3">
        <v>4.5862152883273302</v>
      </c>
      <c r="D4322" s="3">
        <v>0.23003501456025499</v>
      </c>
      <c r="E4322" s="3">
        <v>19.937031312796201</v>
      </c>
      <c r="F4322" s="4">
        <v>1.9425644629126001E-88</v>
      </c>
      <c r="G4322" s="4">
        <v>1.70738883616063E-85</v>
      </c>
      <c r="H4322" s="3" t="str">
        <f>"IGDCC4"</f>
        <v>IGDCC4</v>
      </c>
      <c r="I4322" s="3" t="str">
        <f t="shared" si="202"/>
        <v>protein_coding</v>
      </c>
    </row>
    <row r="4323" spans="1:9" x14ac:dyDescent="0.2">
      <c r="A4323" s="3" t="str">
        <f>"ENSG00000157890.17"</f>
        <v>ENSG00000157890.17</v>
      </c>
      <c r="B4323" s="3">
        <v>9.6538589694617105</v>
      </c>
      <c r="C4323" s="3">
        <v>6.6684028122708501</v>
      </c>
      <c r="D4323" s="3">
        <v>1.7739601857798399</v>
      </c>
      <c r="E4323" s="3">
        <v>3.75904874626</v>
      </c>
      <c r="F4323" s="3">
        <v>1.7056060757053701E-4</v>
      </c>
      <c r="G4323" s="3">
        <v>9.2409323413689202E-4</v>
      </c>
      <c r="H4323" s="3" t="str">
        <f>"MEGF11"</f>
        <v>MEGF11</v>
      </c>
      <c r="I4323" s="3" t="str">
        <f t="shared" si="202"/>
        <v>protein_coding</v>
      </c>
    </row>
    <row r="4324" spans="1:9" x14ac:dyDescent="0.2">
      <c r="A4324" s="3" t="str">
        <f>"ENSG00000166938.13"</f>
        <v>ENSG00000166938.13</v>
      </c>
      <c r="B4324" s="3">
        <v>1330.6988117041401</v>
      </c>
      <c r="C4324" s="3">
        <v>-1.5347221350719999</v>
      </c>
      <c r="D4324" s="3">
        <v>0.18950802457949301</v>
      </c>
      <c r="E4324" s="3">
        <v>-8.0984546088613296</v>
      </c>
      <c r="F4324" s="4">
        <v>5.5661724261726996E-16</v>
      </c>
      <c r="G4324" s="4">
        <v>1.5186871137686499E-14</v>
      </c>
      <c r="H4324" s="3" t="str">
        <f>"DIS3L"</f>
        <v>DIS3L</v>
      </c>
      <c r="I4324" s="3" t="str">
        <f t="shared" si="202"/>
        <v>protein_coding</v>
      </c>
    </row>
    <row r="4325" spans="1:9" x14ac:dyDescent="0.2">
      <c r="A4325" s="3" t="str">
        <f>"ENSG00000137834.15"</f>
        <v>ENSG00000137834.15</v>
      </c>
      <c r="B4325" s="3">
        <v>971.694186330202</v>
      </c>
      <c r="C4325" s="3">
        <v>-1.6750026154199</v>
      </c>
      <c r="D4325" s="3">
        <v>0.20369342825837899</v>
      </c>
      <c r="E4325" s="3">
        <v>-8.2231549134477309</v>
      </c>
      <c r="F4325" s="4">
        <v>1.9821853414639399E-16</v>
      </c>
      <c r="G4325" s="4">
        <v>5.6200420394243502E-15</v>
      </c>
      <c r="H4325" s="3" t="str">
        <f>"SMAD6"</f>
        <v>SMAD6</v>
      </c>
      <c r="I4325" s="3" t="str">
        <f t="shared" si="202"/>
        <v>protein_coding</v>
      </c>
    </row>
    <row r="4326" spans="1:9" x14ac:dyDescent="0.2">
      <c r="A4326" s="3" t="str">
        <f>"ENSG00000166949.16"</f>
        <v>ENSG00000166949.16</v>
      </c>
      <c r="B4326" s="3">
        <v>5371.5102202071803</v>
      </c>
      <c r="C4326" s="3">
        <v>1.18145275038811</v>
      </c>
      <c r="D4326" s="3">
        <v>0.17449169329480699</v>
      </c>
      <c r="E4326" s="3">
        <v>6.7708251784342703</v>
      </c>
      <c r="F4326" s="4">
        <v>1.28049929538357E-11</v>
      </c>
      <c r="G4326" s="4">
        <v>2.2265325016793899E-10</v>
      </c>
      <c r="H4326" s="3" t="str">
        <f>"SMAD3"</f>
        <v>SMAD3</v>
      </c>
      <c r="I4326" s="3" t="str">
        <f t="shared" si="202"/>
        <v>protein_coding</v>
      </c>
    </row>
    <row r="4327" spans="1:9" x14ac:dyDescent="0.2">
      <c r="A4327" s="3" t="str">
        <f>"ENSG00000189227.6"</f>
        <v>ENSG00000189227.6</v>
      </c>
      <c r="B4327" s="3">
        <v>298.68112011485903</v>
      </c>
      <c r="C4327" s="3">
        <v>-1.13737855217906</v>
      </c>
      <c r="D4327" s="3">
        <v>0.25458083982826302</v>
      </c>
      <c r="E4327" s="3">
        <v>-4.4676518191483696</v>
      </c>
      <c r="F4327" s="4">
        <v>7.9082884100072102E-6</v>
      </c>
      <c r="G4327" s="4">
        <v>5.7307748486028303E-5</v>
      </c>
      <c r="H4327" s="3" t="str">
        <f>"C15orf61"</f>
        <v>C15orf61</v>
      </c>
      <c r="I4327" s="3" t="str">
        <f t="shared" si="202"/>
        <v>protein_coding</v>
      </c>
    </row>
    <row r="4328" spans="1:9" x14ac:dyDescent="0.2">
      <c r="A4328" s="3" t="str">
        <f>"ENSG00000260007.3"</f>
        <v>ENSG00000260007.3</v>
      </c>
      <c r="B4328" s="3">
        <v>86.078939820949998</v>
      </c>
      <c r="C4328" s="3">
        <v>-1.1277422477966299</v>
      </c>
      <c r="D4328" s="3">
        <v>0.41956338962786499</v>
      </c>
      <c r="E4328" s="3">
        <v>-2.6878947869996299</v>
      </c>
      <c r="F4328" s="3">
        <v>7.1904048698977797E-3</v>
      </c>
      <c r="G4328" s="3">
        <v>2.4136622088222801E-2</v>
      </c>
      <c r="H4328" s="3" t="str">
        <f>"AC107871.1"</f>
        <v>AC107871.1</v>
      </c>
      <c r="I4328" s="3" t="str">
        <f t="shared" si="202"/>
        <v>protein_coding</v>
      </c>
    </row>
    <row r="4329" spans="1:9" x14ac:dyDescent="0.2">
      <c r="A4329" s="3" t="str">
        <f>"ENSG00000128973.13"</f>
        <v>ENSG00000128973.13</v>
      </c>
      <c r="B4329" s="3">
        <v>935.06967282353105</v>
      </c>
      <c r="C4329" s="3">
        <v>-1.41045977844714</v>
      </c>
      <c r="D4329" s="3">
        <v>0.215283418281457</v>
      </c>
      <c r="E4329" s="3">
        <v>-6.5516415045172396</v>
      </c>
      <c r="F4329" s="4">
        <v>5.6908026760135599E-11</v>
      </c>
      <c r="G4329" s="4">
        <v>9.18585903515056E-10</v>
      </c>
      <c r="H4329" s="3" t="str">
        <f>"CLN6"</f>
        <v>CLN6</v>
      </c>
      <c r="I4329" s="3" t="str">
        <f t="shared" si="202"/>
        <v>protein_coding</v>
      </c>
    </row>
    <row r="4330" spans="1:9" x14ac:dyDescent="0.2">
      <c r="A4330" s="3" t="str">
        <f>"ENSG00000137809.17"</f>
        <v>ENSG00000137809.17</v>
      </c>
      <c r="B4330" s="3">
        <v>7.52499677731464</v>
      </c>
      <c r="C4330" s="3">
        <v>6.3091617375997604</v>
      </c>
      <c r="D4330" s="3">
        <v>1.8562154266706801</v>
      </c>
      <c r="E4330" s="3">
        <v>3.39893831661335</v>
      </c>
      <c r="F4330" s="3">
        <v>6.7647971212428902E-4</v>
      </c>
      <c r="G4330" s="3">
        <v>3.1368350436096898E-3</v>
      </c>
      <c r="H4330" s="3" t="str">
        <f>"ITGA11"</f>
        <v>ITGA11</v>
      </c>
      <c r="I4330" s="3" t="str">
        <f t="shared" si="202"/>
        <v>protein_coding</v>
      </c>
    </row>
    <row r="4331" spans="1:9" x14ac:dyDescent="0.2">
      <c r="A4331" s="3" t="str">
        <f>"ENSG00000261634.3"</f>
        <v>ENSG00000261634.3</v>
      </c>
      <c r="B4331" s="3">
        <v>6.8606877293017199</v>
      </c>
      <c r="C4331" s="3">
        <v>6.1706072827813099</v>
      </c>
      <c r="D4331" s="3">
        <v>1.91251448943764</v>
      </c>
      <c r="E4331" s="3">
        <v>3.2264368802746901</v>
      </c>
      <c r="F4331" s="3">
        <v>1.2534187471246201E-3</v>
      </c>
      <c r="G4331" s="3">
        <v>5.3706401325529897E-3</v>
      </c>
      <c r="H4331" s="3" t="str">
        <f>"AC026992.2"</f>
        <v>AC026992.2</v>
      </c>
      <c r="I4331" s="3" t="str">
        <f>"antisense"</f>
        <v>antisense</v>
      </c>
    </row>
    <row r="4332" spans="1:9" x14ac:dyDescent="0.2">
      <c r="A4332" s="3" t="str">
        <f>"ENSG00000137819.13"</f>
        <v>ENSG00000137819.13</v>
      </c>
      <c r="B4332" s="3">
        <v>117.214160098191</v>
      </c>
      <c r="C4332" s="3">
        <v>3.54312639044038</v>
      </c>
      <c r="D4332" s="3">
        <v>0.427619813247268</v>
      </c>
      <c r="E4332" s="3">
        <v>8.28569275949706</v>
      </c>
      <c r="F4332" s="4">
        <v>1.1742355875607501E-16</v>
      </c>
      <c r="G4332" s="4">
        <v>3.4072840313384099E-15</v>
      </c>
      <c r="H4332" s="3" t="str">
        <f>"PAQR5"</f>
        <v>PAQR5</v>
      </c>
      <c r="I4332" s="3" t="str">
        <f t="shared" ref="I4332:I4337" si="203">"protein_coding"</f>
        <v>protein_coding</v>
      </c>
    </row>
    <row r="4333" spans="1:9" x14ac:dyDescent="0.2">
      <c r="A4333" s="3" t="str">
        <f>"ENSG00000140332.15"</f>
        <v>ENSG00000140332.15</v>
      </c>
      <c r="B4333" s="3">
        <v>694.55193439167897</v>
      </c>
      <c r="C4333" s="3">
        <v>-2.1740030979899898</v>
      </c>
      <c r="D4333" s="3">
        <v>0.22565940081211899</v>
      </c>
      <c r="E4333" s="3">
        <v>-9.6340019080349908</v>
      </c>
      <c r="F4333" s="4">
        <v>5.7447548342286998E-22</v>
      </c>
      <c r="G4333" s="4">
        <v>2.59580986680314E-20</v>
      </c>
      <c r="H4333" s="3" t="str">
        <f>"TLE3"</f>
        <v>TLE3</v>
      </c>
      <c r="I4333" s="3" t="str">
        <f t="shared" si="203"/>
        <v>protein_coding</v>
      </c>
    </row>
    <row r="4334" spans="1:9" x14ac:dyDescent="0.2">
      <c r="A4334" s="3" t="str">
        <f>"ENSG00000187720.14"</f>
        <v>ENSG00000187720.14</v>
      </c>
      <c r="B4334" s="3">
        <v>39.578993406802198</v>
      </c>
      <c r="C4334" s="3">
        <v>1.6111544462216201</v>
      </c>
      <c r="D4334" s="3">
        <v>0.59774406460310603</v>
      </c>
      <c r="E4334" s="3">
        <v>2.6953917932943501</v>
      </c>
      <c r="F4334" s="3">
        <v>7.0305908872210698E-3</v>
      </c>
      <c r="G4334" s="3">
        <v>2.3708231423776299E-2</v>
      </c>
      <c r="H4334" s="3" t="str">
        <f>"THSD4"</f>
        <v>THSD4</v>
      </c>
      <c r="I4334" s="3" t="str">
        <f t="shared" si="203"/>
        <v>protein_coding</v>
      </c>
    </row>
    <row r="4335" spans="1:9" x14ac:dyDescent="0.2">
      <c r="A4335" s="3" t="str">
        <f>"ENSG00000175318.12"</f>
        <v>ENSG00000175318.12</v>
      </c>
      <c r="B4335" s="3">
        <v>16.668391959056599</v>
      </c>
      <c r="C4335" s="3">
        <v>5.9879433377106199</v>
      </c>
      <c r="D4335" s="3">
        <v>1.63379983977026</v>
      </c>
      <c r="E4335" s="3">
        <v>3.66504096276116</v>
      </c>
      <c r="F4335" s="3">
        <v>2.4729899839893499E-4</v>
      </c>
      <c r="G4335" s="3">
        <v>1.2819931144170101E-3</v>
      </c>
      <c r="H4335" s="3" t="str">
        <f>"GRAMD2A"</f>
        <v>GRAMD2A</v>
      </c>
      <c r="I4335" s="3" t="str">
        <f t="shared" si="203"/>
        <v>protein_coding</v>
      </c>
    </row>
    <row r="4336" spans="1:9" x14ac:dyDescent="0.2">
      <c r="A4336" s="3" t="str">
        <f>"ENSG00000137817.17"</f>
        <v>ENSG00000137817.17</v>
      </c>
      <c r="B4336" s="3">
        <v>14.8355329239293</v>
      </c>
      <c r="C4336" s="3">
        <v>3.3859695482747698</v>
      </c>
      <c r="D4336" s="3">
        <v>1.04343227744642</v>
      </c>
      <c r="E4336" s="3">
        <v>3.2450304839727599</v>
      </c>
      <c r="F4336" s="3">
        <v>1.1743805108006399E-3</v>
      </c>
      <c r="G4336" s="3">
        <v>5.0774906026317002E-3</v>
      </c>
      <c r="H4336" s="3" t="str">
        <f>"PARP6"</f>
        <v>PARP6</v>
      </c>
      <c r="I4336" s="3" t="str">
        <f t="shared" si="203"/>
        <v>protein_coding</v>
      </c>
    </row>
    <row r="4337" spans="1:9" x14ac:dyDescent="0.2">
      <c r="A4337" s="3" t="str">
        <f>"ENSG00000140488.16"</f>
        <v>ENSG00000140488.16</v>
      </c>
      <c r="B4337" s="3">
        <v>6.9813006751610196</v>
      </c>
      <c r="C4337" s="3">
        <v>4.7018221056523801</v>
      </c>
      <c r="D4337" s="3">
        <v>1.8687806903439499</v>
      </c>
      <c r="E4337" s="3">
        <v>2.5159838872195301</v>
      </c>
      <c r="F4337" s="3">
        <v>1.18700609339923E-2</v>
      </c>
      <c r="G4337" s="3">
        <v>3.6685974395245999E-2</v>
      </c>
      <c r="H4337" s="3" t="str">
        <f>"CELF6"</f>
        <v>CELF6</v>
      </c>
      <c r="I4337" s="3" t="str">
        <f t="shared" si="203"/>
        <v>protein_coding</v>
      </c>
    </row>
    <row r="4338" spans="1:9" x14ac:dyDescent="0.2">
      <c r="A4338" s="3" t="str">
        <f>"ENSG00000261423.1"</f>
        <v>ENSG00000261423.1</v>
      </c>
      <c r="B4338" s="3">
        <v>82.3019422277346</v>
      </c>
      <c r="C4338" s="3">
        <v>1.2393807994883399</v>
      </c>
      <c r="D4338" s="3">
        <v>0.41221474417703902</v>
      </c>
      <c r="E4338" s="3">
        <v>3.0066386925647</v>
      </c>
      <c r="F4338" s="3">
        <v>2.6415352245790801E-3</v>
      </c>
      <c r="G4338" s="3">
        <v>1.0239566120942701E-2</v>
      </c>
      <c r="H4338" s="3" t="str">
        <f>"TMEM202-AS1"</f>
        <v>TMEM202-AS1</v>
      </c>
      <c r="I4338" s="3" t="str">
        <f>"lincRNA"</f>
        <v>lincRNA</v>
      </c>
    </row>
    <row r="4339" spans="1:9" x14ac:dyDescent="0.2">
      <c r="A4339" s="3" t="str">
        <f>"ENSG00000140463.14"</f>
        <v>ENSG00000140463.14</v>
      </c>
      <c r="B4339" s="3">
        <v>866.95975099119801</v>
      </c>
      <c r="C4339" s="3">
        <v>2.6210384287413402</v>
      </c>
      <c r="D4339" s="3">
        <v>0.21825761690586601</v>
      </c>
      <c r="E4339" s="3">
        <v>12.008920769403399</v>
      </c>
      <c r="F4339" s="4">
        <v>3.1898059253379098E-33</v>
      </c>
      <c r="G4339" s="4">
        <v>3.0389035681007698E-31</v>
      </c>
      <c r="H4339" s="3" t="str">
        <f>"BBS4"</f>
        <v>BBS4</v>
      </c>
      <c r="I4339" s="3" t="str">
        <f>"protein_coding"</f>
        <v>protein_coding</v>
      </c>
    </row>
    <row r="4340" spans="1:9" x14ac:dyDescent="0.2">
      <c r="A4340" s="3" t="str">
        <f>"ENSG00000138622.4"</f>
        <v>ENSG00000138622.4</v>
      </c>
      <c r="B4340" s="3">
        <v>20.446128139796901</v>
      </c>
      <c r="C4340" s="3">
        <v>7.7512725300566299</v>
      </c>
      <c r="D4340" s="3">
        <v>1.61256550892749</v>
      </c>
      <c r="E4340" s="3">
        <v>4.8067954369258103</v>
      </c>
      <c r="F4340" s="4">
        <v>1.53368776142232E-6</v>
      </c>
      <c r="G4340" s="4">
        <v>1.2736479864514999E-5</v>
      </c>
      <c r="H4340" s="3" t="str">
        <f>"HCN4"</f>
        <v>HCN4</v>
      </c>
      <c r="I4340" s="3" t="str">
        <f>"protein_coding"</f>
        <v>protein_coding</v>
      </c>
    </row>
    <row r="4341" spans="1:9" x14ac:dyDescent="0.2">
      <c r="A4341" s="3" t="str">
        <f>"ENSG00000183324.11"</f>
        <v>ENSG00000183324.11</v>
      </c>
      <c r="B4341" s="3">
        <v>5.0277419563543804</v>
      </c>
      <c r="C4341" s="3">
        <v>5.7249864720364698</v>
      </c>
      <c r="D4341" s="3">
        <v>2.0292551541625601</v>
      </c>
      <c r="E4341" s="3">
        <v>2.82122554193983</v>
      </c>
      <c r="F4341" s="3">
        <v>4.7840554620197E-3</v>
      </c>
      <c r="G4341" s="3">
        <v>1.7077316805142299E-2</v>
      </c>
      <c r="H4341" s="3" t="str">
        <f>"REC114"</f>
        <v>REC114</v>
      </c>
      <c r="I4341" s="3" t="str">
        <f>"protein_coding"</f>
        <v>protein_coding</v>
      </c>
    </row>
    <row r="4342" spans="1:9" x14ac:dyDescent="0.2">
      <c r="A4342" s="3" t="str">
        <f>"ENSG00000205363.5"</f>
        <v>ENSG00000205363.5</v>
      </c>
      <c r="B4342" s="3">
        <v>5.5803308995741903</v>
      </c>
      <c r="C4342" s="3">
        <v>5.8793071768343896</v>
      </c>
      <c r="D4342" s="3">
        <v>1.98610001956419</v>
      </c>
      <c r="E4342" s="3">
        <v>2.9602271380695502</v>
      </c>
      <c r="F4342" s="3">
        <v>3.0741230308199102E-3</v>
      </c>
      <c r="G4342" s="3">
        <v>1.1701680667889101E-2</v>
      </c>
      <c r="H4342" s="3" t="str">
        <f>"INSYN1"</f>
        <v>INSYN1</v>
      </c>
      <c r="I4342" s="3" t="str">
        <f>"protein_coding"</f>
        <v>protein_coding</v>
      </c>
    </row>
    <row r="4343" spans="1:9" x14ac:dyDescent="0.2">
      <c r="A4343" s="3" t="str">
        <f>"ENSG00000261801.5"</f>
        <v>ENSG00000261801.5</v>
      </c>
      <c r="B4343" s="3">
        <v>8.5154487685882394</v>
      </c>
      <c r="C4343" s="3">
        <v>6.4867705140999696</v>
      </c>
      <c r="D4343" s="3">
        <v>1.8120195559879699</v>
      </c>
      <c r="E4343" s="3">
        <v>3.5798567916465802</v>
      </c>
      <c r="F4343" s="3">
        <v>3.4378256105725301E-4</v>
      </c>
      <c r="G4343" s="3">
        <v>1.7184082629108401E-3</v>
      </c>
      <c r="H4343" s="3" t="str">
        <f>"LOXL1-AS1"</f>
        <v>LOXL1-AS1</v>
      </c>
      <c r="I4343" s="3" t="str">
        <f>"antisense"</f>
        <v>antisense</v>
      </c>
    </row>
    <row r="4344" spans="1:9" x14ac:dyDescent="0.2">
      <c r="A4344" s="3" t="str">
        <f>"ENSG00000129038.16"</f>
        <v>ENSG00000129038.16</v>
      </c>
      <c r="B4344" s="3">
        <v>170.97429739023099</v>
      </c>
      <c r="C4344" s="3">
        <v>5.6452599719928198</v>
      </c>
      <c r="D4344" s="3">
        <v>0.50280555214177303</v>
      </c>
      <c r="E4344" s="3">
        <v>11.227521151956299</v>
      </c>
      <c r="F4344" s="4">
        <v>2.98742352028709E-29</v>
      </c>
      <c r="G4344" s="4">
        <v>2.1881271144425301E-27</v>
      </c>
      <c r="H4344" s="3" t="str">
        <f>"LOXL1"</f>
        <v>LOXL1</v>
      </c>
      <c r="I4344" s="3" t="str">
        <f t="shared" ref="I4344:I4349" si="204">"protein_coding"</f>
        <v>protein_coding</v>
      </c>
    </row>
    <row r="4345" spans="1:9" x14ac:dyDescent="0.2">
      <c r="A4345" s="3" t="str">
        <f>"ENSG00000140464.19"</f>
        <v>ENSG00000140464.19</v>
      </c>
      <c r="B4345" s="3">
        <v>1637.26265422697</v>
      </c>
      <c r="C4345" s="3">
        <v>1.76255967376527</v>
      </c>
      <c r="D4345" s="3">
        <v>0.22023382150581799</v>
      </c>
      <c r="E4345" s="3">
        <v>8.0031289550079894</v>
      </c>
      <c r="F4345" s="4">
        <v>1.2129679348828599E-15</v>
      </c>
      <c r="G4345" s="4">
        <v>3.2118306435134497E-14</v>
      </c>
      <c r="H4345" s="3" t="str">
        <f>"PML"</f>
        <v>PML</v>
      </c>
      <c r="I4345" s="3" t="str">
        <f t="shared" si="204"/>
        <v>protein_coding</v>
      </c>
    </row>
    <row r="4346" spans="1:9" x14ac:dyDescent="0.2">
      <c r="A4346" s="3" t="str">
        <f>"ENSG00000137868.19"</f>
        <v>ENSG00000137868.19</v>
      </c>
      <c r="B4346" s="3">
        <v>249.32729412511401</v>
      </c>
      <c r="C4346" s="3">
        <v>3.8934228036570802</v>
      </c>
      <c r="D4346" s="3">
        <v>0.32232421733802602</v>
      </c>
      <c r="E4346" s="3">
        <v>12.079212774676501</v>
      </c>
      <c r="F4346" s="4">
        <v>1.36015688141306E-33</v>
      </c>
      <c r="G4346" s="4">
        <v>1.31886813337585E-31</v>
      </c>
      <c r="H4346" s="3" t="str">
        <f>"STRA6"</f>
        <v>STRA6</v>
      </c>
      <c r="I4346" s="3" t="str">
        <f t="shared" si="204"/>
        <v>protein_coding</v>
      </c>
    </row>
    <row r="4347" spans="1:9" x14ac:dyDescent="0.2">
      <c r="A4347" s="3" t="str">
        <f>"ENSG00000140481.15"</f>
        <v>ENSG00000140481.15</v>
      </c>
      <c r="B4347" s="3">
        <v>12.329509791955299</v>
      </c>
      <c r="C4347" s="3">
        <v>3.9003497400238301</v>
      </c>
      <c r="D4347" s="3">
        <v>1.22079213585723</v>
      </c>
      <c r="E4347" s="3">
        <v>3.1949335398405299</v>
      </c>
      <c r="F4347" s="3">
        <v>1.3986304406669601E-3</v>
      </c>
      <c r="G4347" s="3">
        <v>5.9183854040771398E-3</v>
      </c>
      <c r="H4347" s="3" t="str">
        <f>"CCDC33"</f>
        <v>CCDC33</v>
      </c>
      <c r="I4347" s="3" t="str">
        <f t="shared" si="204"/>
        <v>protein_coding</v>
      </c>
    </row>
    <row r="4348" spans="1:9" x14ac:dyDescent="0.2">
      <c r="A4348" s="3" t="str">
        <f>"ENSG00000140465.14"</f>
        <v>ENSG00000140465.14</v>
      </c>
      <c r="B4348" s="3">
        <v>279.95980479486798</v>
      </c>
      <c r="C4348" s="3">
        <v>1.423096990061</v>
      </c>
      <c r="D4348" s="3">
        <v>0.26421177837291299</v>
      </c>
      <c r="E4348" s="3">
        <v>5.3861981431138704</v>
      </c>
      <c r="F4348" s="4">
        <v>7.19636276330935E-8</v>
      </c>
      <c r="G4348" s="4">
        <v>7.4953859408214802E-7</v>
      </c>
      <c r="H4348" s="3" t="str">
        <f>"CYP1A1"</f>
        <v>CYP1A1</v>
      </c>
      <c r="I4348" s="3" t="str">
        <f t="shared" si="204"/>
        <v>protein_coding</v>
      </c>
    </row>
    <row r="4349" spans="1:9" x14ac:dyDescent="0.2">
      <c r="A4349" s="3" t="str">
        <f>"ENSG00000167173.19"</f>
        <v>ENSG00000167173.19</v>
      </c>
      <c r="B4349" s="3">
        <v>3090.7440636759602</v>
      </c>
      <c r="C4349" s="3">
        <v>-1.13734139910069</v>
      </c>
      <c r="D4349" s="3">
        <v>0.19494437391875499</v>
      </c>
      <c r="E4349" s="3">
        <v>-5.8341842661983501</v>
      </c>
      <c r="F4349" s="4">
        <v>5.4054359024232498E-9</v>
      </c>
      <c r="G4349" s="4">
        <v>6.6667073780083805E-8</v>
      </c>
      <c r="H4349" s="3" t="str">
        <f>"C15orf39"</f>
        <v>C15orf39</v>
      </c>
      <c r="I4349" s="3" t="str">
        <f t="shared" si="204"/>
        <v>protein_coding</v>
      </c>
    </row>
    <row r="4350" spans="1:9" x14ac:dyDescent="0.2">
      <c r="A4350" s="3" t="str">
        <f>"ENSG00000260274.1"</f>
        <v>ENSG00000260274.1</v>
      </c>
      <c r="B4350" s="3">
        <v>81.052097670746704</v>
      </c>
      <c r="C4350" s="3">
        <v>1.24765819071521</v>
      </c>
      <c r="D4350" s="3">
        <v>0.40365126512159399</v>
      </c>
      <c r="E4350" s="3">
        <v>3.0909309558075302</v>
      </c>
      <c r="F4350" s="3">
        <v>1.9953002430330401E-3</v>
      </c>
      <c r="G4350" s="3">
        <v>8.0363556129964906E-3</v>
      </c>
      <c r="H4350" s="3" t="str">
        <f>"AC068338.2"</f>
        <v>AC068338.2</v>
      </c>
      <c r="I4350" s="3" t="str">
        <f>"lincRNA"</f>
        <v>lincRNA</v>
      </c>
    </row>
    <row r="4351" spans="1:9" x14ac:dyDescent="0.2">
      <c r="A4351" s="3" t="str">
        <f>"ENSG00000173548.8"</f>
        <v>ENSG00000173548.8</v>
      </c>
      <c r="B4351" s="3">
        <v>1400.13983779152</v>
      </c>
      <c r="C4351" s="3">
        <v>-1.0033111384193001</v>
      </c>
      <c r="D4351" s="3">
        <v>0.222603898868383</v>
      </c>
      <c r="E4351" s="3">
        <v>-4.5071588751125899</v>
      </c>
      <c r="F4351" s="4">
        <v>6.57014389159247E-6</v>
      </c>
      <c r="G4351" s="4">
        <v>4.8422155968141802E-5</v>
      </c>
      <c r="H4351" s="3" t="str">
        <f>"SNX33"</f>
        <v>SNX33</v>
      </c>
      <c r="I4351" s="3" t="str">
        <f>"protein_coding"</f>
        <v>protein_coding</v>
      </c>
    </row>
    <row r="4352" spans="1:9" x14ac:dyDescent="0.2">
      <c r="A4352" s="3" t="str">
        <f>"ENSG00000173546.7"</f>
        <v>ENSG00000173546.7</v>
      </c>
      <c r="B4352" s="3">
        <v>377.57905854982101</v>
      </c>
      <c r="C4352" s="3">
        <v>6.1018686083006797</v>
      </c>
      <c r="D4352" s="3">
        <v>0.39576268802002801</v>
      </c>
      <c r="E4352" s="3">
        <v>15.417998697219</v>
      </c>
      <c r="F4352" s="4">
        <v>1.2388427959644E-53</v>
      </c>
      <c r="G4352" s="4">
        <v>2.84069897316161E-51</v>
      </c>
      <c r="H4352" s="3" t="str">
        <f>"CSPG4"</f>
        <v>CSPG4</v>
      </c>
      <c r="I4352" s="3" t="str">
        <f>"protein_coding"</f>
        <v>protein_coding</v>
      </c>
    </row>
    <row r="4353" spans="1:9" x14ac:dyDescent="0.2">
      <c r="A4353" s="3" t="str">
        <f>"ENSG00000182950.3"</f>
        <v>ENSG00000182950.3</v>
      </c>
      <c r="B4353" s="3">
        <v>24.5921757882079</v>
      </c>
      <c r="C4353" s="3">
        <v>5.5426185621181396</v>
      </c>
      <c r="D4353" s="3">
        <v>1.2066740062725501</v>
      </c>
      <c r="E4353" s="3">
        <v>4.5933023611235502</v>
      </c>
      <c r="F4353" s="4">
        <v>4.3628621016312901E-6</v>
      </c>
      <c r="G4353" s="4">
        <v>3.3366146784549602E-5</v>
      </c>
      <c r="H4353" s="3" t="str">
        <f>"ODF3L1"</f>
        <v>ODF3L1</v>
      </c>
      <c r="I4353" s="3" t="str">
        <f>"protein_coding"</f>
        <v>protein_coding</v>
      </c>
    </row>
    <row r="4354" spans="1:9" x14ac:dyDescent="0.2">
      <c r="A4354" s="3" t="str">
        <f>"ENSG00000246877.1"</f>
        <v>ENSG00000246877.1</v>
      </c>
      <c r="B4354" s="3">
        <v>65.965026714726406</v>
      </c>
      <c r="C4354" s="3">
        <v>2.8051798680396498</v>
      </c>
      <c r="D4354" s="3">
        <v>0.48531457887502299</v>
      </c>
      <c r="E4354" s="3">
        <v>5.7801269323954001</v>
      </c>
      <c r="F4354" s="4">
        <v>7.4644286117914505E-9</v>
      </c>
      <c r="G4354" s="4">
        <v>9.0392571726880794E-8</v>
      </c>
      <c r="H4354" s="3" t="str">
        <f>"DNM1P35"</f>
        <v>DNM1P35</v>
      </c>
      <c r="I4354" s="3" t="str">
        <f>"antisense"</f>
        <v>antisense</v>
      </c>
    </row>
    <row r="4355" spans="1:9" x14ac:dyDescent="0.2">
      <c r="A4355" s="3" t="str">
        <f>"ENSG00000260288.3"</f>
        <v>ENSG00000260288.3</v>
      </c>
      <c r="B4355" s="3">
        <v>8.7662776108250604</v>
      </c>
      <c r="C4355" s="3">
        <v>5.0421483313827897</v>
      </c>
      <c r="D4355" s="3">
        <v>1.7965101570883599</v>
      </c>
      <c r="E4355" s="3">
        <v>2.80663502596318</v>
      </c>
      <c r="F4355" s="3">
        <v>5.0061926590860501E-3</v>
      </c>
      <c r="G4355" s="3">
        <v>1.77355001146948E-2</v>
      </c>
      <c r="H4355" s="3" t="str">
        <f>"AC019294.2"</f>
        <v>AC019294.2</v>
      </c>
      <c r="I4355" s="3" t="str">
        <f>"processed_transcript"</f>
        <v>processed_transcript</v>
      </c>
    </row>
    <row r="4356" spans="1:9" x14ac:dyDescent="0.2">
      <c r="A4356" s="3" t="str">
        <f>"ENSG00000260815.3"</f>
        <v>ENSG00000260815.3</v>
      </c>
      <c r="B4356" s="3">
        <v>10.2729125415492</v>
      </c>
      <c r="C4356" s="3">
        <v>6.7533192287507902</v>
      </c>
      <c r="D4356" s="3">
        <v>1.77622949301921</v>
      </c>
      <c r="E4356" s="3">
        <v>3.8020533130950298</v>
      </c>
      <c r="F4356" s="3">
        <v>1.4350183698315101E-4</v>
      </c>
      <c r="G4356" s="3">
        <v>7.9165712741039102E-4</v>
      </c>
      <c r="H4356" s="3" t="str">
        <f>"PPIAP47"</f>
        <v>PPIAP47</v>
      </c>
      <c r="I4356" s="3" t="str">
        <f>"processed_pseudogene"</f>
        <v>processed_pseudogene</v>
      </c>
    </row>
    <row r="4357" spans="1:9" x14ac:dyDescent="0.2">
      <c r="A4357" s="3" t="str">
        <f>"ENSG00000167196.14"</f>
        <v>ENSG00000167196.14</v>
      </c>
      <c r="B4357" s="3">
        <v>7357.6437152491399</v>
      </c>
      <c r="C4357" s="3">
        <v>1.0695505537102199</v>
      </c>
      <c r="D4357" s="3">
        <v>0.176152005348093</v>
      </c>
      <c r="E4357" s="3">
        <v>6.07174781573839</v>
      </c>
      <c r="F4357" s="4">
        <v>1.2652551914035099E-9</v>
      </c>
      <c r="G4357" s="4">
        <v>1.6990836964106199E-8</v>
      </c>
      <c r="H4357" s="3" t="str">
        <f>"FBXO22"</f>
        <v>FBXO22</v>
      </c>
      <c r="I4357" s="3" t="str">
        <f>"protein_coding"</f>
        <v>protein_coding</v>
      </c>
    </row>
    <row r="4358" spans="1:9" x14ac:dyDescent="0.2">
      <c r="A4358" s="3" t="str">
        <f>"ENSG00000169752.17"</f>
        <v>ENSG00000169752.17</v>
      </c>
      <c r="B4358" s="3">
        <v>5.9094796332077504</v>
      </c>
      <c r="C4358" s="3">
        <v>5.9598090719970296</v>
      </c>
      <c r="D4358" s="3">
        <v>1.95187301083798</v>
      </c>
      <c r="E4358" s="3">
        <v>3.0533795174709502</v>
      </c>
      <c r="F4358" s="3">
        <v>2.2627956517912002E-3</v>
      </c>
      <c r="G4358" s="3">
        <v>8.9561872638516601E-3</v>
      </c>
      <c r="H4358" s="3" t="str">
        <f>"NRG4"</f>
        <v>NRG4</v>
      </c>
      <c r="I4358" s="3" t="str">
        <f>"protein_coding"</f>
        <v>protein_coding</v>
      </c>
    </row>
    <row r="4359" spans="1:9" x14ac:dyDescent="0.2">
      <c r="A4359" s="3" t="str">
        <f>"ENSG00000159556.10"</f>
        <v>ENSG00000159556.10</v>
      </c>
      <c r="B4359" s="3">
        <v>300.11416282417002</v>
      </c>
      <c r="C4359" s="3">
        <v>-1.72974506408319</v>
      </c>
      <c r="D4359" s="3">
        <v>0.28162131789648198</v>
      </c>
      <c r="E4359" s="3">
        <v>-6.1420956233114801</v>
      </c>
      <c r="F4359" s="4">
        <v>8.1439803399574301E-10</v>
      </c>
      <c r="G4359" s="4">
        <v>1.1218353504692601E-8</v>
      </c>
      <c r="H4359" s="3" t="str">
        <f>"ISL2"</f>
        <v>ISL2</v>
      </c>
      <c r="I4359" s="3" t="str">
        <f>"protein_coding"</f>
        <v>protein_coding</v>
      </c>
    </row>
    <row r="4360" spans="1:9" x14ac:dyDescent="0.2">
      <c r="A4360" s="3" t="str">
        <f>"ENSG00000278991.1"</f>
        <v>ENSG00000278991.1</v>
      </c>
      <c r="B4360" s="3">
        <v>134.022205639004</v>
      </c>
      <c r="C4360" s="3">
        <v>1.14841278661616</v>
      </c>
      <c r="D4360" s="3">
        <v>0.36946167419446202</v>
      </c>
      <c r="E4360" s="3">
        <v>3.1083407747773601</v>
      </c>
      <c r="F4360" s="3">
        <v>1.88140993915484E-3</v>
      </c>
      <c r="G4360" s="3">
        <v>7.6431752813704802E-3</v>
      </c>
      <c r="H4360" s="3" t="str">
        <f>"AC090181.3"</f>
        <v>AC090181.3</v>
      </c>
      <c r="I4360" s="3" t="str">
        <f>"TEC"</f>
        <v>TEC</v>
      </c>
    </row>
    <row r="4361" spans="1:9" x14ac:dyDescent="0.2">
      <c r="A4361" s="3" t="str">
        <f>"ENSG00000259362.2"</f>
        <v>ENSG00000259362.2</v>
      </c>
      <c r="B4361" s="3">
        <v>93.087294462830002</v>
      </c>
      <c r="C4361" s="3">
        <v>5.4616937607162797</v>
      </c>
      <c r="D4361" s="3">
        <v>0.62607931954626905</v>
      </c>
      <c r="E4361" s="3">
        <v>8.7236450561479408</v>
      </c>
      <c r="F4361" s="4">
        <v>2.6938661704551E-18</v>
      </c>
      <c r="G4361" s="4">
        <v>8.9294125968844502E-17</v>
      </c>
      <c r="H4361" s="3" t="str">
        <f>"AC046168.1"</f>
        <v>AC046168.1</v>
      </c>
      <c r="I4361" s="3" t="str">
        <f>"lincRNA"</f>
        <v>lincRNA</v>
      </c>
    </row>
    <row r="4362" spans="1:9" x14ac:dyDescent="0.2">
      <c r="A4362" s="3" t="str">
        <f>"ENSG00000214646.8"</f>
        <v>ENSG00000214646.8</v>
      </c>
      <c r="B4362" s="3">
        <v>18.599534200689401</v>
      </c>
      <c r="C4362" s="3">
        <v>-2.1467940106568402</v>
      </c>
      <c r="D4362" s="3">
        <v>0.88160519462554499</v>
      </c>
      <c r="E4362" s="3">
        <v>-2.43509682536373</v>
      </c>
      <c r="F4362" s="3">
        <v>1.4887805299157101E-2</v>
      </c>
      <c r="G4362" s="3">
        <v>4.4270220559438397E-2</v>
      </c>
      <c r="H4362" s="3" t="str">
        <f>"AC104758.1"</f>
        <v>AC104758.1</v>
      </c>
      <c r="I4362" s="3" t="str">
        <f>"transcribed_unprocessed_pseudogene"</f>
        <v>transcribed_unprocessed_pseudogene</v>
      </c>
    </row>
    <row r="4363" spans="1:9" x14ac:dyDescent="0.2">
      <c r="A4363" s="3" t="str">
        <f>"ENSG00000261143.1"</f>
        <v>ENSG00000261143.1</v>
      </c>
      <c r="B4363" s="3">
        <v>67.280396491337498</v>
      </c>
      <c r="C4363" s="3">
        <v>1.35964920034893</v>
      </c>
      <c r="D4363" s="3">
        <v>0.46194682867690401</v>
      </c>
      <c r="E4363" s="3">
        <v>2.9433023801531499</v>
      </c>
      <c r="F4363" s="3">
        <v>3.2473107170766001E-3</v>
      </c>
      <c r="G4363" s="3">
        <v>1.2270070046898601E-2</v>
      </c>
      <c r="H4363" s="3" t="str">
        <f>"ADAMTS7P3"</f>
        <v>ADAMTS7P3</v>
      </c>
      <c r="I4363" s="3" t="str">
        <f>"transcribed_unprocessed_pseudogene"</f>
        <v>transcribed_unprocessed_pseudogene</v>
      </c>
    </row>
    <row r="4364" spans="1:9" x14ac:dyDescent="0.2">
      <c r="A4364" s="3" t="str">
        <f>"ENSG00000167202.11"</f>
        <v>ENSG00000167202.11</v>
      </c>
      <c r="B4364" s="3">
        <v>2038.5220016312001</v>
      </c>
      <c r="C4364" s="3">
        <v>1.3605251085221</v>
      </c>
      <c r="D4364" s="3">
        <v>0.19348640351964899</v>
      </c>
      <c r="E4364" s="3">
        <v>7.0316315967076903</v>
      </c>
      <c r="F4364" s="4">
        <v>2.0413220583986099E-12</v>
      </c>
      <c r="G4364" s="4">
        <v>3.8949511292147798E-11</v>
      </c>
      <c r="H4364" s="3" t="str">
        <f>"TBC1D2B"</f>
        <v>TBC1D2B</v>
      </c>
      <c r="I4364" s="3" t="str">
        <f t="shared" ref="I4364:I4371" si="205">"protein_coding"</f>
        <v>protein_coding</v>
      </c>
    </row>
    <row r="4365" spans="1:9" x14ac:dyDescent="0.2">
      <c r="A4365" s="3" t="str">
        <f>"ENSG00000080644.16"</f>
        <v>ENSG00000080644.16</v>
      </c>
      <c r="B4365" s="3">
        <v>62.105315039935498</v>
      </c>
      <c r="C4365" s="3">
        <v>6.3056329290033997</v>
      </c>
      <c r="D4365" s="3">
        <v>0.93842049346702106</v>
      </c>
      <c r="E4365" s="3">
        <v>6.7194109388074601</v>
      </c>
      <c r="F4365" s="4">
        <v>1.8246066419455801E-11</v>
      </c>
      <c r="G4365" s="4">
        <v>3.1208447691833798E-10</v>
      </c>
      <c r="H4365" s="3" t="str">
        <f>"CHRNA3"</f>
        <v>CHRNA3</v>
      </c>
      <c r="I4365" s="3" t="str">
        <f t="shared" si="205"/>
        <v>protein_coding</v>
      </c>
    </row>
    <row r="4366" spans="1:9" x14ac:dyDescent="0.2">
      <c r="A4366" s="3" t="str">
        <f>"ENSG00000117971.12"</f>
        <v>ENSG00000117971.12</v>
      </c>
      <c r="B4366" s="3">
        <v>4.8073075371410301</v>
      </c>
      <c r="C4366" s="3">
        <v>5.6597867282439296</v>
      </c>
      <c r="D4366" s="3">
        <v>2.0539032196280198</v>
      </c>
      <c r="E4366" s="3">
        <v>2.7556248386761699</v>
      </c>
      <c r="F4366" s="3">
        <v>5.8580144965317896E-3</v>
      </c>
      <c r="G4366" s="3">
        <v>2.0291548561785101E-2</v>
      </c>
      <c r="H4366" s="3" t="str">
        <f>"CHRNB4"</f>
        <v>CHRNB4</v>
      </c>
      <c r="I4366" s="3" t="str">
        <f t="shared" si="205"/>
        <v>protein_coding</v>
      </c>
    </row>
    <row r="4367" spans="1:9" x14ac:dyDescent="0.2">
      <c r="A4367" s="3" t="str">
        <f>"ENSG00000136378.15"</f>
        <v>ENSG00000136378.15</v>
      </c>
      <c r="B4367" s="3">
        <v>1592.7838465342199</v>
      </c>
      <c r="C4367" s="3">
        <v>7.1543799434602402</v>
      </c>
      <c r="D4367" s="3">
        <v>0.30751113653988699</v>
      </c>
      <c r="E4367" s="3">
        <v>23.265433648879402</v>
      </c>
      <c r="F4367" s="4">
        <v>9.9285121362280505E-120</v>
      </c>
      <c r="G4367" s="4">
        <v>2.25435141813171E-116</v>
      </c>
      <c r="H4367" s="3" t="str">
        <f>"ADAMTS7"</f>
        <v>ADAMTS7</v>
      </c>
      <c r="I4367" s="3" t="str">
        <f t="shared" si="205"/>
        <v>protein_coding</v>
      </c>
    </row>
    <row r="4368" spans="1:9" x14ac:dyDescent="0.2">
      <c r="A4368" s="3" t="str">
        <f>"ENSG00000058335.15"</f>
        <v>ENSG00000058335.15</v>
      </c>
      <c r="B4368" s="3">
        <v>255.41715698893</v>
      </c>
      <c r="C4368" s="3">
        <v>2.4647004144822202</v>
      </c>
      <c r="D4368" s="3">
        <v>0.28949847004067603</v>
      </c>
      <c r="E4368" s="3">
        <v>8.5136906393181295</v>
      </c>
      <c r="F4368" s="4">
        <v>1.6848313977923801E-17</v>
      </c>
      <c r="G4368" s="4">
        <v>5.2524715212413196E-16</v>
      </c>
      <c r="H4368" s="3" t="str">
        <f>"RASGRF1"</f>
        <v>RASGRF1</v>
      </c>
      <c r="I4368" s="3" t="str">
        <f t="shared" si="205"/>
        <v>protein_coding</v>
      </c>
    </row>
    <row r="4369" spans="1:9" x14ac:dyDescent="0.2">
      <c r="A4369" s="3" t="str">
        <f>"ENSG00000166557.13"</f>
        <v>ENSG00000166557.13</v>
      </c>
      <c r="B4369" s="3">
        <v>2612.9987156603902</v>
      </c>
      <c r="C4369" s="3">
        <v>-1.5585020402390499</v>
      </c>
      <c r="D4369" s="3">
        <v>0.20701488627103801</v>
      </c>
      <c r="E4369" s="3">
        <v>-7.5284539595792603</v>
      </c>
      <c r="F4369" s="4">
        <v>5.1344615284400602E-14</v>
      </c>
      <c r="G4369" s="4">
        <v>1.17168068061479E-12</v>
      </c>
      <c r="H4369" s="3" t="str">
        <f>"TMED3"</f>
        <v>TMED3</v>
      </c>
      <c r="I4369" s="3" t="str">
        <f t="shared" si="205"/>
        <v>protein_coding</v>
      </c>
    </row>
    <row r="4370" spans="1:9" x14ac:dyDescent="0.2">
      <c r="A4370" s="3" t="str">
        <f>"ENSG00000169330.8"</f>
        <v>ENSG00000169330.8</v>
      </c>
      <c r="B4370" s="3">
        <v>26.363812995390099</v>
      </c>
      <c r="C4370" s="3">
        <v>-2.1085879280789901</v>
      </c>
      <c r="D4370" s="3">
        <v>0.68874769298553096</v>
      </c>
      <c r="E4370" s="3">
        <v>-3.0614809306131301</v>
      </c>
      <c r="F4370" s="3">
        <v>2.2024502063179101E-3</v>
      </c>
      <c r="G4370" s="3">
        <v>8.7452872007496608E-3</v>
      </c>
      <c r="H4370" s="3" t="str">
        <f>"MINAR1"</f>
        <v>MINAR1</v>
      </c>
      <c r="I4370" s="3" t="str">
        <f t="shared" si="205"/>
        <v>protein_coding</v>
      </c>
    </row>
    <row r="4371" spans="1:9" x14ac:dyDescent="0.2">
      <c r="A4371" s="3" t="str">
        <f>"ENSG00000180953.11"</f>
        <v>ENSG00000180953.11</v>
      </c>
      <c r="B4371" s="3">
        <v>75.084467166613294</v>
      </c>
      <c r="C4371" s="3">
        <v>2.44947050333325</v>
      </c>
      <c r="D4371" s="3">
        <v>0.44300193350247402</v>
      </c>
      <c r="E4371" s="3">
        <v>5.5292546557690496</v>
      </c>
      <c r="F4371" s="4">
        <v>3.2159422198085999E-8</v>
      </c>
      <c r="G4371" s="4">
        <v>3.5533162069393798E-7</v>
      </c>
      <c r="H4371" s="3" t="str">
        <f>"ST20"</f>
        <v>ST20</v>
      </c>
      <c r="I4371" s="3" t="str">
        <f t="shared" si="205"/>
        <v>protein_coding</v>
      </c>
    </row>
    <row r="4372" spans="1:9" x14ac:dyDescent="0.2">
      <c r="A4372" s="3" t="str">
        <f>"ENSG00000278600.1"</f>
        <v>ENSG00000278600.1</v>
      </c>
      <c r="B4372" s="3">
        <v>265.28839615061901</v>
      </c>
      <c r="C4372" s="3">
        <v>1.23832584523455</v>
      </c>
      <c r="D4372" s="3">
        <v>0.27302094697872198</v>
      </c>
      <c r="E4372" s="3">
        <v>4.5356440922866703</v>
      </c>
      <c r="F4372" s="4">
        <v>5.7427953954724401E-6</v>
      </c>
      <c r="G4372" s="4">
        <v>4.2846096971642199E-5</v>
      </c>
      <c r="H4372" s="3" t="str">
        <f>"AC015871.3"</f>
        <v>AC015871.3</v>
      </c>
      <c r="I4372" s="3" t="str">
        <f>"sense_intronic"</f>
        <v>sense_intronic</v>
      </c>
    </row>
    <row r="4373" spans="1:9" x14ac:dyDescent="0.2">
      <c r="A4373" s="3" t="str">
        <f>"ENSG00000259642.2"</f>
        <v>ENSG00000259642.2</v>
      </c>
      <c r="B4373" s="3">
        <v>135.11836543295499</v>
      </c>
      <c r="C4373" s="3">
        <v>1.1564875901815299</v>
      </c>
      <c r="D4373" s="3">
        <v>0.34225480370856798</v>
      </c>
      <c r="E4373" s="3">
        <v>3.3790251521678698</v>
      </c>
      <c r="F4373" s="3">
        <v>7.2743352542065304E-4</v>
      </c>
      <c r="G4373" s="3">
        <v>3.3480373762054998E-3</v>
      </c>
      <c r="H4373" s="3" t="str">
        <f>"ST20-AS1"</f>
        <v>ST20-AS1</v>
      </c>
      <c r="I4373" s="3" t="str">
        <f>"antisense"</f>
        <v>antisense</v>
      </c>
    </row>
    <row r="4374" spans="1:9" x14ac:dyDescent="0.2">
      <c r="A4374" s="3" t="str">
        <f>"ENSG00000259495.2"</f>
        <v>ENSG00000259495.2</v>
      </c>
      <c r="B4374" s="3">
        <v>8.1559489808412309</v>
      </c>
      <c r="C4374" s="3">
        <v>4.9343702137924303</v>
      </c>
      <c r="D4374" s="3">
        <v>1.8146953555405101</v>
      </c>
      <c r="E4374" s="3">
        <v>2.7191176737886802</v>
      </c>
      <c r="F4374" s="3">
        <v>6.5456317040613297E-3</v>
      </c>
      <c r="G4374" s="3">
        <v>2.2274113530730499E-2</v>
      </c>
      <c r="H4374" s="3" t="str">
        <f>"AC016705.2"</f>
        <v>AC016705.2</v>
      </c>
      <c r="I4374" s="3" t="str">
        <f>"lincRNA"</f>
        <v>lincRNA</v>
      </c>
    </row>
    <row r="4375" spans="1:9" x14ac:dyDescent="0.2">
      <c r="A4375" s="3" t="str">
        <f>"ENSG00000172379.21"</f>
        <v>ENSG00000172379.21</v>
      </c>
      <c r="B4375" s="3">
        <v>112.531427538152</v>
      </c>
      <c r="C4375" s="3">
        <v>3.1486077069807199</v>
      </c>
      <c r="D4375" s="3">
        <v>0.438050271957242</v>
      </c>
      <c r="E4375" s="3">
        <v>7.1877770852932104</v>
      </c>
      <c r="F4375" s="4">
        <v>6.5854662469521002E-13</v>
      </c>
      <c r="G4375" s="4">
        <v>1.33507588415702E-11</v>
      </c>
      <c r="H4375" s="3" t="str">
        <f>"ARNT2"</f>
        <v>ARNT2</v>
      </c>
      <c r="I4375" s="3" t="str">
        <f>"protein_coding"</f>
        <v>protein_coding</v>
      </c>
    </row>
    <row r="4376" spans="1:9" x14ac:dyDescent="0.2">
      <c r="A4376" s="3" t="str">
        <f>"ENSG00000103888.17"</f>
        <v>ENSG00000103888.17</v>
      </c>
      <c r="B4376" s="3">
        <v>2922.3020327314398</v>
      </c>
      <c r="C4376" s="3">
        <v>-2.2855325955421999</v>
      </c>
      <c r="D4376" s="3">
        <v>0.23136844430999901</v>
      </c>
      <c r="E4376" s="3">
        <v>-9.8783246019492896</v>
      </c>
      <c r="F4376" s="4">
        <v>5.1689867938310399E-23</v>
      </c>
      <c r="G4376" s="4">
        <v>2.49273244551353E-21</v>
      </c>
      <c r="H4376" s="3" t="str">
        <f>"CEMIP"</f>
        <v>CEMIP</v>
      </c>
      <c r="I4376" s="3" t="str">
        <f>"protein_coding"</f>
        <v>protein_coding</v>
      </c>
    </row>
    <row r="4377" spans="1:9" x14ac:dyDescent="0.2">
      <c r="A4377" s="3" t="str">
        <f>"ENSG00000172349.17"</f>
        <v>ENSG00000172349.17</v>
      </c>
      <c r="B4377" s="3">
        <v>15.158919136922099</v>
      </c>
      <c r="C4377" s="3">
        <v>4.2189257060148</v>
      </c>
      <c r="D4377" s="3">
        <v>1.1579155719484999</v>
      </c>
      <c r="E4377" s="3">
        <v>3.6435520932803001</v>
      </c>
      <c r="F4377" s="3">
        <v>2.6890119813484598E-4</v>
      </c>
      <c r="G4377" s="3">
        <v>1.3824058387887099E-3</v>
      </c>
      <c r="H4377" s="3" t="str">
        <f>"IL16"</f>
        <v>IL16</v>
      </c>
      <c r="I4377" s="3" t="str">
        <f>"protein_coding"</f>
        <v>protein_coding</v>
      </c>
    </row>
    <row r="4378" spans="1:9" x14ac:dyDescent="0.2">
      <c r="A4378" s="3" t="str">
        <f>"ENSG00000172345.14"</f>
        <v>ENSG00000172345.14</v>
      </c>
      <c r="B4378" s="3">
        <v>155.225411667353</v>
      </c>
      <c r="C4378" s="3">
        <v>1.36433792736141</v>
      </c>
      <c r="D4378" s="3">
        <v>0.32499091179446998</v>
      </c>
      <c r="E4378" s="3">
        <v>4.1980802473154597</v>
      </c>
      <c r="F4378" s="4">
        <v>2.69187249475279E-5</v>
      </c>
      <c r="G4378" s="3">
        <v>1.74175848645285E-4</v>
      </c>
      <c r="H4378" s="3" t="str">
        <f>"STARD5"</f>
        <v>STARD5</v>
      </c>
      <c r="I4378" s="3" t="str">
        <f>"protein_coding"</f>
        <v>protein_coding</v>
      </c>
    </row>
    <row r="4379" spans="1:9" x14ac:dyDescent="0.2">
      <c r="A4379" s="3" t="str">
        <f>"ENSG00000188869.13"</f>
        <v>ENSG00000188869.13</v>
      </c>
      <c r="B4379" s="3">
        <v>4.8073075371410301</v>
      </c>
      <c r="C4379" s="3">
        <v>5.6597867282439296</v>
      </c>
      <c r="D4379" s="3">
        <v>2.0539032196280198</v>
      </c>
      <c r="E4379" s="3">
        <v>2.7556248386761699</v>
      </c>
      <c r="F4379" s="3">
        <v>5.8580144965317896E-3</v>
      </c>
      <c r="G4379" s="3">
        <v>2.0291548561785101E-2</v>
      </c>
      <c r="H4379" s="3" t="str">
        <f>"TMC3"</f>
        <v>TMC3</v>
      </c>
      <c r="I4379" s="3" t="str">
        <f>"protein_coding"</f>
        <v>protein_coding</v>
      </c>
    </row>
    <row r="4380" spans="1:9" x14ac:dyDescent="0.2">
      <c r="A4380" s="3" t="str">
        <f>"ENSG00000275695.1"</f>
        <v>ENSG00000275695.1</v>
      </c>
      <c r="B4380" s="3">
        <v>6.3169916271481004</v>
      </c>
      <c r="C4380" s="3">
        <v>4.5450273633212097</v>
      </c>
      <c r="D4380" s="3">
        <v>1.9026583346896899</v>
      </c>
      <c r="E4380" s="3">
        <v>2.3887774701612301</v>
      </c>
      <c r="F4380" s="3">
        <v>1.69045379963308E-2</v>
      </c>
      <c r="G4380" s="3">
        <v>4.9230220904876498E-2</v>
      </c>
      <c r="H4380" s="3" t="str">
        <f>"UBE2Q2P6"</f>
        <v>UBE2Q2P6</v>
      </c>
      <c r="I4380" s="3" t="str">
        <f>"transcribed_unprocessed_pseudogene"</f>
        <v>transcribed_unprocessed_pseudogene</v>
      </c>
    </row>
    <row r="4381" spans="1:9" x14ac:dyDescent="0.2">
      <c r="A4381" s="3" t="str">
        <f>"ENSG00000276710.4"</f>
        <v>ENSG00000276710.4</v>
      </c>
      <c r="B4381" s="3">
        <v>59.418767204871997</v>
      </c>
      <c r="C4381" s="3">
        <v>1.70595732404567</v>
      </c>
      <c r="D4381" s="3">
        <v>0.468502478084454</v>
      </c>
      <c r="E4381" s="3">
        <v>3.6412984004284099</v>
      </c>
      <c r="F4381" s="3">
        <v>2.7126650039968299E-4</v>
      </c>
      <c r="G4381" s="3">
        <v>1.39325133579456E-3</v>
      </c>
      <c r="H4381" s="3" t="str">
        <f>"CSPG4P10"</f>
        <v>CSPG4P10</v>
      </c>
      <c r="I4381" s="3" t="str">
        <f>"transcribed_unprocessed_pseudogene"</f>
        <v>transcribed_unprocessed_pseudogene</v>
      </c>
    </row>
    <row r="4382" spans="1:9" x14ac:dyDescent="0.2">
      <c r="A4382" s="3" t="str">
        <f>"ENSG00000166503.9"</f>
        <v>ENSG00000166503.9</v>
      </c>
      <c r="B4382" s="3">
        <v>62.499651452707198</v>
      </c>
      <c r="C4382" s="3">
        <v>1.2181349274542601</v>
      </c>
      <c r="D4382" s="3">
        <v>0.484047187920567</v>
      </c>
      <c r="E4382" s="3">
        <v>2.5165623473349501</v>
      </c>
      <c r="F4382" s="3">
        <v>1.18505931086433E-2</v>
      </c>
      <c r="G4382" s="3">
        <v>3.6646590674294002E-2</v>
      </c>
      <c r="H4382" s="3" t="str">
        <f>"HDGFL3"</f>
        <v>HDGFL3</v>
      </c>
      <c r="I4382" s="3" t="str">
        <f>"protein_coding"</f>
        <v>protein_coding</v>
      </c>
    </row>
    <row r="4383" spans="1:9" x14ac:dyDescent="0.2">
      <c r="A4383" s="3" t="str">
        <f>"ENSG00000225151.10"</f>
        <v>ENSG00000225151.10</v>
      </c>
      <c r="B4383" s="3">
        <v>83.667317016291904</v>
      </c>
      <c r="C4383" s="3">
        <v>-1.3510363203251501</v>
      </c>
      <c r="D4383" s="3">
        <v>0.40169680728029999</v>
      </c>
      <c r="E4383" s="3">
        <v>-3.3633235212208499</v>
      </c>
      <c r="F4383" s="3">
        <v>7.7010056778114601E-4</v>
      </c>
      <c r="G4383" s="3">
        <v>3.51414003857526E-3</v>
      </c>
      <c r="H4383" s="3" t="str">
        <f>"GOLGA2P7"</f>
        <v>GOLGA2P7</v>
      </c>
      <c r="I4383" s="3" t="str">
        <f>"transcribed_unprocessed_pseudogene"</f>
        <v>transcribed_unprocessed_pseudogene</v>
      </c>
    </row>
    <row r="4384" spans="1:9" x14ac:dyDescent="0.2">
      <c r="A4384" s="3" t="str">
        <f>"ENSG00000230373.8"</f>
        <v>ENSG00000230373.8</v>
      </c>
      <c r="B4384" s="3">
        <v>63.677916663378298</v>
      </c>
      <c r="C4384" s="3">
        <v>1.7037749861913301</v>
      </c>
      <c r="D4384" s="3">
        <v>0.46225968532710099</v>
      </c>
      <c r="E4384" s="3">
        <v>3.6857529225931001</v>
      </c>
      <c r="F4384" s="3">
        <v>2.2802749583105601E-4</v>
      </c>
      <c r="G4384" s="3">
        <v>1.19505004402938E-3</v>
      </c>
      <c r="H4384" s="3" t="str">
        <f>"GOLGA6L5P"</f>
        <v>GOLGA6L5P</v>
      </c>
      <c r="I4384" s="3" t="str">
        <f>"transcribed_unprocessed_pseudogene"</f>
        <v>transcribed_unprocessed_pseudogene</v>
      </c>
    </row>
    <row r="4385" spans="1:9" x14ac:dyDescent="0.2">
      <c r="A4385" s="3" t="str">
        <f>"ENSG00000189136.9"</f>
        <v>ENSG00000189136.9</v>
      </c>
      <c r="B4385" s="3">
        <v>368.71437386713802</v>
      </c>
      <c r="C4385" s="3">
        <v>1.4147175718025</v>
      </c>
      <c r="D4385" s="3">
        <v>0.24403801027046801</v>
      </c>
      <c r="E4385" s="3">
        <v>5.7971197611165799</v>
      </c>
      <c r="F4385" s="4">
        <v>6.7463515727273002E-9</v>
      </c>
      <c r="G4385" s="4">
        <v>8.1988332427341998E-8</v>
      </c>
      <c r="H4385" s="3" t="str">
        <f>"UBE2Q2P1"</f>
        <v>UBE2Q2P1</v>
      </c>
      <c r="I4385" s="3" t="str">
        <f>"transcribed_unprocessed_pseudogene"</f>
        <v>transcribed_unprocessed_pseudogene</v>
      </c>
    </row>
    <row r="4386" spans="1:9" x14ac:dyDescent="0.2">
      <c r="A4386" s="3" t="str">
        <f>"ENSG00000166716.10"</f>
        <v>ENSG00000166716.10</v>
      </c>
      <c r="B4386" s="3">
        <v>2972.4568164329398</v>
      </c>
      <c r="C4386" s="3">
        <v>-1.0995570563285699</v>
      </c>
      <c r="D4386" s="3">
        <v>0.19438218214668701</v>
      </c>
      <c r="E4386" s="3">
        <v>-5.6566761633471501</v>
      </c>
      <c r="F4386" s="4">
        <v>1.54332563262605E-8</v>
      </c>
      <c r="G4386" s="4">
        <v>1.7878823772177701E-7</v>
      </c>
      <c r="H4386" s="3" t="str">
        <f>"ZNF592"</f>
        <v>ZNF592</v>
      </c>
      <c r="I4386" s="3" t="str">
        <f>"protein_coding"</f>
        <v>protein_coding</v>
      </c>
    </row>
    <row r="4387" spans="1:9" x14ac:dyDescent="0.2">
      <c r="A4387" s="3" t="str">
        <f>"ENSG00000259295.6"</f>
        <v>ENSG00000259295.6</v>
      </c>
      <c r="B4387" s="3">
        <v>41.781322090015799</v>
      </c>
      <c r="C4387" s="3">
        <v>2.32394712864218</v>
      </c>
      <c r="D4387" s="3">
        <v>0.57305965479888898</v>
      </c>
      <c r="E4387" s="3">
        <v>4.05533195223411</v>
      </c>
      <c r="F4387" s="4">
        <v>5.0063154266507498E-5</v>
      </c>
      <c r="G4387" s="3">
        <v>3.0673954672802499E-4</v>
      </c>
      <c r="H4387" s="3" t="str">
        <f>"CSPG4P12"</f>
        <v>CSPG4P12</v>
      </c>
      <c r="I4387" s="3" t="str">
        <f>"transcribed_unprocessed_pseudogene"</f>
        <v>transcribed_unprocessed_pseudogene</v>
      </c>
    </row>
    <row r="4388" spans="1:9" x14ac:dyDescent="0.2">
      <c r="A4388" s="3" t="str">
        <f>"ENSG00000259407.1"</f>
        <v>ENSG00000259407.1</v>
      </c>
      <c r="B4388" s="3">
        <v>56.784185198515701</v>
      </c>
      <c r="C4388" s="3">
        <v>2.3020021414959002</v>
      </c>
      <c r="D4388" s="3">
        <v>0.50282286176037705</v>
      </c>
      <c r="E4388" s="3">
        <v>4.5781572727950799</v>
      </c>
      <c r="F4388" s="4">
        <v>4.6908995968174097E-6</v>
      </c>
      <c r="G4388" s="4">
        <v>3.5632266884439401E-5</v>
      </c>
      <c r="H4388" s="3" t="str">
        <f>"AC021739.2"</f>
        <v>AC021739.2</v>
      </c>
      <c r="I4388" s="3" t="str">
        <f>"antisense"</f>
        <v>antisense</v>
      </c>
    </row>
    <row r="4389" spans="1:9" x14ac:dyDescent="0.2">
      <c r="A4389" s="3" t="str">
        <f>"ENSG00000259416.2"</f>
        <v>ENSG00000259416.2</v>
      </c>
      <c r="B4389" s="3">
        <v>45.480704338776299</v>
      </c>
      <c r="C4389" s="3">
        <v>1.53634627224927</v>
      </c>
      <c r="D4389" s="3">
        <v>0.54605358944263604</v>
      </c>
      <c r="E4389" s="3">
        <v>2.8135448643738998</v>
      </c>
      <c r="F4389" s="3">
        <v>4.8998548240331398E-3</v>
      </c>
      <c r="G4389" s="3">
        <v>1.7431302309757299E-2</v>
      </c>
      <c r="H4389" s="3" t="str">
        <f>"AC021739.3"</f>
        <v>AC021739.3</v>
      </c>
      <c r="I4389" s="3" t="str">
        <f>"antisense"</f>
        <v>antisense</v>
      </c>
    </row>
    <row r="4390" spans="1:9" x14ac:dyDescent="0.2">
      <c r="A4390" s="3" t="str">
        <f>"ENSG00000140545.15"</f>
        <v>ENSG00000140545.15</v>
      </c>
      <c r="B4390" s="3">
        <v>786.51576184476903</v>
      </c>
      <c r="C4390" s="3">
        <v>2.08877094005644</v>
      </c>
      <c r="D4390" s="3">
        <v>0.22113794782274199</v>
      </c>
      <c r="E4390" s="3">
        <v>9.4455563173207207</v>
      </c>
      <c r="F4390" s="4">
        <v>3.5352133997776701E-21</v>
      </c>
      <c r="G4390" s="4">
        <v>1.5121500707023901E-19</v>
      </c>
      <c r="H4390" s="3" t="str">
        <f>"MFGE8"</f>
        <v>MFGE8</v>
      </c>
      <c r="I4390" s="3" t="str">
        <f>"protein_coding"</f>
        <v>protein_coding</v>
      </c>
    </row>
    <row r="4391" spans="1:9" x14ac:dyDescent="0.2">
      <c r="A4391" s="3" t="str">
        <f>"ENSG00000140534.13"</f>
        <v>ENSG00000140534.13</v>
      </c>
      <c r="B4391" s="3">
        <v>1788.7976353428501</v>
      </c>
      <c r="C4391" s="3">
        <v>-1.1438403997545099</v>
      </c>
      <c r="D4391" s="3">
        <v>0.196065823018677</v>
      </c>
      <c r="E4391" s="3">
        <v>-5.8339611776477298</v>
      </c>
      <c r="F4391" s="4">
        <v>5.4126720270615602E-9</v>
      </c>
      <c r="G4391" s="4">
        <v>6.6702430900654099E-8</v>
      </c>
      <c r="H4391" s="3" t="str">
        <f>"TICRR"</f>
        <v>TICRR</v>
      </c>
      <c r="I4391" s="3" t="str">
        <f>"protein_coding"</f>
        <v>protein_coding</v>
      </c>
    </row>
    <row r="4392" spans="1:9" x14ac:dyDescent="0.2">
      <c r="A4392" s="3" t="str">
        <f>"ENSG00000166821.9"</f>
        <v>ENSG00000166821.9</v>
      </c>
      <c r="B4392" s="3">
        <v>122.57866151517599</v>
      </c>
      <c r="C4392" s="3">
        <v>-1.40362626384399</v>
      </c>
      <c r="D4392" s="3">
        <v>0.34940402560796002</v>
      </c>
      <c r="E4392" s="3">
        <v>-4.0172011796421003</v>
      </c>
      <c r="F4392" s="4">
        <v>5.8893443801907299E-5</v>
      </c>
      <c r="G4392" s="3">
        <v>3.55251198421645E-4</v>
      </c>
      <c r="H4392" s="3" t="str">
        <f>"PEX11A"</f>
        <v>PEX11A</v>
      </c>
      <c r="I4392" s="3" t="str">
        <f>"protein_coding"</f>
        <v>protein_coding</v>
      </c>
    </row>
    <row r="4393" spans="1:9" x14ac:dyDescent="0.2">
      <c r="A4393" s="3" t="str">
        <f>"ENSG00000166825.14"</f>
        <v>ENSG00000166825.14</v>
      </c>
      <c r="B4393" s="3">
        <v>5223.9944553842297</v>
      </c>
      <c r="C4393" s="3">
        <v>-1.31648840784479</v>
      </c>
      <c r="D4393" s="3">
        <v>0.215488839095068</v>
      </c>
      <c r="E4393" s="3">
        <v>-6.1093113377625698</v>
      </c>
      <c r="F4393" s="4">
        <v>1.0006196201166E-9</v>
      </c>
      <c r="G4393" s="4">
        <v>1.3584396008628299E-8</v>
      </c>
      <c r="H4393" s="3" t="str">
        <f>"ANPEP"</f>
        <v>ANPEP</v>
      </c>
      <c r="I4393" s="3" t="str">
        <f>"protein_coding"</f>
        <v>protein_coding</v>
      </c>
    </row>
    <row r="4394" spans="1:9" x14ac:dyDescent="0.2">
      <c r="A4394" s="3" t="str">
        <f>"ENSG00000140548.10"</f>
        <v>ENSG00000140548.10</v>
      </c>
      <c r="B4394" s="3">
        <v>785.31607468896902</v>
      </c>
      <c r="C4394" s="3">
        <v>-1.3169559284446799</v>
      </c>
      <c r="D4394" s="3">
        <v>0.24167926640204901</v>
      </c>
      <c r="E4394" s="3">
        <v>-5.44918870389915</v>
      </c>
      <c r="F4394" s="4">
        <v>5.0600104213814697E-8</v>
      </c>
      <c r="G4394" s="4">
        <v>5.4151651198499999E-7</v>
      </c>
      <c r="H4394" s="3" t="str">
        <f>"ZNF710"</f>
        <v>ZNF710</v>
      </c>
      <c r="I4394" s="3" t="str">
        <f>"protein_coding"</f>
        <v>protein_coding</v>
      </c>
    </row>
    <row r="4395" spans="1:9" x14ac:dyDescent="0.2">
      <c r="A4395" s="3" t="str">
        <f>"ENSG00000259291.2"</f>
        <v>ENSG00000259291.2</v>
      </c>
      <c r="B4395" s="3">
        <v>166.68196546830799</v>
      </c>
      <c r="C4395" s="3">
        <v>3.0652233385627801</v>
      </c>
      <c r="D4395" s="3">
        <v>0.34006702361718899</v>
      </c>
      <c r="E4395" s="3">
        <v>9.0135859277354697</v>
      </c>
      <c r="F4395" s="4">
        <v>1.9942656162253E-19</v>
      </c>
      <c r="G4395" s="4">
        <v>7.2450340327054304E-18</v>
      </c>
      <c r="H4395" s="3" t="str">
        <f>"ZNF710-AS1"</f>
        <v>ZNF710-AS1</v>
      </c>
      <c r="I4395" s="3" t="str">
        <f>"antisense"</f>
        <v>antisense</v>
      </c>
    </row>
    <row r="4396" spans="1:9" x14ac:dyDescent="0.2">
      <c r="A4396" s="3" t="str">
        <f>"ENSG00000182054.9"</f>
        <v>ENSG00000182054.9</v>
      </c>
      <c r="B4396" s="3">
        <v>5430.0711608144302</v>
      </c>
      <c r="C4396" s="3">
        <v>1.15472260679955</v>
      </c>
      <c r="D4396" s="3">
        <v>0.216030134636571</v>
      </c>
      <c r="E4396" s="3">
        <v>5.3451922748747496</v>
      </c>
      <c r="F4396" s="4">
        <v>9.0321123600901003E-8</v>
      </c>
      <c r="G4396" s="4">
        <v>9.2068075374251701E-7</v>
      </c>
      <c r="H4396" s="3" t="str">
        <f>"IDH2"</f>
        <v>IDH2</v>
      </c>
      <c r="I4396" s="3" t="str">
        <f t="shared" ref="I4396:I4401" si="206">"protein_coding"</f>
        <v>protein_coding</v>
      </c>
    </row>
    <row r="4397" spans="1:9" x14ac:dyDescent="0.2">
      <c r="A4397" s="3" t="str">
        <f>"ENSG00000196391.10"</f>
        <v>ENSG00000196391.10</v>
      </c>
      <c r="B4397" s="3">
        <v>133.99867831436899</v>
      </c>
      <c r="C4397" s="3">
        <v>2.47229772222633</v>
      </c>
      <c r="D4397" s="3">
        <v>0.37052665627416898</v>
      </c>
      <c r="E4397" s="3">
        <v>6.6723882893784898</v>
      </c>
      <c r="F4397" s="4">
        <v>2.5167361391580801E-11</v>
      </c>
      <c r="G4397" s="4">
        <v>4.2445878378998998E-10</v>
      </c>
      <c r="H4397" s="3" t="str">
        <f>"ZNF774"</f>
        <v>ZNF774</v>
      </c>
      <c r="I4397" s="3" t="str">
        <f t="shared" si="206"/>
        <v>protein_coding</v>
      </c>
    </row>
    <row r="4398" spans="1:9" x14ac:dyDescent="0.2">
      <c r="A4398" s="3" t="str">
        <f>"ENSG00000196547.15"</f>
        <v>ENSG00000196547.15</v>
      </c>
      <c r="B4398" s="3">
        <v>1617.7969277058601</v>
      </c>
      <c r="C4398" s="3">
        <v>-1.0934856850465999</v>
      </c>
      <c r="D4398" s="3">
        <v>0.21801694151229301</v>
      </c>
      <c r="E4398" s="3">
        <v>-5.0155996018545004</v>
      </c>
      <c r="F4398" s="4">
        <v>5.2868327274939197E-7</v>
      </c>
      <c r="G4398" s="4">
        <v>4.7572764638714301E-6</v>
      </c>
      <c r="H4398" s="3" t="str">
        <f>"MAN2A2"</f>
        <v>MAN2A2</v>
      </c>
      <c r="I4398" s="3" t="str">
        <f t="shared" si="206"/>
        <v>protein_coding</v>
      </c>
    </row>
    <row r="4399" spans="1:9" x14ac:dyDescent="0.2">
      <c r="A4399" s="3" t="str">
        <f>"ENSG00000185518.11"</f>
        <v>ENSG00000185518.11</v>
      </c>
      <c r="B4399" s="3">
        <v>8.1500619301479293</v>
      </c>
      <c r="C4399" s="3">
        <v>6.4255588067260998</v>
      </c>
      <c r="D4399" s="3">
        <v>1.83422848902311</v>
      </c>
      <c r="E4399" s="3">
        <v>3.50313979156887</v>
      </c>
      <c r="F4399" s="3">
        <v>4.5980808452777402E-4</v>
      </c>
      <c r="G4399" s="3">
        <v>2.2244719662634599E-3</v>
      </c>
      <c r="H4399" s="3" t="str">
        <f>"SV2B"</f>
        <v>SV2B</v>
      </c>
      <c r="I4399" s="3" t="str">
        <f t="shared" si="206"/>
        <v>protein_coding</v>
      </c>
    </row>
    <row r="4400" spans="1:9" x14ac:dyDescent="0.2">
      <c r="A4400" s="3" t="str">
        <f>"ENSG00000176463.14"</f>
        <v>ENSG00000176463.14</v>
      </c>
      <c r="B4400" s="3">
        <v>7.1233718340675898</v>
      </c>
      <c r="C4400" s="3">
        <v>6.2329345355589201</v>
      </c>
      <c r="D4400" s="3">
        <v>1.89828527042024</v>
      </c>
      <c r="E4400" s="3">
        <v>3.28345514379884</v>
      </c>
      <c r="F4400" s="3">
        <v>1.02542962073083E-3</v>
      </c>
      <c r="G4400" s="3">
        <v>4.5151714408618203E-3</v>
      </c>
      <c r="H4400" s="3" t="str">
        <f>"SLCO3A1"</f>
        <v>SLCO3A1</v>
      </c>
      <c r="I4400" s="3" t="str">
        <f t="shared" si="206"/>
        <v>protein_coding</v>
      </c>
    </row>
    <row r="4401" spans="1:9" x14ac:dyDescent="0.2">
      <c r="A4401" s="3" t="str">
        <f>"ENSG00000182175.14"</f>
        <v>ENSG00000182175.14</v>
      </c>
      <c r="B4401" s="3">
        <v>252.642777933415</v>
      </c>
      <c r="C4401" s="3">
        <v>9.9338808501896398</v>
      </c>
      <c r="D4401" s="3">
        <v>1.4654223386183201</v>
      </c>
      <c r="E4401" s="3">
        <v>6.77885179473643</v>
      </c>
      <c r="F4401" s="4">
        <v>1.21134708714649E-11</v>
      </c>
      <c r="G4401" s="4">
        <v>2.11574192842823E-10</v>
      </c>
      <c r="H4401" s="3" t="str">
        <f>"RGMA"</f>
        <v>RGMA</v>
      </c>
      <c r="I4401" s="3" t="str">
        <f t="shared" si="206"/>
        <v>protein_coding</v>
      </c>
    </row>
    <row r="4402" spans="1:9" x14ac:dyDescent="0.2">
      <c r="A4402" s="3" t="str">
        <f>"ENSG00000258611.2"</f>
        <v>ENSG00000258611.2</v>
      </c>
      <c r="B4402" s="3">
        <v>13.802869039335601</v>
      </c>
      <c r="C4402" s="3">
        <v>7.1850170717117896</v>
      </c>
      <c r="D4402" s="3">
        <v>1.6864497560632199</v>
      </c>
      <c r="E4402" s="3">
        <v>4.2604394503185201</v>
      </c>
      <c r="F4402" s="4">
        <v>2.0402535138473399E-5</v>
      </c>
      <c r="G4402" s="3">
        <v>1.3535619063014001E-4</v>
      </c>
      <c r="H4402" s="3" t="str">
        <f>"AC087641.1"</f>
        <v>AC087641.1</v>
      </c>
      <c r="I4402" s="3" t="str">
        <f>"transcribed_processed_pseudogene"</f>
        <v>transcribed_processed_pseudogene</v>
      </c>
    </row>
    <row r="4403" spans="1:9" x14ac:dyDescent="0.2">
      <c r="A4403" s="3" t="str">
        <f>"ENSG00000140563.15"</f>
        <v>ENSG00000140563.15</v>
      </c>
      <c r="B4403" s="3">
        <v>146.330902330611</v>
      </c>
      <c r="C4403" s="3">
        <v>-2.0526927306411502</v>
      </c>
      <c r="D4403" s="3">
        <v>0.32867333186943998</v>
      </c>
      <c r="E4403" s="3">
        <v>-6.2453887541339999</v>
      </c>
      <c r="F4403" s="4">
        <v>4.22747329285372E-10</v>
      </c>
      <c r="G4403" s="4">
        <v>5.9930262648483399E-9</v>
      </c>
      <c r="H4403" s="3" t="str">
        <f>"MCTP2"</f>
        <v>MCTP2</v>
      </c>
      <c r="I4403" s="3" t="str">
        <f>"protein_coding"</f>
        <v>protein_coding</v>
      </c>
    </row>
    <row r="4404" spans="1:9" x14ac:dyDescent="0.2">
      <c r="A4404" s="3" t="str">
        <f>"ENSG00000185551.15"</f>
        <v>ENSG00000185551.15</v>
      </c>
      <c r="B4404" s="3">
        <v>976.69325126020794</v>
      </c>
      <c r="C4404" s="3">
        <v>-1.61420483948597</v>
      </c>
      <c r="D4404" s="3">
        <v>0.206361749007275</v>
      </c>
      <c r="E4404" s="3">
        <v>-7.8222095289038398</v>
      </c>
      <c r="F4404" s="4">
        <v>5.1904120302172502E-15</v>
      </c>
      <c r="G4404" s="4">
        <v>1.2833317294675999E-13</v>
      </c>
      <c r="H4404" s="3" t="str">
        <f>"NR2F2"</f>
        <v>NR2F2</v>
      </c>
      <c r="I4404" s="3" t="str">
        <f>"protein_coding"</f>
        <v>protein_coding</v>
      </c>
    </row>
    <row r="4405" spans="1:9" x14ac:dyDescent="0.2">
      <c r="A4405" s="3" t="str">
        <f>"ENSG00000140450.9"</f>
        <v>ENSG00000140450.9</v>
      </c>
      <c r="B4405" s="3">
        <v>245.41182908720401</v>
      </c>
      <c r="C4405" s="3">
        <v>3.6761159829897001</v>
      </c>
      <c r="D4405" s="3">
        <v>0.324031684734289</v>
      </c>
      <c r="E4405" s="3">
        <v>11.3449275369604</v>
      </c>
      <c r="F4405" s="4">
        <v>7.8591319825696801E-30</v>
      </c>
      <c r="G4405" s="4">
        <v>6.0662257543647596E-28</v>
      </c>
      <c r="H4405" s="3" t="str">
        <f>"ARRDC4"</f>
        <v>ARRDC4</v>
      </c>
      <c r="I4405" s="3" t="str">
        <f>"protein_coding"</f>
        <v>protein_coding</v>
      </c>
    </row>
    <row r="4406" spans="1:9" x14ac:dyDescent="0.2">
      <c r="A4406" s="3" t="str">
        <f>"ENSG00000182253.14"</f>
        <v>ENSG00000182253.14</v>
      </c>
      <c r="B4406" s="3">
        <v>1496.9526610529299</v>
      </c>
      <c r="C4406" s="3">
        <v>1.1567659756789801</v>
      </c>
      <c r="D4406" s="3">
        <v>0.186078607826967</v>
      </c>
      <c r="E4406" s="3">
        <v>6.2165446592046996</v>
      </c>
      <c r="F4406" s="4">
        <v>5.0822178449986801E-10</v>
      </c>
      <c r="G4406" s="4">
        <v>7.1342189398598202E-9</v>
      </c>
      <c r="H4406" s="3" t="str">
        <f>"SYNM"</f>
        <v>SYNM</v>
      </c>
      <c r="I4406" s="3" t="str">
        <f>"protein_coding"</f>
        <v>protein_coding</v>
      </c>
    </row>
    <row r="4407" spans="1:9" x14ac:dyDescent="0.2">
      <c r="A4407" s="3" t="str">
        <f>"ENSG00000261054.1"</f>
        <v>ENSG00000261054.1</v>
      </c>
      <c r="B4407" s="3">
        <v>61.319882852900299</v>
      </c>
      <c r="C4407" s="3">
        <v>1.94192285115019</v>
      </c>
      <c r="D4407" s="3">
        <v>0.48000577396849498</v>
      </c>
      <c r="E4407" s="3">
        <v>4.0456239413437602</v>
      </c>
      <c r="F4407" s="4">
        <v>5.2183947181906602E-5</v>
      </c>
      <c r="G4407" s="3">
        <v>3.1815976926950301E-4</v>
      </c>
      <c r="H4407" s="3" t="str">
        <f>"AC036108.2"</f>
        <v>AC036108.2</v>
      </c>
      <c r="I4407" s="3" t="str">
        <f>"antisense"</f>
        <v>antisense</v>
      </c>
    </row>
    <row r="4408" spans="1:9" x14ac:dyDescent="0.2">
      <c r="A4408" s="3" t="str">
        <f>"ENSG00000261616.1"</f>
        <v>ENSG00000261616.1</v>
      </c>
      <c r="B4408" s="3">
        <v>30.2393664921481</v>
      </c>
      <c r="C4408" s="3">
        <v>1.6685802376995</v>
      </c>
      <c r="D4408" s="3">
        <v>0.63953885908314301</v>
      </c>
      <c r="E4408" s="3">
        <v>2.6090365174863801</v>
      </c>
      <c r="F4408" s="3">
        <v>9.0797552329056497E-3</v>
      </c>
      <c r="G4408" s="3">
        <v>2.9342614836673001E-2</v>
      </c>
      <c r="H4408" s="3" t="str">
        <f>"AC036108.3"</f>
        <v>AC036108.3</v>
      </c>
      <c r="I4408" s="3" t="str">
        <f>"antisense"</f>
        <v>antisense</v>
      </c>
    </row>
    <row r="4409" spans="1:9" x14ac:dyDescent="0.2">
      <c r="A4409" s="3" t="str">
        <f>"ENSG00000168904.15"</f>
        <v>ENSG00000168904.15</v>
      </c>
      <c r="B4409" s="3">
        <v>693.71950343377603</v>
      </c>
      <c r="C4409" s="3">
        <v>1.1683039691010999</v>
      </c>
      <c r="D4409" s="3">
        <v>0.22723390225374501</v>
      </c>
      <c r="E4409" s="3">
        <v>5.1414157725307099</v>
      </c>
      <c r="F4409" s="4">
        <v>2.7267588818600101E-7</v>
      </c>
      <c r="G4409" s="4">
        <v>2.5663557600704602E-6</v>
      </c>
      <c r="H4409" s="3" t="str">
        <f>"LRRC28"</f>
        <v>LRRC28</v>
      </c>
      <c r="I4409" s="3" t="str">
        <f>"protein_coding"</f>
        <v>protein_coding</v>
      </c>
    </row>
    <row r="4410" spans="1:9" x14ac:dyDescent="0.2">
      <c r="A4410" s="3" t="str">
        <f>"ENSG00000259706.1"</f>
        <v>ENSG00000259706.1</v>
      </c>
      <c r="B4410" s="3">
        <v>84.596423781561398</v>
      </c>
      <c r="C4410" s="3">
        <v>1.2313801890803699</v>
      </c>
      <c r="D4410" s="3">
        <v>0.40181489807614701</v>
      </c>
      <c r="E4410" s="3">
        <v>3.06454587666139</v>
      </c>
      <c r="F4410" s="3">
        <v>2.18000736663019E-3</v>
      </c>
      <c r="G4410" s="3">
        <v>8.6791637439290106E-3</v>
      </c>
      <c r="H4410" s="3" t="str">
        <f>"HSP90B2P"</f>
        <v>HSP90B2P</v>
      </c>
      <c r="I4410" s="3" t="str">
        <f>"processed_pseudogene"</f>
        <v>processed_pseudogene</v>
      </c>
    </row>
    <row r="4411" spans="1:9" x14ac:dyDescent="0.2">
      <c r="A4411" s="3" t="str">
        <f>"ENSG00000259257.1"</f>
        <v>ENSG00000259257.1</v>
      </c>
      <c r="B4411" s="3">
        <v>28.7803646007822</v>
      </c>
      <c r="C4411" s="3">
        <v>1.6393733500892</v>
      </c>
      <c r="D4411" s="3">
        <v>0.67208683464760699</v>
      </c>
      <c r="E4411" s="3">
        <v>2.43922848295156</v>
      </c>
      <c r="F4411" s="3">
        <v>1.4718658796693001E-2</v>
      </c>
      <c r="G4411" s="3">
        <v>4.3862987666356199E-2</v>
      </c>
      <c r="H4411" s="3" t="str">
        <f>"AC037479.1"</f>
        <v>AC037479.1</v>
      </c>
      <c r="I4411" s="3" t="str">
        <f>"processed_pseudogene"</f>
        <v>processed_pseudogene</v>
      </c>
    </row>
    <row r="4412" spans="1:9" x14ac:dyDescent="0.2">
      <c r="A4412" s="3" t="str">
        <f>"ENSG00000182397.14"</f>
        <v>ENSG00000182397.14</v>
      </c>
      <c r="B4412" s="3">
        <v>29.112177750186099</v>
      </c>
      <c r="C4412" s="3">
        <v>2.3934832976287201</v>
      </c>
      <c r="D4412" s="3">
        <v>0.68640066081669304</v>
      </c>
      <c r="E4412" s="3">
        <v>3.4870061092029099</v>
      </c>
      <c r="F4412" s="3">
        <v>4.8846019935385495E-4</v>
      </c>
      <c r="G4412" s="3">
        <v>2.3485221548958002E-3</v>
      </c>
      <c r="H4412" s="3" t="str">
        <f>"DNM1P46"</f>
        <v>DNM1P46</v>
      </c>
      <c r="I4412" s="3" t="str">
        <f>"transcribed_unprocessed_pseudogene"</f>
        <v>transcribed_unprocessed_pseudogene</v>
      </c>
    </row>
    <row r="4413" spans="1:9" x14ac:dyDescent="0.2">
      <c r="A4413" s="3" t="str">
        <f>"ENSG00000140470.14"</f>
        <v>ENSG00000140470.14</v>
      </c>
      <c r="B4413" s="3">
        <v>30.2774239412349</v>
      </c>
      <c r="C4413" s="3">
        <v>3.9711138198834299</v>
      </c>
      <c r="D4413" s="3">
        <v>0.82309564189191897</v>
      </c>
      <c r="E4413" s="3">
        <v>4.8246080015144601</v>
      </c>
      <c r="F4413" s="4">
        <v>1.4027888816693099E-6</v>
      </c>
      <c r="G4413" s="4">
        <v>1.1728072617012499E-5</v>
      </c>
      <c r="H4413" s="3" t="str">
        <f>"ADAMTS17"</f>
        <v>ADAMTS17</v>
      </c>
      <c r="I4413" s="3" t="str">
        <f>"protein_coding"</f>
        <v>protein_coding</v>
      </c>
    </row>
    <row r="4414" spans="1:9" x14ac:dyDescent="0.2">
      <c r="A4414" s="3" t="str">
        <f>"ENSG00000212306.1"</f>
        <v>ENSG00000212306.1</v>
      </c>
      <c r="B4414" s="3">
        <v>15.5638478762346</v>
      </c>
      <c r="C4414" s="3">
        <v>2.3316050141445301</v>
      </c>
      <c r="D4414" s="3">
        <v>0.91367076839750205</v>
      </c>
      <c r="E4414" s="3">
        <v>2.5519093909877002</v>
      </c>
      <c r="F4414" s="3">
        <v>1.0713437650969699E-2</v>
      </c>
      <c r="G4414" s="3">
        <v>3.3746709326701999E-2</v>
      </c>
      <c r="H4414" s="3" t="str">
        <f>"RF00019"</f>
        <v>RF00019</v>
      </c>
      <c r="I4414" s="3" t="str">
        <f>"misc_RNA"</f>
        <v>misc_RNA</v>
      </c>
    </row>
    <row r="4415" spans="1:9" x14ac:dyDescent="0.2">
      <c r="A4415" s="3" t="str">
        <f>"ENSG00000184254.17"</f>
        <v>ENSG00000184254.17</v>
      </c>
      <c r="B4415" s="3">
        <v>135.172359041763</v>
      </c>
      <c r="C4415" s="3">
        <v>6.4301100582067203</v>
      </c>
      <c r="D4415" s="3">
        <v>0.67252474218063896</v>
      </c>
      <c r="E4415" s="3">
        <v>9.5611501776979999</v>
      </c>
      <c r="F4415" s="4">
        <v>1.1645518307072599E-21</v>
      </c>
      <c r="G4415" s="4">
        <v>5.1594380050862898E-20</v>
      </c>
      <c r="H4415" s="3" t="str">
        <f>"ALDH1A3"</f>
        <v>ALDH1A3</v>
      </c>
      <c r="I4415" s="3" t="str">
        <f>"protein_coding"</f>
        <v>protein_coding</v>
      </c>
    </row>
    <row r="4416" spans="1:9" x14ac:dyDescent="0.2">
      <c r="A4416" s="3" t="str">
        <f>"ENSG00000279970.1"</f>
        <v>ENSG00000279970.1</v>
      </c>
      <c r="B4416" s="3">
        <v>85.6459331019134</v>
      </c>
      <c r="C4416" s="3">
        <v>-1.1206628063627699</v>
      </c>
      <c r="D4416" s="3">
        <v>0.40797990256174499</v>
      </c>
      <c r="E4416" s="3">
        <v>-2.74685787051278</v>
      </c>
      <c r="F4416" s="3">
        <v>6.0169202863799599E-3</v>
      </c>
      <c r="G4416" s="3">
        <v>2.0733910085113799E-2</v>
      </c>
      <c r="H4416" s="3" t="str">
        <f>"AC023024.2"</f>
        <v>AC023024.2</v>
      </c>
      <c r="I4416" s="3" t="str">
        <f>"TEC"</f>
        <v>TEC</v>
      </c>
    </row>
    <row r="4417" spans="1:9" x14ac:dyDescent="0.2">
      <c r="A4417" s="3" t="str">
        <f>"ENSG00000185418.16"</f>
        <v>ENSG00000185418.16</v>
      </c>
      <c r="B4417" s="3">
        <v>387.60300552289402</v>
      </c>
      <c r="C4417" s="3">
        <v>-1.3547153484057199</v>
      </c>
      <c r="D4417" s="3">
        <v>0.28245503499076102</v>
      </c>
      <c r="E4417" s="3">
        <v>-4.7962159656669998</v>
      </c>
      <c r="F4417" s="4">
        <v>1.6169095341093799E-6</v>
      </c>
      <c r="G4417" s="4">
        <v>1.33462387385272E-5</v>
      </c>
      <c r="H4417" s="3" t="str">
        <f>"TARSL2"</f>
        <v>TARSL2</v>
      </c>
      <c r="I4417" s="3" t="str">
        <f>"protein_coding"</f>
        <v>protein_coding</v>
      </c>
    </row>
    <row r="4418" spans="1:9" x14ac:dyDescent="0.2">
      <c r="A4418" s="3" t="str">
        <f>"ENSG00000259660.2"</f>
        <v>ENSG00000259660.2</v>
      </c>
      <c r="B4418" s="3">
        <v>16.808259030170401</v>
      </c>
      <c r="C4418" s="3">
        <v>2.4720617506754401</v>
      </c>
      <c r="D4418" s="3">
        <v>0.90428455909778205</v>
      </c>
      <c r="E4418" s="3">
        <v>2.7337210680030299</v>
      </c>
      <c r="F4418" s="3">
        <v>6.2623069502445597E-3</v>
      </c>
      <c r="G4418" s="3">
        <v>2.1481691737795999E-2</v>
      </c>
      <c r="H4418" s="3" t="str">
        <f>"DNM1P47"</f>
        <v>DNM1P47</v>
      </c>
      <c r="I4418" s="3" t="str">
        <f>"transcribed_unprocessed_pseudogene"</f>
        <v>transcribed_unprocessed_pseudogene</v>
      </c>
    </row>
    <row r="4419" spans="1:9" x14ac:dyDescent="0.2">
      <c r="A4419" s="3" t="str">
        <f>"ENSG00000161980.5"</f>
        <v>ENSG00000161980.5</v>
      </c>
      <c r="B4419" s="3">
        <v>443.535346864313</v>
      </c>
      <c r="C4419" s="3">
        <v>-1.5003613494655601</v>
      </c>
      <c r="D4419" s="3">
        <v>0.24538984616051901</v>
      </c>
      <c r="E4419" s="3">
        <v>-6.11419491450396</v>
      </c>
      <c r="F4419" s="4">
        <v>9.7045633795840597E-10</v>
      </c>
      <c r="G4419" s="4">
        <v>1.32276257330429E-8</v>
      </c>
      <c r="H4419" s="3" t="str">
        <f>"POLR3K"</f>
        <v>POLR3K</v>
      </c>
      <c r="I4419" s="3" t="str">
        <f t="shared" ref="I4419:I4432" si="207">"protein_coding"</f>
        <v>protein_coding</v>
      </c>
    </row>
    <row r="4420" spans="1:9" x14ac:dyDescent="0.2">
      <c r="A4420" s="3" t="str">
        <f>"ENSG00000161981.10"</f>
        <v>ENSG00000161981.10</v>
      </c>
      <c r="B4420" s="3">
        <v>878.02073483020797</v>
      </c>
      <c r="C4420" s="3">
        <v>-1.8334541411383001</v>
      </c>
      <c r="D4420" s="3">
        <v>0.24545688345358299</v>
      </c>
      <c r="E4420" s="3">
        <v>-7.4695568335324998</v>
      </c>
      <c r="F4420" s="4">
        <v>8.04653503576037E-14</v>
      </c>
      <c r="G4420" s="4">
        <v>1.80894340032478E-12</v>
      </c>
      <c r="H4420" s="3" t="str">
        <f>"SNRNP25"</f>
        <v>SNRNP25</v>
      </c>
      <c r="I4420" s="3" t="str">
        <f t="shared" si="207"/>
        <v>protein_coding</v>
      </c>
    </row>
    <row r="4421" spans="1:9" x14ac:dyDescent="0.2">
      <c r="A4421" s="3" t="str">
        <f>"ENSG00000007384.15"</f>
        <v>ENSG00000007384.15</v>
      </c>
      <c r="B4421" s="3">
        <v>854.50130835807795</v>
      </c>
      <c r="C4421" s="3">
        <v>1.4597106829538999</v>
      </c>
      <c r="D4421" s="3">
        <v>0.24449375834252399</v>
      </c>
      <c r="E4421" s="3">
        <v>5.9703392546688798</v>
      </c>
      <c r="F4421" s="4">
        <v>2.36760750521984E-9</v>
      </c>
      <c r="G4421" s="4">
        <v>3.0501277397033097E-8</v>
      </c>
      <c r="H4421" s="3" t="str">
        <f>"RHBDF1"</f>
        <v>RHBDF1</v>
      </c>
      <c r="I4421" s="3" t="str">
        <f t="shared" si="207"/>
        <v>protein_coding</v>
      </c>
    </row>
    <row r="4422" spans="1:9" x14ac:dyDescent="0.2">
      <c r="A4422" s="3" t="str">
        <f>"ENSG00000086506.3"</f>
        <v>ENSG00000086506.3</v>
      </c>
      <c r="B4422" s="3">
        <v>110.229869332289</v>
      </c>
      <c r="C4422" s="3">
        <v>-1.2791660355066099</v>
      </c>
      <c r="D4422" s="3">
        <v>0.42328294985088</v>
      </c>
      <c r="E4422" s="3">
        <v>-3.0220117204277899</v>
      </c>
      <c r="F4422" s="3">
        <v>2.5110082561213502E-3</v>
      </c>
      <c r="G4422" s="3">
        <v>9.8015026740434393E-3</v>
      </c>
      <c r="H4422" s="3" t="str">
        <f>"HBQ1"</f>
        <v>HBQ1</v>
      </c>
      <c r="I4422" s="3" t="str">
        <f t="shared" si="207"/>
        <v>protein_coding</v>
      </c>
    </row>
    <row r="4423" spans="1:9" x14ac:dyDescent="0.2">
      <c r="A4423" s="3" t="str">
        <f>"ENSG00000185615.15"</f>
        <v>ENSG00000185615.15</v>
      </c>
      <c r="B4423" s="3">
        <v>40.158600224566598</v>
      </c>
      <c r="C4423" s="3">
        <v>-1.3644964238469299</v>
      </c>
      <c r="D4423" s="3">
        <v>0.56284797273410303</v>
      </c>
      <c r="E4423" s="3">
        <v>-2.4242717215782501</v>
      </c>
      <c r="F4423" s="3">
        <v>1.5339123616687701E-2</v>
      </c>
      <c r="G4423" s="3">
        <v>4.5414006430934399E-2</v>
      </c>
      <c r="H4423" s="3" t="str">
        <f>"PDIA2"</f>
        <v>PDIA2</v>
      </c>
      <c r="I4423" s="3" t="str">
        <f t="shared" si="207"/>
        <v>protein_coding</v>
      </c>
    </row>
    <row r="4424" spans="1:9" x14ac:dyDescent="0.2">
      <c r="A4424" s="3" t="str">
        <f>"ENSG00000103126.15"</f>
        <v>ENSG00000103126.15</v>
      </c>
      <c r="B4424" s="3">
        <v>1961.59293600509</v>
      </c>
      <c r="C4424" s="3">
        <v>-1.54109291999755</v>
      </c>
      <c r="D4424" s="3">
        <v>0.21981737741829299</v>
      </c>
      <c r="E4424" s="3">
        <v>-7.0107874914046802</v>
      </c>
      <c r="F4424" s="4">
        <v>2.3698045000824499E-12</v>
      </c>
      <c r="G4424" s="4">
        <v>4.4778129829227903E-11</v>
      </c>
      <c r="H4424" s="3" t="str">
        <f>"AXIN1"</f>
        <v>AXIN1</v>
      </c>
      <c r="I4424" s="3" t="str">
        <f t="shared" si="207"/>
        <v>protein_coding</v>
      </c>
    </row>
    <row r="4425" spans="1:9" x14ac:dyDescent="0.2">
      <c r="A4425" s="3" t="str">
        <f>"ENSG00000103202.13"</f>
        <v>ENSG00000103202.13</v>
      </c>
      <c r="B4425" s="3">
        <v>1986.4795173192399</v>
      </c>
      <c r="C4425" s="3">
        <v>-2.8030367246325598</v>
      </c>
      <c r="D4425" s="3">
        <v>0.21119830021578501</v>
      </c>
      <c r="E4425" s="3">
        <v>-13.272061005077401</v>
      </c>
      <c r="F4425" s="4">
        <v>3.3620499845587799E-40</v>
      </c>
      <c r="G4425" s="4">
        <v>4.6977320989370802E-38</v>
      </c>
      <c r="H4425" s="3" t="str">
        <f>"NME4"</f>
        <v>NME4</v>
      </c>
      <c r="I4425" s="3" t="str">
        <f t="shared" si="207"/>
        <v>protein_coding</v>
      </c>
    </row>
    <row r="4426" spans="1:9" x14ac:dyDescent="0.2">
      <c r="A4426" s="3" t="str">
        <f>"ENSG00000103326.12"</f>
        <v>ENSG00000103326.12</v>
      </c>
      <c r="B4426" s="3">
        <v>2430.9429849529001</v>
      </c>
      <c r="C4426" s="3">
        <v>-1.4601171030106099</v>
      </c>
      <c r="D4426" s="3">
        <v>0.21216898694764399</v>
      </c>
      <c r="E4426" s="3">
        <v>-6.8818592387911997</v>
      </c>
      <c r="F4426" s="4">
        <v>5.9076374429204901E-12</v>
      </c>
      <c r="G4426" s="4">
        <v>1.06458596168819E-10</v>
      </c>
      <c r="H4426" s="3" t="str">
        <f>"CAPN15"</f>
        <v>CAPN15</v>
      </c>
      <c r="I4426" s="3" t="str">
        <f t="shared" si="207"/>
        <v>protein_coding</v>
      </c>
    </row>
    <row r="4427" spans="1:9" x14ac:dyDescent="0.2">
      <c r="A4427" s="3" t="str">
        <f>"ENSG00000172366.20"</f>
        <v>ENSG00000172366.20</v>
      </c>
      <c r="B4427" s="3">
        <v>920.15376280959504</v>
      </c>
      <c r="C4427" s="3">
        <v>-1.1204733741797499</v>
      </c>
      <c r="D4427" s="3">
        <v>0.21919277772342399</v>
      </c>
      <c r="E4427" s="3">
        <v>-5.1118170307306503</v>
      </c>
      <c r="F4427" s="4">
        <v>3.19074793797631E-7</v>
      </c>
      <c r="G4427" s="4">
        <v>2.9712340760779401E-6</v>
      </c>
      <c r="H4427" s="3" t="str">
        <f>"MCRIP2"</f>
        <v>MCRIP2</v>
      </c>
      <c r="I4427" s="3" t="str">
        <f t="shared" si="207"/>
        <v>protein_coding</v>
      </c>
    </row>
    <row r="4428" spans="1:9" x14ac:dyDescent="0.2">
      <c r="A4428" s="3" t="str">
        <f>"ENSG00000161996.19"</f>
        <v>ENSG00000161996.19</v>
      </c>
      <c r="B4428" s="3">
        <v>1034.6869963824499</v>
      </c>
      <c r="C4428" s="3">
        <v>-1.1440595648546199</v>
      </c>
      <c r="D4428" s="3">
        <v>0.25149119385208102</v>
      </c>
      <c r="E4428" s="3">
        <v>-4.5491038764860896</v>
      </c>
      <c r="F4428" s="4">
        <v>5.3874845646096697E-6</v>
      </c>
      <c r="G4428" s="4">
        <v>4.0449928887274599E-5</v>
      </c>
      <c r="H4428" s="3" t="str">
        <f>"WDR90"</f>
        <v>WDR90</v>
      </c>
      <c r="I4428" s="3" t="str">
        <f t="shared" si="207"/>
        <v>protein_coding</v>
      </c>
    </row>
    <row r="4429" spans="1:9" x14ac:dyDescent="0.2">
      <c r="A4429" s="3" t="str">
        <f>"ENSG00000127585.12"</f>
        <v>ENSG00000127585.12</v>
      </c>
      <c r="B4429" s="3">
        <v>107.53402708102099</v>
      </c>
      <c r="C4429" s="3">
        <v>-1.2727901347114401</v>
      </c>
      <c r="D4429" s="3">
        <v>0.36841849159524098</v>
      </c>
      <c r="E4429" s="3">
        <v>-3.4547400951572702</v>
      </c>
      <c r="F4429" s="3">
        <v>5.5082353258007399E-4</v>
      </c>
      <c r="G4429" s="3">
        <v>2.60981755213313E-3</v>
      </c>
      <c r="H4429" s="3" t="str">
        <f>"FBXL16"</f>
        <v>FBXL16</v>
      </c>
      <c r="I4429" s="3" t="str">
        <f t="shared" si="207"/>
        <v>protein_coding</v>
      </c>
    </row>
    <row r="4430" spans="1:9" x14ac:dyDescent="0.2">
      <c r="A4430" s="3" t="str">
        <f>"ENSG00000103260.9"</f>
        <v>ENSG00000103260.9</v>
      </c>
      <c r="B4430" s="3">
        <v>259.22730702487098</v>
      </c>
      <c r="C4430" s="3">
        <v>-1.97265627074275</v>
      </c>
      <c r="D4430" s="3">
        <v>0.28326689210725298</v>
      </c>
      <c r="E4430" s="3">
        <v>-6.96394928495861</v>
      </c>
      <c r="F4430" s="4">
        <v>3.3086375802055301E-12</v>
      </c>
      <c r="G4430" s="4">
        <v>6.1368582809979598E-11</v>
      </c>
      <c r="H4430" s="3" t="str">
        <f>"METRN"</f>
        <v>METRN</v>
      </c>
      <c r="I4430" s="3" t="str">
        <f t="shared" si="207"/>
        <v>protein_coding</v>
      </c>
    </row>
    <row r="4431" spans="1:9" x14ac:dyDescent="0.2">
      <c r="A4431" s="3" t="str">
        <f>"ENSG00000103253.18"</f>
        <v>ENSG00000103253.18</v>
      </c>
      <c r="B4431" s="3">
        <v>126.151595825719</v>
      </c>
      <c r="C4431" s="3">
        <v>-2.3780926690701998</v>
      </c>
      <c r="D4431" s="3">
        <v>0.35389851757405399</v>
      </c>
      <c r="E4431" s="3">
        <v>-6.7197022620264901</v>
      </c>
      <c r="F4431" s="4">
        <v>1.8209625673009001E-11</v>
      </c>
      <c r="G4431" s="4">
        <v>3.11751001429204E-10</v>
      </c>
      <c r="H4431" s="3" t="str">
        <f>"HAGHL"</f>
        <v>HAGHL</v>
      </c>
      <c r="I4431" s="3" t="str">
        <f t="shared" si="207"/>
        <v>protein_coding</v>
      </c>
    </row>
    <row r="4432" spans="1:9" x14ac:dyDescent="0.2">
      <c r="A4432" s="3" t="str">
        <f>"ENSG00000007376.8"</f>
        <v>ENSG00000007376.8</v>
      </c>
      <c r="B4432" s="3">
        <v>585.97087356067402</v>
      </c>
      <c r="C4432" s="3">
        <v>-1.61927528885711</v>
      </c>
      <c r="D4432" s="3">
        <v>0.22946099736333</v>
      </c>
      <c r="E4432" s="3">
        <v>-7.0568650335514</v>
      </c>
      <c r="F4432" s="4">
        <v>1.7030088427238499E-12</v>
      </c>
      <c r="G4432" s="4">
        <v>3.2816040974325902E-11</v>
      </c>
      <c r="H4432" s="3" t="str">
        <f>"RPUSD1"</f>
        <v>RPUSD1</v>
      </c>
      <c r="I4432" s="3" t="str">
        <f t="shared" si="207"/>
        <v>protein_coding</v>
      </c>
    </row>
    <row r="4433" spans="1:9" x14ac:dyDescent="0.2">
      <c r="A4433" s="3" t="str">
        <f>"ENSG00000260807.6"</f>
        <v>ENSG00000260807.6</v>
      </c>
      <c r="B4433" s="3">
        <v>21.6372840742211</v>
      </c>
      <c r="C4433" s="3">
        <v>-3.5419908242020899</v>
      </c>
      <c r="D4433" s="3">
        <v>0.90285626861858204</v>
      </c>
      <c r="E4433" s="3">
        <v>-3.9230949014969201</v>
      </c>
      <c r="F4433" s="4">
        <v>8.7418696366482702E-5</v>
      </c>
      <c r="G4433" s="3">
        <v>5.0819228075475904E-4</v>
      </c>
      <c r="H4433" s="3" t="str">
        <f>"AC009041.2"</f>
        <v>AC009041.2</v>
      </c>
      <c r="I4433" s="3" t="str">
        <f>"lincRNA"</f>
        <v>lincRNA</v>
      </c>
    </row>
    <row r="4434" spans="1:9" x14ac:dyDescent="0.2">
      <c r="A4434" s="3" t="str">
        <f>"ENSG00000005513.10"</f>
        <v>ENSG00000005513.10</v>
      </c>
      <c r="B4434" s="3">
        <v>29.767735401279001</v>
      </c>
      <c r="C4434" s="3">
        <v>-1.7453543545739401</v>
      </c>
      <c r="D4434" s="3">
        <v>0.64103413075956295</v>
      </c>
      <c r="E4434" s="3">
        <v>-2.7227167335159899</v>
      </c>
      <c r="F4434" s="3">
        <v>6.4747547882677801E-3</v>
      </c>
      <c r="G4434" s="3">
        <v>2.2078310037708201E-2</v>
      </c>
      <c r="H4434" s="3" t="str">
        <f>"SOX8"</f>
        <v>SOX8</v>
      </c>
      <c r="I4434" s="3" t="str">
        <f t="shared" ref="I4434:I4450" si="208">"protein_coding"</f>
        <v>protein_coding</v>
      </c>
    </row>
    <row r="4435" spans="1:9" x14ac:dyDescent="0.2">
      <c r="A4435" s="3" t="str">
        <f>"ENSG00000162009.8"</f>
        <v>ENSG00000162009.8</v>
      </c>
      <c r="B4435" s="3">
        <v>44.120934589715603</v>
      </c>
      <c r="C4435" s="3">
        <v>2.17640782423504</v>
      </c>
      <c r="D4435" s="3">
        <v>0.55661500323374402</v>
      </c>
      <c r="E4435" s="3">
        <v>3.91007754298905</v>
      </c>
      <c r="F4435" s="4">
        <v>9.2266496817094097E-5</v>
      </c>
      <c r="G4435" s="3">
        <v>5.3307575037645502E-4</v>
      </c>
      <c r="H4435" s="3" t="str">
        <f>"SSTR5"</f>
        <v>SSTR5</v>
      </c>
      <c r="I4435" s="3" t="str">
        <f t="shared" si="208"/>
        <v>protein_coding</v>
      </c>
    </row>
    <row r="4436" spans="1:9" x14ac:dyDescent="0.2">
      <c r="A4436" s="3" t="str">
        <f>"ENSG00000196557.13"</f>
        <v>ENSG00000196557.13</v>
      </c>
      <c r="B4436" s="3">
        <v>1204.7483223403899</v>
      </c>
      <c r="C4436" s="3">
        <v>-1.5706493826485901</v>
      </c>
      <c r="D4436" s="3">
        <v>0.21730120910891801</v>
      </c>
      <c r="E4436" s="3">
        <v>-7.2279827115979698</v>
      </c>
      <c r="F4436" s="4">
        <v>4.9022111268429198E-13</v>
      </c>
      <c r="G4436" s="4">
        <v>1.0134335855317801E-11</v>
      </c>
      <c r="H4436" s="3" t="str">
        <f>"CACNA1H"</f>
        <v>CACNA1H</v>
      </c>
      <c r="I4436" s="3" t="str">
        <f t="shared" si="208"/>
        <v>protein_coding</v>
      </c>
    </row>
    <row r="4437" spans="1:9" x14ac:dyDescent="0.2">
      <c r="A4437" s="3" t="str">
        <f>"ENSG00000007516.13"</f>
        <v>ENSG00000007516.13</v>
      </c>
      <c r="B4437" s="3">
        <v>172.51043717158399</v>
      </c>
      <c r="C4437" s="3">
        <v>1.02713857165547</v>
      </c>
      <c r="D4437" s="3">
        <v>0.30525671278633598</v>
      </c>
      <c r="E4437" s="3">
        <v>3.3648353291886801</v>
      </c>
      <c r="F4437" s="3">
        <v>7.6589354178608303E-4</v>
      </c>
      <c r="G4437" s="3">
        <v>3.4996312817450002E-3</v>
      </c>
      <c r="H4437" s="3" t="str">
        <f>"BAIAP3"</f>
        <v>BAIAP3</v>
      </c>
      <c r="I4437" s="3" t="str">
        <f t="shared" si="208"/>
        <v>protein_coding</v>
      </c>
    </row>
    <row r="4438" spans="1:9" x14ac:dyDescent="0.2">
      <c r="A4438" s="3" t="str">
        <f>"ENSG00000059145.18"</f>
        <v>ENSG00000059145.18</v>
      </c>
      <c r="B4438" s="3">
        <v>1186.6022770890199</v>
      </c>
      <c r="C4438" s="3">
        <v>-1.1804857090326999</v>
      </c>
      <c r="D4438" s="3">
        <v>0.23298882623324901</v>
      </c>
      <c r="E4438" s="3">
        <v>-5.0667052498513296</v>
      </c>
      <c r="F4438" s="4">
        <v>4.0476028252060402E-7</v>
      </c>
      <c r="G4438" s="4">
        <v>3.7157451833462098E-6</v>
      </c>
      <c r="H4438" s="3" t="str">
        <f>"UNKL"</f>
        <v>UNKL</v>
      </c>
      <c r="I4438" s="3" t="str">
        <f t="shared" si="208"/>
        <v>protein_coding</v>
      </c>
    </row>
    <row r="4439" spans="1:9" x14ac:dyDescent="0.2">
      <c r="A4439" s="3" t="str">
        <f>"ENSG00000100726.15"</f>
        <v>ENSG00000100726.15</v>
      </c>
      <c r="B4439" s="3">
        <v>1071.1311627949001</v>
      </c>
      <c r="C4439" s="3">
        <v>-1.1551084222187</v>
      </c>
      <c r="D4439" s="3">
        <v>0.23464122511213301</v>
      </c>
      <c r="E4439" s="3">
        <v>-4.9228707430533101</v>
      </c>
      <c r="F4439" s="4">
        <v>8.5283786159887604E-7</v>
      </c>
      <c r="G4439" s="4">
        <v>7.4051221207726501E-6</v>
      </c>
      <c r="H4439" s="3" t="str">
        <f>"TELO2"</f>
        <v>TELO2</v>
      </c>
      <c r="I4439" s="3" t="str">
        <f t="shared" si="208"/>
        <v>protein_coding</v>
      </c>
    </row>
    <row r="4440" spans="1:9" x14ac:dyDescent="0.2">
      <c r="A4440" s="3" t="str">
        <f>"ENSG00000074071.14"</f>
        <v>ENSG00000074071.14</v>
      </c>
      <c r="B4440" s="3">
        <v>1702.2153285022</v>
      </c>
      <c r="C4440" s="3">
        <v>-1.6404867093053099</v>
      </c>
      <c r="D4440" s="3">
        <v>0.20953798699361301</v>
      </c>
      <c r="E4440" s="3">
        <v>-7.8290659027630802</v>
      </c>
      <c r="F4440" s="4">
        <v>4.9150796796600698E-15</v>
      </c>
      <c r="G4440" s="4">
        <v>1.22302443864564E-13</v>
      </c>
      <c r="H4440" s="3" t="str">
        <f>"MRPS34"</f>
        <v>MRPS34</v>
      </c>
      <c r="I4440" s="3" t="str">
        <f t="shared" si="208"/>
        <v>protein_coding</v>
      </c>
    </row>
    <row r="4441" spans="1:9" x14ac:dyDescent="0.2">
      <c r="A4441" s="3" t="str">
        <f>"ENSG00000099769.5"</f>
        <v>ENSG00000099769.5</v>
      </c>
      <c r="B4441" s="3">
        <v>197.983760414334</v>
      </c>
      <c r="C4441" s="3">
        <v>3.81006342863652</v>
      </c>
      <c r="D4441" s="3">
        <v>0.35316660988672299</v>
      </c>
      <c r="E4441" s="3">
        <v>10.7882889321235</v>
      </c>
      <c r="F4441" s="4">
        <v>3.9100145576863498E-27</v>
      </c>
      <c r="G4441" s="4">
        <v>2.5245537121630302E-25</v>
      </c>
      <c r="H4441" s="3" t="str">
        <f>"IGFALS"</f>
        <v>IGFALS</v>
      </c>
      <c r="I4441" s="3" t="str">
        <f t="shared" si="208"/>
        <v>protein_coding</v>
      </c>
    </row>
    <row r="4442" spans="1:9" x14ac:dyDescent="0.2">
      <c r="A4442" s="3" t="str">
        <f>"ENSG00000162040.6"</f>
        <v>ENSG00000162040.6</v>
      </c>
      <c r="B4442" s="3">
        <v>6.3141103668277001</v>
      </c>
      <c r="C4442" s="3">
        <v>6.0567841273156002</v>
      </c>
      <c r="D4442" s="3">
        <v>1.9275502235198401</v>
      </c>
      <c r="E4442" s="3">
        <v>3.1422185805646601</v>
      </c>
      <c r="F4442" s="3">
        <v>1.67672811368565E-3</v>
      </c>
      <c r="G4442" s="3">
        <v>6.9357538960972999E-3</v>
      </c>
      <c r="H4442" s="3" t="str">
        <f>"HS3ST6"</f>
        <v>HS3ST6</v>
      </c>
      <c r="I4442" s="3" t="str">
        <f t="shared" si="208"/>
        <v>protein_coding</v>
      </c>
    </row>
    <row r="4443" spans="1:9" x14ac:dyDescent="0.2">
      <c r="A4443" s="3" t="str">
        <f>"ENSG00000198736.11"</f>
        <v>ENSG00000198736.11</v>
      </c>
      <c r="B4443" s="3">
        <v>1342.4997254756699</v>
      </c>
      <c r="C4443" s="3">
        <v>-1.1862599739035</v>
      </c>
      <c r="D4443" s="3">
        <v>0.24328957698310999</v>
      </c>
      <c r="E4443" s="3">
        <v>-4.8759177791897397</v>
      </c>
      <c r="F4443" s="4">
        <v>1.08303715820691E-6</v>
      </c>
      <c r="G4443" s="4">
        <v>9.2303764309238495E-6</v>
      </c>
      <c r="H4443" s="3" t="str">
        <f>"MSRB1"</f>
        <v>MSRB1</v>
      </c>
      <c r="I4443" s="3" t="str">
        <f t="shared" si="208"/>
        <v>protein_coding</v>
      </c>
    </row>
    <row r="4444" spans="1:9" x14ac:dyDescent="0.2">
      <c r="A4444" s="3" t="str">
        <f>"ENSG00000140990.15"</f>
        <v>ENSG00000140990.15</v>
      </c>
      <c r="B4444" s="3">
        <v>1546.6982171828399</v>
      </c>
      <c r="C4444" s="3">
        <v>-1.2261833273087901</v>
      </c>
      <c r="D4444" s="3">
        <v>0.26003357553364698</v>
      </c>
      <c r="E4444" s="3">
        <v>-4.7154807789432098</v>
      </c>
      <c r="F4444" s="4">
        <v>2.4114065833338599E-6</v>
      </c>
      <c r="G4444" s="4">
        <v>1.9267916473929001E-5</v>
      </c>
      <c r="H4444" s="3" t="str">
        <f>"NDUFB10"</f>
        <v>NDUFB10</v>
      </c>
      <c r="I4444" s="3" t="str">
        <f t="shared" si="208"/>
        <v>protein_coding</v>
      </c>
    </row>
    <row r="4445" spans="1:9" x14ac:dyDescent="0.2">
      <c r="A4445" s="3" t="str">
        <f>"ENSG00000127554.13"</f>
        <v>ENSG00000127554.13</v>
      </c>
      <c r="B4445" s="3">
        <v>901.41917816707996</v>
      </c>
      <c r="C4445" s="3">
        <v>-1.0546706746413299</v>
      </c>
      <c r="D4445" s="3">
        <v>0.244319822585534</v>
      </c>
      <c r="E4445" s="3">
        <v>-4.3167626084539297</v>
      </c>
      <c r="F4445" s="4">
        <v>1.5833428243582701E-5</v>
      </c>
      <c r="G4445" s="3">
        <v>1.0767701590707501E-4</v>
      </c>
      <c r="H4445" s="3" t="str">
        <f>"GFER"</f>
        <v>GFER</v>
      </c>
      <c r="I4445" s="3" t="str">
        <f t="shared" si="208"/>
        <v>protein_coding</v>
      </c>
    </row>
    <row r="4446" spans="1:9" x14ac:dyDescent="0.2">
      <c r="A4446" s="3" t="str">
        <f>"ENSG00000127561.15"</f>
        <v>ENSG00000127561.15</v>
      </c>
      <c r="B4446" s="3">
        <v>191.49486050481099</v>
      </c>
      <c r="C4446" s="3">
        <v>2.28774789800483</v>
      </c>
      <c r="D4446" s="3">
        <v>0.32045712026149098</v>
      </c>
      <c r="E4446" s="3">
        <v>7.1390140937983997</v>
      </c>
      <c r="F4446" s="4">
        <v>9.4002696847221802E-13</v>
      </c>
      <c r="G4446" s="4">
        <v>1.8722890942955101E-11</v>
      </c>
      <c r="H4446" s="3" t="str">
        <f>"SYNGR3"</f>
        <v>SYNGR3</v>
      </c>
      <c r="I4446" s="3" t="str">
        <f t="shared" si="208"/>
        <v>protein_coding</v>
      </c>
    </row>
    <row r="4447" spans="1:9" x14ac:dyDescent="0.2">
      <c r="A4447" s="3" t="str">
        <f>"ENSG00000183971.8"</f>
        <v>ENSG00000183971.8</v>
      </c>
      <c r="B4447" s="3">
        <v>63.095898852164503</v>
      </c>
      <c r="C4447" s="3">
        <v>-1.8844758286368699</v>
      </c>
      <c r="D4447" s="3">
        <v>0.51239173462337595</v>
      </c>
      <c r="E4447" s="3">
        <v>-3.6778029411852602</v>
      </c>
      <c r="F4447" s="3">
        <v>2.3525159258988901E-4</v>
      </c>
      <c r="G4447" s="3">
        <v>1.2279502190223599E-3</v>
      </c>
      <c r="H4447" s="3" t="str">
        <f>"NPW"</f>
        <v>NPW</v>
      </c>
      <c r="I4447" s="3" t="str">
        <f t="shared" si="208"/>
        <v>protein_coding</v>
      </c>
    </row>
    <row r="4448" spans="1:9" x14ac:dyDescent="0.2">
      <c r="A4448" s="3" t="str">
        <f>"ENSG00000065054.14"</f>
        <v>ENSG00000065054.14</v>
      </c>
      <c r="B4448" s="3">
        <v>874.96549281217801</v>
      </c>
      <c r="C4448" s="3">
        <v>-1.7740719592646499</v>
      </c>
      <c r="D4448" s="3">
        <v>0.22910510662814901</v>
      </c>
      <c r="E4448" s="3">
        <v>-7.7434850116373601</v>
      </c>
      <c r="F4448" s="4">
        <v>9.6728195628523192E-15</v>
      </c>
      <c r="G4448" s="4">
        <v>2.3385564740819599E-13</v>
      </c>
      <c r="H4448" s="3" t="str">
        <f>"SLC9A3R2"</f>
        <v>SLC9A3R2</v>
      </c>
      <c r="I4448" s="3" t="str">
        <f t="shared" si="208"/>
        <v>protein_coding</v>
      </c>
    </row>
    <row r="4449" spans="1:9" x14ac:dyDescent="0.2">
      <c r="A4449" s="3" t="str">
        <f>"ENSG00000065057.8"</f>
        <v>ENSG00000065057.8</v>
      </c>
      <c r="B4449" s="3">
        <v>499.41984780092002</v>
      </c>
      <c r="C4449" s="3">
        <v>-2.43130273620962</v>
      </c>
      <c r="D4449" s="3">
        <v>0.27819472735510797</v>
      </c>
      <c r="E4449" s="3">
        <v>-8.7395715919019903</v>
      </c>
      <c r="F4449" s="4">
        <v>2.3399606191040101E-18</v>
      </c>
      <c r="G4449" s="4">
        <v>7.8229333728499399E-17</v>
      </c>
      <c r="H4449" s="3" t="str">
        <f>"NTHL1"</f>
        <v>NTHL1</v>
      </c>
      <c r="I4449" s="3" t="str">
        <f t="shared" si="208"/>
        <v>protein_coding</v>
      </c>
    </row>
    <row r="4450" spans="1:9" x14ac:dyDescent="0.2">
      <c r="A4450" s="3" t="str">
        <f>"ENSG00000008710.19"</f>
        <v>ENSG00000008710.19</v>
      </c>
      <c r="B4450" s="3">
        <v>2157.8951862218801</v>
      </c>
      <c r="C4450" s="3">
        <v>-1.6250568604659601</v>
      </c>
      <c r="D4450" s="3">
        <v>0.21006090758249499</v>
      </c>
      <c r="E4450" s="3">
        <v>-7.73612224743803</v>
      </c>
      <c r="F4450" s="4">
        <v>1.02494914263658E-14</v>
      </c>
      <c r="G4450" s="4">
        <v>2.4648534236027299E-13</v>
      </c>
      <c r="H4450" s="3" t="str">
        <f>"PKD1"</f>
        <v>PKD1</v>
      </c>
      <c r="I4450" s="3" t="str">
        <f t="shared" si="208"/>
        <v>protein_coding</v>
      </c>
    </row>
    <row r="4451" spans="1:9" x14ac:dyDescent="0.2">
      <c r="A4451" s="3" t="str">
        <f>"ENSG00000260260.1"</f>
        <v>ENSG00000260260.1</v>
      </c>
      <c r="B4451" s="3">
        <v>481.33659567861002</v>
      </c>
      <c r="C4451" s="3">
        <v>-1.1568145586799501</v>
      </c>
      <c r="D4451" s="3">
        <v>0.291388468479926</v>
      </c>
      <c r="E4451" s="3">
        <v>-3.97000802644888</v>
      </c>
      <c r="F4451" s="4">
        <v>7.1870210661620406E-5</v>
      </c>
      <c r="G4451" s="3">
        <v>4.2469044239799901E-4</v>
      </c>
      <c r="H4451" s="3" t="str">
        <f>"SNHG19"</f>
        <v>SNHG19</v>
      </c>
      <c r="I4451" s="3" t="str">
        <f>"lincRNA"</f>
        <v>lincRNA</v>
      </c>
    </row>
    <row r="4452" spans="1:9" x14ac:dyDescent="0.2">
      <c r="A4452" s="3" t="str">
        <f>"ENSG00000167971.15"</f>
        <v>ENSG00000167971.15</v>
      </c>
      <c r="B4452" s="3">
        <v>324.71002321453102</v>
      </c>
      <c r="C4452" s="3">
        <v>1.18948036914077</v>
      </c>
      <c r="D4452" s="3">
        <v>0.25898302477504398</v>
      </c>
      <c r="E4452" s="3">
        <v>4.5928893222788201</v>
      </c>
      <c r="F4452" s="4">
        <v>4.37150934865611E-6</v>
      </c>
      <c r="G4452" s="4">
        <v>3.34204588167321E-5</v>
      </c>
      <c r="H4452" s="3" t="str">
        <f>"CASKIN1"</f>
        <v>CASKIN1</v>
      </c>
      <c r="I4452" s="3" t="str">
        <f>"protein_coding"</f>
        <v>protein_coding</v>
      </c>
    </row>
    <row r="4453" spans="1:9" x14ac:dyDescent="0.2">
      <c r="A4453" s="3" t="str">
        <f>"ENSG00000167965.18"</f>
        <v>ENSG00000167965.18</v>
      </c>
      <c r="B4453" s="3">
        <v>1063.7691724746101</v>
      </c>
      <c r="C4453" s="3">
        <v>-1.21047366002463</v>
      </c>
      <c r="D4453" s="3">
        <v>0.24163564140617699</v>
      </c>
      <c r="E4453" s="3">
        <v>-5.00949964574919</v>
      </c>
      <c r="F4453" s="4">
        <v>5.45717272277409E-7</v>
      </c>
      <c r="G4453" s="4">
        <v>4.8911705650468999E-6</v>
      </c>
      <c r="H4453" s="3" t="str">
        <f>"MLST8"</f>
        <v>MLST8</v>
      </c>
      <c r="I4453" s="3" t="str">
        <f>"protein_coding"</f>
        <v>protein_coding</v>
      </c>
    </row>
    <row r="4454" spans="1:9" x14ac:dyDescent="0.2">
      <c r="A4454" s="3" t="str">
        <f>"ENSG00000182685.7"</f>
        <v>ENSG00000182685.7</v>
      </c>
      <c r="B4454" s="3">
        <v>77.248404597736993</v>
      </c>
      <c r="C4454" s="3">
        <v>-1.14963499533974</v>
      </c>
      <c r="D4454" s="3">
        <v>0.44229589990393497</v>
      </c>
      <c r="E4454" s="3">
        <v>-2.59924407074412</v>
      </c>
      <c r="F4454" s="3">
        <v>9.3429317667851394E-3</v>
      </c>
      <c r="G4454" s="3">
        <v>3.0016137466052899E-2</v>
      </c>
      <c r="H4454" s="3" t="str">
        <f>"BRICD5"</f>
        <v>BRICD5</v>
      </c>
      <c r="I4454" s="3" t="str">
        <f>"protein_coding"</f>
        <v>protein_coding</v>
      </c>
    </row>
    <row r="4455" spans="1:9" x14ac:dyDescent="0.2">
      <c r="A4455" s="3" t="str">
        <f>"ENSG00000184207.8"</f>
        <v>ENSG00000184207.8</v>
      </c>
      <c r="B4455" s="3">
        <v>497.65842543266302</v>
      </c>
      <c r="C4455" s="3">
        <v>-1.0883074031606501</v>
      </c>
      <c r="D4455" s="3">
        <v>0.23104662675596399</v>
      </c>
      <c r="E4455" s="3">
        <v>-4.7103366902220198</v>
      </c>
      <c r="F4455" s="4">
        <v>2.4730789803308998E-6</v>
      </c>
      <c r="G4455" s="4">
        <v>1.9697159595754399E-5</v>
      </c>
      <c r="H4455" s="3" t="str">
        <f>"PGP"</f>
        <v>PGP</v>
      </c>
      <c r="I4455" s="3" t="str">
        <f>"protein_coding"</f>
        <v>protein_coding</v>
      </c>
    </row>
    <row r="4456" spans="1:9" x14ac:dyDescent="0.2">
      <c r="A4456" s="3" t="str">
        <f>"ENSG00000167969.13"</f>
        <v>ENSG00000167969.13</v>
      </c>
      <c r="B4456" s="3">
        <v>1332.5013736251899</v>
      </c>
      <c r="C4456" s="3">
        <v>-1.1463519182097699</v>
      </c>
      <c r="D4456" s="3">
        <v>0.21998340664183799</v>
      </c>
      <c r="E4456" s="3">
        <v>-5.2110835799364699</v>
      </c>
      <c r="F4456" s="4">
        <v>1.8774084290599099E-7</v>
      </c>
      <c r="G4456" s="4">
        <v>1.82561554127749E-6</v>
      </c>
      <c r="H4456" s="3" t="str">
        <f>"ECI1"</f>
        <v>ECI1</v>
      </c>
      <c r="I4456" s="3" t="str">
        <f>"protein_coding"</f>
        <v>protein_coding</v>
      </c>
    </row>
    <row r="4457" spans="1:9" x14ac:dyDescent="0.2">
      <c r="A4457" s="3" t="str">
        <f>"ENSG00000260778.5"</f>
        <v>ENSG00000260778.5</v>
      </c>
      <c r="B4457" s="3">
        <v>60.975131845016698</v>
      </c>
      <c r="C4457" s="3">
        <v>1.59022851890373</v>
      </c>
      <c r="D4457" s="3">
        <v>0.46549581133345702</v>
      </c>
      <c r="E4457" s="3">
        <v>3.41620371265719</v>
      </c>
      <c r="F4457" s="3">
        <v>6.3500724011401801E-4</v>
      </c>
      <c r="G4457" s="3">
        <v>2.9596377474147501E-3</v>
      </c>
      <c r="H4457" s="3" t="str">
        <f>"AC009065.4"</f>
        <v>AC009065.4</v>
      </c>
      <c r="I4457" s="3" t="str">
        <f>"lincRNA"</f>
        <v>lincRNA</v>
      </c>
    </row>
    <row r="4458" spans="1:9" x14ac:dyDescent="0.2">
      <c r="A4458" s="3" t="str">
        <f>"ENSG00000167972.14"</f>
        <v>ENSG00000167972.14</v>
      </c>
      <c r="B4458" s="3">
        <v>102.01817864894301</v>
      </c>
      <c r="C4458" s="3">
        <v>2.7591485255111401</v>
      </c>
      <c r="D4458" s="3">
        <v>0.43251676152387503</v>
      </c>
      <c r="E4458" s="3">
        <v>6.3792869339673599</v>
      </c>
      <c r="F4458" s="4">
        <v>1.7791442100094699E-10</v>
      </c>
      <c r="G4458" s="4">
        <v>2.6694021084872302E-9</v>
      </c>
      <c r="H4458" s="3" t="str">
        <f>"ABCA3"</f>
        <v>ABCA3</v>
      </c>
      <c r="I4458" s="3" t="str">
        <f>"protein_coding"</f>
        <v>protein_coding</v>
      </c>
    </row>
    <row r="4459" spans="1:9" x14ac:dyDescent="0.2">
      <c r="A4459" s="3" t="str">
        <f>"ENSG00000162068.1"</f>
        <v>ENSG00000162068.1</v>
      </c>
      <c r="B4459" s="3">
        <v>47.806993132824701</v>
      </c>
      <c r="C4459" s="3">
        <v>1.66900331285409</v>
      </c>
      <c r="D4459" s="3">
        <v>0.59865375940885901</v>
      </c>
      <c r="E4459" s="3">
        <v>2.78792755682709</v>
      </c>
      <c r="F4459" s="3">
        <v>5.3046404442410903E-3</v>
      </c>
      <c r="G4459" s="3">
        <v>1.8652153591977898E-2</v>
      </c>
      <c r="H4459" s="3" t="str">
        <f>"NTN3"</f>
        <v>NTN3</v>
      </c>
      <c r="I4459" s="3" t="str">
        <f>"protein_coding"</f>
        <v>protein_coding</v>
      </c>
    </row>
    <row r="4460" spans="1:9" x14ac:dyDescent="0.2">
      <c r="A4460" s="3" t="str">
        <f>"ENSG00000162065.13"</f>
        <v>ENSG00000162065.13</v>
      </c>
      <c r="B4460" s="3">
        <v>796.63151803073902</v>
      </c>
      <c r="C4460" s="3">
        <v>-1.3132248872291401</v>
      </c>
      <c r="D4460" s="3">
        <v>0.21504757182968601</v>
      </c>
      <c r="E4460" s="3">
        <v>-6.1066715427467901</v>
      </c>
      <c r="F4460" s="4">
        <v>1.0173028927353099E-9</v>
      </c>
      <c r="G4460" s="4">
        <v>1.3797138834424601E-8</v>
      </c>
      <c r="H4460" s="3" t="str">
        <f>"TBC1D24"</f>
        <v>TBC1D24</v>
      </c>
      <c r="I4460" s="3" t="str">
        <f>"protein_coding"</f>
        <v>protein_coding</v>
      </c>
    </row>
    <row r="4461" spans="1:9" x14ac:dyDescent="0.2">
      <c r="A4461" s="3" t="str">
        <f>"ENSG00000269937.1"</f>
        <v>ENSG00000269937.1</v>
      </c>
      <c r="B4461" s="3">
        <v>154.61257984022501</v>
      </c>
      <c r="C4461" s="3">
        <v>1.2588167231613701</v>
      </c>
      <c r="D4461" s="3">
        <v>0.33749799743397602</v>
      </c>
      <c r="E4461" s="3">
        <v>3.7298494590553402</v>
      </c>
      <c r="F4461" s="3">
        <v>1.9159420814962E-4</v>
      </c>
      <c r="G4461" s="3">
        <v>1.0252096208665999E-3</v>
      </c>
      <c r="H4461" s="3" t="str">
        <f>"AC093525.7"</f>
        <v>AC093525.7</v>
      </c>
      <c r="I4461" s="3" t="str">
        <f>"antisense"</f>
        <v>antisense</v>
      </c>
    </row>
    <row r="4462" spans="1:9" x14ac:dyDescent="0.2">
      <c r="A4462" s="3" t="str">
        <f>"ENSG00000205918.9"</f>
        <v>ENSG00000205918.9</v>
      </c>
      <c r="B4462" s="3">
        <v>106.147901246014</v>
      </c>
      <c r="C4462" s="3">
        <v>-1.0315195751156501</v>
      </c>
      <c r="D4462" s="3">
        <v>0.35883592897543898</v>
      </c>
      <c r="E4462" s="3">
        <v>-2.8746273486628899</v>
      </c>
      <c r="F4462" s="3">
        <v>4.0450460713111003E-3</v>
      </c>
      <c r="G4462" s="3">
        <v>1.47899592824645E-2</v>
      </c>
      <c r="H4462" s="3" t="str">
        <f>"PDPK2P"</f>
        <v>PDPK2P</v>
      </c>
      <c r="I4462" s="3" t="str">
        <f>"transcribed_unprocessed_pseudogene"</f>
        <v>transcribed_unprocessed_pseudogene</v>
      </c>
    </row>
    <row r="4463" spans="1:9" x14ac:dyDescent="0.2">
      <c r="A4463" s="3" t="str">
        <f>"ENSG00000205913.6"</f>
        <v>ENSG00000205913.6</v>
      </c>
      <c r="B4463" s="3">
        <v>300.17148649808502</v>
      </c>
      <c r="C4463" s="3">
        <v>2.6819071889126298</v>
      </c>
      <c r="D4463" s="3">
        <v>0.27755669936521099</v>
      </c>
      <c r="E4463" s="3">
        <v>9.6625561373453106</v>
      </c>
      <c r="F4463" s="4">
        <v>4.34875224089003E-22</v>
      </c>
      <c r="G4463" s="4">
        <v>1.9748408717921801E-20</v>
      </c>
      <c r="H4463" s="3" t="str">
        <f>"SRRM2-AS1"</f>
        <v>SRRM2-AS1</v>
      </c>
      <c r="I4463" s="3" t="str">
        <f>"antisense"</f>
        <v>antisense</v>
      </c>
    </row>
    <row r="4464" spans="1:9" x14ac:dyDescent="0.2">
      <c r="A4464" s="3" t="str">
        <f>"ENSG00000162078.11"</f>
        <v>ENSG00000162078.11</v>
      </c>
      <c r="B4464" s="3">
        <v>140.59487413026901</v>
      </c>
      <c r="C4464" s="3">
        <v>1.9836901762624299</v>
      </c>
      <c r="D4464" s="3">
        <v>0.33798113089017601</v>
      </c>
      <c r="E4464" s="3">
        <v>5.8692335014022197</v>
      </c>
      <c r="F4464" s="4">
        <v>4.3781447251733901E-9</v>
      </c>
      <c r="G4464" s="4">
        <v>5.4720784094862E-8</v>
      </c>
      <c r="H4464" s="3" t="str">
        <f>"ZG16B"</f>
        <v>ZG16B</v>
      </c>
      <c r="I4464" s="3" t="str">
        <f>"protein_coding"</f>
        <v>protein_coding</v>
      </c>
    </row>
    <row r="4465" spans="1:9" x14ac:dyDescent="0.2">
      <c r="A4465" s="3" t="str">
        <f>"ENSG00000172460.16"</f>
        <v>ENSG00000172460.16</v>
      </c>
      <c r="B4465" s="3">
        <v>50.068927144679499</v>
      </c>
      <c r="C4465" s="3">
        <v>5.99049584718753</v>
      </c>
      <c r="D4465" s="3">
        <v>0.95684098350501801</v>
      </c>
      <c r="E4465" s="3">
        <v>6.2607015694955503</v>
      </c>
      <c r="F4465" s="4">
        <v>3.83249335367164E-10</v>
      </c>
      <c r="G4465" s="4">
        <v>5.4758230942575298E-9</v>
      </c>
      <c r="H4465" s="3" t="str">
        <f>"PRSS30P"</f>
        <v>PRSS30P</v>
      </c>
      <c r="I4465" s="3" t="str">
        <f>"transcribed_unitary_pseudogene"</f>
        <v>transcribed_unitary_pseudogene</v>
      </c>
    </row>
    <row r="4466" spans="1:9" x14ac:dyDescent="0.2">
      <c r="A4466" s="3" t="str">
        <f>"ENSG00000263280.1"</f>
        <v>ENSG00000263280.1</v>
      </c>
      <c r="B4466" s="3">
        <v>9.8352607613679695</v>
      </c>
      <c r="C4466" s="3">
        <v>3.5513647103681301</v>
      </c>
      <c r="D4466" s="3">
        <v>1.2875553318397901</v>
      </c>
      <c r="E4466" s="3">
        <v>2.75822298471132</v>
      </c>
      <c r="F4466" s="3">
        <v>5.8116539325947202E-3</v>
      </c>
      <c r="G4466" s="3">
        <v>2.0169422328545201E-2</v>
      </c>
      <c r="H4466" s="3" t="str">
        <f>"AC003965.1"</f>
        <v>AC003965.1</v>
      </c>
      <c r="I4466" s="3" t="str">
        <f>"lincRNA"</f>
        <v>lincRNA</v>
      </c>
    </row>
    <row r="4467" spans="1:9" x14ac:dyDescent="0.2">
      <c r="A4467" s="3" t="str">
        <f>"ENSG00000059122.16"</f>
        <v>ENSG00000059122.16</v>
      </c>
      <c r="B4467" s="3">
        <v>1772.0822102465399</v>
      </c>
      <c r="C4467" s="3">
        <v>1.6585033006550201</v>
      </c>
      <c r="D4467" s="3">
        <v>0.21031037125566801</v>
      </c>
      <c r="E4467" s="3">
        <v>7.8859796155217996</v>
      </c>
      <c r="F4467" s="4">
        <v>3.1207755470030999E-15</v>
      </c>
      <c r="G4467" s="4">
        <v>7.9543284685868497E-14</v>
      </c>
      <c r="H4467" s="3" t="str">
        <f>"FLYWCH1"</f>
        <v>FLYWCH1</v>
      </c>
      <c r="I4467" s="3" t="str">
        <f t="shared" ref="I4467:I4472" si="209">"protein_coding"</f>
        <v>protein_coding</v>
      </c>
    </row>
    <row r="4468" spans="1:9" x14ac:dyDescent="0.2">
      <c r="A4468" s="3" t="str">
        <f>"ENSG00000131650.14"</f>
        <v>ENSG00000131650.14</v>
      </c>
      <c r="B4468" s="3">
        <v>167.06701468747801</v>
      </c>
      <c r="C4468" s="3">
        <v>1.9062270053147199</v>
      </c>
      <c r="D4468" s="3">
        <v>0.33099224288054802</v>
      </c>
      <c r="E4468" s="3">
        <v>5.7591289412865603</v>
      </c>
      <c r="F4468" s="4">
        <v>8.4549100213136201E-9</v>
      </c>
      <c r="G4468" s="4">
        <v>1.01395657284653E-7</v>
      </c>
      <c r="H4468" s="3" t="str">
        <f>"KREMEN2"</f>
        <v>KREMEN2</v>
      </c>
      <c r="I4468" s="3" t="str">
        <f t="shared" si="209"/>
        <v>protein_coding</v>
      </c>
    </row>
    <row r="4469" spans="1:9" x14ac:dyDescent="0.2">
      <c r="A4469" s="3" t="str">
        <f>"ENSG00000162073.13"</f>
        <v>ENSG00000162073.13</v>
      </c>
      <c r="B4469" s="3">
        <v>658.93028690518997</v>
      </c>
      <c r="C4469" s="3">
        <v>-1.9705254412762701</v>
      </c>
      <c r="D4469" s="3">
        <v>0.254746442994291</v>
      </c>
      <c r="E4469" s="3">
        <v>-7.7352422201256497</v>
      </c>
      <c r="F4469" s="4">
        <v>1.0320641744422499E-14</v>
      </c>
      <c r="G4469" s="4">
        <v>2.4797753581153399E-13</v>
      </c>
      <c r="H4469" s="3" t="str">
        <f>"PAQR4"</f>
        <v>PAQR4</v>
      </c>
      <c r="I4469" s="3" t="str">
        <f t="shared" si="209"/>
        <v>protein_coding</v>
      </c>
    </row>
    <row r="4470" spans="1:9" x14ac:dyDescent="0.2">
      <c r="A4470" s="3" t="str">
        <f>"ENSG00000184697.7"</f>
        <v>ENSG00000184697.7</v>
      </c>
      <c r="B4470" s="3">
        <v>701.31681385515003</v>
      </c>
      <c r="C4470" s="3">
        <v>-1.4841559436360801</v>
      </c>
      <c r="D4470" s="3">
        <v>0.27350011136618901</v>
      </c>
      <c r="E4470" s="3">
        <v>-5.4265277488276604</v>
      </c>
      <c r="F4470" s="4">
        <v>5.7460895480860297E-8</v>
      </c>
      <c r="G4470" s="4">
        <v>6.0919728372256804E-7</v>
      </c>
      <c r="H4470" s="3" t="str">
        <f>"CLDN6"</f>
        <v>CLDN6</v>
      </c>
      <c r="I4470" s="3" t="str">
        <f t="shared" si="209"/>
        <v>protein_coding</v>
      </c>
    </row>
    <row r="4471" spans="1:9" x14ac:dyDescent="0.2">
      <c r="A4471" s="3" t="str">
        <f>"ENSG00000131652.14"</f>
        <v>ENSG00000131652.14</v>
      </c>
      <c r="B4471" s="3">
        <v>1000.71128309967</v>
      </c>
      <c r="C4471" s="3">
        <v>-1.45279924676549</v>
      </c>
      <c r="D4471" s="3">
        <v>0.233465836689809</v>
      </c>
      <c r="E4471" s="3">
        <v>-6.2227487642902002</v>
      </c>
      <c r="F4471" s="4">
        <v>4.8851932462560004E-10</v>
      </c>
      <c r="G4471" s="4">
        <v>6.8718048725212802E-9</v>
      </c>
      <c r="H4471" s="3" t="str">
        <f>"THOC6"</f>
        <v>THOC6</v>
      </c>
      <c r="I4471" s="3" t="str">
        <f t="shared" si="209"/>
        <v>protein_coding</v>
      </c>
    </row>
    <row r="4472" spans="1:9" x14ac:dyDescent="0.2">
      <c r="A4472" s="3" t="str">
        <f>"ENSG00000008517.16"</f>
        <v>ENSG00000008517.16</v>
      </c>
      <c r="B4472" s="3">
        <v>4685.1984171991899</v>
      </c>
      <c r="C4472" s="3">
        <v>1.0874876656990899</v>
      </c>
      <c r="D4472" s="3">
        <v>0.259963059076252</v>
      </c>
      <c r="E4472" s="3">
        <v>4.1832392246934802</v>
      </c>
      <c r="F4472" s="4">
        <v>2.8738470245758499E-5</v>
      </c>
      <c r="G4472" s="3">
        <v>1.8529036885617199E-4</v>
      </c>
      <c r="H4472" s="3" t="str">
        <f>"IL32"</f>
        <v>IL32</v>
      </c>
      <c r="I4472" s="3" t="str">
        <f t="shared" si="209"/>
        <v>protein_coding</v>
      </c>
    </row>
    <row r="4473" spans="1:9" x14ac:dyDescent="0.2">
      <c r="A4473" s="3" t="str">
        <f>"ENSG00000228146.8"</f>
        <v>ENSG00000228146.8</v>
      </c>
      <c r="B4473" s="3">
        <v>31.8121191004597</v>
      </c>
      <c r="C4473" s="3">
        <v>3.3526502861860301</v>
      </c>
      <c r="D4473" s="3">
        <v>0.738954326223216</v>
      </c>
      <c r="E4473" s="3">
        <v>4.5370196332990904</v>
      </c>
      <c r="F4473" s="4">
        <v>5.7054796830900302E-6</v>
      </c>
      <c r="G4473" s="4">
        <v>4.2614365385184798E-5</v>
      </c>
      <c r="H4473" s="3" t="str">
        <f>"CASP16P"</f>
        <v>CASP16P</v>
      </c>
      <c r="I4473" s="3" t="str">
        <f>"transcribed_unitary_pseudogene"</f>
        <v>transcribed_unitary_pseudogene</v>
      </c>
    </row>
    <row r="4474" spans="1:9" x14ac:dyDescent="0.2">
      <c r="A4474" s="3" t="str">
        <f>"ENSG00000213918.10"</f>
        <v>ENSG00000213918.10</v>
      </c>
      <c r="B4474" s="3">
        <v>891.29966410765201</v>
      </c>
      <c r="C4474" s="3">
        <v>1.1617955239265101</v>
      </c>
      <c r="D4474" s="3">
        <v>0.220034894211496</v>
      </c>
      <c r="E4474" s="3">
        <v>5.2800512759117204</v>
      </c>
      <c r="F4474" s="4">
        <v>1.29147739123235E-7</v>
      </c>
      <c r="G4474" s="4">
        <v>1.2903881363735899E-6</v>
      </c>
      <c r="H4474" s="3" t="str">
        <f>"DNASE1"</f>
        <v>DNASE1</v>
      </c>
      <c r="I4474" s="3" t="str">
        <f t="shared" ref="I4474:I4479" si="210">"protein_coding"</f>
        <v>protein_coding</v>
      </c>
    </row>
    <row r="4475" spans="1:9" x14ac:dyDescent="0.2">
      <c r="A4475" s="3" t="str">
        <f>"ENSG00000126602.11"</f>
        <v>ENSG00000126602.11</v>
      </c>
      <c r="B4475" s="3">
        <v>5320.88311131929</v>
      </c>
      <c r="C4475" s="3">
        <v>-1.5398894595885</v>
      </c>
      <c r="D4475" s="3">
        <v>0.194396093982041</v>
      </c>
      <c r="E4475" s="3">
        <v>-7.9214012382921499</v>
      </c>
      <c r="F4475" s="4">
        <v>2.34848755169768E-15</v>
      </c>
      <c r="G4475" s="4">
        <v>6.0768509326787005E-14</v>
      </c>
      <c r="H4475" s="3" t="str">
        <f>"TRAP1"</f>
        <v>TRAP1</v>
      </c>
      <c r="I4475" s="3" t="str">
        <f t="shared" si="210"/>
        <v>protein_coding</v>
      </c>
    </row>
    <row r="4476" spans="1:9" x14ac:dyDescent="0.2">
      <c r="A4476" s="3" t="str">
        <f>"ENSG00000090447.12"</f>
        <v>ENSG00000090447.12</v>
      </c>
      <c r="B4476" s="3">
        <v>840.44183081610004</v>
      </c>
      <c r="C4476" s="3">
        <v>-2.2240816153318299</v>
      </c>
      <c r="D4476" s="3">
        <v>0.22914922849887601</v>
      </c>
      <c r="E4476" s="3">
        <v>-9.7058219654566198</v>
      </c>
      <c r="F4476" s="4">
        <v>2.8477163192223001E-22</v>
      </c>
      <c r="G4476" s="4">
        <v>1.30846081871585E-20</v>
      </c>
      <c r="H4476" s="3" t="str">
        <f>"TFAP4"</f>
        <v>TFAP4</v>
      </c>
      <c r="I4476" s="3" t="str">
        <f t="shared" si="210"/>
        <v>protein_coding</v>
      </c>
    </row>
    <row r="4477" spans="1:9" x14ac:dyDescent="0.2">
      <c r="A4477" s="3" t="str">
        <f>"ENSG00000126603.8"</f>
        <v>ENSG00000126603.8</v>
      </c>
      <c r="B4477" s="3">
        <v>338.33686239588201</v>
      </c>
      <c r="C4477" s="3">
        <v>1.83660423612957</v>
      </c>
      <c r="D4477" s="3">
        <v>0.287579131315301</v>
      </c>
      <c r="E4477" s="3">
        <v>6.3864308502828102</v>
      </c>
      <c r="F4477" s="4">
        <v>1.6980216258749101E-10</v>
      </c>
      <c r="G4477" s="4">
        <v>2.5589599137286302E-9</v>
      </c>
      <c r="H4477" s="3" t="str">
        <f>"GLIS2"</f>
        <v>GLIS2</v>
      </c>
      <c r="I4477" s="3" t="str">
        <f t="shared" si="210"/>
        <v>protein_coding</v>
      </c>
    </row>
    <row r="4478" spans="1:9" x14ac:dyDescent="0.2">
      <c r="A4478" s="3" t="str">
        <f>"ENSG00000168140.5"</f>
        <v>ENSG00000168140.5</v>
      </c>
      <c r="B4478" s="3">
        <v>1015.65736254988</v>
      </c>
      <c r="C4478" s="3">
        <v>-1.7257840824547199</v>
      </c>
      <c r="D4478" s="3">
        <v>0.233557868130914</v>
      </c>
      <c r="E4478" s="3">
        <v>-7.3891070177407903</v>
      </c>
      <c r="F4478" s="4">
        <v>1.4781816334252399E-13</v>
      </c>
      <c r="G4478" s="4">
        <v>3.2559430045220402E-12</v>
      </c>
      <c r="H4478" s="3" t="str">
        <f>"VASN"</f>
        <v>VASN</v>
      </c>
      <c r="I4478" s="3" t="str">
        <f t="shared" si="210"/>
        <v>protein_coding</v>
      </c>
    </row>
    <row r="4479" spans="1:9" x14ac:dyDescent="0.2">
      <c r="A4479" s="3" t="str">
        <f>"ENSG00000089486.17"</f>
        <v>ENSG00000089486.17</v>
      </c>
      <c r="B4479" s="3">
        <v>10354.386439591601</v>
      </c>
      <c r="C4479" s="3">
        <v>2.09724084692825</v>
      </c>
      <c r="D4479" s="3">
        <v>0.217895958505644</v>
      </c>
      <c r="E4479" s="3">
        <v>9.62496441563842</v>
      </c>
      <c r="F4479" s="4">
        <v>6.2728632521946104E-22</v>
      </c>
      <c r="G4479" s="4">
        <v>2.8204076738043999E-20</v>
      </c>
      <c r="H4479" s="3" t="str">
        <f>"CDIP1"</f>
        <v>CDIP1</v>
      </c>
      <c r="I4479" s="3" t="str">
        <f t="shared" si="210"/>
        <v>protein_coding</v>
      </c>
    </row>
    <row r="4480" spans="1:9" x14ac:dyDescent="0.2">
      <c r="A4480" s="3" t="str">
        <f>"ENSG00000278434.1"</f>
        <v>ENSG00000278434.1</v>
      </c>
      <c r="B4480" s="3">
        <v>331.58636237606601</v>
      </c>
      <c r="C4480" s="3">
        <v>2.2846743915789198</v>
      </c>
      <c r="D4480" s="3">
        <v>0.26321970930078897</v>
      </c>
      <c r="E4480" s="3">
        <v>8.6797238612863605</v>
      </c>
      <c r="F4480" s="4">
        <v>3.9673086450437703E-18</v>
      </c>
      <c r="G4480" s="4">
        <v>1.29613019965837E-16</v>
      </c>
      <c r="H4480" s="3" t="str">
        <f>"AC023830.3"</f>
        <v>AC023830.3</v>
      </c>
      <c r="I4480" s="3" t="str">
        <f>"sense_intronic"</f>
        <v>sense_intronic</v>
      </c>
    </row>
    <row r="4481" spans="1:9" x14ac:dyDescent="0.2">
      <c r="A4481" s="3" t="str">
        <f>"ENSG00000205832.7"</f>
        <v>ENSG00000205832.7</v>
      </c>
      <c r="B4481" s="3">
        <v>11.2390250594551</v>
      </c>
      <c r="C4481" s="3">
        <v>5.4099370191426797</v>
      </c>
      <c r="D4481" s="3">
        <v>1.7207308307068601</v>
      </c>
      <c r="E4481" s="3">
        <v>3.1439763399371001</v>
      </c>
      <c r="F4481" s="3">
        <v>1.6666891472807599E-3</v>
      </c>
      <c r="G4481" s="3">
        <v>6.8994650859858604E-3</v>
      </c>
      <c r="H4481" s="3" t="str">
        <f>"C16orf96"</f>
        <v>C16orf96</v>
      </c>
      <c r="I4481" s="3" t="str">
        <f>"protein_coding"</f>
        <v>protein_coding</v>
      </c>
    </row>
    <row r="4482" spans="1:9" x14ac:dyDescent="0.2">
      <c r="A4482" s="3" t="str">
        <f>"ENSG00000103184.12"</f>
        <v>ENSG00000103184.12</v>
      </c>
      <c r="B4482" s="3">
        <v>70.402927733003693</v>
      </c>
      <c r="C4482" s="3">
        <v>1.3708529512454399</v>
      </c>
      <c r="D4482" s="3">
        <v>0.463038877293597</v>
      </c>
      <c r="E4482" s="3">
        <v>2.9605569175052899</v>
      </c>
      <c r="F4482" s="3">
        <v>3.07083373910332E-3</v>
      </c>
      <c r="G4482" s="3">
        <v>1.1692426899014599E-2</v>
      </c>
      <c r="H4482" s="3" t="str">
        <f>"SEC14L5"</f>
        <v>SEC14L5</v>
      </c>
      <c r="I4482" s="3" t="str">
        <f>"protein_coding"</f>
        <v>protein_coding</v>
      </c>
    </row>
    <row r="4483" spans="1:9" x14ac:dyDescent="0.2">
      <c r="A4483" s="3" t="str">
        <f>"ENSG00000103174.13"</f>
        <v>ENSG00000103174.13</v>
      </c>
      <c r="B4483" s="3">
        <v>1300.7365051786601</v>
      </c>
      <c r="C4483" s="3">
        <v>-1.4382241002137599</v>
      </c>
      <c r="D4483" s="3">
        <v>0.207877846954546</v>
      </c>
      <c r="E4483" s="3">
        <v>-6.9186020602197402</v>
      </c>
      <c r="F4483" s="4">
        <v>4.5612212986569E-12</v>
      </c>
      <c r="G4483" s="4">
        <v>8.3297316839480195E-11</v>
      </c>
      <c r="H4483" s="3" t="str">
        <f>"NAGPA"</f>
        <v>NAGPA</v>
      </c>
      <c r="I4483" s="3" t="str">
        <f>"protein_coding"</f>
        <v>protein_coding</v>
      </c>
    </row>
    <row r="4484" spans="1:9" x14ac:dyDescent="0.2">
      <c r="A4484" s="3" t="str">
        <f>"ENSG00000153446.15"</f>
        <v>ENSG00000153446.15</v>
      </c>
      <c r="B4484" s="3">
        <v>47.083494892275901</v>
      </c>
      <c r="C4484" s="3">
        <v>1.4481585973808699</v>
      </c>
      <c r="D4484" s="3">
        <v>0.53678795100510601</v>
      </c>
      <c r="E4484" s="3">
        <v>2.6978224728578102</v>
      </c>
      <c r="F4484" s="3">
        <v>6.9794649815422697E-3</v>
      </c>
      <c r="G4484" s="3">
        <v>2.3553317110736001E-2</v>
      </c>
      <c r="H4484" s="3" t="str">
        <f>"C16orf89"</f>
        <v>C16orf89</v>
      </c>
      <c r="I4484" s="3" t="str">
        <f>"protein_coding"</f>
        <v>protein_coding</v>
      </c>
    </row>
    <row r="4485" spans="1:9" x14ac:dyDescent="0.2">
      <c r="A4485" s="3" t="str">
        <f>"ENSG00000078328.20"</f>
        <v>ENSG00000078328.20</v>
      </c>
      <c r="B4485" s="3">
        <v>18.962748982830899</v>
      </c>
      <c r="C4485" s="3">
        <v>3.7606642435883302</v>
      </c>
      <c r="D4485" s="3">
        <v>1.02923260235419</v>
      </c>
      <c r="E4485" s="3">
        <v>3.6538526228050601</v>
      </c>
      <c r="F4485" s="3">
        <v>2.5833458617340998E-4</v>
      </c>
      <c r="G4485" s="3">
        <v>1.3331141040656999E-3</v>
      </c>
      <c r="H4485" s="3" t="str">
        <f>"RBFOX1"</f>
        <v>RBFOX1</v>
      </c>
      <c r="I4485" s="3" t="str">
        <f>"protein_coding"</f>
        <v>protein_coding</v>
      </c>
    </row>
    <row r="4486" spans="1:9" x14ac:dyDescent="0.2">
      <c r="A4486" s="3" t="str">
        <f>"ENSG00000257180.1"</f>
        <v>ENSG00000257180.1</v>
      </c>
      <c r="B4486" s="3">
        <v>3.8168555458674298</v>
      </c>
      <c r="C4486" s="3">
        <v>5.3279350919035302</v>
      </c>
      <c r="D4486" s="3">
        <v>2.1809774924298599</v>
      </c>
      <c r="E4486" s="3">
        <v>2.4429115432858599</v>
      </c>
      <c r="F4486" s="3">
        <v>1.4569307781241599E-2</v>
      </c>
      <c r="G4486" s="3">
        <v>4.3474967595607303E-2</v>
      </c>
      <c r="H4486" s="3" t="str">
        <f>"AC009135.1"</f>
        <v>AC009135.1</v>
      </c>
      <c r="I4486" s="3" t="str">
        <f>"sense_intronic"</f>
        <v>sense_intronic</v>
      </c>
    </row>
    <row r="4487" spans="1:9" x14ac:dyDescent="0.2">
      <c r="A4487" s="3" t="str">
        <f>"ENSG00000261617.1"</f>
        <v>ENSG00000261617.1</v>
      </c>
      <c r="B4487" s="3">
        <v>8.4428480289222598</v>
      </c>
      <c r="C4487" s="3">
        <v>4.9771278854785104</v>
      </c>
      <c r="D4487" s="3">
        <v>1.8371930338270099</v>
      </c>
      <c r="E4487" s="3">
        <v>2.7090935975904298</v>
      </c>
      <c r="F4487" s="3">
        <v>6.7467303772082102E-3</v>
      </c>
      <c r="G4487" s="3">
        <v>2.2861355874616601E-2</v>
      </c>
      <c r="H4487" s="3" t="str">
        <f>"LINC02177"</f>
        <v>LINC02177</v>
      </c>
      <c r="I4487" s="3" t="str">
        <f>"lincRNA"</f>
        <v>lincRNA</v>
      </c>
    </row>
    <row r="4488" spans="1:9" x14ac:dyDescent="0.2">
      <c r="A4488" s="3" t="str">
        <f>"ENSG00000183454.17"</f>
        <v>ENSG00000183454.17</v>
      </c>
      <c r="B4488" s="3">
        <v>20.995586762591302</v>
      </c>
      <c r="C4488" s="3">
        <v>6.3241384813185597</v>
      </c>
      <c r="D4488" s="3">
        <v>1.6033793453204599</v>
      </c>
      <c r="E4488" s="3">
        <v>3.9442559240742798</v>
      </c>
      <c r="F4488" s="4">
        <v>8.0048135821110601E-5</v>
      </c>
      <c r="G4488" s="3">
        <v>4.6924947433687602E-4</v>
      </c>
      <c r="H4488" s="3" t="str">
        <f>"GRIN2A"</f>
        <v>GRIN2A</v>
      </c>
      <c r="I4488" s="3" t="str">
        <f>"protein_coding"</f>
        <v>protein_coding</v>
      </c>
    </row>
    <row r="4489" spans="1:9" x14ac:dyDescent="0.2">
      <c r="A4489" s="3" t="str">
        <f>"ENSG00000213853.10"</f>
        <v>ENSG00000213853.10</v>
      </c>
      <c r="B4489" s="3">
        <v>1064.29283932618</v>
      </c>
      <c r="C4489" s="3">
        <v>-1.7208533695892001</v>
      </c>
      <c r="D4489" s="3">
        <v>0.21408631721902299</v>
      </c>
      <c r="E4489" s="3">
        <v>-8.0381286947388997</v>
      </c>
      <c r="F4489" s="4">
        <v>9.12207980315687E-16</v>
      </c>
      <c r="G4489" s="4">
        <v>2.4439460019332899E-14</v>
      </c>
      <c r="H4489" s="3" t="str">
        <f>"EMP2"</f>
        <v>EMP2</v>
      </c>
      <c r="I4489" s="3" t="str">
        <f>"protein_coding"</f>
        <v>protein_coding</v>
      </c>
    </row>
    <row r="4490" spans="1:9" x14ac:dyDescent="0.2">
      <c r="A4490" s="3" t="str">
        <f>"ENSG00000179583.19"</f>
        <v>ENSG00000179583.19</v>
      </c>
      <c r="B4490" s="3">
        <v>78.357442702701306</v>
      </c>
      <c r="C4490" s="3">
        <v>3.6077359895376402</v>
      </c>
      <c r="D4490" s="3">
        <v>0.48741501694832601</v>
      </c>
      <c r="E4490" s="3">
        <v>7.4017743895652597</v>
      </c>
      <c r="F4490" s="4">
        <v>1.3437666707395101E-13</v>
      </c>
      <c r="G4490" s="4">
        <v>2.9670672996466398E-12</v>
      </c>
      <c r="H4490" s="3" t="str">
        <f>"CIITA"</f>
        <v>CIITA</v>
      </c>
      <c r="I4490" s="3" t="str">
        <f>"protein_coding"</f>
        <v>protein_coding</v>
      </c>
    </row>
    <row r="4491" spans="1:9" x14ac:dyDescent="0.2">
      <c r="A4491" s="3" t="str">
        <f>"ENSG00000274038.1"</f>
        <v>ENSG00000274038.1</v>
      </c>
      <c r="B4491" s="3">
        <v>32.458366045988498</v>
      </c>
      <c r="C4491" s="3">
        <v>1.60723109959601</v>
      </c>
      <c r="D4491" s="3">
        <v>0.61972587321789896</v>
      </c>
      <c r="E4491" s="3">
        <v>2.5934548952273602</v>
      </c>
      <c r="F4491" s="3">
        <v>9.5017001622593293E-3</v>
      </c>
      <c r="G4491" s="3">
        <v>3.0450814434377801E-2</v>
      </c>
      <c r="H4491" s="3" t="str">
        <f>"AC007014.2"</f>
        <v>AC007014.2</v>
      </c>
      <c r="I4491" s="3" t="str">
        <f>"sense_intronic"</f>
        <v>sense_intronic</v>
      </c>
    </row>
    <row r="4492" spans="1:9" x14ac:dyDescent="0.2">
      <c r="A4492" s="3" t="str">
        <f>"ENSG00000263033.2"</f>
        <v>ENSG00000263033.2</v>
      </c>
      <c r="B4492" s="3">
        <v>13.465206631470901</v>
      </c>
      <c r="C4492" s="3">
        <v>4.04828463596251</v>
      </c>
      <c r="D4492" s="3">
        <v>1.24165955083041</v>
      </c>
      <c r="E4492" s="3">
        <v>3.2603821500467398</v>
      </c>
      <c r="F4492" s="3">
        <v>1.1126219370372801E-3</v>
      </c>
      <c r="G4492" s="3">
        <v>4.8412024781946204E-3</v>
      </c>
      <c r="H4492" s="3" t="str">
        <f>"AC007220.1"</f>
        <v>AC007220.1</v>
      </c>
      <c r="I4492" s="3" t="str">
        <f>"lincRNA"</f>
        <v>lincRNA</v>
      </c>
    </row>
    <row r="4493" spans="1:9" x14ac:dyDescent="0.2">
      <c r="A4493" s="3" t="str">
        <f>"ENSG00000185338.5"</f>
        <v>ENSG00000185338.5</v>
      </c>
      <c r="B4493" s="3">
        <v>498.15719327647901</v>
      </c>
      <c r="C4493" s="3">
        <v>1.1128401397427199</v>
      </c>
      <c r="D4493" s="3">
        <v>0.230603479921658</v>
      </c>
      <c r="E4493" s="3">
        <v>4.8257734016884104</v>
      </c>
      <c r="F4493" s="4">
        <v>1.3946100252577199E-6</v>
      </c>
      <c r="G4493" s="4">
        <v>1.16704359208222E-5</v>
      </c>
      <c r="H4493" s="3" t="str">
        <f>"SOCS1"</f>
        <v>SOCS1</v>
      </c>
      <c r="I4493" s="3" t="str">
        <f>"protein_coding"</f>
        <v>protein_coding</v>
      </c>
    </row>
    <row r="4494" spans="1:9" x14ac:dyDescent="0.2">
      <c r="A4494" s="3" t="str">
        <f>"ENSG00000188897.9"</f>
        <v>ENSG00000188897.9</v>
      </c>
      <c r="B4494" s="3">
        <v>81.716120064650497</v>
      </c>
      <c r="C4494" s="3">
        <v>2.63222584849921</v>
      </c>
      <c r="D4494" s="3">
        <v>0.43455582612815502</v>
      </c>
      <c r="E4494" s="3">
        <v>6.05727892766288</v>
      </c>
      <c r="F4494" s="4">
        <v>1.3844341273813899E-9</v>
      </c>
      <c r="G4494" s="4">
        <v>1.8481958191455498E-8</v>
      </c>
      <c r="H4494" s="3" t="str">
        <f>"AC099489.1"</f>
        <v>AC099489.1</v>
      </c>
      <c r="I4494" s="3" t="str">
        <f>"protein_coding"</f>
        <v>protein_coding</v>
      </c>
    </row>
    <row r="4495" spans="1:9" x14ac:dyDescent="0.2">
      <c r="A4495" s="3" t="str">
        <f>"ENSG00000184602.6"</f>
        <v>ENSG00000184602.6</v>
      </c>
      <c r="B4495" s="3">
        <v>984.00627901329597</v>
      </c>
      <c r="C4495" s="3">
        <v>1.5050151110541199</v>
      </c>
      <c r="D4495" s="3">
        <v>0.21549403942791601</v>
      </c>
      <c r="E4495" s="3">
        <v>6.9840219945274002</v>
      </c>
      <c r="F4495" s="4">
        <v>2.86847126193912E-12</v>
      </c>
      <c r="G4495" s="4">
        <v>5.37532575474932E-11</v>
      </c>
      <c r="H4495" s="3" t="str">
        <f>"SNN"</f>
        <v>SNN</v>
      </c>
      <c r="I4495" s="3" t="str">
        <f>"protein_coding"</f>
        <v>protein_coding</v>
      </c>
    </row>
    <row r="4496" spans="1:9" x14ac:dyDescent="0.2">
      <c r="A4496" s="3" t="str">
        <f>"ENSG00000153066.12"</f>
        <v>ENSG00000153066.12</v>
      </c>
      <c r="B4496" s="3">
        <v>2400.2738202688001</v>
      </c>
      <c r="C4496" s="3">
        <v>-1.0797324310106899</v>
      </c>
      <c r="D4496" s="3">
        <v>0.178498389583089</v>
      </c>
      <c r="E4496" s="3">
        <v>-6.0489757556501198</v>
      </c>
      <c r="F4496" s="4">
        <v>1.4576959156954299E-9</v>
      </c>
      <c r="G4496" s="4">
        <v>1.9384012013154399E-8</v>
      </c>
      <c r="H4496" s="3" t="str">
        <f>"TXNDC11"</f>
        <v>TXNDC11</v>
      </c>
      <c r="I4496" s="3" t="str">
        <f>"protein_coding"</f>
        <v>protein_coding</v>
      </c>
    </row>
    <row r="4497" spans="1:9" x14ac:dyDescent="0.2">
      <c r="A4497" s="3" t="str">
        <f>"ENSG00000277369.1"</f>
        <v>ENSG00000277369.1</v>
      </c>
      <c r="B4497" s="3">
        <v>129.66021108307899</v>
      </c>
      <c r="C4497" s="3">
        <v>1.3358734453712799</v>
      </c>
      <c r="D4497" s="3">
        <v>0.37318486783037402</v>
      </c>
      <c r="E4497" s="3">
        <v>3.5796559842787601</v>
      </c>
      <c r="F4497" s="3">
        <v>3.4404683391648299E-4</v>
      </c>
      <c r="G4497" s="3">
        <v>1.7194138084597201E-3</v>
      </c>
      <c r="H4497" s="3" t="str">
        <f>"AC010654.1"</f>
        <v>AC010654.1</v>
      </c>
      <c r="I4497" s="3" t="str">
        <f>"lincRNA"</f>
        <v>lincRNA</v>
      </c>
    </row>
    <row r="4498" spans="1:9" x14ac:dyDescent="0.2">
      <c r="A4498" s="3" t="str">
        <f>"ENSG00000234719.8"</f>
        <v>ENSG00000234719.8</v>
      </c>
      <c r="B4498" s="3">
        <v>31.640292898824899</v>
      </c>
      <c r="C4498" s="3">
        <v>1.82249996923543</v>
      </c>
      <c r="D4498" s="3">
        <v>0.62598959054568304</v>
      </c>
      <c r="E4498" s="3">
        <v>2.9113902160045999</v>
      </c>
      <c r="F4498" s="3">
        <v>3.59824330958622E-3</v>
      </c>
      <c r="G4498" s="3">
        <v>1.34119473948421E-2</v>
      </c>
      <c r="H4498" s="3" t="str">
        <f>"NPIPB2"</f>
        <v>NPIPB2</v>
      </c>
      <c r="I4498" s="3" t="str">
        <f>"protein_coding"</f>
        <v>protein_coding</v>
      </c>
    </row>
    <row r="4499" spans="1:9" x14ac:dyDescent="0.2">
      <c r="A4499" s="3" t="str">
        <f>"ENSG00000048471.14"</f>
        <v>ENSG00000048471.14</v>
      </c>
      <c r="B4499" s="3">
        <v>1375.82861739023</v>
      </c>
      <c r="C4499" s="3">
        <v>1.21900521800166</v>
      </c>
      <c r="D4499" s="3">
        <v>0.19098423450188501</v>
      </c>
      <c r="E4499" s="3">
        <v>6.3827531166695799</v>
      </c>
      <c r="F4499" s="4">
        <v>1.7393219887085901E-10</v>
      </c>
      <c r="G4499" s="4">
        <v>2.6154142509019398E-9</v>
      </c>
      <c r="H4499" s="3" t="str">
        <f>"SNX29"</f>
        <v>SNX29</v>
      </c>
      <c r="I4499" s="3" t="str">
        <f>"protein_coding"</f>
        <v>protein_coding</v>
      </c>
    </row>
    <row r="4500" spans="1:9" x14ac:dyDescent="0.2">
      <c r="A4500" s="3" t="str">
        <f>"ENSG00000241641.1"</f>
        <v>ENSG00000241641.1</v>
      </c>
      <c r="B4500" s="3">
        <v>26.052066119974</v>
      </c>
      <c r="C4500" s="3">
        <v>2.3123670700132002</v>
      </c>
      <c r="D4500" s="3">
        <v>0.72934692773509102</v>
      </c>
      <c r="E4500" s="3">
        <v>3.1704624809951598</v>
      </c>
      <c r="F4500" s="3">
        <v>1.5219648620337801E-3</v>
      </c>
      <c r="G4500" s="3">
        <v>6.3622240865042002E-3</v>
      </c>
      <c r="H4500" s="3" t="str">
        <f>"RPS23P6"</f>
        <v>RPS23P6</v>
      </c>
      <c r="I4500" s="3" t="str">
        <f>"processed_pseudogene"</f>
        <v>processed_pseudogene</v>
      </c>
    </row>
    <row r="4501" spans="1:9" x14ac:dyDescent="0.2">
      <c r="A4501" s="3" t="str">
        <f>"ENSG00000103381.12"</f>
        <v>ENSG00000103381.12</v>
      </c>
      <c r="B4501" s="3">
        <v>5308.9472210389204</v>
      </c>
      <c r="C4501" s="3">
        <v>-1.0732148958222301</v>
      </c>
      <c r="D4501" s="3">
        <v>0.180631380841144</v>
      </c>
      <c r="E4501" s="3">
        <v>-5.94146427284449</v>
      </c>
      <c r="F4501" s="4">
        <v>2.8248730884664E-9</v>
      </c>
      <c r="G4501" s="4">
        <v>3.6110860636547602E-8</v>
      </c>
      <c r="H4501" s="3" t="str">
        <f>"CPPED1"</f>
        <v>CPPED1</v>
      </c>
      <c r="I4501" s="3" t="str">
        <f>"protein_coding"</f>
        <v>protein_coding</v>
      </c>
    </row>
    <row r="4502" spans="1:9" x14ac:dyDescent="0.2">
      <c r="A4502" s="3" t="str">
        <f>"ENSG00000260378.1"</f>
        <v>ENSG00000260378.1</v>
      </c>
      <c r="B4502" s="3">
        <v>3.8530936506741802</v>
      </c>
      <c r="C4502" s="3">
        <v>5.3403250580865702</v>
      </c>
      <c r="D4502" s="3">
        <v>2.1789621139591802</v>
      </c>
      <c r="E4502" s="3">
        <v>2.4508572333014098</v>
      </c>
      <c r="F4502" s="3">
        <v>1.4251646682892799E-2</v>
      </c>
      <c r="G4502" s="3">
        <v>4.2728280938466097E-2</v>
      </c>
      <c r="H4502" s="3" t="str">
        <f>"AC109597.1"</f>
        <v>AC109597.1</v>
      </c>
      <c r="I4502" s="3" t="str">
        <f>"antisense"</f>
        <v>antisense</v>
      </c>
    </row>
    <row r="4503" spans="1:9" x14ac:dyDescent="0.2">
      <c r="A4503" s="3" t="str">
        <f>"ENSG00000237515.9"</f>
        <v>ENSG00000237515.9</v>
      </c>
      <c r="B4503" s="3">
        <v>8.0296602521611806</v>
      </c>
      <c r="C4503" s="3">
        <v>3.8706625826476602</v>
      </c>
      <c r="D4503" s="3">
        <v>1.52867293576029</v>
      </c>
      <c r="E4503" s="3">
        <v>2.5320410220532801</v>
      </c>
      <c r="F4503" s="3">
        <v>1.1340072345756199E-2</v>
      </c>
      <c r="G4503" s="3">
        <v>3.5332527296148497E-2</v>
      </c>
      <c r="H4503" s="3" t="str">
        <f>"SHISA9"</f>
        <v>SHISA9</v>
      </c>
      <c r="I4503" s="3" t="str">
        <f>"protein_coding"</f>
        <v>protein_coding</v>
      </c>
    </row>
    <row r="4504" spans="1:9" x14ac:dyDescent="0.2">
      <c r="A4504" s="3" t="str">
        <f>"ENSG00000262732.1"</f>
        <v>ENSG00000262732.1</v>
      </c>
      <c r="B4504" s="3">
        <v>5.8339976332213803</v>
      </c>
      <c r="C4504" s="3">
        <v>5.9376349820635896</v>
      </c>
      <c r="D4504" s="3">
        <v>1.9699676968919899</v>
      </c>
      <c r="E4504" s="3">
        <v>3.0140773330605199</v>
      </c>
      <c r="F4504" s="3">
        <v>2.5776209366505701E-3</v>
      </c>
      <c r="G4504" s="3">
        <v>1.00332053801311E-2</v>
      </c>
      <c r="H4504" s="3" t="str">
        <f>"AC010401.1"</f>
        <v>AC010401.1</v>
      </c>
      <c r="I4504" s="3" t="str">
        <f>"antisense"</f>
        <v>antisense</v>
      </c>
    </row>
    <row r="4505" spans="1:9" x14ac:dyDescent="0.2">
      <c r="A4505" s="3" t="str">
        <f>"ENSG00000260009.1"</f>
        <v>ENSG00000260009.1</v>
      </c>
      <c r="B4505" s="3">
        <v>49.2567637372089</v>
      </c>
      <c r="C4505" s="3">
        <v>2.8100566620091101</v>
      </c>
      <c r="D4505" s="3">
        <v>0.61941505008425501</v>
      </c>
      <c r="E4505" s="3">
        <v>4.5366296179385301</v>
      </c>
      <c r="F4505" s="4">
        <v>5.7160363894620901E-6</v>
      </c>
      <c r="G4505" s="4">
        <v>4.2669820137992703E-5</v>
      </c>
      <c r="H4505" s="3" t="str">
        <f>"LINC02130"</f>
        <v>LINC02130</v>
      </c>
      <c r="I4505" s="3" t="str">
        <f>"lincRNA"</f>
        <v>lincRNA</v>
      </c>
    </row>
    <row r="4506" spans="1:9" x14ac:dyDescent="0.2">
      <c r="A4506" s="3" t="str">
        <f>"ENSG00000255277.3"</f>
        <v>ENSG00000255277.3</v>
      </c>
      <c r="B4506" s="3">
        <v>195.862456944982</v>
      </c>
      <c r="C4506" s="3">
        <v>-1.4191285137345</v>
      </c>
      <c r="D4506" s="3">
        <v>0.29020061065011399</v>
      </c>
      <c r="E4506" s="3">
        <v>-4.8901637751737796</v>
      </c>
      <c r="F4506" s="4">
        <v>1.00752115192716E-6</v>
      </c>
      <c r="G4506" s="4">
        <v>8.6490008905353597E-6</v>
      </c>
      <c r="H4506" s="3" t="str">
        <f>"ABCC6P2"</f>
        <v>ABCC6P2</v>
      </c>
      <c r="I4506" s="3" t="str">
        <f>"transcribed_unprocessed_pseudogene"</f>
        <v>transcribed_unprocessed_pseudogene</v>
      </c>
    </row>
    <row r="4507" spans="1:9" x14ac:dyDescent="0.2">
      <c r="A4507" s="3" t="str">
        <f>"ENSG00000157045.9"</f>
        <v>ENSG00000157045.9</v>
      </c>
      <c r="B4507" s="3">
        <v>1622.79817106269</v>
      </c>
      <c r="C4507" s="3">
        <v>1.8287881133234001</v>
      </c>
      <c r="D4507" s="3">
        <v>0.18989855966303101</v>
      </c>
      <c r="E4507" s="3">
        <v>9.6303422025344894</v>
      </c>
      <c r="F4507" s="4">
        <v>5.9530894130203802E-22</v>
      </c>
      <c r="G4507" s="4">
        <v>2.6854938284199701E-20</v>
      </c>
      <c r="H4507" s="3" t="str">
        <f>"NTAN1"</f>
        <v>NTAN1</v>
      </c>
      <c r="I4507" s="3" t="str">
        <f>"protein_coding"</f>
        <v>protein_coding</v>
      </c>
    </row>
    <row r="4508" spans="1:9" x14ac:dyDescent="0.2">
      <c r="A4508" s="3" t="str">
        <f>"ENSG00000166780.11"</f>
        <v>ENSG00000166780.11</v>
      </c>
      <c r="B4508" s="3">
        <v>46.376708882174597</v>
      </c>
      <c r="C4508" s="3">
        <v>2.6981238486368699</v>
      </c>
      <c r="D4508" s="3">
        <v>0.55949372590226298</v>
      </c>
      <c r="E4508" s="3">
        <v>4.8224380787930503</v>
      </c>
      <c r="F4508" s="4">
        <v>1.4181406070286399E-6</v>
      </c>
      <c r="G4508" s="4">
        <v>1.18310095283862E-5</v>
      </c>
      <c r="H4508" s="3" t="str">
        <f>"C16orf45"</f>
        <v>C16orf45</v>
      </c>
      <c r="I4508" s="3" t="str">
        <f>"protein_coding"</f>
        <v>protein_coding</v>
      </c>
    </row>
    <row r="4509" spans="1:9" x14ac:dyDescent="0.2">
      <c r="A4509" s="3" t="str">
        <f>"ENSG00000166783.22"</f>
        <v>ENSG00000166783.22</v>
      </c>
      <c r="B4509" s="3">
        <v>5399.1223980467303</v>
      </c>
      <c r="C4509" s="3">
        <v>1.76932512545444</v>
      </c>
      <c r="D4509" s="3">
        <v>0.17297353338220001</v>
      </c>
      <c r="E4509" s="3">
        <v>10.228877741341901</v>
      </c>
      <c r="F4509" s="4">
        <v>1.47215433919451E-24</v>
      </c>
      <c r="G4509" s="4">
        <v>7.9115955187441402E-23</v>
      </c>
      <c r="H4509" s="3" t="str">
        <f>"MARF1"</f>
        <v>MARF1</v>
      </c>
      <c r="I4509" s="3" t="str">
        <f>"protein_coding"</f>
        <v>protein_coding</v>
      </c>
    </row>
    <row r="4510" spans="1:9" x14ac:dyDescent="0.2">
      <c r="A4510" s="3" t="str">
        <f>"ENSG00000262380.1"</f>
        <v>ENSG00000262380.1</v>
      </c>
      <c r="B4510" s="3">
        <v>54.454769835691103</v>
      </c>
      <c r="C4510" s="3">
        <v>1.6032004843163901</v>
      </c>
      <c r="D4510" s="3">
        <v>0.51234504766087496</v>
      </c>
      <c r="E4510" s="3">
        <v>3.1291421506577302</v>
      </c>
      <c r="F4510" s="3">
        <v>1.75317472012803E-3</v>
      </c>
      <c r="G4510" s="3">
        <v>7.2098766202111199E-3</v>
      </c>
      <c r="H4510" s="3" t="str">
        <f>"AC026401.2"</f>
        <v>AC026401.2</v>
      </c>
      <c r="I4510" s="3" t="str">
        <f>"sense_intronic"</f>
        <v>sense_intronic</v>
      </c>
    </row>
    <row r="4511" spans="1:9" x14ac:dyDescent="0.2">
      <c r="A4511" s="3" t="str">
        <f>"ENSG00000133392.18"</f>
        <v>ENSG00000133392.18</v>
      </c>
      <c r="B4511" s="3">
        <v>32.733810781944797</v>
      </c>
      <c r="C4511" s="3">
        <v>3.7127676347437601</v>
      </c>
      <c r="D4511" s="3">
        <v>0.74704661162777797</v>
      </c>
      <c r="E4511" s="3">
        <v>4.9699276818267304</v>
      </c>
      <c r="F4511" s="4">
        <v>6.6977878252168498E-7</v>
      </c>
      <c r="G4511" s="4">
        <v>5.9078868524986601E-6</v>
      </c>
      <c r="H4511" s="3" t="str">
        <f>"MYH11"</f>
        <v>MYH11</v>
      </c>
      <c r="I4511" s="3" t="str">
        <f>"protein_coding"</f>
        <v>protein_coding</v>
      </c>
    </row>
    <row r="4512" spans="1:9" x14ac:dyDescent="0.2">
      <c r="A4512" s="3" t="str">
        <f>"ENSG00000103489.11"</f>
        <v>ENSG00000103489.11</v>
      </c>
      <c r="B4512" s="3">
        <v>11.7827211616088</v>
      </c>
      <c r="C4512" s="3">
        <v>6.9557857474085596</v>
      </c>
      <c r="D4512" s="3">
        <v>1.7196444725229201</v>
      </c>
      <c r="E4512" s="3">
        <v>4.0448975695561202</v>
      </c>
      <c r="F4512" s="4">
        <v>5.2346005938135803E-5</v>
      </c>
      <c r="G4512" s="3">
        <v>3.1900506011997001E-4</v>
      </c>
      <c r="H4512" s="3" t="str">
        <f>"XYLT1"</f>
        <v>XYLT1</v>
      </c>
      <c r="I4512" s="3" t="str">
        <f>"protein_coding"</f>
        <v>protein_coding</v>
      </c>
    </row>
    <row r="4513" spans="1:9" x14ac:dyDescent="0.2">
      <c r="A4513" s="3" t="str">
        <f>"ENSG00000259929.5"</f>
        <v>ENSG00000259929.5</v>
      </c>
      <c r="B4513" s="3">
        <v>4.7710694323342899</v>
      </c>
      <c r="C4513" s="3">
        <v>5.6498655801083801</v>
      </c>
      <c r="D4513" s="3">
        <v>2.0548781453748601</v>
      </c>
      <c r="E4513" s="3">
        <v>2.7494893518747898</v>
      </c>
      <c r="F4513" s="3">
        <v>5.9688202149847996E-3</v>
      </c>
      <c r="G4513" s="3">
        <v>2.05942059513348E-2</v>
      </c>
      <c r="H4513" s="3" t="str">
        <f>"AC010601.1"</f>
        <v>AC010601.1</v>
      </c>
      <c r="I4513" s="3" t="str">
        <f>"lincRNA"</f>
        <v>lincRNA</v>
      </c>
    </row>
    <row r="4514" spans="1:9" x14ac:dyDescent="0.2">
      <c r="A4514" s="3" t="str">
        <f>"ENSG00000170540.15"</f>
        <v>ENSG00000170540.15</v>
      </c>
      <c r="B4514" s="3">
        <v>11641.992918247201</v>
      </c>
      <c r="C4514" s="3">
        <v>1.1582440472998099</v>
      </c>
      <c r="D4514" s="3">
        <v>0.18164344783261599</v>
      </c>
      <c r="E4514" s="3">
        <v>6.3764702835145801</v>
      </c>
      <c r="F4514" s="4">
        <v>1.8121589231711199E-10</v>
      </c>
      <c r="G4514" s="4">
        <v>2.71594577445784E-9</v>
      </c>
      <c r="H4514" s="3" t="str">
        <f>"ARL6IP1"</f>
        <v>ARL6IP1</v>
      </c>
      <c r="I4514" s="3" t="str">
        <f>"protein_coding"</f>
        <v>protein_coding</v>
      </c>
    </row>
    <row r="4515" spans="1:9" x14ac:dyDescent="0.2">
      <c r="A4515" s="3" t="str">
        <f>"ENSG00000170537.13"</f>
        <v>ENSG00000170537.13</v>
      </c>
      <c r="B4515" s="3">
        <v>5323.2940882284001</v>
      </c>
      <c r="C4515" s="3">
        <v>2.90255294147335</v>
      </c>
      <c r="D4515" s="3">
        <v>0.22572403109170699</v>
      </c>
      <c r="E4515" s="3">
        <v>12.8588565755948</v>
      </c>
      <c r="F4515" s="4">
        <v>7.6702884007425496E-38</v>
      </c>
      <c r="G4515" s="4">
        <v>9.5868049566528501E-36</v>
      </c>
      <c r="H4515" s="3" t="str">
        <f>"TMC7"</f>
        <v>TMC7</v>
      </c>
      <c r="I4515" s="3" t="str">
        <f>"protein_coding"</f>
        <v>protein_coding</v>
      </c>
    </row>
    <row r="4516" spans="1:9" x14ac:dyDescent="0.2">
      <c r="A4516" s="3" t="str">
        <f>"ENSG00000207167.1"</f>
        <v>ENSG00000207167.1</v>
      </c>
      <c r="B4516" s="3">
        <v>56.803298785054501</v>
      </c>
      <c r="C4516" s="3">
        <v>3.0284309024627798</v>
      </c>
      <c r="D4516" s="3">
        <v>0.53408849991323104</v>
      </c>
      <c r="E4516" s="3">
        <v>5.6702791821108001</v>
      </c>
      <c r="F4516" s="4">
        <v>1.42565010986547E-8</v>
      </c>
      <c r="G4516" s="4">
        <v>1.6586118080061599E-7</v>
      </c>
      <c r="H4516" s="3" t="str">
        <f>"RNU6-1340P"</f>
        <v>RNU6-1340P</v>
      </c>
      <c r="I4516" s="3" t="str">
        <f>"snRNA"</f>
        <v>snRNA</v>
      </c>
    </row>
    <row r="4517" spans="1:9" x14ac:dyDescent="0.2">
      <c r="A4517" s="3" t="str">
        <f>"ENSG00000261357.1"</f>
        <v>ENSG00000261357.1</v>
      </c>
      <c r="B4517" s="3">
        <v>112.30481171260899</v>
      </c>
      <c r="C4517" s="3">
        <v>4.1149798464205398</v>
      </c>
      <c r="D4517" s="3">
        <v>1.18791042286019</v>
      </c>
      <c r="E4517" s="3">
        <v>3.4640489444588698</v>
      </c>
      <c r="F4517" s="3">
        <v>5.3210968450438103E-4</v>
      </c>
      <c r="G4517" s="3">
        <v>2.5320280429079402E-3</v>
      </c>
      <c r="H4517" s="3" t="str">
        <f>"AC099518.2"</f>
        <v>AC099518.2</v>
      </c>
      <c r="I4517" s="3" t="str">
        <f>"lincRNA"</f>
        <v>lincRNA</v>
      </c>
    </row>
    <row r="4518" spans="1:9" x14ac:dyDescent="0.2">
      <c r="A4518" s="3" t="str">
        <f>"ENSG00000103528.17"</f>
        <v>ENSG00000103528.17</v>
      </c>
      <c r="B4518" s="3">
        <v>51.9285948097355</v>
      </c>
      <c r="C4518" s="3">
        <v>4.5900934646218596</v>
      </c>
      <c r="D4518" s="3">
        <v>0.69439350560102897</v>
      </c>
      <c r="E4518" s="3">
        <v>6.6102194614405603</v>
      </c>
      <c r="F4518" s="4">
        <v>3.8375069364333799E-11</v>
      </c>
      <c r="G4518" s="4">
        <v>6.3408460580352003E-10</v>
      </c>
      <c r="H4518" s="3" t="str">
        <f>"SYT17"</f>
        <v>SYT17</v>
      </c>
      <c r="I4518" s="3" t="str">
        <f t="shared" ref="I4518:I4524" si="211">"protein_coding"</f>
        <v>protein_coding</v>
      </c>
    </row>
    <row r="4519" spans="1:9" x14ac:dyDescent="0.2">
      <c r="A4519" s="3" t="str">
        <f>"ENSG00000103534.17"</f>
        <v>ENSG00000103534.17</v>
      </c>
      <c r="B4519" s="3">
        <v>14.2496682973656</v>
      </c>
      <c r="C4519" s="3">
        <v>4.11846846990837</v>
      </c>
      <c r="D4519" s="3">
        <v>1.1731120174316201</v>
      </c>
      <c r="E4519" s="3">
        <v>3.5107205524373102</v>
      </c>
      <c r="F4519" s="3">
        <v>4.4689391737224497E-4</v>
      </c>
      <c r="G4519" s="3">
        <v>2.1697288964079701E-3</v>
      </c>
      <c r="H4519" s="3" t="str">
        <f>"TMC5"</f>
        <v>TMC5</v>
      </c>
      <c r="I4519" s="3" t="str">
        <f t="shared" si="211"/>
        <v>protein_coding</v>
      </c>
    </row>
    <row r="4520" spans="1:9" x14ac:dyDescent="0.2">
      <c r="A4520" s="3" t="str">
        <f>"ENSG00000103540.16"</f>
        <v>ENSG00000103540.16</v>
      </c>
      <c r="B4520" s="3">
        <v>2224.2668272760998</v>
      </c>
      <c r="C4520" s="3">
        <v>1.1000437883488601</v>
      </c>
      <c r="D4520" s="3">
        <v>0.19478608311676501</v>
      </c>
      <c r="E4520" s="3">
        <v>5.64744549891397</v>
      </c>
      <c r="F4520" s="4">
        <v>1.6284943726534601E-8</v>
      </c>
      <c r="G4520" s="4">
        <v>1.87935561930067E-7</v>
      </c>
      <c r="H4520" s="3" t="str">
        <f>"CCP110"</f>
        <v>CCP110</v>
      </c>
      <c r="I4520" s="3" t="str">
        <f t="shared" si="211"/>
        <v>protein_coding</v>
      </c>
    </row>
    <row r="4521" spans="1:9" x14ac:dyDescent="0.2">
      <c r="A4521" s="3" t="str">
        <f>"ENSG00000103544.14"</f>
        <v>ENSG00000103544.14</v>
      </c>
      <c r="B4521" s="3">
        <v>28.543899794896099</v>
      </c>
      <c r="C4521" s="3">
        <v>1.86132844521928</v>
      </c>
      <c r="D4521" s="3">
        <v>0.68740347371312704</v>
      </c>
      <c r="E4521" s="3">
        <v>2.7077670049657998</v>
      </c>
      <c r="F4521" s="3">
        <v>6.7737558744035099E-3</v>
      </c>
      <c r="G4521" s="3">
        <v>2.2938668445174299E-2</v>
      </c>
      <c r="H4521" s="3" t="str">
        <f>"VPS35L"</f>
        <v>VPS35L</v>
      </c>
      <c r="I4521" s="3" t="str">
        <f t="shared" si="211"/>
        <v>protein_coding</v>
      </c>
    </row>
    <row r="4522" spans="1:9" x14ac:dyDescent="0.2">
      <c r="A4522" s="3" t="str">
        <f>"ENSG00000167191.12"</f>
        <v>ENSG00000167191.12</v>
      </c>
      <c r="B4522" s="3">
        <v>150.67206998737799</v>
      </c>
      <c r="C4522" s="3">
        <v>3.0716620675650099</v>
      </c>
      <c r="D4522" s="3">
        <v>0.356815722268288</v>
      </c>
      <c r="E4522" s="3">
        <v>8.6085390185117294</v>
      </c>
      <c r="F4522" s="4">
        <v>7.3997572640147096E-18</v>
      </c>
      <c r="G4522" s="4">
        <v>2.3581425283345999E-16</v>
      </c>
      <c r="H4522" s="3" t="str">
        <f>"GPRC5B"</f>
        <v>GPRC5B</v>
      </c>
      <c r="I4522" s="3" t="str">
        <f t="shared" si="211"/>
        <v>protein_coding</v>
      </c>
    </row>
    <row r="4523" spans="1:9" x14ac:dyDescent="0.2">
      <c r="A4523" s="3" t="str">
        <f>"ENSG00000183747.12"</f>
        <v>ENSG00000183747.12</v>
      </c>
      <c r="B4523" s="3">
        <v>22.1501198486961</v>
      </c>
      <c r="C4523" s="3">
        <v>-1.8233606319186699</v>
      </c>
      <c r="D4523" s="3">
        <v>0.755890138410376</v>
      </c>
      <c r="E4523" s="3">
        <v>-2.41220322804207</v>
      </c>
      <c r="F4523" s="3">
        <v>1.5856440348298001E-2</v>
      </c>
      <c r="G4523" s="3">
        <v>4.66290853781509E-2</v>
      </c>
      <c r="H4523" s="3" t="str">
        <f>"ACSM2A"</f>
        <v>ACSM2A</v>
      </c>
      <c r="I4523" s="3" t="str">
        <f t="shared" si="211"/>
        <v>protein_coding</v>
      </c>
    </row>
    <row r="4524" spans="1:9" x14ac:dyDescent="0.2">
      <c r="A4524" s="3" t="str">
        <f>"ENSG00000066813.14"</f>
        <v>ENSG00000066813.14</v>
      </c>
      <c r="B4524" s="3">
        <v>42.485230393217698</v>
      </c>
      <c r="C4524" s="3">
        <v>-1.4451600309325801</v>
      </c>
      <c r="D4524" s="3">
        <v>0.54676193507197401</v>
      </c>
      <c r="E4524" s="3">
        <v>-2.6431248011848898</v>
      </c>
      <c r="F4524" s="3">
        <v>8.2144751083052994E-3</v>
      </c>
      <c r="G4524" s="3">
        <v>2.6966241358553598E-2</v>
      </c>
      <c r="H4524" s="3" t="str">
        <f>"ACSM2B"</f>
        <v>ACSM2B</v>
      </c>
      <c r="I4524" s="3" t="str">
        <f t="shared" si="211"/>
        <v>protein_coding</v>
      </c>
    </row>
    <row r="4525" spans="1:9" x14ac:dyDescent="0.2">
      <c r="A4525" s="3" t="str">
        <f>"ENSG00000283399.1"</f>
        <v>ENSG00000283399.1</v>
      </c>
      <c r="B4525" s="3">
        <v>683.674149878663</v>
      </c>
      <c r="C4525" s="3">
        <v>1.15232832863604</v>
      </c>
      <c r="D4525" s="3">
        <v>0.21357654484885699</v>
      </c>
      <c r="E4525" s="3">
        <v>5.3953880069158204</v>
      </c>
      <c r="F4525" s="4">
        <v>6.8375630759800396E-8</v>
      </c>
      <c r="G4525" s="4">
        <v>7.1490054156265601E-7</v>
      </c>
      <c r="H4525" s="3" t="str">
        <f>"AC004381.2"</f>
        <v>AC004381.2</v>
      </c>
      <c r="I4525" s="3" t="str">
        <f>"unprocessed_pseudogene"</f>
        <v>unprocessed_pseudogene</v>
      </c>
    </row>
    <row r="4526" spans="1:9" x14ac:dyDescent="0.2">
      <c r="A4526" s="3" t="str">
        <f>"ENSG00000005189.19"</f>
        <v>ENSG00000005189.19</v>
      </c>
      <c r="B4526" s="3">
        <v>788.75636224192999</v>
      </c>
      <c r="C4526" s="3">
        <v>1.8224978241977099</v>
      </c>
      <c r="D4526" s="3">
        <v>0.207466654563839</v>
      </c>
      <c r="E4526" s="3">
        <v>8.7845337267773402</v>
      </c>
      <c r="F4526" s="4">
        <v>1.57014466008726E-18</v>
      </c>
      <c r="G4526" s="4">
        <v>5.3343804929423499E-17</v>
      </c>
      <c r="H4526" s="3" t="str">
        <f>"REXO5"</f>
        <v>REXO5</v>
      </c>
      <c r="I4526" s="3" t="str">
        <f>"protein_coding"</f>
        <v>protein_coding</v>
      </c>
    </row>
    <row r="4527" spans="1:9" x14ac:dyDescent="0.2">
      <c r="A4527" s="3" t="str">
        <f>"ENSG00000275908.1"</f>
        <v>ENSG00000275908.1</v>
      </c>
      <c r="B4527" s="3">
        <v>15.5812543915319</v>
      </c>
      <c r="C4527" s="3">
        <v>2.70620456314423</v>
      </c>
      <c r="D4527" s="3">
        <v>0.93755598598546497</v>
      </c>
      <c r="E4527" s="3">
        <v>2.8864458268054598</v>
      </c>
      <c r="F4527" s="3">
        <v>3.8961981488233599E-3</v>
      </c>
      <c r="G4527" s="3">
        <v>1.4318817232396801E-2</v>
      </c>
      <c r="H4527" s="3" t="str">
        <f>"RF00618"</f>
        <v>RF00618</v>
      </c>
      <c r="I4527" s="3" t="str">
        <f>"snRNA"</f>
        <v>snRNA</v>
      </c>
    </row>
    <row r="4528" spans="1:9" x14ac:dyDescent="0.2">
      <c r="A4528" s="3" t="str">
        <f>"ENSG00000158486.13"</f>
        <v>ENSG00000158486.13</v>
      </c>
      <c r="B4528" s="3">
        <v>198.68740659162199</v>
      </c>
      <c r="C4528" s="3">
        <v>7.2552686781630804</v>
      </c>
      <c r="D4528" s="3">
        <v>0.704685079586025</v>
      </c>
      <c r="E4528" s="3">
        <v>10.295760316686801</v>
      </c>
      <c r="F4528" s="4">
        <v>7.3635531816546604E-25</v>
      </c>
      <c r="G4528" s="4">
        <v>4.06143185304746E-23</v>
      </c>
      <c r="H4528" s="3" t="str">
        <f>"DNAH3"</f>
        <v>DNAH3</v>
      </c>
      <c r="I4528" s="3" t="str">
        <f>"protein_coding"</f>
        <v>protein_coding</v>
      </c>
    </row>
    <row r="4529" spans="1:9" x14ac:dyDescent="0.2">
      <c r="A4529" s="3" t="str">
        <f>"ENSG00000175311.7"</f>
        <v>ENSG00000175311.7</v>
      </c>
      <c r="B4529" s="3">
        <v>604.29131618047995</v>
      </c>
      <c r="C4529" s="3">
        <v>-2.2912476187526201</v>
      </c>
      <c r="D4529" s="3">
        <v>0.21852923315857301</v>
      </c>
      <c r="E4529" s="3">
        <v>-10.4848563537036</v>
      </c>
      <c r="F4529" s="4">
        <v>1.01399629932218E-25</v>
      </c>
      <c r="G4529" s="4">
        <v>5.9931360450393498E-24</v>
      </c>
      <c r="H4529" s="3" t="str">
        <f>"ANKS4B"</f>
        <v>ANKS4B</v>
      </c>
      <c r="I4529" s="3" t="str">
        <f>"protein_coding"</f>
        <v>protein_coding</v>
      </c>
    </row>
    <row r="4530" spans="1:9" x14ac:dyDescent="0.2">
      <c r="A4530" s="3" t="str">
        <f>"ENSG00000257639.1"</f>
        <v>ENSG00000257639.1</v>
      </c>
      <c r="B4530" s="3">
        <v>3.7443793362539499</v>
      </c>
      <c r="C4530" s="3">
        <v>5.3028405840866704</v>
      </c>
      <c r="D4530" s="3">
        <v>2.1958005004532399</v>
      </c>
      <c r="E4530" s="3">
        <v>2.4149919735386298</v>
      </c>
      <c r="F4530" s="3">
        <v>1.5735556439619401E-2</v>
      </c>
      <c r="G4530" s="3">
        <v>4.6361019280959197E-2</v>
      </c>
      <c r="H4530" s="3" t="str">
        <f>"AC005632.1"</f>
        <v>AC005632.1</v>
      </c>
      <c r="I4530" s="3" t="str">
        <f>"unprocessed_pseudogene"</f>
        <v>unprocessed_pseudogene</v>
      </c>
    </row>
    <row r="4531" spans="1:9" x14ac:dyDescent="0.2">
      <c r="A4531" s="3" t="str">
        <f>"ENSG00000261596.2"</f>
        <v>ENSG00000261596.2</v>
      </c>
      <c r="B4531" s="3">
        <v>209.10453102408499</v>
      </c>
      <c r="C4531" s="3">
        <v>1.3445904808357301</v>
      </c>
      <c r="D4531" s="3">
        <v>0.31508072662563202</v>
      </c>
      <c r="E4531" s="3">
        <v>4.2674475688680404</v>
      </c>
      <c r="F4531" s="4">
        <v>1.9772222146915598E-5</v>
      </c>
      <c r="G4531" s="3">
        <v>1.31526791219973E-4</v>
      </c>
      <c r="H4531" s="3" t="str">
        <f>"AC005632.2"</f>
        <v>AC005632.2</v>
      </c>
      <c r="I4531" s="3" t="str">
        <f>"sense_intronic"</f>
        <v>sense_intronic</v>
      </c>
    </row>
    <row r="4532" spans="1:9" x14ac:dyDescent="0.2">
      <c r="A4532" s="3" t="str">
        <f>"ENSG00000140749.9"</f>
        <v>ENSG00000140749.9</v>
      </c>
      <c r="B4532" s="3">
        <v>5.9457177380145003</v>
      </c>
      <c r="C4532" s="3">
        <v>5.9678110559896602</v>
      </c>
      <c r="D4532" s="3">
        <v>1.9490680149737301</v>
      </c>
      <c r="E4532" s="3">
        <v>3.0618793239342601</v>
      </c>
      <c r="F4532" s="3">
        <v>2.1995210751093899E-3</v>
      </c>
      <c r="G4532" s="3">
        <v>8.7349294175055308E-3</v>
      </c>
      <c r="H4532" s="3" t="str">
        <f>"IGSF6"</f>
        <v>IGSF6</v>
      </c>
      <c r="I4532" s="3" t="str">
        <f>"protein_coding"</f>
        <v>protein_coding</v>
      </c>
    </row>
    <row r="4533" spans="1:9" x14ac:dyDescent="0.2">
      <c r="A4533" s="3" t="str">
        <f>"ENSG00000155719.17"</f>
        <v>ENSG00000155719.17</v>
      </c>
      <c r="B4533" s="3">
        <v>233.061410510336</v>
      </c>
      <c r="C4533" s="3">
        <v>5.9881616536061903</v>
      </c>
      <c r="D4533" s="3">
        <v>0.490459551665402</v>
      </c>
      <c r="E4533" s="3">
        <v>12.209287459634201</v>
      </c>
      <c r="F4533" s="4">
        <v>2.7730707752776898E-34</v>
      </c>
      <c r="G4533" s="4">
        <v>2.76768715802166E-32</v>
      </c>
      <c r="H4533" s="3" t="str">
        <f>"OTOA"</f>
        <v>OTOA</v>
      </c>
      <c r="I4533" s="3" t="str">
        <f>"protein_coding"</f>
        <v>protein_coding</v>
      </c>
    </row>
    <row r="4534" spans="1:9" x14ac:dyDescent="0.2">
      <c r="A4534" s="3" t="str">
        <f>"ENSG00000185864.16"</f>
        <v>ENSG00000185864.16</v>
      </c>
      <c r="B4534" s="3">
        <v>1439.3264715410701</v>
      </c>
      <c r="C4534" s="3">
        <v>1.75287981354762</v>
      </c>
      <c r="D4534" s="3">
        <v>0.19913715327408699</v>
      </c>
      <c r="E4534" s="3">
        <v>8.8023745681199195</v>
      </c>
      <c r="F4534" s="4">
        <v>1.3395123504360699E-18</v>
      </c>
      <c r="G4534" s="4">
        <v>4.5622116265414703E-17</v>
      </c>
      <c r="H4534" s="3" t="str">
        <f>"NPIPB4"</f>
        <v>NPIPB4</v>
      </c>
      <c r="I4534" s="3" t="str">
        <f>"protein_coding"</f>
        <v>protein_coding</v>
      </c>
    </row>
    <row r="4535" spans="1:9" x14ac:dyDescent="0.2">
      <c r="A4535" s="3" t="str">
        <f>"ENSG00000185710.9"</f>
        <v>ENSG00000185710.9</v>
      </c>
      <c r="B4535" s="3">
        <v>111.679908867893</v>
      </c>
      <c r="C4535" s="3">
        <v>1.2879158902919301</v>
      </c>
      <c r="D4535" s="3">
        <v>0.37999377527970701</v>
      </c>
      <c r="E4535" s="3">
        <v>3.3893078625930602</v>
      </c>
      <c r="F4535" s="3">
        <v>7.0069294210143695E-4</v>
      </c>
      <c r="G4535" s="3">
        <v>3.2408386680424098E-3</v>
      </c>
      <c r="H4535" s="3" t="str">
        <f>"SMG1P4"</f>
        <v>SMG1P4</v>
      </c>
      <c r="I4535" s="3" t="str">
        <f>"transcribed_unprocessed_pseudogene"</f>
        <v>transcribed_unprocessed_pseudogene</v>
      </c>
    </row>
    <row r="4536" spans="1:9" x14ac:dyDescent="0.2">
      <c r="A4536" s="3" t="str">
        <f>"ENSG00000155714.13"</f>
        <v>ENSG00000155714.13</v>
      </c>
      <c r="B4536" s="3">
        <v>4.5506350131209503</v>
      </c>
      <c r="C4536" s="3">
        <v>5.5810926405007502</v>
      </c>
      <c r="D4536" s="3">
        <v>2.0811975347712699</v>
      </c>
      <c r="E4536" s="3">
        <v>2.6816736745337999</v>
      </c>
      <c r="F4536" s="3">
        <v>7.3254878825888504E-3</v>
      </c>
      <c r="G4536" s="3">
        <v>2.4457489074488199E-2</v>
      </c>
      <c r="H4536" s="3" t="str">
        <f>"PDZD9"</f>
        <v>PDZD9</v>
      </c>
      <c r="I4536" s="3" t="str">
        <f>"protein_coding"</f>
        <v>protein_coding</v>
      </c>
    </row>
    <row r="4537" spans="1:9" x14ac:dyDescent="0.2">
      <c r="A4537" s="3" t="str">
        <f>"ENSG00000243716.10"</f>
        <v>ENSG00000243716.10</v>
      </c>
      <c r="B4537" s="3">
        <v>7890.7013910229298</v>
      </c>
      <c r="C4537" s="3">
        <v>1.2976170773551501</v>
      </c>
      <c r="D4537" s="3">
        <v>0.17648731562338199</v>
      </c>
      <c r="E4537" s="3">
        <v>7.3524665088352199</v>
      </c>
      <c r="F4537" s="4">
        <v>1.9458229915910899E-13</v>
      </c>
      <c r="G4537" s="4">
        <v>4.2077650041176597E-12</v>
      </c>
      <c r="H4537" s="3" t="str">
        <f>"NPIPB5"</f>
        <v>NPIPB5</v>
      </c>
      <c r="I4537" s="3" t="str">
        <f>"protein_coding"</f>
        <v>protein_coding</v>
      </c>
    </row>
    <row r="4538" spans="1:9" x14ac:dyDescent="0.2">
      <c r="A4538" s="3" t="str">
        <f>"ENSG00000257838.5"</f>
        <v>ENSG00000257838.5</v>
      </c>
      <c r="B4538" s="3">
        <v>850.81804294573499</v>
      </c>
      <c r="C4538" s="3">
        <v>7.98033877062102</v>
      </c>
      <c r="D4538" s="3">
        <v>0.45460115861245398</v>
      </c>
      <c r="E4538" s="3">
        <v>17.554593998349699</v>
      </c>
      <c r="F4538" s="4">
        <v>5.4857841401226005E-69</v>
      </c>
      <c r="G4538" s="4">
        <v>2.2995563148603201E-66</v>
      </c>
      <c r="H4538" s="3" t="str">
        <f>"OTOAP1"</f>
        <v>OTOAP1</v>
      </c>
      <c r="I4538" s="3" t="str">
        <f>"transcribed_unprocessed_pseudogene"</f>
        <v>transcribed_unprocessed_pseudogene</v>
      </c>
    </row>
    <row r="4539" spans="1:9" x14ac:dyDescent="0.2">
      <c r="A4539" s="3" t="str">
        <f>"ENSG00000166828.3"</f>
        <v>ENSG00000166828.3</v>
      </c>
      <c r="B4539" s="3">
        <v>6.6794972052680102</v>
      </c>
      <c r="C4539" s="3">
        <v>6.1352958256241097</v>
      </c>
      <c r="D4539" s="3">
        <v>1.90077386166819</v>
      </c>
      <c r="E4539" s="3">
        <v>3.2277884020561798</v>
      </c>
      <c r="F4539" s="3">
        <v>1.24751216202795E-3</v>
      </c>
      <c r="G4539" s="3">
        <v>5.3520648525863098E-3</v>
      </c>
      <c r="H4539" s="3" t="str">
        <f>"SCNN1G"</f>
        <v>SCNN1G</v>
      </c>
      <c r="I4539" s="3" t="str">
        <f>"protein_coding"</f>
        <v>protein_coding</v>
      </c>
    </row>
    <row r="4540" spans="1:9" x14ac:dyDescent="0.2">
      <c r="A4540" s="3" t="str">
        <f>"ENSG00000168447.11"</f>
        <v>ENSG00000168447.11</v>
      </c>
      <c r="B4540" s="3">
        <v>6.7187411004476498</v>
      </c>
      <c r="C4540" s="3">
        <v>6.1475902193816498</v>
      </c>
      <c r="D4540" s="3">
        <v>1.9102196707338199</v>
      </c>
      <c r="E4540" s="3">
        <v>3.2182634874763001</v>
      </c>
      <c r="F4540" s="3">
        <v>1.2896928399225001E-3</v>
      </c>
      <c r="G4540" s="3">
        <v>5.5052891758371201E-3</v>
      </c>
      <c r="H4540" s="3" t="str">
        <f>"SCNN1B"</f>
        <v>SCNN1B</v>
      </c>
      <c r="I4540" s="3" t="str">
        <f>"protein_coding"</f>
        <v>protein_coding</v>
      </c>
    </row>
    <row r="4541" spans="1:9" x14ac:dyDescent="0.2">
      <c r="A4541" s="3" t="str">
        <f>"ENSG00000279756.1"</f>
        <v>ENSG00000279756.1</v>
      </c>
      <c r="B4541" s="3">
        <v>109.69216330800801</v>
      </c>
      <c r="C4541" s="3">
        <v>-1.27062997082716</v>
      </c>
      <c r="D4541" s="3">
        <v>0.36986737357438998</v>
      </c>
      <c r="E4541" s="3">
        <v>-3.43536646270748</v>
      </c>
      <c r="F4541" s="3">
        <v>5.9175302261236997E-4</v>
      </c>
      <c r="G4541" s="3">
        <v>2.7827916132411499E-3</v>
      </c>
      <c r="H4541" s="3" t="str">
        <f>"AC012317.2"</f>
        <v>AC012317.2</v>
      </c>
      <c r="I4541" s="3" t="str">
        <f>"TEC"</f>
        <v>TEC</v>
      </c>
    </row>
    <row r="4542" spans="1:9" x14ac:dyDescent="0.2">
      <c r="A4542" s="3" t="str">
        <f>"ENSG00000166501.13"</f>
        <v>ENSG00000166501.13</v>
      </c>
      <c r="B4542" s="3">
        <v>14.9412792402091</v>
      </c>
      <c r="C4542" s="3">
        <v>7.2996061598841298</v>
      </c>
      <c r="D4542" s="3">
        <v>1.6714917539739</v>
      </c>
      <c r="E4542" s="3">
        <v>4.3671206528716704</v>
      </c>
      <c r="F4542" s="4">
        <v>1.25895190510076E-5</v>
      </c>
      <c r="G4542" s="4">
        <v>8.7417590617432396E-5</v>
      </c>
      <c r="H4542" s="3" t="str">
        <f>"PRKCB"</f>
        <v>PRKCB</v>
      </c>
      <c r="I4542" s="3" t="str">
        <f>"protein_coding"</f>
        <v>protein_coding</v>
      </c>
    </row>
    <row r="4543" spans="1:9" x14ac:dyDescent="0.2">
      <c r="A4543" s="3" t="str">
        <f>"ENSG00000260072.1"</f>
        <v>ENSG00000260072.1</v>
      </c>
      <c r="B4543" s="3">
        <v>6.2748664716480604</v>
      </c>
      <c r="C4543" s="3">
        <v>6.0436307079929099</v>
      </c>
      <c r="D4543" s="3">
        <v>1.9320769159683999</v>
      </c>
      <c r="E4543" s="3">
        <v>3.1280487117479501</v>
      </c>
      <c r="F4543" s="3">
        <v>1.7597101450729099E-3</v>
      </c>
      <c r="G4543" s="3">
        <v>7.2285274118500898E-3</v>
      </c>
      <c r="H4543" s="3" t="str">
        <f>"AC008938.1"</f>
        <v>AC008938.1</v>
      </c>
      <c r="I4543" s="3" t="str">
        <f>"lincRNA"</f>
        <v>lincRNA</v>
      </c>
    </row>
    <row r="4544" spans="1:9" x14ac:dyDescent="0.2">
      <c r="A4544" s="3" t="str">
        <f>"ENSG00000158865.12"</f>
        <v>ENSG00000158865.12</v>
      </c>
      <c r="B4544" s="3">
        <v>47.633499463041801</v>
      </c>
      <c r="C4544" s="3">
        <v>-3.3536246990151999</v>
      </c>
      <c r="D4544" s="3">
        <v>0.58588300589389797</v>
      </c>
      <c r="E4544" s="3">
        <v>-5.7240518418835</v>
      </c>
      <c r="F4544" s="4">
        <v>1.04012987462908E-8</v>
      </c>
      <c r="G4544" s="4">
        <v>1.2316566142554699E-7</v>
      </c>
      <c r="H4544" s="3" t="str">
        <f>"SLC5A11"</f>
        <v>SLC5A11</v>
      </c>
      <c r="I4544" s="3" t="str">
        <f>"protein_coding"</f>
        <v>protein_coding</v>
      </c>
    </row>
    <row r="4545" spans="1:9" x14ac:dyDescent="0.2">
      <c r="A4545" s="3" t="str">
        <f>"ENSG00000262155.1"</f>
        <v>ENSG00000262155.1</v>
      </c>
      <c r="B4545" s="3">
        <v>22.892169704981601</v>
      </c>
      <c r="C4545" s="3">
        <v>2.0746080948957299</v>
      </c>
      <c r="D4545" s="3">
        <v>0.73912183859192004</v>
      </c>
      <c r="E4545" s="3">
        <v>2.8068553607453999</v>
      </c>
      <c r="F4545" s="3">
        <v>5.0027698982134002E-3</v>
      </c>
      <c r="G4545" s="3">
        <v>1.7727984317417102E-2</v>
      </c>
      <c r="H4545" s="3" t="str">
        <f>"LINC02175"</f>
        <v>LINC02175</v>
      </c>
      <c r="I4545" s="3" t="str">
        <f>"lincRNA"</f>
        <v>lincRNA</v>
      </c>
    </row>
    <row r="4546" spans="1:9" x14ac:dyDescent="0.2">
      <c r="A4546" s="3" t="str">
        <f>"ENSG00000260034.1"</f>
        <v>ENSG00000260034.1</v>
      </c>
      <c r="B4546" s="3">
        <v>6.8999316244813498</v>
      </c>
      <c r="C4546" s="3">
        <v>6.1824872788971303</v>
      </c>
      <c r="D4546" s="3">
        <v>1.8874648226700399</v>
      </c>
      <c r="E4546" s="3">
        <v>3.2755509955153999</v>
      </c>
      <c r="F4546" s="3">
        <v>1.0545607357935901E-3</v>
      </c>
      <c r="G4546" s="3">
        <v>4.6180675615827803E-3</v>
      </c>
      <c r="H4546" s="3" t="str">
        <f>"LCMT1-AS2"</f>
        <v>LCMT1-AS2</v>
      </c>
      <c r="I4546" s="3" t="str">
        <f>"antisense"</f>
        <v>antisense</v>
      </c>
    </row>
    <row r="4547" spans="1:9" x14ac:dyDescent="0.2">
      <c r="A4547" s="3" t="str">
        <f>"ENSG00000103375.11"</f>
        <v>ENSG00000103375.11</v>
      </c>
      <c r="B4547" s="3">
        <v>14.829770403288499</v>
      </c>
      <c r="C4547" s="3">
        <v>4.1865523642957703</v>
      </c>
      <c r="D4547" s="3">
        <v>1.1672401705637501</v>
      </c>
      <c r="E4547" s="3">
        <v>3.5867103188144802</v>
      </c>
      <c r="F4547" s="3">
        <v>3.3487598386226802E-4</v>
      </c>
      <c r="G4547" s="3">
        <v>1.6791251255604E-3</v>
      </c>
      <c r="H4547" s="3" t="str">
        <f>"AQP8"</f>
        <v>AQP8</v>
      </c>
      <c r="I4547" s="3" t="str">
        <f>"protein_coding"</f>
        <v>protein_coding</v>
      </c>
    </row>
    <row r="4548" spans="1:9" x14ac:dyDescent="0.2">
      <c r="A4548" s="3" t="str">
        <f>"ENSG00000182601.7"</f>
        <v>ENSG00000182601.7</v>
      </c>
      <c r="B4548" s="3">
        <v>11.5230428472158</v>
      </c>
      <c r="C4548" s="3">
        <v>6.9211974248678496</v>
      </c>
      <c r="D4548" s="3">
        <v>1.7275865941767901</v>
      </c>
      <c r="E4548" s="3">
        <v>4.0062810444334698</v>
      </c>
      <c r="F4548" s="4">
        <v>6.1682250785573199E-5</v>
      </c>
      <c r="G4548" s="3">
        <v>3.7035176006049202E-4</v>
      </c>
      <c r="H4548" s="3" t="str">
        <f>"HS3ST4"</f>
        <v>HS3ST4</v>
      </c>
      <c r="I4548" s="3" t="str">
        <f>"protein_coding"</f>
        <v>protein_coding</v>
      </c>
    </row>
    <row r="4549" spans="1:9" x14ac:dyDescent="0.2">
      <c r="A4549" s="3" t="str">
        <f>"ENSG00000285882.1"</f>
        <v>ENSG00000285882.1</v>
      </c>
      <c r="B4549" s="3">
        <v>5.9094796332077504</v>
      </c>
      <c r="C4549" s="3">
        <v>5.9598090719970296</v>
      </c>
      <c r="D4549" s="3">
        <v>1.95187301083798</v>
      </c>
      <c r="E4549" s="3">
        <v>3.0533795174709502</v>
      </c>
      <c r="F4549" s="3">
        <v>2.2627956517912002E-3</v>
      </c>
      <c r="G4549" s="3">
        <v>8.9561872638516601E-3</v>
      </c>
      <c r="H4549" s="3" t="str">
        <f>"AC093516.1"</f>
        <v>AC093516.1</v>
      </c>
      <c r="I4549" s="3" t="str">
        <f>"sense_intronic"</f>
        <v>sense_intronic</v>
      </c>
    </row>
    <row r="4550" spans="1:9" x14ac:dyDescent="0.2">
      <c r="A4550" s="3" t="str">
        <f>"ENSG00000103522.16"</f>
        <v>ENSG00000103522.16</v>
      </c>
      <c r="B4550" s="3">
        <v>64.055601980003203</v>
      </c>
      <c r="C4550" s="3">
        <v>2.3330861639415499</v>
      </c>
      <c r="D4550" s="3">
        <v>0.47742580609444102</v>
      </c>
      <c r="E4550" s="3">
        <v>4.8868036334844396</v>
      </c>
      <c r="F4550" s="4">
        <v>1.02486220422848E-6</v>
      </c>
      <c r="G4550" s="4">
        <v>8.7832226761714392E-6</v>
      </c>
      <c r="H4550" s="3" t="str">
        <f>"IL21R"</f>
        <v>IL21R</v>
      </c>
      <c r="I4550" s="3" t="str">
        <f>"protein_coding"</f>
        <v>protein_coding</v>
      </c>
    </row>
    <row r="4551" spans="1:9" x14ac:dyDescent="0.2">
      <c r="A4551" s="3" t="str">
        <f>"ENSG00000188322.5"</f>
        <v>ENSG00000188322.5</v>
      </c>
      <c r="B4551" s="3">
        <v>330.46651951889601</v>
      </c>
      <c r="C4551" s="3">
        <v>2.2260317450803</v>
      </c>
      <c r="D4551" s="3">
        <v>0.278300683653745</v>
      </c>
      <c r="E4551" s="3">
        <v>7.9986571209788204</v>
      </c>
      <c r="F4551" s="4">
        <v>1.25783443720594E-15</v>
      </c>
      <c r="G4551" s="4">
        <v>3.3241721542725699E-14</v>
      </c>
      <c r="H4551" s="3" t="str">
        <f>"SBK1"</f>
        <v>SBK1</v>
      </c>
      <c r="I4551" s="3" t="str">
        <f>"protein_coding"</f>
        <v>protein_coding</v>
      </c>
    </row>
    <row r="4552" spans="1:9" x14ac:dyDescent="0.2">
      <c r="A4552" s="3" t="str">
        <f>"ENSG00000198156.10"</f>
        <v>ENSG00000198156.10</v>
      </c>
      <c r="B4552" s="3">
        <v>29.119614405143999</v>
      </c>
      <c r="C4552" s="3">
        <v>2.0507393300542098</v>
      </c>
      <c r="D4552" s="3">
        <v>0.66929895139050499</v>
      </c>
      <c r="E4552" s="3">
        <v>3.0640109711716801</v>
      </c>
      <c r="F4552" s="3">
        <v>2.1839090094265701E-3</v>
      </c>
      <c r="G4552" s="3">
        <v>8.6926200351946196E-3</v>
      </c>
      <c r="H4552" s="3" t="str">
        <f>"NPIPB6"</f>
        <v>NPIPB6</v>
      </c>
      <c r="I4552" s="3" t="str">
        <f>"protein_coding"</f>
        <v>protein_coding</v>
      </c>
    </row>
    <row r="4553" spans="1:9" x14ac:dyDescent="0.2">
      <c r="A4553" s="3" t="str">
        <f>"ENSG00000184730.11"</f>
        <v>ENSG00000184730.11</v>
      </c>
      <c r="B4553" s="3">
        <v>37.6933432459575</v>
      </c>
      <c r="C4553" s="3">
        <v>2.2681755918805102</v>
      </c>
      <c r="D4553" s="3">
        <v>0.61741250297236405</v>
      </c>
      <c r="E4553" s="3">
        <v>3.6736793974223101</v>
      </c>
      <c r="F4553" s="3">
        <v>2.3908268178781701E-4</v>
      </c>
      <c r="G4553" s="3">
        <v>1.2453232327800899E-3</v>
      </c>
      <c r="H4553" s="3" t="str">
        <f>"APOBR"</f>
        <v>APOBR</v>
      </c>
      <c r="I4553" s="3" t="str">
        <f>"protein_coding"</f>
        <v>protein_coding</v>
      </c>
    </row>
    <row r="4554" spans="1:9" x14ac:dyDescent="0.2">
      <c r="A4554" s="3" t="str">
        <f>"ENSG00000176046.8"</f>
        <v>ENSG00000176046.8</v>
      </c>
      <c r="B4554" s="3">
        <v>2833.4967004810001</v>
      </c>
      <c r="C4554" s="3">
        <v>2.28701850145469</v>
      </c>
      <c r="D4554" s="3">
        <v>0.22753948651945699</v>
      </c>
      <c r="E4554" s="3">
        <v>10.0510840401283</v>
      </c>
      <c r="F4554" s="4">
        <v>9.0862325108777793E-24</v>
      </c>
      <c r="G4554" s="4">
        <v>4.61889136611729E-22</v>
      </c>
      <c r="H4554" s="3" t="str">
        <f>"NUPR1"</f>
        <v>NUPR1</v>
      </c>
      <c r="I4554" s="3" t="str">
        <f>"protein_coding"</f>
        <v>protein_coding</v>
      </c>
    </row>
    <row r="4555" spans="1:9" x14ac:dyDescent="0.2">
      <c r="A4555" s="3" t="str">
        <f>"ENSG00000275441.1"</f>
        <v>ENSG00000275441.1</v>
      </c>
      <c r="B4555" s="3">
        <v>20.5531796573161</v>
      </c>
      <c r="C4555" s="3">
        <v>-2.0331182688053002</v>
      </c>
      <c r="D4555" s="3">
        <v>0.76938253550953695</v>
      </c>
      <c r="E4555" s="3">
        <v>-2.64253238794773</v>
      </c>
      <c r="F4555" s="3">
        <v>8.2288594707020692E-3</v>
      </c>
      <c r="G4555" s="3">
        <v>2.7000449662598701E-2</v>
      </c>
      <c r="H4555" s="3" t="str">
        <f>"AC020765.2"</f>
        <v>AC020765.2</v>
      </c>
      <c r="I4555" s="3" t="str">
        <f>"antisense"</f>
        <v>antisense</v>
      </c>
    </row>
    <row r="4556" spans="1:9" x14ac:dyDescent="0.2">
      <c r="A4556" s="3" t="str">
        <f>"ENSG00000255524.7"</f>
        <v>ENSG00000255524.7</v>
      </c>
      <c r="B4556" s="3">
        <v>28.031675135039201</v>
      </c>
      <c r="C4556" s="3">
        <v>2.2352610011280998</v>
      </c>
      <c r="D4556" s="3">
        <v>0.68079241960100101</v>
      </c>
      <c r="E4556" s="3">
        <v>3.2833224001497299</v>
      </c>
      <c r="F4556" s="3">
        <v>1.0259126430381901E-3</v>
      </c>
      <c r="G4556" s="3">
        <v>4.5158387374574496E-3</v>
      </c>
      <c r="H4556" s="3" t="str">
        <f>"NPIPB8"</f>
        <v>NPIPB8</v>
      </c>
      <c r="I4556" s="3" t="str">
        <f>"protein_coding"</f>
        <v>protein_coding</v>
      </c>
    </row>
    <row r="4557" spans="1:9" x14ac:dyDescent="0.2">
      <c r="A4557" s="3" t="str">
        <f>"ENSG00000196993.8"</f>
        <v>ENSG00000196993.8</v>
      </c>
      <c r="B4557" s="3">
        <v>143.955307509048</v>
      </c>
      <c r="C4557" s="3">
        <v>1.73450328010778</v>
      </c>
      <c r="D4557" s="3">
        <v>0.33965277456689502</v>
      </c>
      <c r="E4557" s="3">
        <v>5.1066954548494898</v>
      </c>
      <c r="F4557" s="4">
        <v>3.2784148234631501E-7</v>
      </c>
      <c r="G4557" s="4">
        <v>3.04974287111302E-6</v>
      </c>
      <c r="H4557" s="3" t="str">
        <f>"NPIPB9"</f>
        <v>NPIPB9</v>
      </c>
      <c r="I4557" s="3" t="str">
        <f>"protein_coding"</f>
        <v>protein_coding</v>
      </c>
    </row>
    <row r="4558" spans="1:9" x14ac:dyDescent="0.2">
      <c r="A4558" s="3" t="str">
        <f>"ENSG00000168488.18"</f>
        <v>ENSG00000168488.18</v>
      </c>
      <c r="B4558" s="3">
        <v>11016.285561516701</v>
      </c>
      <c r="C4558" s="3">
        <v>-1.0208370465841301</v>
      </c>
      <c r="D4558" s="3">
        <v>0.19169721479681401</v>
      </c>
      <c r="E4558" s="3">
        <v>-5.32525758220405</v>
      </c>
      <c r="F4558" s="4">
        <v>1.0081008028255899E-7</v>
      </c>
      <c r="G4558" s="4">
        <v>1.02311811125609E-6</v>
      </c>
      <c r="H4558" s="3" t="str">
        <f>"ATXN2L"</f>
        <v>ATXN2L</v>
      </c>
      <c r="I4558" s="3" t="str">
        <f>"protein_coding"</f>
        <v>protein_coding</v>
      </c>
    </row>
    <row r="4559" spans="1:9" x14ac:dyDescent="0.2">
      <c r="A4559" s="3" t="str">
        <f>"ENSG00000177455.13"</f>
        <v>ENSG00000177455.13</v>
      </c>
      <c r="B4559" s="3">
        <v>32.7650208929551</v>
      </c>
      <c r="C4559" s="3">
        <v>-2.2184433225569098</v>
      </c>
      <c r="D4559" s="3">
        <v>0.65386924165646498</v>
      </c>
      <c r="E4559" s="3">
        <v>-3.3927935147046702</v>
      </c>
      <c r="F4559" s="3">
        <v>6.9183767883850998E-4</v>
      </c>
      <c r="G4559" s="3">
        <v>3.2042327444013101E-3</v>
      </c>
      <c r="H4559" s="3" t="str">
        <f>"CD19"</f>
        <v>CD19</v>
      </c>
      <c r="I4559" s="3" t="str">
        <f>"protein_coding"</f>
        <v>protein_coding</v>
      </c>
    </row>
    <row r="4560" spans="1:9" x14ac:dyDescent="0.2">
      <c r="A4560" s="3" t="str">
        <f>"ENSG00000279106.1"</f>
        <v>ENSG00000279106.1</v>
      </c>
      <c r="B4560" s="3">
        <v>7.93250877125499</v>
      </c>
      <c r="C4560" s="3">
        <v>4.8884098159768801</v>
      </c>
      <c r="D4560" s="3">
        <v>1.8158605958714999</v>
      </c>
      <c r="E4560" s="3">
        <v>2.69206228005116</v>
      </c>
      <c r="F4560" s="3">
        <v>7.1011683071362103E-3</v>
      </c>
      <c r="G4560" s="3">
        <v>2.3913673571195199E-2</v>
      </c>
      <c r="H4560" s="3" t="str">
        <f>"AC009093.7"</f>
        <v>AC009093.7</v>
      </c>
      <c r="I4560" s="3" t="str">
        <f>"TEC"</f>
        <v>TEC</v>
      </c>
    </row>
    <row r="4561" spans="1:9" x14ac:dyDescent="0.2">
      <c r="A4561" s="3" t="str">
        <f>"ENSG00000277999.1"</f>
        <v>ENSG00000277999.1</v>
      </c>
      <c r="B4561" s="3">
        <v>105.59940758185</v>
      </c>
      <c r="C4561" s="3">
        <v>1.37261365524902</v>
      </c>
      <c r="D4561" s="3">
        <v>0.36687960141878001</v>
      </c>
      <c r="E4561" s="3">
        <v>3.7413190865365999</v>
      </c>
      <c r="F4561" s="3">
        <v>1.83056928141601E-4</v>
      </c>
      <c r="G4561" s="3">
        <v>9.8513768932929208E-4</v>
      </c>
      <c r="H4561" s="3" t="str">
        <f>"AC009093.6"</f>
        <v>AC009093.6</v>
      </c>
      <c r="I4561" s="3" t="str">
        <f>"lincRNA"</f>
        <v>lincRNA</v>
      </c>
    </row>
    <row r="4562" spans="1:9" x14ac:dyDescent="0.2">
      <c r="A4562" s="3" t="str">
        <f>"ENSG00000198106.8"</f>
        <v>ENSG00000198106.8</v>
      </c>
      <c r="B4562" s="3">
        <v>31.610901014268499</v>
      </c>
      <c r="C4562" s="3">
        <v>2.0379392084300298</v>
      </c>
      <c r="D4562" s="3">
        <v>0.644335520300788</v>
      </c>
      <c r="E4562" s="3">
        <v>3.1628540476531302</v>
      </c>
      <c r="F4562" s="3">
        <v>1.56230636147788E-3</v>
      </c>
      <c r="G4562" s="3">
        <v>6.5078980937452796E-3</v>
      </c>
      <c r="H4562" s="3" t="str">
        <f>"AC025279.1"</f>
        <v>AC025279.1</v>
      </c>
      <c r="I4562" s="3" t="str">
        <f>"processed_transcript"</f>
        <v>processed_transcript</v>
      </c>
    </row>
    <row r="4563" spans="1:9" x14ac:dyDescent="0.2">
      <c r="A4563" s="3" t="str">
        <f>"ENSG00000271699.5"</f>
        <v>ENSG00000271699.5</v>
      </c>
      <c r="B4563" s="3">
        <v>19.4804815265461</v>
      </c>
      <c r="C4563" s="3">
        <v>3.2927797033496402</v>
      </c>
      <c r="D4563" s="3">
        <v>0.92026114336674603</v>
      </c>
      <c r="E4563" s="3">
        <v>3.5780927262701798</v>
      </c>
      <c r="F4563" s="3">
        <v>3.4611066997153398E-4</v>
      </c>
      <c r="G4563" s="3">
        <v>1.7287767964646E-3</v>
      </c>
      <c r="H4563" s="3" t="str">
        <f>"SNX29P2"</f>
        <v>SNX29P2</v>
      </c>
      <c r="I4563" s="3" t="str">
        <f>"transcribed_unprocessed_pseudogene"</f>
        <v>transcribed_unprocessed_pseudogene</v>
      </c>
    </row>
    <row r="4564" spans="1:9" x14ac:dyDescent="0.2">
      <c r="A4564" s="3" t="str">
        <f>"ENSG00000254206.5"</f>
        <v>ENSG00000254206.5</v>
      </c>
      <c r="B4564" s="3">
        <v>438.31893846152599</v>
      </c>
      <c r="C4564" s="3">
        <v>2.58532712441504</v>
      </c>
      <c r="D4564" s="3">
        <v>0.26402500728574002</v>
      </c>
      <c r="E4564" s="3">
        <v>9.7919782333992398</v>
      </c>
      <c r="F4564" s="4">
        <v>1.21887442057348E-22</v>
      </c>
      <c r="G4564" s="4">
        <v>5.7161224332815002E-21</v>
      </c>
      <c r="H4564" s="3" t="str">
        <f>"NPIPB11"</f>
        <v>NPIPB11</v>
      </c>
      <c r="I4564" s="3" t="str">
        <f>"protein_coding"</f>
        <v>protein_coding</v>
      </c>
    </row>
    <row r="4565" spans="1:9" x14ac:dyDescent="0.2">
      <c r="A4565" s="3" t="str">
        <f>"ENSG00000254634.4"</f>
        <v>ENSG00000254634.4</v>
      </c>
      <c r="B4565" s="3">
        <v>153.58833922286101</v>
      </c>
      <c r="C4565" s="3">
        <v>1.2346721330641199</v>
      </c>
      <c r="D4565" s="3">
        <v>0.37212363125994502</v>
      </c>
      <c r="E4565" s="3">
        <v>3.3179084297434698</v>
      </c>
      <c r="F4565" s="3">
        <v>9.0694212040674403E-4</v>
      </c>
      <c r="G4565" s="3">
        <v>4.0503936985285304E-3</v>
      </c>
      <c r="H4565" s="3" t="str">
        <f>"SMG1P6"</f>
        <v>SMG1P6</v>
      </c>
      <c r="I4565" s="3" t="str">
        <f>"unprocessed_pseudogene"</f>
        <v>unprocessed_pseudogene</v>
      </c>
    </row>
    <row r="4566" spans="1:9" x14ac:dyDescent="0.2">
      <c r="A4566" s="3" t="str">
        <f>"ENSG00000169203.16"</f>
        <v>ENSG00000169203.16</v>
      </c>
      <c r="B4566" s="3">
        <v>763.72042811614006</v>
      </c>
      <c r="C4566" s="3">
        <v>1.55131382431523</v>
      </c>
      <c r="D4566" s="3">
        <v>0.22097635527412299</v>
      </c>
      <c r="E4566" s="3">
        <v>7.0202706637586196</v>
      </c>
      <c r="F4566" s="4">
        <v>2.2143885284539599E-12</v>
      </c>
      <c r="G4566" s="4">
        <v>4.20163260687919E-11</v>
      </c>
      <c r="H4566" s="3" t="str">
        <f>"NPIPB12"</f>
        <v>NPIPB12</v>
      </c>
      <c r="I4566" s="3" t="str">
        <f t="shared" ref="I4566:I4577" si="212">"protein_coding"</f>
        <v>protein_coding</v>
      </c>
    </row>
    <row r="4567" spans="1:9" x14ac:dyDescent="0.2">
      <c r="A4567" s="3" t="str">
        <f>"ENSG00000197471.12"</f>
        <v>ENSG00000197471.12</v>
      </c>
      <c r="B4567" s="3">
        <v>489.53772700645601</v>
      </c>
      <c r="C4567" s="3">
        <v>2.87604245497426</v>
      </c>
      <c r="D4567" s="3">
        <v>0.24846644846413099</v>
      </c>
      <c r="E4567" s="3">
        <v>11.5751743253554</v>
      </c>
      <c r="F4567" s="4">
        <v>5.5059228110646504E-31</v>
      </c>
      <c r="G4567" s="4">
        <v>4.6475683189641401E-29</v>
      </c>
      <c r="H4567" s="3" t="str">
        <f>"SPN"</f>
        <v>SPN</v>
      </c>
      <c r="I4567" s="3" t="str">
        <f t="shared" si="212"/>
        <v>protein_coding</v>
      </c>
    </row>
    <row r="4568" spans="1:9" x14ac:dyDescent="0.2">
      <c r="A4568" s="3" t="str">
        <f>"ENSG00000103495.14"</f>
        <v>ENSG00000103495.14</v>
      </c>
      <c r="B4568" s="3">
        <v>7712.6256554113397</v>
      </c>
      <c r="C4568" s="3">
        <v>-2.0826559244029599</v>
      </c>
      <c r="D4568" s="3">
        <v>0.21988901197747299</v>
      </c>
      <c r="E4568" s="3">
        <v>-9.4713960723800206</v>
      </c>
      <c r="F4568" s="4">
        <v>2.7612817012091302E-21</v>
      </c>
      <c r="G4568" s="4">
        <v>1.19045320431717E-19</v>
      </c>
      <c r="H4568" s="3" t="str">
        <f>"MAZ"</f>
        <v>MAZ</v>
      </c>
      <c r="I4568" s="3" t="str">
        <f t="shared" si="212"/>
        <v>protein_coding</v>
      </c>
    </row>
    <row r="4569" spans="1:9" x14ac:dyDescent="0.2">
      <c r="A4569" s="3" t="str">
        <f>"ENSG00000013364.19"</f>
        <v>ENSG00000013364.19</v>
      </c>
      <c r="B4569" s="3">
        <v>1222.7314720335701</v>
      </c>
      <c r="C4569" s="3">
        <v>1.51258161715248</v>
      </c>
      <c r="D4569" s="3">
        <v>0.207496772986936</v>
      </c>
      <c r="E4569" s="3">
        <v>7.2896633300784499</v>
      </c>
      <c r="F4569" s="4">
        <v>3.10730526281806E-13</v>
      </c>
      <c r="G4569" s="4">
        <v>6.5631586431010501E-12</v>
      </c>
      <c r="H4569" s="3" t="str">
        <f>"MVP"</f>
        <v>MVP</v>
      </c>
      <c r="I4569" s="3" t="str">
        <f t="shared" si="212"/>
        <v>protein_coding</v>
      </c>
    </row>
    <row r="4570" spans="1:9" x14ac:dyDescent="0.2">
      <c r="A4570" s="3" t="str">
        <f>"ENSG00000174939.11"</f>
        <v>ENSG00000174939.11</v>
      </c>
      <c r="B4570" s="3">
        <v>549.27862697156399</v>
      </c>
      <c r="C4570" s="3">
        <v>-1.76278159769764</v>
      </c>
      <c r="D4570" s="3">
        <v>0.23383948835818499</v>
      </c>
      <c r="E4570" s="3">
        <v>-7.5384256528884004</v>
      </c>
      <c r="F4570" s="4">
        <v>4.7567904401420699E-14</v>
      </c>
      <c r="G4570" s="4">
        <v>1.0892101377934599E-12</v>
      </c>
      <c r="H4570" s="3" t="str">
        <f>"ASPHD1"</f>
        <v>ASPHD1</v>
      </c>
      <c r="I4570" s="3" t="str">
        <f t="shared" si="212"/>
        <v>protein_coding</v>
      </c>
    </row>
    <row r="4571" spans="1:9" x14ac:dyDescent="0.2">
      <c r="A4571" s="3" t="str">
        <f>"ENSG00000149926.13"</f>
        <v>ENSG00000149926.13</v>
      </c>
      <c r="B4571" s="3">
        <v>7.56428404140431</v>
      </c>
      <c r="C4571" s="3">
        <v>3.7723966223521002</v>
      </c>
      <c r="D4571" s="3">
        <v>1.50666124825488</v>
      </c>
      <c r="E4571" s="3">
        <v>2.50381207236966</v>
      </c>
      <c r="F4571" s="3">
        <v>1.22863274533834E-2</v>
      </c>
      <c r="G4571" s="3">
        <v>3.7758353724603698E-2</v>
      </c>
      <c r="H4571" s="3" t="str">
        <f>"FAM57B"</f>
        <v>FAM57B</v>
      </c>
      <c r="I4571" s="3" t="str">
        <f t="shared" si="212"/>
        <v>protein_coding</v>
      </c>
    </row>
    <row r="4572" spans="1:9" x14ac:dyDescent="0.2">
      <c r="A4572" s="3" t="str">
        <f>"ENSG00000285043.1"</f>
        <v>ENSG00000285043.1</v>
      </c>
      <c r="B4572" s="3">
        <v>34.740584890606598</v>
      </c>
      <c r="C4572" s="3">
        <v>-2.02119889874644</v>
      </c>
      <c r="D4572" s="3">
        <v>0.684277418504456</v>
      </c>
      <c r="E4572" s="3">
        <v>-2.9537711520043</v>
      </c>
      <c r="F4572" s="3">
        <v>3.1391669795247301E-3</v>
      </c>
      <c r="G4572" s="3">
        <v>1.19093403914105E-2</v>
      </c>
      <c r="H4572" s="3" t="str">
        <f>"AC093512.2"</f>
        <v>AC093512.2</v>
      </c>
      <c r="I4572" s="3" t="str">
        <f t="shared" si="212"/>
        <v>protein_coding</v>
      </c>
    </row>
    <row r="4573" spans="1:9" x14ac:dyDescent="0.2">
      <c r="A4573" s="3" t="str">
        <f>"ENSG00000090238.11"</f>
        <v>ENSG00000090238.11</v>
      </c>
      <c r="B4573" s="3">
        <v>1071.45165181382</v>
      </c>
      <c r="C4573" s="3">
        <v>2.3310528988656301</v>
      </c>
      <c r="D4573" s="3">
        <v>0.21756354558441501</v>
      </c>
      <c r="E4573" s="3">
        <v>10.714354248107099</v>
      </c>
      <c r="F4573" s="4">
        <v>8.7163392834091705E-27</v>
      </c>
      <c r="G4573" s="4">
        <v>5.4722142040334002E-25</v>
      </c>
      <c r="H4573" s="3" t="str">
        <f>"YPEL3"</f>
        <v>YPEL3</v>
      </c>
      <c r="I4573" s="3" t="str">
        <f t="shared" si="212"/>
        <v>protein_coding</v>
      </c>
    </row>
    <row r="4574" spans="1:9" x14ac:dyDescent="0.2">
      <c r="A4574" s="3" t="str">
        <f>"ENSG00000102882.12"</f>
        <v>ENSG00000102882.12</v>
      </c>
      <c r="B4574" s="3">
        <v>1521.44431425019</v>
      </c>
      <c r="C4574" s="3">
        <v>-1.0805206353779999</v>
      </c>
      <c r="D4574" s="3">
        <v>0.22130618959874501</v>
      </c>
      <c r="E4574" s="3">
        <v>-4.8824691136615597</v>
      </c>
      <c r="F4574" s="4">
        <v>1.0476565311596599E-6</v>
      </c>
      <c r="G4574" s="4">
        <v>8.9512378502688294E-6</v>
      </c>
      <c r="H4574" s="3" t="str">
        <f>"MAPK3"</f>
        <v>MAPK3</v>
      </c>
      <c r="I4574" s="3" t="str">
        <f t="shared" si="212"/>
        <v>protein_coding</v>
      </c>
    </row>
    <row r="4575" spans="1:9" x14ac:dyDescent="0.2">
      <c r="A4575" s="3" t="str">
        <f>"ENSG00000261052.5"</f>
        <v>ENSG00000261052.5</v>
      </c>
      <c r="B4575" s="3">
        <v>79.315139621612303</v>
      </c>
      <c r="C4575" s="3">
        <v>1.12113182633793</v>
      </c>
      <c r="D4575" s="3">
        <v>0.41592945754308902</v>
      </c>
      <c r="E4575" s="3">
        <v>2.6954855108375901</v>
      </c>
      <c r="F4575" s="3">
        <v>7.0286134547219896E-3</v>
      </c>
      <c r="G4575" s="3">
        <v>2.3704496942791201E-2</v>
      </c>
      <c r="H4575" s="3" t="str">
        <f>"SULT1A3"</f>
        <v>SULT1A3</v>
      </c>
      <c r="I4575" s="3" t="str">
        <f t="shared" si="212"/>
        <v>protein_coding</v>
      </c>
    </row>
    <row r="4576" spans="1:9" x14ac:dyDescent="0.2">
      <c r="A4576" s="3" t="str">
        <f>"ENSG00000198064.13"</f>
        <v>ENSG00000198064.13</v>
      </c>
      <c r="B4576" s="3">
        <v>238.473661470292</v>
      </c>
      <c r="C4576" s="3">
        <v>1.5268247593545301</v>
      </c>
      <c r="D4576" s="3">
        <v>0.274447122564141</v>
      </c>
      <c r="E4576" s="3">
        <v>5.5632747943921199</v>
      </c>
      <c r="F4576" s="4">
        <v>2.6475847631276701E-8</v>
      </c>
      <c r="G4576" s="4">
        <v>2.96745133858246E-7</v>
      </c>
      <c r="H4576" s="3" t="str">
        <f>"NPIPB13"</f>
        <v>NPIPB13</v>
      </c>
      <c r="I4576" s="3" t="str">
        <f t="shared" si="212"/>
        <v>protein_coding</v>
      </c>
    </row>
    <row r="4577" spans="1:9" x14ac:dyDescent="0.2">
      <c r="A4577" s="3" t="str">
        <f>"ENSG00000179965.11"</f>
        <v>ENSG00000179965.11</v>
      </c>
      <c r="B4577" s="3">
        <v>248.53931602255699</v>
      </c>
      <c r="C4577" s="3">
        <v>-1.0644330481050901</v>
      </c>
      <c r="D4577" s="3">
        <v>0.27716869717480103</v>
      </c>
      <c r="E4577" s="3">
        <v>-3.8403797360774301</v>
      </c>
      <c r="F4577" s="3">
        <v>1.2284414170396599E-4</v>
      </c>
      <c r="G4577" s="3">
        <v>6.8998852381116696E-4</v>
      </c>
      <c r="H4577" s="3" t="str">
        <f>"ZNF771"</f>
        <v>ZNF771</v>
      </c>
      <c r="I4577" s="3" t="str">
        <f t="shared" si="212"/>
        <v>protein_coding</v>
      </c>
    </row>
    <row r="4578" spans="1:9" x14ac:dyDescent="0.2">
      <c r="A4578" s="3" t="str">
        <f>"ENSG00000199787.1"</f>
        <v>ENSG00000199787.1</v>
      </c>
      <c r="B4578" s="3">
        <v>19.6494000130442</v>
      </c>
      <c r="C4578" s="3">
        <v>-1.97645214502711</v>
      </c>
      <c r="D4578" s="3">
        <v>0.80287607118947601</v>
      </c>
      <c r="E4578" s="3">
        <v>-2.4617150964518801</v>
      </c>
      <c r="F4578" s="3">
        <v>1.3827445716249E-2</v>
      </c>
      <c r="G4578" s="3">
        <v>4.1741237916090898E-2</v>
      </c>
      <c r="H4578" s="3" t="str">
        <f>"SNORA80C"</f>
        <v>SNORA80C</v>
      </c>
      <c r="I4578" s="3" t="str">
        <f>"snoRNA"</f>
        <v>snoRNA</v>
      </c>
    </row>
    <row r="4579" spans="1:9" x14ac:dyDescent="0.2">
      <c r="A4579" s="3" t="str">
        <f>"ENSG00000179958.8"</f>
        <v>ENSG00000179958.8</v>
      </c>
      <c r="B4579" s="3">
        <v>1898.2370798477</v>
      </c>
      <c r="C4579" s="3">
        <v>-1.5693358092466601</v>
      </c>
      <c r="D4579" s="3">
        <v>0.21660467698969499</v>
      </c>
      <c r="E4579" s="3">
        <v>-7.2451612359289896</v>
      </c>
      <c r="F4579" s="4">
        <v>4.3192506243466302E-13</v>
      </c>
      <c r="G4579" s="4">
        <v>8.9837115848528799E-12</v>
      </c>
      <c r="H4579" s="3" t="str">
        <f>"DCTPP1"</f>
        <v>DCTPP1</v>
      </c>
      <c r="I4579" s="3" t="str">
        <f>"protein_coding"</f>
        <v>protein_coding</v>
      </c>
    </row>
    <row r="4580" spans="1:9" x14ac:dyDescent="0.2">
      <c r="A4580" s="3" t="str">
        <f>"ENSG00000179918.18"</f>
        <v>ENSG00000179918.18</v>
      </c>
      <c r="B4580" s="3">
        <v>6493.2955865794302</v>
      </c>
      <c r="C4580" s="3">
        <v>-1.2432149309885301</v>
      </c>
      <c r="D4580" s="3">
        <v>0.194883048566623</v>
      </c>
      <c r="E4580" s="3">
        <v>-6.3792871680346801</v>
      </c>
      <c r="F4580" s="4">
        <v>1.7791414910169301E-10</v>
      </c>
      <c r="G4580" s="4">
        <v>2.6694021084872302E-9</v>
      </c>
      <c r="H4580" s="3" t="str">
        <f>"SEPHS2"</f>
        <v>SEPHS2</v>
      </c>
      <c r="I4580" s="3" t="str">
        <f>"protein_coding"</f>
        <v>protein_coding</v>
      </c>
    </row>
    <row r="4581" spans="1:9" x14ac:dyDescent="0.2">
      <c r="A4581" s="3" t="str">
        <f>"ENSG00000169957.10"</f>
        <v>ENSG00000169957.10</v>
      </c>
      <c r="B4581" s="3">
        <v>1343.93666480713</v>
      </c>
      <c r="C4581" s="3">
        <v>-1.23059772629624</v>
      </c>
      <c r="D4581" s="3">
        <v>0.203263801159835</v>
      </c>
      <c r="E4581" s="3">
        <v>-6.0541902654303197</v>
      </c>
      <c r="F4581" s="4">
        <v>1.4112572949180601E-9</v>
      </c>
      <c r="G4581" s="4">
        <v>1.8812391151972801E-8</v>
      </c>
      <c r="H4581" s="3" t="str">
        <f>"ZNF768"</f>
        <v>ZNF768</v>
      </c>
      <c r="I4581" s="3" t="str">
        <f>"protein_coding"</f>
        <v>protein_coding</v>
      </c>
    </row>
    <row r="4582" spans="1:9" x14ac:dyDescent="0.2">
      <c r="A4582" s="3" t="str">
        <f>"ENSG00000260494.1"</f>
        <v>ENSG00000260494.1</v>
      </c>
      <c r="B4582" s="3">
        <v>3.8773190259750199</v>
      </c>
      <c r="C4582" s="3">
        <v>-5.4693109414296304</v>
      </c>
      <c r="D4582" s="3">
        <v>2.1745643260661498</v>
      </c>
      <c r="E4582" s="3">
        <v>-2.5151295254271799</v>
      </c>
      <c r="F4582" s="3">
        <v>1.1898865985938501E-2</v>
      </c>
      <c r="G4582" s="3">
        <v>3.6762490250466802E-2</v>
      </c>
      <c r="H4582" s="3" t="str">
        <f>"AC002310.3"</f>
        <v>AC002310.3</v>
      </c>
      <c r="I4582" s="3" t="str">
        <f>"unprocessed_pseudogene"</f>
        <v>unprocessed_pseudogene</v>
      </c>
    </row>
    <row r="4583" spans="1:9" x14ac:dyDescent="0.2">
      <c r="A4583" s="3" t="str">
        <f>"ENSG00000280211.1"</f>
        <v>ENSG00000280211.1</v>
      </c>
      <c r="B4583" s="3">
        <v>20.4126581026742</v>
      </c>
      <c r="C4583" s="3">
        <v>-2.6065963526160698</v>
      </c>
      <c r="D4583" s="3">
        <v>0.81409728501249001</v>
      </c>
      <c r="E4583" s="3">
        <v>-3.2018241561585299</v>
      </c>
      <c r="F4583" s="3">
        <v>1.3656033190803201E-3</v>
      </c>
      <c r="G4583" s="3">
        <v>5.79482847453379E-3</v>
      </c>
      <c r="H4583" s="3" t="str">
        <f>"AC106886.4"</f>
        <v>AC106886.4</v>
      </c>
      <c r="I4583" s="3" t="str">
        <f>"TEC"</f>
        <v>TEC</v>
      </c>
    </row>
    <row r="4584" spans="1:9" x14ac:dyDescent="0.2">
      <c r="A4584" s="3" t="str">
        <f>"ENSG00000260083.1"</f>
        <v>ENSG00000260083.1</v>
      </c>
      <c r="B4584" s="3">
        <v>89.988689458778595</v>
      </c>
      <c r="C4584" s="3">
        <v>-1.03400397997119</v>
      </c>
      <c r="D4584" s="3">
        <v>0.38509138705641899</v>
      </c>
      <c r="E4584" s="3">
        <v>-2.6850872668821899</v>
      </c>
      <c r="F4584" s="3">
        <v>7.2510870767502197E-3</v>
      </c>
      <c r="G4584" s="3">
        <v>2.42715441744734E-2</v>
      </c>
      <c r="H4584" s="3" t="str">
        <f>"MIR762HG"</f>
        <v>MIR762HG</v>
      </c>
      <c r="I4584" s="3" t="str">
        <f>"antisense"</f>
        <v>antisense</v>
      </c>
    </row>
    <row r="4585" spans="1:9" x14ac:dyDescent="0.2">
      <c r="A4585" s="3" t="str">
        <f>"ENSG00000150281.6"</f>
        <v>ENSG00000150281.6</v>
      </c>
      <c r="B4585" s="3">
        <v>44.5785921484851</v>
      </c>
      <c r="C4585" s="3">
        <v>1.6347545546542599</v>
      </c>
      <c r="D4585" s="3">
        <v>0.55092612210179703</v>
      </c>
      <c r="E4585" s="3">
        <v>2.9672845215936299</v>
      </c>
      <c r="F4585" s="3">
        <v>3.0044279215076901E-3</v>
      </c>
      <c r="G4585" s="3">
        <v>1.14668227451072E-2</v>
      </c>
      <c r="H4585" s="3" t="str">
        <f>"CTF1"</f>
        <v>CTF1</v>
      </c>
      <c r="I4585" s="3" t="str">
        <f>"protein_coding"</f>
        <v>protein_coding</v>
      </c>
    </row>
    <row r="4586" spans="1:9" x14ac:dyDescent="0.2">
      <c r="A4586" s="3" t="str">
        <f>"ENSG00000260852.1"</f>
        <v>ENSG00000260852.1</v>
      </c>
      <c r="B4586" s="3">
        <v>470.31243374955102</v>
      </c>
      <c r="C4586" s="3">
        <v>-1.2192766642022299</v>
      </c>
      <c r="D4586" s="3">
        <v>0.23304496360020699</v>
      </c>
      <c r="E4586" s="3">
        <v>-5.2319374139915702</v>
      </c>
      <c r="F4586" s="4">
        <v>1.6774254944777899E-7</v>
      </c>
      <c r="G4586" s="4">
        <v>1.64110637156324E-6</v>
      </c>
      <c r="H4586" s="3" t="str">
        <f>"FBXL19-AS1"</f>
        <v>FBXL19-AS1</v>
      </c>
      <c r="I4586" s="3" t="str">
        <f>"antisense"</f>
        <v>antisense</v>
      </c>
    </row>
    <row r="4587" spans="1:9" x14ac:dyDescent="0.2">
      <c r="A4587" s="3" t="str">
        <f>"ENSG00000099364.16"</f>
        <v>ENSG00000099364.16</v>
      </c>
      <c r="B4587" s="3">
        <v>1197.13978586383</v>
      </c>
      <c r="C4587" s="3">
        <v>-1.1445909210326699</v>
      </c>
      <c r="D4587" s="3">
        <v>0.21554896612614499</v>
      </c>
      <c r="E4587" s="3">
        <v>-5.31012020889409</v>
      </c>
      <c r="F4587" s="4">
        <v>1.09552952532322E-7</v>
      </c>
      <c r="G4587" s="4">
        <v>1.1063711258888699E-6</v>
      </c>
      <c r="H4587" s="3" t="str">
        <f>"FBXL19"</f>
        <v>FBXL19</v>
      </c>
      <c r="I4587" s="3" t="str">
        <f>"protein_coding"</f>
        <v>protein_coding</v>
      </c>
    </row>
    <row r="4588" spans="1:9" x14ac:dyDescent="0.2">
      <c r="A4588" s="3" t="str">
        <f>"ENSG00000175938.7"</f>
        <v>ENSG00000175938.7</v>
      </c>
      <c r="B4588" s="3">
        <v>710.12573221132197</v>
      </c>
      <c r="C4588" s="3">
        <v>3.0259850579287502</v>
      </c>
      <c r="D4588" s="3">
        <v>0.23055860500113201</v>
      </c>
      <c r="E4588" s="3">
        <v>13.1245808757122</v>
      </c>
      <c r="F4588" s="4">
        <v>2.3809638770977799E-39</v>
      </c>
      <c r="G4588" s="4">
        <v>3.1492292601593802E-37</v>
      </c>
      <c r="H4588" s="3" t="str">
        <f>"ORAI3"</f>
        <v>ORAI3</v>
      </c>
      <c r="I4588" s="3" t="str">
        <f>"protein_coding"</f>
        <v>protein_coding</v>
      </c>
    </row>
    <row r="4589" spans="1:9" x14ac:dyDescent="0.2">
      <c r="A4589" s="3" t="str">
        <f>"ENSG00000279196.1"</f>
        <v>ENSG00000279196.1</v>
      </c>
      <c r="B4589" s="3">
        <v>40.954219314719602</v>
      </c>
      <c r="C4589" s="3">
        <v>3.3594579554254498</v>
      </c>
      <c r="D4589" s="3">
        <v>0.69315397577961102</v>
      </c>
      <c r="E4589" s="3">
        <v>4.8466258188117104</v>
      </c>
      <c r="F4589" s="4">
        <v>1.2557895807905001E-6</v>
      </c>
      <c r="G4589" s="4">
        <v>1.05671706941935E-5</v>
      </c>
      <c r="H4589" s="3" t="str">
        <f>"AC135048.4"</f>
        <v>AC135048.4</v>
      </c>
      <c r="I4589" s="3" t="str">
        <f>"TEC"</f>
        <v>TEC</v>
      </c>
    </row>
    <row r="4590" spans="1:9" x14ac:dyDescent="0.2">
      <c r="A4590" s="3" t="str">
        <f>"ENSG00000099365.11"</f>
        <v>ENSG00000099365.11</v>
      </c>
      <c r="B4590" s="3">
        <v>479.758294273074</v>
      </c>
      <c r="C4590" s="3">
        <v>2.79367509061175</v>
      </c>
      <c r="D4590" s="3">
        <v>0.24612987601762701</v>
      </c>
      <c r="E4590" s="3">
        <v>11.350410343568701</v>
      </c>
      <c r="F4590" s="4">
        <v>7.3815463852897205E-30</v>
      </c>
      <c r="G4590" s="4">
        <v>5.7137782488633202E-28</v>
      </c>
      <c r="H4590" s="3" t="str">
        <f>"STX1B"</f>
        <v>STX1B</v>
      </c>
      <c r="I4590" s="3" t="str">
        <f>"protein_coding"</f>
        <v>protein_coding</v>
      </c>
    </row>
    <row r="4591" spans="1:9" x14ac:dyDescent="0.2">
      <c r="A4591" s="3" t="str">
        <f>"ENSG00000151006.7"</f>
        <v>ENSG00000151006.7</v>
      </c>
      <c r="B4591" s="3">
        <v>68.993086687524098</v>
      </c>
      <c r="C4591" s="3">
        <v>-1.9037927575486899</v>
      </c>
      <c r="D4591" s="3">
        <v>0.45066798328122798</v>
      </c>
      <c r="E4591" s="3">
        <v>-4.2243798720457901</v>
      </c>
      <c r="F4591" s="4">
        <v>2.3959961267390901E-5</v>
      </c>
      <c r="G4591" s="3">
        <v>1.5674359295380499E-4</v>
      </c>
      <c r="H4591" s="3" t="str">
        <f>"PRSS53"</f>
        <v>PRSS53</v>
      </c>
      <c r="I4591" s="3" t="str">
        <f>"protein_coding"</f>
        <v>protein_coding</v>
      </c>
    </row>
    <row r="4592" spans="1:9" x14ac:dyDescent="0.2">
      <c r="A4592" s="3" t="str">
        <f>"ENSG00000167397.15"</f>
        <v>ENSG00000167397.15</v>
      </c>
      <c r="B4592" s="3">
        <v>416.81072108177398</v>
      </c>
      <c r="C4592" s="3">
        <v>-1.6771925786188999</v>
      </c>
      <c r="D4592" s="3">
        <v>0.25541802467194802</v>
      </c>
      <c r="E4592" s="3">
        <v>-6.5664613167886001</v>
      </c>
      <c r="F4592" s="4">
        <v>5.1525024605948397E-11</v>
      </c>
      <c r="G4592" s="4">
        <v>8.3416657482963499E-10</v>
      </c>
      <c r="H4592" s="3" t="str">
        <f>"VKORC1"</f>
        <v>VKORC1</v>
      </c>
      <c r="I4592" s="3" t="str">
        <f>"protein_coding"</f>
        <v>protein_coding</v>
      </c>
    </row>
    <row r="4593" spans="1:9" x14ac:dyDescent="0.2">
      <c r="A4593" s="3" t="str">
        <f>"ENSG00000103490.14"</f>
        <v>ENSG00000103490.14</v>
      </c>
      <c r="B4593" s="3">
        <v>327.84772339955202</v>
      </c>
      <c r="C4593" s="3">
        <v>1.3386187696133001</v>
      </c>
      <c r="D4593" s="3">
        <v>0.339816733257508</v>
      </c>
      <c r="E4593" s="3">
        <v>3.9392373553273798</v>
      </c>
      <c r="F4593" s="4">
        <v>8.1741031833421697E-5</v>
      </c>
      <c r="G4593" s="3">
        <v>4.7814467461683999E-4</v>
      </c>
      <c r="H4593" s="3" t="str">
        <f>"PYCARD"</f>
        <v>PYCARD</v>
      </c>
      <c r="I4593" s="3" t="str">
        <f>"protein_coding"</f>
        <v>protein_coding</v>
      </c>
    </row>
    <row r="4594" spans="1:9" x14ac:dyDescent="0.2">
      <c r="A4594" s="3" t="str">
        <f>"ENSG00000261359.2"</f>
        <v>ENSG00000261359.2</v>
      </c>
      <c r="B4594" s="3">
        <v>38.917537353432401</v>
      </c>
      <c r="C4594" s="3">
        <v>4.1579502853602301</v>
      </c>
      <c r="D4594" s="3">
        <v>0.72760395816454604</v>
      </c>
      <c r="E4594" s="3">
        <v>5.7145789803687697</v>
      </c>
      <c r="F4594" s="4">
        <v>1.09975962366623E-8</v>
      </c>
      <c r="G4594" s="4">
        <v>1.29783284790519E-7</v>
      </c>
      <c r="H4594" s="3" t="str">
        <f>"PYCARD-AS1"</f>
        <v>PYCARD-AS1</v>
      </c>
      <c r="I4594" s="3" t="str">
        <f>"antisense"</f>
        <v>antisense</v>
      </c>
    </row>
    <row r="4595" spans="1:9" x14ac:dyDescent="0.2">
      <c r="A4595" s="3" t="str">
        <f>"ENSG00000169896.17"</f>
        <v>ENSG00000169896.17</v>
      </c>
      <c r="B4595" s="3">
        <v>188.65835142063699</v>
      </c>
      <c r="C4595" s="3">
        <v>6.0296242875319299</v>
      </c>
      <c r="D4595" s="3">
        <v>0.53951971883941496</v>
      </c>
      <c r="E4595" s="3">
        <v>11.1759108647642</v>
      </c>
      <c r="F4595" s="4">
        <v>5.3498674733008999E-29</v>
      </c>
      <c r="G4595" s="4">
        <v>3.85629203822829E-27</v>
      </c>
      <c r="H4595" s="3" t="str">
        <f>"ITGAM"</f>
        <v>ITGAM</v>
      </c>
      <c r="I4595" s="3" t="str">
        <f>"protein_coding"</f>
        <v>protein_coding</v>
      </c>
    </row>
    <row r="4596" spans="1:9" x14ac:dyDescent="0.2">
      <c r="A4596" s="3" t="str">
        <f>"ENSG00000140678.16"</f>
        <v>ENSG00000140678.16</v>
      </c>
      <c r="B4596" s="3">
        <v>50.649576316400001</v>
      </c>
      <c r="C4596" s="3">
        <v>4.5615494330847097</v>
      </c>
      <c r="D4596" s="3">
        <v>0.70228806190010595</v>
      </c>
      <c r="E4596" s="3">
        <v>6.4952683671469602</v>
      </c>
      <c r="F4596" s="4">
        <v>8.2885524266306105E-11</v>
      </c>
      <c r="G4596" s="4">
        <v>1.3031632312083299E-9</v>
      </c>
      <c r="H4596" s="3" t="str">
        <f>"ITGAX"</f>
        <v>ITGAX</v>
      </c>
      <c r="I4596" s="3" t="str">
        <f>"protein_coding"</f>
        <v>protein_coding</v>
      </c>
    </row>
    <row r="4597" spans="1:9" x14ac:dyDescent="0.2">
      <c r="A4597" s="3" t="str">
        <f>"ENSG00000140691.16"</f>
        <v>ENSG00000140691.16</v>
      </c>
      <c r="B4597" s="3">
        <v>588.29136084651498</v>
      </c>
      <c r="C4597" s="3">
        <v>-1.88814024353208</v>
      </c>
      <c r="D4597" s="3">
        <v>0.22581892451258501</v>
      </c>
      <c r="E4597" s="3">
        <v>-8.3613020813357792</v>
      </c>
      <c r="F4597" s="4">
        <v>6.2029790345900095E-17</v>
      </c>
      <c r="G4597" s="4">
        <v>1.8370931495160199E-15</v>
      </c>
      <c r="H4597" s="3" t="str">
        <f>"ARMC5"</f>
        <v>ARMC5</v>
      </c>
      <c r="I4597" s="3" t="str">
        <f>"protein_coding"</f>
        <v>protein_coding</v>
      </c>
    </row>
    <row r="4598" spans="1:9" x14ac:dyDescent="0.2">
      <c r="A4598" s="3" t="str">
        <f>"ENSG00000140682.19"</f>
        <v>ENSG00000140682.19</v>
      </c>
      <c r="B4598" s="3">
        <v>212.265984504138</v>
      </c>
      <c r="C4598" s="3">
        <v>-1.26911219009333</v>
      </c>
      <c r="D4598" s="3">
        <v>0.31682704602037098</v>
      </c>
      <c r="E4598" s="3">
        <v>-4.00569397731193</v>
      </c>
      <c r="F4598" s="4">
        <v>6.1835664046792997E-5</v>
      </c>
      <c r="G4598" s="3">
        <v>3.7110932561298899E-4</v>
      </c>
      <c r="H4598" s="3" t="str">
        <f>"TGFB1I1"</f>
        <v>TGFB1I1</v>
      </c>
      <c r="I4598" s="3" t="str">
        <f>"protein_coding"</f>
        <v>protein_coding</v>
      </c>
    </row>
    <row r="4599" spans="1:9" x14ac:dyDescent="0.2">
      <c r="A4599" s="3" t="str">
        <f>"ENSG00000131797.12"</f>
        <v>ENSG00000131797.12</v>
      </c>
      <c r="B4599" s="3">
        <v>2366.76801496694</v>
      </c>
      <c r="C4599" s="3">
        <v>-1.05225405523632</v>
      </c>
      <c r="D4599" s="3">
        <v>0.23674990430022799</v>
      </c>
      <c r="E4599" s="3">
        <v>-4.4445806993946402</v>
      </c>
      <c r="F4599" s="4">
        <v>8.8063448549370905E-6</v>
      </c>
      <c r="G4599" s="4">
        <v>6.3461115647307805E-5</v>
      </c>
      <c r="H4599" s="3" t="str">
        <f>"CLUHP3"</f>
        <v>CLUHP3</v>
      </c>
      <c r="I4599" s="3" t="str">
        <f>"transcribed_unprocessed_pseudogene"</f>
        <v>transcribed_unprocessed_pseudogene</v>
      </c>
    </row>
    <row r="4600" spans="1:9" x14ac:dyDescent="0.2">
      <c r="A4600" s="3" t="str">
        <f>"ENSG00000276867.1"</f>
        <v>ENSG00000276867.1</v>
      </c>
      <c r="B4600" s="3">
        <v>51.391840979811697</v>
      </c>
      <c r="C4600" s="3">
        <v>-1.1846211045689701</v>
      </c>
      <c r="D4600" s="3">
        <v>0.49199909406242598</v>
      </c>
      <c r="E4600" s="3">
        <v>-2.40777090621769</v>
      </c>
      <c r="F4600" s="3">
        <v>1.6050249242234801E-2</v>
      </c>
      <c r="G4600" s="3">
        <v>4.71048191623408E-2</v>
      </c>
      <c r="H4600" s="3" t="str">
        <f>"AC074050.4"</f>
        <v>AC074050.4</v>
      </c>
      <c r="I4600" s="3" t="str">
        <f>"lincRNA"</f>
        <v>lincRNA</v>
      </c>
    </row>
    <row r="4601" spans="1:9" x14ac:dyDescent="0.2">
      <c r="A4601" s="3" t="str">
        <f>"ENSG00000260628.5"</f>
        <v>ENSG00000260628.5</v>
      </c>
      <c r="B4601" s="3">
        <v>35.93398474248</v>
      </c>
      <c r="C4601" s="3">
        <v>8.5640153555405902</v>
      </c>
      <c r="D4601" s="3">
        <v>1.5445323346719699</v>
      </c>
      <c r="E4601" s="3">
        <v>5.5447303777938997</v>
      </c>
      <c r="F4601" s="4">
        <v>2.94407473967005E-8</v>
      </c>
      <c r="G4601" s="4">
        <v>3.2741716094608098E-7</v>
      </c>
      <c r="H4601" s="3" t="str">
        <f>"AC142381.3"</f>
        <v>AC142381.3</v>
      </c>
      <c r="I4601" s="3" t="str">
        <f>"transcribed_unprocessed_pseudogene"</f>
        <v>transcribed_unprocessed_pseudogene</v>
      </c>
    </row>
    <row r="4602" spans="1:9" x14ac:dyDescent="0.2">
      <c r="A4602" s="3" t="str">
        <f>"ENSG00000259882.2"</f>
        <v>ENSG00000259882.2</v>
      </c>
      <c r="B4602" s="3">
        <v>7.0507710944016102</v>
      </c>
      <c r="C4602" s="3">
        <v>4.7102615103948198</v>
      </c>
      <c r="D4602" s="3">
        <v>1.8631750577920101</v>
      </c>
      <c r="E4602" s="3">
        <v>2.5280831721613901</v>
      </c>
      <c r="F4602" s="3">
        <v>1.14687179365504E-2</v>
      </c>
      <c r="G4602" s="3">
        <v>3.5643681717484797E-2</v>
      </c>
      <c r="H4602" s="3" t="str">
        <f>"AC142384.1"</f>
        <v>AC142384.1</v>
      </c>
      <c r="I4602" s="3" t="str">
        <f>"unprocessed_pseudogene"</f>
        <v>unprocessed_pseudogene</v>
      </c>
    </row>
    <row r="4603" spans="1:9" x14ac:dyDescent="0.2">
      <c r="A4603" s="3" t="str">
        <f>"ENSG00000261580.1"</f>
        <v>ENSG00000261580.1</v>
      </c>
      <c r="B4603" s="3">
        <v>19.8751735117227</v>
      </c>
      <c r="C4603" s="3">
        <v>3.5619890583581002</v>
      </c>
      <c r="D4603" s="3">
        <v>0.92448986970464397</v>
      </c>
      <c r="E4603" s="3">
        <v>3.8529238394965701</v>
      </c>
      <c r="F4603" s="3">
        <v>1.1671570250193E-4</v>
      </c>
      <c r="G4603" s="3">
        <v>6.5828042766923696E-4</v>
      </c>
      <c r="H4603" s="3" t="str">
        <f>"ENPP7P13"</f>
        <v>ENPP7P13</v>
      </c>
      <c r="I4603" s="3" t="str">
        <f>"processed_pseudogene"</f>
        <v>processed_pseudogene</v>
      </c>
    </row>
    <row r="4604" spans="1:9" x14ac:dyDescent="0.2">
      <c r="A4604" s="3" t="str">
        <f>"ENSG00000260781.1"</f>
        <v>ENSG00000260781.1</v>
      </c>
      <c r="B4604" s="3">
        <v>11.0706545441851</v>
      </c>
      <c r="C4604" s="3">
        <v>3.7404484942428899</v>
      </c>
      <c r="D4604" s="3">
        <v>1.3200396312365299</v>
      </c>
      <c r="E4604" s="3">
        <v>2.8335880270042102</v>
      </c>
      <c r="F4604" s="3">
        <v>4.6028628915553097E-3</v>
      </c>
      <c r="G4604" s="3">
        <v>1.6530144352999598E-2</v>
      </c>
      <c r="H4604" s="3" t="str">
        <f>"ARHGAP23P1"</f>
        <v>ARHGAP23P1</v>
      </c>
      <c r="I4604" s="3" t="str">
        <f>"transcribed_unprocessed_pseudogene"</f>
        <v>transcribed_unprocessed_pseudogene</v>
      </c>
    </row>
    <row r="4605" spans="1:9" x14ac:dyDescent="0.2">
      <c r="A4605" s="3" t="str">
        <f>"ENSG00000261239.6"</f>
        <v>ENSG00000261239.6</v>
      </c>
      <c r="B4605" s="3">
        <v>22.753175065604701</v>
      </c>
      <c r="C4605" s="3">
        <v>7.9030803722112104</v>
      </c>
      <c r="D4605" s="3">
        <v>1.59738168194603</v>
      </c>
      <c r="E4605" s="3">
        <v>4.9475215983340801</v>
      </c>
      <c r="F4605" s="4">
        <v>7.5164366034102596E-7</v>
      </c>
      <c r="G4605" s="4">
        <v>6.5704314447584002E-6</v>
      </c>
      <c r="H4605" s="3" t="str">
        <f>"ANKRD26P1"</f>
        <v>ANKRD26P1</v>
      </c>
      <c r="I4605" s="3" t="str">
        <f>"transcribed_unprocessed_pseudogene"</f>
        <v>transcribed_unprocessed_pseudogene</v>
      </c>
    </row>
    <row r="4606" spans="1:9" x14ac:dyDescent="0.2">
      <c r="A4606" s="3" t="str">
        <f>"ENSG00000171208.9"</f>
        <v>ENSG00000171208.9</v>
      </c>
      <c r="B4606" s="3">
        <v>1211.0377996879499</v>
      </c>
      <c r="C4606" s="3">
        <v>1.8587329921470399</v>
      </c>
      <c r="D4606" s="3">
        <v>0.19492099907378599</v>
      </c>
      <c r="E4606" s="3">
        <v>9.5358273402007203</v>
      </c>
      <c r="F4606" s="4">
        <v>1.4869513570757E-21</v>
      </c>
      <c r="G4606" s="4">
        <v>6.5136597469841801E-20</v>
      </c>
      <c r="H4606" s="3" t="str">
        <f>"NETO2"</f>
        <v>NETO2</v>
      </c>
      <c r="I4606" s="3" t="str">
        <f>"protein_coding"</f>
        <v>protein_coding</v>
      </c>
    </row>
    <row r="4607" spans="1:9" x14ac:dyDescent="0.2">
      <c r="A4607" s="3" t="str">
        <f>"ENSG00000261231.6"</f>
        <v>ENSG00000261231.6</v>
      </c>
      <c r="B4607" s="3">
        <v>6.7578604655747796</v>
      </c>
      <c r="C4607" s="3">
        <v>4.6476055080891001</v>
      </c>
      <c r="D4607" s="3">
        <v>1.87273545176042</v>
      </c>
      <c r="E4607" s="3">
        <v>2.4817202577759798</v>
      </c>
      <c r="F4607" s="3">
        <v>1.3074987632637199E-2</v>
      </c>
      <c r="G4607" s="3">
        <v>3.9813834155841103E-2</v>
      </c>
      <c r="H4607" s="3" t="str">
        <f>"LINC02133"</f>
        <v>LINC02133</v>
      </c>
      <c r="I4607" s="3" t="str">
        <f>"lincRNA"</f>
        <v>lincRNA</v>
      </c>
    </row>
    <row r="4608" spans="1:9" x14ac:dyDescent="0.2">
      <c r="A4608" s="3" t="str">
        <f>"ENSG00000140798.16"</f>
        <v>ENSG00000140798.16</v>
      </c>
      <c r="B4608" s="3">
        <v>3.7081412314472102</v>
      </c>
      <c r="C4608" s="3">
        <v>5.2900887480517502</v>
      </c>
      <c r="D4608" s="3">
        <v>2.20912909971939</v>
      </c>
      <c r="E4608" s="3">
        <v>2.39464898123143</v>
      </c>
      <c r="F4608" s="3">
        <v>1.66362833632147E-2</v>
      </c>
      <c r="G4608" s="3">
        <v>4.8568393099487003E-2</v>
      </c>
      <c r="H4608" s="3" t="str">
        <f>"ABCC12"</f>
        <v>ABCC12</v>
      </c>
      <c r="I4608" s="3" t="str">
        <f>"protein_coding"</f>
        <v>protein_coding</v>
      </c>
    </row>
    <row r="4609" spans="1:9" x14ac:dyDescent="0.2">
      <c r="A4609" s="3" t="str">
        <f>"ENSG00000121270.15"</f>
        <v>ENSG00000121270.15</v>
      </c>
      <c r="B4609" s="3">
        <v>165.32313595145499</v>
      </c>
      <c r="C4609" s="3">
        <v>3.9063394731668799</v>
      </c>
      <c r="D4609" s="3">
        <v>0.37527996583163797</v>
      </c>
      <c r="E4609" s="3">
        <v>10.409134056784101</v>
      </c>
      <c r="F4609" s="4">
        <v>2.25261299664456E-25</v>
      </c>
      <c r="G4609" s="4">
        <v>1.29760985876478E-23</v>
      </c>
      <c r="H4609" s="3" t="str">
        <f>"ABCC11"</f>
        <v>ABCC11</v>
      </c>
      <c r="I4609" s="3" t="str">
        <f>"protein_coding"</f>
        <v>protein_coding</v>
      </c>
    </row>
    <row r="4610" spans="1:9" x14ac:dyDescent="0.2">
      <c r="A4610" s="3" t="str">
        <f>"ENSG00000102910.13"</f>
        <v>ENSG00000102910.13</v>
      </c>
      <c r="B4610" s="3">
        <v>5654.6521297843101</v>
      </c>
      <c r="C4610" s="3">
        <v>1.1108010245437301</v>
      </c>
      <c r="D4610" s="3">
        <v>0.172037496840413</v>
      </c>
      <c r="E4610" s="3">
        <v>6.4567378911246696</v>
      </c>
      <c r="F4610" s="4">
        <v>1.06983953281324E-10</v>
      </c>
      <c r="G4610" s="4">
        <v>1.65530481263841E-9</v>
      </c>
      <c r="H4610" s="3" t="str">
        <f>"LONP2"</f>
        <v>LONP2</v>
      </c>
      <c r="I4610" s="3" t="str">
        <f>"protein_coding"</f>
        <v>protein_coding</v>
      </c>
    </row>
    <row r="4611" spans="1:9" x14ac:dyDescent="0.2">
      <c r="A4611" s="3" t="str">
        <f>"ENSG00000102935.11"</f>
        <v>ENSG00000102935.11</v>
      </c>
      <c r="B4611" s="3">
        <v>320.85887165566299</v>
      </c>
      <c r="C4611" s="3">
        <v>4.7655681016873199</v>
      </c>
      <c r="D4611" s="3">
        <v>0.34483250867365201</v>
      </c>
      <c r="E4611" s="3">
        <v>13.819950212981301</v>
      </c>
      <c r="F4611" s="4">
        <v>1.9320342546415399E-43</v>
      </c>
      <c r="G4611" s="4">
        <v>3.02541019173666E-41</v>
      </c>
      <c r="H4611" s="3" t="str">
        <f>"ZNF423"</f>
        <v>ZNF423</v>
      </c>
      <c r="I4611" s="3" t="str">
        <f>"protein_coding"</f>
        <v>protein_coding</v>
      </c>
    </row>
    <row r="4612" spans="1:9" x14ac:dyDescent="0.2">
      <c r="A4612" s="3" t="str">
        <f>"ENSG00000260089.2"</f>
        <v>ENSG00000260089.2</v>
      </c>
      <c r="B4612" s="3">
        <v>7.3466875136013297</v>
      </c>
      <c r="C4612" s="3">
        <v>4.7757428409879097</v>
      </c>
      <c r="D4612" s="3">
        <v>1.83959036459387</v>
      </c>
      <c r="E4612" s="3">
        <v>2.5960903758279099</v>
      </c>
      <c r="F4612" s="3">
        <v>9.4291260246650802E-3</v>
      </c>
      <c r="G4612" s="3">
        <v>3.02360123330646E-2</v>
      </c>
      <c r="H4612" s="3" t="str">
        <f>"ADAM3B"</f>
        <v>ADAM3B</v>
      </c>
      <c r="I4612" s="3" t="str">
        <f>"processed_pseudogene"</f>
        <v>processed_pseudogene</v>
      </c>
    </row>
    <row r="4613" spans="1:9" x14ac:dyDescent="0.2">
      <c r="A4613" s="3" t="str">
        <f>"ENSG00000275155.1"</f>
        <v>ENSG00000275155.1</v>
      </c>
      <c r="B4613" s="3">
        <v>17.837321113005999</v>
      </c>
      <c r="C4613" s="3">
        <v>6.0927734178818804</v>
      </c>
      <c r="D4613" s="3">
        <v>1.62583699974133</v>
      </c>
      <c r="E4613" s="3">
        <v>3.7474687922905199</v>
      </c>
      <c r="F4613" s="3">
        <v>1.7862805273734299E-4</v>
      </c>
      <c r="G4613" s="3">
        <v>9.6339638815011702E-4</v>
      </c>
      <c r="H4613" s="3" t="str">
        <f>"AC027348.1"</f>
        <v>AC027348.1</v>
      </c>
      <c r="I4613" s="3" t="str">
        <f>"sense_intronic"</f>
        <v>sense_intronic</v>
      </c>
    </row>
    <row r="4614" spans="1:9" x14ac:dyDescent="0.2">
      <c r="A4614" s="3" t="str">
        <f>"ENSG00000083799.17"</f>
        <v>ENSG00000083799.17</v>
      </c>
      <c r="B4614" s="3">
        <v>853.28438699573496</v>
      </c>
      <c r="C4614" s="3">
        <v>1.43221211033089</v>
      </c>
      <c r="D4614" s="3">
        <v>0.20446669650910601</v>
      </c>
      <c r="E4614" s="3">
        <v>7.0046229277593</v>
      </c>
      <c r="F4614" s="4">
        <v>2.47651901022385E-12</v>
      </c>
      <c r="G4614" s="4">
        <v>4.6665085388360398E-11</v>
      </c>
      <c r="H4614" s="3" t="str">
        <f>"CYLD"</f>
        <v>CYLD</v>
      </c>
      <c r="I4614" s="3" t="str">
        <f>"protein_coding"</f>
        <v>protein_coding</v>
      </c>
    </row>
    <row r="4615" spans="1:9" x14ac:dyDescent="0.2">
      <c r="A4615" s="3" t="str">
        <f>"ENSG00000260605.1"</f>
        <v>ENSG00000260605.1</v>
      </c>
      <c r="B4615" s="3">
        <v>18.402641303912802</v>
      </c>
      <c r="C4615" s="3">
        <v>-2.6131897251871399</v>
      </c>
      <c r="D4615" s="3">
        <v>0.87328105271001599</v>
      </c>
      <c r="E4615" s="3">
        <v>-2.9923811092405299</v>
      </c>
      <c r="F4615" s="3">
        <v>2.7681046233729101E-3</v>
      </c>
      <c r="G4615" s="3">
        <v>1.06755196989443E-2</v>
      </c>
      <c r="H4615" s="3" t="str">
        <f>"AC027688.1"</f>
        <v>AC027688.1</v>
      </c>
      <c r="I4615" s="3" t="str">
        <f>"lincRNA"</f>
        <v>lincRNA</v>
      </c>
    </row>
    <row r="4616" spans="1:9" x14ac:dyDescent="0.2">
      <c r="A4616" s="3" t="str">
        <f>"ENSG00000103449.11"</f>
        <v>ENSG00000103449.11</v>
      </c>
      <c r="B4616" s="3">
        <v>2274.9273978555798</v>
      </c>
      <c r="C4616" s="3">
        <v>-1.6663960608091499</v>
      </c>
      <c r="D4616" s="3">
        <v>0.21361982195392001</v>
      </c>
      <c r="E4616" s="3">
        <v>-7.8007557799042102</v>
      </c>
      <c r="F4616" s="4">
        <v>6.1537502425017101E-15</v>
      </c>
      <c r="G4616" s="4">
        <v>1.5091920149184901E-13</v>
      </c>
      <c r="H4616" s="3" t="str">
        <f>"SALL1"</f>
        <v>SALL1</v>
      </c>
      <c r="I4616" s="3" t="str">
        <f>"protein_coding"</f>
        <v>protein_coding</v>
      </c>
    </row>
    <row r="4617" spans="1:9" x14ac:dyDescent="0.2">
      <c r="A4617" s="3" t="str">
        <f>"ENSG00000103460.17"</f>
        <v>ENSG00000103460.17</v>
      </c>
      <c r="B4617" s="3">
        <v>1278.9707721774801</v>
      </c>
      <c r="C4617" s="3">
        <v>-2.8354199444907402</v>
      </c>
      <c r="D4617" s="3">
        <v>0.19588084449128701</v>
      </c>
      <c r="E4617" s="3">
        <v>-14.475228304505601</v>
      </c>
      <c r="F4617" s="4">
        <v>1.7374788038689301E-47</v>
      </c>
      <c r="G4617" s="4">
        <v>3.1340016117535998E-45</v>
      </c>
      <c r="H4617" s="3" t="str">
        <f>"TOX3"</f>
        <v>TOX3</v>
      </c>
      <c r="I4617" s="3" t="str">
        <f>"protein_coding"</f>
        <v>protein_coding</v>
      </c>
    </row>
    <row r="4618" spans="1:9" x14ac:dyDescent="0.2">
      <c r="A4618" s="3" t="str">
        <f>"ENSG00000260963.1"</f>
        <v>ENSG00000260963.1</v>
      </c>
      <c r="B4618" s="3">
        <v>27.974492747830102</v>
      </c>
      <c r="C4618" s="3">
        <v>-2.82066107074187</v>
      </c>
      <c r="D4618" s="3">
        <v>0.74264960511620504</v>
      </c>
      <c r="E4618" s="3">
        <v>-3.7981048549813901</v>
      </c>
      <c r="F4618" s="3">
        <v>1.45806644777431E-4</v>
      </c>
      <c r="G4618" s="3">
        <v>8.0355858621574598E-4</v>
      </c>
      <c r="H4618" s="3" t="str">
        <f>"AC026462.3"</f>
        <v>AC026462.3</v>
      </c>
      <c r="I4618" s="3" t="str">
        <f>"lincRNA"</f>
        <v>lincRNA</v>
      </c>
    </row>
    <row r="4619" spans="1:9" x14ac:dyDescent="0.2">
      <c r="A4619" s="3" t="str">
        <f>"ENSG00000260939.1"</f>
        <v>ENSG00000260939.1</v>
      </c>
      <c r="B4619" s="3">
        <v>7.8511397205753202</v>
      </c>
      <c r="C4619" s="3">
        <v>6.3650475628735101</v>
      </c>
      <c r="D4619" s="3">
        <v>1.86474886106755</v>
      </c>
      <c r="E4619" s="3">
        <v>3.41335377420722</v>
      </c>
      <c r="F4619" s="3">
        <v>6.4168583753384004E-4</v>
      </c>
      <c r="G4619" s="3">
        <v>2.98718845297874E-3</v>
      </c>
      <c r="H4619" s="3" t="str">
        <f>"AC007346.2"</f>
        <v>AC007346.2</v>
      </c>
      <c r="I4619" s="3" t="str">
        <f>"processed_pseudogene"</f>
        <v>processed_pseudogene</v>
      </c>
    </row>
    <row r="4620" spans="1:9" x14ac:dyDescent="0.2">
      <c r="A4620" s="3" t="str">
        <f>"ENSG00000277639.2"</f>
        <v>ENSG00000277639.2</v>
      </c>
      <c r="B4620" s="3">
        <v>188.228798180648</v>
      </c>
      <c r="C4620" s="3">
        <v>6.9318316988190603</v>
      </c>
      <c r="D4620" s="3">
        <v>1.6046534321280199</v>
      </c>
      <c r="E4620" s="3">
        <v>4.3198310364290897</v>
      </c>
      <c r="F4620" s="4">
        <v>1.5614871041343799E-5</v>
      </c>
      <c r="G4620" s="3">
        <v>1.0633801331254501E-4</v>
      </c>
      <c r="H4620" s="3" t="str">
        <f>"AC007906.2"</f>
        <v>AC007906.2</v>
      </c>
      <c r="I4620" s="3" t="str">
        <f>"protein_coding"</f>
        <v>protein_coding</v>
      </c>
    </row>
    <row r="4621" spans="1:9" x14ac:dyDescent="0.2">
      <c r="A4621" s="3" t="str">
        <f>"ENSG00000261291.1"</f>
        <v>ENSG00000261291.1</v>
      </c>
      <c r="B4621" s="3">
        <v>66.497724882855096</v>
      </c>
      <c r="C4621" s="3">
        <v>1.95693366182133</v>
      </c>
      <c r="D4621" s="3">
        <v>0.51875552357877797</v>
      </c>
      <c r="E4621" s="3">
        <v>3.77236207206216</v>
      </c>
      <c r="F4621" s="3">
        <v>1.6170936260051101E-4</v>
      </c>
      <c r="G4621" s="3">
        <v>8.8263121049201405E-4</v>
      </c>
      <c r="H4621" s="3" t="str">
        <f>"AC007906.1"</f>
        <v>AC007906.1</v>
      </c>
      <c r="I4621" s="3" t="str">
        <f>"sense_intronic"</f>
        <v>sense_intronic</v>
      </c>
    </row>
    <row r="4622" spans="1:9" x14ac:dyDescent="0.2">
      <c r="A4622" s="3" t="str">
        <f>"ENSG00000261804.1"</f>
        <v>ENSG00000261804.1</v>
      </c>
      <c r="B4622" s="3">
        <v>142.89361380857801</v>
      </c>
      <c r="C4622" s="3">
        <v>10.5538202109979</v>
      </c>
      <c r="D4622" s="3">
        <v>1.4828484566925599</v>
      </c>
      <c r="E4622" s="3">
        <v>7.1172614864082604</v>
      </c>
      <c r="F4622" s="4">
        <v>1.10092503609158E-12</v>
      </c>
      <c r="G4622" s="4">
        <v>2.1658414771398801E-11</v>
      </c>
      <c r="H4622" s="3" t="str">
        <f>"AC007342.4"</f>
        <v>AC007342.4</v>
      </c>
      <c r="I4622" s="3" t="str">
        <f>"lincRNA"</f>
        <v>lincRNA</v>
      </c>
    </row>
    <row r="4623" spans="1:9" x14ac:dyDescent="0.2">
      <c r="A4623" s="3" t="str">
        <f>"ENSG00000262714.1"</f>
        <v>ENSG00000262714.1</v>
      </c>
      <c r="B4623" s="3">
        <v>182.62942514506099</v>
      </c>
      <c r="C4623" s="3">
        <v>10.907817811247799</v>
      </c>
      <c r="D4623" s="3">
        <v>1.47982380511648</v>
      </c>
      <c r="E4623" s="3">
        <v>7.3710246946522098</v>
      </c>
      <c r="F4623" s="4">
        <v>1.6932147298575301E-13</v>
      </c>
      <c r="G4623" s="4">
        <v>3.6908017395542402E-12</v>
      </c>
      <c r="H4623" s="3" t="str">
        <f>"AC007342.5"</f>
        <v>AC007342.5</v>
      </c>
      <c r="I4623" s="3" t="str">
        <f>"lincRNA"</f>
        <v>lincRNA</v>
      </c>
    </row>
    <row r="4624" spans="1:9" x14ac:dyDescent="0.2">
      <c r="A4624" s="3" t="str">
        <f>"ENSG00000279741.1"</f>
        <v>ENSG00000279741.1</v>
      </c>
      <c r="B4624" s="3">
        <v>56.214119930439601</v>
      </c>
      <c r="C4624" s="3">
        <v>9.2070028208042807</v>
      </c>
      <c r="D4624" s="3">
        <v>1.52298543951327</v>
      </c>
      <c r="E4624" s="3">
        <v>6.0453649666846196</v>
      </c>
      <c r="F4624" s="4">
        <v>1.4907215948927101E-9</v>
      </c>
      <c r="G4624" s="4">
        <v>1.9794196538032001E-8</v>
      </c>
      <c r="H4624" s="3" t="str">
        <f>"AC007342.8"</f>
        <v>AC007342.8</v>
      </c>
      <c r="I4624" s="3" t="str">
        <f>"TEC"</f>
        <v>TEC</v>
      </c>
    </row>
    <row r="4625" spans="1:9" x14ac:dyDescent="0.2">
      <c r="A4625" s="3" t="str">
        <f>"ENSG00000280027.1"</f>
        <v>ENSG00000280027.1</v>
      </c>
      <c r="B4625" s="3">
        <v>85.139209673913001</v>
      </c>
      <c r="C4625" s="3">
        <v>7.35278565858279</v>
      </c>
      <c r="D4625" s="3">
        <v>1.10437409309759</v>
      </c>
      <c r="E4625" s="3">
        <v>6.6578758996051901</v>
      </c>
      <c r="F4625" s="4">
        <v>2.77813188667982E-11</v>
      </c>
      <c r="G4625" s="4">
        <v>4.6668162463850303E-10</v>
      </c>
      <c r="H4625" s="3" t="str">
        <f>"AC007342.9"</f>
        <v>AC007342.9</v>
      </c>
      <c r="I4625" s="3" t="str">
        <f>"TEC"</f>
        <v>TEC</v>
      </c>
    </row>
    <row r="4626" spans="1:9" x14ac:dyDescent="0.2">
      <c r="A4626" s="3" t="str">
        <f>"ENSG00000279722.1"</f>
        <v>ENSG00000279722.1</v>
      </c>
      <c r="B4626" s="3">
        <v>56.397693778644701</v>
      </c>
      <c r="C4626" s="3">
        <v>1.5030059902754001</v>
      </c>
      <c r="D4626" s="3">
        <v>0.51349386817130405</v>
      </c>
      <c r="E4626" s="3">
        <v>2.92701838023505</v>
      </c>
      <c r="F4626" s="3">
        <v>3.4222865485038999E-3</v>
      </c>
      <c r="G4626" s="3">
        <v>1.28262780725015E-2</v>
      </c>
      <c r="H4626" s="3" t="str">
        <f>"AC007342.7"</f>
        <v>AC007342.7</v>
      </c>
      <c r="I4626" s="3" t="str">
        <f>"TEC"</f>
        <v>TEC</v>
      </c>
    </row>
    <row r="4627" spans="1:9" x14ac:dyDescent="0.2">
      <c r="A4627" s="3" t="str">
        <f>"ENSG00000177508.12"</f>
        <v>ENSG00000177508.12</v>
      </c>
      <c r="B4627" s="3">
        <v>1391.0788439314199</v>
      </c>
      <c r="C4627" s="3">
        <v>-1.0548202356923999</v>
      </c>
      <c r="D4627" s="3">
        <v>0.20353086943947199</v>
      </c>
      <c r="E4627" s="3">
        <v>-5.1826056587750102</v>
      </c>
      <c r="F4627" s="4">
        <v>2.18807338440119E-7</v>
      </c>
      <c r="G4627" s="4">
        <v>2.1044276563635398E-6</v>
      </c>
      <c r="H4627" s="3" t="str">
        <f>"IRX3"</f>
        <v>IRX3</v>
      </c>
      <c r="I4627" s="3" t="str">
        <f>"protein_coding"</f>
        <v>protein_coding</v>
      </c>
    </row>
    <row r="4628" spans="1:9" x14ac:dyDescent="0.2">
      <c r="A4628" s="3" t="str">
        <f>"ENSG00000087245.13"</f>
        <v>ENSG00000087245.13</v>
      </c>
      <c r="B4628" s="3">
        <v>390.12364188378803</v>
      </c>
      <c r="C4628" s="3">
        <v>2.6023676394746702</v>
      </c>
      <c r="D4628" s="3">
        <v>0.25489149981139803</v>
      </c>
      <c r="E4628" s="3">
        <v>10.2097074300251</v>
      </c>
      <c r="F4628" s="4">
        <v>1.79404969322058E-24</v>
      </c>
      <c r="G4628" s="4">
        <v>9.6036290748882597E-23</v>
      </c>
      <c r="H4628" s="3" t="str">
        <f>"MMP2"</f>
        <v>MMP2</v>
      </c>
      <c r="I4628" s="3" t="str">
        <f>"protein_coding"</f>
        <v>protein_coding</v>
      </c>
    </row>
    <row r="4629" spans="1:9" x14ac:dyDescent="0.2">
      <c r="A4629" s="3" t="str">
        <f>"ENSG00000228695.10"</f>
        <v>ENSG00000228695.10</v>
      </c>
      <c r="B4629" s="3">
        <v>518.01768786039997</v>
      </c>
      <c r="C4629" s="3">
        <v>2.3826678365175402</v>
      </c>
      <c r="D4629" s="3">
        <v>0.22941099063524201</v>
      </c>
      <c r="E4629" s="3">
        <v>10.386023049374799</v>
      </c>
      <c r="F4629" s="4">
        <v>2.8707484561281302E-25</v>
      </c>
      <c r="G4629" s="4">
        <v>1.6295683996692299E-23</v>
      </c>
      <c r="H4629" s="3" t="str">
        <f>"CES1P1"</f>
        <v>CES1P1</v>
      </c>
      <c r="I4629" s="3" t="str">
        <f>"transcribed_unprocessed_pseudogene"</f>
        <v>transcribed_unprocessed_pseudogene</v>
      </c>
    </row>
    <row r="4630" spans="1:9" x14ac:dyDescent="0.2">
      <c r="A4630" s="3" t="str">
        <f>"ENSG00000198848.12"</f>
        <v>ENSG00000198848.12</v>
      </c>
      <c r="B4630" s="3">
        <v>13280.193137902201</v>
      </c>
      <c r="C4630" s="3">
        <v>1.87410399539087</v>
      </c>
      <c r="D4630" s="3">
        <v>0.21869264021750701</v>
      </c>
      <c r="E4630" s="3">
        <v>8.56957963252413</v>
      </c>
      <c r="F4630" s="4">
        <v>1.0386347817734E-17</v>
      </c>
      <c r="G4630" s="4">
        <v>3.2792215410173599E-16</v>
      </c>
      <c r="H4630" s="3" t="str">
        <f>"CES1"</f>
        <v>CES1</v>
      </c>
      <c r="I4630" s="3" t="str">
        <f>"protein_coding"</f>
        <v>protein_coding</v>
      </c>
    </row>
    <row r="4631" spans="1:9" x14ac:dyDescent="0.2">
      <c r="A4631" s="3" t="str">
        <f>"ENSG00000159398.15"</f>
        <v>ENSG00000159398.15</v>
      </c>
      <c r="B4631" s="3">
        <v>4.7710694323342899</v>
      </c>
      <c r="C4631" s="3">
        <v>5.6498655801083801</v>
      </c>
      <c r="D4631" s="3">
        <v>2.0548781453748601</v>
      </c>
      <c r="E4631" s="3">
        <v>2.7494893518747898</v>
      </c>
      <c r="F4631" s="3">
        <v>5.9688202149847996E-3</v>
      </c>
      <c r="G4631" s="3">
        <v>2.05942059513348E-2</v>
      </c>
      <c r="H4631" s="3" t="str">
        <f>"CES5A"</f>
        <v>CES5A</v>
      </c>
      <c r="I4631" s="3" t="str">
        <f>"protein_coding"</f>
        <v>protein_coding</v>
      </c>
    </row>
    <row r="4632" spans="1:9" x14ac:dyDescent="0.2">
      <c r="A4632" s="3" t="str">
        <f>"ENSG00000087258.15"</f>
        <v>ENSG00000087258.15</v>
      </c>
      <c r="B4632" s="3">
        <v>38.1515007499654</v>
      </c>
      <c r="C4632" s="3">
        <v>2.2311817595989401</v>
      </c>
      <c r="D4632" s="3">
        <v>0.59205804259228001</v>
      </c>
      <c r="E4632" s="3">
        <v>3.76851862332598</v>
      </c>
      <c r="F4632" s="3">
        <v>1.6421923502540401E-4</v>
      </c>
      <c r="G4632" s="3">
        <v>8.9489629934743503E-4</v>
      </c>
      <c r="H4632" s="3" t="str">
        <f>"GNAO1"</f>
        <v>GNAO1</v>
      </c>
      <c r="I4632" s="3" t="str">
        <f>"protein_coding"</f>
        <v>protein_coding</v>
      </c>
    </row>
    <row r="4633" spans="1:9" x14ac:dyDescent="0.2">
      <c r="A4633" s="3" t="str">
        <f>"ENSG00000125148.7"</f>
        <v>ENSG00000125148.7</v>
      </c>
      <c r="B4633" s="3">
        <v>7896.4153644553799</v>
      </c>
      <c r="C4633" s="3">
        <v>1.54742509307359</v>
      </c>
      <c r="D4633" s="3">
        <v>0.18622890871707401</v>
      </c>
      <c r="E4633" s="3">
        <v>8.3092636032384206</v>
      </c>
      <c r="F4633" s="4">
        <v>9.6297789756946E-17</v>
      </c>
      <c r="G4633" s="4">
        <v>2.8152638170681401E-15</v>
      </c>
      <c r="H4633" s="3" t="str">
        <f>"MT2A"</f>
        <v>MT2A</v>
      </c>
      <c r="I4633" s="3" t="str">
        <f>"protein_coding"</f>
        <v>protein_coding</v>
      </c>
    </row>
    <row r="4634" spans="1:9" x14ac:dyDescent="0.2">
      <c r="A4634" s="3" t="str">
        <f>"ENSG00000260823.1"</f>
        <v>ENSG00000260823.1</v>
      </c>
      <c r="B4634" s="3">
        <v>4.8073075371410301</v>
      </c>
      <c r="C4634" s="3">
        <v>5.6597867282439296</v>
      </c>
      <c r="D4634" s="3">
        <v>2.0539032196280198</v>
      </c>
      <c r="E4634" s="3">
        <v>2.7556248386761699</v>
      </c>
      <c r="F4634" s="3">
        <v>5.8580144965317896E-3</v>
      </c>
      <c r="G4634" s="3">
        <v>2.0291548561785101E-2</v>
      </c>
      <c r="H4634" s="3" t="str">
        <f>"AC026461.3"</f>
        <v>AC026461.3</v>
      </c>
      <c r="I4634" s="3" t="str">
        <f>"lincRNA"</f>
        <v>lincRNA</v>
      </c>
    </row>
    <row r="4635" spans="1:9" x14ac:dyDescent="0.2">
      <c r="A4635" s="3" t="str">
        <f>"ENSG00000169715.14"</f>
        <v>ENSG00000169715.14</v>
      </c>
      <c r="B4635" s="3">
        <v>1235.3309994307499</v>
      </c>
      <c r="C4635" s="3">
        <v>-1.62702490209842</v>
      </c>
      <c r="D4635" s="3">
        <v>0.22049806169480701</v>
      </c>
      <c r="E4635" s="3">
        <v>-7.3788626058327997</v>
      </c>
      <c r="F4635" s="4">
        <v>1.59647473059427E-13</v>
      </c>
      <c r="G4635" s="4">
        <v>3.4998720592296999E-12</v>
      </c>
      <c r="H4635" s="3" t="str">
        <f>"MT1E"</f>
        <v>MT1E</v>
      </c>
      <c r="I4635" s="3" t="str">
        <f>"protein_coding"</f>
        <v>protein_coding</v>
      </c>
    </row>
    <row r="4636" spans="1:9" x14ac:dyDescent="0.2">
      <c r="A4636" s="3" t="str">
        <f>"ENSG00000198417.7"</f>
        <v>ENSG00000198417.7</v>
      </c>
      <c r="B4636" s="3">
        <v>202.74186487705799</v>
      </c>
      <c r="C4636" s="3">
        <v>-3.7405965201561</v>
      </c>
      <c r="D4636" s="3">
        <v>0.40581578820514602</v>
      </c>
      <c r="E4636" s="3">
        <v>-9.2174741074025892</v>
      </c>
      <c r="F4636" s="4">
        <v>3.0418100998097102E-20</v>
      </c>
      <c r="G4636" s="4">
        <v>1.20290565732243E-18</v>
      </c>
      <c r="H4636" s="3" t="str">
        <f>"MT1F"</f>
        <v>MT1F</v>
      </c>
      <c r="I4636" s="3" t="str">
        <f>"protein_coding"</f>
        <v>protein_coding</v>
      </c>
    </row>
    <row r="4637" spans="1:9" x14ac:dyDescent="0.2">
      <c r="A4637" s="3" t="str">
        <f>"ENSG00000125144.13"</f>
        <v>ENSG00000125144.13</v>
      </c>
      <c r="B4637" s="3">
        <v>341.86711928920801</v>
      </c>
      <c r="C4637" s="3">
        <v>-4.6467392485571297</v>
      </c>
      <c r="D4637" s="3">
        <v>0.37449787613782098</v>
      </c>
      <c r="E4637" s="3">
        <v>-12.4079188284824</v>
      </c>
      <c r="F4637" s="4">
        <v>2.3672621820522201E-35</v>
      </c>
      <c r="G4637" s="4">
        <v>2.5195622138428501E-33</v>
      </c>
      <c r="H4637" s="3" t="str">
        <f>"MT1G"</f>
        <v>MT1G</v>
      </c>
      <c r="I4637" s="3" t="str">
        <f>"protein_coding"</f>
        <v>protein_coding</v>
      </c>
    </row>
    <row r="4638" spans="1:9" x14ac:dyDescent="0.2">
      <c r="A4638" s="3" t="str">
        <f>"ENSG00000187193.9"</f>
        <v>ENSG00000187193.9</v>
      </c>
      <c r="B4638" s="3">
        <v>403.52046152331701</v>
      </c>
      <c r="C4638" s="3">
        <v>-2.1767663939292299</v>
      </c>
      <c r="D4638" s="3">
        <v>0.28235975769951299</v>
      </c>
      <c r="E4638" s="3">
        <v>-7.7091948642544903</v>
      </c>
      <c r="F4638" s="4">
        <v>1.2661396259729699E-14</v>
      </c>
      <c r="G4638" s="4">
        <v>3.0208849727570501E-13</v>
      </c>
      <c r="H4638" s="3" t="str">
        <f>"MT1X"</f>
        <v>MT1X</v>
      </c>
      <c r="I4638" s="3" t="str">
        <f>"protein_coding"</f>
        <v>protein_coding</v>
      </c>
    </row>
    <row r="4639" spans="1:9" x14ac:dyDescent="0.2">
      <c r="A4639" s="3" t="str">
        <f>"ENSG00000070915.9"</f>
        <v>ENSG00000070915.9</v>
      </c>
      <c r="B4639" s="3">
        <v>68.265331058030299</v>
      </c>
      <c r="C4639" s="3">
        <v>-2.3061577034663401</v>
      </c>
      <c r="D4639" s="3">
        <v>0.45970063127076699</v>
      </c>
      <c r="E4639" s="3">
        <v>-5.0166511564087797</v>
      </c>
      <c r="F4639" s="4">
        <v>5.2579911474030698E-7</v>
      </c>
      <c r="G4639" s="4">
        <v>4.7328868448394903E-6</v>
      </c>
      <c r="H4639" s="3" t="str">
        <f>"SLC12A3"</f>
        <v>SLC12A3</v>
      </c>
      <c r="I4639" s="3" t="str">
        <f>"protein_coding"</f>
        <v>protein_coding</v>
      </c>
    </row>
    <row r="4640" spans="1:9" x14ac:dyDescent="0.2">
      <c r="A4640" s="3" t="str">
        <f>"ENSG00000276663.1"</f>
        <v>ENSG00000276663.1</v>
      </c>
      <c r="B4640" s="3">
        <v>13.5679527340554</v>
      </c>
      <c r="C4640" s="3">
        <v>3.2535863600793902</v>
      </c>
      <c r="D4640" s="3">
        <v>1.1187686127497301</v>
      </c>
      <c r="E4640" s="3">
        <v>2.90818523419482</v>
      </c>
      <c r="F4640" s="3">
        <v>3.6353293724259001E-3</v>
      </c>
      <c r="G4640" s="3">
        <v>1.3524279001978201E-2</v>
      </c>
      <c r="H4640" s="3" t="str">
        <f>"AC009090.3"</f>
        <v>AC009090.3</v>
      </c>
      <c r="I4640" s="3" t="str">
        <f>"antisense"</f>
        <v>antisense</v>
      </c>
    </row>
    <row r="4641" spans="1:9" x14ac:dyDescent="0.2">
      <c r="A4641" s="3" t="str">
        <f>"ENSG00000102962.5"</f>
        <v>ENSG00000102962.5</v>
      </c>
      <c r="B4641" s="3">
        <v>11.154861486275101</v>
      </c>
      <c r="C4641" s="3">
        <v>3.7454837557790301</v>
      </c>
      <c r="D4641" s="3">
        <v>1.25387965527163</v>
      </c>
      <c r="E4641" s="3">
        <v>2.9871158209099802</v>
      </c>
      <c r="F4641" s="3">
        <v>2.81623006946345E-3</v>
      </c>
      <c r="G4641" s="3">
        <v>1.08304616376387E-2</v>
      </c>
      <c r="H4641" s="3" t="str">
        <f>"CCL22"</f>
        <v>CCL22</v>
      </c>
      <c r="I4641" s="3" t="str">
        <f t="shared" ref="I4641:I4646" si="213">"protein_coding"</f>
        <v>protein_coding</v>
      </c>
    </row>
    <row r="4642" spans="1:9" x14ac:dyDescent="0.2">
      <c r="A4642" s="3" t="str">
        <f>"ENSG00000125170.11"</f>
        <v>ENSG00000125170.11</v>
      </c>
      <c r="B4642" s="3">
        <v>1516.70103597104</v>
      </c>
      <c r="C4642" s="3">
        <v>-1.6567922458939901</v>
      </c>
      <c r="D4642" s="3">
        <v>0.222469648272524</v>
      </c>
      <c r="E4642" s="3">
        <v>-7.4472731842701902</v>
      </c>
      <c r="F4642" s="4">
        <v>9.5289175663968201E-14</v>
      </c>
      <c r="G4642" s="4">
        <v>2.1298967754849401E-12</v>
      </c>
      <c r="H4642" s="3" t="str">
        <f>"DOK4"</f>
        <v>DOK4</v>
      </c>
      <c r="I4642" s="3" t="str">
        <f t="shared" si="213"/>
        <v>protein_coding</v>
      </c>
    </row>
    <row r="4643" spans="1:9" x14ac:dyDescent="0.2">
      <c r="A4643" s="3" t="str">
        <f>"ENSG00000159618.16"</f>
        <v>ENSG00000159618.16</v>
      </c>
      <c r="B4643" s="3">
        <v>7.5974729869281301</v>
      </c>
      <c r="C4643" s="3">
        <v>6.3217104747599198</v>
      </c>
      <c r="D4643" s="3">
        <v>1.8511442131981699</v>
      </c>
      <c r="E4643" s="3">
        <v>3.4150286237494698</v>
      </c>
      <c r="F4643" s="3">
        <v>6.3775309221655895E-4</v>
      </c>
      <c r="G4643" s="3">
        <v>2.97091101104882E-3</v>
      </c>
      <c r="H4643" s="3" t="str">
        <f>"ADGRG5"</f>
        <v>ADGRG5</v>
      </c>
      <c r="I4643" s="3" t="str">
        <f t="shared" si="213"/>
        <v>protein_coding</v>
      </c>
    </row>
    <row r="4644" spans="1:9" x14ac:dyDescent="0.2">
      <c r="A4644" s="3" t="str">
        <f>"ENSG00000205336.11"</f>
        <v>ENSG00000205336.11</v>
      </c>
      <c r="B4644" s="3">
        <v>6311.3651163250497</v>
      </c>
      <c r="C4644" s="3">
        <v>5.1637487040764496</v>
      </c>
      <c r="D4644" s="3">
        <v>0.21378659908762301</v>
      </c>
      <c r="E4644" s="3">
        <v>24.153752976630798</v>
      </c>
      <c r="F4644" s="4">
        <v>6.8185555269306996E-129</v>
      </c>
      <c r="G4644" s="4">
        <v>2.6540740348897302E-125</v>
      </c>
      <c r="H4644" s="3" t="str">
        <f>"ADGRG1"</f>
        <v>ADGRG1</v>
      </c>
      <c r="I4644" s="3" t="str">
        <f t="shared" si="213"/>
        <v>protein_coding</v>
      </c>
    </row>
    <row r="4645" spans="1:9" x14ac:dyDescent="0.2">
      <c r="A4645" s="3" t="str">
        <f>"ENSG00000159625.14"</f>
        <v>ENSG00000159625.14</v>
      </c>
      <c r="B4645" s="3">
        <v>34.697680721525998</v>
      </c>
      <c r="C4645" s="3">
        <v>-3.1568747259029202</v>
      </c>
      <c r="D4645" s="3">
        <v>0.67607347068841295</v>
      </c>
      <c r="E4645" s="3">
        <v>-4.6694255325363203</v>
      </c>
      <c r="F4645" s="4">
        <v>3.0204315901576599E-6</v>
      </c>
      <c r="G4645" s="4">
        <v>2.3744287229378501E-5</v>
      </c>
      <c r="H4645" s="3" t="str">
        <f>"DRC7"</f>
        <v>DRC7</v>
      </c>
      <c r="I4645" s="3" t="str">
        <f t="shared" si="213"/>
        <v>protein_coding</v>
      </c>
    </row>
    <row r="4646" spans="1:9" x14ac:dyDescent="0.2">
      <c r="A4646" s="3" t="str">
        <f>"ENSG00000140854.13"</f>
        <v>ENSG00000140854.13</v>
      </c>
      <c r="B4646" s="3">
        <v>1276.1191998418201</v>
      </c>
      <c r="C4646" s="3">
        <v>-1.4295702265009</v>
      </c>
      <c r="D4646" s="3">
        <v>0.22969078987578101</v>
      </c>
      <c r="E4646" s="3">
        <v>-6.2238900709690101</v>
      </c>
      <c r="F4646" s="4">
        <v>4.8497694730719197E-10</v>
      </c>
      <c r="G4646" s="4">
        <v>6.8290268130641198E-9</v>
      </c>
      <c r="H4646" s="3" t="str">
        <f>"KATNB1"</f>
        <v>KATNB1</v>
      </c>
      <c r="I4646" s="3" t="str">
        <f t="shared" si="213"/>
        <v>protein_coding</v>
      </c>
    </row>
    <row r="4647" spans="1:9" x14ac:dyDescent="0.2">
      <c r="A4647" s="3" t="str">
        <f>"ENSG00000276166.1"</f>
        <v>ENSG00000276166.1</v>
      </c>
      <c r="B4647" s="3">
        <v>17.526163554471399</v>
      </c>
      <c r="C4647" s="3">
        <v>-2.1030423898328601</v>
      </c>
      <c r="D4647" s="3">
        <v>0.83632845208556394</v>
      </c>
      <c r="E4647" s="3">
        <v>-2.5146129903729499</v>
      </c>
      <c r="F4647" s="3">
        <v>1.19163111615243E-2</v>
      </c>
      <c r="G4647" s="3">
        <v>3.6803868761964599E-2</v>
      </c>
      <c r="H4647" s="3" t="str">
        <f>"AC092118.2"</f>
        <v>AC092118.2</v>
      </c>
      <c r="I4647" s="3" t="str">
        <f>"antisense"</f>
        <v>antisense</v>
      </c>
    </row>
    <row r="4648" spans="1:9" x14ac:dyDescent="0.2">
      <c r="A4648" s="3" t="str">
        <f>"ENSG00000187185.4"</f>
        <v>ENSG00000187185.4</v>
      </c>
      <c r="B4648" s="3">
        <v>46.9027164720016</v>
      </c>
      <c r="C4648" s="3">
        <v>1.8264583858947201</v>
      </c>
      <c r="D4648" s="3">
        <v>0.524745096706832</v>
      </c>
      <c r="E4648" s="3">
        <v>3.48065831840472</v>
      </c>
      <c r="F4648" s="3">
        <v>5.0018312081228104E-4</v>
      </c>
      <c r="G4648" s="3">
        <v>2.3985373975311899E-3</v>
      </c>
      <c r="H4648" s="3" t="str">
        <f>"AC092118.1"</f>
        <v>AC092118.1</v>
      </c>
      <c r="I4648" s="3" t="str">
        <f>"lincRNA"</f>
        <v>lincRNA</v>
      </c>
    </row>
    <row r="4649" spans="1:9" x14ac:dyDescent="0.2">
      <c r="A4649" s="3" t="str">
        <f>"ENSG00000070729.13"</f>
        <v>ENSG00000070729.13</v>
      </c>
      <c r="B4649" s="3">
        <v>317.69557052315002</v>
      </c>
      <c r="C4649" s="3">
        <v>7.9374991884320902</v>
      </c>
      <c r="D4649" s="3">
        <v>0.69181635985447398</v>
      </c>
      <c r="E4649" s="3">
        <v>11.473419319112001</v>
      </c>
      <c r="F4649" s="4">
        <v>1.7942652876930101E-30</v>
      </c>
      <c r="G4649" s="4">
        <v>1.45069276836117E-28</v>
      </c>
      <c r="H4649" s="3" t="str">
        <f>"CNGB1"</f>
        <v>CNGB1</v>
      </c>
      <c r="I4649" s="3" t="str">
        <f>"protein_coding"</f>
        <v>protein_coding</v>
      </c>
    </row>
    <row r="4650" spans="1:9" x14ac:dyDescent="0.2">
      <c r="A4650" s="3" t="str">
        <f>"ENSG00000159648.11"</f>
        <v>ENSG00000159648.11</v>
      </c>
      <c r="B4650" s="3">
        <v>7.9267896195242198</v>
      </c>
      <c r="C4650" s="3">
        <v>4.89874357564329</v>
      </c>
      <c r="D4650" s="3">
        <v>1.82307952564318</v>
      </c>
      <c r="E4650" s="3">
        <v>2.68707069918687</v>
      </c>
      <c r="F4650" s="3">
        <v>7.2081694069455002E-3</v>
      </c>
      <c r="G4650" s="3">
        <v>2.4181358265334199E-2</v>
      </c>
      <c r="H4650" s="3" t="str">
        <f>"TEPP"</f>
        <v>TEPP</v>
      </c>
      <c r="I4650" s="3" t="str">
        <f>"protein_coding"</f>
        <v>protein_coding</v>
      </c>
    </row>
    <row r="4651" spans="1:9" x14ac:dyDescent="0.2">
      <c r="A4651" s="3" t="str">
        <f>"ENSG00000103005.11"</f>
        <v>ENSG00000103005.11</v>
      </c>
      <c r="B4651" s="3">
        <v>4481.09873662054</v>
      </c>
      <c r="C4651" s="3">
        <v>1.12029623055184</v>
      </c>
      <c r="D4651" s="3">
        <v>0.201800170874678</v>
      </c>
      <c r="E4651" s="3">
        <v>5.5515127945435099</v>
      </c>
      <c r="F4651" s="4">
        <v>2.8320798326515301E-8</v>
      </c>
      <c r="G4651" s="4">
        <v>3.1625278360760799E-7</v>
      </c>
      <c r="H4651" s="3" t="str">
        <f>"USB1"</f>
        <v>USB1</v>
      </c>
      <c r="I4651" s="3" t="str">
        <f>"protein_coding"</f>
        <v>protein_coding</v>
      </c>
    </row>
    <row r="4652" spans="1:9" x14ac:dyDescent="0.2">
      <c r="A4652" s="3" t="str">
        <f>"ENSG00000261807.2"</f>
        <v>ENSG00000261807.2</v>
      </c>
      <c r="B4652" s="3">
        <v>4.3302005939076098</v>
      </c>
      <c r="C4652" s="3">
        <v>5.5088803257156904</v>
      </c>
      <c r="D4652" s="3">
        <v>2.1104502212244198</v>
      </c>
      <c r="E4652" s="3">
        <v>2.6102867863519599</v>
      </c>
      <c r="F4652" s="3">
        <v>9.0466346159683401E-3</v>
      </c>
      <c r="G4652" s="3">
        <v>2.9246992570157698E-2</v>
      </c>
      <c r="H4652" s="3" t="str">
        <f>"LINC02141"</f>
        <v>LINC02141</v>
      </c>
      <c r="I4652" s="3" t="str">
        <f>"lincRNA"</f>
        <v>lincRNA</v>
      </c>
    </row>
    <row r="4653" spans="1:9" x14ac:dyDescent="0.2">
      <c r="A4653" s="3" t="str">
        <f>"ENSG00000260668.1"</f>
        <v>ENSG00000260668.1</v>
      </c>
      <c r="B4653" s="3">
        <v>32.108772975190902</v>
      </c>
      <c r="C4653" s="3">
        <v>-1.81192611995097</v>
      </c>
      <c r="D4653" s="3">
        <v>0.62149551314769402</v>
      </c>
      <c r="E4653" s="3">
        <v>-2.9154291247801498</v>
      </c>
      <c r="F4653" s="3">
        <v>3.5519977425016898E-3</v>
      </c>
      <c r="G4653" s="3">
        <v>1.3257709930129299E-2</v>
      </c>
      <c r="H4653" s="3" t="str">
        <f>"AC093536.1"</f>
        <v>AC093536.1</v>
      </c>
      <c r="I4653" s="3" t="str">
        <f>"processed_pseudogene"</f>
        <v>processed_pseudogene</v>
      </c>
    </row>
    <row r="4654" spans="1:9" x14ac:dyDescent="0.2">
      <c r="A4654" s="3" t="str">
        <f>"ENSG00000168748.14"</f>
        <v>ENSG00000168748.14</v>
      </c>
      <c r="B4654" s="3">
        <v>79.758353100714899</v>
      </c>
      <c r="C4654" s="3">
        <v>9.71413334912247</v>
      </c>
      <c r="D4654" s="3">
        <v>1.4949279488805101</v>
      </c>
      <c r="E4654" s="3">
        <v>6.49806123191222</v>
      </c>
      <c r="F4654" s="4">
        <v>8.1361691093699405E-11</v>
      </c>
      <c r="G4654" s="4">
        <v>1.2829062483970099E-9</v>
      </c>
      <c r="H4654" s="3" t="str">
        <f>"CA7"</f>
        <v>CA7</v>
      </c>
      <c r="I4654" s="3" t="str">
        <f t="shared" ref="I4654:I4661" si="214">"protein_coding"</f>
        <v>protein_coding</v>
      </c>
    </row>
    <row r="4655" spans="1:9" x14ac:dyDescent="0.2">
      <c r="A4655" s="3" t="str">
        <f>"ENSG00000172840.6"</f>
        <v>ENSG00000172840.6</v>
      </c>
      <c r="B4655" s="3">
        <v>982.05150547280903</v>
      </c>
      <c r="C4655" s="3">
        <v>-1.3526038674271801</v>
      </c>
      <c r="D4655" s="3">
        <v>0.20701405724722299</v>
      </c>
      <c r="E4655" s="3">
        <v>-6.5338744885902003</v>
      </c>
      <c r="F4655" s="4">
        <v>6.4089660534123E-11</v>
      </c>
      <c r="G4655" s="4">
        <v>1.02841636076163E-9</v>
      </c>
      <c r="H4655" s="3" t="str">
        <f>"PDP2"</f>
        <v>PDP2</v>
      </c>
      <c r="I4655" s="3" t="str">
        <f t="shared" si="214"/>
        <v>protein_coding</v>
      </c>
    </row>
    <row r="4656" spans="1:9" x14ac:dyDescent="0.2">
      <c r="A4656" s="3" t="str">
        <f>"ENSG00000166592.12"</f>
        <v>ENSG00000166592.12</v>
      </c>
      <c r="B4656" s="3">
        <v>188.184387054843</v>
      </c>
      <c r="C4656" s="3">
        <v>5.2295391236519002</v>
      </c>
      <c r="D4656" s="3">
        <v>0.46494860300451901</v>
      </c>
      <c r="E4656" s="3">
        <v>11.247563902457999</v>
      </c>
      <c r="F4656" s="4">
        <v>2.3807693513386799E-29</v>
      </c>
      <c r="G4656" s="4">
        <v>1.7579626698082601E-27</v>
      </c>
      <c r="H4656" s="3" t="str">
        <f>"RRAD"</f>
        <v>RRAD</v>
      </c>
      <c r="I4656" s="3" t="str">
        <f t="shared" si="214"/>
        <v>protein_coding</v>
      </c>
    </row>
    <row r="4657" spans="1:9" x14ac:dyDescent="0.2">
      <c r="A4657" s="3" t="str">
        <f>"ENSG00000172831.12"</f>
        <v>ENSG00000172831.12</v>
      </c>
      <c r="B4657" s="3">
        <v>4661.6769278887296</v>
      </c>
      <c r="C4657" s="3">
        <v>2.0400206003341701</v>
      </c>
      <c r="D4657" s="3">
        <v>0.22114758949552801</v>
      </c>
      <c r="E4657" s="3">
        <v>9.2247019512524702</v>
      </c>
      <c r="F4657" s="4">
        <v>2.8435059514826302E-20</v>
      </c>
      <c r="G4657" s="4">
        <v>1.1327047757316801E-18</v>
      </c>
      <c r="H4657" s="3" t="str">
        <f>"CES2"</f>
        <v>CES2</v>
      </c>
      <c r="I4657" s="3" t="str">
        <f t="shared" si="214"/>
        <v>protein_coding</v>
      </c>
    </row>
    <row r="4658" spans="1:9" x14ac:dyDescent="0.2">
      <c r="A4658" s="3" t="str">
        <f>"ENSG00000172824.16"</f>
        <v>ENSG00000172824.16</v>
      </c>
      <c r="B4658" s="3">
        <v>21.765604334651499</v>
      </c>
      <c r="C4658" s="3">
        <v>6.3765305387548201</v>
      </c>
      <c r="D4658" s="3">
        <v>1.6001488447941601</v>
      </c>
      <c r="E4658" s="3">
        <v>3.9849608737961502</v>
      </c>
      <c r="F4658" s="4">
        <v>6.7491245403266306E-5</v>
      </c>
      <c r="G4658" s="3">
        <v>4.0116360460357701E-4</v>
      </c>
      <c r="H4658" s="3" t="str">
        <f>"CES4A"</f>
        <v>CES4A</v>
      </c>
      <c r="I4658" s="3" t="str">
        <f t="shared" si="214"/>
        <v>protein_coding</v>
      </c>
    </row>
    <row r="4659" spans="1:9" x14ac:dyDescent="0.2">
      <c r="A4659" s="3" t="str">
        <f>"ENSG00000125149.11"</f>
        <v>ENSG00000125149.11</v>
      </c>
      <c r="B4659" s="3">
        <v>1739.84693649683</v>
      </c>
      <c r="C4659" s="3">
        <v>-1.2312890645496699</v>
      </c>
      <c r="D4659" s="3">
        <v>0.204197350346731</v>
      </c>
      <c r="E4659" s="3">
        <v>-6.0298973637949604</v>
      </c>
      <c r="F4659" s="4">
        <v>1.64063840318678E-9</v>
      </c>
      <c r="G4659" s="4">
        <v>2.16581756645495E-8</v>
      </c>
      <c r="H4659" s="3" t="str">
        <f>"C16orf70"</f>
        <v>C16orf70</v>
      </c>
      <c r="I4659" s="3" t="str">
        <f t="shared" si="214"/>
        <v>protein_coding</v>
      </c>
    </row>
    <row r="4660" spans="1:9" x14ac:dyDescent="0.2">
      <c r="A4660" s="3" t="str">
        <f>"ENSG00000237172.4"</f>
        <v>ENSG00000237172.4</v>
      </c>
      <c r="B4660" s="3">
        <v>245.379750989141</v>
      </c>
      <c r="C4660" s="3">
        <v>1.81979011546473</v>
      </c>
      <c r="D4660" s="3">
        <v>0.27850728790017598</v>
      </c>
      <c r="E4660" s="3">
        <v>6.53408436520695</v>
      </c>
      <c r="F4660" s="4">
        <v>6.3999863602654394E-11</v>
      </c>
      <c r="G4660" s="4">
        <v>1.0275806031712E-9</v>
      </c>
      <c r="H4660" s="3" t="str">
        <f>"B3GNT9"</f>
        <v>B3GNT9</v>
      </c>
      <c r="I4660" s="3" t="str">
        <f t="shared" si="214"/>
        <v>protein_coding</v>
      </c>
    </row>
    <row r="4661" spans="1:9" x14ac:dyDescent="0.2">
      <c r="A4661" s="3" t="str">
        <f>"ENSG00000179044.16"</f>
        <v>ENSG00000179044.16</v>
      </c>
      <c r="B4661" s="3">
        <v>17.469183120975401</v>
      </c>
      <c r="C4661" s="3">
        <v>3.3654464465945901</v>
      </c>
      <c r="D4661" s="3">
        <v>0.95398791447041797</v>
      </c>
      <c r="E4661" s="3">
        <v>3.5277663328291098</v>
      </c>
      <c r="F4661" s="3">
        <v>4.1908192690199198E-4</v>
      </c>
      <c r="G4661" s="3">
        <v>2.0518823472234701E-3</v>
      </c>
      <c r="H4661" s="3" t="str">
        <f>"EXOC3L1"</f>
        <v>EXOC3L1</v>
      </c>
      <c r="I4661" s="3" t="str">
        <f t="shared" si="214"/>
        <v>protein_coding</v>
      </c>
    </row>
    <row r="4662" spans="1:9" x14ac:dyDescent="0.2">
      <c r="A4662" s="3" t="str">
        <f>"ENSG00000280163.1"</f>
        <v>ENSG00000280163.1</v>
      </c>
      <c r="B4662" s="3">
        <v>13.769555563759299</v>
      </c>
      <c r="C4662" s="3">
        <v>4.0634287750836702</v>
      </c>
      <c r="D4662" s="3">
        <v>1.18800032295858</v>
      </c>
      <c r="E4662" s="3">
        <v>3.4203936619849999</v>
      </c>
      <c r="F4662" s="3">
        <v>6.2530577007472896E-4</v>
      </c>
      <c r="G4662" s="3">
        <v>2.9191350891783598E-3</v>
      </c>
      <c r="H4662" s="3" t="str">
        <f>"AC040160.2"</f>
        <v>AC040160.2</v>
      </c>
      <c r="I4662" s="3" t="str">
        <f>"TEC"</f>
        <v>TEC</v>
      </c>
    </row>
    <row r="4663" spans="1:9" x14ac:dyDescent="0.2">
      <c r="A4663" s="3" t="str">
        <f>"ENSG00000125122.15"</f>
        <v>ENSG00000125122.15</v>
      </c>
      <c r="B4663" s="3">
        <v>63.8522827507309</v>
      </c>
      <c r="C4663" s="3">
        <v>2.6542198020266099</v>
      </c>
      <c r="D4663" s="3">
        <v>0.49623646660701098</v>
      </c>
      <c r="E4663" s="3">
        <v>5.3486996233362003</v>
      </c>
      <c r="F4663" s="4">
        <v>8.8588428282948196E-8</v>
      </c>
      <c r="G4663" s="4">
        <v>9.0471098404253802E-7</v>
      </c>
      <c r="H4663" s="3" t="str">
        <f>"LRRC29"</f>
        <v>LRRC29</v>
      </c>
      <c r="I4663" s="3" t="str">
        <f t="shared" ref="I4663:I4669" si="215">"protein_coding"</f>
        <v>protein_coding</v>
      </c>
    </row>
    <row r="4664" spans="1:9" x14ac:dyDescent="0.2">
      <c r="A4664" s="3" t="str">
        <f>"ENSG00000135723.14"</f>
        <v>ENSG00000135723.14</v>
      </c>
      <c r="B4664" s="3">
        <v>801.17773963563502</v>
      </c>
      <c r="C4664" s="3">
        <v>-1.57676976391724</v>
      </c>
      <c r="D4664" s="3">
        <v>0.24139011236572999</v>
      </c>
      <c r="E4664" s="3">
        <v>-6.5320395622844796</v>
      </c>
      <c r="F4664" s="4">
        <v>6.4880010769165401E-11</v>
      </c>
      <c r="G4664" s="4">
        <v>1.0398739137808499E-9</v>
      </c>
      <c r="H4664" s="3" t="str">
        <f>"FHOD1"</f>
        <v>FHOD1</v>
      </c>
      <c r="I4664" s="3" t="str">
        <f t="shared" si="215"/>
        <v>protein_coding</v>
      </c>
    </row>
    <row r="4665" spans="1:9" x14ac:dyDescent="0.2">
      <c r="A4665" s="3" t="str">
        <f>"ENSG00000196155.13"</f>
        <v>ENSG00000196155.13</v>
      </c>
      <c r="B4665" s="3">
        <v>424.80272603554698</v>
      </c>
      <c r="C4665" s="3">
        <v>-1.18490269885503</v>
      </c>
      <c r="D4665" s="3">
        <v>0.23025561391213101</v>
      </c>
      <c r="E4665" s="3">
        <v>-5.1460317458631302</v>
      </c>
      <c r="F4665" s="4">
        <v>2.6605441750026799E-7</v>
      </c>
      <c r="G4665" s="4">
        <v>2.5101055102596302E-6</v>
      </c>
      <c r="H4665" s="3" t="str">
        <f>"PLEKHG4"</f>
        <v>PLEKHG4</v>
      </c>
      <c r="I4665" s="3" t="str">
        <f t="shared" si="215"/>
        <v>protein_coding</v>
      </c>
    </row>
    <row r="4666" spans="1:9" x14ac:dyDescent="0.2">
      <c r="A4666" s="3" t="str">
        <f>"ENSG00000159708.18"</f>
        <v>ENSG00000159708.18</v>
      </c>
      <c r="B4666" s="3">
        <v>9.3306406554314503</v>
      </c>
      <c r="C4666" s="3">
        <v>3.46138839238461</v>
      </c>
      <c r="D4666" s="3">
        <v>1.3048844147802201</v>
      </c>
      <c r="E4666" s="3">
        <v>2.6526398454744302</v>
      </c>
      <c r="F4666" s="3">
        <v>7.9865036680570392E-3</v>
      </c>
      <c r="G4666" s="3">
        <v>2.6338448976464601E-2</v>
      </c>
      <c r="H4666" s="3" t="str">
        <f>"LRRC36"</f>
        <v>LRRC36</v>
      </c>
      <c r="I4666" s="3" t="str">
        <f t="shared" si="215"/>
        <v>protein_coding</v>
      </c>
    </row>
    <row r="4667" spans="1:9" x14ac:dyDescent="0.2">
      <c r="A4667" s="3" t="str">
        <f>"ENSG00000039523.20"</f>
        <v>ENSG00000039523.20</v>
      </c>
      <c r="B4667" s="3">
        <v>1638.6298926483901</v>
      </c>
      <c r="C4667" s="3">
        <v>-1.01625616453572</v>
      </c>
      <c r="D4667" s="3">
        <v>0.192611960439659</v>
      </c>
      <c r="E4667" s="3">
        <v>-5.2761841072382003</v>
      </c>
      <c r="F4667" s="4">
        <v>1.3190157661028399E-7</v>
      </c>
      <c r="G4667" s="4">
        <v>1.31645503952396E-6</v>
      </c>
      <c r="H4667" s="3" t="str">
        <f>"RIPOR1"</f>
        <v>RIPOR1</v>
      </c>
      <c r="I4667" s="3" t="str">
        <f t="shared" si="215"/>
        <v>protein_coding</v>
      </c>
    </row>
    <row r="4668" spans="1:9" x14ac:dyDescent="0.2">
      <c r="A4668" s="3" t="str">
        <f>"ENSG00000159753.14"</f>
        <v>ENSG00000159753.14</v>
      </c>
      <c r="B4668" s="3">
        <v>93.757410277489498</v>
      </c>
      <c r="C4668" s="3">
        <v>-1.7200617974499399</v>
      </c>
      <c r="D4668" s="3">
        <v>0.387958244115722</v>
      </c>
      <c r="E4668" s="3">
        <v>-4.4336261016195104</v>
      </c>
      <c r="F4668" s="4">
        <v>9.2661268667362096E-6</v>
      </c>
      <c r="G4668" s="4">
        <v>6.6440568088937295E-5</v>
      </c>
      <c r="H4668" s="3" t="str">
        <f>"CARMIL2"</f>
        <v>CARMIL2</v>
      </c>
      <c r="I4668" s="3" t="str">
        <f t="shared" si="215"/>
        <v>protein_coding</v>
      </c>
    </row>
    <row r="4669" spans="1:9" x14ac:dyDescent="0.2">
      <c r="A4669" s="3" t="str">
        <f>"ENSG00000141084.11"</f>
        <v>ENSG00000141084.11</v>
      </c>
      <c r="B4669" s="3">
        <v>2280.9660691046702</v>
      </c>
      <c r="C4669" s="3">
        <v>1.8238900944702201</v>
      </c>
      <c r="D4669" s="3">
        <v>0.20705382579484999</v>
      </c>
      <c r="E4669" s="3">
        <v>8.8087727308035007</v>
      </c>
      <c r="F4669" s="4">
        <v>1.26523410701998E-18</v>
      </c>
      <c r="G4669" s="4">
        <v>4.3308836324087198E-17</v>
      </c>
      <c r="H4669" s="3" t="str">
        <f>"RANBP10"</f>
        <v>RANBP10</v>
      </c>
      <c r="I4669" s="3" t="str">
        <f t="shared" si="215"/>
        <v>protein_coding</v>
      </c>
    </row>
    <row r="4670" spans="1:9" x14ac:dyDescent="0.2">
      <c r="A4670" s="3" t="str">
        <f>"ENSG00000270165.1"</f>
        <v>ENSG00000270165.1</v>
      </c>
      <c r="B4670" s="3">
        <v>32.941105403132703</v>
      </c>
      <c r="C4670" s="3">
        <v>1.89268630100129</v>
      </c>
      <c r="D4670" s="3">
        <v>0.62437115647320696</v>
      </c>
      <c r="E4670" s="3">
        <v>3.03134807138149</v>
      </c>
      <c r="F4670" s="3">
        <v>2.43464409770552E-3</v>
      </c>
      <c r="G4670" s="3">
        <v>9.5393655062096898E-3</v>
      </c>
      <c r="H4670" s="3" t="str">
        <f>"AC010530.1"</f>
        <v>AC010530.1</v>
      </c>
      <c r="I4670" s="3" t="str">
        <f>"sense_intronic"</f>
        <v>sense_intronic</v>
      </c>
    </row>
    <row r="4671" spans="1:9" x14ac:dyDescent="0.2">
      <c r="A4671" s="3" t="str">
        <f>"ENSG00000102904.14"</f>
        <v>ENSG00000102904.14</v>
      </c>
      <c r="B4671" s="3">
        <v>24.379973046196302</v>
      </c>
      <c r="C4671" s="3">
        <v>2.5154217706500801</v>
      </c>
      <c r="D4671" s="3">
        <v>0.76576731207947801</v>
      </c>
      <c r="E4671" s="3">
        <v>3.2848382674096199</v>
      </c>
      <c r="F4671" s="3">
        <v>1.02040927229012E-3</v>
      </c>
      <c r="G4671" s="3">
        <v>4.4996102026361902E-3</v>
      </c>
      <c r="H4671" s="3" t="str">
        <f>"TSNAXIP1"</f>
        <v>TSNAXIP1</v>
      </c>
      <c r="I4671" s="3" t="str">
        <f t="shared" ref="I4671:I4676" si="216">"protein_coding"</f>
        <v>protein_coding</v>
      </c>
    </row>
    <row r="4672" spans="1:9" x14ac:dyDescent="0.2">
      <c r="A4672" s="3" t="str">
        <f>"ENSG00000168286.2"</f>
        <v>ENSG00000168286.2</v>
      </c>
      <c r="B4672" s="3">
        <v>731.50973587392502</v>
      </c>
      <c r="C4672" s="3">
        <v>-1.04410964735884</v>
      </c>
      <c r="D4672" s="3">
        <v>0.21953181287774001</v>
      </c>
      <c r="E4672" s="3">
        <v>-4.75607445532422</v>
      </c>
      <c r="F4672" s="4">
        <v>1.9739369238101799E-6</v>
      </c>
      <c r="G4672" s="4">
        <v>1.60405187483018E-5</v>
      </c>
      <c r="H4672" s="3" t="str">
        <f>"THAP11"</f>
        <v>THAP11</v>
      </c>
      <c r="I4672" s="3" t="str">
        <f t="shared" si="216"/>
        <v>protein_coding</v>
      </c>
    </row>
    <row r="4673" spans="1:9" x14ac:dyDescent="0.2">
      <c r="A4673" s="3" t="str">
        <f>"ENSG00000261884.2"</f>
        <v>ENSG00000261884.2</v>
      </c>
      <c r="B4673" s="3">
        <v>53.8431491527449</v>
      </c>
      <c r="C4673" s="3">
        <v>-1.38117884833472</v>
      </c>
      <c r="D4673" s="3">
        <v>0.48501223165302298</v>
      </c>
      <c r="E4673" s="3">
        <v>-2.84771962065239</v>
      </c>
      <c r="F4673" s="3">
        <v>4.4033699909377302E-3</v>
      </c>
      <c r="G4673" s="3">
        <v>1.5905955474357698E-2</v>
      </c>
      <c r="H4673" s="3" t="str">
        <f>"AC040162.1"</f>
        <v>AC040162.1</v>
      </c>
      <c r="I4673" s="3" t="str">
        <f t="shared" si="216"/>
        <v>protein_coding</v>
      </c>
    </row>
    <row r="4674" spans="1:9" x14ac:dyDescent="0.2">
      <c r="A4674" s="3" t="str">
        <f>"ENSG00000124067.17"</f>
        <v>ENSG00000124067.17</v>
      </c>
      <c r="B4674" s="3">
        <v>5684.2094241841196</v>
      </c>
      <c r="C4674" s="3">
        <v>1.2037478826811601</v>
      </c>
      <c r="D4674" s="3">
        <v>0.200060192474458</v>
      </c>
      <c r="E4674" s="3">
        <v>6.0169285443172198</v>
      </c>
      <c r="F4674" s="4">
        <v>1.77757498160732E-9</v>
      </c>
      <c r="G4674" s="4">
        <v>2.3263009377451799E-8</v>
      </c>
      <c r="H4674" s="3" t="str">
        <f>"SLC12A4"</f>
        <v>SLC12A4</v>
      </c>
      <c r="I4674" s="3" t="str">
        <f t="shared" si="216"/>
        <v>protein_coding</v>
      </c>
    </row>
    <row r="4675" spans="1:9" x14ac:dyDescent="0.2">
      <c r="A4675" s="3" t="str">
        <f>"ENSG00000167261.14"</f>
        <v>ENSG00000167261.14</v>
      </c>
      <c r="B4675" s="3">
        <v>14.600443143009</v>
      </c>
      <c r="C4675" s="3">
        <v>4.7756100337445799</v>
      </c>
      <c r="D4675" s="3">
        <v>1.32323676211646</v>
      </c>
      <c r="E4675" s="3">
        <v>3.60903669733767</v>
      </c>
      <c r="F4675" s="3">
        <v>3.0733613582884103E-4</v>
      </c>
      <c r="G4675" s="3">
        <v>1.55737171153588E-3</v>
      </c>
      <c r="H4675" s="3" t="str">
        <f>"DPEP2"</f>
        <v>DPEP2</v>
      </c>
      <c r="I4675" s="3" t="str">
        <f t="shared" si="216"/>
        <v>protein_coding</v>
      </c>
    </row>
    <row r="4676" spans="1:9" x14ac:dyDescent="0.2">
      <c r="A4676" s="3" t="str">
        <f>"ENSG00000184939.16"</f>
        <v>ENSG00000184939.16</v>
      </c>
      <c r="B4676" s="3">
        <v>1704.06517757353</v>
      </c>
      <c r="C4676" s="3">
        <v>2.9866588654327102</v>
      </c>
      <c r="D4676" s="3">
        <v>0.220706370011231</v>
      </c>
      <c r="E4676" s="3">
        <v>13.5322730616281</v>
      </c>
      <c r="F4676" s="4">
        <v>1.0085611520035E-41</v>
      </c>
      <c r="G4676" s="4">
        <v>1.5016538638600799E-39</v>
      </c>
      <c r="H4676" s="3" t="str">
        <f>"ZFP90"</f>
        <v>ZFP90</v>
      </c>
      <c r="I4676" s="3" t="str">
        <f t="shared" si="216"/>
        <v>protein_coding</v>
      </c>
    </row>
    <row r="4677" spans="1:9" x14ac:dyDescent="0.2">
      <c r="A4677" s="3" t="str">
        <f>"ENSG00000275383.1"</f>
        <v>ENSG00000275383.1</v>
      </c>
      <c r="B4677" s="3">
        <v>21.527438034201499</v>
      </c>
      <c r="C4677" s="3">
        <v>2.0735030431258701</v>
      </c>
      <c r="D4677" s="3">
        <v>0.76103393240678496</v>
      </c>
      <c r="E4677" s="3">
        <v>2.72458684801133</v>
      </c>
      <c r="F4677" s="3">
        <v>6.4381995322480602E-3</v>
      </c>
      <c r="G4677" s="3">
        <v>2.1971646124143599E-2</v>
      </c>
      <c r="H4677" s="3" t="str">
        <f>"AC126773.4"</f>
        <v>AC126773.4</v>
      </c>
      <c r="I4677" s="3" t="str">
        <f>"lincRNA"</f>
        <v>lincRNA</v>
      </c>
    </row>
    <row r="4678" spans="1:9" x14ac:dyDescent="0.2">
      <c r="A4678" s="3" t="str">
        <f>"ENSG00000062038.14"</f>
        <v>ENSG00000062038.14</v>
      </c>
      <c r="B4678" s="3">
        <v>47.6444843312578</v>
      </c>
      <c r="C4678" s="3">
        <v>5.1679639886223203</v>
      </c>
      <c r="D4678" s="3">
        <v>0.80345461598599499</v>
      </c>
      <c r="E4678" s="3">
        <v>6.4321790998489998</v>
      </c>
      <c r="F4678" s="4">
        <v>1.25787397419354E-10</v>
      </c>
      <c r="G4678" s="4">
        <v>1.9308896999916199E-9</v>
      </c>
      <c r="H4678" s="3" t="str">
        <f>"CDH3"</f>
        <v>CDH3</v>
      </c>
      <c r="I4678" s="3" t="str">
        <f>"protein_coding"</f>
        <v>protein_coding</v>
      </c>
    </row>
    <row r="4679" spans="1:9" x14ac:dyDescent="0.2">
      <c r="A4679" s="3" t="str">
        <f>"ENSG00000039068.19"</f>
        <v>ENSG00000039068.19</v>
      </c>
      <c r="B4679" s="3">
        <v>749.51525894927704</v>
      </c>
      <c r="C4679" s="3">
        <v>2.4948861010582801</v>
      </c>
      <c r="D4679" s="3">
        <v>0.28680767406984298</v>
      </c>
      <c r="E4679" s="3">
        <v>8.6988122237298509</v>
      </c>
      <c r="F4679" s="4">
        <v>3.3537594530611398E-18</v>
      </c>
      <c r="G4679" s="4">
        <v>1.10096245563322E-16</v>
      </c>
      <c r="H4679" s="3" t="str">
        <f>"CDH1"</f>
        <v>CDH1</v>
      </c>
      <c r="I4679" s="3" t="str">
        <f>"protein_coding"</f>
        <v>protein_coding</v>
      </c>
    </row>
    <row r="4680" spans="1:9" x14ac:dyDescent="0.2">
      <c r="A4680" s="3" t="str">
        <f>"ENSG00000258429.2"</f>
        <v>ENSG00000258429.2</v>
      </c>
      <c r="B4680" s="3">
        <v>77.928953557735099</v>
      </c>
      <c r="C4680" s="3">
        <v>-2.1035903222244898</v>
      </c>
      <c r="D4680" s="3">
        <v>0.454902166930722</v>
      </c>
      <c r="E4680" s="3">
        <v>-4.6242697334630503</v>
      </c>
      <c r="F4680" s="4">
        <v>3.75920426634447E-6</v>
      </c>
      <c r="G4680" s="4">
        <v>2.9057315927684499E-5</v>
      </c>
      <c r="H4680" s="3" t="str">
        <f>"PDF"</f>
        <v>PDF</v>
      </c>
      <c r="I4680" s="3" t="str">
        <f>"protein_coding"</f>
        <v>protein_coding</v>
      </c>
    </row>
    <row r="4681" spans="1:9" x14ac:dyDescent="0.2">
      <c r="A4681" s="3" t="str">
        <f>"ENSG00000274093.1"</f>
        <v>ENSG00000274093.1</v>
      </c>
      <c r="B4681" s="3">
        <v>127.26479799810799</v>
      </c>
      <c r="C4681" s="3">
        <v>1.4104419639313199</v>
      </c>
      <c r="D4681" s="3">
        <v>0.41173725052818499</v>
      </c>
      <c r="E4681" s="3">
        <v>3.42558746414606</v>
      </c>
      <c r="F4681" s="3">
        <v>6.1347137892139001E-4</v>
      </c>
      <c r="G4681" s="3">
        <v>2.8705572147468901E-3</v>
      </c>
      <c r="H4681" s="3" t="str">
        <f>"AC009032.1"</f>
        <v>AC009032.1</v>
      </c>
      <c r="I4681" s="3" t="str">
        <f>"sense_intronic"</f>
        <v>sense_intronic</v>
      </c>
    </row>
    <row r="4682" spans="1:9" x14ac:dyDescent="0.2">
      <c r="A4682" s="3" t="str">
        <f>"ENSG00000262136.1"</f>
        <v>ENSG00000262136.1</v>
      </c>
      <c r="B4682" s="3">
        <v>55.731342965124</v>
      </c>
      <c r="C4682" s="3">
        <v>1.3519928125460901</v>
      </c>
      <c r="D4682" s="3">
        <v>0.49249238230028602</v>
      </c>
      <c r="E4682" s="3">
        <v>2.7452055323806999</v>
      </c>
      <c r="F4682" s="3">
        <v>6.0473010900980104E-3</v>
      </c>
      <c r="G4682" s="3">
        <v>2.0827118704228102E-2</v>
      </c>
      <c r="H4682" s="3" t="str">
        <f>"AC092115.3"</f>
        <v>AC092115.3</v>
      </c>
      <c r="I4682" s="3" t="str">
        <f>"antisense"</f>
        <v>antisense</v>
      </c>
    </row>
    <row r="4683" spans="1:9" x14ac:dyDescent="0.2">
      <c r="A4683" s="3" t="str">
        <f>"ENSG00000247228.2"</f>
        <v>ENSG00000247228.2</v>
      </c>
      <c r="B4683" s="3">
        <v>26.107297032916399</v>
      </c>
      <c r="C4683" s="3">
        <v>2.19980551298397</v>
      </c>
      <c r="D4683" s="3">
        <v>0.71815231107405897</v>
      </c>
      <c r="E4683" s="3">
        <v>3.0631461864878902</v>
      </c>
      <c r="F4683" s="3">
        <v>2.1902303582687801E-3</v>
      </c>
      <c r="G4683" s="3">
        <v>8.7145453521830299E-3</v>
      </c>
      <c r="H4683" s="3" t="str">
        <f>"AC009060.1"</f>
        <v>AC009060.1</v>
      </c>
      <c r="I4683" s="3" t="str">
        <f>"antisense"</f>
        <v>antisense</v>
      </c>
    </row>
    <row r="4684" spans="1:9" x14ac:dyDescent="0.2">
      <c r="A4684" s="3" t="str">
        <f>"ENSG00000090861.15"</f>
        <v>ENSG00000090861.15</v>
      </c>
      <c r="B4684" s="3">
        <v>4906.0368907537404</v>
      </c>
      <c r="C4684" s="3">
        <v>-1.2325030044752501</v>
      </c>
      <c r="D4684" s="3">
        <v>0.19576053149782399</v>
      </c>
      <c r="E4684" s="3">
        <v>-6.29597291673144</v>
      </c>
      <c r="F4684" s="4">
        <v>3.0547770974929701E-10</v>
      </c>
      <c r="G4684" s="4">
        <v>4.4249607429766499E-9</v>
      </c>
      <c r="H4684" s="3" t="str">
        <f>"AARS"</f>
        <v>AARS</v>
      </c>
      <c r="I4684" s="3" t="str">
        <f>"protein_coding"</f>
        <v>protein_coding</v>
      </c>
    </row>
    <row r="4685" spans="1:9" x14ac:dyDescent="0.2">
      <c r="A4685" s="3" t="str">
        <f>"ENSG00000157423.18"</f>
        <v>ENSG00000157423.18</v>
      </c>
      <c r="B4685" s="3">
        <v>17.5442859541267</v>
      </c>
      <c r="C4685" s="3">
        <v>5.0420505598354799</v>
      </c>
      <c r="D4685" s="3">
        <v>1.2697213573700701</v>
      </c>
      <c r="E4685" s="3">
        <v>3.9709898006905302</v>
      </c>
      <c r="F4685" s="4">
        <v>7.1574643795234994E-5</v>
      </c>
      <c r="G4685" s="3">
        <v>4.2312742883245102E-4</v>
      </c>
      <c r="H4685" s="3" t="str">
        <f>"HYDIN"</f>
        <v>HYDIN</v>
      </c>
      <c r="I4685" s="3" t="str">
        <f>"protein_coding"</f>
        <v>protein_coding</v>
      </c>
    </row>
    <row r="4686" spans="1:9" x14ac:dyDescent="0.2">
      <c r="A4686" s="3" t="str">
        <f>"ENSG00000261348.1"</f>
        <v>ENSG00000261348.1</v>
      </c>
      <c r="B4686" s="3">
        <v>12.220584209662601</v>
      </c>
      <c r="C4686" s="3">
        <v>7.00622807305189</v>
      </c>
      <c r="D4686" s="3">
        <v>1.7121540814926599</v>
      </c>
      <c r="E4686" s="3">
        <v>4.0920546513803604</v>
      </c>
      <c r="F4686" s="4">
        <v>4.2756784765787397E-5</v>
      </c>
      <c r="G4686" s="3">
        <v>2.65072608535474E-4</v>
      </c>
      <c r="H4686" s="3" t="str">
        <f>"LINC02136"</f>
        <v>LINC02136</v>
      </c>
      <c r="I4686" s="3" t="str">
        <f>"lincRNA"</f>
        <v>lincRNA</v>
      </c>
    </row>
    <row r="4687" spans="1:9" x14ac:dyDescent="0.2">
      <c r="A4687" s="3" t="str">
        <f>"ENSG00000157429.15"</f>
        <v>ENSG00000157429.15</v>
      </c>
      <c r="B4687" s="3">
        <v>91.002803765059596</v>
      </c>
      <c r="C4687" s="3">
        <v>1.0575631675399699</v>
      </c>
      <c r="D4687" s="3">
        <v>0.42511871136356399</v>
      </c>
      <c r="E4687" s="3">
        <v>2.4876890601870798</v>
      </c>
      <c r="F4687" s="3">
        <v>1.28576093027049E-2</v>
      </c>
      <c r="G4687" s="3">
        <v>3.9257203123128602E-2</v>
      </c>
      <c r="H4687" s="3" t="str">
        <f>"ZNF19"</f>
        <v>ZNF19</v>
      </c>
      <c r="I4687" s="3" t="str">
        <f t="shared" ref="I4687:I4694" si="217">"protein_coding"</f>
        <v>protein_coding</v>
      </c>
    </row>
    <row r="4688" spans="1:9" x14ac:dyDescent="0.2">
      <c r="A4688" s="3" t="str">
        <f>"ENSG00000198650.11"</f>
        <v>ENSG00000198650.11</v>
      </c>
      <c r="B4688" s="3">
        <v>116.72824325756</v>
      </c>
      <c r="C4688" s="3">
        <v>-1.75747684518729</v>
      </c>
      <c r="D4688" s="3">
        <v>0.368451952710798</v>
      </c>
      <c r="E4688" s="3">
        <v>-4.7698942352105203</v>
      </c>
      <c r="F4688" s="4">
        <v>1.8432267152638601E-6</v>
      </c>
      <c r="G4688" s="4">
        <v>1.5041149539021999E-5</v>
      </c>
      <c r="H4688" s="3" t="str">
        <f>"TAT"</f>
        <v>TAT</v>
      </c>
      <c r="I4688" s="3" t="str">
        <f t="shared" si="217"/>
        <v>protein_coding</v>
      </c>
    </row>
    <row r="4689" spans="1:9" x14ac:dyDescent="0.2">
      <c r="A4689" s="3" t="str">
        <f>"ENSG00000140832.9"</f>
        <v>ENSG00000140832.9</v>
      </c>
      <c r="B4689" s="3">
        <v>220.40896072298801</v>
      </c>
      <c r="C4689" s="3">
        <v>1.4634714055490801</v>
      </c>
      <c r="D4689" s="3">
        <v>0.286623584329813</v>
      </c>
      <c r="E4689" s="3">
        <v>5.1059001616038797</v>
      </c>
      <c r="F4689" s="4">
        <v>3.2922348941897101E-7</v>
      </c>
      <c r="G4689" s="4">
        <v>3.0605091832817199E-6</v>
      </c>
      <c r="H4689" s="3" t="str">
        <f>"MARVELD3"</f>
        <v>MARVELD3</v>
      </c>
      <c r="I4689" s="3" t="str">
        <f t="shared" si="217"/>
        <v>protein_coding</v>
      </c>
    </row>
    <row r="4690" spans="1:9" x14ac:dyDescent="0.2">
      <c r="A4690" s="3" t="str">
        <f>"ENSG00000277481.1"</f>
        <v>ENSG00000277481.1</v>
      </c>
      <c r="B4690" s="3">
        <v>6.7157353100747503</v>
      </c>
      <c r="C4690" s="3">
        <v>6.14239025792617</v>
      </c>
      <c r="D4690" s="3">
        <v>1.90050470221933</v>
      </c>
      <c r="E4690" s="3">
        <v>3.23197845853965</v>
      </c>
      <c r="F4690" s="3">
        <v>1.22936323297014E-3</v>
      </c>
      <c r="G4690" s="3">
        <v>5.28418678162762E-3</v>
      </c>
      <c r="H4690" s="3" t="str">
        <f>"PKD1L3"</f>
        <v>PKD1L3</v>
      </c>
      <c r="I4690" s="3" t="str">
        <f t="shared" si="217"/>
        <v>protein_coding</v>
      </c>
    </row>
    <row r="4691" spans="1:9" x14ac:dyDescent="0.2">
      <c r="A4691" s="3" t="str">
        <f>"ENSG00000102967.12"</f>
        <v>ENSG00000102967.12</v>
      </c>
      <c r="B4691" s="3">
        <v>414.16541428902002</v>
      </c>
      <c r="C4691" s="3">
        <v>-1.1798030762826399</v>
      </c>
      <c r="D4691" s="3">
        <v>0.24685189998284399</v>
      </c>
      <c r="E4691" s="3">
        <v>-4.7793963763885499</v>
      </c>
      <c r="F4691" s="4">
        <v>1.75822261705757E-6</v>
      </c>
      <c r="G4691" s="4">
        <v>1.43992460616073E-5</v>
      </c>
      <c r="H4691" s="3" t="str">
        <f>"DHODH"</f>
        <v>DHODH</v>
      </c>
      <c r="I4691" s="3" t="str">
        <f t="shared" si="217"/>
        <v>protein_coding</v>
      </c>
    </row>
    <row r="4692" spans="1:9" x14ac:dyDescent="0.2">
      <c r="A4692" s="3" t="str">
        <f>"ENSG00000257017.8"</f>
        <v>ENSG00000257017.8</v>
      </c>
      <c r="B4692" s="3">
        <v>381.521983660876</v>
      </c>
      <c r="C4692" s="3">
        <v>-3.37803370896737</v>
      </c>
      <c r="D4692" s="3">
        <v>0.28399807050923798</v>
      </c>
      <c r="E4692" s="3">
        <v>-11.894565702190199</v>
      </c>
      <c r="F4692" s="4">
        <v>1.2630835763200599E-32</v>
      </c>
      <c r="G4692" s="4">
        <v>1.1548737652346499E-30</v>
      </c>
      <c r="H4692" s="3" t="str">
        <f>"HP"</f>
        <v>HP</v>
      </c>
      <c r="I4692" s="3" t="str">
        <f t="shared" si="217"/>
        <v>protein_coding</v>
      </c>
    </row>
    <row r="4693" spans="1:9" x14ac:dyDescent="0.2">
      <c r="A4693" s="3" t="str">
        <f>"ENSG00000261701.7"</f>
        <v>ENSG00000261701.7</v>
      </c>
      <c r="B4693" s="3">
        <v>59.129890227707897</v>
      </c>
      <c r="C4693" s="3">
        <v>-2.8954026338171501</v>
      </c>
      <c r="D4693" s="3">
        <v>0.52324800284363904</v>
      </c>
      <c r="E4693" s="3">
        <v>-5.5335187484363404</v>
      </c>
      <c r="F4693" s="4">
        <v>3.1386941593283502E-8</v>
      </c>
      <c r="G4693" s="4">
        <v>3.4792514141260999E-7</v>
      </c>
      <c r="H4693" s="3" t="str">
        <f>"HPR"</f>
        <v>HPR</v>
      </c>
      <c r="I4693" s="3" t="str">
        <f t="shared" si="217"/>
        <v>protein_coding</v>
      </c>
    </row>
    <row r="4694" spans="1:9" x14ac:dyDescent="0.2">
      <c r="A4694" s="3" t="str">
        <f>"ENSG00000118557.15"</f>
        <v>ENSG00000118557.15</v>
      </c>
      <c r="B4694" s="3">
        <v>109.90896746155801</v>
      </c>
      <c r="C4694" s="3">
        <v>-1.45819817639778</v>
      </c>
      <c r="D4694" s="3">
        <v>0.36045098473579101</v>
      </c>
      <c r="E4694" s="3">
        <v>-4.0454825708594804</v>
      </c>
      <c r="F4694" s="4">
        <v>5.2215450641167998E-5</v>
      </c>
      <c r="G4694" s="3">
        <v>3.1828062273375898E-4</v>
      </c>
      <c r="H4694" s="3" t="str">
        <f>"PMFBP1"</f>
        <v>PMFBP1</v>
      </c>
      <c r="I4694" s="3" t="str">
        <f t="shared" si="217"/>
        <v>protein_coding</v>
      </c>
    </row>
    <row r="4695" spans="1:9" x14ac:dyDescent="0.2">
      <c r="A4695" s="3" t="str">
        <f>"ENSG00000260664.2"</f>
        <v>ENSG00000260664.2</v>
      </c>
      <c r="B4695" s="3">
        <v>5.8732415284010102</v>
      </c>
      <c r="C4695" s="3">
        <v>5.9517568877012001</v>
      </c>
      <c r="D4695" s="3">
        <v>1.9562798399693699</v>
      </c>
      <c r="E4695" s="3">
        <v>3.04238522838041</v>
      </c>
      <c r="F4695" s="3">
        <v>2.3471130442924799E-3</v>
      </c>
      <c r="G4695" s="3">
        <v>9.2429237054252392E-3</v>
      </c>
      <c r="H4695" s="3" t="str">
        <f>"AC004158.1"</f>
        <v>AC004158.1</v>
      </c>
      <c r="I4695" s="3" t="str">
        <f>"lincRNA"</f>
        <v>lincRNA</v>
      </c>
    </row>
    <row r="4696" spans="1:9" x14ac:dyDescent="0.2">
      <c r="A4696" s="3" t="str">
        <f>"ENSG00000140836.17"</f>
        <v>ENSG00000140836.17</v>
      </c>
      <c r="B4696" s="3">
        <v>6528.4439260260997</v>
      </c>
      <c r="C4696" s="3">
        <v>-1.07365864437225</v>
      </c>
      <c r="D4696" s="3">
        <v>0.17496360841650499</v>
      </c>
      <c r="E4696" s="3">
        <v>-6.1364683438420098</v>
      </c>
      <c r="F4696" s="4">
        <v>8.4376167952869195E-10</v>
      </c>
      <c r="G4696" s="4">
        <v>1.15935322653143E-8</v>
      </c>
      <c r="H4696" s="3" t="str">
        <f>"ZFHX3"</f>
        <v>ZFHX3</v>
      </c>
      <c r="I4696" s="3" t="str">
        <f>"protein_coding"</f>
        <v>protein_coding</v>
      </c>
    </row>
    <row r="4697" spans="1:9" x14ac:dyDescent="0.2">
      <c r="A4697" s="3" t="str">
        <f>"ENSG00000261170.1"</f>
        <v>ENSG00000261170.1</v>
      </c>
      <c r="B4697" s="3">
        <v>17.367942150086801</v>
      </c>
      <c r="C4697" s="3">
        <v>2.4998344766663001</v>
      </c>
      <c r="D4697" s="3">
        <v>0.96054055971260999</v>
      </c>
      <c r="E4697" s="3">
        <v>2.6025288067109198</v>
      </c>
      <c r="F4697" s="3">
        <v>9.2539040578517393E-3</v>
      </c>
      <c r="G4697" s="3">
        <v>2.9751165057732901E-2</v>
      </c>
      <c r="H4697" s="3" t="str">
        <f>"AC009053.3"</f>
        <v>AC009053.3</v>
      </c>
      <c r="I4697" s="3" t="str">
        <f>"antisense"</f>
        <v>antisense</v>
      </c>
    </row>
    <row r="4698" spans="1:9" x14ac:dyDescent="0.2">
      <c r="A4698" s="3" t="str">
        <f>"ENSG00000168404.13"</f>
        <v>ENSG00000168404.13</v>
      </c>
      <c r="B4698" s="3">
        <v>186.49526973289801</v>
      </c>
      <c r="C4698" s="3">
        <v>-2.8631085880204199</v>
      </c>
      <c r="D4698" s="3">
        <v>0.31535151345203699</v>
      </c>
      <c r="E4698" s="3">
        <v>-9.0791020999995506</v>
      </c>
      <c r="F4698" s="4">
        <v>1.0947420736094601E-19</v>
      </c>
      <c r="G4698" s="4">
        <v>4.0860872985804002E-18</v>
      </c>
      <c r="H4698" s="3" t="str">
        <f>"MLKL"</f>
        <v>MLKL</v>
      </c>
      <c r="I4698" s="3" t="str">
        <f t="shared" ref="I4698:I4704" si="218">"protein_coding"</f>
        <v>protein_coding</v>
      </c>
    </row>
    <row r="4699" spans="1:9" x14ac:dyDescent="0.2">
      <c r="A4699" s="3" t="str">
        <f>"ENSG00000103089.9"</f>
        <v>ENSG00000103089.9</v>
      </c>
      <c r="B4699" s="3">
        <v>19.27736688481</v>
      </c>
      <c r="C4699" s="3">
        <v>6.2027498496194102</v>
      </c>
      <c r="D4699" s="3">
        <v>1.61236656667391</v>
      </c>
      <c r="E4699" s="3">
        <v>3.8469849089061801</v>
      </c>
      <c r="F4699" s="3">
        <v>1.19580331879505E-4</v>
      </c>
      <c r="G4699" s="3">
        <v>6.7346120353883095E-4</v>
      </c>
      <c r="H4699" s="3" t="str">
        <f>"FA2H"</f>
        <v>FA2H</v>
      </c>
      <c r="I4699" s="3" t="str">
        <f t="shared" si="218"/>
        <v>protein_coding</v>
      </c>
    </row>
    <row r="4700" spans="1:9" x14ac:dyDescent="0.2">
      <c r="A4700" s="3" t="str">
        <f>"ENSG00000186187.11"</f>
        <v>ENSG00000186187.11</v>
      </c>
      <c r="B4700" s="3">
        <v>1637.52727705597</v>
      </c>
      <c r="C4700" s="3">
        <v>-1.0667318629396401</v>
      </c>
      <c r="D4700" s="3">
        <v>0.196272104339756</v>
      </c>
      <c r="E4700" s="3">
        <v>-5.4349642121994002</v>
      </c>
      <c r="F4700" s="4">
        <v>5.4807431528034699E-8</v>
      </c>
      <c r="G4700" s="4">
        <v>5.82517676364731E-7</v>
      </c>
      <c r="H4700" s="3" t="str">
        <f>"ZNRF1"</f>
        <v>ZNRF1</v>
      </c>
      <c r="I4700" s="3" t="str">
        <f t="shared" si="218"/>
        <v>protein_coding</v>
      </c>
    </row>
    <row r="4701" spans="1:9" x14ac:dyDescent="0.2">
      <c r="A4701" s="3" t="str">
        <f>"ENSG00000168928.13"</f>
        <v>ENSG00000168928.13</v>
      </c>
      <c r="B4701" s="3">
        <v>3.7443793362539499</v>
      </c>
      <c r="C4701" s="3">
        <v>5.3028405840866704</v>
      </c>
      <c r="D4701" s="3">
        <v>2.1958005004532399</v>
      </c>
      <c r="E4701" s="3">
        <v>2.4149919735386298</v>
      </c>
      <c r="F4701" s="3">
        <v>1.5735556439619401E-2</v>
      </c>
      <c r="G4701" s="3">
        <v>4.6361019280959197E-2</v>
      </c>
      <c r="H4701" s="3" t="str">
        <f>"CTRB2"</f>
        <v>CTRB2</v>
      </c>
      <c r="I4701" s="3" t="str">
        <f t="shared" si="218"/>
        <v>protein_coding</v>
      </c>
    </row>
    <row r="4702" spans="1:9" x14ac:dyDescent="0.2">
      <c r="A4702" s="3" t="str">
        <f>"ENSG00000183196.10"</f>
        <v>ENSG00000183196.10</v>
      </c>
      <c r="B4702" s="3">
        <v>412.32737542475297</v>
      </c>
      <c r="C4702" s="3">
        <v>1.90193509970359</v>
      </c>
      <c r="D4702" s="3">
        <v>0.26516430221311399</v>
      </c>
      <c r="E4702" s="3">
        <v>7.1726664706737102</v>
      </c>
      <c r="F4702" s="4">
        <v>7.3550892899080097E-13</v>
      </c>
      <c r="G4702" s="4">
        <v>1.4877811275584499E-11</v>
      </c>
      <c r="H4702" s="3" t="str">
        <f>"CHST6"</f>
        <v>CHST6</v>
      </c>
      <c r="I4702" s="3" t="str">
        <f t="shared" si="218"/>
        <v>protein_coding</v>
      </c>
    </row>
    <row r="4703" spans="1:9" x14ac:dyDescent="0.2">
      <c r="A4703" s="3" t="str">
        <f>"ENSG00000034713.8"</f>
        <v>ENSG00000034713.8</v>
      </c>
      <c r="B4703" s="3">
        <v>1459.76215781777</v>
      </c>
      <c r="C4703" s="3">
        <v>1.24654714301133</v>
      </c>
      <c r="D4703" s="3">
        <v>0.19273977738742401</v>
      </c>
      <c r="E4703" s="3">
        <v>6.4675136596513596</v>
      </c>
      <c r="F4703" s="4">
        <v>9.9628537620418002E-11</v>
      </c>
      <c r="G4703" s="4">
        <v>1.5511878654534399E-9</v>
      </c>
      <c r="H4703" s="3" t="str">
        <f>"GABARAPL2"</f>
        <v>GABARAPL2</v>
      </c>
      <c r="I4703" s="3" t="str">
        <f t="shared" si="218"/>
        <v>protein_coding</v>
      </c>
    </row>
    <row r="4704" spans="1:9" x14ac:dyDescent="0.2">
      <c r="A4704" s="3" t="str">
        <f>"ENSG00000140873.16"</f>
        <v>ENSG00000140873.16</v>
      </c>
      <c r="B4704" s="3">
        <v>3.8893317554809199</v>
      </c>
      <c r="C4704" s="3">
        <v>5.35263968609567</v>
      </c>
      <c r="D4704" s="3">
        <v>2.1805139762792298</v>
      </c>
      <c r="E4704" s="3">
        <v>2.4547605492670499</v>
      </c>
      <c r="F4704" s="3">
        <v>1.40978459500909E-2</v>
      </c>
      <c r="G4704" s="3">
        <v>4.2402473628670397E-2</v>
      </c>
      <c r="H4704" s="3" t="str">
        <f>"ADAMTS18"</f>
        <v>ADAMTS18</v>
      </c>
      <c r="I4704" s="3" t="str">
        <f t="shared" si="218"/>
        <v>protein_coding</v>
      </c>
    </row>
    <row r="4705" spans="1:9" x14ac:dyDescent="0.2">
      <c r="A4705" s="3" t="str">
        <f>"ENSG00000243101.1"</f>
        <v>ENSG00000243101.1</v>
      </c>
      <c r="B4705" s="3">
        <v>21.379729790137102</v>
      </c>
      <c r="C4705" s="3">
        <v>-1.8348475824552699</v>
      </c>
      <c r="D4705" s="3">
        <v>0.76651292327115705</v>
      </c>
      <c r="E4705" s="3">
        <v>-2.3937594876090298</v>
      </c>
      <c r="F4705" s="3">
        <v>1.6676680308990902E-2</v>
      </c>
      <c r="G4705" s="3">
        <v>4.8670684273679897E-2</v>
      </c>
      <c r="H4705" s="3" t="str">
        <f>"RPS3P7"</f>
        <v>RPS3P7</v>
      </c>
      <c r="I4705" s="3" t="str">
        <f>"processed_pseudogene"</f>
        <v>processed_pseudogene</v>
      </c>
    </row>
    <row r="4706" spans="1:9" x14ac:dyDescent="0.2">
      <c r="A4706" s="3" t="str">
        <f>"ENSG00000178573.7"</f>
        <v>ENSG00000178573.7</v>
      </c>
      <c r="B4706" s="3">
        <v>26.266147583839</v>
      </c>
      <c r="C4706" s="3">
        <v>3.56145961585174</v>
      </c>
      <c r="D4706" s="3">
        <v>0.83894205168947</v>
      </c>
      <c r="E4706" s="3">
        <v>4.2451795194669701</v>
      </c>
      <c r="F4706" s="4">
        <v>2.1841848173202401E-5</v>
      </c>
      <c r="G4706" s="3">
        <v>1.43958596317185E-4</v>
      </c>
      <c r="H4706" s="3" t="str">
        <f>"MAF"</f>
        <v>MAF</v>
      </c>
      <c r="I4706" s="3" t="str">
        <f>"protein_coding"</f>
        <v>protein_coding</v>
      </c>
    </row>
    <row r="4707" spans="1:9" x14ac:dyDescent="0.2">
      <c r="A4707" s="3" t="str">
        <f>"ENSG00000259867.5"</f>
        <v>ENSG00000259867.5</v>
      </c>
      <c r="B4707" s="3">
        <v>47.569766241619199</v>
      </c>
      <c r="C4707" s="3">
        <v>3.0395828650134402</v>
      </c>
      <c r="D4707" s="3">
        <v>0.58091910361916799</v>
      </c>
      <c r="E4707" s="3">
        <v>5.2323685795089396</v>
      </c>
      <c r="F4707" s="4">
        <v>1.6735163099938999E-7</v>
      </c>
      <c r="G4707" s="4">
        <v>1.63786993169553E-6</v>
      </c>
      <c r="H4707" s="3" t="str">
        <f>"AC105411.1"</f>
        <v>AC105411.1</v>
      </c>
      <c r="I4707" s="3" t="str">
        <f>"antisense"</f>
        <v>antisense</v>
      </c>
    </row>
    <row r="4708" spans="1:9" x14ac:dyDescent="0.2">
      <c r="A4708" s="3" t="str">
        <f>"ENSG00000086696.11"</f>
        <v>ENSG00000086696.11</v>
      </c>
      <c r="B4708" s="3">
        <v>1927.8037871409399</v>
      </c>
      <c r="C4708" s="3">
        <v>2.0630864302773002</v>
      </c>
      <c r="D4708" s="3">
        <v>0.20402053483179</v>
      </c>
      <c r="E4708" s="3">
        <v>10.1121508772549</v>
      </c>
      <c r="F4708" s="4">
        <v>4.8800932186989399E-24</v>
      </c>
      <c r="G4708" s="4">
        <v>2.5183314380660998E-22</v>
      </c>
      <c r="H4708" s="3" t="str">
        <f>"HSD17B2"</f>
        <v>HSD17B2</v>
      </c>
      <c r="I4708" s="3" t="str">
        <f t="shared" ref="I4708:I4716" si="219">"protein_coding"</f>
        <v>protein_coding</v>
      </c>
    </row>
    <row r="4709" spans="1:9" x14ac:dyDescent="0.2">
      <c r="A4709" s="3" t="str">
        <f>"ENSG00000140945.17"</f>
        <v>ENSG00000140945.17</v>
      </c>
      <c r="B4709" s="3">
        <v>10.094603277835899</v>
      </c>
      <c r="C4709" s="3">
        <v>5.2439632415885002</v>
      </c>
      <c r="D4709" s="3">
        <v>1.77067716529166</v>
      </c>
      <c r="E4709" s="3">
        <v>2.96155806624679</v>
      </c>
      <c r="F4709" s="3">
        <v>3.0608677162015899E-3</v>
      </c>
      <c r="G4709" s="3">
        <v>1.1662629375380301E-2</v>
      </c>
      <c r="H4709" s="3" t="str">
        <f>"CDH13"</f>
        <v>CDH13</v>
      </c>
      <c r="I4709" s="3" t="str">
        <f t="shared" si="219"/>
        <v>protein_coding</v>
      </c>
    </row>
    <row r="4710" spans="1:9" x14ac:dyDescent="0.2">
      <c r="A4710" s="3" t="str">
        <f>"ENSG00000103150.6"</f>
        <v>ENSG00000103150.6</v>
      </c>
      <c r="B4710" s="3">
        <v>428.92358429624602</v>
      </c>
      <c r="C4710" s="3">
        <v>1.0037805612341399</v>
      </c>
      <c r="D4710" s="3">
        <v>0.24833674698101099</v>
      </c>
      <c r="E4710" s="3">
        <v>4.04201381163658</v>
      </c>
      <c r="F4710" s="4">
        <v>5.2994110367516302E-5</v>
      </c>
      <c r="G4710" s="3">
        <v>3.2244987163548898E-4</v>
      </c>
      <c r="H4710" s="3" t="str">
        <f>"MLYCD"</f>
        <v>MLYCD</v>
      </c>
      <c r="I4710" s="3" t="str">
        <f t="shared" si="219"/>
        <v>protein_coding</v>
      </c>
    </row>
    <row r="4711" spans="1:9" x14ac:dyDescent="0.2">
      <c r="A4711" s="3" t="str">
        <f>"ENSG00000260300.5"</f>
        <v>ENSG00000260300.5</v>
      </c>
      <c r="B4711" s="3">
        <v>29.258089338969999</v>
      </c>
      <c r="C4711" s="3">
        <v>2.82751372806979</v>
      </c>
      <c r="D4711" s="3">
        <v>0.70638042876389195</v>
      </c>
      <c r="E4711" s="3">
        <v>4.0028200286037201</v>
      </c>
      <c r="F4711" s="4">
        <v>6.2591915739078694E-5</v>
      </c>
      <c r="G4711" s="3">
        <v>3.7513808454610098E-4</v>
      </c>
      <c r="H4711" s="3" t="str">
        <f>"AC009119.2"</f>
        <v>AC009119.2</v>
      </c>
      <c r="I4711" s="3" t="str">
        <f t="shared" si="219"/>
        <v>protein_coding</v>
      </c>
    </row>
    <row r="4712" spans="1:9" x14ac:dyDescent="0.2">
      <c r="A4712" s="3" t="str">
        <f>"ENSG00000154099.18"</f>
        <v>ENSG00000154099.18</v>
      </c>
      <c r="B4712" s="3">
        <v>8.4762048734086104</v>
      </c>
      <c r="C4712" s="3">
        <v>6.4770558149072102</v>
      </c>
      <c r="D4712" s="3">
        <v>1.8229169800052201</v>
      </c>
      <c r="E4712" s="3">
        <v>3.55312715057855</v>
      </c>
      <c r="F4712" s="3">
        <v>3.8068041528367599E-4</v>
      </c>
      <c r="G4712" s="3">
        <v>1.88589077731533E-3</v>
      </c>
      <c r="H4712" s="3" t="str">
        <f>"DNAAF1"</f>
        <v>DNAAF1</v>
      </c>
      <c r="I4712" s="3" t="str">
        <f t="shared" si="219"/>
        <v>protein_coding</v>
      </c>
    </row>
    <row r="4713" spans="1:9" x14ac:dyDescent="0.2">
      <c r="A4713" s="3" t="str">
        <f>"ENSG00000103187.8"</f>
        <v>ENSG00000103187.8</v>
      </c>
      <c r="B4713" s="3">
        <v>416.94322311834998</v>
      </c>
      <c r="C4713" s="3">
        <v>-2.5215474186553499</v>
      </c>
      <c r="D4713" s="3">
        <v>0.26568216316531801</v>
      </c>
      <c r="E4713" s="3">
        <v>-9.4908419466847995</v>
      </c>
      <c r="F4713" s="4">
        <v>2.29175656116514E-21</v>
      </c>
      <c r="G4713" s="4">
        <v>9.9274230559724196E-20</v>
      </c>
      <c r="H4713" s="3" t="str">
        <f>"COTL1"</f>
        <v>COTL1</v>
      </c>
      <c r="I4713" s="3" t="str">
        <f t="shared" si="219"/>
        <v>protein_coding</v>
      </c>
    </row>
    <row r="4714" spans="1:9" x14ac:dyDescent="0.2">
      <c r="A4714" s="3" t="str">
        <f>"ENSG00000103196.12"</f>
        <v>ENSG00000103196.12</v>
      </c>
      <c r="B4714" s="3">
        <v>92.519470155181295</v>
      </c>
      <c r="C4714" s="3">
        <v>4.7317151574909904</v>
      </c>
      <c r="D4714" s="3">
        <v>0.54180447084159999</v>
      </c>
      <c r="E4714" s="3">
        <v>8.7332523302015002</v>
      </c>
      <c r="F4714" s="4">
        <v>2.4745220801968502E-18</v>
      </c>
      <c r="G4714" s="4">
        <v>8.2525462814104898E-17</v>
      </c>
      <c r="H4714" s="3" t="str">
        <f>"CRISPLD2"</f>
        <v>CRISPLD2</v>
      </c>
      <c r="I4714" s="3" t="str">
        <f t="shared" si="219"/>
        <v>protein_coding</v>
      </c>
    </row>
    <row r="4715" spans="1:9" x14ac:dyDescent="0.2">
      <c r="A4715" s="3" t="str">
        <f>"ENSG00000135709.12"</f>
        <v>ENSG00000135709.12</v>
      </c>
      <c r="B4715" s="3">
        <v>192.13856958787801</v>
      </c>
      <c r="C4715" s="3">
        <v>2.8283700061101702</v>
      </c>
      <c r="D4715" s="3">
        <v>0.31837768145643403</v>
      </c>
      <c r="E4715" s="3">
        <v>8.8836943380316402</v>
      </c>
      <c r="F4715" s="4">
        <v>6.4675841920776301E-19</v>
      </c>
      <c r="G4715" s="4">
        <v>2.2592598266864001E-17</v>
      </c>
      <c r="H4715" s="3" t="str">
        <f>"KIAA0513"</f>
        <v>KIAA0513</v>
      </c>
      <c r="I4715" s="3" t="str">
        <f t="shared" si="219"/>
        <v>protein_coding</v>
      </c>
    </row>
    <row r="4716" spans="1:9" x14ac:dyDescent="0.2">
      <c r="A4716" s="3" t="str">
        <f>"ENSG00000153789.13"</f>
        <v>ENSG00000153789.13</v>
      </c>
      <c r="B4716" s="3">
        <v>8.5213358192815392</v>
      </c>
      <c r="C4716" s="3">
        <v>4.9975541040620897</v>
      </c>
      <c r="D4716" s="3">
        <v>1.7916388257006901</v>
      </c>
      <c r="E4716" s="3">
        <v>2.7893758677101701</v>
      </c>
      <c r="F4716" s="3">
        <v>5.2809736423606096E-3</v>
      </c>
      <c r="G4716" s="3">
        <v>1.8576128173689602E-2</v>
      </c>
      <c r="H4716" s="3" t="str">
        <f>"FAM92B"</f>
        <v>FAM92B</v>
      </c>
      <c r="I4716" s="3" t="str">
        <f t="shared" si="219"/>
        <v>protein_coding</v>
      </c>
    </row>
    <row r="4717" spans="1:9" x14ac:dyDescent="0.2">
      <c r="A4717" s="3" t="str">
        <f>"ENSG00000278214.1"</f>
        <v>ENSG00000278214.1</v>
      </c>
      <c r="B4717" s="3">
        <v>34.759336436799799</v>
      </c>
      <c r="C4717" s="3">
        <v>8.5160415591726899</v>
      </c>
      <c r="D4717" s="3">
        <v>1.54750110068239</v>
      </c>
      <c r="E4717" s="3">
        <v>5.5030924084108497</v>
      </c>
      <c r="F4717" s="4">
        <v>3.7318668581602797E-8</v>
      </c>
      <c r="G4717" s="4">
        <v>4.0738051395950801E-7</v>
      </c>
      <c r="H4717" s="3" t="str">
        <f>"LINC02139"</f>
        <v>LINC02139</v>
      </c>
      <c r="I4717" s="3" t="str">
        <f>"lincRNA"</f>
        <v>lincRNA</v>
      </c>
    </row>
    <row r="4718" spans="1:9" x14ac:dyDescent="0.2">
      <c r="A4718" s="3" t="str">
        <f>"ENSG00000179219.5"</f>
        <v>ENSG00000179219.5</v>
      </c>
      <c r="B4718" s="3">
        <v>24.262983685664299</v>
      </c>
      <c r="C4718" s="3">
        <v>7.99789449594636</v>
      </c>
      <c r="D4718" s="3">
        <v>1.58773767494782</v>
      </c>
      <c r="E4718" s="3">
        <v>5.0372896115910297</v>
      </c>
      <c r="F4718" s="4">
        <v>4.7217009281260899E-7</v>
      </c>
      <c r="G4718" s="4">
        <v>4.2855491401949199E-6</v>
      </c>
      <c r="H4718" s="3" t="str">
        <f>"LINC00311"</f>
        <v>LINC00311</v>
      </c>
      <c r="I4718" s="3" t="str">
        <f>"lincRNA"</f>
        <v>lincRNA</v>
      </c>
    </row>
    <row r="4719" spans="1:9" x14ac:dyDescent="0.2">
      <c r="A4719" s="3" t="str">
        <f>"ENSG00000278716.1"</f>
        <v>ENSG00000278716.1</v>
      </c>
      <c r="B4719" s="3">
        <v>10.2396802271154</v>
      </c>
      <c r="C4719" s="3">
        <v>6.7518941120968901</v>
      </c>
      <c r="D4719" s="3">
        <v>1.75613794611751</v>
      </c>
      <c r="E4719" s="3">
        <v>3.8447401737568798</v>
      </c>
      <c r="F4719" s="3">
        <v>1.20680238206546E-4</v>
      </c>
      <c r="G4719" s="3">
        <v>6.7867377717518496E-4</v>
      </c>
      <c r="H4719" s="3" t="str">
        <f>"AC133540.1"</f>
        <v>AC133540.1</v>
      </c>
      <c r="I4719" s="3" t="str">
        <f>"lincRNA"</f>
        <v>lincRNA</v>
      </c>
    </row>
    <row r="4720" spans="1:9" x14ac:dyDescent="0.2">
      <c r="A4720" s="3" t="str">
        <f>"ENSG00000131153.9"</f>
        <v>ENSG00000131153.9</v>
      </c>
      <c r="B4720" s="3">
        <v>778.69806013567199</v>
      </c>
      <c r="C4720" s="3">
        <v>-1.6481243122533999</v>
      </c>
      <c r="D4720" s="3">
        <v>0.23855609352500601</v>
      </c>
      <c r="E4720" s="3">
        <v>-6.9087495854749097</v>
      </c>
      <c r="F4720" s="4">
        <v>4.8894415939053303E-12</v>
      </c>
      <c r="G4720" s="4">
        <v>8.8933654946020397E-11</v>
      </c>
      <c r="H4720" s="3" t="str">
        <f>"GINS2"</f>
        <v>GINS2</v>
      </c>
      <c r="I4720" s="3" t="str">
        <f>"protein_coding"</f>
        <v>protein_coding</v>
      </c>
    </row>
    <row r="4721" spans="1:9" x14ac:dyDescent="0.2">
      <c r="A4721" s="3" t="str">
        <f>"ENSG00000103241.7"</f>
        <v>ENSG00000103241.7</v>
      </c>
      <c r="B4721" s="3">
        <v>28.994809222819001</v>
      </c>
      <c r="C4721" s="3">
        <v>8.2537924061484294</v>
      </c>
      <c r="D4721" s="3">
        <v>1.56549730716447</v>
      </c>
      <c r="E4721" s="3">
        <v>5.2723133846191104</v>
      </c>
      <c r="F4721" s="4">
        <v>1.34714789599493E-7</v>
      </c>
      <c r="G4721" s="4">
        <v>1.33913676476373E-6</v>
      </c>
      <c r="H4721" s="3" t="str">
        <f>"FOXF1"</f>
        <v>FOXF1</v>
      </c>
      <c r="I4721" s="3" t="str">
        <f>"protein_coding"</f>
        <v>protein_coding</v>
      </c>
    </row>
    <row r="4722" spans="1:9" x14ac:dyDescent="0.2">
      <c r="A4722" s="3" t="str">
        <f>"ENSG00000140941.13"</f>
        <v>ENSG00000140941.13</v>
      </c>
      <c r="B4722" s="3">
        <v>1880.44331188311</v>
      </c>
      <c r="C4722" s="3">
        <v>1.0076033564810101</v>
      </c>
      <c r="D4722" s="3">
        <v>0.19006396702028999</v>
      </c>
      <c r="E4722" s="3">
        <v>5.3013907490074201</v>
      </c>
      <c r="F4722" s="4">
        <v>1.14923813957666E-7</v>
      </c>
      <c r="G4722" s="4">
        <v>1.1563253910282599E-6</v>
      </c>
      <c r="H4722" s="3" t="str">
        <f>"MAP1LC3B"</f>
        <v>MAP1LC3B</v>
      </c>
      <c r="I4722" s="3" t="str">
        <f>"protein_coding"</f>
        <v>protein_coding</v>
      </c>
    </row>
    <row r="4723" spans="1:9" x14ac:dyDescent="0.2">
      <c r="A4723" s="3" t="str">
        <f>"ENSG00000103257.9"</f>
        <v>ENSG00000103257.9</v>
      </c>
      <c r="B4723" s="3">
        <v>20372.165710652698</v>
      </c>
      <c r="C4723" s="3">
        <v>-1.1381614147369501</v>
      </c>
      <c r="D4723" s="3">
        <v>0.20470989356545</v>
      </c>
      <c r="E4723" s="3">
        <v>-5.5598749767951601</v>
      </c>
      <c r="F4723" s="4">
        <v>2.69967971154666E-8</v>
      </c>
      <c r="G4723" s="4">
        <v>3.0233527784838398E-7</v>
      </c>
      <c r="H4723" s="3" t="str">
        <f>"SLC7A5"</f>
        <v>SLC7A5</v>
      </c>
      <c r="I4723" s="3" t="str">
        <f>"protein_coding"</f>
        <v>protein_coding</v>
      </c>
    </row>
    <row r="4724" spans="1:9" x14ac:dyDescent="0.2">
      <c r="A4724" s="3" t="str">
        <f>"ENSG00000174990.6"</f>
        <v>ENSG00000174990.6</v>
      </c>
      <c r="B4724" s="3">
        <v>296.69999963179902</v>
      </c>
      <c r="C4724" s="3">
        <v>-1.82460989171278</v>
      </c>
      <c r="D4724" s="3">
        <v>0.30331302438093499</v>
      </c>
      <c r="E4724" s="3">
        <v>-6.0156002052230599</v>
      </c>
      <c r="F4724" s="4">
        <v>1.79221396284848E-9</v>
      </c>
      <c r="G4724" s="4">
        <v>2.34208411730132E-8</v>
      </c>
      <c r="H4724" s="3" t="str">
        <f>"CA5A"</f>
        <v>CA5A</v>
      </c>
      <c r="I4724" s="3" t="str">
        <f>"protein_coding"</f>
        <v>protein_coding</v>
      </c>
    </row>
    <row r="4725" spans="1:9" x14ac:dyDescent="0.2">
      <c r="A4725" s="3" t="str">
        <f>"ENSG00000261273.1"</f>
        <v>ENSG00000261273.1</v>
      </c>
      <c r="B4725" s="3">
        <v>13.1782264222474</v>
      </c>
      <c r="C4725" s="3">
        <v>2.9164784695268202</v>
      </c>
      <c r="D4725" s="3">
        <v>1.04942205465827</v>
      </c>
      <c r="E4725" s="3">
        <v>2.7791282416649299</v>
      </c>
      <c r="F4725" s="3">
        <v>5.4505002330180203E-3</v>
      </c>
      <c r="G4725" s="3">
        <v>1.9118148796220698E-2</v>
      </c>
      <c r="H4725" s="3" t="str">
        <f>"AC138512.1"</f>
        <v>AC138512.1</v>
      </c>
      <c r="I4725" s="3" t="str">
        <f>"lincRNA"</f>
        <v>lincRNA</v>
      </c>
    </row>
    <row r="4726" spans="1:9" x14ac:dyDescent="0.2">
      <c r="A4726" s="3" t="str">
        <f>"ENSG00000225614.2"</f>
        <v>ENSG00000225614.2</v>
      </c>
      <c r="B4726" s="3">
        <v>13.205360418115401</v>
      </c>
      <c r="C4726" s="3">
        <v>4.6252618513182604</v>
      </c>
      <c r="D4726" s="3">
        <v>1.35135051504148</v>
      </c>
      <c r="E4726" s="3">
        <v>3.4226958881769298</v>
      </c>
      <c r="F4726" s="3">
        <v>6.2003404034158098E-4</v>
      </c>
      <c r="G4726" s="3">
        <v>2.8962913590240098E-3</v>
      </c>
      <c r="H4726" s="3" t="str">
        <f>"ZNF469"</f>
        <v>ZNF469</v>
      </c>
      <c r="I4726" s="3" t="str">
        <f>"protein_coding"</f>
        <v>protein_coding</v>
      </c>
    </row>
    <row r="4727" spans="1:9" x14ac:dyDescent="0.2">
      <c r="A4727" s="3" t="str">
        <f>"ENSG00000167508.12"</f>
        <v>ENSG00000167508.12</v>
      </c>
      <c r="B4727" s="3">
        <v>1112.65160902196</v>
      </c>
      <c r="C4727" s="3">
        <v>-2.27035130244654</v>
      </c>
      <c r="D4727" s="3">
        <v>0.24356616843678</v>
      </c>
      <c r="E4727" s="3">
        <v>-9.3212916925933094</v>
      </c>
      <c r="F4727" s="4">
        <v>1.14932449293028E-20</v>
      </c>
      <c r="G4727" s="4">
        <v>4.7519946068090002E-19</v>
      </c>
      <c r="H4727" s="3" t="str">
        <f>"MVD"</f>
        <v>MVD</v>
      </c>
      <c r="I4727" s="3" t="str">
        <f>"protein_coding"</f>
        <v>protein_coding</v>
      </c>
    </row>
    <row r="4728" spans="1:9" x14ac:dyDescent="0.2">
      <c r="A4728" s="3" t="str">
        <f>"ENSG00000185669.6"</f>
        <v>ENSG00000185669.6</v>
      </c>
      <c r="B4728" s="3">
        <v>136.97717313568401</v>
      </c>
      <c r="C4728" s="3">
        <v>4.6724946556025602</v>
      </c>
      <c r="D4728" s="3">
        <v>0.46896485211973699</v>
      </c>
      <c r="E4728" s="3">
        <v>9.9634218523685298</v>
      </c>
      <c r="F4728" s="4">
        <v>2.20345386284669E-23</v>
      </c>
      <c r="G4728" s="4">
        <v>1.08566921159102E-21</v>
      </c>
      <c r="H4728" s="3" t="str">
        <f>"SNAI3"</f>
        <v>SNAI3</v>
      </c>
      <c r="I4728" s="3" t="str">
        <f>"protein_coding"</f>
        <v>protein_coding</v>
      </c>
    </row>
    <row r="4729" spans="1:9" x14ac:dyDescent="0.2">
      <c r="A4729" s="3" t="str">
        <f>"ENSG00000174177.13"</f>
        <v>ENSG00000174177.13</v>
      </c>
      <c r="B4729" s="3">
        <v>535.67628368852502</v>
      </c>
      <c r="C4729" s="3">
        <v>-1.0735198311646199</v>
      </c>
      <c r="D4729" s="3">
        <v>0.247809964095211</v>
      </c>
      <c r="E4729" s="3">
        <v>-4.3320285166264103</v>
      </c>
      <c r="F4729" s="4">
        <v>1.47741800314904E-5</v>
      </c>
      <c r="G4729" s="3">
        <v>1.01118332910831E-4</v>
      </c>
      <c r="H4729" s="3" t="str">
        <f>"CTU2"</f>
        <v>CTU2</v>
      </c>
      <c r="I4729" s="3" t="str">
        <f>"protein_coding"</f>
        <v>protein_coding</v>
      </c>
    </row>
    <row r="4730" spans="1:9" x14ac:dyDescent="0.2">
      <c r="A4730" s="3" t="str">
        <f>"ENSG00000103335.22"</f>
        <v>ENSG00000103335.22</v>
      </c>
      <c r="B4730" s="3">
        <v>4321.7899664797096</v>
      </c>
      <c r="C4730" s="3">
        <v>-1.1727684501653799</v>
      </c>
      <c r="D4730" s="3">
        <v>0.22372132933799699</v>
      </c>
      <c r="E4730" s="3">
        <v>-5.2420949474762404</v>
      </c>
      <c r="F4730" s="4">
        <v>1.58763632973167E-7</v>
      </c>
      <c r="G4730" s="4">
        <v>1.5594205867411301E-6</v>
      </c>
      <c r="H4730" s="3" t="str">
        <f>"PIEZO1"</f>
        <v>PIEZO1</v>
      </c>
      <c r="I4730" s="3" t="str">
        <f>"protein_coding"</f>
        <v>protein_coding</v>
      </c>
    </row>
    <row r="4731" spans="1:9" x14ac:dyDescent="0.2">
      <c r="A4731" s="3" t="str">
        <f>"ENSG00000224888.4"</f>
        <v>ENSG00000224888.4</v>
      </c>
      <c r="B4731" s="3">
        <v>18.9221300626855</v>
      </c>
      <c r="C4731" s="3">
        <v>3.7829435684794399</v>
      </c>
      <c r="D4731" s="3">
        <v>1.0167134447586901</v>
      </c>
      <c r="E4731" s="3">
        <v>3.72075690351206</v>
      </c>
      <c r="F4731" s="3">
        <v>1.9862656845796099E-4</v>
      </c>
      <c r="G4731" s="3">
        <v>1.05971766414217E-3</v>
      </c>
      <c r="H4731" s="3" t="str">
        <f>"AC138028.2"</f>
        <v>AC138028.2</v>
      </c>
      <c r="I4731" s="3" t="str">
        <f>"antisense"</f>
        <v>antisense</v>
      </c>
    </row>
    <row r="4732" spans="1:9" x14ac:dyDescent="0.2">
      <c r="A4732" s="3" t="str">
        <f>"ENSG00000129993.14"</f>
        <v>ENSG00000129993.14</v>
      </c>
      <c r="B4732" s="3">
        <v>7.5975163558381498</v>
      </c>
      <c r="C4732" s="3">
        <v>3.77336519883543</v>
      </c>
      <c r="D4732" s="3">
        <v>1.5227578440099301</v>
      </c>
      <c r="E4732" s="3">
        <v>2.47798112725454</v>
      </c>
      <c r="F4732" s="3">
        <v>1.3212813395733001E-2</v>
      </c>
      <c r="G4732" s="3">
        <v>4.0154555201173399E-2</v>
      </c>
      <c r="H4732" s="3" t="str">
        <f>"CBFA2T3"</f>
        <v>CBFA2T3</v>
      </c>
      <c r="I4732" s="3" t="str">
        <f>"protein_coding"</f>
        <v>protein_coding</v>
      </c>
    </row>
    <row r="4733" spans="1:9" x14ac:dyDescent="0.2">
      <c r="A4733" s="3" t="str">
        <f>"ENSG00000205015.1"</f>
        <v>ENSG00000205015.1</v>
      </c>
      <c r="B4733" s="3">
        <v>9.0710435021809506</v>
      </c>
      <c r="C4733" s="3">
        <v>6.5828449887628997</v>
      </c>
      <c r="D4733" s="3">
        <v>1.84371346143078</v>
      </c>
      <c r="E4733" s="3">
        <v>3.5704273611228099</v>
      </c>
      <c r="F4733" s="3">
        <v>3.5639928013947398E-4</v>
      </c>
      <c r="G4733" s="3">
        <v>1.77625959135911E-3</v>
      </c>
      <c r="H4733" s="3" t="str">
        <f>"LINC02138"</f>
        <v>LINC02138</v>
      </c>
      <c r="I4733" s="3" t="str">
        <f>"lincRNA"</f>
        <v>lincRNA</v>
      </c>
    </row>
    <row r="4734" spans="1:9" x14ac:dyDescent="0.2">
      <c r="A4734" s="3" t="str">
        <f>"ENSG00000259803.7"</f>
        <v>ENSG00000259803.7</v>
      </c>
      <c r="B4734" s="3">
        <v>1226.63434849492</v>
      </c>
      <c r="C4734" s="3">
        <v>-1.21564593291968</v>
      </c>
      <c r="D4734" s="3">
        <v>0.21997427821448301</v>
      </c>
      <c r="E4734" s="3">
        <v>-5.5263094521186797</v>
      </c>
      <c r="F4734" s="4">
        <v>3.27037087808573E-8</v>
      </c>
      <c r="G4734" s="4">
        <v>3.6105265524798199E-7</v>
      </c>
      <c r="H4734" s="3" t="str">
        <f>"SLC22A31"</f>
        <v>SLC22A31</v>
      </c>
      <c r="I4734" s="3" t="str">
        <f>"protein_coding"</f>
        <v>protein_coding</v>
      </c>
    </row>
    <row r="4735" spans="1:9" x14ac:dyDescent="0.2">
      <c r="A4735" s="3" t="str">
        <f>"ENSG00000015413.9"</f>
        <v>ENSG00000015413.9</v>
      </c>
      <c r="B4735" s="3">
        <v>470.18482387430902</v>
      </c>
      <c r="C4735" s="3">
        <v>-1.4199862536971799</v>
      </c>
      <c r="D4735" s="3">
        <v>0.26182517487502699</v>
      </c>
      <c r="E4735" s="3">
        <v>-5.4234137507020099</v>
      </c>
      <c r="F4735" s="4">
        <v>5.8471434980091097E-8</v>
      </c>
      <c r="G4735" s="4">
        <v>6.1846707643732204E-7</v>
      </c>
      <c r="H4735" s="3" t="str">
        <f>"DPEP1"</f>
        <v>DPEP1</v>
      </c>
      <c r="I4735" s="3" t="str">
        <f>"protein_coding"</f>
        <v>protein_coding</v>
      </c>
    </row>
    <row r="4736" spans="1:9" x14ac:dyDescent="0.2">
      <c r="A4736" s="3" t="str">
        <f>"ENSG00000167523.13"</f>
        <v>ENSG00000167523.13</v>
      </c>
      <c r="B4736" s="3">
        <v>245.821737951763</v>
      </c>
      <c r="C4736" s="3">
        <v>-1.0833100015999</v>
      </c>
      <c r="D4736" s="3">
        <v>0.27644599951640503</v>
      </c>
      <c r="E4736" s="3">
        <v>-3.9187038463025701</v>
      </c>
      <c r="F4736" s="4">
        <v>8.9026419676473503E-5</v>
      </c>
      <c r="G4736" s="3">
        <v>5.1654660496696595E-4</v>
      </c>
      <c r="H4736" s="3" t="str">
        <f>"SPATA33"</f>
        <v>SPATA33</v>
      </c>
      <c r="I4736" s="3" t="str">
        <f>"protein_coding"</f>
        <v>protein_coding</v>
      </c>
    </row>
    <row r="4737" spans="1:9" x14ac:dyDescent="0.2">
      <c r="A4737" s="3" t="str">
        <f>"ENSG00000261373.1"</f>
        <v>ENSG00000261373.1</v>
      </c>
      <c r="B4737" s="3">
        <v>29.5446470124485</v>
      </c>
      <c r="C4737" s="3">
        <v>4.4524923051526599</v>
      </c>
      <c r="D4737" s="3">
        <v>0.87727930408022003</v>
      </c>
      <c r="E4737" s="3">
        <v>5.0753417804844396</v>
      </c>
      <c r="F4737" s="4">
        <v>3.8680009999145501E-7</v>
      </c>
      <c r="G4737" s="4">
        <v>3.56039984292734E-6</v>
      </c>
      <c r="H4737" s="3" t="str">
        <f>"VPS9D1-AS1"</f>
        <v>VPS9D1-AS1</v>
      </c>
      <c r="I4737" s="3" t="str">
        <f>"antisense"</f>
        <v>antisense</v>
      </c>
    </row>
    <row r="4738" spans="1:9" x14ac:dyDescent="0.2">
      <c r="A4738" s="3" t="str">
        <f>"ENSG00000187741.15"</f>
        <v>ENSG00000187741.15</v>
      </c>
      <c r="B4738" s="3">
        <v>2890.9378635821199</v>
      </c>
      <c r="C4738" s="3">
        <v>-1.6438887580599999</v>
      </c>
      <c r="D4738" s="3">
        <v>0.20898681654505499</v>
      </c>
      <c r="E4738" s="3">
        <v>-7.8659926268870404</v>
      </c>
      <c r="F4738" s="4">
        <v>3.66182110243356E-15</v>
      </c>
      <c r="G4738" s="4">
        <v>9.2640333870016006E-14</v>
      </c>
      <c r="H4738" s="3" t="str">
        <f>"FANCA"</f>
        <v>FANCA</v>
      </c>
      <c r="I4738" s="3" t="str">
        <f t="shared" ref="I4738:I4744" si="220">"protein_coding"</f>
        <v>protein_coding</v>
      </c>
    </row>
    <row r="4739" spans="1:9" x14ac:dyDescent="0.2">
      <c r="A4739" s="3" t="str">
        <f>"ENSG00000140995.16"</f>
        <v>ENSG00000140995.16</v>
      </c>
      <c r="B4739" s="3">
        <v>1085.4526958290601</v>
      </c>
      <c r="C4739" s="3">
        <v>-1.1167970804893099</v>
      </c>
      <c r="D4739" s="3">
        <v>0.234064423075413</v>
      </c>
      <c r="E4739" s="3">
        <v>-4.7713234921203602</v>
      </c>
      <c r="F4739" s="4">
        <v>1.83019323752431E-6</v>
      </c>
      <c r="G4739" s="4">
        <v>1.4943744423981099E-5</v>
      </c>
      <c r="H4739" s="3" t="str">
        <f>"DEF8"</f>
        <v>DEF8</v>
      </c>
      <c r="I4739" s="3" t="str">
        <f t="shared" si="220"/>
        <v>protein_coding</v>
      </c>
    </row>
    <row r="4740" spans="1:9" x14ac:dyDescent="0.2">
      <c r="A4740" s="3" t="str">
        <f>"ENSG00000272636.4"</f>
        <v>ENSG00000272636.4</v>
      </c>
      <c r="B4740" s="3">
        <v>35.841366872642098</v>
      </c>
      <c r="C4740" s="3">
        <v>1.9212336486280099</v>
      </c>
      <c r="D4740" s="3">
        <v>0.60534862436345904</v>
      </c>
      <c r="E4740" s="3">
        <v>3.1737639622923699</v>
      </c>
      <c r="F4740" s="3">
        <v>1.5047600667199301E-3</v>
      </c>
      <c r="G4740" s="3">
        <v>6.3019055545524101E-3</v>
      </c>
      <c r="H4740" s="3" t="str">
        <f>"DOC2B"</f>
        <v>DOC2B</v>
      </c>
      <c r="I4740" s="3" t="str">
        <f t="shared" si="220"/>
        <v>protein_coding</v>
      </c>
    </row>
    <row r="4741" spans="1:9" x14ac:dyDescent="0.2">
      <c r="A4741" s="3" t="str">
        <f>"ENSG00000183688.4"</f>
        <v>ENSG00000183688.4</v>
      </c>
      <c r="B4741" s="3">
        <v>408.47893951124701</v>
      </c>
      <c r="C4741" s="3">
        <v>-1.4512265764049901</v>
      </c>
      <c r="D4741" s="3">
        <v>0.31012517235159598</v>
      </c>
      <c r="E4741" s="3">
        <v>-4.6794865615091199</v>
      </c>
      <c r="F4741" s="4">
        <v>2.8759420787575399E-6</v>
      </c>
      <c r="G4741" s="4">
        <v>2.2667281984352499E-5</v>
      </c>
      <c r="H4741" s="3" t="str">
        <f>"RFLNB"</f>
        <v>RFLNB</v>
      </c>
      <c r="I4741" s="3" t="str">
        <f t="shared" si="220"/>
        <v>protein_coding</v>
      </c>
    </row>
    <row r="4742" spans="1:9" x14ac:dyDescent="0.2">
      <c r="A4742" s="3" t="str">
        <f>"ENSG00000167695.15"</f>
        <v>ENSG00000167695.15</v>
      </c>
      <c r="B4742" s="3">
        <v>1114.0847657168299</v>
      </c>
      <c r="C4742" s="3">
        <v>-1.62924726842039</v>
      </c>
      <c r="D4742" s="3">
        <v>0.20821347714942601</v>
      </c>
      <c r="E4742" s="3">
        <v>-7.8248886226089196</v>
      </c>
      <c r="F4742" s="4">
        <v>5.0810655514152602E-15</v>
      </c>
      <c r="G4742" s="4">
        <v>1.25743681271037E-13</v>
      </c>
      <c r="H4742" s="3" t="str">
        <f>"FAM57A"</f>
        <v>FAM57A</v>
      </c>
      <c r="I4742" s="3" t="str">
        <f t="shared" si="220"/>
        <v>protein_coding</v>
      </c>
    </row>
    <row r="4743" spans="1:9" x14ac:dyDescent="0.2">
      <c r="A4743" s="3" t="str">
        <f>"ENSG00000179409.11"</f>
        <v>ENSG00000179409.11</v>
      </c>
      <c r="B4743" s="3">
        <v>1314.82887774288</v>
      </c>
      <c r="C4743" s="3">
        <v>-1.4203650801215699</v>
      </c>
      <c r="D4743" s="3">
        <v>0.22163731123650601</v>
      </c>
      <c r="E4743" s="3">
        <v>-6.4085106979389304</v>
      </c>
      <c r="F4743" s="4">
        <v>1.4694797043583099E-10</v>
      </c>
      <c r="G4743" s="4">
        <v>2.2334761276867199E-9</v>
      </c>
      <c r="H4743" s="3" t="str">
        <f>"GEMIN4"</f>
        <v>GEMIN4</v>
      </c>
      <c r="I4743" s="3" t="str">
        <f t="shared" si="220"/>
        <v>protein_coding</v>
      </c>
    </row>
    <row r="4744" spans="1:9" x14ac:dyDescent="0.2">
      <c r="A4744" s="3" t="str">
        <f>"ENSG00000167703.14"</f>
        <v>ENSG00000167703.14</v>
      </c>
      <c r="B4744" s="3">
        <v>609.94639281145805</v>
      </c>
      <c r="C4744" s="3">
        <v>1.1325004032807799</v>
      </c>
      <c r="D4744" s="3">
        <v>0.23020407372118401</v>
      </c>
      <c r="E4744" s="3">
        <v>4.9195497932518197</v>
      </c>
      <c r="F4744" s="4">
        <v>8.6743499912892705E-7</v>
      </c>
      <c r="G4744" s="4">
        <v>7.5222792556543099E-6</v>
      </c>
      <c r="H4744" s="3" t="str">
        <f>"SLC43A2"</f>
        <v>SLC43A2</v>
      </c>
      <c r="I4744" s="3" t="str">
        <f t="shared" si="220"/>
        <v>protein_coding</v>
      </c>
    </row>
    <row r="4745" spans="1:9" x14ac:dyDescent="0.2">
      <c r="A4745" s="3" t="str">
        <f>"ENSG00000186594.14"</f>
        <v>ENSG00000186594.14</v>
      </c>
      <c r="B4745" s="3">
        <v>653.65499010268695</v>
      </c>
      <c r="C4745" s="3">
        <v>1.58944404456837</v>
      </c>
      <c r="D4745" s="3">
        <v>0.212917934770917</v>
      </c>
      <c r="E4745" s="3">
        <v>7.4650547699445102</v>
      </c>
      <c r="F4745" s="4">
        <v>8.3264970957409095E-14</v>
      </c>
      <c r="G4745" s="4">
        <v>1.8672598054950801E-12</v>
      </c>
      <c r="H4745" s="3" t="str">
        <f>"MIR22HG"</f>
        <v>MIR22HG</v>
      </c>
      <c r="I4745" s="3" t="str">
        <f>"lincRNA"</f>
        <v>lincRNA</v>
      </c>
    </row>
    <row r="4746" spans="1:9" x14ac:dyDescent="0.2">
      <c r="A4746" s="3" t="str">
        <f>"ENSG00000185924.7"</f>
        <v>ENSG00000185924.7</v>
      </c>
      <c r="B4746" s="3">
        <v>12.601130106697401</v>
      </c>
      <c r="C4746" s="3">
        <v>2.83946577608913</v>
      </c>
      <c r="D4746" s="3">
        <v>1.0748293812418701</v>
      </c>
      <c r="E4746" s="3">
        <v>2.6417828035258899</v>
      </c>
      <c r="F4746" s="3">
        <v>8.2470924017215997E-3</v>
      </c>
      <c r="G4746" s="3">
        <v>2.70537595316288E-2</v>
      </c>
      <c r="H4746" s="3" t="str">
        <f>"RTN4RL1"</f>
        <v>RTN4RL1</v>
      </c>
      <c r="I4746" s="3" t="str">
        <f>"protein_coding"</f>
        <v>protein_coding</v>
      </c>
    </row>
    <row r="4747" spans="1:9" x14ac:dyDescent="0.2">
      <c r="A4747" s="3" t="str">
        <f>"ENSG00000262445.3"</f>
        <v>ENSG00000262445.3</v>
      </c>
      <c r="B4747" s="3">
        <v>149.93373420588901</v>
      </c>
      <c r="C4747" s="3">
        <v>1.9995722164860099</v>
      </c>
      <c r="D4747" s="3">
        <v>0.36107937013075198</v>
      </c>
      <c r="E4747" s="3">
        <v>5.5377636660935101</v>
      </c>
      <c r="F4747" s="4">
        <v>3.06358276406912E-8</v>
      </c>
      <c r="G4747" s="4">
        <v>3.4028216977071502E-7</v>
      </c>
      <c r="H4747" s="3" t="str">
        <f>"AC099684.2"</f>
        <v>AC099684.2</v>
      </c>
      <c r="I4747" s="3" t="str">
        <f>"antisense"</f>
        <v>antisense</v>
      </c>
    </row>
    <row r="4748" spans="1:9" x14ac:dyDescent="0.2">
      <c r="A4748" s="3" t="str">
        <f>"ENSG00000228133.2"</f>
        <v>ENSG00000228133.2</v>
      </c>
      <c r="B4748" s="3">
        <v>30.424137232599101</v>
      </c>
      <c r="C4748" s="3">
        <v>3.0186313080432301</v>
      </c>
      <c r="D4748" s="3">
        <v>0.71499110724187198</v>
      </c>
      <c r="E4748" s="3">
        <v>4.2219144790315104</v>
      </c>
      <c r="F4748" s="4">
        <v>2.42236023568062E-5</v>
      </c>
      <c r="G4748" s="3">
        <v>1.5824034845742001E-4</v>
      </c>
      <c r="H4748" s="3" t="str">
        <f>"AC099684.1"</f>
        <v>AC099684.1</v>
      </c>
      <c r="I4748" s="3" t="str">
        <f>"antisense"</f>
        <v>antisense</v>
      </c>
    </row>
    <row r="4749" spans="1:9" x14ac:dyDescent="0.2">
      <c r="A4749" s="3" t="str">
        <f>"ENSG00000132361.17"</f>
        <v>ENSG00000132361.17</v>
      </c>
      <c r="B4749" s="3">
        <v>6175.9631327880898</v>
      </c>
      <c r="C4749" s="3">
        <v>-1.12646422039771</v>
      </c>
      <c r="D4749" s="3">
        <v>0.20671740598101199</v>
      </c>
      <c r="E4749" s="3">
        <v>-5.4492954526585997</v>
      </c>
      <c r="F4749" s="4">
        <v>5.05697456806676E-8</v>
      </c>
      <c r="G4749" s="4">
        <v>5.41404267411061E-7</v>
      </c>
      <c r="H4749" s="3" t="str">
        <f>"CLUH"</f>
        <v>CLUH</v>
      </c>
      <c r="I4749" s="3" t="str">
        <f>"protein_coding"</f>
        <v>protein_coding</v>
      </c>
    </row>
    <row r="4750" spans="1:9" x14ac:dyDescent="0.2">
      <c r="A4750" s="3" t="str">
        <f>"ENSG00000040531.14"</f>
        <v>ENSG00000040531.14</v>
      </c>
      <c r="B4750" s="3">
        <v>585.27511513463105</v>
      </c>
      <c r="C4750" s="3">
        <v>-1.4536880036395301</v>
      </c>
      <c r="D4750" s="3">
        <v>0.23459269351449699</v>
      </c>
      <c r="E4750" s="3">
        <v>-6.1966465445340004</v>
      </c>
      <c r="F4750" s="4">
        <v>5.7678827291339803E-10</v>
      </c>
      <c r="G4750" s="4">
        <v>8.0634941365168505E-9</v>
      </c>
      <c r="H4750" s="3" t="str">
        <f>"CTNS"</f>
        <v>CTNS</v>
      </c>
      <c r="I4750" s="3" t="str">
        <f>"protein_coding"</f>
        <v>protein_coding</v>
      </c>
    </row>
    <row r="4751" spans="1:9" x14ac:dyDescent="0.2">
      <c r="A4751" s="3" t="str">
        <f>"ENSG00000262903.1"</f>
        <v>ENSG00000262903.1</v>
      </c>
      <c r="B4751" s="3">
        <v>188.76867562232599</v>
      </c>
      <c r="C4751" s="3">
        <v>2.8547829021073698</v>
      </c>
      <c r="D4751" s="3">
        <v>0.33159144150304198</v>
      </c>
      <c r="E4751" s="3">
        <v>8.6093383145450595</v>
      </c>
      <c r="F4751" s="4">
        <v>7.3483486426902096E-18</v>
      </c>
      <c r="G4751" s="4">
        <v>2.3445018204611301E-16</v>
      </c>
      <c r="H4751" s="3" t="str">
        <f>"AC027796.4"</f>
        <v>AC027796.4</v>
      </c>
      <c r="I4751" s="3" t="str">
        <f>"antisense"</f>
        <v>antisense</v>
      </c>
    </row>
    <row r="4752" spans="1:9" x14ac:dyDescent="0.2">
      <c r="A4752" s="3" t="str">
        <f>"ENSG00000213977.8"</f>
        <v>ENSG00000213977.8</v>
      </c>
      <c r="B4752" s="3">
        <v>358.81184871510999</v>
      </c>
      <c r="C4752" s="3">
        <v>1.93433227119023</v>
      </c>
      <c r="D4752" s="3">
        <v>0.27028455784789501</v>
      </c>
      <c r="E4752" s="3">
        <v>7.1566510739351896</v>
      </c>
      <c r="F4752" s="4">
        <v>8.2671764879345004E-13</v>
      </c>
      <c r="G4752" s="4">
        <v>1.6550753693368899E-11</v>
      </c>
      <c r="H4752" s="3" t="str">
        <f>"TAX1BP3"</f>
        <v>TAX1BP3</v>
      </c>
      <c r="I4752" s="3" t="str">
        <f t="shared" ref="I4752:I4767" si="221">"protein_coding"</f>
        <v>protein_coding</v>
      </c>
    </row>
    <row r="4753" spans="1:9" x14ac:dyDescent="0.2">
      <c r="A4753" s="3" t="str">
        <f>"ENSG00000004660.14"</f>
        <v>ENSG00000004660.14</v>
      </c>
      <c r="B4753" s="3">
        <v>112.988778441769</v>
      </c>
      <c r="C4753" s="3">
        <v>-2.0117171347799601</v>
      </c>
      <c r="D4753" s="3">
        <v>0.36333971628838901</v>
      </c>
      <c r="E4753" s="3">
        <v>-5.53673888263629</v>
      </c>
      <c r="F4753" s="4">
        <v>3.0815544260062802E-8</v>
      </c>
      <c r="G4753" s="4">
        <v>3.4200860873887198E-7</v>
      </c>
      <c r="H4753" s="3" t="str">
        <f>"CAMKK1"</f>
        <v>CAMKK1</v>
      </c>
      <c r="I4753" s="3" t="str">
        <f t="shared" si="221"/>
        <v>protein_coding</v>
      </c>
    </row>
    <row r="4754" spans="1:9" x14ac:dyDescent="0.2">
      <c r="A4754" s="3" t="str">
        <f>"ENSG00000074370.18"</f>
        <v>ENSG00000074370.18</v>
      </c>
      <c r="B4754" s="3">
        <v>34.825323809428802</v>
      </c>
      <c r="C4754" s="3">
        <v>1.5635804023761699</v>
      </c>
      <c r="D4754" s="3">
        <v>0.60097306113666105</v>
      </c>
      <c r="E4754" s="3">
        <v>2.6017479043384402</v>
      </c>
      <c r="F4754" s="3">
        <v>9.2750003420819203E-3</v>
      </c>
      <c r="G4754" s="3">
        <v>2.9815471250673201E-2</v>
      </c>
      <c r="H4754" s="3" t="str">
        <f>"ATP2A3"</f>
        <v>ATP2A3</v>
      </c>
      <c r="I4754" s="3" t="str">
        <f t="shared" si="221"/>
        <v>protein_coding</v>
      </c>
    </row>
    <row r="4755" spans="1:9" x14ac:dyDescent="0.2">
      <c r="A4755" s="3" t="str">
        <f>"ENSG00000182557.8"</f>
        <v>ENSG00000182557.8</v>
      </c>
      <c r="B4755" s="3">
        <v>39.385540187727102</v>
      </c>
      <c r="C4755" s="3">
        <v>5.2144653185269796</v>
      </c>
      <c r="D4755" s="3">
        <v>0.88928998476152699</v>
      </c>
      <c r="E4755" s="3">
        <v>5.8636276219002896</v>
      </c>
      <c r="F4755" s="4">
        <v>4.5286247618235004E-9</v>
      </c>
      <c r="G4755" s="4">
        <v>5.6446220899087402E-8</v>
      </c>
      <c r="H4755" s="3" t="str">
        <f>"SPNS3"</f>
        <v>SPNS3</v>
      </c>
      <c r="I4755" s="3" t="str">
        <f t="shared" si="221"/>
        <v>protein_coding</v>
      </c>
    </row>
    <row r="4756" spans="1:9" x14ac:dyDescent="0.2">
      <c r="A4756" s="3" t="str">
        <f>"ENSG00000183018.9"</f>
        <v>ENSG00000183018.9</v>
      </c>
      <c r="B4756" s="3">
        <v>36.601305157543401</v>
      </c>
      <c r="C4756" s="3">
        <v>4.2643138251981503</v>
      </c>
      <c r="D4756" s="3">
        <v>0.76904249671037495</v>
      </c>
      <c r="E4756" s="3">
        <v>5.5449651266854696</v>
      </c>
      <c r="F4756" s="4">
        <v>2.9401276351422599E-8</v>
      </c>
      <c r="G4756" s="4">
        <v>3.27111709574199E-7</v>
      </c>
      <c r="H4756" s="3" t="str">
        <f>"AC118754.1"</f>
        <v>AC118754.1</v>
      </c>
      <c r="I4756" s="3" t="str">
        <f t="shared" si="221"/>
        <v>protein_coding</v>
      </c>
    </row>
    <row r="4757" spans="1:9" x14ac:dyDescent="0.2">
      <c r="A4757" s="3" t="str">
        <f>"ENSG00000132382.14"</f>
        <v>ENSG00000132382.14</v>
      </c>
      <c r="B4757" s="3">
        <v>3885.9709645598</v>
      </c>
      <c r="C4757" s="3">
        <v>-1.43962864909404</v>
      </c>
      <c r="D4757" s="3">
        <v>0.19984395154273901</v>
      </c>
      <c r="E4757" s="3">
        <v>-7.20376392670636</v>
      </c>
      <c r="F4757" s="4">
        <v>5.8572741164878297E-13</v>
      </c>
      <c r="G4757" s="4">
        <v>1.1972479208697999E-11</v>
      </c>
      <c r="H4757" s="3" t="str">
        <f>"MYBBP1A"</f>
        <v>MYBBP1A</v>
      </c>
      <c r="I4757" s="3" t="str">
        <f t="shared" si="221"/>
        <v>protein_coding</v>
      </c>
    </row>
    <row r="4758" spans="1:9" x14ac:dyDescent="0.2">
      <c r="A4758" s="3" t="str">
        <f>"ENSG00000167741.10"</f>
        <v>ENSG00000167741.10</v>
      </c>
      <c r="B4758" s="3">
        <v>110.654055352106</v>
      </c>
      <c r="C4758" s="3">
        <v>3.5323808368463201</v>
      </c>
      <c r="D4758" s="3">
        <v>0.43902093553388799</v>
      </c>
      <c r="E4758" s="3">
        <v>8.0460418876166795</v>
      </c>
      <c r="F4758" s="4">
        <v>8.5514733772173203E-16</v>
      </c>
      <c r="G4758" s="4">
        <v>2.2933267235141799E-14</v>
      </c>
      <c r="H4758" s="3" t="str">
        <f>"GGT6"</f>
        <v>GGT6</v>
      </c>
      <c r="I4758" s="3" t="str">
        <f t="shared" si="221"/>
        <v>protein_coding</v>
      </c>
    </row>
    <row r="4759" spans="1:9" x14ac:dyDescent="0.2">
      <c r="A4759" s="3" t="str">
        <f>"ENSG00000262165.2"</f>
        <v>ENSG00000262165.2</v>
      </c>
      <c r="B4759" s="3">
        <v>23.263058850602601</v>
      </c>
      <c r="C4759" s="3">
        <v>3.5677052768070601</v>
      </c>
      <c r="D4759" s="3">
        <v>0.89361277014363605</v>
      </c>
      <c r="E4759" s="3">
        <v>3.9924510884435902</v>
      </c>
      <c r="F4759" s="4">
        <v>6.5393824323635205E-5</v>
      </c>
      <c r="G4759" s="3">
        <v>3.8997275800964901E-4</v>
      </c>
      <c r="H4759" s="3" t="str">
        <f>"AC233723.1"</f>
        <v>AC233723.1</v>
      </c>
      <c r="I4759" s="3" t="str">
        <f t="shared" si="221"/>
        <v>protein_coding</v>
      </c>
    </row>
    <row r="4760" spans="1:9" x14ac:dyDescent="0.2">
      <c r="A4760" s="3" t="str">
        <f>"ENSG00000108515.17"</f>
        <v>ENSG00000108515.17</v>
      </c>
      <c r="B4760" s="3">
        <v>557.52556270783805</v>
      </c>
      <c r="C4760" s="3">
        <v>-1.22331090833467</v>
      </c>
      <c r="D4760" s="3">
        <v>0.26874940561180699</v>
      </c>
      <c r="E4760" s="3">
        <v>-4.5518646098949</v>
      </c>
      <c r="F4760" s="4">
        <v>5.3172550673189202E-6</v>
      </c>
      <c r="G4760" s="4">
        <v>3.9933640799128602E-5</v>
      </c>
      <c r="H4760" s="3" t="str">
        <f>"ENO3"</f>
        <v>ENO3</v>
      </c>
      <c r="I4760" s="3" t="str">
        <f t="shared" si="221"/>
        <v>protein_coding</v>
      </c>
    </row>
    <row r="4761" spans="1:9" x14ac:dyDescent="0.2">
      <c r="A4761" s="3" t="str">
        <f>"ENSG00000091640.8"</f>
        <v>ENSG00000091640.8</v>
      </c>
      <c r="B4761" s="3">
        <v>866.41233278444804</v>
      </c>
      <c r="C4761" s="3">
        <v>-1.14472479750432</v>
      </c>
      <c r="D4761" s="3">
        <v>0.23876635273808999</v>
      </c>
      <c r="E4761" s="3">
        <v>-4.7943304589487301</v>
      </c>
      <c r="F4761" s="4">
        <v>1.63219032395535E-6</v>
      </c>
      <c r="G4761" s="4">
        <v>1.34601361249429E-5</v>
      </c>
      <c r="H4761" s="3" t="str">
        <f>"SPAG7"</f>
        <v>SPAG7</v>
      </c>
      <c r="I4761" s="3" t="str">
        <f t="shared" si="221"/>
        <v>protein_coding</v>
      </c>
    </row>
    <row r="4762" spans="1:9" x14ac:dyDescent="0.2">
      <c r="A4762" s="3" t="str">
        <f>"ENSG00000132517.15"</f>
        <v>ENSG00000132517.15</v>
      </c>
      <c r="B4762" s="3">
        <v>238.057337103393</v>
      </c>
      <c r="C4762" s="3">
        <v>5.6490095423120197</v>
      </c>
      <c r="D4762" s="3">
        <v>0.43999794788985302</v>
      </c>
      <c r="E4762" s="3">
        <v>12.8387179290349</v>
      </c>
      <c r="F4762" s="4">
        <v>9.9508733580797104E-38</v>
      </c>
      <c r="G4762" s="4">
        <v>1.2213128215657601E-35</v>
      </c>
      <c r="H4762" s="3" t="str">
        <f>"SLC52A1"</f>
        <v>SLC52A1</v>
      </c>
      <c r="I4762" s="3" t="str">
        <f t="shared" si="221"/>
        <v>protein_coding</v>
      </c>
    </row>
    <row r="4763" spans="1:9" x14ac:dyDescent="0.2">
      <c r="A4763" s="3" t="str">
        <f>"ENSG00000180626.10"</f>
        <v>ENSG00000180626.10</v>
      </c>
      <c r="B4763" s="3">
        <v>405.04026125251499</v>
      </c>
      <c r="C4763" s="3">
        <v>1.04919957937271</v>
      </c>
      <c r="D4763" s="3">
        <v>0.25319984946138402</v>
      </c>
      <c r="E4763" s="3">
        <v>4.1437606760217296</v>
      </c>
      <c r="F4763" s="4">
        <v>3.4165629966164299E-5</v>
      </c>
      <c r="G4763" s="3">
        <v>2.1649091155536701E-4</v>
      </c>
      <c r="H4763" s="3" t="str">
        <f>"ZNF594"</f>
        <v>ZNF594</v>
      </c>
      <c r="I4763" s="3" t="str">
        <f t="shared" si="221"/>
        <v>protein_coding</v>
      </c>
    </row>
    <row r="4764" spans="1:9" x14ac:dyDescent="0.2">
      <c r="A4764" s="3" t="str">
        <f>"ENSG00000108561.8"</f>
        <v>ENSG00000108561.8</v>
      </c>
      <c r="B4764" s="3">
        <v>4161.6530090384504</v>
      </c>
      <c r="C4764" s="3">
        <v>-1.1852741790839201</v>
      </c>
      <c r="D4764" s="3">
        <v>0.183318803975206</v>
      </c>
      <c r="E4764" s="3">
        <v>-6.4656442949749398</v>
      </c>
      <c r="F4764" s="4">
        <v>1.00868098540748E-10</v>
      </c>
      <c r="G4764" s="4">
        <v>1.56869468090169E-9</v>
      </c>
      <c r="H4764" s="3" t="str">
        <f>"C1QBP"</f>
        <v>C1QBP</v>
      </c>
      <c r="I4764" s="3" t="str">
        <f t="shared" si="221"/>
        <v>protein_coding</v>
      </c>
    </row>
    <row r="4765" spans="1:9" x14ac:dyDescent="0.2">
      <c r="A4765" s="3" t="str">
        <f>"ENSG00000005100.13"</f>
        <v>ENSG00000005100.13</v>
      </c>
      <c r="B4765" s="3">
        <v>3459.3646040460299</v>
      </c>
      <c r="C4765" s="3">
        <v>-1.43657798427099</v>
      </c>
      <c r="D4765" s="3">
        <v>0.184232062888986</v>
      </c>
      <c r="E4765" s="3">
        <v>-7.7976545544986804</v>
      </c>
      <c r="F4765" s="4">
        <v>6.3068371407379402E-15</v>
      </c>
      <c r="G4765" s="4">
        <v>1.5439567976072501E-13</v>
      </c>
      <c r="H4765" s="3" t="str">
        <f>"DHX33"</f>
        <v>DHX33</v>
      </c>
      <c r="I4765" s="3" t="str">
        <f t="shared" si="221"/>
        <v>protein_coding</v>
      </c>
    </row>
    <row r="4766" spans="1:9" x14ac:dyDescent="0.2">
      <c r="A4766" s="3" t="str">
        <f>"ENSG00000091622.16"</f>
        <v>ENSG00000091622.16</v>
      </c>
      <c r="B4766" s="3">
        <v>100.37288467853899</v>
      </c>
      <c r="C4766" s="3">
        <v>1.6709604727668499</v>
      </c>
      <c r="D4766" s="3">
        <v>0.37649832747687501</v>
      </c>
      <c r="E4766" s="3">
        <v>4.4381617415537802</v>
      </c>
      <c r="F4766" s="4">
        <v>9.0730431314058305E-6</v>
      </c>
      <c r="G4766" s="4">
        <v>6.51761682576891E-5</v>
      </c>
      <c r="H4766" s="3" t="str">
        <f>"PITPNM3"</f>
        <v>PITPNM3</v>
      </c>
      <c r="I4766" s="3" t="str">
        <f t="shared" si="221"/>
        <v>protein_coding</v>
      </c>
    </row>
    <row r="4767" spans="1:9" x14ac:dyDescent="0.2">
      <c r="A4767" s="3" t="str">
        <f>"ENSG00000198920.10"</f>
        <v>ENSG00000198920.10</v>
      </c>
      <c r="B4767" s="3">
        <v>1611.1810219014701</v>
      </c>
      <c r="C4767" s="3">
        <v>1.36158687113621</v>
      </c>
      <c r="D4767" s="3">
        <v>0.19108348841951001</v>
      </c>
      <c r="E4767" s="3">
        <v>7.1256123823056203</v>
      </c>
      <c r="F4767" s="4">
        <v>1.0361894519115E-12</v>
      </c>
      <c r="G4767" s="4">
        <v>2.04884281540149E-11</v>
      </c>
      <c r="H4767" s="3" t="str">
        <f>"KIAA0753"</f>
        <v>KIAA0753</v>
      </c>
      <c r="I4767" s="3" t="str">
        <f t="shared" si="221"/>
        <v>protein_coding</v>
      </c>
    </row>
    <row r="4768" spans="1:9" x14ac:dyDescent="0.2">
      <c r="A4768" s="3" t="str">
        <f>"ENSG00000282936.1"</f>
        <v>ENSG00000282936.1</v>
      </c>
      <c r="B4768" s="3">
        <v>219.305479858094</v>
      </c>
      <c r="C4768" s="3">
        <v>1.73122610497357</v>
      </c>
      <c r="D4768" s="3">
        <v>0.31933618310183798</v>
      </c>
      <c r="E4768" s="3">
        <v>5.4213277310371897</v>
      </c>
      <c r="F4768" s="4">
        <v>5.9157989192789099E-8</v>
      </c>
      <c r="G4768" s="4">
        <v>6.2524349555311196E-7</v>
      </c>
      <c r="H4768" s="3" t="str">
        <f>"AC004706.3"</f>
        <v>AC004706.3</v>
      </c>
      <c r="I4768" s="3" t="str">
        <f>"TEC"</f>
        <v>TEC</v>
      </c>
    </row>
    <row r="4769" spans="1:9" x14ac:dyDescent="0.2">
      <c r="A4769" s="3" t="str">
        <f>"ENSG00000132530.17"</f>
        <v>ENSG00000132530.17</v>
      </c>
      <c r="B4769" s="3">
        <v>110.949003075193</v>
      </c>
      <c r="C4769" s="3">
        <v>2.2633588408467</v>
      </c>
      <c r="D4769" s="3">
        <v>0.37611705171556398</v>
      </c>
      <c r="E4769" s="3">
        <v>6.0176980291719104</v>
      </c>
      <c r="F4769" s="4">
        <v>1.76914822672154E-9</v>
      </c>
      <c r="G4769" s="4">
        <v>2.3197296310626501E-8</v>
      </c>
      <c r="H4769" s="3" t="str">
        <f>"XAF1"</f>
        <v>XAF1</v>
      </c>
      <c r="I4769" s="3" t="str">
        <f t="shared" ref="I4769:I4778" si="222">"protein_coding"</f>
        <v>protein_coding</v>
      </c>
    </row>
    <row r="4770" spans="1:9" x14ac:dyDescent="0.2">
      <c r="A4770" s="3" t="str">
        <f>"ENSG00000174327.6"</f>
        <v>ENSG00000174327.6</v>
      </c>
      <c r="B4770" s="3">
        <v>266.65292261579998</v>
      </c>
      <c r="C4770" s="3">
        <v>-1.75557660745398</v>
      </c>
      <c r="D4770" s="3">
        <v>0.32058314904018997</v>
      </c>
      <c r="E4770" s="3">
        <v>-5.4761974006122598</v>
      </c>
      <c r="F4770" s="4">
        <v>4.3456289891637601E-8</v>
      </c>
      <c r="G4770" s="4">
        <v>4.7042253900574002E-7</v>
      </c>
      <c r="H4770" s="3" t="str">
        <f>"SLC16A13"</f>
        <v>SLC16A13</v>
      </c>
      <c r="I4770" s="3" t="str">
        <f t="shared" si="222"/>
        <v>protein_coding</v>
      </c>
    </row>
    <row r="4771" spans="1:9" x14ac:dyDescent="0.2">
      <c r="A4771" s="3" t="str">
        <f>"ENSG00000161944.16"</f>
        <v>ENSG00000161944.16</v>
      </c>
      <c r="B4771" s="3">
        <v>6100.0150558485902</v>
      </c>
      <c r="C4771" s="3">
        <v>-1.64692973254904</v>
      </c>
      <c r="D4771" s="3">
        <v>0.23336492188065999</v>
      </c>
      <c r="E4771" s="3">
        <v>-7.0573148666758803</v>
      </c>
      <c r="F4771" s="4">
        <v>1.69750694929229E-12</v>
      </c>
      <c r="G4771" s="4">
        <v>3.2733171866501898E-11</v>
      </c>
      <c r="H4771" s="3" t="str">
        <f>"ASGR2"</f>
        <v>ASGR2</v>
      </c>
      <c r="I4771" s="3" t="str">
        <f t="shared" si="222"/>
        <v>protein_coding</v>
      </c>
    </row>
    <row r="4772" spans="1:9" x14ac:dyDescent="0.2">
      <c r="A4772" s="3" t="str">
        <f>"ENSG00000141505.12"</f>
        <v>ENSG00000141505.12</v>
      </c>
      <c r="B4772" s="3">
        <v>6840.2539236367402</v>
      </c>
      <c r="C4772" s="3">
        <v>-2.3836427822398099</v>
      </c>
      <c r="D4772" s="3">
        <v>0.22689019541531399</v>
      </c>
      <c r="E4772" s="3">
        <v>-10.505710825788</v>
      </c>
      <c r="F4772" s="4">
        <v>8.1307913728816197E-26</v>
      </c>
      <c r="G4772" s="4">
        <v>4.8371107540809098E-24</v>
      </c>
      <c r="H4772" s="3" t="str">
        <f>"ASGR1"</f>
        <v>ASGR1</v>
      </c>
      <c r="I4772" s="3" t="str">
        <f t="shared" si="222"/>
        <v>protein_coding</v>
      </c>
    </row>
    <row r="4773" spans="1:9" x14ac:dyDescent="0.2">
      <c r="A4773" s="3" t="str">
        <f>"ENSG00000175826.12"</f>
        <v>ENSG00000175826.12</v>
      </c>
      <c r="B4773" s="3">
        <v>2481.7078106008298</v>
      </c>
      <c r="C4773" s="3">
        <v>-1.05345171065369</v>
      </c>
      <c r="D4773" s="3">
        <v>0.203439202362205</v>
      </c>
      <c r="E4773" s="3">
        <v>-5.1782139254464399</v>
      </c>
      <c r="F4773" s="4">
        <v>2.2402026358445201E-7</v>
      </c>
      <c r="G4773" s="4">
        <v>2.1500106100336601E-6</v>
      </c>
      <c r="H4773" s="3" t="str">
        <f>"CTDNEP1"</f>
        <v>CTDNEP1</v>
      </c>
      <c r="I4773" s="3" t="str">
        <f t="shared" si="222"/>
        <v>protein_coding</v>
      </c>
    </row>
    <row r="4774" spans="1:9" x14ac:dyDescent="0.2">
      <c r="A4774" s="3" t="str">
        <f>"ENSG00000170291.14"</f>
        <v>ENSG00000170291.14</v>
      </c>
      <c r="B4774" s="3">
        <v>1188.5958858361</v>
      </c>
      <c r="C4774" s="3">
        <v>-1.72707615627656</v>
      </c>
      <c r="D4774" s="3">
        <v>0.24847483028484399</v>
      </c>
      <c r="E4774" s="3">
        <v>-6.9507086665345197</v>
      </c>
      <c r="F4774" s="4">
        <v>3.6345576066059799E-12</v>
      </c>
      <c r="G4774" s="4">
        <v>6.7139519394707298E-11</v>
      </c>
      <c r="H4774" s="3" t="str">
        <f>"ELP5"</f>
        <v>ELP5</v>
      </c>
      <c r="I4774" s="3" t="str">
        <f t="shared" si="222"/>
        <v>protein_coding</v>
      </c>
    </row>
    <row r="4775" spans="1:9" x14ac:dyDescent="0.2">
      <c r="A4775" s="3" t="str">
        <f>"ENSG00000181856.14"</f>
        <v>ENSG00000181856.14</v>
      </c>
      <c r="B4775" s="3">
        <v>236.06544083847101</v>
      </c>
      <c r="C4775" s="3">
        <v>-2.2243118903696701</v>
      </c>
      <c r="D4775" s="3">
        <v>0.30235957399994001</v>
      </c>
      <c r="E4775" s="3">
        <v>-7.3565121849593398</v>
      </c>
      <c r="F4775" s="4">
        <v>1.8877765752897699E-13</v>
      </c>
      <c r="G4775" s="4">
        <v>4.0887319830620403E-12</v>
      </c>
      <c r="H4775" s="3" t="str">
        <f>"SLC2A4"</f>
        <v>SLC2A4</v>
      </c>
      <c r="I4775" s="3" t="str">
        <f t="shared" si="222"/>
        <v>protein_coding</v>
      </c>
    </row>
    <row r="4776" spans="1:9" x14ac:dyDescent="0.2">
      <c r="A4776" s="3" t="str">
        <f>"ENSG00000132507.18"</f>
        <v>ENSG00000132507.18</v>
      </c>
      <c r="B4776" s="3">
        <v>14095.8380153773</v>
      </c>
      <c r="C4776" s="3">
        <v>-1.3999530519585801</v>
      </c>
      <c r="D4776" s="3">
        <v>0.227868970106264</v>
      </c>
      <c r="E4776" s="3">
        <v>-6.1436756891722997</v>
      </c>
      <c r="F4776" s="4">
        <v>8.0633392890708098E-10</v>
      </c>
      <c r="G4776" s="4">
        <v>1.1112888498194899E-8</v>
      </c>
      <c r="H4776" s="3" t="str">
        <f>"EIF5A"</f>
        <v>EIF5A</v>
      </c>
      <c r="I4776" s="3" t="str">
        <f t="shared" si="222"/>
        <v>protein_coding</v>
      </c>
    </row>
    <row r="4777" spans="1:9" x14ac:dyDescent="0.2">
      <c r="A4777" s="3" t="str">
        <f>"ENSG00000213859.6"</f>
        <v>ENSG00000213859.6</v>
      </c>
      <c r="B4777" s="3">
        <v>225.918684806475</v>
      </c>
      <c r="C4777" s="3">
        <v>1.6634426754257601</v>
      </c>
      <c r="D4777" s="3">
        <v>0.28876154683188798</v>
      </c>
      <c r="E4777" s="3">
        <v>5.7606100731763599</v>
      </c>
      <c r="F4777" s="4">
        <v>8.3810452770091802E-9</v>
      </c>
      <c r="G4777" s="4">
        <v>1.00598387957123E-7</v>
      </c>
      <c r="H4777" s="3" t="str">
        <f>"KCTD11"</f>
        <v>KCTD11</v>
      </c>
      <c r="I4777" s="3" t="str">
        <f t="shared" si="222"/>
        <v>protein_coding</v>
      </c>
    </row>
    <row r="4778" spans="1:9" x14ac:dyDescent="0.2">
      <c r="A4778" s="3" t="str">
        <f>"ENSG00000239697.11"</f>
        <v>ENSG00000239697.11</v>
      </c>
      <c r="B4778" s="3">
        <v>127.110037731795</v>
      </c>
      <c r="C4778" s="3">
        <v>-1.7598523538219999</v>
      </c>
      <c r="D4778" s="3">
        <v>0.34873898719937901</v>
      </c>
      <c r="E4778" s="3">
        <v>-5.04633097651302</v>
      </c>
      <c r="F4778" s="4">
        <v>4.5037495281024302E-7</v>
      </c>
      <c r="G4778" s="4">
        <v>4.1000221647914101E-6</v>
      </c>
      <c r="H4778" s="3" t="str">
        <f>"TNFSF12"</f>
        <v>TNFSF12</v>
      </c>
      <c r="I4778" s="3" t="str">
        <f t="shared" si="222"/>
        <v>protein_coding</v>
      </c>
    </row>
    <row r="4779" spans="1:9" x14ac:dyDescent="0.2">
      <c r="A4779" s="3" t="str">
        <f>"ENSG00000233223.2"</f>
        <v>ENSG00000233223.2</v>
      </c>
      <c r="B4779" s="3">
        <v>89.387001681068895</v>
      </c>
      <c r="C4779" s="3">
        <v>-1.3498378552894299</v>
      </c>
      <c r="D4779" s="3">
        <v>0.41330439028303001</v>
      </c>
      <c r="E4779" s="3">
        <v>-3.2659654410277699</v>
      </c>
      <c r="F4779" s="3">
        <v>1.09091562202874E-3</v>
      </c>
      <c r="G4779" s="3">
        <v>4.7543470814806598E-3</v>
      </c>
      <c r="H4779" s="3" t="str">
        <f>"AC016876.1"</f>
        <v>AC016876.1</v>
      </c>
      <c r="I4779" s="3" t="str">
        <f>"antisense"</f>
        <v>antisense</v>
      </c>
    </row>
    <row r="4780" spans="1:9" x14ac:dyDescent="0.2">
      <c r="A4780" s="3" t="str">
        <f>"ENSG00000129214.15"</f>
        <v>ENSG00000129214.15</v>
      </c>
      <c r="B4780" s="3">
        <v>139.24675304711201</v>
      </c>
      <c r="C4780" s="3">
        <v>3.3573666178281201</v>
      </c>
      <c r="D4780" s="3">
        <v>0.38029745920133501</v>
      </c>
      <c r="E4780" s="3">
        <v>8.82826465598521</v>
      </c>
      <c r="F4780" s="4">
        <v>1.06312259697384E-18</v>
      </c>
      <c r="G4780" s="4">
        <v>3.6574370454225102E-17</v>
      </c>
      <c r="H4780" s="3" t="str">
        <f>"SHBG"</f>
        <v>SHBG</v>
      </c>
      <c r="I4780" s="3" t="str">
        <f t="shared" ref="I4780:I4785" si="223">"protein_coding"</f>
        <v>protein_coding</v>
      </c>
    </row>
    <row r="4781" spans="1:9" x14ac:dyDescent="0.2">
      <c r="A4781" s="3" t="str">
        <f>"ENSG00000183914.14"</f>
        <v>ENSG00000183914.14</v>
      </c>
      <c r="B4781" s="3">
        <v>63.385964298678097</v>
      </c>
      <c r="C4781" s="3">
        <v>6.3382079114006098</v>
      </c>
      <c r="D4781" s="3">
        <v>0.93571061798814703</v>
      </c>
      <c r="E4781" s="3">
        <v>6.7736838607520102</v>
      </c>
      <c r="F4781" s="4">
        <v>1.25543848973131E-11</v>
      </c>
      <c r="G4781" s="4">
        <v>2.18714402363869E-10</v>
      </c>
      <c r="H4781" s="3" t="str">
        <f>"DNAH2"</f>
        <v>DNAH2</v>
      </c>
      <c r="I4781" s="3" t="str">
        <f t="shared" si="223"/>
        <v>protein_coding</v>
      </c>
    </row>
    <row r="4782" spans="1:9" x14ac:dyDescent="0.2">
      <c r="A4782" s="3" t="str">
        <f>"ENSG00000182224.12"</f>
        <v>ENSG00000182224.12</v>
      </c>
      <c r="B4782" s="3">
        <v>124.56425475074001</v>
      </c>
      <c r="C4782" s="3">
        <v>-1.65898187944688</v>
      </c>
      <c r="D4782" s="3">
        <v>0.35309237847347102</v>
      </c>
      <c r="E4782" s="3">
        <v>-4.69843582186388</v>
      </c>
      <c r="F4782" s="4">
        <v>2.6216154103851199E-6</v>
      </c>
      <c r="G4782" s="4">
        <v>2.0801151743378899E-5</v>
      </c>
      <c r="H4782" s="3" t="str">
        <f>"CYB5D1"</f>
        <v>CYB5D1</v>
      </c>
      <c r="I4782" s="3" t="str">
        <f t="shared" si="223"/>
        <v>protein_coding</v>
      </c>
    </row>
    <row r="4783" spans="1:9" x14ac:dyDescent="0.2">
      <c r="A4783" s="3" t="str">
        <f>"ENSG00000179477.10"</f>
        <v>ENSG00000179477.10</v>
      </c>
      <c r="B4783" s="3">
        <v>17.656130588972299</v>
      </c>
      <c r="C4783" s="3">
        <v>6.0791786382708803</v>
      </c>
      <c r="D4783" s="3">
        <v>1.63583417636631</v>
      </c>
      <c r="E4783" s="3">
        <v>3.7162560399456801</v>
      </c>
      <c r="F4783" s="3">
        <v>2.02196687160838E-4</v>
      </c>
      <c r="G4783" s="3">
        <v>1.0777099247009699E-3</v>
      </c>
      <c r="H4783" s="3" t="str">
        <f>"ALOX12B"</f>
        <v>ALOX12B</v>
      </c>
      <c r="I4783" s="3" t="str">
        <f t="shared" si="223"/>
        <v>protein_coding</v>
      </c>
    </row>
    <row r="4784" spans="1:9" x14ac:dyDescent="0.2">
      <c r="A4784" s="3" t="str">
        <f>"ENSG00000179029.14"</f>
        <v>ENSG00000179029.14</v>
      </c>
      <c r="B4784" s="3">
        <v>221.16667424018601</v>
      </c>
      <c r="C4784" s="3">
        <v>1.3873206110402201</v>
      </c>
      <c r="D4784" s="3">
        <v>0.28717712089187197</v>
      </c>
      <c r="E4784" s="3">
        <v>4.8308883616204703</v>
      </c>
      <c r="F4784" s="4">
        <v>1.3592520652752799E-6</v>
      </c>
      <c r="G4784" s="4">
        <v>1.13955510838633E-5</v>
      </c>
      <c r="H4784" s="3" t="str">
        <f>"TMEM107"</f>
        <v>TMEM107</v>
      </c>
      <c r="I4784" s="3" t="str">
        <f t="shared" si="223"/>
        <v>protein_coding</v>
      </c>
    </row>
    <row r="4785" spans="1:9" x14ac:dyDescent="0.2">
      <c r="A4785" s="3" t="str">
        <f>"ENSG00000178999.13"</f>
        <v>ENSG00000178999.13</v>
      </c>
      <c r="B4785" s="3">
        <v>1424.41492069882</v>
      </c>
      <c r="C4785" s="3">
        <v>-1.3916150782427099</v>
      </c>
      <c r="D4785" s="3">
        <v>0.25231652556863698</v>
      </c>
      <c r="E4785" s="3">
        <v>-5.5153544743312901</v>
      </c>
      <c r="F4785" s="4">
        <v>3.4807766598811101E-8</v>
      </c>
      <c r="G4785" s="4">
        <v>3.82576529454541E-7</v>
      </c>
      <c r="H4785" s="3" t="str">
        <f>"AURKB"</f>
        <v>AURKB</v>
      </c>
      <c r="I4785" s="3" t="str">
        <f t="shared" si="223"/>
        <v>protein_coding</v>
      </c>
    </row>
    <row r="4786" spans="1:9" x14ac:dyDescent="0.2">
      <c r="A4786" s="3" t="str">
        <f>"ENSG00000178977.3"</f>
        <v>ENSG00000178977.3</v>
      </c>
      <c r="B4786" s="3">
        <v>244.67089010671401</v>
      </c>
      <c r="C4786" s="3">
        <v>4.4291323603524901</v>
      </c>
      <c r="D4786" s="3">
        <v>0.34450821538108101</v>
      </c>
      <c r="E4786" s="3">
        <v>12.8563911181426</v>
      </c>
      <c r="F4786" s="4">
        <v>7.9188313521257602E-38</v>
      </c>
      <c r="G4786" s="4">
        <v>9.8522556096516202E-36</v>
      </c>
      <c r="H4786" s="3" t="str">
        <f>"LINC00324"</f>
        <v>LINC00324</v>
      </c>
      <c r="I4786" s="3" t="str">
        <f>"lincRNA"</f>
        <v>lincRNA</v>
      </c>
    </row>
    <row r="4787" spans="1:9" x14ac:dyDescent="0.2">
      <c r="A4787" s="3" t="str">
        <f>"ENSG00000178921.14"</f>
        <v>ENSG00000178921.14</v>
      </c>
      <c r="B4787" s="3">
        <v>3387.3548257372299</v>
      </c>
      <c r="C4787" s="3">
        <v>-1.82598746159477</v>
      </c>
      <c r="D4787" s="3">
        <v>0.19161537602238299</v>
      </c>
      <c r="E4787" s="3">
        <v>-9.5294412144747298</v>
      </c>
      <c r="F4787" s="4">
        <v>1.58132086013237E-21</v>
      </c>
      <c r="G4787" s="4">
        <v>6.9159308950283697E-20</v>
      </c>
      <c r="H4787" s="3" t="str">
        <f>"PFAS"</f>
        <v>PFAS</v>
      </c>
      <c r="I4787" s="3" t="str">
        <f t="shared" ref="I4787:I4797" si="224">"protein_coding"</f>
        <v>protein_coding</v>
      </c>
    </row>
    <row r="4788" spans="1:9" x14ac:dyDescent="0.2">
      <c r="A4788" s="3" t="str">
        <f>"ENSG00000108961.14"</f>
        <v>ENSG00000108961.14</v>
      </c>
      <c r="B4788" s="3">
        <v>390.24660573253902</v>
      </c>
      <c r="C4788" s="3">
        <v>-1.0536507786752001</v>
      </c>
      <c r="D4788" s="3">
        <v>0.27256656770525201</v>
      </c>
      <c r="E4788" s="3">
        <v>-3.8656640377648901</v>
      </c>
      <c r="F4788" s="3">
        <v>1.10787356518286E-4</v>
      </c>
      <c r="G4788" s="3">
        <v>6.2796403225582199E-4</v>
      </c>
      <c r="H4788" s="3" t="str">
        <f>"RANGRF"</f>
        <v>RANGRF</v>
      </c>
      <c r="I4788" s="3" t="str">
        <f t="shared" si="224"/>
        <v>protein_coding</v>
      </c>
    </row>
    <row r="4789" spans="1:9" x14ac:dyDescent="0.2">
      <c r="A4789" s="3" t="str">
        <f>"ENSG00000184619.5"</f>
        <v>ENSG00000184619.5</v>
      </c>
      <c r="B4789" s="3">
        <v>74.250773713279798</v>
      </c>
      <c r="C4789" s="3">
        <v>1.10905287712187</v>
      </c>
      <c r="D4789" s="3">
        <v>0.41941282632117299</v>
      </c>
      <c r="E4789" s="3">
        <v>2.6442989043749399</v>
      </c>
      <c r="F4789" s="3">
        <v>8.1860332283929006E-3</v>
      </c>
      <c r="G4789" s="3">
        <v>2.6889071413384098E-2</v>
      </c>
      <c r="H4789" s="3" t="str">
        <f>"KRBA2"</f>
        <v>KRBA2</v>
      </c>
      <c r="I4789" s="3" t="str">
        <f t="shared" si="224"/>
        <v>protein_coding</v>
      </c>
    </row>
    <row r="4790" spans="1:9" x14ac:dyDescent="0.2">
      <c r="A4790" s="3" t="str">
        <f>"ENSG00000133026.12"</f>
        <v>ENSG00000133026.12</v>
      </c>
      <c r="B4790" s="3">
        <v>9889.2213659837707</v>
      </c>
      <c r="C4790" s="3">
        <v>-1.1593875158143501</v>
      </c>
      <c r="D4790" s="3">
        <v>0.183099633247993</v>
      </c>
      <c r="E4790" s="3">
        <v>-6.3320034849226703</v>
      </c>
      <c r="F4790" s="4">
        <v>2.41998019803932E-10</v>
      </c>
      <c r="G4790" s="4">
        <v>3.5488267199126699E-9</v>
      </c>
      <c r="H4790" s="3" t="str">
        <f>"MYH10"</f>
        <v>MYH10</v>
      </c>
      <c r="I4790" s="3" t="str">
        <f t="shared" si="224"/>
        <v>protein_coding</v>
      </c>
    </row>
    <row r="4791" spans="1:9" x14ac:dyDescent="0.2">
      <c r="A4791" s="3" t="str">
        <f>"ENSG00000276231.4"</f>
        <v>ENSG00000276231.4</v>
      </c>
      <c r="B4791" s="3">
        <v>4.9915038515476402</v>
      </c>
      <c r="C4791" s="3">
        <v>5.7155107172183204</v>
      </c>
      <c r="D4791" s="3">
        <v>2.03125899621197</v>
      </c>
      <c r="E4791" s="3">
        <v>2.81377742960253</v>
      </c>
      <c r="F4791" s="3">
        <v>4.8963116077231396E-3</v>
      </c>
      <c r="G4791" s="3">
        <v>1.7423247012620099E-2</v>
      </c>
      <c r="H4791" s="3" t="str">
        <f>"PIK3R6"</f>
        <v>PIK3R6</v>
      </c>
      <c r="I4791" s="3" t="str">
        <f t="shared" si="224"/>
        <v>protein_coding</v>
      </c>
    </row>
    <row r="4792" spans="1:9" x14ac:dyDescent="0.2">
      <c r="A4792" s="3" t="str">
        <f>"ENSG00000065320.9"</f>
        <v>ENSG00000065320.9</v>
      </c>
      <c r="B4792" s="3">
        <v>945.56099982737703</v>
      </c>
      <c r="C4792" s="3">
        <v>8.653849868999</v>
      </c>
      <c r="D4792" s="3">
        <v>0.95406171256736405</v>
      </c>
      <c r="E4792" s="3">
        <v>9.0705346991775198</v>
      </c>
      <c r="F4792" s="4">
        <v>1.1843437572619101E-19</v>
      </c>
      <c r="G4792" s="4">
        <v>4.3964324733127003E-18</v>
      </c>
      <c r="H4792" s="3" t="str">
        <f>"NTN1"</f>
        <v>NTN1</v>
      </c>
      <c r="I4792" s="3" t="str">
        <f t="shared" si="224"/>
        <v>protein_coding</v>
      </c>
    </row>
    <row r="4793" spans="1:9" x14ac:dyDescent="0.2">
      <c r="A4793" s="3" t="str">
        <f>"ENSG00000007237.18"</f>
        <v>ENSG00000007237.18</v>
      </c>
      <c r="B4793" s="3">
        <v>54.333312922000403</v>
      </c>
      <c r="C4793" s="3">
        <v>2.3771548095324802</v>
      </c>
      <c r="D4793" s="3">
        <v>0.51380298789491996</v>
      </c>
      <c r="E4793" s="3">
        <v>4.6265881389125898</v>
      </c>
      <c r="F4793" s="4">
        <v>3.7173870974569801E-6</v>
      </c>
      <c r="G4793" s="4">
        <v>2.8766727135589399E-5</v>
      </c>
      <c r="H4793" s="3" t="str">
        <f>"GAS7"</f>
        <v>GAS7</v>
      </c>
      <c r="I4793" s="3" t="str">
        <f t="shared" si="224"/>
        <v>protein_coding</v>
      </c>
    </row>
    <row r="4794" spans="1:9" x14ac:dyDescent="0.2">
      <c r="A4794" s="3" t="str">
        <f>"ENSG00000133020.4"</f>
        <v>ENSG00000133020.4</v>
      </c>
      <c r="B4794" s="3">
        <v>4.6261170131073301</v>
      </c>
      <c r="C4794" s="3">
        <v>5.6094325569646601</v>
      </c>
      <c r="D4794" s="3">
        <v>2.08410562928304</v>
      </c>
      <c r="E4794" s="3">
        <v>2.6915298716862002</v>
      </c>
      <c r="F4794" s="3">
        <v>7.1125128459038501E-3</v>
      </c>
      <c r="G4794" s="3">
        <v>2.39370846729672E-2</v>
      </c>
      <c r="H4794" s="3" t="str">
        <f>"MYH8"</f>
        <v>MYH8</v>
      </c>
      <c r="I4794" s="3" t="str">
        <f t="shared" si="224"/>
        <v>protein_coding</v>
      </c>
    </row>
    <row r="4795" spans="1:9" x14ac:dyDescent="0.2">
      <c r="A4795" s="3" t="str">
        <f>"ENSG00000007174.18"</f>
        <v>ENSG00000007174.18</v>
      </c>
      <c r="B4795" s="3">
        <v>17.734325950316599</v>
      </c>
      <c r="C4795" s="3">
        <v>6.0797993170037197</v>
      </c>
      <c r="D4795" s="3">
        <v>1.62363866207615</v>
      </c>
      <c r="E4795" s="3">
        <v>3.7445519492800599</v>
      </c>
      <c r="F4795" s="3">
        <v>1.8071598362138E-4</v>
      </c>
      <c r="G4795" s="3">
        <v>9.7350106874886E-4</v>
      </c>
      <c r="H4795" s="3" t="str">
        <f>"DNAH9"</f>
        <v>DNAH9</v>
      </c>
      <c r="I4795" s="3" t="str">
        <f t="shared" si="224"/>
        <v>protein_coding</v>
      </c>
    </row>
    <row r="4796" spans="1:9" x14ac:dyDescent="0.2">
      <c r="A4796" s="3" t="str">
        <f>"ENSG00000153976.3"</f>
        <v>ENSG00000153976.3</v>
      </c>
      <c r="B4796" s="3">
        <v>38.8956187982402</v>
      </c>
      <c r="C4796" s="3">
        <v>-1.79139369429472</v>
      </c>
      <c r="D4796" s="3">
        <v>0.56763568189491098</v>
      </c>
      <c r="E4796" s="3">
        <v>-3.1558863394820298</v>
      </c>
      <c r="F4796" s="3">
        <v>1.60011200693815E-3</v>
      </c>
      <c r="G4796" s="3">
        <v>6.6491157317437304E-3</v>
      </c>
      <c r="H4796" s="3" t="str">
        <f>"HS3ST3A1"</f>
        <v>HS3ST3A1</v>
      </c>
      <c r="I4796" s="3" t="str">
        <f t="shared" si="224"/>
        <v>protein_coding</v>
      </c>
    </row>
    <row r="4797" spans="1:9" x14ac:dyDescent="0.2">
      <c r="A4797" s="3" t="str">
        <f>"ENSG00000125430.9"</f>
        <v>ENSG00000125430.9</v>
      </c>
      <c r="B4797" s="3">
        <v>1856.38580346096</v>
      </c>
      <c r="C4797" s="3">
        <v>-1.98292696553456</v>
      </c>
      <c r="D4797" s="3">
        <v>0.19921033660127199</v>
      </c>
      <c r="E4797" s="3">
        <v>-9.9539361228201209</v>
      </c>
      <c r="F4797" s="4">
        <v>2.4240158456691099E-23</v>
      </c>
      <c r="G4797" s="4">
        <v>1.19218699904235E-21</v>
      </c>
      <c r="H4797" s="3" t="str">
        <f>"HS3ST3B1"</f>
        <v>HS3ST3B1</v>
      </c>
      <c r="I4797" s="3" t="str">
        <f t="shared" si="224"/>
        <v>protein_coding</v>
      </c>
    </row>
    <row r="4798" spans="1:9" x14ac:dyDescent="0.2">
      <c r="A4798" s="3" t="str">
        <f>"ENSG00000266709.1"</f>
        <v>ENSG00000266709.1</v>
      </c>
      <c r="B4798" s="3">
        <v>938.66548155451903</v>
      </c>
      <c r="C4798" s="3">
        <v>-2.7780716350129802</v>
      </c>
      <c r="D4798" s="3">
        <v>0.22455911407656301</v>
      </c>
      <c r="E4798" s="3">
        <v>-12.3712263759012</v>
      </c>
      <c r="F4798" s="4">
        <v>3.74066001118422E-35</v>
      </c>
      <c r="G4798" s="4">
        <v>3.92006782018217E-33</v>
      </c>
      <c r="H4798" s="3" t="str">
        <f>"AC005224.4"</f>
        <v>AC005224.4</v>
      </c>
      <c r="I4798" s="3" t="str">
        <f>"lincRNA"</f>
        <v>lincRNA</v>
      </c>
    </row>
    <row r="4799" spans="1:9" x14ac:dyDescent="0.2">
      <c r="A4799" s="3" t="str">
        <f>"ENSG00000109099.15"</f>
        <v>ENSG00000109099.15</v>
      </c>
      <c r="B4799" s="3">
        <v>107.730836512702</v>
      </c>
      <c r="C4799" s="3">
        <v>-3.7284284469041098</v>
      </c>
      <c r="D4799" s="3">
        <v>0.44228894062528301</v>
      </c>
      <c r="E4799" s="3">
        <v>-8.4298477860040304</v>
      </c>
      <c r="F4799" s="4">
        <v>3.4611512959923499E-17</v>
      </c>
      <c r="G4799" s="4">
        <v>1.04552094636257E-15</v>
      </c>
      <c r="H4799" s="3" t="str">
        <f>"PMP22"</f>
        <v>PMP22</v>
      </c>
      <c r="I4799" s="3" t="str">
        <f t="shared" ref="I4799:I4808" si="225">"protein_coding"</f>
        <v>protein_coding</v>
      </c>
    </row>
    <row r="4800" spans="1:9" x14ac:dyDescent="0.2">
      <c r="A4800" s="3" t="str">
        <f>"ENSG00000166582.10"</f>
        <v>ENSG00000166582.10</v>
      </c>
      <c r="B4800" s="3">
        <v>1588.3434057935899</v>
      </c>
      <c r="C4800" s="3">
        <v>-2.4339616140499598</v>
      </c>
      <c r="D4800" s="3">
        <v>0.21126973456223</v>
      </c>
      <c r="E4800" s="3">
        <v>-11.520635547222801</v>
      </c>
      <c r="F4800" s="4">
        <v>1.0384221974839101E-30</v>
      </c>
      <c r="G4800" s="4">
        <v>8.5739059438921698E-29</v>
      </c>
      <c r="H4800" s="3" t="str">
        <f>"CENPV"</f>
        <v>CENPV</v>
      </c>
      <c r="I4800" s="3" t="str">
        <f t="shared" si="225"/>
        <v>protein_coding</v>
      </c>
    </row>
    <row r="4801" spans="1:9" x14ac:dyDescent="0.2">
      <c r="A4801" s="3" t="str">
        <f>"ENSG00000181350.11"</f>
        <v>ENSG00000181350.11</v>
      </c>
      <c r="B4801" s="3">
        <v>11.507515053771799</v>
      </c>
      <c r="C4801" s="3">
        <v>2.9753869922813099</v>
      </c>
      <c r="D4801" s="3">
        <v>1.13240502095151</v>
      </c>
      <c r="E4801" s="3">
        <v>2.6274936416135199</v>
      </c>
      <c r="F4801" s="3">
        <v>8.6016449371499604E-3</v>
      </c>
      <c r="G4801" s="3">
        <v>2.8051348845305201E-2</v>
      </c>
      <c r="H4801" s="3" t="str">
        <f>"LRRC75A"</f>
        <v>LRRC75A</v>
      </c>
      <c r="I4801" s="3" t="str">
        <f t="shared" si="225"/>
        <v>protein_coding</v>
      </c>
    </row>
    <row r="4802" spans="1:9" x14ac:dyDescent="0.2">
      <c r="A4802" s="3" t="str">
        <f>"ENSG00000170160.17"</f>
        <v>ENSG00000170160.17</v>
      </c>
      <c r="B4802" s="3">
        <v>12.7310913662924</v>
      </c>
      <c r="C4802" s="3">
        <v>5.5950720719676896</v>
      </c>
      <c r="D4802" s="3">
        <v>1.6900156917412501</v>
      </c>
      <c r="E4802" s="3">
        <v>3.3106627940258999</v>
      </c>
      <c r="F4802" s="3">
        <v>9.3075295056835403E-4</v>
      </c>
      <c r="G4802" s="3">
        <v>4.1431507342159701E-3</v>
      </c>
      <c r="H4802" s="3" t="str">
        <f>"CCDC144A"</f>
        <v>CCDC144A</v>
      </c>
      <c r="I4802" s="3" t="str">
        <f t="shared" si="225"/>
        <v>protein_coding</v>
      </c>
    </row>
    <row r="4803" spans="1:9" x14ac:dyDescent="0.2">
      <c r="A4803" s="3" t="str">
        <f>"ENSG00000179598.6"</f>
        <v>ENSG00000179598.6</v>
      </c>
      <c r="B4803" s="3">
        <v>350.77859734725303</v>
      </c>
      <c r="C4803" s="3">
        <v>-1.1555482572589799</v>
      </c>
      <c r="D4803" s="3">
        <v>0.25209732975100202</v>
      </c>
      <c r="E4803" s="3">
        <v>-4.5837385838252196</v>
      </c>
      <c r="F4803" s="4">
        <v>4.5673519501713701E-6</v>
      </c>
      <c r="G4803" s="4">
        <v>3.4781061650732003E-5</v>
      </c>
      <c r="H4803" s="3" t="str">
        <f>"PLD6"</f>
        <v>PLD6</v>
      </c>
      <c r="I4803" s="3" t="str">
        <f t="shared" si="225"/>
        <v>protein_coding</v>
      </c>
    </row>
    <row r="4804" spans="1:9" x14ac:dyDescent="0.2">
      <c r="A4804" s="3" t="str">
        <f>"ENSG00000108551.5"</f>
        <v>ENSG00000108551.5</v>
      </c>
      <c r="B4804" s="3">
        <v>1439.1852145456501</v>
      </c>
      <c r="C4804" s="3">
        <v>1.2344436551798399</v>
      </c>
      <c r="D4804" s="3">
        <v>0.22776713321226599</v>
      </c>
      <c r="E4804" s="3">
        <v>5.4197620076703696</v>
      </c>
      <c r="F4804" s="4">
        <v>5.9678427822925503E-8</v>
      </c>
      <c r="G4804" s="4">
        <v>6.3025508639195798E-7</v>
      </c>
      <c r="H4804" s="3" t="str">
        <f>"RASD1"</f>
        <v>RASD1</v>
      </c>
      <c r="I4804" s="3" t="str">
        <f t="shared" si="225"/>
        <v>protein_coding</v>
      </c>
    </row>
    <row r="4805" spans="1:9" x14ac:dyDescent="0.2">
      <c r="A4805" s="3" t="str">
        <f>"ENSG00000133027.18"</f>
        <v>ENSG00000133027.18</v>
      </c>
      <c r="B4805" s="3">
        <v>562.78961118013899</v>
      </c>
      <c r="C4805" s="3">
        <v>-1.1553475855981601</v>
      </c>
      <c r="D4805" s="3">
        <v>0.23706467506248199</v>
      </c>
      <c r="E4805" s="3">
        <v>-4.8735543804392298</v>
      </c>
      <c r="F4805" s="4">
        <v>1.09608078062472E-6</v>
      </c>
      <c r="G4805" s="4">
        <v>9.3357027288783494E-6</v>
      </c>
      <c r="H4805" s="3" t="str">
        <f>"PEMT"</f>
        <v>PEMT</v>
      </c>
      <c r="I4805" s="3" t="str">
        <f t="shared" si="225"/>
        <v>protein_coding</v>
      </c>
    </row>
    <row r="4806" spans="1:9" x14ac:dyDescent="0.2">
      <c r="A4806" s="3" t="str">
        <f>"ENSG00000072310.16"</f>
        <v>ENSG00000072310.16</v>
      </c>
      <c r="B4806" s="3">
        <v>2584.3784883183298</v>
      </c>
      <c r="C4806" s="3">
        <v>-1.31015171304717</v>
      </c>
      <c r="D4806" s="3">
        <v>0.20487228926773501</v>
      </c>
      <c r="E4806" s="3">
        <v>-6.3949678979523101</v>
      </c>
      <c r="F4806" s="4">
        <v>1.60581089077407E-10</v>
      </c>
      <c r="G4806" s="4">
        <v>2.4294019622943401E-9</v>
      </c>
      <c r="H4806" s="3" t="str">
        <f>"SREBF1"</f>
        <v>SREBF1</v>
      </c>
      <c r="I4806" s="3" t="str">
        <f t="shared" si="225"/>
        <v>protein_coding</v>
      </c>
    </row>
    <row r="4807" spans="1:9" x14ac:dyDescent="0.2">
      <c r="A4807" s="3" t="str">
        <f>"ENSG00000175662.17"</f>
        <v>ENSG00000175662.17</v>
      </c>
      <c r="B4807" s="3">
        <v>542.00295258955703</v>
      </c>
      <c r="C4807" s="3">
        <v>1.09474417719772</v>
      </c>
      <c r="D4807" s="3">
        <v>0.23371844221346</v>
      </c>
      <c r="E4807" s="3">
        <v>4.6840299243388896</v>
      </c>
      <c r="F4807" s="4">
        <v>2.81288914928649E-6</v>
      </c>
      <c r="G4807" s="4">
        <v>2.2208864285890701E-5</v>
      </c>
      <c r="H4807" s="3" t="str">
        <f>"TOM1L2"</f>
        <v>TOM1L2</v>
      </c>
      <c r="I4807" s="3" t="str">
        <f t="shared" si="225"/>
        <v>protein_coding</v>
      </c>
    </row>
    <row r="4808" spans="1:9" x14ac:dyDescent="0.2">
      <c r="A4808" s="3" t="str">
        <f>"ENSG00000171962.17"</f>
        <v>ENSG00000171962.17</v>
      </c>
      <c r="B4808" s="3">
        <v>67.697154052530195</v>
      </c>
      <c r="C4808" s="3">
        <v>2.3869434535957601</v>
      </c>
      <c r="D4808" s="3">
        <v>0.46977728400274499</v>
      </c>
      <c r="E4808" s="3">
        <v>5.0810107999641296</v>
      </c>
      <c r="F4808" s="4">
        <v>3.7543177075498702E-7</v>
      </c>
      <c r="G4808" s="4">
        <v>3.4628941969401299E-6</v>
      </c>
      <c r="H4808" s="3" t="str">
        <f>"DRC3"</f>
        <v>DRC3</v>
      </c>
      <c r="I4808" s="3" t="str">
        <f t="shared" si="225"/>
        <v>protein_coding</v>
      </c>
    </row>
    <row r="4809" spans="1:9" x14ac:dyDescent="0.2">
      <c r="A4809" s="3" t="str">
        <f>"ENSG00000279428.1"</f>
        <v>ENSG00000279428.1</v>
      </c>
      <c r="B4809" s="3">
        <v>3.7443793362539499</v>
      </c>
      <c r="C4809" s="3">
        <v>5.3028405840866704</v>
      </c>
      <c r="D4809" s="3">
        <v>2.1958005004532399</v>
      </c>
      <c r="E4809" s="3">
        <v>2.4149919735386298</v>
      </c>
      <c r="F4809" s="3">
        <v>1.5735556439619401E-2</v>
      </c>
      <c r="G4809" s="3">
        <v>4.6361019280959197E-2</v>
      </c>
      <c r="H4809" s="3" t="str">
        <f>"AC087164.2"</f>
        <v>AC087164.2</v>
      </c>
      <c r="I4809" s="3" t="str">
        <f>"TEC"</f>
        <v>TEC</v>
      </c>
    </row>
    <row r="4810" spans="1:9" x14ac:dyDescent="0.2">
      <c r="A4810" s="3" t="str">
        <f>"ENSG00000091536.18"</f>
        <v>ENSG00000091536.18</v>
      </c>
      <c r="B4810" s="3">
        <v>18.713848911693798</v>
      </c>
      <c r="C4810" s="3">
        <v>2.4934286894458002</v>
      </c>
      <c r="D4810" s="3">
        <v>0.86668128947395995</v>
      </c>
      <c r="E4810" s="3">
        <v>2.87698456137112</v>
      </c>
      <c r="F4810" s="3">
        <v>4.0149523808878998E-3</v>
      </c>
      <c r="G4810" s="3">
        <v>1.4695782848207E-2</v>
      </c>
      <c r="H4810" s="3" t="str">
        <f>"MYO15A"</f>
        <v>MYO15A</v>
      </c>
      <c r="I4810" s="3" t="str">
        <f>"protein_coding"</f>
        <v>protein_coding</v>
      </c>
    </row>
    <row r="4811" spans="1:9" x14ac:dyDescent="0.2">
      <c r="A4811" s="3" t="str">
        <f>"ENSG00000091542.9"</f>
        <v>ENSG00000091542.9</v>
      </c>
      <c r="B4811" s="3">
        <v>3760.5212051252201</v>
      </c>
      <c r="C4811" s="3">
        <v>-1.05715159379058</v>
      </c>
      <c r="D4811" s="3">
        <v>0.19498282548406601</v>
      </c>
      <c r="E4811" s="3">
        <v>-5.4217677437286502</v>
      </c>
      <c r="F4811" s="4">
        <v>5.9012524547303702E-8</v>
      </c>
      <c r="G4811" s="4">
        <v>6.23948101024596E-7</v>
      </c>
      <c r="H4811" s="3" t="str">
        <f>"ALKBH5"</f>
        <v>ALKBH5</v>
      </c>
      <c r="I4811" s="3" t="str">
        <f>"protein_coding"</f>
        <v>protein_coding</v>
      </c>
    </row>
    <row r="4812" spans="1:9" x14ac:dyDescent="0.2">
      <c r="A4812" s="3" t="str">
        <f>"ENSG00000176974.20"</f>
        <v>ENSG00000176974.20</v>
      </c>
      <c r="B4812" s="3">
        <v>1227.26448140209</v>
      </c>
      <c r="C4812" s="3">
        <v>-2.5367330912022599</v>
      </c>
      <c r="D4812" s="3">
        <v>0.22224145468832901</v>
      </c>
      <c r="E4812" s="3">
        <v>-11.414311046333699</v>
      </c>
      <c r="F4812" s="4">
        <v>3.5470340627758803E-30</v>
      </c>
      <c r="G4812" s="4">
        <v>2.8176687203631001E-28</v>
      </c>
      <c r="H4812" s="3" t="str">
        <f>"SHMT1"</f>
        <v>SHMT1</v>
      </c>
      <c r="I4812" s="3" t="str">
        <f>"protein_coding"</f>
        <v>protein_coding</v>
      </c>
    </row>
    <row r="4813" spans="1:9" x14ac:dyDescent="0.2">
      <c r="A4813" s="3" t="str">
        <f>"ENSG00000273018.6"</f>
        <v>ENSG00000273018.6</v>
      </c>
      <c r="B4813" s="3">
        <v>9.7988113886886694</v>
      </c>
      <c r="C4813" s="3">
        <v>6.6879246392303902</v>
      </c>
      <c r="D4813" s="3">
        <v>1.7696406636919699</v>
      </c>
      <c r="E4813" s="3">
        <v>3.7792557418281199</v>
      </c>
      <c r="F4813" s="3">
        <v>1.5729780735639E-4</v>
      </c>
      <c r="G4813" s="3">
        <v>8.6079400623409301E-4</v>
      </c>
      <c r="H4813" s="3" t="str">
        <f>"FAM106A"</f>
        <v>FAM106A</v>
      </c>
      <c r="I4813" s="3" t="str">
        <f>"processed_transcript"</f>
        <v>processed_transcript</v>
      </c>
    </row>
    <row r="4814" spans="1:9" x14ac:dyDescent="0.2">
      <c r="A4814" s="3" t="str">
        <f>"ENSG00000154874.15"</f>
        <v>ENSG00000154874.15</v>
      </c>
      <c r="B4814" s="3">
        <v>14.062466192586101</v>
      </c>
      <c r="C4814" s="3">
        <v>4.0950785087880401</v>
      </c>
      <c r="D4814" s="3">
        <v>1.1861154560306699</v>
      </c>
      <c r="E4814" s="3">
        <v>3.4525125593525199</v>
      </c>
      <c r="F4814" s="3">
        <v>5.5539162057545498E-4</v>
      </c>
      <c r="G4814" s="3">
        <v>2.6294970435828701E-3</v>
      </c>
      <c r="H4814" s="3" t="str">
        <f>"CCDC144B"</f>
        <v>CCDC144B</v>
      </c>
      <c r="I4814" s="3" t="str">
        <f>"transcribed_unprocessed_pseudogene"</f>
        <v>transcribed_unprocessed_pseudogene</v>
      </c>
    </row>
    <row r="4815" spans="1:9" x14ac:dyDescent="0.2">
      <c r="A4815" s="3" t="str">
        <f>"ENSG00000141127.15"</f>
        <v>ENSG00000141127.15</v>
      </c>
      <c r="B4815" s="3">
        <v>1683.7489710551199</v>
      </c>
      <c r="C4815" s="3">
        <v>1.3361022480245199</v>
      </c>
      <c r="D4815" s="3">
        <v>0.18796653219409001</v>
      </c>
      <c r="E4815" s="3">
        <v>7.1081922533149999</v>
      </c>
      <c r="F4815" s="4">
        <v>1.1757271132913499E-12</v>
      </c>
      <c r="G4815" s="4">
        <v>2.30302204571167E-11</v>
      </c>
      <c r="H4815" s="3" t="str">
        <f>"PRPSAP2"</f>
        <v>PRPSAP2</v>
      </c>
      <c r="I4815" s="3" t="str">
        <f>"protein_coding"</f>
        <v>protein_coding</v>
      </c>
    </row>
    <row r="4816" spans="1:9" x14ac:dyDescent="0.2">
      <c r="A4816" s="3" t="str">
        <f>"ENSG00000235672.1"</f>
        <v>ENSG00000235672.1</v>
      </c>
      <c r="B4816" s="3">
        <v>46.606263418989997</v>
      </c>
      <c r="C4816" s="3">
        <v>1.38539194595125</v>
      </c>
      <c r="D4816" s="3">
        <v>0.51698637100726796</v>
      </c>
      <c r="E4816" s="3">
        <v>2.6797455864301201</v>
      </c>
      <c r="F4816" s="3">
        <v>7.36781346613327E-3</v>
      </c>
      <c r="G4816" s="3">
        <v>2.4592773920339699E-2</v>
      </c>
      <c r="H4816" s="3" t="str">
        <f>"AC090286.2"</f>
        <v>AC090286.2</v>
      </c>
      <c r="I4816" s="3" t="str">
        <f>"transcribed_processed_pseudogene"</f>
        <v>transcribed_processed_pseudogene</v>
      </c>
    </row>
    <row r="4817" spans="1:9" x14ac:dyDescent="0.2">
      <c r="A4817" s="3" t="str">
        <f>"ENSG00000154025.15"</f>
        <v>ENSG00000154025.15</v>
      </c>
      <c r="B4817" s="3">
        <v>32.9327002502908</v>
      </c>
      <c r="C4817" s="3">
        <v>4.1095763287129001</v>
      </c>
      <c r="D4817" s="3">
        <v>0.78881850645328999</v>
      </c>
      <c r="E4817" s="3">
        <v>5.2097869092733404</v>
      </c>
      <c r="F4817" s="4">
        <v>1.89057641218138E-7</v>
      </c>
      <c r="G4817" s="4">
        <v>1.8357995546224499E-6</v>
      </c>
      <c r="H4817" s="3" t="str">
        <f>"SLC5A10"</f>
        <v>SLC5A10</v>
      </c>
      <c r="I4817" s="3" t="str">
        <f>"protein_coding"</f>
        <v>protein_coding</v>
      </c>
    </row>
    <row r="4818" spans="1:9" x14ac:dyDescent="0.2">
      <c r="A4818" s="3" t="str">
        <f>"ENSG00000154016.13"</f>
        <v>ENSG00000154016.13</v>
      </c>
      <c r="B4818" s="3">
        <v>288.17027457919897</v>
      </c>
      <c r="C4818" s="3">
        <v>1.4524007663553</v>
      </c>
      <c r="D4818" s="3">
        <v>0.264458622994449</v>
      </c>
      <c r="E4818" s="3">
        <v>5.4919773456802297</v>
      </c>
      <c r="F4818" s="4">
        <v>3.9745838556597597E-8</v>
      </c>
      <c r="G4818" s="4">
        <v>4.3283567671926998E-7</v>
      </c>
      <c r="H4818" s="3" t="str">
        <f>"GRAP"</f>
        <v>GRAP</v>
      </c>
      <c r="I4818" s="3" t="str">
        <f>"protein_coding"</f>
        <v>protein_coding</v>
      </c>
    </row>
    <row r="4819" spans="1:9" x14ac:dyDescent="0.2">
      <c r="A4819" s="3" t="str">
        <f>"ENSG00000072210.18"</f>
        <v>ENSG00000072210.18</v>
      </c>
      <c r="B4819" s="3">
        <v>3248.67784149098</v>
      </c>
      <c r="C4819" s="3">
        <v>-1.01290185395601</v>
      </c>
      <c r="D4819" s="3">
        <v>0.17656384334969799</v>
      </c>
      <c r="E4819" s="3">
        <v>-5.7367456141622402</v>
      </c>
      <c r="F4819" s="4">
        <v>9.6513049498641392E-9</v>
      </c>
      <c r="G4819" s="4">
        <v>1.14733466827639E-7</v>
      </c>
      <c r="H4819" s="3" t="str">
        <f>"ALDH3A2"</f>
        <v>ALDH3A2</v>
      </c>
      <c r="I4819" s="3" t="str">
        <f>"protein_coding"</f>
        <v>protein_coding</v>
      </c>
    </row>
    <row r="4820" spans="1:9" x14ac:dyDescent="0.2">
      <c r="A4820" s="3" t="str">
        <f>"ENSG00000083290.20"</f>
        <v>ENSG00000083290.20</v>
      </c>
      <c r="B4820" s="3">
        <v>12.045324105232201</v>
      </c>
      <c r="C4820" s="3">
        <v>3.8582405277011702</v>
      </c>
      <c r="D4820" s="3">
        <v>1.2238325563505501</v>
      </c>
      <c r="E4820" s="3">
        <v>3.1525885691473801</v>
      </c>
      <c r="F4820" s="3">
        <v>1.61829719839009E-3</v>
      </c>
      <c r="G4820" s="3">
        <v>6.7164880067836601E-3</v>
      </c>
      <c r="H4820" s="3" t="str">
        <f>"ULK2"</f>
        <v>ULK2</v>
      </c>
      <c r="I4820" s="3" t="str">
        <f>"protein_coding"</f>
        <v>protein_coding</v>
      </c>
    </row>
    <row r="4821" spans="1:9" x14ac:dyDescent="0.2">
      <c r="A4821" s="3" t="str">
        <f>"ENSG00000128487.16"</f>
        <v>ENSG00000128487.16</v>
      </c>
      <c r="B4821" s="3">
        <v>1815.5887803298799</v>
      </c>
      <c r="C4821" s="3">
        <v>1.3211936546313201</v>
      </c>
      <c r="D4821" s="3">
        <v>0.18884552978729699</v>
      </c>
      <c r="E4821" s="3">
        <v>6.9961605981323496</v>
      </c>
      <c r="F4821" s="4">
        <v>2.6307197232324901E-12</v>
      </c>
      <c r="G4821" s="4">
        <v>4.9502223963339602E-11</v>
      </c>
      <c r="H4821" s="3" t="str">
        <f>"SPECC1"</f>
        <v>SPECC1</v>
      </c>
      <c r="I4821" s="3" t="str">
        <f>"protein_coding"</f>
        <v>protein_coding</v>
      </c>
    </row>
    <row r="4822" spans="1:9" x14ac:dyDescent="0.2">
      <c r="A4822" s="3" t="str">
        <f>"ENSG00000225681.2"</f>
        <v>ENSG00000225681.2</v>
      </c>
      <c r="B4822" s="3">
        <v>8.2225381397614203</v>
      </c>
      <c r="C4822" s="3">
        <v>6.4371814262856004</v>
      </c>
      <c r="D4822" s="3">
        <v>1.8255320743139201</v>
      </c>
      <c r="E4822" s="3">
        <v>3.5261946458567999</v>
      </c>
      <c r="F4822" s="3">
        <v>4.2157700234094397E-4</v>
      </c>
      <c r="G4822" s="3">
        <v>2.0618755309250998E-3</v>
      </c>
      <c r="H4822" s="3" t="str">
        <f>"AC005730.1"</f>
        <v>AC005730.1</v>
      </c>
      <c r="I4822" s="3" t="str">
        <f>"transcribed_processed_pseudogene"</f>
        <v>transcribed_processed_pseudogene</v>
      </c>
    </row>
    <row r="4823" spans="1:9" x14ac:dyDescent="0.2">
      <c r="A4823" s="3" t="str">
        <f>"ENSG00000225014.1"</f>
        <v>ENSG00000225014.1</v>
      </c>
      <c r="B4823" s="3">
        <v>18.486769108116999</v>
      </c>
      <c r="C4823" s="3">
        <v>5.1242925707635996</v>
      </c>
      <c r="D4823" s="3">
        <v>1.28411287810276</v>
      </c>
      <c r="E4823" s="3">
        <v>3.9905312516876199</v>
      </c>
      <c r="F4823" s="4">
        <v>6.5925461244953096E-5</v>
      </c>
      <c r="G4823" s="3">
        <v>3.9262755028223801E-4</v>
      </c>
      <c r="H4823" s="3" t="str">
        <f>"KCTD9P1"</f>
        <v>KCTD9P1</v>
      </c>
      <c r="I4823" s="3" t="str">
        <f>"transcribed_processed_pseudogene"</f>
        <v>transcribed_processed_pseudogene</v>
      </c>
    </row>
    <row r="4824" spans="1:9" x14ac:dyDescent="0.2">
      <c r="A4824" s="3" t="str">
        <f>"ENSG00000226549.3"</f>
        <v>ENSG00000226549.3</v>
      </c>
      <c r="B4824" s="3">
        <v>18.9273879668409</v>
      </c>
      <c r="C4824" s="3">
        <v>-2.33405582622607</v>
      </c>
      <c r="D4824" s="3">
        <v>0.82921451340941799</v>
      </c>
      <c r="E4824" s="3">
        <v>-2.8147792742185702</v>
      </c>
      <c r="F4824" s="3">
        <v>4.8810746209630501E-3</v>
      </c>
      <c r="G4824" s="3">
        <v>1.73917405776619E-2</v>
      </c>
      <c r="H4824" s="3" t="str">
        <f>"SCDP1"</f>
        <v>SCDP1</v>
      </c>
      <c r="I4824" s="3" t="str">
        <f>"processed_pseudogene"</f>
        <v>processed_pseudogene</v>
      </c>
    </row>
    <row r="4825" spans="1:9" x14ac:dyDescent="0.2">
      <c r="A4825" s="3" t="str">
        <f>"ENSG00000274180.1"</f>
        <v>ENSG00000274180.1</v>
      </c>
      <c r="B4825" s="3">
        <v>587.98842388348601</v>
      </c>
      <c r="C4825" s="3">
        <v>3.6415987361486599</v>
      </c>
      <c r="D4825" s="3">
        <v>0.244519884585544</v>
      </c>
      <c r="E4825" s="3">
        <v>14.892853161292299</v>
      </c>
      <c r="F4825" s="4">
        <v>3.6677753590628602E-50</v>
      </c>
      <c r="G4825" s="4">
        <v>7.4579011349541702E-48</v>
      </c>
      <c r="H4825" s="3" t="str">
        <f>"NATD1"</f>
        <v>NATD1</v>
      </c>
      <c r="I4825" s="3" t="str">
        <f>"protein_coding"</f>
        <v>protein_coding</v>
      </c>
    </row>
    <row r="4826" spans="1:9" x14ac:dyDescent="0.2">
      <c r="A4826" s="3" t="str">
        <f>"ENSG00000184185.10"</f>
        <v>ENSG00000184185.10</v>
      </c>
      <c r="B4826" s="3">
        <v>8.0745799301615602</v>
      </c>
      <c r="C4826" s="3">
        <v>6.4095409579650902</v>
      </c>
      <c r="D4826" s="3">
        <v>1.8297258268735599</v>
      </c>
      <c r="E4826" s="3">
        <v>3.5030062230236001</v>
      </c>
      <c r="F4826" s="3">
        <v>4.6003871540105699E-4</v>
      </c>
      <c r="G4826" s="3">
        <v>2.2244719662634599E-3</v>
      </c>
      <c r="H4826" s="3" t="str">
        <f>"KCNJ12"</f>
        <v>KCNJ12</v>
      </c>
      <c r="I4826" s="3" t="str">
        <f>"protein_coding"</f>
        <v>protein_coding</v>
      </c>
    </row>
    <row r="4827" spans="1:9" x14ac:dyDescent="0.2">
      <c r="A4827" s="3" t="str">
        <f>"ENSG00000212719.11"</f>
        <v>ENSG00000212719.11</v>
      </c>
      <c r="B4827" s="3">
        <v>674.89145139521702</v>
      </c>
      <c r="C4827" s="3">
        <v>-1.37183743205606</v>
      </c>
      <c r="D4827" s="3">
        <v>0.224307408709985</v>
      </c>
      <c r="E4827" s="3">
        <v>-6.1158810578110003</v>
      </c>
      <c r="F4827" s="4">
        <v>9.6024929606609408E-10</v>
      </c>
      <c r="G4827" s="4">
        <v>1.31096241918883E-8</v>
      </c>
      <c r="H4827" s="3" t="str">
        <f>"C17orf51"</f>
        <v>C17orf51</v>
      </c>
      <c r="I4827" s="3" t="str">
        <f>"protein_coding"</f>
        <v>protein_coding</v>
      </c>
    </row>
    <row r="4828" spans="1:9" x14ac:dyDescent="0.2">
      <c r="A4828" s="3" t="str">
        <f>"ENSG00000276399.1"</f>
        <v>ENSG00000276399.1</v>
      </c>
      <c r="B4828" s="3">
        <v>5.2844144803744602</v>
      </c>
      <c r="C4828" s="3">
        <v>5.7963924222255896</v>
      </c>
      <c r="D4828" s="3">
        <v>2.0064078652252801</v>
      </c>
      <c r="E4828" s="3">
        <v>2.8889402412578602</v>
      </c>
      <c r="F4828" s="3">
        <v>3.8654252525083602E-3</v>
      </c>
      <c r="G4828" s="3">
        <v>1.42326002506886E-2</v>
      </c>
      <c r="H4828" s="3" t="str">
        <f>"AC209154.1"</f>
        <v>AC209154.1</v>
      </c>
      <c r="I4828" s="3" t="str">
        <f>"lincRNA"</f>
        <v>lincRNA</v>
      </c>
    </row>
    <row r="4829" spans="1:9" x14ac:dyDescent="0.2">
      <c r="A4829" s="3" t="str">
        <f>"ENSG00000109046.15"</f>
        <v>ENSG00000109046.15</v>
      </c>
      <c r="B4829" s="3">
        <v>7847.99257420922</v>
      </c>
      <c r="C4829" s="3">
        <v>1.6187794150110699</v>
      </c>
      <c r="D4829" s="3">
        <v>0.18017380961969601</v>
      </c>
      <c r="E4829" s="3">
        <v>8.9845434163151996</v>
      </c>
      <c r="F4829" s="4">
        <v>2.5981077918099098E-19</v>
      </c>
      <c r="G4829" s="4">
        <v>9.3391349608766003E-18</v>
      </c>
      <c r="H4829" s="3" t="str">
        <f>"WSB1"</f>
        <v>WSB1</v>
      </c>
      <c r="I4829" s="3" t="str">
        <f>"protein_coding"</f>
        <v>protein_coding</v>
      </c>
    </row>
    <row r="4830" spans="1:9" x14ac:dyDescent="0.2">
      <c r="A4830" s="3" t="str">
        <f>"ENSG00000265683.1"</f>
        <v>ENSG00000265683.1</v>
      </c>
      <c r="B4830" s="3">
        <v>48.794035735330603</v>
      </c>
      <c r="C4830" s="3">
        <v>1.5166807434826499</v>
      </c>
      <c r="D4830" s="3">
        <v>0.531314705136124</v>
      </c>
      <c r="E4830" s="3">
        <v>2.8545807763669502</v>
      </c>
      <c r="F4830" s="3">
        <v>4.3093671427599199E-3</v>
      </c>
      <c r="G4830" s="3">
        <v>1.5611930134128401E-2</v>
      </c>
      <c r="H4830" s="3" t="str">
        <f>"SYPL1P2"</f>
        <v>SYPL1P2</v>
      </c>
      <c r="I4830" s="3" t="str">
        <f>"processed_pseudogene"</f>
        <v>processed_pseudogene</v>
      </c>
    </row>
    <row r="4831" spans="1:9" x14ac:dyDescent="0.2">
      <c r="A4831" s="3" t="str">
        <f>"ENSG00000265801.1"</f>
        <v>ENSG00000265801.1</v>
      </c>
      <c r="B4831" s="3">
        <v>53.405956611049803</v>
      </c>
      <c r="C4831" s="3">
        <v>1.5700169486334801</v>
      </c>
      <c r="D4831" s="3">
        <v>0.50469468152098995</v>
      </c>
      <c r="E4831" s="3">
        <v>3.110825229824</v>
      </c>
      <c r="F4831" s="3">
        <v>1.86565322972191E-3</v>
      </c>
      <c r="G4831" s="3">
        <v>7.5904813424268799E-3</v>
      </c>
      <c r="H4831" s="3" t="str">
        <f>"AC069366.2"</f>
        <v>AC069366.2</v>
      </c>
      <c r="I4831" s="3" t="str">
        <f>"sense_intronic"</f>
        <v>sense_intronic</v>
      </c>
    </row>
    <row r="4832" spans="1:9" x14ac:dyDescent="0.2">
      <c r="A4832" s="3" t="str">
        <f>"ENSG00000232859.9"</f>
        <v>ENSG00000232859.9</v>
      </c>
      <c r="B4832" s="3">
        <v>51.623617650507001</v>
      </c>
      <c r="C4832" s="3">
        <v>5.0091951973867799</v>
      </c>
      <c r="D4832" s="3">
        <v>0.76104343503694605</v>
      </c>
      <c r="E4832" s="3">
        <v>6.5820096025709702</v>
      </c>
      <c r="F4832" s="4">
        <v>4.6413160263568901E-11</v>
      </c>
      <c r="G4832" s="4">
        <v>7.5589920962430495E-10</v>
      </c>
      <c r="H4832" s="3" t="str">
        <f>"LYRM9"</f>
        <v>LYRM9</v>
      </c>
      <c r="I4832" s="3" t="str">
        <f>"protein_coding"</f>
        <v>protein_coding</v>
      </c>
    </row>
    <row r="4833" spans="1:9" x14ac:dyDescent="0.2">
      <c r="A4833" s="3" t="str">
        <f>"ENSG00000260777.1"</f>
        <v>ENSG00000260777.1</v>
      </c>
      <c r="B4833" s="3">
        <v>5.1394620611475004</v>
      </c>
      <c r="C4833" s="3">
        <v>5.7599622059772502</v>
      </c>
      <c r="D4833" s="3">
        <v>2.0216211010815899</v>
      </c>
      <c r="E4833" s="3">
        <v>2.84917989968329</v>
      </c>
      <c r="F4833" s="3">
        <v>4.3832088088900196E-3</v>
      </c>
      <c r="G4833" s="3">
        <v>1.5842376356141601E-2</v>
      </c>
      <c r="H4833" s="3" t="str">
        <f>"AC061975.1"</f>
        <v>AC061975.1</v>
      </c>
      <c r="I4833" s="3" t="str">
        <f>"lincRNA"</f>
        <v>lincRNA</v>
      </c>
    </row>
    <row r="4834" spans="1:9" x14ac:dyDescent="0.2">
      <c r="A4834" s="3" t="str">
        <f>"ENSG00000266306.1"</f>
        <v>ENSG00000266306.1</v>
      </c>
      <c r="B4834" s="3">
        <v>7.5974729869281301</v>
      </c>
      <c r="C4834" s="3">
        <v>6.3217104747599198</v>
      </c>
      <c r="D4834" s="3">
        <v>1.8511442131981699</v>
      </c>
      <c r="E4834" s="3">
        <v>3.4150286237494698</v>
      </c>
      <c r="F4834" s="3">
        <v>6.3775309221655895E-4</v>
      </c>
      <c r="G4834" s="3">
        <v>2.97091101104882E-3</v>
      </c>
      <c r="H4834" s="3" t="str">
        <f>"AC061975.5"</f>
        <v>AC061975.5</v>
      </c>
      <c r="I4834" s="3" t="str">
        <f>"unprocessed_pseudogene"</f>
        <v>unprocessed_pseudogene</v>
      </c>
    </row>
    <row r="4835" spans="1:9" x14ac:dyDescent="0.2">
      <c r="A4835" s="3" t="str">
        <f>"ENSG00000109084.14"</f>
        <v>ENSG00000109084.14</v>
      </c>
      <c r="B4835" s="3">
        <v>3173.3897680771101</v>
      </c>
      <c r="C4835" s="3">
        <v>-1.0199765565130099</v>
      </c>
      <c r="D4835" s="3">
        <v>0.19826933021401899</v>
      </c>
      <c r="E4835" s="3">
        <v>-5.1443990626891498</v>
      </c>
      <c r="F4835" s="4">
        <v>2.6837850162563599E-7</v>
      </c>
      <c r="G4835" s="4">
        <v>2.5285300946727899E-6</v>
      </c>
      <c r="H4835" s="3" t="str">
        <f>"TMEM97"</f>
        <v>TMEM97</v>
      </c>
      <c r="I4835" s="3" t="str">
        <f>"protein_coding"</f>
        <v>protein_coding</v>
      </c>
    </row>
    <row r="4836" spans="1:9" x14ac:dyDescent="0.2">
      <c r="A4836" s="3" t="str">
        <f>"ENSG00000109101.7"</f>
        <v>ENSG00000109101.7</v>
      </c>
      <c r="B4836" s="3">
        <v>118.08125751657001</v>
      </c>
      <c r="C4836" s="3">
        <v>6.8267880334808302</v>
      </c>
      <c r="D4836" s="3">
        <v>0.79811044894621896</v>
      </c>
      <c r="E4836" s="3">
        <v>8.5536883303489404</v>
      </c>
      <c r="F4836" s="4">
        <v>1.19216533439051E-17</v>
      </c>
      <c r="G4836" s="4">
        <v>3.75525189203911E-16</v>
      </c>
      <c r="H4836" s="3" t="str">
        <f>"FOXN1"</f>
        <v>FOXN1</v>
      </c>
      <c r="I4836" s="3" t="str">
        <f>"protein_coding"</f>
        <v>protein_coding</v>
      </c>
    </row>
    <row r="4837" spans="1:9" x14ac:dyDescent="0.2">
      <c r="A4837" s="3" t="str">
        <f>"ENSG00000109107.14"</f>
        <v>ENSG00000109107.14</v>
      </c>
      <c r="B4837" s="3">
        <v>432.00519598663601</v>
      </c>
      <c r="C4837" s="3">
        <v>-2.7749688590182502</v>
      </c>
      <c r="D4837" s="3">
        <v>0.260432718188983</v>
      </c>
      <c r="E4837" s="3">
        <v>-10.6552236535987</v>
      </c>
      <c r="F4837" s="4">
        <v>1.64847945230774E-26</v>
      </c>
      <c r="G4837" s="4">
        <v>1.01850611421834E-24</v>
      </c>
      <c r="H4837" s="3" t="str">
        <f>"ALDOC"</f>
        <v>ALDOC</v>
      </c>
      <c r="I4837" s="3" t="str">
        <f>"protein_coding"</f>
        <v>protein_coding</v>
      </c>
    </row>
    <row r="4838" spans="1:9" x14ac:dyDescent="0.2">
      <c r="A4838" s="3" t="str">
        <f>"ENSG00000007202.15"</f>
        <v>ENSG00000007202.15</v>
      </c>
      <c r="B4838" s="3">
        <v>7225.5572182860296</v>
      </c>
      <c r="C4838" s="3">
        <v>-1.02422447512166</v>
      </c>
      <c r="D4838" s="3">
        <v>0.19776935395651399</v>
      </c>
      <c r="E4838" s="3">
        <v>-5.1788836573075399</v>
      </c>
      <c r="F4838" s="4">
        <v>2.2321761794521899E-7</v>
      </c>
      <c r="G4838" s="4">
        <v>2.1438175664974901E-6</v>
      </c>
      <c r="H4838" s="3" t="str">
        <f>"KIAA0100"</f>
        <v>KIAA0100</v>
      </c>
      <c r="I4838" s="3" t="str">
        <f>"protein_coding"</f>
        <v>protein_coding</v>
      </c>
    </row>
    <row r="4839" spans="1:9" x14ac:dyDescent="0.2">
      <c r="A4839" s="3" t="str">
        <f>"ENSG00000160606.11"</f>
        <v>ENSG00000160606.11</v>
      </c>
      <c r="B4839" s="3">
        <v>578.68722311026602</v>
      </c>
      <c r="C4839" s="3">
        <v>1.9900994117936199</v>
      </c>
      <c r="D4839" s="3">
        <v>0.23923311342925799</v>
      </c>
      <c r="E4839" s="3">
        <v>8.3186620082261094</v>
      </c>
      <c r="F4839" s="4">
        <v>8.8961839376732397E-17</v>
      </c>
      <c r="G4839" s="4">
        <v>2.6204791756733299E-15</v>
      </c>
      <c r="H4839" s="3" t="str">
        <f>"TLCD1"</f>
        <v>TLCD1</v>
      </c>
      <c r="I4839" s="3" t="str">
        <f>"protein_coding"</f>
        <v>protein_coding</v>
      </c>
    </row>
    <row r="4840" spans="1:9" x14ac:dyDescent="0.2">
      <c r="A4840" s="3" t="str">
        <f>"ENSG00000265073.1"</f>
        <v>ENSG00000265073.1</v>
      </c>
      <c r="B4840" s="3">
        <v>27.949142327266301</v>
      </c>
      <c r="C4840" s="3">
        <v>2.06767649895703</v>
      </c>
      <c r="D4840" s="3">
        <v>0.71802998105148597</v>
      </c>
      <c r="E4840" s="3">
        <v>2.8796520389428801</v>
      </c>
      <c r="F4840" s="3">
        <v>3.9811428999672301E-3</v>
      </c>
      <c r="G4840" s="3">
        <v>1.45896705575531E-2</v>
      </c>
      <c r="H4840" s="3" t="str">
        <f>"AC010761.3"</f>
        <v>AC010761.3</v>
      </c>
      <c r="I4840" s="3" t="str">
        <f>"antisense"</f>
        <v>antisense</v>
      </c>
    </row>
    <row r="4841" spans="1:9" x14ac:dyDescent="0.2">
      <c r="A4841" s="3" t="str">
        <f>"ENSG00000167536.14"</f>
        <v>ENSG00000167536.14</v>
      </c>
      <c r="B4841" s="3">
        <v>956.69731029177797</v>
      </c>
      <c r="C4841" s="3">
        <v>1.3825682579221701</v>
      </c>
      <c r="D4841" s="3">
        <v>0.20829396529205399</v>
      </c>
      <c r="E4841" s="3">
        <v>6.6375819193015797</v>
      </c>
      <c r="F4841" s="4">
        <v>3.18870754249629E-11</v>
      </c>
      <c r="G4841" s="4">
        <v>5.3236957359311504E-10</v>
      </c>
      <c r="H4841" s="3" t="str">
        <f>"DHRS13"</f>
        <v>DHRS13</v>
      </c>
      <c r="I4841" s="3" t="str">
        <f>"protein_coding"</f>
        <v>protein_coding</v>
      </c>
    </row>
    <row r="4842" spans="1:9" x14ac:dyDescent="0.2">
      <c r="A4842" s="3" t="str">
        <f>"ENSG00000108255.7"</f>
        <v>ENSG00000108255.7</v>
      </c>
      <c r="B4842" s="3">
        <v>4.6623551179140703</v>
      </c>
      <c r="C4842" s="3">
        <v>5.61968301665675</v>
      </c>
      <c r="D4842" s="3">
        <v>2.07268783865596</v>
      </c>
      <c r="E4842" s="3">
        <v>2.7113021613041601</v>
      </c>
      <c r="F4842" s="3">
        <v>6.7019521803354997E-3</v>
      </c>
      <c r="G4842" s="3">
        <v>2.27181004052751E-2</v>
      </c>
      <c r="H4842" s="3" t="str">
        <f>"CRYBA1"</f>
        <v>CRYBA1</v>
      </c>
      <c r="I4842" s="3" t="str">
        <f>"protein_coding"</f>
        <v>protein_coding</v>
      </c>
    </row>
    <row r="4843" spans="1:9" x14ac:dyDescent="0.2">
      <c r="A4843" s="3" t="str">
        <f>"ENSG00000266111.2"</f>
        <v>ENSG00000266111.2</v>
      </c>
      <c r="B4843" s="3">
        <v>41.258516455201502</v>
      </c>
      <c r="C4843" s="3">
        <v>1.4519915743055301</v>
      </c>
      <c r="D4843" s="3">
        <v>0.59584559900190104</v>
      </c>
      <c r="E4843" s="3">
        <v>2.4368587713625098</v>
      </c>
      <c r="F4843" s="3">
        <v>1.4815464409345201E-2</v>
      </c>
      <c r="G4843" s="3">
        <v>4.4098422412216301E-2</v>
      </c>
      <c r="H4843" s="3" t="str">
        <f>"AC068025.2"</f>
        <v>AC068025.2</v>
      </c>
      <c r="I4843" s="3" t="str">
        <f>"lincRNA"</f>
        <v>lincRNA</v>
      </c>
    </row>
    <row r="4844" spans="1:9" x14ac:dyDescent="0.2">
      <c r="A4844" s="3" t="str">
        <f>"ENSG00000168792.5"</f>
        <v>ENSG00000168792.5</v>
      </c>
      <c r="B4844" s="3">
        <v>235.39343636306401</v>
      </c>
      <c r="C4844" s="3">
        <v>1.2451784391699701</v>
      </c>
      <c r="D4844" s="3">
        <v>0.28386610153465602</v>
      </c>
      <c r="E4844" s="3">
        <v>4.3864992418545503</v>
      </c>
      <c r="F4844" s="4">
        <v>1.15189566289549E-5</v>
      </c>
      <c r="G4844" s="4">
        <v>8.0745307761547096E-5</v>
      </c>
      <c r="H4844" s="3" t="str">
        <f>"ABHD15"</f>
        <v>ABHD15</v>
      </c>
      <c r="I4844" s="3" t="str">
        <f>"protein_coding"</f>
        <v>protein_coding</v>
      </c>
    </row>
    <row r="4845" spans="1:9" x14ac:dyDescent="0.2">
      <c r="A4845" s="3" t="str">
        <f>"ENSG00000198720.13"</f>
        <v>ENSG00000198720.13</v>
      </c>
      <c r="B4845" s="3">
        <v>262.626249305513</v>
      </c>
      <c r="C4845" s="3">
        <v>1.73345639427452</v>
      </c>
      <c r="D4845" s="3">
        <v>0.28677571508605898</v>
      </c>
      <c r="E4845" s="3">
        <v>6.0446415197825498</v>
      </c>
      <c r="F4845" s="4">
        <v>1.4974256663904601E-9</v>
      </c>
      <c r="G4845" s="4">
        <v>1.9854188385470001E-8</v>
      </c>
      <c r="H4845" s="3" t="str">
        <f>"ANKRD13B"</f>
        <v>ANKRD13B</v>
      </c>
      <c r="I4845" s="3" t="str">
        <f>"protein_coding"</f>
        <v>protein_coding</v>
      </c>
    </row>
    <row r="4846" spans="1:9" x14ac:dyDescent="0.2">
      <c r="A4846" s="3" t="str">
        <f>"ENSG00000167549.18"</f>
        <v>ENSG00000167549.18</v>
      </c>
      <c r="B4846" s="3">
        <v>36.867265698128001</v>
      </c>
      <c r="C4846" s="3">
        <v>1.6775025126235501</v>
      </c>
      <c r="D4846" s="3">
        <v>0.58145454773845195</v>
      </c>
      <c r="E4846" s="3">
        <v>2.8850105638491299</v>
      </c>
      <c r="F4846" s="3">
        <v>3.9140052803365898E-3</v>
      </c>
      <c r="G4846" s="3">
        <v>1.43803805115064E-2</v>
      </c>
      <c r="H4846" s="3" t="str">
        <f>"CORO6"</f>
        <v>CORO6</v>
      </c>
      <c r="I4846" s="3" t="str">
        <f>"protein_coding"</f>
        <v>protein_coding</v>
      </c>
    </row>
    <row r="4847" spans="1:9" x14ac:dyDescent="0.2">
      <c r="A4847" s="3" t="str">
        <f>"ENSG00000176927.15"</f>
        <v>ENSG00000176927.15</v>
      </c>
      <c r="B4847" s="3">
        <v>12.181340314482901</v>
      </c>
      <c r="C4847" s="3">
        <v>6.9996136172798202</v>
      </c>
      <c r="D4847" s="3">
        <v>1.7269705392197401</v>
      </c>
      <c r="E4847" s="3">
        <v>4.0531169804681797</v>
      </c>
      <c r="F4847" s="4">
        <v>5.0539714444008598E-5</v>
      </c>
      <c r="G4847" s="3">
        <v>3.0924221860676002E-4</v>
      </c>
      <c r="H4847" s="3" t="str">
        <f>"EFCAB5"</f>
        <v>EFCAB5</v>
      </c>
      <c r="I4847" s="3" t="str">
        <f>"protein_coding"</f>
        <v>protein_coding</v>
      </c>
    </row>
    <row r="4848" spans="1:9" x14ac:dyDescent="0.2">
      <c r="A4848" s="3" t="str">
        <f>"ENSG00000108576.10"</f>
        <v>ENSG00000108576.10</v>
      </c>
      <c r="B4848" s="3">
        <v>76.198823430402001</v>
      </c>
      <c r="C4848" s="3">
        <v>-1.2635760398765701</v>
      </c>
      <c r="D4848" s="3">
        <v>0.418394017054392</v>
      </c>
      <c r="E4848" s="3">
        <v>-3.0200624013997501</v>
      </c>
      <c r="F4848" s="3">
        <v>2.5272261119435799E-3</v>
      </c>
      <c r="G4848" s="3">
        <v>9.8595833150238593E-3</v>
      </c>
      <c r="H4848" s="3" t="str">
        <f>"SLC6A4"</f>
        <v>SLC6A4</v>
      </c>
      <c r="I4848" s="3" t="str">
        <f>"protein_coding"</f>
        <v>protein_coding</v>
      </c>
    </row>
    <row r="4849" spans="1:9" x14ac:dyDescent="0.2">
      <c r="A4849" s="3" t="str">
        <f>"ENSG00000266120.1"</f>
        <v>ENSG00000266120.1</v>
      </c>
      <c r="B4849" s="3">
        <v>7.41327667252152</v>
      </c>
      <c r="C4849" s="3">
        <v>6.2853458829969604</v>
      </c>
      <c r="D4849" s="3">
        <v>1.8614676998914701</v>
      </c>
      <c r="E4849" s="3">
        <v>3.37655382543754</v>
      </c>
      <c r="F4849" s="3">
        <v>7.3400009002317702E-4</v>
      </c>
      <c r="G4849" s="3">
        <v>3.37313213912321E-3</v>
      </c>
      <c r="H4849" s="3" t="str">
        <f>"AC104984.4"</f>
        <v>AC104984.4</v>
      </c>
      <c r="I4849" s="3" t="str">
        <f>"antisense"</f>
        <v>antisense</v>
      </c>
    </row>
    <row r="4850" spans="1:9" x14ac:dyDescent="0.2">
      <c r="A4850" s="3" t="str">
        <f>"ENSG00000214719.12"</f>
        <v>ENSG00000214719.12</v>
      </c>
      <c r="B4850" s="3">
        <v>48.736112126773499</v>
      </c>
      <c r="C4850" s="3">
        <v>-1.2751158093149499</v>
      </c>
      <c r="D4850" s="3">
        <v>0.52014750013121303</v>
      </c>
      <c r="E4850" s="3">
        <v>-2.4514504231843599</v>
      </c>
      <c r="F4850" s="3">
        <v>1.42281784965574E-2</v>
      </c>
      <c r="G4850" s="3">
        <v>4.2723735893288303E-2</v>
      </c>
      <c r="H4850" s="3" t="str">
        <f>"AC005562.1"</f>
        <v>AC005562.1</v>
      </c>
      <c r="I4850" s="3" t="str">
        <f>"processed_transcript"</f>
        <v>processed_transcript</v>
      </c>
    </row>
    <row r="4851" spans="1:9" x14ac:dyDescent="0.2">
      <c r="A4851" s="3" t="str">
        <f>"ENSG00000248121.8"</f>
        <v>ENSG00000248121.8</v>
      </c>
      <c r="B4851" s="3">
        <v>68.523855224353497</v>
      </c>
      <c r="C4851" s="3">
        <v>-2.0083054341612301</v>
      </c>
      <c r="D4851" s="3">
        <v>0.50109279234596404</v>
      </c>
      <c r="E4851" s="3">
        <v>-4.0078513697212799</v>
      </c>
      <c r="F4851" s="4">
        <v>6.1273660157283203E-5</v>
      </c>
      <c r="G4851" s="3">
        <v>3.6806071832131798E-4</v>
      </c>
      <c r="H4851" s="3" t="str">
        <f>"SMURF2P1"</f>
        <v>SMURF2P1</v>
      </c>
      <c r="I4851" s="3" t="str">
        <f>"transcribed_unprocessed_pseudogene"</f>
        <v>transcribed_unprocessed_pseudogene</v>
      </c>
    </row>
    <row r="4852" spans="1:9" x14ac:dyDescent="0.2">
      <c r="A4852" s="3" t="str">
        <f>"ENSG00000264943.1"</f>
        <v>ENSG00000264943.1</v>
      </c>
      <c r="B4852" s="3">
        <v>42.9458599824736</v>
      </c>
      <c r="C4852" s="3">
        <v>-1.3541137692638701</v>
      </c>
      <c r="D4852" s="3">
        <v>0.54465414530373302</v>
      </c>
      <c r="E4852" s="3">
        <v>-2.4861901464253702</v>
      </c>
      <c r="F4852" s="3">
        <v>1.29118955435495E-2</v>
      </c>
      <c r="G4852" s="3">
        <v>3.9400875559983402E-2</v>
      </c>
      <c r="H4852" s="3" t="str">
        <f>"SH3GL1P2"</f>
        <v>SH3GL1P2</v>
      </c>
      <c r="I4852" s="3" t="str">
        <f>"processed_pseudogene"</f>
        <v>processed_pseudogene</v>
      </c>
    </row>
    <row r="4853" spans="1:9" x14ac:dyDescent="0.2">
      <c r="A4853" s="3" t="str">
        <f>"ENSG00000250462.8"</f>
        <v>ENSG00000250462.8</v>
      </c>
      <c r="B4853" s="3">
        <v>295.826319347712</v>
      </c>
      <c r="C4853" s="3">
        <v>-1.0232816129034099</v>
      </c>
      <c r="D4853" s="3">
        <v>0.26014988099866598</v>
      </c>
      <c r="E4853" s="3">
        <v>-3.9334310243588302</v>
      </c>
      <c r="F4853" s="4">
        <v>8.37418771085917E-5</v>
      </c>
      <c r="G4853" s="3">
        <v>4.8869456534114295E-4</v>
      </c>
      <c r="H4853" s="3" t="str">
        <f>"LRRC37BP1"</f>
        <v>LRRC37BP1</v>
      </c>
      <c r="I4853" s="3" t="str">
        <f>"transcribed_unprocessed_pseudogene"</f>
        <v>transcribed_unprocessed_pseudogene</v>
      </c>
    </row>
    <row r="4854" spans="1:9" x14ac:dyDescent="0.2">
      <c r="A4854" s="3" t="str">
        <f>"ENSG00000266865.6"</f>
        <v>ENSG00000266865.6</v>
      </c>
      <c r="B4854" s="3">
        <v>15.2255082958423</v>
      </c>
      <c r="C4854" s="3">
        <v>4.8388700457721496</v>
      </c>
      <c r="D4854" s="3">
        <v>1.3113187610897901</v>
      </c>
      <c r="E4854" s="3">
        <v>3.6900791701864502</v>
      </c>
      <c r="F4854" s="3">
        <v>2.2418427055364201E-4</v>
      </c>
      <c r="G4854" s="3">
        <v>1.1773995412056801E-3</v>
      </c>
      <c r="H4854" s="3" t="str">
        <f>"AC138207.8"</f>
        <v>AC138207.8</v>
      </c>
      <c r="I4854" s="3" t="str">
        <f>"transcribed_unprocessed_pseudogene"</f>
        <v>transcribed_unprocessed_pseudogene</v>
      </c>
    </row>
    <row r="4855" spans="1:9" x14ac:dyDescent="0.2">
      <c r="A4855" s="3" t="str">
        <f>"ENSG00000266371.1"</f>
        <v>ENSG00000266371.1</v>
      </c>
      <c r="B4855" s="3">
        <v>95.794392281893195</v>
      </c>
      <c r="C4855" s="3">
        <v>1.03682859224341</v>
      </c>
      <c r="D4855" s="3">
        <v>0.40930076290557799</v>
      </c>
      <c r="E4855" s="3">
        <v>2.5331704365344598</v>
      </c>
      <c r="F4855" s="3">
        <v>1.1303597689719501E-2</v>
      </c>
      <c r="G4855" s="3">
        <v>3.5230968457079202E-2</v>
      </c>
      <c r="H4855" s="3" t="str">
        <f>"AC079915.1"</f>
        <v>AC079915.1</v>
      </c>
      <c r="I4855" s="3" t="str">
        <f>"sense_intronic"</f>
        <v>sense_intronic</v>
      </c>
    </row>
    <row r="4856" spans="1:9" x14ac:dyDescent="0.2">
      <c r="A4856" s="3" t="str">
        <f>"ENSG00000126861.5"</f>
        <v>ENSG00000126861.5</v>
      </c>
      <c r="B4856" s="3">
        <v>10.4178649607762</v>
      </c>
      <c r="C4856" s="3">
        <v>6.7722747258183498</v>
      </c>
      <c r="D4856" s="3">
        <v>1.7985892961245</v>
      </c>
      <c r="E4856" s="3">
        <v>3.7653258253070199</v>
      </c>
      <c r="F4856" s="3">
        <v>1.6633203836128501E-4</v>
      </c>
      <c r="G4856" s="3">
        <v>9.0460060862873105E-4</v>
      </c>
      <c r="H4856" s="3" t="str">
        <f>"OMG"</f>
        <v>OMG</v>
      </c>
      <c r="I4856" s="3" t="str">
        <f>"protein_coding"</f>
        <v>protein_coding</v>
      </c>
    </row>
    <row r="4857" spans="1:9" x14ac:dyDescent="0.2">
      <c r="A4857" s="3" t="str">
        <f>"ENSG00000185862.7"</f>
        <v>ENSG00000185862.7</v>
      </c>
      <c r="B4857" s="3">
        <v>5.3931287947946904</v>
      </c>
      <c r="C4857" s="3">
        <v>5.8232739963666802</v>
      </c>
      <c r="D4857" s="3">
        <v>2.0163845420733102</v>
      </c>
      <c r="E4857" s="3">
        <v>2.8879779004747701</v>
      </c>
      <c r="F4857" s="3">
        <v>3.8772711269785E-3</v>
      </c>
      <c r="G4857" s="3">
        <v>1.42685043755785E-2</v>
      </c>
      <c r="H4857" s="3" t="str">
        <f>"EVI2B"</f>
        <v>EVI2B</v>
      </c>
      <c r="I4857" s="3" t="str">
        <f>"protein_coding"</f>
        <v>protein_coding</v>
      </c>
    </row>
    <row r="4858" spans="1:9" x14ac:dyDescent="0.2">
      <c r="A4858" s="3" t="str">
        <f>"ENSG00000263535.2"</f>
        <v>ENSG00000263535.2</v>
      </c>
      <c r="B4858" s="3">
        <v>566.68581628955405</v>
      </c>
      <c r="C4858" s="3">
        <v>-1.9896792884793699</v>
      </c>
      <c r="D4858" s="3">
        <v>0.22518649722071299</v>
      </c>
      <c r="E4858" s="3">
        <v>-8.8356953593412602</v>
      </c>
      <c r="F4858" s="4">
        <v>9.9477526255967696E-19</v>
      </c>
      <c r="G4858" s="4">
        <v>3.4309672884763899E-17</v>
      </c>
      <c r="H4858" s="3" t="str">
        <f>"AK4P1"</f>
        <v>AK4P1</v>
      </c>
      <c r="I4858" s="3" t="str">
        <f>"processed_pseudogene"</f>
        <v>processed_pseudogene</v>
      </c>
    </row>
    <row r="4859" spans="1:9" x14ac:dyDescent="0.2">
      <c r="A4859" s="3" t="str">
        <f>"ENSG00000131242.18"</f>
        <v>ENSG00000131242.18</v>
      </c>
      <c r="B4859" s="3">
        <v>2327.9780972753401</v>
      </c>
      <c r="C4859" s="3">
        <v>-1.9015197546315199</v>
      </c>
      <c r="D4859" s="3">
        <v>0.24270000396436001</v>
      </c>
      <c r="E4859" s="3">
        <v>-7.83485671022384</v>
      </c>
      <c r="F4859" s="4">
        <v>4.6937768274677298E-15</v>
      </c>
      <c r="G4859" s="4">
        <v>1.17116609174005E-13</v>
      </c>
      <c r="H4859" s="3" t="str">
        <f>"RAB11FIP4"</f>
        <v>RAB11FIP4</v>
      </c>
      <c r="I4859" s="3" t="str">
        <f t="shared" ref="I4859:I4865" si="226">"protein_coding"</f>
        <v>protein_coding</v>
      </c>
    </row>
    <row r="4860" spans="1:9" x14ac:dyDescent="0.2">
      <c r="A4860" s="3" t="str">
        <f>"ENSG00000108666.10"</f>
        <v>ENSG00000108666.10</v>
      </c>
      <c r="B4860" s="3">
        <v>318.13125588327301</v>
      </c>
      <c r="C4860" s="3">
        <v>-1.10412286353943</v>
      </c>
      <c r="D4860" s="3">
        <v>0.25749754103629602</v>
      </c>
      <c r="E4860" s="3">
        <v>-4.2878967274635196</v>
      </c>
      <c r="F4860" s="4">
        <v>1.8037291328913701E-5</v>
      </c>
      <c r="G4860" s="3">
        <v>1.20869026623912E-4</v>
      </c>
      <c r="H4860" s="3" t="str">
        <f>"C17orf75"</f>
        <v>C17orf75</v>
      </c>
      <c r="I4860" s="3" t="str">
        <f t="shared" si="226"/>
        <v>protein_coding</v>
      </c>
    </row>
    <row r="4861" spans="1:9" x14ac:dyDescent="0.2">
      <c r="A4861" s="3" t="str">
        <f>"ENSG00000176749.9"</f>
        <v>ENSG00000176749.9</v>
      </c>
      <c r="B4861" s="3">
        <v>207.16443532101599</v>
      </c>
      <c r="C4861" s="3">
        <v>-1.1765468622986699</v>
      </c>
      <c r="D4861" s="3">
        <v>0.29407241675208901</v>
      </c>
      <c r="E4861" s="3">
        <v>-4.0008745984854999</v>
      </c>
      <c r="F4861" s="4">
        <v>6.3108797272390407E-5</v>
      </c>
      <c r="G4861" s="3">
        <v>3.77751625501059E-4</v>
      </c>
      <c r="H4861" s="3" t="str">
        <f>"CDK5R1"</f>
        <v>CDK5R1</v>
      </c>
      <c r="I4861" s="3" t="str">
        <f t="shared" si="226"/>
        <v>protein_coding</v>
      </c>
    </row>
    <row r="4862" spans="1:9" x14ac:dyDescent="0.2">
      <c r="A4862" s="3" t="str">
        <f>"ENSG00000006042.12"</f>
        <v>ENSG00000006042.12</v>
      </c>
      <c r="B4862" s="3">
        <v>1666.7128766072999</v>
      </c>
      <c r="C4862" s="3">
        <v>-1.17650023877146</v>
      </c>
      <c r="D4862" s="3">
        <v>0.20725871325505099</v>
      </c>
      <c r="E4862" s="3">
        <v>-5.6764814385567997</v>
      </c>
      <c r="F4862" s="4">
        <v>1.37493466612156E-8</v>
      </c>
      <c r="G4862" s="4">
        <v>1.6050918957932299E-7</v>
      </c>
      <c r="H4862" s="3" t="str">
        <f>"TMEM98"</f>
        <v>TMEM98</v>
      </c>
      <c r="I4862" s="3" t="str">
        <f t="shared" si="226"/>
        <v>protein_coding</v>
      </c>
    </row>
    <row r="4863" spans="1:9" x14ac:dyDescent="0.2">
      <c r="A4863" s="3" t="str">
        <f>"ENSG00000132141.14"</f>
        <v>ENSG00000132141.14</v>
      </c>
      <c r="B4863" s="3">
        <v>32.004515980172002</v>
      </c>
      <c r="C4863" s="3">
        <v>1.65780530466069</v>
      </c>
      <c r="D4863" s="3">
        <v>0.64826745146811904</v>
      </c>
      <c r="E4863" s="3">
        <v>2.5572860412878802</v>
      </c>
      <c r="F4863" s="3">
        <v>1.0549243200959501E-2</v>
      </c>
      <c r="G4863" s="3">
        <v>3.3279521766417103E-2</v>
      </c>
      <c r="H4863" s="3" t="str">
        <f>"CCT6B"</f>
        <v>CCT6B</v>
      </c>
      <c r="I4863" s="3" t="str">
        <f t="shared" si="226"/>
        <v>protein_coding</v>
      </c>
    </row>
    <row r="4864" spans="1:9" x14ac:dyDescent="0.2">
      <c r="A4864" s="3" t="str">
        <f>"ENSG00000092871.16"</f>
        <v>ENSG00000092871.16</v>
      </c>
      <c r="B4864" s="3">
        <v>1385.9963389284101</v>
      </c>
      <c r="C4864" s="3">
        <v>-1.4171283803268</v>
      </c>
      <c r="D4864" s="3">
        <v>0.18972870720586901</v>
      </c>
      <c r="E4864" s="3">
        <v>-7.46923542144369</v>
      </c>
      <c r="F4864" s="4">
        <v>8.0662116279793998E-14</v>
      </c>
      <c r="G4864" s="4">
        <v>1.81187195570944E-12</v>
      </c>
      <c r="H4864" s="3" t="str">
        <f>"RFFL"</f>
        <v>RFFL</v>
      </c>
      <c r="I4864" s="3" t="str">
        <f t="shared" si="226"/>
        <v>protein_coding</v>
      </c>
    </row>
    <row r="4865" spans="1:9" x14ac:dyDescent="0.2">
      <c r="A4865" s="3" t="str">
        <f>"ENSG00000141161.11"</f>
        <v>ENSG00000141161.11</v>
      </c>
      <c r="B4865" s="3">
        <v>969.69235066552699</v>
      </c>
      <c r="C4865" s="3">
        <v>9.5510935389017906</v>
      </c>
      <c r="D4865" s="3">
        <v>0.67598310569198805</v>
      </c>
      <c r="E4865" s="3">
        <v>14.129189706782</v>
      </c>
      <c r="F4865" s="4">
        <v>2.5101591640867199E-45</v>
      </c>
      <c r="G4865" s="4">
        <v>4.1201389604741497E-43</v>
      </c>
      <c r="H4865" s="3" t="str">
        <f>"UNC45B"</f>
        <v>UNC45B</v>
      </c>
      <c r="I4865" s="3" t="str">
        <f t="shared" si="226"/>
        <v>protein_coding</v>
      </c>
    </row>
    <row r="4866" spans="1:9" x14ac:dyDescent="0.2">
      <c r="A4866" s="3" t="str">
        <f>"ENSG00000266947.1"</f>
        <v>ENSG00000266947.1</v>
      </c>
      <c r="B4866" s="3">
        <v>18.513491000225599</v>
      </c>
      <c r="C4866" s="3">
        <v>3.2079266176265402</v>
      </c>
      <c r="D4866" s="3">
        <v>0.90869586410912995</v>
      </c>
      <c r="E4866" s="3">
        <v>3.5302533491461801</v>
      </c>
      <c r="F4866" s="3">
        <v>4.1516191231457902E-4</v>
      </c>
      <c r="G4866" s="3">
        <v>2.03524948269797E-3</v>
      </c>
      <c r="H4866" s="3" t="str">
        <f>"AC022916.1"</f>
        <v>AC022916.1</v>
      </c>
      <c r="I4866" s="3" t="str">
        <f>"antisense"</f>
        <v>antisense</v>
      </c>
    </row>
    <row r="4867" spans="1:9" x14ac:dyDescent="0.2">
      <c r="A4867" s="3" t="str">
        <f>"ENSG00000166750.10"</f>
        <v>ENSG00000166750.10</v>
      </c>
      <c r="B4867" s="3">
        <v>98.305081992051896</v>
      </c>
      <c r="C4867" s="3">
        <v>4.7092017616437101</v>
      </c>
      <c r="D4867" s="3">
        <v>0.53162814685075699</v>
      </c>
      <c r="E4867" s="3">
        <v>8.85807455745136</v>
      </c>
      <c r="F4867" s="4">
        <v>8.1408265199937103E-19</v>
      </c>
      <c r="G4867" s="4">
        <v>2.8292487269166901E-17</v>
      </c>
      <c r="H4867" s="3" t="str">
        <f>"SLFN5"</f>
        <v>SLFN5</v>
      </c>
      <c r="I4867" s="3" t="str">
        <f>"protein_coding"</f>
        <v>protein_coding</v>
      </c>
    </row>
    <row r="4868" spans="1:9" x14ac:dyDescent="0.2">
      <c r="A4868" s="3" t="str">
        <f>"ENSG00000270885.1"</f>
        <v>ENSG00000270885.1</v>
      </c>
      <c r="B4868" s="3">
        <v>434.54800165539098</v>
      </c>
      <c r="C4868" s="3">
        <v>-1.9678136572045699</v>
      </c>
      <c r="D4868" s="3">
        <v>0.25094645310832098</v>
      </c>
      <c r="E4868" s="3">
        <v>-7.8415679234771201</v>
      </c>
      <c r="F4868" s="4">
        <v>4.4495513108398399E-15</v>
      </c>
      <c r="G4868" s="4">
        <v>1.1173910098290601E-13</v>
      </c>
      <c r="H4868" s="3" t="str">
        <f>"RASL10B"</f>
        <v>RASL10B</v>
      </c>
      <c r="I4868" s="3" t="str">
        <f>"protein_coding"</f>
        <v>protein_coding</v>
      </c>
    </row>
    <row r="4869" spans="1:9" x14ac:dyDescent="0.2">
      <c r="A4869" s="3" t="str">
        <f>"ENSG00000270765.5"</f>
        <v>ENSG00000270765.5</v>
      </c>
      <c r="B4869" s="3">
        <v>68.491982777519198</v>
      </c>
      <c r="C4869" s="3">
        <v>9.4946785094745199</v>
      </c>
      <c r="D4869" s="3">
        <v>1.5020037927774901</v>
      </c>
      <c r="E4869" s="3">
        <v>6.3213412343766802</v>
      </c>
      <c r="F4869" s="4">
        <v>2.5930270495833499E-10</v>
      </c>
      <c r="G4869" s="4">
        <v>3.78426395393666E-9</v>
      </c>
      <c r="H4869" s="3" t="str">
        <f>"GAS2L2"</f>
        <v>GAS2L2</v>
      </c>
      <c r="I4869" s="3" t="str">
        <f>"protein_coding"</f>
        <v>protein_coding</v>
      </c>
    </row>
    <row r="4870" spans="1:9" x14ac:dyDescent="0.2">
      <c r="A4870" s="3" t="str">
        <f>"ENSG00000276409.5"</f>
        <v>ENSG00000276409.5</v>
      </c>
      <c r="B4870" s="3">
        <v>58.816076065733</v>
      </c>
      <c r="C4870" s="3">
        <v>1.98512539950356</v>
      </c>
      <c r="D4870" s="3">
        <v>0.49061152082474702</v>
      </c>
      <c r="E4870" s="3">
        <v>4.0462266278754404</v>
      </c>
      <c r="F4870" s="4">
        <v>5.2049844516248399E-5</v>
      </c>
      <c r="G4870" s="3">
        <v>3.1741318566119497E-4</v>
      </c>
      <c r="H4870" s="3" t="str">
        <f>"CCL14"</f>
        <v>CCL14</v>
      </c>
      <c r="I4870" s="3" t="str">
        <f>"protein_coding"</f>
        <v>protein_coding</v>
      </c>
    </row>
    <row r="4871" spans="1:9" x14ac:dyDescent="0.2">
      <c r="A4871" s="3" t="str">
        <f>"ENSG00000275718.2"</f>
        <v>ENSG00000275718.2</v>
      </c>
      <c r="B4871" s="3">
        <v>113.234556004811</v>
      </c>
      <c r="C4871" s="3">
        <v>1.2990360591362899</v>
      </c>
      <c r="D4871" s="3">
        <v>0.37641893475995097</v>
      </c>
      <c r="E4871" s="3">
        <v>3.4510380301796202</v>
      </c>
      <c r="F4871" s="3">
        <v>5.5843487448017297E-4</v>
      </c>
      <c r="G4871" s="3">
        <v>2.64161024738911E-3</v>
      </c>
      <c r="H4871" s="3" t="str">
        <f>"CCL15"</f>
        <v>CCL15</v>
      </c>
      <c r="I4871" s="3" t="str">
        <f>"protein_coding"</f>
        <v>protein_coding</v>
      </c>
    </row>
    <row r="4872" spans="1:9" x14ac:dyDescent="0.2">
      <c r="A4872" s="3" t="str">
        <f>"ENSG00000275944.1"</f>
        <v>ENSG00000275944.1</v>
      </c>
      <c r="B4872" s="3">
        <v>89.566891955806895</v>
      </c>
      <c r="C4872" s="3">
        <v>1.1880775678628901</v>
      </c>
      <c r="D4872" s="3">
        <v>0.38999861041499601</v>
      </c>
      <c r="E4872" s="3">
        <v>3.0463635924206498</v>
      </c>
      <c r="F4872" s="3">
        <v>2.3162755192702301E-3</v>
      </c>
      <c r="G4872" s="3">
        <v>9.1346879539088294E-3</v>
      </c>
      <c r="H4872" s="3" t="str">
        <f>"AC244100.3"</f>
        <v>AC244100.3</v>
      </c>
      <c r="I4872" s="3" t="str">
        <f>"antisense"</f>
        <v>antisense</v>
      </c>
    </row>
    <row r="4873" spans="1:9" x14ac:dyDescent="0.2">
      <c r="A4873" s="3" t="str">
        <f>"ENSG00000278540.5"</f>
        <v>ENSG00000278540.5</v>
      </c>
      <c r="B4873" s="3">
        <v>5694.7520739557403</v>
      </c>
      <c r="C4873" s="3">
        <v>-1.3074545036615699</v>
      </c>
      <c r="D4873" s="3">
        <v>0.17350749110612901</v>
      </c>
      <c r="E4873" s="3">
        <v>-7.5354354750126902</v>
      </c>
      <c r="F4873" s="4">
        <v>4.8670781452492402E-14</v>
      </c>
      <c r="G4873" s="4">
        <v>1.11346161396815E-12</v>
      </c>
      <c r="H4873" s="3" t="str">
        <f>"ACACA"</f>
        <v>ACACA</v>
      </c>
      <c r="I4873" s="3" t="str">
        <f>"protein_coding"</f>
        <v>protein_coding</v>
      </c>
    </row>
    <row r="4874" spans="1:9" x14ac:dyDescent="0.2">
      <c r="A4874" s="3" t="str">
        <f>"ENSG00000274308.1"</f>
        <v>ENSG00000274308.1</v>
      </c>
      <c r="B4874" s="3">
        <v>42.419657133437298</v>
      </c>
      <c r="C4874" s="3">
        <v>-1.5617064442435999</v>
      </c>
      <c r="D4874" s="3">
        <v>0.54812817082019805</v>
      </c>
      <c r="E4874" s="3">
        <v>-2.8491628917862801</v>
      </c>
      <c r="F4874" s="3">
        <v>4.3834431441608698E-3</v>
      </c>
      <c r="G4874" s="3">
        <v>1.5842376356141601E-2</v>
      </c>
      <c r="H4874" s="3" t="str">
        <f>"AC244093.1"</f>
        <v>AC244093.1</v>
      </c>
      <c r="I4874" s="3" t="str">
        <f>"processed_pseudogene"</f>
        <v>processed_pseudogene</v>
      </c>
    </row>
    <row r="4875" spans="1:9" x14ac:dyDescent="0.2">
      <c r="A4875" s="3" t="str">
        <f>"ENSG00000278505.4"</f>
        <v>ENSG00000278505.4</v>
      </c>
      <c r="B4875" s="3">
        <v>4.5868731179276896</v>
      </c>
      <c r="C4875" s="3">
        <v>5.5915059184507401</v>
      </c>
      <c r="D4875" s="3">
        <v>2.0812331718906201</v>
      </c>
      <c r="E4875" s="3">
        <v>2.6866311732727901</v>
      </c>
      <c r="F4875" s="3">
        <v>7.2176601926175997E-3</v>
      </c>
      <c r="G4875" s="3">
        <v>2.4195323236743602E-2</v>
      </c>
      <c r="H4875" s="3" t="str">
        <f>"C17orf78"</f>
        <v>C17orf78</v>
      </c>
      <c r="I4875" s="3" t="str">
        <f>"protein_coding"</f>
        <v>protein_coding</v>
      </c>
    </row>
    <row r="4876" spans="1:9" x14ac:dyDescent="0.2">
      <c r="A4876" s="3" t="str">
        <f>"ENSG00000275410.5"</f>
        <v>ENSG00000275410.5</v>
      </c>
      <c r="B4876" s="3">
        <v>680.74954749222502</v>
      </c>
      <c r="C4876" s="3">
        <v>-1.53533045635617</v>
      </c>
      <c r="D4876" s="3">
        <v>0.22424025485982399</v>
      </c>
      <c r="E4876" s="3">
        <v>-6.8468101649096402</v>
      </c>
      <c r="F4876" s="4">
        <v>7.5514817136434005E-12</v>
      </c>
      <c r="G4876" s="4">
        <v>1.34833042104614E-10</v>
      </c>
      <c r="H4876" s="3" t="str">
        <f>"HNF1B"</f>
        <v>HNF1B</v>
      </c>
      <c r="I4876" s="3" t="str">
        <f>"protein_coding"</f>
        <v>protein_coding</v>
      </c>
    </row>
    <row r="4877" spans="1:9" x14ac:dyDescent="0.2">
      <c r="A4877" s="3" t="str">
        <f>"ENSG00000276715.4"</f>
        <v>ENSG00000276715.4</v>
      </c>
      <c r="B4877" s="3">
        <v>6.1661521572278399</v>
      </c>
      <c r="C4877" s="3">
        <v>6.0207072949405402</v>
      </c>
      <c r="D4877" s="3">
        <v>1.93317068918253</v>
      </c>
      <c r="E4877" s="3">
        <v>3.11442095032307</v>
      </c>
      <c r="F4877" s="3">
        <v>1.84306335590704E-3</v>
      </c>
      <c r="G4877" s="3">
        <v>7.5120339952728498E-3</v>
      </c>
      <c r="H4877" s="3" t="str">
        <f>"YWHAEP7"</f>
        <v>YWHAEP7</v>
      </c>
      <c r="I4877" s="3" t="str">
        <f>"transcribed_unprocessed_pseudogene"</f>
        <v>transcribed_unprocessed_pseudogene</v>
      </c>
    </row>
    <row r="4878" spans="1:9" x14ac:dyDescent="0.2">
      <c r="A4878" s="3" t="str">
        <f>"ENSG00000277399.4"</f>
        <v>ENSG00000277399.4</v>
      </c>
      <c r="B4878" s="3">
        <v>10.828718543014499</v>
      </c>
      <c r="C4878" s="3">
        <v>3.7042587507106099</v>
      </c>
      <c r="D4878" s="3">
        <v>1.2599692161037801</v>
      </c>
      <c r="E4878" s="3">
        <v>2.9399597254965699</v>
      </c>
      <c r="F4878" s="3">
        <v>3.2825491088103401E-3</v>
      </c>
      <c r="G4878" s="3">
        <v>1.2375759729867901E-2</v>
      </c>
      <c r="H4878" s="3" t="str">
        <f>"GPR179"</f>
        <v>GPR179</v>
      </c>
      <c r="I4878" s="3" t="str">
        <f>"protein_coding"</f>
        <v>protein_coding</v>
      </c>
    </row>
    <row r="4879" spans="1:9" x14ac:dyDescent="0.2">
      <c r="A4879" s="3" t="str">
        <f>"ENSG00000274211.5"</f>
        <v>ENSG00000274211.5</v>
      </c>
      <c r="B4879" s="3">
        <v>2075.7145795805</v>
      </c>
      <c r="C4879" s="3">
        <v>-1.21727677649127</v>
      </c>
      <c r="D4879" s="3">
        <v>0.18414075638444699</v>
      </c>
      <c r="E4879" s="3">
        <v>-6.6105776928050304</v>
      </c>
      <c r="F4879" s="4">
        <v>3.8282313670788702E-11</v>
      </c>
      <c r="G4879" s="4">
        <v>6.3293580132765796E-10</v>
      </c>
      <c r="H4879" s="3" t="str">
        <f>"SOCS7"</f>
        <v>SOCS7</v>
      </c>
      <c r="I4879" s="3" t="str">
        <f>"protein_coding"</f>
        <v>protein_coding</v>
      </c>
    </row>
    <row r="4880" spans="1:9" x14ac:dyDescent="0.2">
      <c r="A4880" s="3" t="str">
        <f>"ENSG00000275832.5"</f>
        <v>ENSG00000275832.5</v>
      </c>
      <c r="B4880" s="3">
        <v>272.02055659635897</v>
      </c>
      <c r="C4880" s="3">
        <v>2.11195888778831</v>
      </c>
      <c r="D4880" s="3">
        <v>0.326937026792959</v>
      </c>
      <c r="E4880" s="3">
        <v>6.4598338967759599</v>
      </c>
      <c r="F4880" s="4">
        <v>1.04817968375025E-10</v>
      </c>
      <c r="G4880" s="4">
        <v>1.62397434693065E-9</v>
      </c>
      <c r="H4880" s="3" t="str">
        <f>"ARHGAP23"</f>
        <v>ARHGAP23</v>
      </c>
      <c r="I4880" s="3" t="str">
        <f>"protein_coding"</f>
        <v>protein_coding</v>
      </c>
    </row>
    <row r="4881" spans="1:9" x14ac:dyDescent="0.2">
      <c r="A4881" s="3" t="str">
        <f>"ENSG00000277363.5"</f>
        <v>ENSG00000277363.5</v>
      </c>
      <c r="B4881" s="3">
        <v>377.03573112584701</v>
      </c>
      <c r="C4881" s="3">
        <v>1.2030200549914301</v>
      </c>
      <c r="D4881" s="3">
        <v>0.26853191120265901</v>
      </c>
      <c r="E4881" s="3">
        <v>4.4799891737392903</v>
      </c>
      <c r="F4881" s="4">
        <v>7.4646825353961604E-6</v>
      </c>
      <c r="G4881" s="4">
        <v>5.43824077652244E-5</v>
      </c>
      <c r="H4881" s="3" t="str">
        <f>"SRCIN1"</f>
        <v>SRCIN1</v>
      </c>
      <c r="I4881" s="3" t="str">
        <f>"protein_coding"</f>
        <v>protein_coding</v>
      </c>
    </row>
    <row r="4882" spans="1:9" x14ac:dyDescent="0.2">
      <c r="A4882" s="3" t="str">
        <f>"ENSG00000273604.1"</f>
        <v>ENSG00000273604.1</v>
      </c>
      <c r="B4882" s="3">
        <v>2894.9633785660699</v>
      </c>
      <c r="C4882" s="3">
        <v>-3.1963664489827699</v>
      </c>
      <c r="D4882" s="3">
        <v>0.19531999114288401</v>
      </c>
      <c r="E4882" s="3">
        <v>-16.364768553796001</v>
      </c>
      <c r="F4882" s="4">
        <v>3.41322889525697E-60</v>
      </c>
      <c r="G4882" s="4">
        <v>1.00000266353835E-57</v>
      </c>
      <c r="H4882" s="3" t="str">
        <f>"EPOP"</f>
        <v>EPOP</v>
      </c>
      <c r="I4882" s="3" t="str">
        <f>"protein_coding"</f>
        <v>protein_coding</v>
      </c>
    </row>
    <row r="4883" spans="1:9" x14ac:dyDescent="0.2">
      <c r="A4883" s="3" t="str">
        <f>"ENSG00000277969.1"</f>
        <v>ENSG00000277969.1</v>
      </c>
      <c r="B4883" s="3">
        <v>192.311487458893</v>
      </c>
      <c r="C4883" s="3">
        <v>-1.8576560515631599</v>
      </c>
      <c r="D4883" s="3">
        <v>0.29700002131474001</v>
      </c>
      <c r="E4883" s="3">
        <v>-6.2547337314651203</v>
      </c>
      <c r="F4883" s="4">
        <v>3.98194693164768E-10</v>
      </c>
      <c r="G4883" s="4">
        <v>5.6774520170907503E-9</v>
      </c>
      <c r="H4883" s="3" t="str">
        <f>"AC006449.6"</f>
        <v>AC006449.6</v>
      </c>
      <c r="I4883" s="3" t="str">
        <f>"lincRNA"</f>
        <v>lincRNA</v>
      </c>
    </row>
    <row r="4884" spans="1:9" x14ac:dyDescent="0.2">
      <c r="A4884" s="3" t="str">
        <f>"ENSG00000275023.4"</f>
        <v>ENSG00000275023.4</v>
      </c>
      <c r="B4884" s="3">
        <v>7332.9025633185802</v>
      </c>
      <c r="C4884" s="3">
        <v>-1.8218501056540799</v>
      </c>
      <c r="D4884" s="3">
        <v>0.18957610518903401</v>
      </c>
      <c r="E4884" s="3">
        <v>-9.6101251992567605</v>
      </c>
      <c r="F4884" s="4">
        <v>7.2460825196172101E-22</v>
      </c>
      <c r="G4884" s="4">
        <v>3.2526196114004999E-20</v>
      </c>
      <c r="H4884" s="3" t="str">
        <f>"MLLT6"</f>
        <v>MLLT6</v>
      </c>
      <c r="I4884" s="3" t="str">
        <f>"protein_coding"</f>
        <v>protein_coding</v>
      </c>
    </row>
    <row r="4885" spans="1:9" x14ac:dyDescent="0.2">
      <c r="A4885" s="3" t="str">
        <f>"ENSG00000277972.1"</f>
        <v>ENSG00000277972.1</v>
      </c>
      <c r="B4885" s="3">
        <v>1105.57119626649</v>
      </c>
      <c r="C4885" s="3">
        <v>-2.3027340278777002</v>
      </c>
      <c r="D4885" s="3">
        <v>0.23784574291396901</v>
      </c>
      <c r="E4885" s="3">
        <v>-9.6816280992282504</v>
      </c>
      <c r="F4885" s="4">
        <v>3.6092189819655402E-22</v>
      </c>
      <c r="G4885" s="4">
        <v>1.64724270689473E-20</v>
      </c>
      <c r="H4885" s="3" t="str">
        <f>"CISD3"</f>
        <v>CISD3</v>
      </c>
      <c r="I4885" s="3" t="str">
        <f>"protein_coding"</f>
        <v>protein_coding</v>
      </c>
    </row>
    <row r="4886" spans="1:9" x14ac:dyDescent="0.2">
      <c r="A4886" s="3" t="str">
        <f>"ENSG00000277258.5"</f>
        <v>ENSG00000277258.5</v>
      </c>
      <c r="B4886" s="3">
        <v>2884.0560605453602</v>
      </c>
      <c r="C4886" s="3">
        <v>-1.0236298509469599</v>
      </c>
      <c r="D4886" s="3">
        <v>0.20744378752368101</v>
      </c>
      <c r="E4886" s="3">
        <v>-4.93449267951737</v>
      </c>
      <c r="F4886" s="4">
        <v>8.0359359402101105E-7</v>
      </c>
      <c r="G4886" s="4">
        <v>7.0020833566646901E-6</v>
      </c>
      <c r="H4886" s="3" t="str">
        <f>"PCGF2"</f>
        <v>PCGF2</v>
      </c>
      <c r="I4886" s="3" t="str">
        <f>"protein_coding"</f>
        <v>protein_coding</v>
      </c>
    </row>
    <row r="4887" spans="1:9" x14ac:dyDescent="0.2">
      <c r="A4887" s="3" t="str">
        <f>"ENSG00000214553.10"</f>
        <v>ENSG00000214553.10</v>
      </c>
      <c r="B4887" s="3">
        <v>4.1097661746942604</v>
      </c>
      <c r="C4887" s="3">
        <v>5.4328693169605202</v>
      </c>
      <c r="D4887" s="3">
        <v>2.14332345947187</v>
      </c>
      <c r="E4887" s="3">
        <v>2.5347874082893802</v>
      </c>
      <c r="F4887" s="3">
        <v>1.1251558606317101E-2</v>
      </c>
      <c r="G4887" s="3">
        <v>3.5125024902190903E-2</v>
      </c>
      <c r="H4887" s="3" t="str">
        <f>"LRRC37A11P"</f>
        <v>LRRC37A11P</v>
      </c>
      <c r="I4887" s="3" t="str">
        <f>"transcribed_unprocessed_pseudogene"</f>
        <v>transcribed_unprocessed_pseudogene</v>
      </c>
    </row>
    <row r="4888" spans="1:9" x14ac:dyDescent="0.2">
      <c r="A4888" s="3" t="str">
        <f>"ENSG00000161381.14"</f>
        <v>ENSG00000161381.14</v>
      </c>
      <c r="B4888" s="3">
        <v>20.449009400117301</v>
      </c>
      <c r="C4888" s="3">
        <v>6.2875476440580096</v>
      </c>
      <c r="D4888" s="3">
        <v>1.6011285693751101</v>
      </c>
      <c r="E4888" s="3">
        <v>3.9269473821904901</v>
      </c>
      <c r="F4888" s="4">
        <v>8.60307924577107E-5</v>
      </c>
      <c r="G4888" s="3">
        <v>5.0087200899471E-4</v>
      </c>
      <c r="H4888" s="3" t="str">
        <f>"PLXDC1"</f>
        <v>PLXDC1</v>
      </c>
      <c r="I4888" s="3" t="str">
        <f>"protein_coding"</f>
        <v>protein_coding</v>
      </c>
    </row>
    <row r="4889" spans="1:9" x14ac:dyDescent="0.2">
      <c r="A4889" s="3" t="str">
        <f>"ENSG00000266469.1"</f>
        <v>ENSG00000266469.1</v>
      </c>
      <c r="B4889" s="3">
        <v>28.1673121774548</v>
      </c>
      <c r="C4889" s="3">
        <v>3.0104589365583898</v>
      </c>
      <c r="D4889" s="3">
        <v>0.75809247797770896</v>
      </c>
      <c r="E4889" s="3">
        <v>3.97109722627654</v>
      </c>
      <c r="F4889" s="4">
        <v>7.1542372794233797E-5</v>
      </c>
      <c r="G4889" s="3">
        <v>4.2302843566069598E-4</v>
      </c>
      <c r="H4889" s="3" t="str">
        <f>"AC005288.1"</f>
        <v>AC005288.1</v>
      </c>
      <c r="I4889" s="3" t="str">
        <f>"antisense"</f>
        <v>antisense</v>
      </c>
    </row>
    <row r="4890" spans="1:9" x14ac:dyDescent="0.2">
      <c r="A4890" s="3" t="str">
        <f>"ENSG00000141736.13"</f>
        <v>ENSG00000141736.13</v>
      </c>
      <c r="B4890" s="3">
        <v>3972.6789281372598</v>
      </c>
      <c r="C4890" s="3">
        <v>-2.16736438585728</v>
      </c>
      <c r="D4890" s="3">
        <v>0.21234277104552399</v>
      </c>
      <c r="E4890" s="3">
        <v>-10.2069139212308</v>
      </c>
      <c r="F4890" s="4">
        <v>1.8464430314884102E-24</v>
      </c>
      <c r="G4890" s="4">
        <v>9.8647124076401306E-23</v>
      </c>
      <c r="H4890" s="3" t="str">
        <f>"ERBB2"</f>
        <v>ERBB2</v>
      </c>
      <c r="I4890" s="3" t="str">
        <f>"protein_coding"</f>
        <v>protein_coding</v>
      </c>
    </row>
    <row r="4891" spans="1:9" x14ac:dyDescent="0.2">
      <c r="A4891" s="3" t="str">
        <f>"ENSG00000161405.17"</f>
        <v>ENSG00000161405.17</v>
      </c>
      <c r="B4891" s="3">
        <v>14.938273449836201</v>
      </c>
      <c r="C4891" s="3">
        <v>7.2973062067763399</v>
      </c>
      <c r="D4891" s="3">
        <v>1.66547345760285</v>
      </c>
      <c r="E4891" s="3">
        <v>4.3815205660974801</v>
      </c>
      <c r="F4891" s="4">
        <v>1.1785391691652599E-5</v>
      </c>
      <c r="G4891" s="4">
        <v>8.2464449774642798E-5</v>
      </c>
      <c r="H4891" s="3" t="str">
        <f>"IKZF3"</f>
        <v>IKZF3</v>
      </c>
      <c r="I4891" s="3" t="str">
        <f>"protein_coding"</f>
        <v>protein_coding</v>
      </c>
    </row>
    <row r="4892" spans="1:9" x14ac:dyDescent="0.2">
      <c r="A4892" s="3" t="str">
        <f>"ENSG00000172057.10"</f>
        <v>ENSG00000172057.10</v>
      </c>
      <c r="B4892" s="3">
        <v>2218.6681237654202</v>
      </c>
      <c r="C4892" s="3">
        <v>-1.24179530567861</v>
      </c>
      <c r="D4892" s="3">
        <v>0.209244763643921</v>
      </c>
      <c r="E4892" s="3">
        <v>-5.9346541536007704</v>
      </c>
      <c r="F4892" s="4">
        <v>2.9446554819248598E-9</v>
      </c>
      <c r="G4892" s="4">
        <v>3.7597482622308698E-8</v>
      </c>
      <c r="H4892" s="3" t="str">
        <f>"ORMDL3"</f>
        <v>ORMDL3</v>
      </c>
      <c r="I4892" s="3" t="str">
        <f>"protein_coding"</f>
        <v>protein_coding</v>
      </c>
    </row>
    <row r="4893" spans="1:9" x14ac:dyDescent="0.2">
      <c r="A4893" s="3" t="str">
        <f>"ENSG00000265799.1"</f>
        <v>ENSG00000265799.1</v>
      </c>
      <c r="B4893" s="3">
        <v>36.861151370898902</v>
      </c>
      <c r="C4893" s="3">
        <v>4.0748361173399896</v>
      </c>
      <c r="D4893" s="3">
        <v>0.73583588449757598</v>
      </c>
      <c r="E4893" s="3">
        <v>5.5376969283337703</v>
      </c>
      <c r="F4893" s="4">
        <v>3.0647500444721801E-8</v>
      </c>
      <c r="G4893" s="4">
        <v>3.4028216977071502E-7</v>
      </c>
      <c r="H4893" s="3" t="str">
        <f>"AC090844.3"</f>
        <v>AC090844.3</v>
      </c>
      <c r="I4893" s="3" t="str">
        <f>"lincRNA"</f>
        <v>lincRNA</v>
      </c>
    </row>
    <row r="4894" spans="1:9" x14ac:dyDescent="0.2">
      <c r="A4894" s="3" t="str">
        <f>"ENSG00000108342.12"</f>
        <v>ENSG00000108342.12</v>
      </c>
      <c r="B4894" s="3">
        <v>78.251718169990696</v>
      </c>
      <c r="C4894" s="3">
        <v>8.2399061240606795</v>
      </c>
      <c r="D4894" s="3">
        <v>1.4897150174884199</v>
      </c>
      <c r="E4894" s="3">
        <v>5.53119625386653</v>
      </c>
      <c r="F4894" s="4">
        <v>3.1805423322750501E-8</v>
      </c>
      <c r="G4894" s="4">
        <v>3.5184830258830001E-7</v>
      </c>
      <c r="H4894" s="3" t="str">
        <f>"CSF3"</f>
        <v>CSF3</v>
      </c>
      <c r="I4894" s="3" t="str">
        <f>"protein_coding"</f>
        <v>protein_coding</v>
      </c>
    </row>
    <row r="4895" spans="1:9" x14ac:dyDescent="0.2">
      <c r="A4895" s="3" t="str">
        <f>"ENSG00000094804.11"</f>
        <v>ENSG00000094804.11</v>
      </c>
      <c r="B4895" s="3">
        <v>1876.79163823811</v>
      </c>
      <c r="C4895" s="3">
        <v>-1.2298920353640399</v>
      </c>
      <c r="D4895" s="3">
        <v>0.18649723477010399</v>
      </c>
      <c r="E4895" s="3">
        <v>-6.5946931431993301</v>
      </c>
      <c r="F4895" s="4">
        <v>4.2613631880879502E-11</v>
      </c>
      <c r="G4895" s="4">
        <v>6.9819219955401195E-10</v>
      </c>
      <c r="H4895" s="3" t="str">
        <f>"CDC6"</f>
        <v>CDC6</v>
      </c>
      <c r="I4895" s="3" t="str">
        <f>"protein_coding"</f>
        <v>protein_coding</v>
      </c>
    </row>
    <row r="4896" spans="1:9" x14ac:dyDescent="0.2">
      <c r="A4896" s="3" t="str">
        <f>"ENSG00000131759.18"</f>
        <v>ENSG00000131759.18</v>
      </c>
      <c r="B4896" s="3">
        <v>1188.0477785263699</v>
      </c>
      <c r="C4896" s="3">
        <v>-1.0135000682233299</v>
      </c>
      <c r="D4896" s="3">
        <v>0.240464763160122</v>
      </c>
      <c r="E4896" s="3">
        <v>-4.2147550223333798</v>
      </c>
      <c r="F4896" s="4">
        <v>2.5004946062313701E-5</v>
      </c>
      <c r="G4896" s="3">
        <v>1.6264257946045901E-4</v>
      </c>
      <c r="H4896" s="3" t="str">
        <f>"RARA"</f>
        <v>RARA</v>
      </c>
      <c r="I4896" s="3" t="str">
        <f>"protein_coding"</f>
        <v>protein_coding</v>
      </c>
    </row>
    <row r="4897" spans="1:9" x14ac:dyDescent="0.2">
      <c r="A4897" s="3" t="str">
        <f>"ENSG00000265666.1"</f>
        <v>ENSG00000265666.1</v>
      </c>
      <c r="B4897" s="3">
        <v>62.257193920957398</v>
      </c>
      <c r="C4897" s="3">
        <v>1.79598111511287</v>
      </c>
      <c r="D4897" s="3">
        <v>0.49234525281099101</v>
      </c>
      <c r="E4897" s="3">
        <v>3.6478083313669001</v>
      </c>
      <c r="F4897" s="3">
        <v>2.64486820798932E-4</v>
      </c>
      <c r="G4897" s="3">
        <v>1.3625396873338099E-3</v>
      </c>
      <c r="H4897" s="3" t="str">
        <f>"RARA-AS1"</f>
        <v>RARA-AS1</v>
      </c>
      <c r="I4897" s="3" t="str">
        <f>"antisense"</f>
        <v>antisense</v>
      </c>
    </row>
    <row r="4898" spans="1:9" x14ac:dyDescent="0.2">
      <c r="A4898" s="3" t="str">
        <f>"ENSG00000266208.1"</f>
        <v>ENSG00000266208.1</v>
      </c>
      <c r="B4898" s="3">
        <v>726.127556924646</v>
      </c>
      <c r="C4898" s="3">
        <v>2.07155482455582</v>
      </c>
      <c r="D4898" s="3">
        <v>0.23228886439056801</v>
      </c>
      <c r="E4898" s="3">
        <v>8.9180117608768796</v>
      </c>
      <c r="F4898" s="4">
        <v>4.7473401435910796E-19</v>
      </c>
      <c r="G4898" s="4">
        <v>1.6711986678608E-17</v>
      </c>
      <c r="H4898" s="3" t="str">
        <f>"AC080112.1"</f>
        <v>AC080112.1</v>
      </c>
      <c r="I4898" s="3" t="str">
        <f>"antisense"</f>
        <v>antisense</v>
      </c>
    </row>
    <row r="4899" spans="1:9" x14ac:dyDescent="0.2">
      <c r="A4899" s="3" t="str">
        <f>"ENSG00000183153.6"</f>
        <v>ENSG00000183153.6</v>
      </c>
      <c r="B4899" s="3">
        <v>6.8246175234575004</v>
      </c>
      <c r="C4899" s="3">
        <v>4.6739633373093001</v>
      </c>
      <c r="D4899" s="3">
        <v>1.86825711350827</v>
      </c>
      <c r="E4899" s="3">
        <v>2.5017773536172401</v>
      </c>
      <c r="F4899" s="3">
        <v>1.23571609320062E-2</v>
      </c>
      <c r="G4899" s="3">
        <v>3.7958913631834602E-2</v>
      </c>
      <c r="H4899" s="3" t="str">
        <f>"GJD3"</f>
        <v>GJD3</v>
      </c>
      <c r="I4899" s="3" t="str">
        <f t="shared" ref="I4899:I4918" si="227">"protein_coding"</f>
        <v>protein_coding</v>
      </c>
    </row>
    <row r="4900" spans="1:9" x14ac:dyDescent="0.2">
      <c r="A4900" s="3" t="str">
        <f>"ENSG00000141753.7"</f>
        <v>ENSG00000141753.7</v>
      </c>
      <c r="B4900" s="3">
        <v>5371.9462986995304</v>
      </c>
      <c r="C4900" s="3">
        <v>1.41069626617945</v>
      </c>
      <c r="D4900" s="3">
        <v>0.17511978663538999</v>
      </c>
      <c r="E4900" s="3">
        <v>8.0556074974931704</v>
      </c>
      <c r="F4900" s="4">
        <v>7.9085029898443296E-16</v>
      </c>
      <c r="G4900" s="4">
        <v>2.1292784680265701E-14</v>
      </c>
      <c r="H4900" s="3" t="str">
        <f>"IGFBP4"</f>
        <v>IGFBP4</v>
      </c>
      <c r="I4900" s="3" t="str">
        <f t="shared" si="227"/>
        <v>protein_coding</v>
      </c>
    </row>
    <row r="4901" spans="1:9" x14ac:dyDescent="0.2">
      <c r="A4901" s="3" t="str">
        <f>"ENSG00000108244.16"</f>
        <v>ENSG00000108244.16</v>
      </c>
      <c r="B4901" s="3">
        <v>4591.0389849739804</v>
      </c>
      <c r="C4901" s="3">
        <v>1.2737337839877501</v>
      </c>
      <c r="D4901" s="3">
        <v>0.17659551559192899</v>
      </c>
      <c r="E4901" s="3">
        <v>7.2127187359108698</v>
      </c>
      <c r="F4901" s="4">
        <v>5.4845627525744102E-13</v>
      </c>
      <c r="G4901" s="4">
        <v>1.1278330665614699E-11</v>
      </c>
      <c r="H4901" s="3" t="str">
        <f>"KRT23"</f>
        <v>KRT23</v>
      </c>
      <c r="I4901" s="3" t="str">
        <f t="shared" si="227"/>
        <v>protein_coding</v>
      </c>
    </row>
    <row r="4902" spans="1:9" x14ac:dyDescent="0.2">
      <c r="A4902" s="3" t="str">
        <f>"ENSG00000212901.4"</f>
        <v>ENSG00000212901.4</v>
      </c>
      <c r="B4902" s="3">
        <v>439.47193099099599</v>
      </c>
      <c r="C4902" s="3">
        <v>1.9190783986259801</v>
      </c>
      <c r="D4902" s="3">
        <v>0.28559166715777801</v>
      </c>
      <c r="E4902" s="3">
        <v>6.7196582369672697</v>
      </c>
      <c r="F4902" s="4">
        <v>1.8215128060898201E-11</v>
      </c>
      <c r="G4902" s="4">
        <v>3.11751001429204E-10</v>
      </c>
      <c r="H4902" s="3" t="str">
        <f>"KRTAP3-1"</f>
        <v>KRTAP3-1</v>
      </c>
      <c r="I4902" s="3" t="str">
        <f t="shared" si="227"/>
        <v>protein_coding</v>
      </c>
    </row>
    <row r="4903" spans="1:9" x14ac:dyDescent="0.2">
      <c r="A4903" s="3" t="str">
        <f>"ENSG00000006059.3"</f>
        <v>ENSG00000006059.3</v>
      </c>
      <c r="B4903" s="3">
        <v>8.8445975022218093</v>
      </c>
      <c r="C4903" s="3">
        <v>6.5400861294468999</v>
      </c>
      <c r="D4903" s="3">
        <v>1.80089783948938</v>
      </c>
      <c r="E4903" s="3">
        <v>3.63156975706142</v>
      </c>
      <c r="F4903" s="3">
        <v>2.8170248806125297E-4</v>
      </c>
      <c r="G4903" s="3">
        <v>1.44141740698685E-3</v>
      </c>
      <c r="H4903" s="3" t="str">
        <f>"KRT33A"</f>
        <v>KRT33A</v>
      </c>
      <c r="I4903" s="3" t="str">
        <f t="shared" si="227"/>
        <v>protein_coding</v>
      </c>
    </row>
    <row r="4904" spans="1:9" x14ac:dyDescent="0.2">
      <c r="A4904" s="3" t="str">
        <f>"ENSG00000171346.16"</f>
        <v>ENSG00000171346.16</v>
      </c>
      <c r="B4904" s="3">
        <v>189.16680242989599</v>
      </c>
      <c r="C4904" s="3">
        <v>3.9726953093679498</v>
      </c>
      <c r="D4904" s="3">
        <v>0.36777638764793402</v>
      </c>
      <c r="E4904" s="3">
        <v>10.801931398518599</v>
      </c>
      <c r="F4904" s="4">
        <v>3.3703824314099901E-27</v>
      </c>
      <c r="G4904" s="4">
        <v>2.1864954787768498E-25</v>
      </c>
      <c r="H4904" s="3" t="str">
        <f>"KRT15"</f>
        <v>KRT15</v>
      </c>
      <c r="I4904" s="3" t="str">
        <f t="shared" si="227"/>
        <v>protein_coding</v>
      </c>
    </row>
    <row r="4905" spans="1:9" x14ac:dyDescent="0.2">
      <c r="A4905" s="3" t="str">
        <f>"ENSG00000128422.16"</f>
        <v>ENSG00000128422.16</v>
      </c>
      <c r="B4905" s="3">
        <v>25.168648732125899</v>
      </c>
      <c r="C4905" s="3">
        <v>3.4839051815099098</v>
      </c>
      <c r="D4905" s="3">
        <v>0.84390914175810405</v>
      </c>
      <c r="E4905" s="3">
        <v>4.1282941600228904</v>
      </c>
      <c r="F4905" s="4">
        <v>3.65464392999513E-5</v>
      </c>
      <c r="G4905" s="3">
        <v>2.2981325446705999E-4</v>
      </c>
      <c r="H4905" s="3" t="str">
        <f>"KRT17"</f>
        <v>KRT17</v>
      </c>
      <c r="I4905" s="3" t="str">
        <f t="shared" si="227"/>
        <v>protein_coding</v>
      </c>
    </row>
    <row r="4906" spans="1:9" x14ac:dyDescent="0.2">
      <c r="A4906" s="3" t="str">
        <f>"ENSG00000184502.4"</f>
        <v>ENSG00000184502.4</v>
      </c>
      <c r="B4906" s="3">
        <v>103.402451113254</v>
      </c>
      <c r="C4906" s="3">
        <v>8.6436329509862606</v>
      </c>
      <c r="D4906" s="3">
        <v>1.48156456988378</v>
      </c>
      <c r="E4906" s="3">
        <v>5.8341250369292199</v>
      </c>
      <c r="F4906" s="4">
        <v>5.4073561512821699E-9</v>
      </c>
      <c r="G4906" s="4">
        <v>6.6667073780083805E-8</v>
      </c>
      <c r="H4906" s="3" t="str">
        <f>"GAST"</f>
        <v>GAST</v>
      </c>
      <c r="I4906" s="3" t="str">
        <f t="shared" si="227"/>
        <v>protein_coding</v>
      </c>
    </row>
    <row r="4907" spans="1:9" x14ac:dyDescent="0.2">
      <c r="A4907" s="3" t="str">
        <f>"ENSG00000173805.15"</f>
        <v>ENSG00000173805.15</v>
      </c>
      <c r="B4907" s="3">
        <v>140.55911795294901</v>
      </c>
      <c r="C4907" s="3">
        <v>3.9999224715519399</v>
      </c>
      <c r="D4907" s="3">
        <v>0.40215047764197598</v>
      </c>
      <c r="E4907" s="3">
        <v>9.9463327633119505</v>
      </c>
      <c r="F4907" s="4">
        <v>2.6164789214824201E-23</v>
      </c>
      <c r="G4907" s="4">
        <v>1.28452614727264E-21</v>
      </c>
      <c r="H4907" s="3" t="str">
        <f>"HAP1"</f>
        <v>HAP1</v>
      </c>
      <c r="I4907" s="3" t="str">
        <f t="shared" si="227"/>
        <v>protein_coding</v>
      </c>
    </row>
    <row r="4908" spans="1:9" x14ac:dyDescent="0.2">
      <c r="A4908" s="3" t="str">
        <f>"ENSG00000141696.13"</f>
        <v>ENSG00000141696.13</v>
      </c>
      <c r="B4908" s="3">
        <v>1120.0738403027899</v>
      </c>
      <c r="C4908" s="3">
        <v>-1.2511988742759901</v>
      </c>
      <c r="D4908" s="3">
        <v>0.212140600058212</v>
      </c>
      <c r="E4908" s="3">
        <v>-5.8979699026620001</v>
      </c>
      <c r="F4908" s="4">
        <v>3.6800107680113001E-9</v>
      </c>
      <c r="G4908" s="4">
        <v>4.6550256915507798E-8</v>
      </c>
      <c r="H4908" s="3" t="str">
        <f>"P3H4"</f>
        <v>P3H4</v>
      </c>
      <c r="I4908" s="3" t="str">
        <f t="shared" si="227"/>
        <v>protein_coding</v>
      </c>
    </row>
    <row r="4909" spans="1:9" x14ac:dyDescent="0.2">
      <c r="A4909" s="3" t="str">
        <f>"ENSG00000131473.17"</f>
        <v>ENSG00000131473.17</v>
      </c>
      <c r="B4909" s="3">
        <v>12952.290730823701</v>
      </c>
      <c r="C4909" s="3">
        <v>-1.05205423645455</v>
      </c>
      <c r="D4909" s="3">
        <v>0.19819379085345901</v>
      </c>
      <c r="E4909" s="3">
        <v>-5.30820986835261</v>
      </c>
      <c r="F4909" s="4">
        <v>1.10707130247859E-7</v>
      </c>
      <c r="G4909" s="4">
        <v>1.11678533056772E-6</v>
      </c>
      <c r="H4909" s="3" t="str">
        <f>"ACLY"</f>
        <v>ACLY</v>
      </c>
      <c r="I4909" s="3" t="str">
        <f t="shared" si="227"/>
        <v>protein_coding</v>
      </c>
    </row>
    <row r="4910" spans="1:9" x14ac:dyDescent="0.2">
      <c r="A4910" s="3" t="str">
        <f>"ENSG00000204815.10"</f>
        <v>ENSG00000204815.10</v>
      </c>
      <c r="B4910" s="3">
        <v>36.306656345579</v>
      </c>
      <c r="C4910" s="3">
        <v>2.2123854560155101</v>
      </c>
      <c r="D4910" s="3">
        <v>0.61000467203062103</v>
      </c>
      <c r="E4910" s="3">
        <v>3.6268336251438602</v>
      </c>
      <c r="F4910" s="3">
        <v>2.8691803309527798E-4</v>
      </c>
      <c r="G4910" s="3">
        <v>1.4642546633727401E-3</v>
      </c>
      <c r="H4910" s="3" t="str">
        <f>"TTC25"</f>
        <v>TTC25</v>
      </c>
      <c r="I4910" s="3" t="str">
        <f t="shared" si="227"/>
        <v>protein_coding</v>
      </c>
    </row>
    <row r="4911" spans="1:9" x14ac:dyDescent="0.2">
      <c r="A4911" s="3" t="str">
        <f>"ENSG00000173786.17"</f>
        <v>ENSG00000173786.17</v>
      </c>
      <c r="B4911" s="3">
        <v>5360.7573654175503</v>
      </c>
      <c r="C4911" s="3">
        <v>-1.5626902401179901</v>
      </c>
      <c r="D4911" s="3">
        <v>0.21454703273866299</v>
      </c>
      <c r="E4911" s="3">
        <v>-7.2836721168802496</v>
      </c>
      <c r="F4911" s="4">
        <v>3.2485400188334098E-13</v>
      </c>
      <c r="G4911" s="4">
        <v>6.8455506491224999E-12</v>
      </c>
      <c r="H4911" s="3" t="str">
        <f>"CNP"</f>
        <v>CNP</v>
      </c>
      <c r="I4911" s="3" t="str">
        <f t="shared" si="227"/>
        <v>protein_coding</v>
      </c>
    </row>
    <row r="4912" spans="1:9" x14ac:dyDescent="0.2">
      <c r="A4912" s="3" t="str">
        <f>"ENSG00000187595.16"</f>
        <v>ENSG00000187595.16</v>
      </c>
      <c r="B4912" s="3">
        <v>97.744799705500199</v>
      </c>
      <c r="C4912" s="3">
        <v>-1.5713685308594101</v>
      </c>
      <c r="D4912" s="3">
        <v>0.38030850781751302</v>
      </c>
      <c r="E4912" s="3">
        <v>-4.1318258691530998</v>
      </c>
      <c r="F4912" s="4">
        <v>3.5989302052112201E-5</v>
      </c>
      <c r="G4912" s="3">
        <v>2.2651894502515599E-4</v>
      </c>
      <c r="H4912" s="3" t="str">
        <f>"ZNF385C"</f>
        <v>ZNF385C</v>
      </c>
      <c r="I4912" s="3" t="str">
        <f t="shared" si="227"/>
        <v>protein_coding</v>
      </c>
    </row>
    <row r="4913" spans="1:9" x14ac:dyDescent="0.2">
      <c r="A4913" s="3" t="str">
        <f>"ENSG00000108773.11"</f>
        <v>ENSG00000108773.11</v>
      </c>
      <c r="B4913" s="3">
        <v>2757.6574462466301</v>
      </c>
      <c r="C4913" s="3">
        <v>-1.10964447772793</v>
      </c>
      <c r="D4913" s="3">
        <v>0.19868783260492201</v>
      </c>
      <c r="E4913" s="3">
        <v>-5.5848637693602097</v>
      </c>
      <c r="F4913" s="4">
        <v>2.33883477021615E-8</v>
      </c>
      <c r="G4913" s="4">
        <v>2.6475376395546098E-7</v>
      </c>
      <c r="H4913" s="3" t="str">
        <f>"KAT2A"</f>
        <v>KAT2A</v>
      </c>
      <c r="I4913" s="3" t="str">
        <f t="shared" si="227"/>
        <v>protein_coding</v>
      </c>
    </row>
    <row r="4914" spans="1:9" x14ac:dyDescent="0.2">
      <c r="A4914" s="3" t="str">
        <f>"ENSG00000089558.9"</f>
        <v>ENSG00000089558.9</v>
      </c>
      <c r="B4914" s="3">
        <v>92.597790046578098</v>
      </c>
      <c r="C4914" s="3">
        <v>4.8521501959666198</v>
      </c>
      <c r="D4914" s="3">
        <v>0.55617632137315198</v>
      </c>
      <c r="E4914" s="3">
        <v>8.7241222064022406</v>
      </c>
      <c r="F4914" s="4">
        <v>2.68253288072541E-18</v>
      </c>
      <c r="G4914" s="4">
        <v>8.9135333416006505E-17</v>
      </c>
      <c r="H4914" s="3" t="str">
        <f>"KCNH4"</f>
        <v>KCNH4</v>
      </c>
      <c r="I4914" s="3" t="str">
        <f t="shared" si="227"/>
        <v>protein_coding</v>
      </c>
    </row>
    <row r="4915" spans="1:9" x14ac:dyDescent="0.2">
      <c r="A4915" s="3" t="str">
        <f>"ENSG00000168610.14"</f>
        <v>ENSG00000168610.14</v>
      </c>
      <c r="B4915" s="3">
        <v>11519.639810136699</v>
      </c>
      <c r="C4915" s="3">
        <v>1.3091501381356501</v>
      </c>
      <c r="D4915" s="3">
        <v>0.186320097991234</v>
      </c>
      <c r="E4915" s="3">
        <v>7.0263495578305104</v>
      </c>
      <c r="F4915" s="4">
        <v>2.1200693544869499E-12</v>
      </c>
      <c r="G4915" s="4">
        <v>4.0367246472191398E-11</v>
      </c>
      <c r="H4915" s="3" t="str">
        <f>"STAT3"</f>
        <v>STAT3</v>
      </c>
      <c r="I4915" s="3" t="str">
        <f t="shared" si="227"/>
        <v>protein_coding</v>
      </c>
    </row>
    <row r="4916" spans="1:9" x14ac:dyDescent="0.2">
      <c r="A4916" s="3" t="str">
        <f>"ENSG00000177469.13"</f>
        <v>ENSG00000177469.13</v>
      </c>
      <c r="B4916" s="3">
        <v>1809.8030920788599</v>
      </c>
      <c r="C4916" s="3">
        <v>-2.16529206022962</v>
      </c>
      <c r="D4916" s="3">
        <v>0.19138524774854301</v>
      </c>
      <c r="E4916" s="3">
        <v>-11.3137876910688</v>
      </c>
      <c r="F4916" s="4">
        <v>1.12141678492466E-29</v>
      </c>
      <c r="G4916" s="4">
        <v>8.5829334659668792E-28</v>
      </c>
      <c r="H4916" s="3" t="str">
        <f>"CAVIN1"</f>
        <v>CAVIN1</v>
      </c>
      <c r="I4916" s="3" t="str">
        <f t="shared" si="227"/>
        <v>protein_coding</v>
      </c>
    </row>
    <row r="4917" spans="1:9" x14ac:dyDescent="0.2">
      <c r="A4917" s="3" t="str">
        <f>"ENSG00000068137.15"</f>
        <v>ENSG00000068137.15</v>
      </c>
      <c r="B4917" s="3">
        <v>339.59370265037802</v>
      </c>
      <c r="C4917" s="3">
        <v>-1.7363953551782301</v>
      </c>
      <c r="D4917" s="3">
        <v>0.31260112813773</v>
      </c>
      <c r="E4917" s="3">
        <v>-5.5546675903651304</v>
      </c>
      <c r="F4917" s="4">
        <v>2.7814054657049702E-8</v>
      </c>
      <c r="G4917" s="4">
        <v>3.1097642480124499E-7</v>
      </c>
      <c r="H4917" s="3" t="str">
        <f>"PLEKHH3"</f>
        <v>PLEKHH3</v>
      </c>
      <c r="I4917" s="3" t="str">
        <f t="shared" si="227"/>
        <v>protein_coding</v>
      </c>
    </row>
    <row r="4918" spans="1:9" x14ac:dyDescent="0.2">
      <c r="A4918" s="3" t="str">
        <f>"ENSG00000108797.12"</f>
        <v>ENSG00000108797.12</v>
      </c>
      <c r="B4918" s="3">
        <v>791.98710114995697</v>
      </c>
      <c r="C4918" s="3">
        <v>-2.5171512539921301</v>
      </c>
      <c r="D4918" s="3">
        <v>0.22572840003108599</v>
      </c>
      <c r="E4918" s="3">
        <v>-11.1512386285708</v>
      </c>
      <c r="F4918" s="4">
        <v>7.0616454150043299E-29</v>
      </c>
      <c r="G4918" s="4">
        <v>5.0633855953321799E-27</v>
      </c>
      <c r="H4918" s="3" t="str">
        <f>"CNTNAP1"</f>
        <v>CNTNAP1</v>
      </c>
      <c r="I4918" s="3" t="str">
        <f t="shared" si="227"/>
        <v>protein_coding</v>
      </c>
    </row>
    <row r="4919" spans="1:9" x14ac:dyDescent="0.2">
      <c r="A4919" s="3" t="str">
        <f>"ENSG00000197291.8"</f>
        <v>ENSG00000197291.8</v>
      </c>
      <c r="B4919" s="3">
        <v>61.310247672659798</v>
      </c>
      <c r="C4919" s="3">
        <v>-1.3322583943276201</v>
      </c>
      <c r="D4919" s="3">
        <v>0.457957452113536</v>
      </c>
      <c r="E4919" s="3">
        <v>-2.90913137929968</v>
      </c>
      <c r="F4919" s="3">
        <v>3.6243451677971101E-3</v>
      </c>
      <c r="G4919" s="3">
        <v>1.34944701813293E-2</v>
      </c>
      <c r="H4919" s="3" t="str">
        <f>"RAMP2-AS1"</f>
        <v>RAMP2-AS1</v>
      </c>
      <c r="I4919" s="3" t="str">
        <f>"lincRNA"</f>
        <v>lincRNA</v>
      </c>
    </row>
    <row r="4920" spans="1:9" x14ac:dyDescent="0.2">
      <c r="A4920" s="3" t="str">
        <f>"ENSG00000131477.11"</f>
        <v>ENSG00000131477.11</v>
      </c>
      <c r="B4920" s="3">
        <v>91.5712949831439</v>
      </c>
      <c r="C4920" s="3">
        <v>-1.5588241235882301</v>
      </c>
      <c r="D4920" s="3">
        <v>0.38648865318905601</v>
      </c>
      <c r="E4920" s="3">
        <v>-4.0332985476437999</v>
      </c>
      <c r="F4920" s="4">
        <v>5.4999332038517198E-5</v>
      </c>
      <c r="G4920" s="3">
        <v>3.33607925212261E-4</v>
      </c>
      <c r="H4920" s="3" t="str">
        <f>"RAMP2"</f>
        <v>RAMP2</v>
      </c>
      <c r="I4920" s="3" t="str">
        <f>"protein_coding"</f>
        <v>protein_coding</v>
      </c>
    </row>
    <row r="4921" spans="1:9" x14ac:dyDescent="0.2">
      <c r="A4921" s="3" t="str">
        <f>"ENSG00000126562.17"</f>
        <v>ENSG00000126562.17</v>
      </c>
      <c r="B4921" s="3">
        <v>828.53814972234602</v>
      </c>
      <c r="C4921" s="3">
        <v>-1.35526195434604</v>
      </c>
      <c r="D4921" s="3">
        <v>0.21383236803672301</v>
      </c>
      <c r="E4921" s="3">
        <v>-6.33796448493377</v>
      </c>
      <c r="F4921" s="4">
        <v>2.32820475806638E-10</v>
      </c>
      <c r="G4921" s="4">
        <v>3.4160794315042902E-9</v>
      </c>
      <c r="H4921" s="3" t="str">
        <f>"WNK4"</f>
        <v>WNK4</v>
      </c>
      <c r="I4921" s="3" t="str">
        <f>"protein_coding"</f>
        <v>protein_coding</v>
      </c>
    </row>
    <row r="4922" spans="1:9" x14ac:dyDescent="0.2">
      <c r="A4922" s="3" t="str">
        <f>"ENSG00000131482.9"</f>
        <v>ENSG00000131482.9</v>
      </c>
      <c r="B4922" s="3">
        <v>32.209697922634398</v>
      </c>
      <c r="C4922" s="3">
        <v>2.5600412734287099</v>
      </c>
      <c r="D4922" s="3">
        <v>0.68082608518543197</v>
      </c>
      <c r="E4922" s="3">
        <v>3.76019857219696</v>
      </c>
      <c r="F4922" s="3">
        <v>1.6977853661600501E-4</v>
      </c>
      <c r="G4922" s="3">
        <v>9.2106013825248804E-4</v>
      </c>
      <c r="H4922" s="3" t="str">
        <f>"G6PC"</f>
        <v>G6PC</v>
      </c>
      <c r="I4922" s="3" t="str">
        <f>"protein_coding"</f>
        <v>protein_coding</v>
      </c>
    </row>
    <row r="4923" spans="1:9" x14ac:dyDescent="0.2">
      <c r="A4923" s="3" t="str">
        <f>"ENSG00000068079.7"</f>
        <v>ENSG00000068079.7</v>
      </c>
      <c r="B4923" s="3">
        <v>479.85083436943199</v>
      </c>
      <c r="C4923" s="3">
        <v>-1.46267892517839</v>
      </c>
      <c r="D4923" s="3">
        <v>0.256815564925303</v>
      </c>
      <c r="E4923" s="3">
        <v>-5.6954450000093297</v>
      </c>
      <c r="F4923" s="4">
        <v>1.2305054917112599E-8</v>
      </c>
      <c r="G4923" s="4">
        <v>1.4445318023548799E-7</v>
      </c>
      <c r="H4923" s="3" t="str">
        <f>"IFI35"</f>
        <v>IFI35</v>
      </c>
      <c r="I4923" s="3" t="str">
        <f>"protein_coding"</f>
        <v>protein_coding</v>
      </c>
    </row>
    <row r="4924" spans="1:9" x14ac:dyDescent="0.2">
      <c r="A4924" s="3" t="str">
        <f>"ENSG00000108828.16"</f>
        <v>ENSG00000108828.16</v>
      </c>
      <c r="B4924" s="3">
        <v>6515.7803209275999</v>
      </c>
      <c r="C4924" s="3">
        <v>-1.36788224393192</v>
      </c>
      <c r="D4924" s="3">
        <v>0.18775297342443201</v>
      </c>
      <c r="E4924" s="3">
        <v>-7.2855423750851003</v>
      </c>
      <c r="F4924" s="4">
        <v>3.2037875067447302E-13</v>
      </c>
      <c r="G4924" s="4">
        <v>6.7564704486279998E-12</v>
      </c>
      <c r="H4924" s="3" t="str">
        <f>"VAT1"</f>
        <v>VAT1</v>
      </c>
      <c r="I4924" s="3" t="str">
        <f>"protein_coding"</f>
        <v>protein_coding</v>
      </c>
    </row>
    <row r="4925" spans="1:9" x14ac:dyDescent="0.2">
      <c r="A4925" s="3" t="str">
        <f>"ENSG00000267002.3"</f>
        <v>ENSG00000267002.3</v>
      </c>
      <c r="B4925" s="3">
        <v>1395.2933666548799</v>
      </c>
      <c r="C4925" s="3">
        <v>-1.2427611552691</v>
      </c>
      <c r="D4925" s="3">
        <v>0.19591805316079</v>
      </c>
      <c r="E4925" s="3">
        <v>-6.3432702357917199</v>
      </c>
      <c r="F4925" s="4">
        <v>2.2493835100533499E-10</v>
      </c>
      <c r="G4925" s="4">
        <v>3.3075527522085001E-9</v>
      </c>
      <c r="H4925" s="3" t="str">
        <f>"AC060780.1"</f>
        <v>AC060780.1</v>
      </c>
      <c r="I4925" s="3" t="str">
        <f>"lincRNA"</f>
        <v>lincRNA</v>
      </c>
    </row>
    <row r="4926" spans="1:9" x14ac:dyDescent="0.2">
      <c r="A4926" s="3" t="str">
        <f>"ENSG00000184988.8"</f>
        <v>ENSG00000184988.8</v>
      </c>
      <c r="B4926" s="3">
        <v>1447.10192541368</v>
      </c>
      <c r="C4926" s="3">
        <v>-1.1514717034652999</v>
      </c>
      <c r="D4926" s="3">
        <v>0.195582937382897</v>
      </c>
      <c r="E4926" s="3">
        <v>-5.8873832189719</v>
      </c>
      <c r="F4926" s="4">
        <v>3.9235822342616697E-9</v>
      </c>
      <c r="G4926" s="4">
        <v>4.9447661950475398E-8</v>
      </c>
      <c r="H4926" s="3" t="str">
        <f>"TMEM106A"</f>
        <v>TMEM106A</v>
      </c>
      <c r="I4926" s="3" t="str">
        <f>"protein_coding"</f>
        <v>protein_coding</v>
      </c>
    </row>
    <row r="4927" spans="1:9" x14ac:dyDescent="0.2">
      <c r="A4927" s="3" t="str">
        <f>"ENSG00000161647.18"</f>
        <v>ENSG00000161647.18</v>
      </c>
      <c r="B4927" s="3">
        <v>334.75144265254499</v>
      </c>
      <c r="C4927" s="3">
        <v>-1.64107781334762</v>
      </c>
      <c r="D4927" s="3">
        <v>0.24983721879755</v>
      </c>
      <c r="E4927" s="3">
        <v>-6.5685882241485798</v>
      </c>
      <c r="F4927" s="4">
        <v>5.07945343586689E-11</v>
      </c>
      <c r="G4927" s="4">
        <v>8.2282917816328899E-10</v>
      </c>
      <c r="H4927" s="3" t="str">
        <f>"MPP3"</f>
        <v>MPP3</v>
      </c>
      <c r="I4927" s="3" t="str">
        <f>"protein_coding"</f>
        <v>protein_coding</v>
      </c>
    </row>
    <row r="4928" spans="1:9" x14ac:dyDescent="0.2">
      <c r="A4928" s="3" t="str">
        <f>"ENSG00000108849.7"</f>
        <v>ENSG00000108849.7</v>
      </c>
      <c r="B4928" s="3">
        <v>4.7348313275275498</v>
      </c>
      <c r="C4928" s="3">
        <v>5.6398842652474501</v>
      </c>
      <c r="D4928" s="3">
        <v>2.05830840027062</v>
      </c>
      <c r="E4928" s="3">
        <v>2.7400579351986001</v>
      </c>
      <c r="F4928" s="3">
        <v>6.1428355245557601E-3</v>
      </c>
      <c r="G4928" s="3">
        <v>2.1109072964758599E-2</v>
      </c>
      <c r="H4928" s="3" t="str">
        <f>"PPY"</f>
        <v>PPY</v>
      </c>
      <c r="I4928" s="3" t="str">
        <f>"protein_coding"</f>
        <v>protein_coding</v>
      </c>
    </row>
    <row r="4929" spans="1:9" x14ac:dyDescent="0.2">
      <c r="A4929" s="3" t="str">
        <f>"ENSG00000267080.5"</f>
        <v>ENSG00000267080.5</v>
      </c>
      <c r="B4929" s="3">
        <v>696.25911056008704</v>
      </c>
      <c r="C4929" s="3">
        <v>1.55228541155967</v>
      </c>
      <c r="D4929" s="3">
        <v>0.218227848320935</v>
      </c>
      <c r="E4929" s="3">
        <v>7.1131407998708696</v>
      </c>
      <c r="F4929" s="4">
        <v>1.1343145202443301E-12</v>
      </c>
      <c r="G4929" s="4">
        <v>2.2267051680905901E-11</v>
      </c>
      <c r="H4929" s="3" t="str">
        <f>"ASB16-AS1"</f>
        <v>ASB16-AS1</v>
      </c>
      <c r="I4929" s="3" t="str">
        <f>"antisense"</f>
        <v>antisense</v>
      </c>
    </row>
    <row r="4930" spans="1:9" x14ac:dyDescent="0.2">
      <c r="A4930" s="3" t="str">
        <f>"ENSG00000087152.15"</f>
        <v>ENSG00000087152.15</v>
      </c>
      <c r="B4930" s="3">
        <v>3316.5725835721801</v>
      </c>
      <c r="C4930" s="3">
        <v>-1.02488094808949</v>
      </c>
      <c r="D4930" s="3">
        <v>0.206809105358642</v>
      </c>
      <c r="E4930" s="3">
        <v>-4.9556858065420801</v>
      </c>
      <c r="F4930" s="4">
        <v>7.2075606507005896E-7</v>
      </c>
      <c r="G4930" s="4">
        <v>6.3186745511466797E-6</v>
      </c>
      <c r="H4930" s="3" t="str">
        <f>"ATXN7L3"</f>
        <v>ATXN7L3</v>
      </c>
      <c r="I4930" s="3" t="str">
        <f>"protein_coding"</f>
        <v>protein_coding</v>
      </c>
    </row>
    <row r="4931" spans="1:9" x14ac:dyDescent="0.2">
      <c r="A4931" s="3" t="str">
        <f>"ENSG00000108312.15"</f>
        <v>ENSG00000108312.15</v>
      </c>
      <c r="B4931" s="3">
        <v>4024.5448951537301</v>
      </c>
      <c r="C4931" s="3">
        <v>-1.0253421155070701</v>
      </c>
      <c r="D4931" s="3">
        <v>0.194528875212027</v>
      </c>
      <c r="E4931" s="3">
        <v>-5.2708993170782596</v>
      </c>
      <c r="F4931" s="4">
        <v>1.3575692826453399E-7</v>
      </c>
      <c r="G4931" s="4">
        <v>1.34752969924363E-6</v>
      </c>
      <c r="H4931" s="3" t="str">
        <f>"UBTF"</f>
        <v>UBTF</v>
      </c>
      <c r="I4931" s="3" t="str">
        <f>"protein_coding"</f>
        <v>protein_coding</v>
      </c>
    </row>
    <row r="4932" spans="1:9" x14ac:dyDescent="0.2">
      <c r="A4932" s="3" t="str">
        <f>"ENSG00000030582.18"</f>
        <v>ENSG00000030582.18</v>
      </c>
      <c r="B4932" s="3">
        <v>10765.7160366507</v>
      </c>
      <c r="C4932" s="3">
        <v>1.4092021123134999</v>
      </c>
      <c r="D4932" s="3">
        <v>0.22446010829542901</v>
      </c>
      <c r="E4932" s="3">
        <v>6.2781851216909299</v>
      </c>
      <c r="F4932" s="4">
        <v>3.4254791692981101E-10</v>
      </c>
      <c r="G4932" s="4">
        <v>4.9252786768266797E-9</v>
      </c>
      <c r="H4932" s="3" t="str">
        <f>"GRN"</f>
        <v>GRN</v>
      </c>
      <c r="I4932" s="3" t="str">
        <f>"protein_coding"</f>
        <v>protein_coding</v>
      </c>
    </row>
    <row r="4933" spans="1:9" x14ac:dyDescent="0.2">
      <c r="A4933" s="3" t="str">
        <f>"ENSG00000267634.1"</f>
        <v>ENSG00000267634.1</v>
      </c>
      <c r="B4933" s="3">
        <v>6.1269082620482003</v>
      </c>
      <c r="C4933" s="3">
        <v>6.0073657383146903</v>
      </c>
      <c r="D4933" s="3">
        <v>1.9588820874050299</v>
      </c>
      <c r="E4933" s="3">
        <v>3.0667316715692401</v>
      </c>
      <c r="F4933" s="3">
        <v>2.1641303174908802E-3</v>
      </c>
      <c r="G4933" s="3">
        <v>8.6245515226962E-3</v>
      </c>
      <c r="H4933" s="3" t="str">
        <f>"RPL7L1P5"</f>
        <v>RPL7L1P5</v>
      </c>
      <c r="I4933" s="3" t="str">
        <f>"processed_pseudogene"</f>
        <v>processed_pseudogene</v>
      </c>
    </row>
    <row r="4934" spans="1:9" x14ac:dyDescent="0.2">
      <c r="A4934" s="3" t="str">
        <f>"ENSG00000005961.18"</f>
        <v>ENSG00000005961.18</v>
      </c>
      <c r="B4934" s="3">
        <v>192.35047807584601</v>
      </c>
      <c r="C4934" s="3">
        <v>2.9383459126782201</v>
      </c>
      <c r="D4934" s="3">
        <v>0.32368769495927602</v>
      </c>
      <c r="E4934" s="3">
        <v>9.0777189199234307</v>
      </c>
      <c r="F4934" s="4">
        <v>1.10874054954471E-19</v>
      </c>
      <c r="G4934" s="4">
        <v>4.1326749320717901E-18</v>
      </c>
      <c r="H4934" s="3" t="str">
        <f>"ITGA2B"</f>
        <v>ITGA2B</v>
      </c>
      <c r="I4934" s="3" t="str">
        <f>"protein_coding"</f>
        <v>protein_coding</v>
      </c>
    </row>
    <row r="4935" spans="1:9" x14ac:dyDescent="0.2">
      <c r="A4935" s="3" t="str">
        <f>"ENSG00000180336.18"</f>
        <v>ENSG00000180336.18</v>
      </c>
      <c r="B4935" s="3">
        <v>23.164028647843001</v>
      </c>
      <c r="C4935" s="3">
        <v>4.85799925382591</v>
      </c>
      <c r="D4935" s="3">
        <v>1.07314657863676</v>
      </c>
      <c r="E4935" s="3">
        <v>4.5268739150220396</v>
      </c>
      <c r="F4935" s="4">
        <v>5.98626320672039E-6</v>
      </c>
      <c r="G4935" s="4">
        <v>4.4492011345747597E-5</v>
      </c>
      <c r="H4935" s="3" t="str">
        <f>"MEIOC"</f>
        <v>MEIOC</v>
      </c>
      <c r="I4935" s="3" t="str">
        <f>"protein_coding"</f>
        <v>protein_coding</v>
      </c>
    </row>
    <row r="4936" spans="1:9" x14ac:dyDescent="0.2">
      <c r="A4936" s="3" t="str">
        <f>"ENSG00000182963.10"</f>
        <v>ENSG00000182963.10</v>
      </c>
      <c r="B4936" s="3">
        <v>1287.4554096331001</v>
      </c>
      <c r="C4936" s="3">
        <v>-1.0206664420720899</v>
      </c>
      <c r="D4936" s="3">
        <v>0.18909944247197399</v>
      </c>
      <c r="E4936" s="3">
        <v>-5.3975116411216399</v>
      </c>
      <c r="F4936" s="4">
        <v>6.7571490838016805E-8</v>
      </c>
      <c r="G4936" s="4">
        <v>7.0676407326811596E-7</v>
      </c>
      <c r="H4936" s="3" t="str">
        <f>"GJC1"</f>
        <v>GJC1</v>
      </c>
      <c r="I4936" s="3" t="str">
        <f>"protein_coding"</f>
        <v>protein_coding</v>
      </c>
    </row>
    <row r="4937" spans="1:9" x14ac:dyDescent="0.2">
      <c r="A4937" s="3" t="str">
        <f>"ENSG00000186185.13"</f>
        <v>ENSG00000186185.13</v>
      </c>
      <c r="B4937" s="3">
        <v>2345.3033246897598</v>
      </c>
      <c r="C4937" s="3">
        <v>-1.29315536465031</v>
      </c>
      <c r="D4937" s="3">
        <v>0.23630140775574199</v>
      </c>
      <c r="E4937" s="3">
        <v>-5.4724826945889697</v>
      </c>
      <c r="F4937" s="4">
        <v>4.4377410705244098E-8</v>
      </c>
      <c r="G4937" s="4">
        <v>4.7925141081481799E-7</v>
      </c>
      <c r="H4937" s="3" t="str">
        <f>"KIF18B"</f>
        <v>KIF18B</v>
      </c>
      <c r="I4937" s="3" t="str">
        <f>"protein_coding"</f>
        <v>protein_coding</v>
      </c>
    </row>
    <row r="4938" spans="1:9" x14ac:dyDescent="0.2">
      <c r="A4938" s="3" t="str">
        <f>"ENSG00000224505.2"</f>
        <v>ENSG00000224505.2</v>
      </c>
      <c r="B4938" s="3">
        <v>86.661826951152705</v>
      </c>
      <c r="C4938" s="3">
        <v>2.65115482098444</v>
      </c>
      <c r="D4938" s="3">
        <v>0.475767005921855</v>
      </c>
      <c r="E4938" s="3">
        <v>5.5723805728131897</v>
      </c>
      <c r="F4938" s="4">
        <v>2.5128174504740499E-8</v>
      </c>
      <c r="G4938" s="4">
        <v>2.82920401128374E-7</v>
      </c>
      <c r="H4938" s="3" t="str">
        <f>"AC138150.1"</f>
        <v>AC138150.1</v>
      </c>
      <c r="I4938" s="3" t="str">
        <f>"antisense"</f>
        <v>antisense</v>
      </c>
    </row>
    <row r="4939" spans="1:9" x14ac:dyDescent="0.2">
      <c r="A4939" s="3" t="str">
        <f>"ENSG00000267288.2"</f>
        <v>ENSG00000267288.2</v>
      </c>
      <c r="B4939" s="3">
        <v>22.1708234797225</v>
      </c>
      <c r="C4939" s="3">
        <v>-2.1782139569892398</v>
      </c>
      <c r="D4939" s="3">
        <v>0.77810232410273805</v>
      </c>
      <c r="E4939" s="3">
        <v>-2.79939268848866</v>
      </c>
      <c r="F4939" s="3">
        <v>5.11988312904345E-3</v>
      </c>
      <c r="G4939" s="3">
        <v>1.8086536447173202E-2</v>
      </c>
      <c r="H4939" s="3" t="str">
        <f>"AC138150.2"</f>
        <v>AC138150.2</v>
      </c>
      <c r="I4939" s="3" t="str">
        <f>"antisense"</f>
        <v>antisense</v>
      </c>
    </row>
    <row r="4940" spans="1:9" x14ac:dyDescent="0.2">
      <c r="A4940" s="3" t="str">
        <f>"ENSG00000267278.5"</f>
        <v>ENSG00000267278.5</v>
      </c>
      <c r="B4940" s="3">
        <v>20.099122994874101</v>
      </c>
      <c r="C4940" s="3">
        <v>1.95245884607478</v>
      </c>
      <c r="D4940" s="3">
        <v>0.78338805165797099</v>
      </c>
      <c r="E4940" s="3">
        <v>2.4923265576269298</v>
      </c>
      <c r="F4940" s="3">
        <v>1.26909296008477E-2</v>
      </c>
      <c r="G4940" s="3">
        <v>3.8839689861203702E-2</v>
      </c>
      <c r="H4940" s="3" t="str">
        <f>"MAP3K14-AS1"</f>
        <v>MAP3K14-AS1</v>
      </c>
      <c r="I4940" s="3" t="str">
        <f>"antisense"</f>
        <v>antisense</v>
      </c>
    </row>
    <row r="4941" spans="1:9" x14ac:dyDescent="0.2">
      <c r="A4941" s="3" t="str">
        <f>"ENSG00000176681.14"</f>
        <v>ENSG00000176681.14</v>
      </c>
      <c r="B4941" s="3">
        <v>52.6782821426984</v>
      </c>
      <c r="C4941" s="3">
        <v>1.3376171471929601</v>
      </c>
      <c r="D4941" s="3">
        <v>0.50393851652271804</v>
      </c>
      <c r="E4941" s="3">
        <v>2.6543260801392998</v>
      </c>
      <c r="F4941" s="3">
        <v>7.9466992959035202E-3</v>
      </c>
      <c r="G4941" s="3">
        <v>2.6235758598749898E-2</v>
      </c>
      <c r="H4941" s="3" t="str">
        <f>"LRRC37A"</f>
        <v>LRRC37A</v>
      </c>
      <c r="I4941" s="3" t="str">
        <f>"protein_coding"</f>
        <v>protein_coding</v>
      </c>
    </row>
    <row r="4942" spans="1:9" x14ac:dyDescent="0.2">
      <c r="A4942" s="3" t="str">
        <f>"ENSG00000178852.16"</f>
        <v>ENSG00000178852.16</v>
      </c>
      <c r="B4942" s="3">
        <v>52.781032916530002</v>
      </c>
      <c r="C4942" s="3">
        <v>3.5548334074660799</v>
      </c>
      <c r="D4942" s="3">
        <v>0.62922190821660295</v>
      </c>
      <c r="E4942" s="3">
        <v>5.6495703042850298</v>
      </c>
      <c r="F4942" s="4">
        <v>1.6084939249987099E-8</v>
      </c>
      <c r="G4942" s="4">
        <v>1.8570607616288099E-7</v>
      </c>
      <c r="H4942" s="3" t="str">
        <f>"EFCAB13"</f>
        <v>EFCAB13</v>
      </c>
      <c r="I4942" s="3" t="str">
        <f>"protein_coding"</f>
        <v>protein_coding</v>
      </c>
    </row>
    <row r="4943" spans="1:9" x14ac:dyDescent="0.2">
      <c r="A4943" s="3" t="str">
        <f>"ENSG00000263766.5"</f>
        <v>ENSG00000263766.5</v>
      </c>
      <c r="B4943" s="3">
        <v>113.347206108053</v>
      </c>
      <c r="C4943" s="3">
        <v>3.2808164883693101</v>
      </c>
      <c r="D4943" s="3">
        <v>0.40243212874085998</v>
      </c>
      <c r="E4943" s="3">
        <v>8.1524715698878492</v>
      </c>
      <c r="F4943" s="4">
        <v>3.5656079143831902E-16</v>
      </c>
      <c r="G4943" s="4">
        <v>9.8631592734212101E-15</v>
      </c>
      <c r="H4943" s="3" t="str">
        <f>"AC025682.1"</f>
        <v>AC025682.1</v>
      </c>
      <c r="I4943" s="3" t="str">
        <f>"antisense"</f>
        <v>antisense</v>
      </c>
    </row>
    <row r="4944" spans="1:9" x14ac:dyDescent="0.2">
      <c r="A4944" s="3" t="str">
        <f>"ENSG00000198933.9"</f>
        <v>ENSG00000198933.9</v>
      </c>
      <c r="B4944" s="3">
        <v>681.79601838014401</v>
      </c>
      <c r="C4944" s="3">
        <v>-1.5387915279493301</v>
      </c>
      <c r="D4944" s="3">
        <v>0.23518954875249001</v>
      </c>
      <c r="E4944" s="3">
        <v>-6.54277171801</v>
      </c>
      <c r="F4944" s="4">
        <v>6.0388976742805206E-11</v>
      </c>
      <c r="G4944" s="4">
        <v>9.7304461816156905E-10</v>
      </c>
      <c r="H4944" s="3" t="str">
        <f>"TBKBP1"</f>
        <v>TBKBP1</v>
      </c>
      <c r="I4944" s="3" t="str">
        <f>"protein_coding"</f>
        <v>protein_coding</v>
      </c>
    </row>
    <row r="4945" spans="1:9" x14ac:dyDescent="0.2">
      <c r="A4945" s="3" t="str">
        <f>"ENSG00000189120.5"</f>
        <v>ENSG00000189120.5</v>
      </c>
      <c r="B4945" s="3">
        <v>93.397074973142196</v>
      </c>
      <c r="C4945" s="3">
        <v>4.4293886913351201</v>
      </c>
      <c r="D4945" s="3">
        <v>0.52637456688345097</v>
      </c>
      <c r="E4945" s="3">
        <v>8.4148987622266098</v>
      </c>
      <c r="F4945" s="4">
        <v>3.9323437204570902E-17</v>
      </c>
      <c r="G4945" s="4">
        <v>1.1813072695842799E-15</v>
      </c>
      <c r="H4945" s="3" t="str">
        <f>"SP6"</f>
        <v>SP6</v>
      </c>
      <c r="I4945" s="3" t="str">
        <f>"protein_coding"</f>
        <v>protein_coding</v>
      </c>
    </row>
    <row r="4946" spans="1:9" x14ac:dyDescent="0.2">
      <c r="A4946" s="3" t="str">
        <f>"ENSG00000264920.1"</f>
        <v>ENSG00000264920.1</v>
      </c>
      <c r="B4946" s="3">
        <v>127.413853185522</v>
      </c>
      <c r="C4946" s="3">
        <v>1.8539552104992301</v>
      </c>
      <c r="D4946" s="3">
        <v>0.34535734045935601</v>
      </c>
      <c r="E4946" s="3">
        <v>5.3682229774913903</v>
      </c>
      <c r="F4946" s="4">
        <v>7.9516208856812997E-8</v>
      </c>
      <c r="G4946" s="4">
        <v>8.2160401066277198E-7</v>
      </c>
      <c r="H4946" s="3" t="str">
        <f>"AC018521.5"</f>
        <v>AC018521.5</v>
      </c>
      <c r="I4946" s="3" t="str">
        <f>"processed_transcript"</f>
        <v>processed_transcript</v>
      </c>
    </row>
    <row r="4947" spans="1:9" x14ac:dyDescent="0.2">
      <c r="A4947" s="3" t="str">
        <f>"ENSG00000234494.7"</f>
        <v>ENSG00000234494.7</v>
      </c>
      <c r="B4947" s="3">
        <v>84.390324029362802</v>
      </c>
      <c r="C4947" s="3">
        <v>1.87214825139449</v>
      </c>
      <c r="D4947" s="3">
        <v>0.41389619188771798</v>
      </c>
      <c r="E4947" s="3">
        <v>4.5232313997766003</v>
      </c>
      <c r="F4947" s="4">
        <v>6.0902593319098497E-6</v>
      </c>
      <c r="G4947" s="4">
        <v>4.5190984753961798E-5</v>
      </c>
      <c r="H4947" s="3" t="str">
        <f>"SP2-AS1"</f>
        <v>SP2-AS1</v>
      </c>
      <c r="I4947" s="3" t="str">
        <f>"antisense"</f>
        <v>antisense</v>
      </c>
    </row>
    <row r="4948" spans="1:9" x14ac:dyDescent="0.2">
      <c r="A4948" s="3" t="str">
        <f>"ENSG00000108439.10"</f>
        <v>ENSG00000108439.10</v>
      </c>
      <c r="B4948" s="3">
        <v>4716.0032669193497</v>
      </c>
      <c r="C4948" s="3">
        <v>2.0116829117204</v>
      </c>
      <c r="D4948" s="3">
        <v>0.19249862847928401</v>
      </c>
      <c r="E4948" s="3">
        <v>10.450375296761599</v>
      </c>
      <c r="F4948" s="4">
        <v>1.45946544005092E-25</v>
      </c>
      <c r="G4948" s="4">
        <v>8.5334881641775496E-24</v>
      </c>
      <c r="H4948" s="3" t="str">
        <f>"PNPO"</f>
        <v>PNPO</v>
      </c>
      <c r="I4948" s="3" t="str">
        <f>"protein_coding"</f>
        <v>protein_coding</v>
      </c>
    </row>
    <row r="4949" spans="1:9" x14ac:dyDescent="0.2">
      <c r="A4949" s="3" t="str">
        <f>"ENSG00000141293.16"</f>
        <v>ENSG00000141293.16</v>
      </c>
      <c r="B4949" s="3">
        <v>7.2653184629216598</v>
      </c>
      <c r="C4949" s="3">
        <v>6.2546498169165003</v>
      </c>
      <c r="D4949" s="3">
        <v>1.87690904629221</v>
      </c>
      <c r="E4949" s="3">
        <v>3.3324203052206598</v>
      </c>
      <c r="F4949" s="3">
        <v>8.6094124409860596E-4</v>
      </c>
      <c r="G4949" s="3">
        <v>3.8716068786853802E-3</v>
      </c>
      <c r="H4949" s="3" t="str">
        <f>"SKAP1"</f>
        <v>SKAP1</v>
      </c>
      <c r="I4949" s="3" t="str">
        <f>"protein_coding"</f>
        <v>protein_coding</v>
      </c>
    </row>
    <row r="4950" spans="1:9" x14ac:dyDescent="0.2">
      <c r="A4950" s="3" t="str">
        <f>"ENSG00000244649.4"</f>
        <v>ENSG00000244649.4</v>
      </c>
      <c r="B4950" s="3">
        <v>432.80538677081802</v>
      </c>
      <c r="C4950" s="3">
        <v>9.1230904887294209</v>
      </c>
      <c r="D4950" s="3">
        <v>0.86697557034681705</v>
      </c>
      <c r="E4950" s="3">
        <v>10.522892225302099</v>
      </c>
      <c r="F4950" s="4">
        <v>6.7761022923188705E-26</v>
      </c>
      <c r="G4950" s="4">
        <v>4.0667061488725201E-24</v>
      </c>
      <c r="H4950" s="3" t="str">
        <f>"LINC02086"</f>
        <v>LINC02086</v>
      </c>
      <c r="I4950" s="3" t="str">
        <f>"lincRNA"</f>
        <v>lincRNA</v>
      </c>
    </row>
    <row r="4951" spans="1:9" x14ac:dyDescent="0.2">
      <c r="A4951" s="3" t="str">
        <f>"ENSG00000159199.14"</f>
        <v>ENSG00000159199.14</v>
      </c>
      <c r="B4951" s="3">
        <v>2135.75815207303</v>
      </c>
      <c r="C4951" s="3">
        <v>-1.1339111265914099</v>
      </c>
      <c r="D4951" s="3">
        <v>0.21448285164276801</v>
      </c>
      <c r="E4951" s="3">
        <v>-5.2867216092408098</v>
      </c>
      <c r="F4951" s="4">
        <v>1.2452793279987699E-7</v>
      </c>
      <c r="G4951" s="4">
        <v>1.2453521997073601E-6</v>
      </c>
      <c r="H4951" s="3" t="str">
        <f>"ATP5MC1"</f>
        <v>ATP5MC1</v>
      </c>
      <c r="I4951" s="3" t="str">
        <f>"protein_coding"</f>
        <v>protein_coding</v>
      </c>
    </row>
    <row r="4952" spans="1:9" x14ac:dyDescent="0.2">
      <c r="A4952" s="3" t="str">
        <f>"ENSG00000159217.10"</f>
        <v>ENSG00000159217.10</v>
      </c>
      <c r="B4952" s="3">
        <v>19919.815616518299</v>
      </c>
      <c r="C4952" s="3">
        <v>-1.45432603143322</v>
      </c>
      <c r="D4952" s="3">
        <v>0.17775925025734299</v>
      </c>
      <c r="E4952" s="3">
        <v>-8.1814365740617507</v>
      </c>
      <c r="F4952" s="4">
        <v>2.80479721050246E-16</v>
      </c>
      <c r="G4952" s="4">
        <v>7.8542969778582399E-15</v>
      </c>
      <c r="H4952" s="3" t="str">
        <f>"IGF2BP1"</f>
        <v>IGF2BP1</v>
      </c>
      <c r="I4952" s="3" t="str">
        <f>"protein_coding"</f>
        <v>protein_coding</v>
      </c>
    </row>
    <row r="4953" spans="1:9" x14ac:dyDescent="0.2">
      <c r="A4953" s="3" t="str">
        <f>"ENSG00000167080.8"</f>
        <v>ENSG00000167080.8</v>
      </c>
      <c r="B4953" s="3">
        <v>15.4154237619796</v>
      </c>
      <c r="C4953" s="3">
        <v>4.8490649491854496</v>
      </c>
      <c r="D4953" s="3">
        <v>1.2987091733568401</v>
      </c>
      <c r="E4953" s="3">
        <v>3.7337573712918601</v>
      </c>
      <c r="F4953" s="3">
        <v>1.8864423206485899E-4</v>
      </c>
      <c r="G4953" s="3">
        <v>1.0114107420447101E-3</v>
      </c>
      <c r="H4953" s="3" t="str">
        <f>"B4GALNT2"</f>
        <v>B4GALNT2</v>
      </c>
      <c r="I4953" s="3" t="str">
        <f>"protein_coding"</f>
        <v>protein_coding</v>
      </c>
    </row>
    <row r="4954" spans="1:9" x14ac:dyDescent="0.2">
      <c r="A4954" s="3" t="str">
        <f>"ENSG00000173868.11"</f>
        <v>ENSG00000173868.11</v>
      </c>
      <c r="B4954" s="3">
        <v>33.101569607140299</v>
      </c>
      <c r="C4954" s="3">
        <v>8.44377579850741</v>
      </c>
      <c r="D4954" s="3">
        <v>1.5549342377948101</v>
      </c>
      <c r="E4954" s="3">
        <v>5.4303105515782297</v>
      </c>
      <c r="F4954" s="4">
        <v>5.6256070699395098E-8</v>
      </c>
      <c r="G4954" s="4">
        <v>5.9688830153676697E-7</v>
      </c>
      <c r="H4954" s="3" t="str">
        <f>"PHOSPHO1"</f>
        <v>PHOSPHO1</v>
      </c>
      <c r="I4954" s="3" t="str">
        <f>"protein_coding"</f>
        <v>protein_coding</v>
      </c>
    </row>
    <row r="4955" spans="1:9" x14ac:dyDescent="0.2">
      <c r="A4955" s="3" t="str">
        <f>"ENSG00000064300.9"</f>
        <v>ENSG00000064300.9</v>
      </c>
      <c r="B4955" s="3">
        <v>645.58546403637001</v>
      </c>
      <c r="C4955" s="3">
        <v>1.26754546086728</v>
      </c>
      <c r="D4955" s="3">
        <v>0.260256079759491</v>
      </c>
      <c r="E4955" s="3">
        <v>4.8703779064014396</v>
      </c>
      <c r="F4955" s="4">
        <v>1.1138501028702199E-6</v>
      </c>
      <c r="G4955" s="4">
        <v>9.4663361674687996E-6</v>
      </c>
      <c r="H4955" s="3" t="str">
        <f>"NGFR"</f>
        <v>NGFR</v>
      </c>
      <c r="I4955" s="3" t="str">
        <f>"protein_coding"</f>
        <v>protein_coding</v>
      </c>
    </row>
    <row r="4956" spans="1:9" x14ac:dyDescent="0.2">
      <c r="A4956" s="3" t="str">
        <f>"ENSG00000249906.1"</f>
        <v>ENSG00000249906.1</v>
      </c>
      <c r="B4956" s="3">
        <v>30.042458690367098</v>
      </c>
      <c r="C4956" s="3">
        <v>5.24140739210719</v>
      </c>
      <c r="D4956" s="3">
        <v>1.04970111664758</v>
      </c>
      <c r="E4956" s="3">
        <v>4.9932378931315498</v>
      </c>
      <c r="F4956" s="4">
        <v>5.9375347185749902E-7</v>
      </c>
      <c r="G4956" s="4">
        <v>5.2817501951359097E-6</v>
      </c>
      <c r="H4956" s="3" t="str">
        <f>"AC006487.1"</f>
        <v>AC006487.1</v>
      </c>
      <c r="I4956" s="3" t="str">
        <f>"antisense"</f>
        <v>antisense</v>
      </c>
    </row>
    <row r="4957" spans="1:9" x14ac:dyDescent="0.2">
      <c r="A4957" s="3" t="str">
        <f>"ENSG00000121104.8"</f>
        <v>ENSG00000121104.8</v>
      </c>
      <c r="B4957" s="3">
        <v>610.48111985756498</v>
      </c>
      <c r="C4957" s="3">
        <v>-1.7168923744817099</v>
      </c>
      <c r="D4957" s="3">
        <v>0.22299097948673799</v>
      </c>
      <c r="E4957" s="3">
        <v>-7.6993803894377502</v>
      </c>
      <c r="F4957" s="4">
        <v>1.3672758689736701E-14</v>
      </c>
      <c r="G4957" s="4">
        <v>3.2394926610370102E-13</v>
      </c>
      <c r="H4957" s="3" t="str">
        <f>"FAM117A"</f>
        <v>FAM117A</v>
      </c>
      <c r="I4957" s="3" t="str">
        <f>"protein_coding"</f>
        <v>protein_coding</v>
      </c>
    </row>
    <row r="4958" spans="1:9" x14ac:dyDescent="0.2">
      <c r="A4958" s="3" t="str">
        <f>"ENSG00000246640.1"</f>
        <v>ENSG00000246640.1</v>
      </c>
      <c r="B4958" s="3">
        <v>8.1440503494021392</v>
      </c>
      <c r="C4958" s="3">
        <v>6.41732123416344</v>
      </c>
      <c r="D4958" s="3">
        <v>1.86247229550883</v>
      </c>
      <c r="E4958" s="3">
        <v>3.4455928550659198</v>
      </c>
      <c r="F4958" s="3">
        <v>5.6980816422507103E-4</v>
      </c>
      <c r="G4958" s="3">
        <v>2.6902725785202699E-3</v>
      </c>
      <c r="H4958" s="3" t="str">
        <f>"PICART1"</f>
        <v>PICART1</v>
      </c>
      <c r="I4958" s="3" t="str">
        <f>"lincRNA"</f>
        <v>lincRNA</v>
      </c>
    </row>
    <row r="4959" spans="1:9" x14ac:dyDescent="0.2">
      <c r="A4959" s="3" t="str">
        <f>"ENSG00000005884.18"</f>
        <v>ENSG00000005884.18</v>
      </c>
      <c r="B4959" s="3">
        <v>1383.5643779757299</v>
      </c>
      <c r="C4959" s="3">
        <v>6.3472735259733604</v>
      </c>
      <c r="D4959" s="3">
        <v>0.26297913738499901</v>
      </c>
      <c r="E4959" s="3">
        <v>24.136034474403999</v>
      </c>
      <c r="F4959" s="4">
        <v>1.04666116455415E-128</v>
      </c>
      <c r="G4959" s="4">
        <v>3.56479709382587E-125</v>
      </c>
      <c r="H4959" s="3" t="str">
        <f>"ITGA3"</f>
        <v>ITGA3</v>
      </c>
      <c r="I4959" s="3" t="str">
        <f>"protein_coding"</f>
        <v>protein_coding</v>
      </c>
    </row>
    <row r="4960" spans="1:9" x14ac:dyDescent="0.2">
      <c r="A4960" s="3" t="str">
        <f>"ENSG00000005882.11"</f>
        <v>ENSG00000005882.11</v>
      </c>
      <c r="B4960" s="3">
        <v>503.51352708592202</v>
      </c>
      <c r="C4960" s="3">
        <v>-1.17472726890571</v>
      </c>
      <c r="D4960" s="3">
        <v>0.27353748020597202</v>
      </c>
      <c r="E4960" s="3">
        <v>-4.29457516396345</v>
      </c>
      <c r="F4960" s="4">
        <v>1.7502817641507299E-5</v>
      </c>
      <c r="G4960" s="3">
        <v>1.17723839120748E-4</v>
      </c>
      <c r="H4960" s="3" t="str">
        <f>"PDK2"</f>
        <v>PDK2</v>
      </c>
      <c r="I4960" s="3" t="str">
        <f>"protein_coding"</f>
        <v>protein_coding</v>
      </c>
    </row>
    <row r="4961" spans="1:9" x14ac:dyDescent="0.2">
      <c r="A4961" s="3" t="str">
        <f>"ENSG00000275025.1"</f>
        <v>ENSG00000275025.1</v>
      </c>
      <c r="B4961" s="3">
        <v>9.1890080409332509</v>
      </c>
      <c r="C4961" s="3">
        <v>-3.1463302537657101</v>
      </c>
      <c r="D4961" s="3">
        <v>1.25309989286379</v>
      </c>
      <c r="E4961" s="3">
        <v>-2.5108375411119099</v>
      </c>
      <c r="F4961" s="3">
        <v>1.2044511263111801E-2</v>
      </c>
      <c r="G4961" s="3">
        <v>3.7136675159670299E-2</v>
      </c>
      <c r="H4961" s="3" t="str">
        <f>"AC002401.3"</f>
        <v>AC002401.3</v>
      </c>
      <c r="I4961" s="3" t="str">
        <f>"antisense"</f>
        <v>antisense</v>
      </c>
    </row>
    <row r="4962" spans="1:9" x14ac:dyDescent="0.2">
      <c r="A4962" s="3" t="str">
        <f>"ENSG00000250282.1"</f>
        <v>ENSG00000250282.1</v>
      </c>
      <c r="B4962" s="3">
        <v>12.751206571700401</v>
      </c>
      <c r="C4962" s="3">
        <v>-2.72377447273352</v>
      </c>
      <c r="D4962" s="3">
        <v>1.02714678504413</v>
      </c>
      <c r="E4962" s="3">
        <v>-2.6517869815622399</v>
      </c>
      <c r="F4962" s="3">
        <v>8.0067038342017602E-3</v>
      </c>
      <c r="G4962" s="3">
        <v>2.6385904616654E-2</v>
      </c>
      <c r="H4962" s="3" t="str">
        <f>"AC002401.2"</f>
        <v>AC002401.2</v>
      </c>
      <c r="I4962" s="3" t="str">
        <f>"antisense"</f>
        <v>antisense</v>
      </c>
    </row>
    <row r="4963" spans="1:9" x14ac:dyDescent="0.2">
      <c r="A4963" s="3" t="str">
        <f>"ENSG00000136444.10"</f>
        <v>ENSG00000136444.10</v>
      </c>
      <c r="B4963" s="3">
        <v>1089.71459236135</v>
      </c>
      <c r="C4963" s="3">
        <v>-1.48512083318038</v>
      </c>
      <c r="D4963" s="3">
        <v>0.195779778156495</v>
      </c>
      <c r="E4963" s="3">
        <v>-7.5856702217389502</v>
      </c>
      <c r="F4963" s="4">
        <v>3.3077274795907302E-14</v>
      </c>
      <c r="G4963" s="4">
        <v>7.6768015874283399E-13</v>
      </c>
      <c r="H4963" s="3" t="str">
        <f>"RSAD1"</f>
        <v>RSAD1</v>
      </c>
      <c r="I4963" s="3" t="str">
        <f>"protein_coding"</f>
        <v>protein_coding</v>
      </c>
    </row>
    <row r="4964" spans="1:9" x14ac:dyDescent="0.2">
      <c r="A4964" s="3" t="str">
        <f>"ENSG00000136449.14"</f>
        <v>ENSG00000136449.14</v>
      </c>
      <c r="B4964" s="3">
        <v>53.264420260926897</v>
      </c>
      <c r="C4964" s="3">
        <v>1.6750655087683199</v>
      </c>
      <c r="D4964" s="3">
        <v>0.55147850374358298</v>
      </c>
      <c r="E4964" s="3">
        <v>3.0374085252598899</v>
      </c>
      <c r="F4964" s="3">
        <v>2.38621817067054E-3</v>
      </c>
      <c r="G4964" s="3">
        <v>9.3725366147124293E-3</v>
      </c>
      <c r="H4964" s="3" t="str">
        <f>"MYCBPAP"</f>
        <v>MYCBPAP</v>
      </c>
      <c r="I4964" s="3" t="str">
        <f>"protein_coding"</f>
        <v>protein_coding</v>
      </c>
    </row>
    <row r="4965" spans="1:9" x14ac:dyDescent="0.2">
      <c r="A4965" s="3" t="str">
        <f>"ENSG00000049283.18"</f>
        <v>ENSG00000049283.18</v>
      </c>
      <c r="B4965" s="3">
        <v>403.270237189444</v>
      </c>
      <c r="C4965" s="3">
        <v>2.3914728353807799</v>
      </c>
      <c r="D4965" s="3">
        <v>0.242993264459504</v>
      </c>
      <c r="E4965" s="3">
        <v>9.8417247930727694</v>
      </c>
      <c r="F4965" s="4">
        <v>7.4423819075126504E-23</v>
      </c>
      <c r="G4965" s="4">
        <v>3.5327975580835702E-21</v>
      </c>
      <c r="H4965" s="3" t="str">
        <f>"EPN3"</f>
        <v>EPN3</v>
      </c>
      <c r="I4965" s="3" t="str">
        <f>"protein_coding"</f>
        <v>protein_coding</v>
      </c>
    </row>
    <row r="4966" spans="1:9" x14ac:dyDescent="0.2">
      <c r="A4966" s="3" t="str">
        <f>"ENSG00000250286.1"</f>
        <v>ENSG00000250286.1</v>
      </c>
      <c r="B4966" s="3">
        <v>187.78644020502099</v>
      </c>
      <c r="C4966" s="3">
        <v>2.2047861438511198</v>
      </c>
      <c r="D4966" s="3">
        <v>0.32087532461998097</v>
      </c>
      <c r="E4966" s="3">
        <v>6.8711613972258299</v>
      </c>
      <c r="F4966" s="4">
        <v>6.3681294000356696E-12</v>
      </c>
      <c r="G4966" s="4">
        <v>1.14152909054455E-10</v>
      </c>
      <c r="H4966" s="3" t="str">
        <f>"AC021491.2"</f>
        <v>AC021491.2</v>
      </c>
      <c r="I4966" s="3" t="str">
        <f>"processed_transcript"</f>
        <v>processed_transcript</v>
      </c>
    </row>
    <row r="4967" spans="1:9" x14ac:dyDescent="0.2">
      <c r="A4967" s="3" t="str">
        <f>"ENSG00000006283.18"</f>
        <v>ENSG00000006283.18</v>
      </c>
      <c r="B4967" s="3">
        <v>25.839679470336701</v>
      </c>
      <c r="C4967" s="3">
        <v>3.9752060743997699</v>
      </c>
      <c r="D4967" s="3">
        <v>0.86222883720725996</v>
      </c>
      <c r="E4967" s="3">
        <v>4.6103840452325597</v>
      </c>
      <c r="F4967" s="4">
        <v>4.01925775313014E-6</v>
      </c>
      <c r="G4967" s="4">
        <v>3.0927059022744202E-5</v>
      </c>
      <c r="H4967" s="3" t="str">
        <f>"CACNA1G"</f>
        <v>CACNA1G</v>
      </c>
      <c r="I4967" s="3" t="str">
        <f>"protein_coding"</f>
        <v>protein_coding</v>
      </c>
    </row>
    <row r="4968" spans="1:9" x14ac:dyDescent="0.2">
      <c r="A4968" s="3" t="str">
        <f>"ENSG00000173714.7"</f>
        <v>ENSG00000173714.7</v>
      </c>
      <c r="B4968" s="3">
        <v>3833.1359467628699</v>
      </c>
      <c r="C4968" s="3">
        <v>9.4547826506750692</v>
      </c>
      <c r="D4968" s="3">
        <v>0.72775518553137797</v>
      </c>
      <c r="E4968" s="3">
        <v>12.991707704248901</v>
      </c>
      <c r="F4968" s="4">
        <v>1.3635027468462201E-38</v>
      </c>
      <c r="G4968" s="4">
        <v>1.7524226105339101E-36</v>
      </c>
      <c r="H4968" s="3" t="str">
        <f>"WFIKKN2"</f>
        <v>WFIKKN2</v>
      </c>
      <c r="I4968" s="3" t="str">
        <f>"protein_coding"</f>
        <v>protein_coding</v>
      </c>
    </row>
    <row r="4969" spans="1:9" x14ac:dyDescent="0.2">
      <c r="A4969" s="3" t="str">
        <f>"ENSG00000247011.2"</f>
        <v>ENSG00000247011.2</v>
      </c>
      <c r="B4969" s="3">
        <v>95.869228221247994</v>
      </c>
      <c r="C4969" s="3">
        <v>1.3661283098393899</v>
      </c>
      <c r="D4969" s="3">
        <v>0.38351974242728298</v>
      </c>
      <c r="E4969" s="3">
        <v>3.5620807971793198</v>
      </c>
      <c r="F4969" s="3">
        <v>3.67927106686346E-4</v>
      </c>
      <c r="G4969" s="3">
        <v>1.8290293515568099E-3</v>
      </c>
      <c r="H4969" s="3" t="str">
        <f>"AC005920.1"</f>
        <v>AC005920.1</v>
      </c>
      <c r="I4969" s="3" t="str">
        <f>"lincRNA"</f>
        <v>lincRNA</v>
      </c>
    </row>
    <row r="4970" spans="1:9" x14ac:dyDescent="0.2">
      <c r="A4970" s="3" t="str">
        <f>"ENSG00000011260.14"</f>
        <v>ENSG00000011260.14</v>
      </c>
      <c r="B4970" s="3">
        <v>2041.3407139149599</v>
      </c>
      <c r="C4970" s="3">
        <v>-1.11658939739898</v>
      </c>
      <c r="D4970" s="3">
        <v>0.18471922172517599</v>
      </c>
      <c r="E4970" s="3">
        <v>-6.0447926694939902</v>
      </c>
      <c r="F4970" s="4">
        <v>1.4960225613396E-9</v>
      </c>
      <c r="G4970" s="4">
        <v>1.9845241834868599E-8</v>
      </c>
      <c r="H4970" s="3" t="str">
        <f>"UTP18"</f>
        <v>UTP18</v>
      </c>
      <c r="I4970" s="3" t="str">
        <f>"protein_coding"</f>
        <v>protein_coding</v>
      </c>
    </row>
    <row r="4971" spans="1:9" x14ac:dyDescent="0.2">
      <c r="A4971" s="3" t="str">
        <f>"ENSG00000279059.1"</f>
        <v>ENSG00000279059.1</v>
      </c>
      <c r="B4971" s="3">
        <v>356.68688308773801</v>
      </c>
      <c r="C4971" s="3">
        <v>1.0059158478691901</v>
      </c>
      <c r="D4971" s="3">
        <v>0.258083141377424</v>
      </c>
      <c r="E4971" s="3">
        <v>3.8976426065665599</v>
      </c>
      <c r="F4971" s="4">
        <v>9.7133624150832194E-5</v>
      </c>
      <c r="G4971" s="3">
        <v>5.5788361240255598E-4</v>
      </c>
      <c r="H4971" s="3" t="str">
        <f>"AC007485.2"</f>
        <v>AC007485.2</v>
      </c>
      <c r="I4971" s="3" t="str">
        <f>"TEC"</f>
        <v>TEC</v>
      </c>
    </row>
    <row r="4972" spans="1:9" x14ac:dyDescent="0.2">
      <c r="A4972" s="3" t="str">
        <f>"ENSG00000263096.1"</f>
        <v>ENSG00000263096.1</v>
      </c>
      <c r="B4972" s="3">
        <v>22.3968111749607</v>
      </c>
      <c r="C4972" s="3">
        <v>3.5054544182195801</v>
      </c>
      <c r="D4972" s="3">
        <v>0.87623152121972103</v>
      </c>
      <c r="E4972" s="3">
        <v>4.0006029608932101</v>
      </c>
      <c r="F4972" s="4">
        <v>6.3181289356949402E-5</v>
      </c>
      <c r="G4972" s="3">
        <v>3.7810247992725701E-4</v>
      </c>
      <c r="H4972" s="3" t="str">
        <f>"AC007638.2"</f>
        <v>AC007638.2</v>
      </c>
      <c r="I4972" s="3" t="str">
        <f>"antisense"</f>
        <v>antisense</v>
      </c>
    </row>
    <row r="4973" spans="1:9" x14ac:dyDescent="0.2">
      <c r="A4973" s="3" t="str">
        <f>"ENSG00000261873.2"</f>
        <v>ENSG00000261873.2</v>
      </c>
      <c r="B4973" s="3">
        <v>4.1097661746942604</v>
      </c>
      <c r="C4973" s="3">
        <v>5.4328693169605202</v>
      </c>
      <c r="D4973" s="3">
        <v>2.14332345947187</v>
      </c>
      <c r="E4973" s="3">
        <v>2.5347874082893802</v>
      </c>
      <c r="F4973" s="3">
        <v>1.1251558606317101E-2</v>
      </c>
      <c r="G4973" s="3">
        <v>3.5125024902190903E-2</v>
      </c>
      <c r="H4973" s="3" t="str">
        <f>"SMIM36"</f>
        <v>SMIM36</v>
      </c>
      <c r="I4973" s="3" t="str">
        <f>"protein_coding"</f>
        <v>protein_coding</v>
      </c>
    </row>
    <row r="4974" spans="1:9" x14ac:dyDescent="0.2">
      <c r="A4974" s="3" t="str">
        <f>"ENSG00000141179.13"</f>
        <v>ENSG00000141179.13</v>
      </c>
      <c r="B4974" s="3">
        <v>907.705641953498</v>
      </c>
      <c r="C4974" s="3">
        <v>-1.0432275182700901</v>
      </c>
      <c r="D4974" s="3">
        <v>0.207203317291003</v>
      </c>
      <c r="E4974" s="3">
        <v>-5.0348012373033004</v>
      </c>
      <c r="F4974" s="4">
        <v>4.7834490417134797E-7</v>
      </c>
      <c r="G4974" s="4">
        <v>4.33870293074458E-6</v>
      </c>
      <c r="H4974" s="3" t="str">
        <f>"PCTP"</f>
        <v>PCTP</v>
      </c>
      <c r="I4974" s="3" t="str">
        <f>"protein_coding"</f>
        <v>protein_coding</v>
      </c>
    </row>
    <row r="4975" spans="1:9" x14ac:dyDescent="0.2">
      <c r="A4975" s="3" t="str">
        <f>"ENSG00000153930.11"</f>
        <v>ENSG00000153930.11</v>
      </c>
      <c r="B4975" s="3">
        <v>17.329695216696599</v>
      </c>
      <c r="C4975" s="3">
        <v>6.0454267220581803</v>
      </c>
      <c r="D4975" s="3">
        <v>1.6270143129821699</v>
      </c>
      <c r="E4975" s="3">
        <v>3.7156567547199102</v>
      </c>
      <c r="F4975" s="3">
        <v>2.0267656702964001E-4</v>
      </c>
      <c r="G4975" s="3">
        <v>1.0800564095162499E-3</v>
      </c>
      <c r="H4975" s="3" t="str">
        <f>"ANKFN1"</f>
        <v>ANKFN1</v>
      </c>
      <c r="I4975" s="3" t="str">
        <f>"protein_coding"</f>
        <v>protein_coding</v>
      </c>
    </row>
    <row r="4976" spans="1:9" x14ac:dyDescent="0.2">
      <c r="A4976" s="3" t="str">
        <f>"ENSG00000121060.18"</f>
        <v>ENSG00000121060.18</v>
      </c>
      <c r="B4976" s="3">
        <v>3117.1648803120302</v>
      </c>
      <c r="C4976" s="3">
        <v>-1.22090870412802</v>
      </c>
      <c r="D4976" s="3">
        <v>0.19225852242635</v>
      </c>
      <c r="E4976" s="3">
        <v>-6.35034894016583</v>
      </c>
      <c r="F4976" s="4">
        <v>2.14827073182533E-10</v>
      </c>
      <c r="G4976" s="4">
        <v>3.17257087425718E-9</v>
      </c>
      <c r="H4976" s="3" t="str">
        <f>"TRIM25"</f>
        <v>TRIM25</v>
      </c>
      <c r="I4976" s="3" t="str">
        <f>"protein_coding"</f>
        <v>protein_coding</v>
      </c>
    </row>
    <row r="4977" spans="1:9" x14ac:dyDescent="0.2">
      <c r="A4977" s="3" t="str">
        <f>"ENSG00000263120.1"</f>
        <v>ENSG00000263120.1</v>
      </c>
      <c r="B4977" s="3">
        <v>20.639726568834799</v>
      </c>
      <c r="C4977" s="3">
        <v>2.65151080512975</v>
      </c>
      <c r="D4977" s="3">
        <v>0.81750581609640105</v>
      </c>
      <c r="E4977" s="3">
        <v>3.2434152184882801</v>
      </c>
      <c r="F4977" s="3">
        <v>1.1810595446077299E-3</v>
      </c>
      <c r="G4977" s="3">
        <v>5.0998937261373797E-3</v>
      </c>
      <c r="H4977" s="3" t="str">
        <f>"AC004584.3"</f>
        <v>AC004584.3</v>
      </c>
      <c r="I4977" s="3" t="str">
        <f>"sense_intronic"</f>
        <v>sense_intronic</v>
      </c>
    </row>
    <row r="4978" spans="1:9" x14ac:dyDescent="0.2">
      <c r="A4978" s="3" t="str">
        <f>"ENSG00000121057.13"</f>
        <v>ENSG00000121057.13</v>
      </c>
      <c r="B4978" s="3">
        <v>5629.1210810741704</v>
      </c>
      <c r="C4978" s="3">
        <v>-1.1316116305245201</v>
      </c>
      <c r="D4978" s="3">
        <v>0.184290031753822</v>
      </c>
      <c r="E4978" s="3">
        <v>-6.1403843699812404</v>
      </c>
      <c r="F4978" s="4">
        <v>8.2322040503848905E-10</v>
      </c>
      <c r="G4978" s="4">
        <v>1.13284274626685E-8</v>
      </c>
      <c r="H4978" s="3" t="str">
        <f>"AKAP1"</f>
        <v>AKAP1</v>
      </c>
      <c r="I4978" s="3" t="str">
        <f>"protein_coding"</f>
        <v>protein_coding</v>
      </c>
    </row>
    <row r="4979" spans="1:9" x14ac:dyDescent="0.2">
      <c r="A4979" s="3" t="str">
        <f>"ENSG00000264112.1"</f>
        <v>ENSG00000264112.1</v>
      </c>
      <c r="B4979" s="3">
        <v>918.46307602908996</v>
      </c>
      <c r="C4979" s="3">
        <v>1.6515899540369301</v>
      </c>
      <c r="D4979" s="3">
        <v>0.61743458914973404</v>
      </c>
      <c r="E4979" s="3">
        <v>2.6749229522617499</v>
      </c>
      <c r="F4979" s="3">
        <v>7.47464261251917E-3</v>
      </c>
      <c r="G4979" s="3">
        <v>2.4884809549532101E-2</v>
      </c>
      <c r="H4979" s="3" t="str">
        <f>"AC015813.1"</f>
        <v>AC015813.1</v>
      </c>
      <c r="I4979" s="3" t="str">
        <f>"lincRNA"</f>
        <v>lincRNA</v>
      </c>
    </row>
    <row r="4980" spans="1:9" x14ac:dyDescent="0.2">
      <c r="A4980" s="3" t="str">
        <f>"ENSG00000213246.7"</f>
        <v>ENSG00000213246.7</v>
      </c>
      <c r="B4980" s="3">
        <v>21.906975617863399</v>
      </c>
      <c r="C4980" s="3">
        <v>-2.63483071071497</v>
      </c>
      <c r="D4980" s="3">
        <v>0.79701631444477306</v>
      </c>
      <c r="E4980" s="3">
        <v>-3.3058679765551302</v>
      </c>
      <c r="F4980" s="3">
        <v>9.4682688794461704E-4</v>
      </c>
      <c r="G4980" s="3">
        <v>4.20576984281496E-3</v>
      </c>
      <c r="H4980" s="3" t="str">
        <f>"SUPT4H1"</f>
        <v>SUPT4H1</v>
      </c>
      <c r="I4980" s="3" t="str">
        <f>"protein_coding"</f>
        <v>protein_coding</v>
      </c>
    </row>
    <row r="4981" spans="1:9" x14ac:dyDescent="0.2">
      <c r="A4981" s="3" t="str">
        <f>"ENSG00000108375.12"</f>
        <v>ENSG00000108375.12</v>
      </c>
      <c r="B4981" s="3">
        <v>1247.6278171694701</v>
      </c>
      <c r="C4981" s="3">
        <v>-2.2706723863645801</v>
      </c>
      <c r="D4981" s="3">
        <v>0.19566928839764999</v>
      </c>
      <c r="E4981" s="3">
        <v>-11.6046437586566</v>
      </c>
      <c r="F4981" s="4">
        <v>3.90309635861012E-31</v>
      </c>
      <c r="G4981" s="4">
        <v>3.34426624160535E-29</v>
      </c>
      <c r="H4981" s="3" t="str">
        <f>"RNF43"</f>
        <v>RNF43</v>
      </c>
      <c r="I4981" s="3" t="str">
        <f>"protein_coding"</f>
        <v>protein_coding</v>
      </c>
    </row>
    <row r="4982" spans="1:9" x14ac:dyDescent="0.2">
      <c r="A4982" s="3" t="str">
        <f>"ENSG00000108389.9"</f>
        <v>ENSG00000108389.9</v>
      </c>
      <c r="B4982" s="3">
        <v>2659.7936311213898</v>
      </c>
      <c r="C4982" s="3">
        <v>-1.58801623800978</v>
      </c>
      <c r="D4982" s="3">
        <v>0.188026860863996</v>
      </c>
      <c r="E4982" s="3">
        <v>-8.4456881889786093</v>
      </c>
      <c r="F4982" s="4">
        <v>3.0225948512054199E-17</v>
      </c>
      <c r="G4982" s="4">
        <v>9.2121523390150101E-16</v>
      </c>
      <c r="H4982" s="3" t="str">
        <f>"MTMR4"</f>
        <v>MTMR4</v>
      </c>
      <c r="I4982" s="3" t="str">
        <f>"protein_coding"</f>
        <v>protein_coding</v>
      </c>
    </row>
    <row r="4983" spans="1:9" x14ac:dyDescent="0.2">
      <c r="A4983" s="3" t="str">
        <f>"ENSG00000264672.5"</f>
        <v>ENSG00000264672.5</v>
      </c>
      <c r="B4983" s="3">
        <v>22.535746436764299</v>
      </c>
      <c r="C4983" s="3">
        <v>7.8904514456030697</v>
      </c>
      <c r="D4983" s="3">
        <v>1.59641143876662</v>
      </c>
      <c r="E4983" s="3">
        <v>4.9426177074371296</v>
      </c>
      <c r="F4983" s="4">
        <v>7.7080538382363698E-7</v>
      </c>
      <c r="G4983" s="4">
        <v>6.7228342807434799E-6</v>
      </c>
      <c r="H4983" s="3" t="str">
        <f>"SEPT4-AS1"</f>
        <v>SEPT4-AS1</v>
      </c>
      <c r="I4983" s="3" t="str">
        <f>"antisense"</f>
        <v>antisense</v>
      </c>
    </row>
    <row r="4984" spans="1:9" x14ac:dyDescent="0.2">
      <c r="A4984" s="3" t="str">
        <f>"ENSG00000108387.14"</f>
        <v>ENSG00000108387.14</v>
      </c>
      <c r="B4984" s="3">
        <v>81.057259522922493</v>
      </c>
      <c r="C4984" s="3">
        <v>4.1273009544724797</v>
      </c>
      <c r="D4984" s="3">
        <v>0.51629026933070499</v>
      </c>
      <c r="E4984" s="3">
        <v>7.9941482527317902</v>
      </c>
      <c r="F4984" s="4">
        <v>1.3047268820958399E-15</v>
      </c>
      <c r="G4984" s="4">
        <v>3.4414223965600501E-14</v>
      </c>
      <c r="H4984" s="3" t="str">
        <f>"SEPT4"</f>
        <v>SEPT4</v>
      </c>
      <c r="I4984" s="3" t="str">
        <f>"protein_coding"</f>
        <v>protein_coding</v>
      </c>
    </row>
    <row r="4985" spans="1:9" x14ac:dyDescent="0.2">
      <c r="A4985" s="3" t="str">
        <f>"ENSG00000121101.15"</f>
        <v>ENSG00000121101.15</v>
      </c>
      <c r="B4985" s="3">
        <v>16.8530108092083</v>
      </c>
      <c r="C4985" s="3">
        <v>3.0610098945686501</v>
      </c>
      <c r="D4985" s="3">
        <v>0.93411854573506103</v>
      </c>
      <c r="E4985" s="3">
        <v>3.2768966086204099</v>
      </c>
      <c r="F4985" s="3">
        <v>1.04954794297091E-3</v>
      </c>
      <c r="G4985" s="3">
        <v>4.60055225259465E-3</v>
      </c>
      <c r="H4985" s="3" t="str">
        <f>"TEX14"</f>
        <v>TEX14</v>
      </c>
      <c r="I4985" s="3" t="str">
        <f>"protein_coding"</f>
        <v>protein_coding</v>
      </c>
    </row>
    <row r="4986" spans="1:9" x14ac:dyDescent="0.2">
      <c r="A4986" s="3" t="str">
        <f>"ENSG00000108384.15"</f>
        <v>ENSG00000108384.15</v>
      </c>
      <c r="B4986" s="3">
        <v>2840.6277866543101</v>
      </c>
      <c r="C4986" s="3">
        <v>2.5339709251388798</v>
      </c>
      <c r="D4986" s="3">
        <v>0.18978798307208</v>
      </c>
      <c r="E4986" s="3">
        <v>13.351587830387</v>
      </c>
      <c r="F4986" s="4">
        <v>1.15950733184975E-40</v>
      </c>
      <c r="G4986" s="4">
        <v>1.65408880999529E-38</v>
      </c>
      <c r="H4986" s="3" t="str">
        <f>"RAD51C"</f>
        <v>RAD51C</v>
      </c>
      <c r="I4986" s="3" t="str">
        <f>"protein_coding"</f>
        <v>protein_coding</v>
      </c>
    </row>
    <row r="4987" spans="1:9" x14ac:dyDescent="0.2">
      <c r="A4987" s="3" t="str">
        <f>"ENSG00000175175.6"</f>
        <v>ENSG00000175175.6</v>
      </c>
      <c r="B4987" s="3">
        <v>20.9989717197993</v>
      </c>
      <c r="C4987" s="3">
        <v>3.9360762094199599</v>
      </c>
      <c r="D4987" s="3">
        <v>0.946371440337341</v>
      </c>
      <c r="E4987" s="3">
        <v>4.1591240412083001</v>
      </c>
      <c r="F4987" s="4">
        <v>3.1947038447366402E-5</v>
      </c>
      <c r="G4987" s="3">
        <v>2.0352138334706399E-4</v>
      </c>
      <c r="H4987" s="3" t="str">
        <f>"PPM1E"</f>
        <v>PPM1E</v>
      </c>
      <c r="I4987" s="3" t="str">
        <f>"protein_coding"</f>
        <v>protein_coding</v>
      </c>
    </row>
    <row r="4988" spans="1:9" x14ac:dyDescent="0.2">
      <c r="A4988" s="3" t="str">
        <f>"ENSG00000224738.1"</f>
        <v>ENSG00000224738.1</v>
      </c>
      <c r="B4988" s="3">
        <v>24.479383321221398</v>
      </c>
      <c r="C4988" s="3">
        <v>-1.7326834155612401</v>
      </c>
      <c r="D4988" s="3">
        <v>0.69955123132307795</v>
      </c>
      <c r="E4988" s="3">
        <v>-2.4768499260364099</v>
      </c>
      <c r="F4988" s="3">
        <v>1.32547622217588E-2</v>
      </c>
      <c r="G4988" s="3">
        <v>4.0253288704443002E-2</v>
      </c>
      <c r="H4988" s="3" t="str">
        <f>"AC099850.1"</f>
        <v>AC099850.1</v>
      </c>
      <c r="I4988" s="3" t="str">
        <f>"antisense"</f>
        <v>antisense</v>
      </c>
    </row>
    <row r="4989" spans="1:9" x14ac:dyDescent="0.2">
      <c r="A4989" s="3" t="str">
        <f>"ENSG00000273702.1"</f>
        <v>ENSG00000273702.1</v>
      </c>
      <c r="B4989" s="3">
        <v>75.286735817261402</v>
      </c>
      <c r="C4989" s="3">
        <v>1.02660680832045</v>
      </c>
      <c r="D4989" s="3">
        <v>0.42355806704985899</v>
      </c>
      <c r="E4989" s="3">
        <v>2.4237687537647798</v>
      </c>
      <c r="F4989" s="3">
        <v>1.5360382988431001E-2</v>
      </c>
      <c r="G4989" s="3">
        <v>4.5467067385744603E-2</v>
      </c>
      <c r="H4989" s="3" t="str">
        <f>"AC091271.1"</f>
        <v>AC091271.1</v>
      </c>
      <c r="I4989" s="3" t="str">
        <f>"lincRNA"</f>
        <v>lincRNA</v>
      </c>
    </row>
    <row r="4990" spans="1:9" x14ac:dyDescent="0.2">
      <c r="A4990" s="3" t="str">
        <f>"ENSG00000062716.13"</f>
        <v>ENSG00000062716.13</v>
      </c>
      <c r="B4990" s="3">
        <v>16317.338251527401</v>
      </c>
      <c r="C4990" s="3">
        <v>1.18463410796059</v>
      </c>
      <c r="D4990" s="3">
        <v>0.18661123129968099</v>
      </c>
      <c r="E4990" s="3">
        <v>6.3481393896285701</v>
      </c>
      <c r="F4990" s="4">
        <v>2.1793458039899101E-10</v>
      </c>
      <c r="G4990" s="4">
        <v>3.2143097475366199E-9</v>
      </c>
      <c r="H4990" s="3" t="str">
        <f>"VMP1"</f>
        <v>VMP1</v>
      </c>
      <c r="I4990" s="3" t="str">
        <f>"protein_coding"</f>
        <v>protein_coding</v>
      </c>
    </row>
    <row r="4991" spans="1:9" x14ac:dyDescent="0.2">
      <c r="A4991" s="3" t="str">
        <f>"ENSG00000167434.10"</f>
        <v>ENSG00000167434.10</v>
      </c>
      <c r="B4991" s="3">
        <v>16.7351490169393</v>
      </c>
      <c r="C4991" s="3">
        <v>5.9988763304945696</v>
      </c>
      <c r="D4991" s="3">
        <v>1.63473614309778</v>
      </c>
      <c r="E4991" s="3">
        <v>3.66962971720125</v>
      </c>
      <c r="F4991" s="3">
        <v>2.4290205672839401E-4</v>
      </c>
      <c r="G4991" s="3">
        <v>1.2628033466282301E-3</v>
      </c>
      <c r="H4991" s="3" t="str">
        <f>"CA4"</f>
        <v>CA4</v>
      </c>
      <c r="I4991" s="3" t="str">
        <f>"protein_coding"</f>
        <v>protein_coding</v>
      </c>
    </row>
    <row r="4992" spans="1:9" x14ac:dyDescent="0.2">
      <c r="A4992" s="3" t="str">
        <f>"ENSG00000259349.1"</f>
        <v>ENSG00000259349.1</v>
      </c>
      <c r="B4992" s="3">
        <v>56.6108000642893</v>
      </c>
      <c r="C4992" s="3">
        <v>2.6584244049117101</v>
      </c>
      <c r="D4992" s="3">
        <v>0.51814973015332799</v>
      </c>
      <c r="E4992" s="3">
        <v>5.13061042051502</v>
      </c>
      <c r="F4992" s="4">
        <v>2.88804082959057E-7</v>
      </c>
      <c r="G4992" s="4">
        <v>2.7106596101913299E-6</v>
      </c>
      <c r="H4992" s="3" t="str">
        <f>"AC011921.1"</f>
        <v>AC011921.1</v>
      </c>
      <c r="I4992" s="3" t="str">
        <f>"antisense"</f>
        <v>antisense</v>
      </c>
    </row>
    <row r="4993" spans="1:9" x14ac:dyDescent="0.2">
      <c r="A4993" s="3" t="str">
        <f>"ENSG00000170836.11"</f>
        <v>ENSG00000170836.11</v>
      </c>
      <c r="B4993" s="3">
        <v>3236.6869174700901</v>
      </c>
      <c r="C4993" s="3">
        <v>1.6607941099922201</v>
      </c>
      <c r="D4993" s="3">
        <v>0.18155253463221999</v>
      </c>
      <c r="E4993" s="3">
        <v>9.1477329873503201</v>
      </c>
      <c r="F4993" s="4">
        <v>5.8140794398968005E-20</v>
      </c>
      <c r="G4993" s="4">
        <v>2.2312144013925101E-18</v>
      </c>
      <c r="H4993" s="3" t="str">
        <f>"PPM1D"</f>
        <v>PPM1D</v>
      </c>
      <c r="I4993" s="3" t="str">
        <f>"protein_coding"</f>
        <v>protein_coding</v>
      </c>
    </row>
    <row r="4994" spans="1:9" x14ac:dyDescent="0.2">
      <c r="A4994" s="3" t="str">
        <f>"ENSG00000267280.5"</f>
        <v>ENSG00000267280.5</v>
      </c>
      <c r="B4994" s="3">
        <v>297.07173128338798</v>
      </c>
      <c r="C4994" s="3">
        <v>-1.8866315777232801</v>
      </c>
      <c r="D4994" s="3">
        <v>0.26135944976974801</v>
      </c>
      <c r="E4994" s="3">
        <v>-7.2185320997016396</v>
      </c>
      <c r="F4994" s="4">
        <v>5.2551733411831001E-13</v>
      </c>
      <c r="G4994" s="4">
        <v>1.0839342015686301E-11</v>
      </c>
      <c r="H4994" s="3" t="str">
        <f>"TBX2-AS1"</f>
        <v>TBX2-AS1</v>
      </c>
      <c r="I4994" s="3" t="str">
        <f>"antisense"</f>
        <v>antisense</v>
      </c>
    </row>
    <row r="4995" spans="1:9" x14ac:dyDescent="0.2">
      <c r="A4995" s="3" t="str">
        <f>"ENSG00000121068.14"</f>
        <v>ENSG00000121068.14</v>
      </c>
      <c r="B4995" s="3">
        <v>916.24236103512806</v>
      </c>
      <c r="C4995" s="3">
        <v>-1.6889385582199801</v>
      </c>
      <c r="D4995" s="3">
        <v>0.20064456083200999</v>
      </c>
      <c r="E4995" s="3">
        <v>-8.4175646287967307</v>
      </c>
      <c r="F4995" s="4">
        <v>3.8439123211364602E-17</v>
      </c>
      <c r="G4995" s="4">
        <v>1.1572936907624899E-15</v>
      </c>
      <c r="H4995" s="3" t="str">
        <f>"TBX2"</f>
        <v>TBX2</v>
      </c>
      <c r="I4995" s="3" t="str">
        <f>"protein_coding"</f>
        <v>protein_coding</v>
      </c>
    </row>
    <row r="4996" spans="1:9" x14ac:dyDescent="0.2">
      <c r="A4996" s="3" t="str">
        <f>"ENSG00000187013.4"</f>
        <v>ENSG00000187013.4</v>
      </c>
      <c r="B4996" s="3">
        <v>30.3244458659751</v>
      </c>
      <c r="C4996" s="3">
        <v>2.2884757569134502</v>
      </c>
      <c r="D4996" s="3">
        <v>0.66185243604680999</v>
      </c>
      <c r="E4996" s="3">
        <v>3.4576827586860999</v>
      </c>
      <c r="F4996" s="3">
        <v>5.4484255341180599E-4</v>
      </c>
      <c r="G4996" s="3">
        <v>2.5853927295039201E-3</v>
      </c>
      <c r="H4996" s="3" t="str">
        <f>"C17orf82"</f>
        <v>C17orf82</v>
      </c>
      <c r="I4996" s="3" t="str">
        <f>"lincRNA"</f>
        <v>lincRNA</v>
      </c>
    </row>
    <row r="4997" spans="1:9" x14ac:dyDescent="0.2">
      <c r="A4997" s="3" t="str">
        <f>"ENSG00000121075.10"</f>
        <v>ENSG00000121075.10</v>
      </c>
      <c r="B4997" s="3">
        <v>46.043064117309399</v>
      </c>
      <c r="C4997" s="3">
        <v>-2.5864583918750199</v>
      </c>
      <c r="D4997" s="3">
        <v>0.55746539580226595</v>
      </c>
      <c r="E4997" s="3">
        <v>-4.63967523607948</v>
      </c>
      <c r="F4997" s="4">
        <v>3.4895712923042801E-6</v>
      </c>
      <c r="G4997" s="4">
        <v>2.7173577879798401E-5</v>
      </c>
      <c r="H4997" s="3" t="str">
        <f>"TBX4"</f>
        <v>TBX4</v>
      </c>
      <c r="I4997" s="3" t="str">
        <f t="shared" ref="I4997:I5007" si="228">"protein_coding"</f>
        <v>protein_coding</v>
      </c>
    </row>
    <row r="4998" spans="1:9" x14ac:dyDescent="0.2">
      <c r="A4998" s="3" t="str">
        <f>"ENSG00000172421.9"</f>
        <v>ENSG00000172421.9</v>
      </c>
      <c r="B4998" s="3">
        <v>8.1832942445817807</v>
      </c>
      <c r="C4998" s="3">
        <v>6.4270843652397902</v>
      </c>
      <c r="D4998" s="3">
        <v>1.8297971749098501</v>
      </c>
      <c r="E4998" s="3">
        <v>3.5124572566664098</v>
      </c>
      <c r="F4998" s="3">
        <v>4.4398341346852998E-4</v>
      </c>
      <c r="G4998" s="3">
        <v>2.1563665003167601E-3</v>
      </c>
      <c r="H4998" s="3" t="str">
        <f>"EFCAB3"</f>
        <v>EFCAB3</v>
      </c>
      <c r="I4998" s="3" t="str">
        <f t="shared" si="228"/>
        <v>protein_coding</v>
      </c>
    </row>
    <row r="4999" spans="1:9" x14ac:dyDescent="0.2">
      <c r="A4999" s="3" t="str">
        <f>"ENSG00000011028.14"</f>
        <v>ENSG00000011028.14</v>
      </c>
      <c r="B4999" s="3">
        <v>219.27915874649599</v>
      </c>
      <c r="C4999" s="3">
        <v>6.5457449889214496</v>
      </c>
      <c r="D4999" s="3">
        <v>0.55277072608651801</v>
      </c>
      <c r="E4999" s="3">
        <v>11.841699786209199</v>
      </c>
      <c r="F4999" s="4">
        <v>2.3758827600876001E-32</v>
      </c>
      <c r="G4999" s="4">
        <v>2.1155450184348601E-30</v>
      </c>
      <c r="H4999" s="3" t="str">
        <f>"AC080038.1"</f>
        <v>AC080038.1</v>
      </c>
      <c r="I4999" s="3" t="str">
        <f t="shared" si="228"/>
        <v>protein_coding</v>
      </c>
    </row>
    <row r="5000" spans="1:9" x14ac:dyDescent="0.2">
      <c r="A5000" s="3" t="str">
        <f>"ENSG00000170921.15"</f>
        <v>ENSG00000170921.15</v>
      </c>
      <c r="B5000" s="3">
        <v>170.633552489702</v>
      </c>
      <c r="C5000" s="3">
        <v>1.9067882931083999</v>
      </c>
      <c r="D5000" s="3">
        <v>0.3198568971147</v>
      </c>
      <c r="E5000" s="3">
        <v>5.9613793240313599</v>
      </c>
      <c r="F5000" s="4">
        <v>2.5011759639130702E-9</v>
      </c>
      <c r="G5000" s="4">
        <v>3.2130854072955899E-8</v>
      </c>
      <c r="H5000" s="3" t="str">
        <f>"TANC2"</f>
        <v>TANC2</v>
      </c>
      <c r="I5000" s="3" t="str">
        <f t="shared" si="228"/>
        <v>protein_coding</v>
      </c>
    </row>
    <row r="5001" spans="1:9" x14ac:dyDescent="0.2">
      <c r="A5001" s="3" t="str">
        <f>"ENSG00000173826.14"</f>
        <v>ENSG00000173826.14</v>
      </c>
      <c r="B5001" s="3">
        <v>10.502239801828701</v>
      </c>
      <c r="C5001" s="3">
        <v>5.3068862765966802</v>
      </c>
      <c r="D5001" s="3">
        <v>1.73268681502428</v>
      </c>
      <c r="E5001" s="3">
        <v>3.0628075602470202</v>
      </c>
      <c r="F5001" s="3">
        <v>2.1927101931774199E-3</v>
      </c>
      <c r="G5001" s="3">
        <v>8.7231383608563692E-3</v>
      </c>
      <c r="H5001" s="3" t="str">
        <f>"KCNH6"</f>
        <v>KCNH6</v>
      </c>
      <c r="I5001" s="3" t="str">
        <f t="shared" si="228"/>
        <v>protein_coding</v>
      </c>
    </row>
    <row r="5002" spans="1:9" x14ac:dyDescent="0.2">
      <c r="A5002" s="3" t="str">
        <f>"ENSG00000266173.7"</f>
        <v>ENSG00000266173.7</v>
      </c>
      <c r="B5002" s="3">
        <v>459.21595949419799</v>
      </c>
      <c r="C5002" s="3">
        <v>1.3590045799400901</v>
      </c>
      <c r="D5002" s="3">
        <v>0.25417602149371599</v>
      </c>
      <c r="E5002" s="3">
        <v>5.3467064751176396</v>
      </c>
      <c r="F5002" s="4">
        <v>8.9569092886960706E-8</v>
      </c>
      <c r="G5002" s="4">
        <v>9.1404085164457599E-7</v>
      </c>
      <c r="H5002" s="3" t="str">
        <f>"STRADA"</f>
        <v>STRADA</v>
      </c>
      <c r="I5002" s="3" t="str">
        <f t="shared" si="228"/>
        <v>protein_coding</v>
      </c>
    </row>
    <row r="5003" spans="1:9" x14ac:dyDescent="0.2">
      <c r="A5003" s="3" t="str">
        <f>"ENSG00000136490.9"</f>
        <v>ENSG00000136490.9</v>
      </c>
      <c r="B5003" s="3">
        <v>953.36447533253204</v>
      </c>
      <c r="C5003" s="3">
        <v>1.18161782529255</v>
      </c>
      <c r="D5003" s="3">
        <v>0.23497783398685401</v>
      </c>
      <c r="E5003" s="3">
        <v>5.02863527697109</v>
      </c>
      <c r="F5003" s="4">
        <v>4.9398295835542896E-7</v>
      </c>
      <c r="G5003" s="4">
        <v>4.4686433155080999E-6</v>
      </c>
      <c r="H5003" s="3" t="str">
        <f>"LIMD2"</f>
        <v>LIMD2</v>
      </c>
      <c r="I5003" s="3" t="str">
        <f t="shared" si="228"/>
        <v>protein_coding</v>
      </c>
    </row>
    <row r="5004" spans="1:9" x14ac:dyDescent="0.2">
      <c r="A5004" s="3" t="str">
        <f>"ENSG00000108604.15"</f>
        <v>ENSG00000108604.15</v>
      </c>
      <c r="B5004" s="3">
        <v>2778.2839469043502</v>
      </c>
      <c r="C5004" s="3">
        <v>-1.1417189199019899</v>
      </c>
      <c r="D5004" s="3">
        <v>0.201605587587148</v>
      </c>
      <c r="E5004" s="3">
        <v>-5.6631313326494999</v>
      </c>
      <c r="F5004" s="4">
        <v>1.4863530977741199E-8</v>
      </c>
      <c r="G5004" s="4">
        <v>1.72628571419657E-7</v>
      </c>
      <c r="H5004" s="3" t="str">
        <f>"SMARCD2"</f>
        <v>SMARCD2</v>
      </c>
      <c r="I5004" s="3" t="str">
        <f t="shared" si="228"/>
        <v>protein_coding</v>
      </c>
    </row>
    <row r="5005" spans="1:9" x14ac:dyDescent="0.2">
      <c r="A5005" s="3" t="str">
        <f>"ENSG00000136487.18"</f>
        <v>ENSG00000136487.18</v>
      </c>
      <c r="B5005" s="3">
        <v>30.863993100573001</v>
      </c>
      <c r="C5005" s="3">
        <v>8.3430934151193803</v>
      </c>
      <c r="D5005" s="3">
        <v>1.5606486480525701</v>
      </c>
      <c r="E5005" s="3">
        <v>5.3459139733534196</v>
      </c>
      <c r="F5005" s="4">
        <v>8.9961931216557006E-8</v>
      </c>
      <c r="G5005" s="4">
        <v>9.17706005188142E-7</v>
      </c>
      <c r="H5005" s="3" t="str">
        <f>"GH2"</f>
        <v>GH2</v>
      </c>
      <c r="I5005" s="3" t="str">
        <f t="shared" si="228"/>
        <v>protein_coding</v>
      </c>
    </row>
    <row r="5006" spans="1:9" x14ac:dyDescent="0.2">
      <c r="A5006" s="3" t="str">
        <f>"ENSG00000007312.12"</f>
        <v>ENSG00000007312.12</v>
      </c>
      <c r="B5006" s="3">
        <v>45.149980663887902</v>
      </c>
      <c r="C5006" s="3">
        <v>8.8940153316261608</v>
      </c>
      <c r="D5006" s="3">
        <v>1.52788137925815</v>
      </c>
      <c r="E5006" s="3">
        <v>5.8211425653636697</v>
      </c>
      <c r="F5006" s="4">
        <v>5.8446687180165602E-9</v>
      </c>
      <c r="G5006" s="4">
        <v>7.1572893734740305E-8</v>
      </c>
      <c r="H5006" s="3" t="str">
        <f>"CD79B"</f>
        <v>CD79B</v>
      </c>
      <c r="I5006" s="3" t="str">
        <f t="shared" si="228"/>
        <v>protein_coding</v>
      </c>
    </row>
    <row r="5007" spans="1:9" x14ac:dyDescent="0.2">
      <c r="A5007" s="3" t="str">
        <f>"ENSG00000007314.12"</f>
        <v>ENSG00000007314.12</v>
      </c>
      <c r="B5007" s="3">
        <v>33.503530348312403</v>
      </c>
      <c r="C5007" s="3">
        <v>6.0010450821472903</v>
      </c>
      <c r="D5007" s="3">
        <v>1.16856306751227</v>
      </c>
      <c r="E5007" s="3">
        <v>5.13540539572484</v>
      </c>
      <c r="F5007" s="4">
        <v>2.8153647699401799E-7</v>
      </c>
      <c r="G5007" s="4">
        <v>2.6442690067755898E-6</v>
      </c>
      <c r="H5007" s="3" t="str">
        <f>"SCN4A"</f>
        <v>SCN4A</v>
      </c>
      <c r="I5007" s="3" t="str">
        <f t="shared" si="228"/>
        <v>protein_coding</v>
      </c>
    </row>
    <row r="5008" spans="1:9" x14ac:dyDescent="0.2">
      <c r="A5008" s="3" t="str">
        <f>"ENSG00000263489.1"</f>
        <v>ENSG00000263489.1</v>
      </c>
      <c r="B5008" s="3">
        <v>3.8893317554809199</v>
      </c>
      <c r="C5008" s="3">
        <v>5.35263968609567</v>
      </c>
      <c r="D5008" s="3">
        <v>2.1805139762792298</v>
      </c>
      <c r="E5008" s="3">
        <v>2.4547605492670499</v>
      </c>
      <c r="F5008" s="3">
        <v>1.40978459500909E-2</v>
      </c>
      <c r="G5008" s="3">
        <v>4.2402473628670397E-2</v>
      </c>
      <c r="H5008" s="3" t="str">
        <f>"AC127029.2"</f>
        <v>AC127029.2</v>
      </c>
      <c r="I5008" s="3" t="str">
        <f>"lincRNA"</f>
        <v>lincRNA</v>
      </c>
    </row>
    <row r="5009" spans="1:9" x14ac:dyDescent="0.2">
      <c r="A5009" s="3" t="str">
        <f>"ENSG00000224383.7"</f>
        <v>ENSG00000224383.7</v>
      </c>
      <c r="B5009" s="3">
        <v>12.2050564162186</v>
      </c>
      <c r="C5009" s="3">
        <v>3.07119179070988</v>
      </c>
      <c r="D5009" s="3">
        <v>1.1118274639425401</v>
      </c>
      <c r="E5009" s="3">
        <v>2.7622917136975902</v>
      </c>
      <c r="F5009" s="3">
        <v>5.7397170691777097E-3</v>
      </c>
      <c r="G5009" s="3">
        <v>1.9979122250218799E-2</v>
      </c>
      <c r="H5009" s="3" t="str">
        <f>"PRR29"</f>
        <v>PRR29</v>
      </c>
      <c r="I5009" s="3" t="str">
        <f>"protein_coding"</f>
        <v>protein_coding</v>
      </c>
    </row>
    <row r="5010" spans="1:9" x14ac:dyDescent="0.2">
      <c r="A5010" s="3" t="str">
        <f>"ENSG00000266402.3"</f>
        <v>ENSG00000266402.3</v>
      </c>
      <c r="B5010" s="3">
        <v>48.038114187998403</v>
      </c>
      <c r="C5010" s="3">
        <v>-1.8652350542968801</v>
      </c>
      <c r="D5010" s="3">
        <v>0.52214852610953399</v>
      </c>
      <c r="E5010" s="3">
        <v>-3.5722308137007102</v>
      </c>
      <c r="F5010" s="3">
        <v>3.5395323443984498E-4</v>
      </c>
      <c r="G5010" s="3">
        <v>1.7650092770792E-3</v>
      </c>
      <c r="H5010" s="3" t="str">
        <f>"SNHG25"</f>
        <v>SNHG25</v>
      </c>
      <c r="I5010" s="3" t="str">
        <f>"lincRNA"</f>
        <v>lincRNA</v>
      </c>
    </row>
    <row r="5011" spans="1:9" x14ac:dyDescent="0.2">
      <c r="A5011" s="3" t="str">
        <f>"ENSG00000199753.1"</f>
        <v>ENSG00000199753.1</v>
      </c>
      <c r="B5011" s="3">
        <v>101.298918168668</v>
      </c>
      <c r="C5011" s="3">
        <v>-1.52349055863641</v>
      </c>
      <c r="D5011" s="3">
        <v>0.41056473480794498</v>
      </c>
      <c r="E5011" s="3">
        <v>-3.7107194784985</v>
      </c>
      <c r="F5011" s="3">
        <v>2.0667102433711399E-4</v>
      </c>
      <c r="G5011" s="3">
        <v>1.09919293384996E-3</v>
      </c>
      <c r="H5011" s="3" t="str">
        <f>"SNORD104"</f>
        <v>SNORD104</v>
      </c>
      <c r="I5011" s="3" t="str">
        <f>"snoRNA"</f>
        <v>snoRNA</v>
      </c>
    </row>
    <row r="5012" spans="1:9" x14ac:dyDescent="0.2">
      <c r="A5012" s="3" t="str">
        <f>"ENSG00000261371.6"</f>
        <v>ENSG00000261371.6</v>
      </c>
      <c r="B5012" s="3">
        <v>66.292533317201901</v>
      </c>
      <c r="C5012" s="3">
        <v>-1.2795227544498899</v>
      </c>
      <c r="D5012" s="3">
        <v>0.463972257433372</v>
      </c>
      <c r="E5012" s="3">
        <v>-2.7577570295431499</v>
      </c>
      <c r="F5012" s="3">
        <v>5.8199438805511703E-3</v>
      </c>
      <c r="G5012" s="3">
        <v>2.0193048632799901E-2</v>
      </c>
      <c r="H5012" s="3" t="str">
        <f>"PECAM1"</f>
        <v>PECAM1</v>
      </c>
      <c r="I5012" s="3" t="str">
        <f>"protein_coding"</f>
        <v>protein_coding</v>
      </c>
    </row>
    <row r="5013" spans="1:9" x14ac:dyDescent="0.2">
      <c r="A5013" s="3" t="str">
        <f>"ENSG00000258890.7"</f>
        <v>ENSG00000258890.7</v>
      </c>
      <c r="B5013" s="3">
        <v>3261.8811912848701</v>
      </c>
      <c r="C5013" s="3">
        <v>1.09164054166596</v>
      </c>
      <c r="D5013" s="3">
        <v>0.20530552119381301</v>
      </c>
      <c r="E5013" s="3">
        <v>5.31715141082557</v>
      </c>
      <c r="F5013" s="4">
        <v>1.05404355516348E-7</v>
      </c>
      <c r="G5013" s="4">
        <v>1.06724358036193E-6</v>
      </c>
      <c r="H5013" s="3" t="str">
        <f>"CEP95"</f>
        <v>CEP95</v>
      </c>
      <c r="I5013" s="3" t="str">
        <f>"protein_coding"</f>
        <v>protein_coding</v>
      </c>
    </row>
    <row r="5014" spans="1:9" x14ac:dyDescent="0.2">
      <c r="A5014" s="3" t="str">
        <f>"ENSG00000214174.8"</f>
        <v>ENSG00000214174.8</v>
      </c>
      <c r="B5014" s="3">
        <v>309.78193903015</v>
      </c>
      <c r="C5014" s="3">
        <v>1.7652264372087201</v>
      </c>
      <c r="D5014" s="3">
        <v>0.30412412632796698</v>
      </c>
      <c r="E5014" s="3">
        <v>5.8042959581085798</v>
      </c>
      <c r="F5014" s="4">
        <v>6.4637018852680499E-9</v>
      </c>
      <c r="G5014" s="4">
        <v>7.8799322267516199E-8</v>
      </c>
      <c r="H5014" s="3" t="str">
        <f>"AMZ2P1"</f>
        <v>AMZ2P1</v>
      </c>
      <c r="I5014" s="3" t="str">
        <f>"transcribed_unprocessed_pseudogene"</f>
        <v>transcribed_unprocessed_pseudogene</v>
      </c>
    </row>
    <row r="5015" spans="1:9" x14ac:dyDescent="0.2">
      <c r="A5015" s="3" t="str">
        <f>"ENSG00000168646.13"</f>
        <v>ENSG00000168646.13</v>
      </c>
      <c r="B5015" s="3">
        <v>4636.4057339024603</v>
      </c>
      <c r="C5015" s="3">
        <v>-1.1516066564030001</v>
      </c>
      <c r="D5015" s="3">
        <v>0.17321349876934</v>
      </c>
      <c r="E5015" s="3">
        <v>-6.6484810051469703</v>
      </c>
      <c r="F5015" s="4">
        <v>2.9613318803046698E-11</v>
      </c>
      <c r="G5015" s="4">
        <v>4.9623253224268904E-10</v>
      </c>
      <c r="H5015" s="3" t="str">
        <f>"AXIN2"</f>
        <v>AXIN2</v>
      </c>
      <c r="I5015" s="3" t="str">
        <f t="shared" ref="I5015:I5020" si="229">"protein_coding"</f>
        <v>protein_coding</v>
      </c>
    </row>
    <row r="5016" spans="1:9" x14ac:dyDescent="0.2">
      <c r="A5016" s="3" t="str">
        <f>"ENSG00000091583.11"</f>
        <v>ENSG00000091583.11</v>
      </c>
      <c r="B5016" s="3">
        <v>12323.1723613633</v>
      </c>
      <c r="C5016" s="3">
        <v>-1.8679876249229601</v>
      </c>
      <c r="D5016" s="3">
        <v>0.20080130703761601</v>
      </c>
      <c r="E5016" s="3">
        <v>-9.3026666632854003</v>
      </c>
      <c r="F5016" s="4">
        <v>1.3696657011314701E-20</v>
      </c>
      <c r="G5016" s="4">
        <v>5.6034956995089004E-19</v>
      </c>
      <c r="H5016" s="3" t="str">
        <f>"APOH"</f>
        <v>APOH</v>
      </c>
      <c r="I5016" s="3" t="str">
        <f t="shared" si="229"/>
        <v>protein_coding</v>
      </c>
    </row>
    <row r="5017" spans="1:9" x14ac:dyDescent="0.2">
      <c r="A5017" s="3" t="str">
        <f>"ENSG00000154229.12"</f>
        <v>ENSG00000154229.12</v>
      </c>
      <c r="B5017" s="3">
        <v>3959.3841991271802</v>
      </c>
      <c r="C5017" s="3">
        <v>-1.2342364290685499</v>
      </c>
      <c r="D5017" s="3">
        <v>0.17328121330929999</v>
      </c>
      <c r="E5017" s="3">
        <v>-7.1227365361615496</v>
      </c>
      <c r="F5017" s="4">
        <v>1.0580495503903499E-12</v>
      </c>
      <c r="G5017" s="4">
        <v>2.0904642605470098E-11</v>
      </c>
      <c r="H5017" s="3" t="str">
        <f>"PRKCA"</f>
        <v>PRKCA</v>
      </c>
      <c r="I5017" s="3" t="str">
        <f t="shared" si="229"/>
        <v>protein_coding</v>
      </c>
    </row>
    <row r="5018" spans="1:9" x14ac:dyDescent="0.2">
      <c r="A5018" s="3" t="str">
        <f>"ENSG00000075461.6"</f>
        <v>ENSG00000075461.6</v>
      </c>
      <c r="B5018" s="3">
        <v>24.987941026841099</v>
      </c>
      <c r="C5018" s="3">
        <v>-3.4501876715857298</v>
      </c>
      <c r="D5018" s="3">
        <v>0.81575068084285995</v>
      </c>
      <c r="E5018" s="3">
        <v>-4.2294634287290798</v>
      </c>
      <c r="F5018" s="4">
        <v>2.3424935344955099E-5</v>
      </c>
      <c r="G5018" s="3">
        <v>1.5350149431072501E-4</v>
      </c>
      <c r="H5018" s="3" t="str">
        <f>"CACNG4"</f>
        <v>CACNG4</v>
      </c>
      <c r="I5018" s="3" t="str">
        <f t="shared" si="229"/>
        <v>protein_coding</v>
      </c>
    </row>
    <row r="5019" spans="1:9" x14ac:dyDescent="0.2">
      <c r="A5019" s="3" t="str">
        <f>"ENSG00000108878.5"</f>
        <v>ENSG00000108878.5</v>
      </c>
      <c r="B5019" s="3">
        <v>23.4174841136177</v>
      </c>
      <c r="C5019" s="3">
        <v>7.9461935006929201</v>
      </c>
      <c r="D5019" s="3">
        <v>1.5913802858833901</v>
      </c>
      <c r="E5019" s="3">
        <v>4.9932712948507501</v>
      </c>
      <c r="F5019" s="4">
        <v>5.9365074939034305E-7</v>
      </c>
      <c r="G5019" s="4">
        <v>5.2817501951359097E-6</v>
      </c>
      <c r="H5019" s="3" t="str">
        <f>"CACNG1"</f>
        <v>CACNG1</v>
      </c>
      <c r="I5019" s="3" t="str">
        <f t="shared" si="229"/>
        <v>protein_coding</v>
      </c>
    </row>
    <row r="5020" spans="1:9" x14ac:dyDescent="0.2">
      <c r="A5020" s="3" t="str">
        <f>"ENSG00000154217.15"</f>
        <v>ENSG00000154217.15</v>
      </c>
      <c r="B5020" s="3">
        <v>400.86800319287801</v>
      </c>
      <c r="C5020" s="3">
        <v>1.05991465902411</v>
      </c>
      <c r="D5020" s="3">
        <v>0.24234758262091399</v>
      </c>
      <c r="E5020" s="3">
        <v>4.3735309738246997</v>
      </c>
      <c r="F5020" s="4">
        <v>1.2225288999385099E-5</v>
      </c>
      <c r="G5020" s="4">
        <v>8.5170659515787996E-5</v>
      </c>
      <c r="H5020" s="3" t="str">
        <f>"PITPNC1"</f>
        <v>PITPNC1</v>
      </c>
      <c r="I5020" s="3" t="str">
        <f t="shared" si="229"/>
        <v>protein_coding</v>
      </c>
    </row>
    <row r="5021" spans="1:9" x14ac:dyDescent="0.2">
      <c r="A5021" s="3" t="str">
        <f>"ENSG00000237854.3"</f>
        <v>ENSG00000237854.3</v>
      </c>
      <c r="B5021" s="3">
        <v>225.92003337662501</v>
      </c>
      <c r="C5021" s="3">
        <v>1.08009297587724</v>
      </c>
      <c r="D5021" s="3">
        <v>0.27676221858584399</v>
      </c>
      <c r="E5021" s="3">
        <v>3.9026026796436599</v>
      </c>
      <c r="F5021" s="4">
        <v>9.5163846532724693E-5</v>
      </c>
      <c r="G5021" s="3">
        <v>5.4760915025916601E-4</v>
      </c>
      <c r="H5021" s="3" t="str">
        <f>"LINC00674"</f>
        <v>LINC00674</v>
      </c>
      <c r="I5021" s="3" t="str">
        <f>"transcribed_unprocessed_pseudogene"</f>
        <v>transcribed_unprocessed_pseudogene</v>
      </c>
    </row>
    <row r="5022" spans="1:9" x14ac:dyDescent="0.2">
      <c r="A5022" s="3" t="str">
        <f>"ENSG00000267023.5"</f>
        <v>ENSG00000267023.5</v>
      </c>
      <c r="B5022" s="3">
        <v>6.3503484716344403</v>
      </c>
      <c r="C5022" s="3">
        <v>6.0642835002744899</v>
      </c>
      <c r="D5022" s="3">
        <v>1.92227420182898</v>
      </c>
      <c r="E5022" s="3">
        <v>3.1547442578715001</v>
      </c>
      <c r="F5022" s="3">
        <v>1.6063884891584701E-3</v>
      </c>
      <c r="G5022" s="3">
        <v>6.6711274446122496E-3</v>
      </c>
      <c r="H5022" s="3" t="str">
        <f>"LRRC37A16P"</f>
        <v>LRRC37A16P</v>
      </c>
      <c r="I5022" s="3" t="str">
        <f>"transcribed_unprocessed_pseudogene"</f>
        <v>transcribed_unprocessed_pseudogene</v>
      </c>
    </row>
    <row r="5023" spans="1:9" x14ac:dyDescent="0.2">
      <c r="A5023" s="3" t="str">
        <f>"ENSG00000278730.1"</f>
        <v>ENSG00000278730.1</v>
      </c>
      <c r="B5023" s="3">
        <v>1366.7928547307999</v>
      </c>
      <c r="C5023" s="3">
        <v>1.1747332305787499</v>
      </c>
      <c r="D5023" s="3">
        <v>0.18828025739134099</v>
      </c>
      <c r="E5023" s="3">
        <v>6.2392799269286003</v>
      </c>
      <c r="F5023" s="4">
        <v>4.3958972592189599E-10</v>
      </c>
      <c r="G5023" s="4">
        <v>6.2253125063377899E-9</v>
      </c>
      <c r="H5023" s="3" t="str">
        <f>"AC005332.6"</f>
        <v>AC005332.6</v>
      </c>
      <c r="I5023" s="3" t="str">
        <f>"lincRNA"</f>
        <v>lincRNA</v>
      </c>
    </row>
    <row r="5024" spans="1:9" x14ac:dyDescent="0.2">
      <c r="A5024" s="3" t="str">
        <f>"ENSG00000274561.1"</f>
        <v>ENSG00000274561.1</v>
      </c>
      <c r="B5024" s="3">
        <v>119.43840802963101</v>
      </c>
      <c r="C5024" s="3">
        <v>1.3408237461855299</v>
      </c>
      <c r="D5024" s="3">
        <v>0.38657178679476301</v>
      </c>
      <c r="E5024" s="3">
        <v>3.46849871611917</v>
      </c>
      <c r="F5024" s="3">
        <v>5.2337502761144695E-4</v>
      </c>
      <c r="G5024" s="3">
        <v>2.4948214445992098E-3</v>
      </c>
      <c r="H5024" s="3" t="str">
        <f>"AC005332.3"</f>
        <v>AC005332.3</v>
      </c>
      <c r="I5024" s="3" t="str">
        <f>"lincRNA"</f>
        <v>lincRNA</v>
      </c>
    </row>
    <row r="5025" spans="1:9" x14ac:dyDescent="0.2">
      <c r="A5025" s="3" t="str">
        <f>"ENSG00000267472.1"</f>
        <v>ENSG00000267472.1</v>
      </c>
      <c r="B5025" s="3">
        <v>27.0139052402718</v>
      </c>
      <c r="C5025" s="3">
        <v>8.1520765760489606</v>
      </c>
      <c r="D5025" s="3">
        <v>1.5733998141160199</v>
      </c>
      <c r="E5025" s="3">
        <v>5.1811856737945803</v>
      </c>
      <c r="F5025" s="4">
        <v>2.20479883281317E-7</v>
      </c>
      <c r="G5025" s="4">
        <v>2.1190177706405799E-6</v>
      </c>
      <c r="H5025" s="3" t="str">
        <f>"ARHGAP27P2"</f>
        <v>ARHGAP27P2</v>
      </c>
      <c r="I5025" s="3" t="str">
        <f>"processed_pseudogene"</f>
        <v>processed_pseudogene</v>
      </c>
    </row>
    <row r="5026" spans="1:9" x14ac:dyDescent="0.2">
      <c r="A5026" s="3" t="str">
        <f>"ENSG00000196704.12"</f>
        <v>ENSG00000196704.12</v>
      </c>
      <c r="B5026" s="3">
        <v>2149.5229555245601</v>
      </c>
      <c r="C5026" s="3">
        <v>1.47048307707605</v>
      </c>
      <c r="D5026" s="3">
        <v>0.21117246155522901</v>
      </c>
      <c r="E5026" s="3">
        <v>6.9634225326841204</v>
      </c>
      <c r="F5026" s="4">
        <v>3.3210381780617399E-12</v>
      </c>
      <c r="G5026" s="4">
        <v>6.1556685195678994E-11</v>
      </c>
      <c r="H5026" s="3" t="str">
        <f>"AMZ2"</f>
        <v>AMZ2</v>
      </c>
      <c r="I5026" s="3" t="str">
        <f>"protein_coding"</f>
        <v>protein_coding</v>
      </c>
    </row>
    <row r="5027" spans="1:9" x14ac:dyDescent="0.2">
      <c r="A5027" s="3" t="str">
        <f>"ENSG00000267250.1"</f>
        <v>ENSG00000267250.1</v>
      </c>
      <c r="B5027" s="3">
        <v>8.6211572926355693</v>
      </c>
      <c r="C5027" s="3">
        <v>6.4996621179521101</v>
      </c>
      <c r="D5027" s="3">
        <v>1.8401559799742999</v>
      </c>
      <c r="E5027" s="3">
        <v>3.5321256397204399</v>
      </c>
      <c r="F5027" s="3">
        <v>4.1223344681352798E-4</v>
      </c>
      <c r="G5027" s="3">
        <v>2.0212569237589E-3</v>
      </c>
      <c r="H5027" s="3" t="str">
        <f>"AC011591.1"</f>
        <v>AC011591.1</v>
      </c>
      <c r="I5027" s="3" t="str">
        <f>"lincRNA"</f>
        <v>lincRNA</v>
      </c>
    </row>
    <row r="5028" spans="1:9" x14ac:dyDescent="0.2">
      <c r="A5028" s="3" t="str">
        <f>"ENSG00000141338.14"</f>
        <v>ENSG00000141338.14</v>
      </c>
      <c r="B5028" s="3">
        <v>21.928597072793501</v>
      </c>
      <c r="C5028" s="3">
        <v>3.2610190056741302</v>
      </c>
      <c r="D5028" s="3">
        <v>0.84741609404638296</v>
      </c>
      <c r="E5028" s="3">
        <v>3.8481910227865401</v>
      </c>
      <c r="F5028" s="3">
        <v>1.18993254292505E-4</v>
      </c>
      <c r="G5028" s="3">
        <v>6.7029340494271096E-4</v>
      </c>
      <c r="H5028" s="3" t="str">
        <f>"ABCA8"</f>
        <v>ABCA8</v>
      </c>
      <c r="I5028" s="3" t="str">
        <f>"protein_coding"</f>
        <v>protein_coding</v>
      </c>
    </row>
    <row r="5029" spans="1:9" x14ac:dyDescent="0.2">
      <c r="A5029" s="3" t="str">
        <f>"ENSG00000231749.3"</f>
        <v>ENSG00000231749.3</v>
      </c>
      <c r="B5029" s="3">
        <v>8.2557704541952592</v>
      </c>
      <c r="C5029" s="3">
        <v>6.4387214764332601</v>
      </c>
      <c r="D5029" s="3">
        <v>1.8342385393426199</v>
      </c>
      <c r="E5029" s="3">
        <v>3.5102966916946601</v>
      </c>
      <c r="F5029" s="3">
        <v>4.4760695456473799E-4</v>
      </c>
      <c r="G5029" s="3">
        <v>2.1722442754795301E-3</v>
      </c>
      <c r="H5029" s="3" t="str">
        <f>"ABCA9-AS1"</f>
        <v>ABCA9-AS1</v>
      </c>
      <c r="I5029" s="3" t="str">
        <f>"antisense"</f>
        <v>antisense</v>
      </c>
    </row>
    <row r="5030" spans="1:9" x14ac:dyDescent="0.2">
      <c r="A5030" s="3" t="str">
        <f>"ENSG00000154258.17"</f>
        <v>ENSG00000154258.17</v>
      </c>
      <c r="B5030" s="3">
        <v>32.075047410022499</v>
      </c>
      <c r="C5030" s="3">
        <v>6.9463135671627398</v>
      </c>
      <c r="D5030" s="3">
        <v>1.54775268621472</v>
      </c>
      <c r="E5030" s="3">
        <v>4.4879996843365602</v>
      </c>
      <c r="F5030" s="4">
        <v>7.1895035415395799E-6</v>
      </c>
      <c r="G5030" s="4">
        <v>5.2433726712079501E-5</v>
      </c>
      <c r="H5030" s="3" t="str">
        <f>"ABCA9"</f>
        <v>ABCA9</v>
      </c>
      <c r="I5030" s="3" t="str">
        <f>"protein_coding"</f>
        <v>protein_coding</v>
      </c>
    </row>
    <row r="5031" spans="1:9" x14ac:dyDescent="0.2">
      <c r="A5031" s="3" t="str">
        <f>"ENSG00000154262.13"</f>
        <v>ENSG00000154262.13</v>
      </c>
      <c r="B5031" s="3">
        <v>27.122495024639498</v>
      </c>
      <c r="C5031" s="3">
        <v>6.6975572599219104</v>
      </c>
      <c r="D5031" s="3">
        <v>1.57419813924139</v>
      </c>
      <c r="E5031" s="3">
        <v>4.2545833926277403</v>
      </c>
      <c r="F5031" s="4">
        <v>2.0943859443025302E-5</v>
      </c>
      <c r="G5031" s="3">
        <v>1.3874479412694099E-4</v>
      </c>
      <c r="H5031" s="3" t="str">
        <f>"ABCA6"</f>
        <v>ABCA6</v>
      </c>
      <c r="I5031" s="3" t="str">
        <f>"protein_coding"</f>
        <v>protein_coding</v>
      </c>
    </row>
    <row r="5032" spans="1:9" x14ac:dyDescent="0.2">
      <c r="A5032" s="3" t="str">
        <f>"ENSG00000154263.17"</f>
        <v>ENSG00000154263.17</v>
      </c>
      <c r="B5032" s="3">
        <v>36.809629677445102</v>
      </c>
      <c r="C5032" s="3">
        <v>5.5355112496632701</v>
      </c>
      <c r="D5032" s="3">
        <v>1.0150112075873301</v>
      </c>
      <c r="E5032" s="3">
        <v>5.4536454457691201</v>
      </c>
      <c r="F5032" s="4">
        <v>4.9347547432816403E-8</v>
      </c>
      <c r="G5032" s="4">
        <v>5.2873481120800205E-7</v>
      </c>
      <c r="H5032" s="3" t="str">
        <f>"ABCA10"</f>
        <v>ABCA10</v>
      </c>
      <c r="I5032" s="3" t="str">
        <f>"protein_coding"</f>
        <v>protein_coding</v>
      </c>
    </row>
    <row r="5033" spans="1:9" x14ac:dyDescent="0.2">
      <c r="A5033" s="3" t="str">
        <f>"ENSG00000278873.1"</f>
        <v>ENSG00000278873.1</v>
      </c>
      <c r="B5033" s="3">
        <v>12.480517160838099</v>
      </c>
      <c r="C5033" s="3">
        <v>3.1179754757888398</v>
      </c>
      <c r="D5033" s="3">
        <v>1.08440957204466</v>
      </c>
      <c r="E5033" s="3">
        <v>2.87527476349169</v>
      </c>
      <c r="F5033" s="3">
        <v>4.0367604285165698E-3</v>
      </c>
      <c r="G5033" s="3">
        <v>1.47656881991933E-2</v>
      </c>
      <c r="H5033" s="3" t="str">
        <f>"AC005495.1"</f>
        <v>AC005495.1</v>
      </c>
      <c r="I5033" s="3" t="str">
        <f>"TEC"</f>
        <v>TEC</v>
      </c>
    </row>
    <row r="5034" spans="1:9" x14ac:dyDescent="0.2">
      <c r="A5034" s="3" t="str">
        <f>"ENSG00000154265.16"</f>
        <v>ENSG00000154265.16</v>
      </c>
      <c r="B5034" s="3">
        <v>1506.1249001006599</v>
      </c>
      <c r="C5034" s="3">
        <v>3.3980727979481098</v>
      </c>
      <c r="D5034" s="3">
        <v>0.217921756522374</v>
      </c>
      <c r="E5034" s="3">
        <v>15.5930864920283</v>
      </c>
      <c r="F5034" s="4">
        <v>8.1117742407451705E-55</v>
      </c>
      <c r="G5034" s="4">
        <v>1.97340636372842E-52</v>
      </c>
      <c r="H5034" s="3" t="str">
        <f>"ABCA5"</f>
        <v>ABCA5</v>
      </c>
      <c r="I5034" s="3" t="str">
        <f>"protein_coding"</f>
        <v>protein_coding</v>
      </c>
    </row>
    <row r="5035" spans="1:9" x14ac:dyDescent="0.2">
      <c r="A5035" s="3" t="str">
        <f>"ENSG00000108984.15"</f>
        <v>ENSG00000108984.15</v>
      </c>
      <c r="B5035" s="3">
        <v>561.21151488941598</v>
      </c>
      <c r="C5035" s="3">
        <v>-2.0644620732887602</v>
      </c>
      <c r="D5035" s="3">
        <v>0.222221365700775</v>
      </c>
      <c r="E5035" s="3">
        <v>-9.2901151371222799</v>
      </c>
      <c r="F5035" s="4">
        <v>1.5412151493685901E-20</v>
      </c>
      <c r="G5035" s="4">
        <v>6.2958754385076497E-19</v>
      </c>
      <c r="H5035" s="3" t="str">
        <f>"MAP2K6"</f>
        <v>MAP2K6</v>
      </c>
      <c r="I5035" s="3" t="str">
        <f>"protein_coding"</f>
        <v>protein_coding</v>
      </c>
    </row>
    <row r="5036" spans="1:9" x14ac:dyDescent="0.2">
      <c r="A5036" s="3" t="str">
        <f>"ENSG00000180616.9"</f>
        <v>ENSG00000180616.9</v>
      </c>
      <c r="B5036" s="3">
        <v>7.6729983558245296</v>
      </c>
      <c r="C5036" s="3">
        <v>3.79208403944885</v>
      </c>
      <c r="D5036" s="3">
        <v>1.4999079443108501</v>
      </c>
      <c r="E5036" s="3">
        <v>2.5282111837811199</v>
      </c>
      <c r="F5036" s="3">
        <v>1.1464536873162399E-2</v>
      </c>
      <c r="G5036" s="3">
        <v>3.5643681717484797E-2</v>
      </c>
      <c r="H5036" s="3" t="str">
        <f>"SSTR2"</f>
        <v>SSTR2</v>
      </c>
      <c r="I5036" s="3" t="str">
        <f>"protein_coding"</f>
        <v>protein_coding</v>
      </c>
    </row>
    <row r="5037" spans="1:9" x14ac:dyDescent="0.2">
      <c r="A5037" s="3" t="str">
        <f>"ENSG00000277728.1"</f>
        <v>ENSG00000277728.1</v>
      </c>
      <c r="B5037" s="3">
        <v>417.03688040932201</v>
      </c>
      <c r="C5037" s="3">
        <v>5.1917140266387998</v>
      </c>
      <c r="D5037" s="3">
        <v>0.31847888374071398</v>
      </c>
      <c r="E5037" s="3">
        <v>16.301595778216701</v>
      </c>
      <c r="F5037" s="4">
        <v>9.61486634719472E-60</v>
      </c>
      <c r="G5037" s="4">
        <v>2.7289194100209897E-57</v>
      </c>
      <c r="H5037" s="3" t="str">
        <f>"AC097641.2"</f>
        <v>AC097641.2</v>
      </c>
      <c r="I5037" s="3" t="str">
        <f>"antisense"</f>
        <v>antisense</v>
      </c>
    </row>
    <row r="5038" spans="1:9" x14ac:dyDescent="0.2">
      <c r="A5038" s="3" t="str">
        <f>"ENSG00000133193.12"</f>
        <v>ENSG00000133193.12</v>
      </c>
      <c r="B5038" s="3">
        <v>6331.7072150050699</v>
      </c>
      <c r="C5038" s="3">
        <v>2.57546644448496</v>
      </c>
      <c r="D5038" s="3">
        <v>0.17310564866744099</v>
      </c>
      <c r="E5038" s="3">
        <v>14.878003486950201</v>
      </c>
      <c r="F5038" s="4">
        <v>4.5796284133833905E-50</v>
      </c>
      <c r="G5038" s="4">
        <v>9.2430470651449806E-48</v>
      </c>
      <c r="H5038" s="3" t="str">
        <f>"FAM104A"</f>
        <v>FAM104A</v>
      </c>
      <c r="I5038" s="3" t="str">
        <f>"protein_coding"</f>
        <v>protein_coding</v>
      </c>
    </row>
    <row r="5039" spans="1:9" x14ac:dyDescent="0.2">
      <c r="A5039" s="3" t="str">
        <f>"ENSG00000141219.15"</f>
        <v>ENSG00000141219.15</v>
      </c>
      <c r="B5039" s="3">
        <v>3395.2224732292102</v>
      </c>
      <c r="C5039" s="3">
        <v>2.3050518088777601</v>
      </c>
      <c r="D5039" s="3">
        <v>0.189851058793745</v>
      </c>
      <c r="E5039" s="3">
        <v>12.1413692582141</v>
      </c>
      <c r="F5039" s="4">
        <v>6.3750198883705098E-34</v>
      </c>
      <c r="G5039" s="4">
        <v>6.2707641479578102E-32</v>
      </c>
      <c r="H5039" s="3" t="str">
        <f>"C17orf80"</f>
        <v>C17orf80</v>
      </c>
      <c r="I5039" s="3" t="str">
        <f>"protein_coding"</f>
        <v>protein_coding</v>
      </c>
    </row>
    <row r="5040" spans="1:9" x14ac:dyDescent="0.2">
      <c r="A5040" s="3" t="str">
        <f>"ENSG00000265010.1"</f>
        <v>ENSG00000265010.1</v>
      </c>
      <c r="B5040" s="3">
        <v>45.105375000243399</v>
      </c>
      <c r="C5040" s="3">
        <v>2.2130153335659299</v>
      </c>
      <c r="D5040" s="3">
        <v>0.54528139761921701</v>
      </c>
      <c r="E5040" s="3">
        <v>4.0584830937352603</v>
      </c>
      <c r="F5040" s="4">
        <v>4.9392508522973199E-5</v>
      </c>
      <c r="G5040" s="3">
        <v>3.0317586837698798E-4</v>
      </c>
      <c r="H5040" s="3" t="str">
        <f>"AC087301.1"</f>
        <v>AC087301.1</v>
      </c>
      <c r="I5040" s="3" t="str">
        <f>"sense_intronic"</f>
        <v>sense_intronic</v>
      </c>
    </row>
    <row r="5041" spans="1:9" x14ac:dyDescent="0.2">
      <c r="A5041" s="3" t="str">
        <f>"ENSG00000069188.17"</f>
        <v>ENSG00000069188.17</v>
      </c>
      <c r="B5041" s="3">
        <v>34.435993592716997</v>
      </c>
      <c r="C5041" s="3">
        <v>5.0108985383691804</v>
      </c>
      <c r="D5041" s="3">
        <v>0.91716029012446698</v>
      </c>
      <c r="E5041" s="3">
        <v>5.46349268750956</v>
      </c>
      <c r="F5041" s="4">
        <v>4.6685651010300301E-8</v>
      </c>
      <c r="G5041" s="4">
        <v>5.0318193555286901E-7</v>
      </c>
      <c r="H5041" s="3" t="str">
        <f>"SDK2"</f>
        <v>SDK2</v>
      </c>
      <c r="I5041" s="3" t="str">
        <f>"protein_coding"</f>
        <v>protein_coding</v>
      </c>
    </row>
    <row r="5042" spans="1:9" x14ac:dyDescent="0.2">
      <c r="A5042" s="3" t="str">
        <f>"ENSG00000177338.13"</f>
        <v>ENSG00000177338.13</v>
      </c>
      <c r="B5042" s="3">
        <v>165.11540836253599</v>
      </c>
      <c r="C5042" s="3">
        <v>9.3186847582747898</v>
      </c>
      <c r="D5042" s="3">
        <v>1.46795139927108</v>
      </c>
      <c r="E5042" s="3">
        <v>6.3480880653828198</v>
      </c>
      <c r="F5042" s="4">
        <v>2.1800728202912901E-10</v>
      </c>
      <c r="G5042" s="4">
        <v>3.2143097475366199E-9</v>
      </c>
      <c r="H5042" s="3" t="str">
        <f>"LINC00469"</f>
        <v>LINC00469</v>
      </c>
      <c r="I5042" s="3" t="str">
        <f>"lincRNA"</f>
        <v>lincRNA</v>
      </c>
    </row>
    <row r="5043" spans="1:9" x14ac:dyDescent="0.2">
      <c r="A5043" s="3" t="str">
        <f>"ENSG00000172794.20"</f>
        <v>ENSG00000172794.20</v>
      </c>
      <c r="B5043" s="3">
        <v>201.643786693104</v>
      </c>
      <c r="C5043" s="3">
        <v>5.0425106797298396</v>
      </c>
      <c r="D5043" s="3">
        <v>0.41972061100457198</v>
      </c>
      <c r="E5043" s="3">
        <v>12.013969644380699</v>
      </c>
      <c r="F5043" s="4">
        <v>3.0008665212163601E-33</v>
      </c>
      <c r="G5043" s="4">
        <v>2.8689336878449799E-31</v>
      </c>
      <c r="H5043" s="3" t="str">
        <f>"RAB37"</f>
        <v>RAB37</v>
      </c>
      <c r="I5043" s="3" t="str">
        <f t="shared" ref="I5043:I5052" si="230">"protein_coding"</f>
        <v>protein_coding</v>
      </c>
    </row>
    <row r="5044" spans="1:9" x14ac:dyDescent="0.2">
      <c r="A5044" s="3" t="str">
        <f>"ENSG00000109062.12"</f>
        <v>ENSG00000109062.12</v>
      </c>
      <c r="B5044" s="3">
        <v>6414.9693318385798</v>
      </c>
      <c r="C5044" s="3">
        <v>-1.14768137436512</v>
      </c>
      <c r="D5044" s="3">
        <v>0.204517137153097</v>
      </c>
      <c r="E5044" s="3">
        <v>-5.6116636011093304</v>
      </c>
      <c r="F5044" s="4">
        <v>2.00390708669475E-8</v>
      </c>
      <c r="G5044" s="4">
        <v>2.2883678286325101E-7</v>
      </c>
      <c r="H5044" s="3" t="str">
        <f>"SLC9A3R1"</f>
        <v>SLC9A3R1</v>
      </c>
      <c r="I5044" s="3" t="str">
        <f t="shared" si="230"/>
        <v>protein_coding</v>
      </c>
    </row>
    <row r="5045" spans="1:9" x14ac:dyDescent="0.2">
      <c r="A5045" s="3" t="str">
        <f>"ENSG00000161509.14"</f>
        <v>ENSG00000161509.14</v>
      </c>
      <c r="B5045" s="3">
        <v>412.22545622017998</v>
      </c>
      <c r="C5045" s="3">
        <v>7.0435716247205997</v>
      </c>
      <c r="D5045" s="3">
        <v>0.47883371257288398</v>
      </c>
      <c r="E5045" s="3">
        <v>14.709849034801399</v>
      </c>
      <c r="F5045" s="4">
        <v>5.5731606210762903E-49</v>
      </c>
      <c r="G5045" s="4">
        <v>1.06190145064661E-46</v>
      </c>
      <c r="H5045" s="3" t="str">
        <f>"GRIN2C"</f>
        <v>GRIN2C</v>
      </c>
      <c r="I5045" s="3" t="str">
        <f t="shared" si="230"/>
        <v>protein_coding</v>
      </c>
    </row>
    <row r="5046" spans="1:9" x14ac:dyDescent="0.2">
      <c r="A5046" s="3" t="str">
        <f>"ENSG00000161513.12"</f>
        <v>ENSG00000161513.12</v>
      </c>
      <c r="B5046" s="3">
        <v>13740.653224444801</v>
      </c>
      <c r="C5046" s="3">
        <v>3.1930164384826298</v>
      </c>
      <c r="D5046" s="3">
        <v>0.21785901416550699</v>
      </c>
      <c r="E5046" s="3">
        <v>14.6563430056509</v>
      </c>
      <c r="F5046" s="4">
        <v>1.22706165570854E-48</v>
      </c>
      <c r="G5046" s="4">
        <v>2.2899828036363302E-46</v>
      </c>
      <c r="H5046" s="3" t="str">
        <f>"FDXR"</f>
        <v>FDXR</v>
      </c>
      <c r="I5046" s="3" t="str">
        <f t="shared" si="230"/>
        <v>protein_coding</v>
      </c>
    </row>
    <row r="5047" spans="1:9" x14ac:dyDescent="0.2">
      <c r="A5047" s="3" t="str">
        <f>"ENSG00000182040.9"</f>
        <v>ENSG00000182040.9</v>
      </c>
      <c r="B5047" s="3">
        <v>147.23195862049801</v>
      </c>
      <c r="C5047" s="3">
        <v>5.9610494363001898</v>
      </c>
      <c r="D5047" s="3">
        <v>0.58160141203816096</v>
      </c>
      <c r="E5047" s="3">
        <v>10.2493723586577</v>
      </c>
      <c r="F5047" s="4">
        <v>1.1911447232649399E-24</v>
      </c>
      <c r="G5047" s="4">
        <v>6.4523101937971601E-23</v>
      </c>
      <c r="H5047" s="3" t="str">
        <f>"USH1G"</f>
        <v>USH1G</v>
      </c>
      <c r="I5047" s="3" t="str">
        <f t="shared" si="230"/>
        <v>protein_coding</v>
      </c>
    </row>
    <row r="5048" spans="1:9" x14ac:dyDescent="0.2">
      <c r="A5048" s="3" t="str">
        <f>"ENSG00000183034.12"</f>
        <v>ENSG00000183034.12</v>
      </c>
      <c r="B5048" s="3">
        <v>11.9669174760154</v>
      </c>
      <c r="C5048" s="3">
        <v>6.9787263653550902</v>
      </c>
      <c r="D5048" s="3">
        <v>1.71759106860666</v>
      </c>
      <c r="E5048" s="3">
        <v>4.0630895752248897</v>
      </c>
      <c r="F5048" s="4">
        <v>4.8427434887250102E-5</v>
      </c>
      <c r="G5048" s="3">
        <v>2.9778883285328498E-4</v>
      </c>
      <c r="H5048" s="3" t="str">
        <f>"OTOP2"</f>
        <v>OTOP2</v>
      </c>
      <c r="I5048" s="3" t="str">
        <f t="shared" si="230"/>
        <v>protein_coding</v>
      </c>
    </row>
    <row r="5049" spans="1:9" x14ac:dyDescent="0.2">
      <c r="A5049" s="3" t="str">
        <f>"ENSG00000167861.16"</f>
        <v>ENSG00000167861.16</v>
      </c>
      <c r="B5049" s="3">
        <v>327.331256109945</v>
      </c>
      <c r="C5049" s="3">
        <v>2.2583849784821401</v>
      </c>
      <c r="D5049" s="3">
        <v>0.28323242958544997</v>
      </c>
      <c r="E5049" s="3">
        <v>7.9736101610525498</v>
      </c>
      <c r="F5049" s="4">
        <v>1.5410512269772801E-15</v>
      </c>
      <c r="G5049" s="4">
        <v>4.0412918942685298E-14</v>
      </c>
      <c r="H5049" s="3" t="str">
        <f>"HID1"</f>
        <v>HID1</v>
      </c>
      <c r="I5049" s="3" t="str">
        <f t="shared" si="230"/>
        <v>protein_coding</v>
      </c>
    </row>
    <row r="5050" spans="1:9" x14ac:dyDescent="0.2">
      <c r="A5050" s="3" t="str">
        <f>"ENSG00000170190.16"</f>
        <v>ENSG00000170190.16</v>
      </c>
      <c r="B5050" s="3">
        <v>851.82302106978898</v>
      </c>
      <c r="C5050" s="3">
        <v>2.1917869482927101</v>
      </c>
      <c r="D5050" s="3">
        <v>0.23841558557779599</v>
      </c>
      <c r="E5050" s="3">
        <v>9.1931361910797502</v>
      </c>
      <c r="F5050" s="4">
        <v>3.8155148321870397E-20</v>
      </c>
      <c r="G5050" s="4">
        <v>1.4958465126992901E-18</v>
      </c>
      <c r="H5050" s="3" t="str">
        <f>"SLC16A5"</f>
        <v>SLC16A5</v>
      </c>
      <c r="I5050" s="3" t="str">
        <f t="shared" si="230"/>
        <v>protein_coding</v>
      </c>
    </row>
    <row r="5051" spans="1:9" x14ac:dyDescent="0.2">
      <c r="A5051" s="3" t="str">
        <f>"ENSG00000125449.7"</f>
        <v>ENSG00000125449.7</v>
      </c>
      <c r="B5051" s="3">
        <v>456.62107145557798</v>
      </c>
      <c r="C5051" s="3">
        <v>-1.0766966625044301</v>
      </c>
      <c r="D5051" s="3">
        <v>0.26712501511326903</v>
      </c>
      <c r="E5051" s="3">
        <v>-4.0306845169400498</v>
      </c>
      <c r="F5051" s="4">
        <v>5.5614649942921802E-5</v>
      </c>
      <c r="G5051" s="3">
        <v>3.3696516944513901E-4</v>
      </c>
      <c r="H5051" s="3" t="str">
        <f>"ARMC7"</f>
        <v>ARMC7</v>
      </c>
      <c r="I5051" s="3" t="str">
        <f t="shared" si="230"/>
        <v>protein_coding</v>
      </c>
    </row>
    <row r="5052" spans="1:9" x14ac:dyDescent="0.2">
      <c r="A5052" s="3" t="str">
        <f>"ENSG00000125450.11"</f>
        <v>ENSG00000125450.11</v>
      </c>
      <c r="B5052" s="3">
        <v>1621.8612279498</v>
      </c>
      <c r="C5052" s="3">
        <v>-1.00110557265081</v>
      </c>
      <c r="D5052" s="3">
        <v>0.19163264735079999</v>
      </c>
      <c r="E5052" s="3">
        <v>-5.2240867435192202</v>
      </c>
      <c r="F5052" s="4">
        <v>1.7501672599314099E-7</v>
      </c>
      <c r="G5052" s="4">
        <v>1.70981740162607E-6</v>
      </c>
      <c r="H5052" s="3" t="str">
        <f>"NUP85"</f>
        <v>NUP85</v>
      </c>
      <c r="I5052" s="3" t="str">
        <f t="shared" si="230"/>
        <v>protein_coding</v>
      </c>
    </row>
    <row r="5053" spans="1:9" x14ac:dyDescent="0.2">
      <c r="A5053" s="3" t="str">
        <f>"ENSG00000263843.1"</f>
        <v>ENSG00000263843.1</v>
      </c>
      <c r="B5053" s="3">
        <v>100.73653129641799</v>
      </c>
      <c r="C5053" s="3">
        <v>-1.3582172615197301</v>
      </c>
      <c r="D5053" s="3">
        <v>0.419182422667017</v>
      </c>
      <c r="E5053" s="3">
        <v>-3.2401579552839301</v>
      </c>
      <c r="F5053" s="3">
        <v>1.1946350260093701E-3</v>
      </c>
      <c r="G5053" s="3">
        <v>5.15198172739432E-3</v>
      </c>
      <c r="H5053" s="3" t="str">
        <f>"AC022211.2"</f>
        <v>AC022211.2</v>
      </c>
      <c r="I5053" s="3" t="str">
        <f>"antisense"</f>
        <v>antisense</v>
      </c>
    </row>
    <row r="5054" spans="1:9" x14ac:dyDescent="0.2">
      <c r="A5054" s="3" t="str">
        <f>"ENSG00000265342.1"</f>
        <v>ENSG00000265342.1</v>
      </c>
      <c r="B5054" s="3">
        <v>16.276960401035399</v>
      </c>
      <c r="C5054" s="3">
        <v>3.0085689048492199</v>
      </c>
      <c r="D5054" s="3">
        <v>1.02418794728911</v>
      </c>
      <c r="E5054" s="3">
        <v>2.9375164126979798</v>
      </c>
      <c r="F5054" s="3">
        <v>3.3085265867408599E-3</v>
      </c>
      <c r="G5054" s="3">
        <v>1.2465151886236699E-2</v>
      </c>
      <c r="H5054" s="3" t="str">
        <f>"AC011933.3"</f>
        <v>AC011933.3</v>
      </c>
      <c r="I5054" s="3" t="str">
        <f>"antisense"</f>
        <v>antisense</v>
      </c>
    </row>
    <row r="5055" spans="1:9" x14ac:dyDescent="0.2">
      <c r="A5055" s="3" t="str">
        <f>"ENSG00000182173.13"</f>
        <v>ENSG00000182173.13</v>
      </c>
      <c r="B5055" s="3">
        <v>851.34853535340903</v>
      </c>
      <c r="C5055" s="3">
        <v>-1.09035289487793</v>
      </c>
      <c r="D5055" s="3">
        <v>0.24420669968243999</v>
      </c>
      <c r="E5055" s="3">
        <v>-4.4648770746085003</v>
      </c>
      <c r="F5055" s="4">
        <v>8.0114735565879506E-6</v>
      </c>
      <c r="G5055" s="4">
        <v>5.8024619882071202E-5</v>
      </c>
      <c r="H5055" s="3" t="str">
        <f>"TSEN54"</f>
        <v>TSEN54</v>
      </c>
      <c r="I5055" s="3" t="str">
        <f t="shared" ref="I5055:I5062" si="231">"protein_coding"</f>
        <v>protein_coding</v>
      </c>
    </row>
    <row r="5056" spans="1:9" x14ac:dyDescent="0.2">
      <c r="A5056" s="3" t="str">
        <f>"ENSG00000266714.9"</f>
        <v>ENSG00000266714.9</v>
      </c>
      <c r="B5056" s="3">
        <v>362.98181065315299</v>
      </c>
      <c r="C5056" s="3">
        <v>2.1080826825005001</v>
      </c>
      <c r="D5056" s="3">
        <v>0.259905353193773</v>
      </c>
      <c r="E5056" s="3">
        <v>8.1109629201396807</v>
      </c>
      <c r="F5056" s="4">
        <v>5.0220180217060603E-16</v>
      </c>
      <c r="G5056" s="4">
        <v>1.37522537726055E-14</v>
      </c>
      <c r="H5056" s="3" t="str">
        <f>"MYO15B"</f>
        <v>MYO15B</v>
      </c>
      <c r="I5056" s="3" t="str">
        <f t="shared" si="231"/>
        <v>protein_coding</v>
      </c>
    </row>
    <row r="5057" spans="1:9" x14ac:dyDescent="0.2">
      <c r="A5057" s="3" t="str">
        <f>"ENSG00000188878.19"</f>
        <v>ENSG00000188878.19</v>
      </c>
      <c r="B5057" s="3">
        <v>247.63439841130801</v>
      </c>
      <c r="C5057" s="3">
        <v>2.4340216022738699</v>
      </c>
      <c r="D5057" s="3">
        <v>0.30055548403659599</v>
      </c>
      <c r="E5057" s="3">
        <v>8.09841021559102</v>
      </c>
      <c r="F5057" s="4">
        <v>5.5682035697687298E-16</v>
      </c>
      <c r="G5057" s="4">
        <v>1.5186871137686499E-14</v>
      </c>
      <c r="H5057" s="3" t="str">
        <f>"FBF1"</f>
        <v>FBF1</v>
      </c>
      <c r="I5057" s="3" t="str">
        <f t="shared" si="231"/>
        <v>protein_coding</v>
      </c>
    </row>
    <row r="5058" spans="1:9" x14ac:dyDescent="0.2">
      <c r="A5058" s="3" t="str">
        <f>"ENSG00000167880.7"</f>
        <v>ENSG00000167880.7</v>
      </c>
      <c r="B5058" s="3">
        <v>1059.2494216550799</v>
      </c>
      <c r="C5058" s="3">
        <v>-1.4985681355906399</v>
      </c>
      <c r="D5058" s="3">
        <v>0.20773604972003601</v>
      </c>
      <c r="E5058" s="3">
        <v>-7.2138087616965896</v>
      </c>
      <c r="F5058" s="4">
        <v>5.4408153701668804E-13</v>
      </c>
      <c r="G5058" s="4">
        <v>1.1205283173918101E-11</v>
      </c>
      <c r="H5058" s="3" t="str">
        <f>"EVPL"</f>
        <v>EVPL</v>
      </c>
      <c r="I5058" s="3" t="str">
        <f t="shared" si="231"/>
        <v>protein_coding</v>
      </c>
    </row>
    <row r="5059" spans="1:9" x14ac:dyDescent="0.2">
      <c r="A5059" s="3" t="str">
        <f>"ENSG00000186919.12"</f>
        <v>ENSG00000186919.12</v>
      </c>
      <c r="B5059" s="3">
        <v>21.971269294091101</v>
      </c>
      <c r="C5059" s="3">
        <v>2.34773363361704</v>
      </c>
      <c r="D5059" s="3">
        <v>0.78614261613672998</v>
      </c>
      <c r="E5059" s="3">
        <v>2.98639659703769</v>
      </c>
      <c r="F5059" s="3">
        <v>2.82286285705861E-3</v>
      </c>
      <c r="G5059" s="3">
        <v>1.08529059215854E-2</v>
      </c>
      <c r="H5059" s="3" t="str">
        <f>"ZACN"</f>
        <v>ZACN</v>
      </c>
      <c r="I5059" s="3" t="str">
        <f t="shared" si="231"/>
        <v>protein_coding</v>
      </c>
    </row>
    <row r="5060" spans="1:9" x14ac:dyDescent="0.2">
      <c r="A5060" s="3" t="str">
        <f>"ENSG00000182687.4"</f>
        <v>ENSG00000182687.4</v>
      </c>
      <c r="B5060" s="3">
        <v>75.541923889496005</v>
      </c>
      <c r="C5060" s="3">
        <v>1.7217162271365301</v>
      </c>
      <c r="D5060" s="3">
        <v>0.461736005631876</v>
      </c>
      <c r="E5060" s="3">
        <v>3.72878919152167</v>
      </c>
      <c r="F5060" s="3">
        <v>1.92402020475404E-4</v>
      </c>
      <c r="G5060" s="3">
        <v>1.0287240682679199E-3</v>
      </c>
      <c r="H5060" s="3" t="str">
        <f>"GALR2"</f>
        <v>GALR2</v>
      </c>
      <c r="I5060" s="3" t="str">
        <f t="shared" si="231"/>
        <v>protein_coding</v>
      </c>
    </row>
    <row r="5061" spans="1:9" x14ac:dyDescent="0.2">
      <c r="A5061" s="3" t="str">
        <f>"ENSG00000182473.22"</f>
        <v>ENSG00000182473.22</v>
      </c>
      <c r="B5061" s="3">
        <v>9871.9893674526902</v>
      </c>
      <c r="C5061" s="3">
        <v>1.15365191749269</v>
      </c>
      <c r="D5061" s="3">
        <v>0.185833348473912</v>
      </c>
      <c r="E5061" s="3">
        <v>6.2079918753368402</v>
      </c>
      <c r="F5061" s="4">
        <v>5.36659246936964E-10</v>
      </c>
      <c r="G5061" s="4">
        <v>7.5179200520778695E-9</v>
      </c>
      <c r="H5061" s="3" t="str">
        <f>"EXOC7"</f>
        <v>EXOC7</v>
      </c>
      <c r="I5061" s="3" t="str">
        <f t="shared" si="231"/>
        <v>protein_coding</v>
      </c>
    </row>
    <row r="5062" spans="1:9" x14ac:dyDescent="0.2">
      <c r="A5062" s="3" t="str">
        <f>"ENSG00000129654.8"</f>
        <v>ENSG00000129654.8</v>
      </c>
      <c r="B5062" s="3">
        <v>488.93592156309097</v>
      </c>
      <c r="C5062" s="3">
        <v>2.42985408028128</v>
      </c>
      <c r="D5062" s="3">
        <v>0.25982231050579602</v>
      </c>
      <c r="E5062" s="3">
        <v>9.3519839599266401</v>
      </c>
      <c r="F5062" s="4">
        <v>8.6018819537024198E-21</v>
      </c>
      <c r="G5062" s="4">
        <v>3.6014887122515698E-19</v>
      </c>
      <c r="H5062" s="3" t="str">
        <f>"FOXJ1"</f>
        <v>FOXJ1</v>
      </c>
      <c r="I5062" s="3" t="str">
        <f t="shared" si="231"/>
        <v>protein_coding</v>
      </c>
    </row>
    <row r="5063" spans="1:9" x14ac:dyDescent="0.2">
      <c r="A5063" s="3" t="str">
        <f>"ENSG00000267128.1"</f>
        <v>ENSG00000267128.1</v>
      </c>
      <c r="B5063" s="3">
        <v>346.41051082576502</v>
      </c>
      <c r="C5063" s="3">
        <v>5.7202848218968096</v>
      </c>
      <c r="D5063" s="3">
        <v>0.37790310968100499</v>
      </c>
      <c r="E5063" s="3">
        <v>15.136908576183499</v>
      </c>
      <c r="F5063" s="4">
        <v>9.2458891638599205E-52</v>
      </c>
      <c r="G5063" s="4">
        <v>1.95288947323792E-49</v>
      </c>
      <c r="H5063" s="3" t="str">
        <f>"RNF157-AS1"</f>
        <v>RNF157-AS1</v>
      </c>
      <c r="I5063" s="3" t="str">
        <f>"antisense"</f>
        <v>antisense</v>
      </c>
    </row>
    <row r="5064" spans="1:9" x14ac:dyDescent="0.2">
      <c r="A5064" s="3" t="str">
        <f>"ENSG00000185262.9"</f>
        <v>ENSG00000185262.9</v>
      </c>
      <c r="B5064" s="3">
        <v>1751.41052936494</v>
      </c>
      <c r="C5064" s="3">
        <v>1.15272952282816</v>
      </c>
      <c r="D5064" s="3">
        <v>0.25014865716824403</v>
      </c>
      <c r="E5064" s="3">
        <v>4.60817793658138</v>
      </c>
      <c r="F5064" s="4">
        <v>4.0621297070122404E-6</v>
      </c>
      <c r="G5064" s="4">
        <v>3.1230487620474703E-5</v>
      </c>
      <c r="H5064" s="3" t="str">
        <f>"UBALD2"</f>
        <v>UBALD2</v>
      </c>
      <c r="I5064" s="3" t="str">
        <f>"protein_coding"</f>
        <v>protein_coding</v>
      </c>
    </row>
    <row r="5065" spans="1:9" x14ac:dyDescent="0.2">
      <c r="A5065" s="3" t="str">
        <f>"ENSG00000175931.13"</f>
        <v>ENSG00000175931.13</v>
      </c>
      <c r="B5065" s="3">
        <v>3332.09245672304</v>
      </c>
      <c r="C5065" s="3">
        <v>-1.1080786551269199</v>
      </c>
      <c r="D5065" s="3">
        <v>0.21167797544924799</v>
      </c>
      <c r="E5065" s="3">
        <v>-5.2347375903195603</v>
      </c>
      <c r="F5065" s="4">
        <v>1.6521942117394699E-7</v>
      </c>
      <c r="G5065" s="4">
        <v>1.61874633898832E-6</v>
      </c>
      <c r="H5065" s="3" t="str">
        <f>"UBE2O"</f>
        <v>UBE2O</v>
      </c>
      <c r="I5065" s="3" t="str">
        <f>"protein_coding"</f>
        <v>protein_coding</v>
      </c>
    </row>
    <row r="5066" spans="1:9" x14ac:dyDescent="0.2">
      <c r="A5066" s="3" t="str">
        <f>"ENSG00000129667.12"</f>
        <v>ENSG00000129667.12</v>
      </c>
      <c r="B5066" s="3">
        <v>1440.2365288092999</v>
      </c>
      <c r="C5066" s="3">
        <v>1.0709726320300701</v>
      </c>
      <c r="D5066" s="3">
        <v>0.20791875102479601</v>
      </c>
      <c r="E5066" s="3">
        <v>5.1509189370916699</v>
      </c>
      <c r="F5066" s="4">
        <v>2.59213217423783E-7</v>
      </c>
      <c r="G5066" s="4">
        <v>2.4549122471831099E-6</v>
      </c>
      <c r="H5066" s="3" t="str">
        <f>"RHBDF2"</f>
        <v>RHBDF2</v>
      </c>
      <c r="I5066" s="3" t="str">
        <f>"protein_coding"</f>
        <v>protein_coding</v>
      </c>
    </row>
    <row r="5067" spans="1:9" x14ac:dyDescent="0.2">
      <c r="A5067" s="3" t="str">
        <f>"ENSG00000161544.10"</f>
        <v>ENSG00000161544.10</v>
      </c>
      <c r="B5067" s="3">
        <v>11751.663402341999</v>
      </c>
      <c r="C5067" s="3">
        <v>5.1137017849592903</v>
      </c>
      <c r="D5067" s="3">
        <v>0.22454997252870701</v>
      </c>
      <c r="E5067" s="3">
        <v>22.773112494171201</v>
      </c>
      <c r="F5067" s="4">
        <v>8.4711683247182497E-115</v>
      </c>
      <c r="G5067" s="4">
        <v>1.7754917180276799E-111</v>
      </c>
      <c r="H5067" s="3" t="str">
        <f>"CYGB"</f>
        <v>CYGB</v>
      </c>
      <c r="I5067" s="3" t="str">
        <f>"protein_coding"</f>
        <v>protein_coding</v>
      </c>
    </row>
    <row r="5068" spans="1:9" x14ac:dyDescent="0.2">
      <c r="A5068" s="3" t="str">
        <f>"ENSG00000214140.11"</f>
        <v>ENSG00000214140.11</v>
      </c>
      <c r="B5068" s="3">
        <v>11.719392429844</v>
      </c>
      <c r="C5068" s="3">
        <v>2.7190662437334598</v>
      </c>
      <c r="D5068" s="3">
        <v>1.0910068554902199</v>
      </c>
      <c r="E5068" s="3">
        <v>2.49225404043103</v>
      </c>
      <c r="F5068" s="3">
        <v>1.2693521204616399E-2</v>
      </c>
      <c r="G5068" s="3">
        <v>3.8843258340317002E-2</v>
      </c>
      <c r="H5068" s="3" t="str">
        <f>"PRCD"</f>
        <v>PRCD</v>
      </c>
      <c r="I5068" s="3" t="str">
        <f>"protein_coding"</f>
        <v>protein_coding</v>
      </c>
    </row>
    <row r="5069" spans="1:9" x14ac:dyDescent="0.2">
      <c r="A5069" s="3" t="str">
        <f>"ENSG00000267546.2"</f>
        <v>ENSG00000267546.2</v>
      </c>
      <c r="B5069" s="3">
        <v>465.81337212091898</v>
      </c>
      <c r="C5069" s="3">
        <v>4.3021172637853304</v>
      </c>
      <c r="D5069" s="3">
        <v>0.27283358337735703</v>
      </c>
      <c r="E5069" s="3">
        <v>15.7682834001966</v>
      </c>
      <c r="F5069" s="4">
        <v>5.1428653116522899E-56</v>
      </c>
      <c r="G5069" s="4">
        <v>1.30960421632327E-53</v>
      </c>
      <c r="H5069" s="3" t="str">
        <f>"AC015802.4"</f>
        <v>AC015802.4</v>
      </c>
      <c r="I5069" s="3" t="str">
        <f>"antisense"</f>
        <v>antisense</v>
      </c>
    </row>
    <row r="5070" spans="1:9" x14ac:dyDescent="0.2">
      <c r="A5070" s="3" t="str">
        <f>"ENSG00000284526.1"</f>
        <v>ENSG00000284526.1</v>
      </c>
      <c r="B5070" s="3">
        <v>17.749403847768601</v>
      </c>
      <c r="C5070" s="3">
        <v>2.55131741220863</v>
      </c>
      <c r="D5070" s="3">
        <v>0.86789192085425204</v>
      </c>
      <c r="E5070" s="3">
        <v>2.93967180809496</v>
      </c>
      <c r="F5070" s="3">
        <v>3.2856005803352001E-3</v>
      </c>
      <c r="G5070" s="3">
        <v>1.2385550499777701E-2</v>
      </c>
      <c r="H5070" s="3" t="str">
        <f>"AC015802.6"</f>
        <v>AC015802.6</v>
      </c>
      <c r="I5070" s="3" t="str">
        <f>"protein_coding"</f>
        <v>protein_coding</v>
      </c>
    </row>
    <row r="5071" spans="1:9" x14ac:dyDescent="0.2">
      <c r="A5071" s="3" t="str">
        <f>"ENSG00000070731.10"</f>
        <v>ENSG00000070731.10</v>
      </c>
      <c r="B5071" s="3">
        <v>41.593101438105997</v>
      </c>
      <c r="C5071" s="3">
        <v>4.4627231687344802</v>
      </c>
      <c r="D5071" s="3">
        <v>0.74570336998394804</v>
      </c>
      <c r="E5071" s="3">
        <v>5.9845822727481401</v>
      </c>
      <c r="F5071" s="4">
        <v>2.1694591019722498E-9</v>
      </c>
      <c r="G5071" s="4">
        <v>2.80947015928887E-8</v>
      </c>
      <c r="H5071" s="3" t="str">
        <f>"ST6GALNAC2"</f>
        <v>ST6GALNAC2</v>
      </c>
      <c r="I5071" s="3" t="str">
        <f>"protein_coding"</f>
        <v>protein_coding</v>
      </c>
    </row>
    <row r="5072" spans="1:9" x14ac:dyDescent="0.2">
      <c r="A5072" s="3" t="str">
        <f>"ENSG00000182534.13"</f>
        <v>ENSG00000182534.13</v>
      </c>
      <c r="B5072" s="3">
        <v>3868.8974345042702</v>
      </c>
      <c r="C5072" s="3">
        <v>1.72495804797357</v>
      </c>
      <c r="D5072" s="3">
        <v>0.18166035378652601</v>
      </c>
      <c r="E5072" s="3">
        <v>9.4955118825795903</v>
      </c>
      <c r="F5072" s="4">
        <v>2.1913208373359801E-21</v>
      </c>
      <c r="G5072" s="4">
        <v>9.5074711552378003E-20</v>
      </c>
      <c r="H5072" s="3" t="str">
        <f>"MXRA7"</f>
        <v>MXRA7</v>
      </c>
      <c r="I5072" s="3" t="str">
        <f>"protein_coding"</f>
        <v>protein_coding</v>
      </c>
    </row>
    <row r="5073" spans="1:9" x14ac:dyDescent="0.2">
      <c r="A5073" s="3" t="str">
        <f>"ENSG00000212418.1"</f>
        <v>ENSG00000212418.1</v>
      </c>
      <c r="B5073" s="3">
        <v>33.501878902994903</v>
      </c>
      <c r="C5073" s="3">
        <v>2.1451216839950402</v>
      </c>
      <c r="D5073" s="3">
        <v>0.64414616578206096</v>
      </c>
      <c r="E5073" s="3">
        <v>3.33017845629902</v>
      </c>
      <c r="F5073" s="3">
        <v>8.6790340009242702E-4</v>
      </c>
      <c r="G5073" s="3">
        <v>3.8984114642793199E-3</v>
      </c>
      <c r="H5073" s="3" t="str">
        <f>"RNY4P36"</f>
        <v>RNY4P36</v>
      </c>
      <c r="I5073" s="3" t="str">
        <f>"misc_RNA"</f>
        <v>misc_RNA</v>
      </c>
    </row>
    <row r="5074" spans="1:9" x14ac:dyDescent="0.2">
      <c r="A5074" s="3" t="str">
        <f>"ENSG00000070495.14"</f>
        <v>ENSG00000070495.14</v>
      </c>
      <c r="B5074" s="3">
        <v>1299.6308679312999</v>
      </c>
      <c r="C5074" s="3">
        <v>-1.06548281170906</v>
      </c>
      <c r="D5074" s="3">
        <v>0.23251428191295201</v>
      </c>
      <c r="E5074" s="3">
        <v>-4.58244028256272</v>
      </c>
      <c r="F5074" s="4">
        <v>4.5958097682303497E-6</v>
      </c>
      <c r="G5074" s="4">
        <v>3.49391821302936E-5</v>
      </c>
      <c r="H5074" s="3" t="str">
        <f>"JMJD6"</f>
        <v>JMJD6</v>
      </c>
      <c r="I5074" s="3" t="str">
        <f>"protein_coding"</f>
        <v>protein_coding</v>
      </c>
    </row>
    <row r="5075" spans="1:9" x14ac:dyDescent="0.2">
      <c r="A5075" s="3" t="str">
        <f>"ENSG00000161547.16"</f>
        <v>ENSG00000161547.16</v>
      </c>
      <c r="B5075" s="3">
        <v>6001.69792130719</v>
      </c>
      <c r="C5075" s="3">
        <v>-2.1872092900601401</v>
      </c>
      <c r="D5075" s="3">
        <v>0.17198883135238499</v>
      </c>
      <c r="E5075" s="3">
        <v>-12.7171588577098</v>
      </c>
      <c r="F5075" s="4">
        <v>4.74812453700577E-37</v>
      </c>
      <c r="G5075" s="4">
        <v>5.6992136237795697E-35</v>
      </c>
      <c r="H5075" s="3" t="str">
        <f>"SRSF2"</f>
        <v>SRSF2</v>
      </c>
      <c r="I5075" s="3" t="str">
        <f>"protein_coding"</f>
        <v>protein_coding</v>
      </c>
    </row>
    <row r="5076" spans="1:9" x14ac:dyDescent="0.2">
      <c r="A5076" s="3" t="str">
        <f>"ENSG00000267263.1"</f>
        <v>ENSG00000267263.1</v>
      </c>
      <c r="B5076" s="3">
        <v>249.78446982469899</v>
      </c>
      <c r="C5076" s="3">
        <v>1.26919463832484</v>
      </c>
      <c r="D5076" s="3">
        <v>0.31386145801480603</v>
      </c>
      <c r="E5076" s="3">
        <v>4.0438053348524496</v>
      </c>
      <c r="F5076" s="4">
        <v>5.2590589353660197E-5</v>
      </c>
      <c r="G5076" s="3">
        <v>3.2028068576646802E-4</v>
      </c>
      <c r="H5076" s="3" t="str">
        <f>"AC111170.2"</f>
        <v>AC111170.2</v>
      </c>
      <c r="I5076" s="3" t="str">
        <f>"sense_intronic"</f>
        <v>sense_intronic</v>
      </c>
    </row>
    <row r="5077" spans="1:9" x14ac:dyDescent="0.2">
      <c r="A5077" s="3" t="str">
        <f>"ENSG00000167895.14"</f>
        <v>ENSG00000167895.14</v>
      </c>
      <c r="B5077" s="3">
        <v>112.095857378934</v>
      </c>
      <c r="C5077" s="3">
        <v>-1.58016235267495</v>
      </c>
      <c r="D5077" s="3">
        <v>0.39633235127375399</v>
      </c>
      <c r="E5077" s="3">
        <v>-3.9869628295458202</v>
      </c>
      <c r="F5077" s="4">
        <v>6.6924505583026398E-5</v>
      </c>
      <c r="G5077" s="3">
        <v>3.97968573465893E-4</v>
      </c>
      <c r="H5077" s="3" t="str">
        <f>"TMC8"</f>
        <v>TMC8</v>
      </c>
      <c r="I5077" s="3" t="str">
        <f>"protein_coding"</f>
        <v>protein_coding</v>
      </c>
    </row>
    <row r="5078" spans="1:9" x14ac:dyDescent="0.2">
      <c r="A5078" s="3" t="str">
        <f>"ENSG00000183077.15"</f>
        <v>ENSG00000183077.15</v>
      </c>
      <c r="B5078" s="3">
        <v>2924.50648096143</v>
      </c>
      <c r="C5078" s="3">
        <v>-1.16559823518229</v>
      </c>
      <c r="D5078" s="3">
        <v>0.20896286090441599</v>
      </c>
      <c r="E5078" s="3">
        <v>-5.5780162567522202</v>
      </c>
      <c r="F5078" s="4">
        <v>2.4327692440791501E-8</v>
      </c>
      <c r="G5078" s="4">
        <v>2.7458849873000998E-7</v>
      </c>
      <c r="H5078" s="3" t="str">
        <f>"AFMID"</f>
        <v>AFMID</v>
      </c>
      <c r="I5078" s="3" t="str">
        <f>"protein_coding"</f>
        <v>protein_coding</v>
      </c>
    </row>
    <row r="5079" spans="1:9" x14ac:dyDescent="0.2">
      <c r="A5079" s="3" t="str">
        <f>"ENSG00000187775.16"</f>
        <v>ENSG00000187775.16</v>
      </c>
      <c r="B5079" s="3">
        <v>560.19808767454003</v>
      </c>
      <c r="C5079" s="3">
        <v>1.7744578636362001</v>
      </c>
      <c r="D5079" s="3">
        <v>0.23834354393829199</v>
      </c>
      <c r="E5079" s="3">
        <v>7.4449587948377998</v>
      </c>
      <c r="F5079" s="4">
        <v>9.6974682241460104E-14</v>
      </c>
      <c r="G5079" s="4">
        <v>2.16579439920743E-12</v>
      </c>
      <c r="H5079" s="3" t="str">
        <f>"DNAH17"</f>
        <v>DNAH17</v>
      </c>
      <c r="I5079" s="3" t="str">
        <f>"protein_coding"</f>
        <v>protein_coding</v>
      </c>
    </row>
    <row r="5080" spans="1:9" x14ac:dyDescent="0.2">
      <c r="A5080" s="3" t="str">
        <f>"ENSG00000267123.6"</f>
        <v>ENSG00000267123.6</v>
      </c>
      <c r="B5080" s="3">
        <v>100.12693192563199</v>
      </c>
      <c r="C5080" s="3">
        <v>1.0637604765313</v>
      </c>
      <c r="D5080" s="3">
        <v>0.39390107732278001</v>
      </c>
      <c r="E5080" s="3">
        <v>2.7005777281985099</v>
      </c>
      <c r="F5080" s="3">
        <v>6.9219160571991397E-3</v>
      </c>
      <c r="G5080" s="3">
        <v>2.3402586773855899E-2</v>
      </c>
      <c r="H5080" s="3" t="str">
        <f>"SCAT1"</f>
        <v>SCAT1</v>
      </c>
      <c r="I5080" s="3" t="str">
        <f>"lincRNA"</f>
        <v>lincRNA</v>
      </c>
    </row>
    <row r="5081" spans="1:9" x14ac:dyDescent="0.2">
      <c r="A5081" s="3" t="str">
        <f>"ENSG00000108669.16"</f>
        <v>ENSG00000108669.16</v>
      </c>
      <c r="B5081" s="3">
        <v>2480.8214166053899</v>
      </c>
      <c r="C5081" s="3">
        <v>1.1889838568716999</v>
      </c>
      <c r="D5081" s="3">
        <v>0.189589857426154</v>
      </c>
      <c r="E5081" s="3">
        <v>6.2713473864751101</v>
      </c>
      <c r="F5081" s="4">
        <v>3.5793702565408701E-10</v>
      </c>
      <c r="G5081" s="4">
        <v>5.1330053357878497E-9</v>
      </c>
      <c r="H5081" s="3" t="str">
        <f>"CYTH1"</f>
        <v>CYTH1</v>
      </c>
      <c r="I5081" s="3" t="str">
        <f>"protein_coding"</f>
        <v>protein_coding</v>
      </c>
    </row>
    <row r="5082" spans="1:9" x14ac:dyDescent="0.2">
      <c r="A5082" s="3" t="str">
        <f>"ENSG00000279570.1"</f>
        <v>ENSG00000279570.1</v>
      </c>
      <c r="B5082" s="3">
        <v>44.837692285184403</v>
      </c>
      <c r="C5082" s="3">
        <v>1.5601632994824399</v>
      </c>
      <c r="D5082" s="3">
        <v>0.54613019814698205</v>
      </c>
      <c r="E5082" s="3">
        <v>2.8567607225823899</v>
      </c>
      <c r="F5082" s="3">
        <v>4.2798834349537804E-3</v>
      </c>
      <c r="G5082" s="3">
        <v>1.5513367560487599E-2</v>
      </c>
      <c r="H5082" s="3" t="str">
        <f>"AC099804.1"</f>
        <v>AC099804.1</v>
      </c>
      <c r="I5082" s="3" t="str">
        <f>"TEC"</f>
        <v>TEC</v>
      </c>
    </row>
    <row r="5083" spans="1:9" x14ac:dyDescent="0.2">
      <c r="A5083" s="3" t="str">
        <f>"ENSG00000252391.1"</f>
        <v>ENSG00000252391.1</v>
      </c>
      <c r="B5083" s="3">
        <v>33.2142648901537</v>
      </c>
      <c r="C5083" s="3">
        <v>2.6210562809678102</v>
      </c>
      <c r="D5083" s="3">
        <v>0.67475581292606901</v>
      </c>
      <c r="E5083" s="3">
        <v>3.8844515760473999</v>
      </c>
      <c r="F5083" s="3">
        <v>1.02561130546532E-4</v>
      </c>
      <c r="G5083" s="3">
        <v>5.8596836317914797E-4</v>
      </c>
      <c r="H5083" s="3" t="str">
        <f>"RNU6-638P"</f>
        <v>RNU6-638P</v>
      </c>
      <c r="I5083" s="3" t="str">
        <f>"snRNA"</f>
        <v>snRNA</v>
      </c>
    </row>
    <row r="5084" spans="1:9" x14ac:dyDescent="0.2">
      <c r="A5084" s="3" t="str">
        <f>"ENSG00000265096.1"</f>
        <v>ENSG00000265096.1</v>
      </c>
      <c r="B5084" s="3">
        <v>292.18553932106198</v>
      </c>
      <c r="C5084" s="3">
        <v>2.14331305928452</v>
      </c>
      <c r="D5084" s="3">
        <v>0.27409139450555098</v>
      </c>
      <c r="E5084" s="3">
        <v>7.8197021221733696</v>
      </c>
      <c r="F5084" s="4">
        <v>5.2948480711145997E-15</v>
      </c>
      <c r="G5084" s="4">
        <v>1.3055993248295E-13</v>
      </c>
      <c r="H5084" s="3" t="str">
        <f>"C1QTNF1-AS1"</f>
        <v>C1QTNF1-AS1</v>
      </c>
      <c r="I5084" s="3" t="str">
        <f>"antisense"</f>
        <v>antisense</v>
      </c>
    </row>
    <row r="5085" spans="1:9" x14ac:dyDescent="0.2">
      <c r="A5085" s="3" t="str">
        <f>"ENSG00000267719.1"</f>
        <v>ENSG00000267719.1</v>
      </c>
      <c r="B5085" s="3">
        <v>20.554842454217098</v>
      </c>
      <c r="C5085" s="3">
        <v>7.7582410647769002</v>
      </c>
      <c r="D5085" s="3">
        <v>1.6100424818619401</v>
      </c>
      <c r="E5085" s="3">
        <v>4.8186561237842902</v>
      </c>
      <c r="F5085" s="4">
        <v>1.4452840730255E-6</v>
      </c>
      <c r="G5085" s="4">
        <v>1.2046391905085899E-5</v>
      </c>
      <c r="H5085" s="3" t="str">
        <f>"LINC02078"</f>
        <v>LINC02078</v>
      </c>
      <c r="I5085" s="3" t="str">
        <f>"lincRNA"</f>
        <v>lincRNA</v>
      </c>
    </row>
    <row r="5086" spans="1:9" x14ac:dyDescent="0.2">
      <c r="A5086" s="3" t="str">
        <f>"ENSG00000182156.10"</f>
        <v>ENSG00000182156.10</v>
      </c>
      <c r="B5086" s="3">
        <v>53.7480065004221</v>
      </c>
      <c r="C5086" s="3">
        <v>-1.69292331493083</v>
      </c>
      <c r="D5086" s="3">
        <v>0.49459532790646699</v>
      </c>
      <c r="E5086" s="3">
        <v>-3.4228453432762298</v>
      </c>
      <c r="F5086" s="3">
        <v>6.1969324551965001E-4</v>
      </c>
      <c r="G5086" s="3">
        <v>2.89519579229662E-3</v>
      </c>
      <c r="H5086" s="3" t="str">
        <f>"ENPP7"</f>
        <v>ENPP7</v>
      </c>
      <c r="I5086" s="3" t="str">
        <f>"protein_coding"</f>
        <v>protein_coding</v>
      </c>
    </row>
    <row r="5087" spans="1:9" x14ac:dyDescent="0.2">
      <c r="A5087" s="3" t="str">
        <f>"ENSG00000173894.11"</f>
        <v>ENSG00000173894.11</v>
      </c>
      <c r="B5087" s="3">
        <v>1075.18451560212</v>
      </c>
      <c r="C5087" s="3">
        <v>-2.7104745767267899</v>
      </c>
      <c r="D5087" s="3">
        <v>0.24312639188563501</v>
      </c>
      <c r="E5087" s="3">
        <v>-11.1484177250563</v>
      </c>
      <c r="F5087" s="4">
        <v>7.2890976531883195E-29</v>
      </c>
      <c r="G5087" s="4">
        <v>5.1991110931000601E-27</v>
      </c>
      <c r="H5087" s="3" t="str">
        <f>"CBX2"</f>
        <v>CBX2</v>
      </c>
      <c r="I5087" s="3" t="str">
        <f>"protein_coding"</f>
        <v>protein_coding</v>
      </c>
    </row>
    <row r="5088" spans="1:9" x14ac:dyDescent="0.2">
      <c r="A5088" s="3" t="str">
        <f>"ENSG00000141570.11"</f>
        <v>ENSG00000141570.11</v>
      </c>
      <c r="B5088" s="3">
        <v>500.84718328564401</v>
      </c>
      <c r="C5088" s="3">
        <v>-1.85488189770489</v>
      </c>
      <c r="D5088" s="3">
        <v>0.244718022145924</v>
      </c>
      <c r="E5088" s="3">
        <v>-7.5796701911837099</v>
      </c>
      <c r="F5088" s="4">
        <v>3.4643448227631502E-14</v>
      </c>
      <c r="G5088" s="4">
        <v>8.0266159341690001E-13</v>
      </c>
      <c r="H5088" s="3" t="str">
        <f>"CBX8"</f>
        <v>CBX8</v>
      </c>
      <c r="I5088" s="3" t="str">
        <f>"protein_coding"</f>
        <v>protein_coding</v>
      </c>
    </row>
    <row r="5089" spans="1:9" x14ac:dyDescent="0.2">
      <c r="A5089" s="3" t="str">
        <f>"ENSG00000141582.15"</f>
        <v>ENSG00000141582.15</v>
      </c>
      <c r="B5089" s="3">
        <v>2439.2092907566498</v>
      </c>
      <c r="C5089" s="3">
        <v>-1.2451332941164599</v>
      </c>
      <c r="D5089" s="3">
        <v>0.191366432166369</v>
      </c>
      <c r="E5089" s="3">
        <v>-6.5065397312417197</v>
      </c>
      <c r="F5089" s="4">
        <v>7.6901570455588698E-11</v>
      </c>
      <c r="G5089" s="4">
        <v>1.21892791751217E-9</v>
      </c>
      <c r="H5089" s="3" t="str">
        <f>"CBX4"</f>
        <v>CBX4</v>
      </c>
      <c r="I5089" s="3" t="str">
        <f>"protein_coding"</f>
        <v>protein_coding</v>
      </c>
    </row>
    <row r="5090" spans="1:9" x14ac:dyDescent="0.2">
      <c r="A5090" s="3" t="str">
        <f>"ENSG00000167291.16"</f>
        <v>ENSG00000167291.16</v>
      </c>
      <c r="B5090" s="3">
        <v>3663.8259377804902</v>
      </c>
      <c r="C5090" s="3">
        <v>-1.4956953287369601</v>
      </c>
      <c r="D5090" s="3">
        <v>0.195003236250612</v>
      </c>
      <c r="E5090" s="3">
        <v>-7.6701051607920103</v>
      </c>
      <c r="F5090" s="4">
        <v>1.7185539319695199E-14</v>
      </c>
      <c r="G5090" s="4">
        <v>4.04714252241775E-13</v>
      </c>
      <c r="H5090" s="3" t="str">
        <f>"TBC1D16"</f>
        <v>TBC1D16</v>
      </c>
      <c r="I5090" s="3" t="str">
        <f>"protein_coding"</f>
        <v>protein_coding</v>
      </c>
    </row>
    <row r="5091" spans="1:9" x14ac:dyDescent="0.2">
      <c r="A5091" s="3" t="str">
        <f>"ENSG00000262172.1"</f>
        <v>ENSG00000262172.1</v>
      </c>
      <c r="B5091" s="3">
        <v>124.340642251641</v>
      </c>
      <c r="C5091" s="3">
        <v>-1.88937368491306</v>
      </c>
      <c r="D5091" s="3">
        <v>0.356995814230463</v>
      </c>
      <c r="E5091" s="3">
        <v>-5.2924253159264101</v>
      </c>
      <c r="F5091" s="4">
        <v>1.2070476889446401E-7</v>
      </c>
      <c r="G5091" s="4">
        <v>1.21091415245488E-6</v>
      </c>
      <c r="H5091" s="3" t="str">
        <f>"AC116025.2"</f>
        <v>AC116025.2</v>
      </c>
      <c r="I5091" s="3" t="str">
        <f>"sense_intronic"</f>
        <v>sense_intronic</v>
      </c>
    </row>
    <row r="5092" spans="1:9" x14ac:dyDescent="0.2">
      <c r="A5092" s="3" t="str">
        <f>"ENSG00000261978.1"</f>
        <v>ENSG00000261978.1</v>
      </c>
      <c r="B5092" s="3">
        <v>17.6238987897489</v>
      </c>
      <c r="C5092" s="3">
        <v>-3.0997770192202698</v>
      </c>
      <c r="D5092" s="3">
        <v>0.96277803874518098</v>
      </c>
      <c r="E5092" s="3">
        <v>-3.2196174969469702</v>
      </c>
      <c r="F5092" s="3">
        <v>1.2836174518689699E-3</v>
      </c>
      <c r="G5092" s="3">
        <v>5.4810726705961099E-3</v>
      </c>
      <c r="H5092" s="3" t="str">
        <f>"AC116025.1"</f>
        <v>AC116025.1</v>
      </c>
      <c r="I5092" s="3" t="str">
        <f>"antisense"</f>
        <v>antisense</v>
      </c>
    </row>
    <row r="5093" spans="1:9" x14ac:dyDescent="0.2">
      <c r="A5093" s="3" t="str">
        <f>"ENSG00000141519.15"</f>
        <v>ENSG00000141519.15</v>
      </c>
      <c r="B5093" s="3">
        <v>237.395513672909</v>
      </c>
      <c r="C5093" s="3">
        <v>-1.22946468228349</v>
      </c>
      <c r="D5093" s="3">
        <v>0.27148652592467398</v>
      </c>
      <c r="E5093" s="3">
        <v>-4.5286397845932802</v>
      </c>
      <c r="F5093" s="4">
        <v>5.93646027075107E-6</v>
      </c>
      <c r="G5093" s="4">
        <v>4.4157994266217498E-5</v>
      </c>
      <c r="H5093" s="3" t="str">
        <f>"CCDC40"</f>
        <v>CCDC40</v>
      </c>
      <c r="I5093" s="3" t="str">
        <f>"protein_coding"</f>
        <v>protein_coding</v>
      </c>
    </row>
    <row r="5094" spans="1:9" x14ac:dyDescent="0.2">
      <c r="A5094" s="3" t="str">
        <f>"ENSG00000141527.18"</f>
        <v>ENSG00000141527.18</v>
      </c>
      <c r="B5094" s="3">
        <v>30.501991219340699</v>
      </c>
      <c r="C5094" s="3">
        <v>4.8401177777975599</v>
      </c>
      <c r="D5094" s="3">
        <v>0.937907408107159</v>
      </c>
      <c r="E5094" s="3">
        <v>5.1605496832205002</v>
      </c>
      <c r="F5094" s="4">
        <v>2.46225804777221E-7</v>
      </c>
      <c r="G5094" s="4">
        <v>2.3359730162830599E-6</v>
      </c>
      <c r="H5094" s="3" t="str">
        <f>"CARD14"</f>
        <v>CARD14</v>
      </c>
      <c r="I5094" s="3" t="str">
        <f>"protein_coding"</f>
        <v>protein_coding</v>
      </c>
    </row>
    <row r="5095" spans="1:9" x14ac:dyDescent="0.2">
      <c r="A5095" s="3" t="str">
        <f>"ENSG00000262580.5"</f>
        <v>ENSG00000262580.5</v>
      </c>
      <c r="B5095" s="3">
        <v>185.183032540699</v>
      </c>
      <c r="C5095" s="3">
        <v>1.91009940532275</v>
      </c>
      <c r="D5095" s="3">
        <v>0.30681025415422303</v>
      </c>
      <c r="E5095" s="3">
        <v>6.2256700337095303</v>
      </c>
      <c r="F5095" s="4">
        <v>4.7950229619850503E-10</v>
      </c>
      <c r="G5095" s="4">
        <v>6.75542867865598E-9</v>
      </c>
      <c r="H5095" s="3" t="str">
        <f>"AC087741.1"</f>
        <v>AC087741.1</v>
      </c>
      <c r="I5095" s="3" t="str">
        <f>"antisense"</f>
        <v>antisense</v>
      </c>
    </row>
    <row r="5096" spans="1:9" x14ac:dyDescent="0.2">
      <c r="A5096" s="3" t="str">
        <f>"ENSG00000173821.19"</f>
        <v>ENSG00000173821.19</v>
      </c>
      <c r="B5096" s="3">
        <v>18388.5593558361</v>
      </c>
      <c r="C5096" s="3">
        <v>1.5825887803413199</v>
      </c>
      <c r="D5096" s="3">
        <v>0.17661338873584501</v>
      </c>
      <c r="E5096" s="3">
        <v>8.9607520226473092</v>
      </c>
      <c r="F5096" s="4">
        <v>3.2247151916089402E-19</v>
      </c>
      <c r="G5096" s="4">
        <v>1.1500499322744599E-17</v>
      </c>
      <c r="H5096" s="3" t="str">
        <f>"AC124319.1"</f>
        <v>AC124319.1</v>
      </c>
      <c r="I5096" s="3" t="str">
        <f>"protein_coding"</f>
        <v>protein_coding</v>
      </c>
    </row>
    <row r="5097" spans="1:9" x14ac:dyDescent="0.2">
      <c r="A5097" s="3" t="str">
        <f>"ENSG00000262979.1"</f>
        <v>ENSG00000262979.1</v>
      </c>
      <c r="B5097" s="3">
        <v>25.226854323545101</v>
      </c>
      <c r="C5097" s="3">
        <v>2.3549150385251001</v>
      </c>
      <c r="D5097" s="3">
        <v>0.72092141582809899</v>
      </c>
      <c r="E5097" s="3">
        <v>3.2665350020432999</v>
      </c>
      <c r="F5097" s="3">
        <v>1.0887234793905999E-3</v>
      </c>
      <c r="G5097" s="3">
        <v>4.7463117828729102E-3</v>
      </c>
      <c r="H5097" s="3" t="str">
        <f>"AC124319.2"</f>
        <v>AC124319.2</v>
      </c>
      <c r="I5097" s="3" t="str">
        <f>"sense_intronic"</f>
        <v>sense_intronic</v>
      </c>
    </row>
    <row r="5098" spans="1:9" x14ac:dyDescent="0.2">
      <c r="A5098" s="3" t="str">
        <f>"ENSG00000280248.1"</f>
        <v>ENSG00000280248.1</v>
      </c>
      <c r="B5098" s="3">
        <v>39.970002429078299</v>
      </c>
      <c r="C5098" s="3">
        <v>2.3155741196431099</v>
      </c>
      <c r="D5098" s="3">
        <v>0.59475994501902796</v>
      </c>
      <c r="E5098" s="3">
        <v>3.8932919727286399</v>
      </c>
      <c r="F5098" s="4">
        <v>9.8893008502014295E-5</v>
      </c>
      <c r="G5098" s="3">
        <v>5.6655546733691802E-4</v>
      </c>
      <c r="H5098" s="3" t="str">
        <f>"AC124319.5"</f>
        <v>AC124319.5</v>
      </c>
      <c r="I5098" s="3" t="str">
        <f>"TEC"</f>
        <v>TEC</v>
      </c>
    </row>
    <row r="5099" spans="1:9" x14ac:dyDescent="0.2">
      <c r="A5099" s="3" t="str">
        <f>"ENSG00000171246.6"</f>
        <v>ENSG00000171246.6</v>
      </c>
      <c r="B5099" s="3">
        <v>97.834652648736693</v>
      </c>
      <c r="C5099" s="3">
        <v>5.0676908678914003</v>
      </c>
      <c r="D5099" s="3">
        <v>0.57978234230891301</v>
      </c>
      <c r="E5099" s="3">
        <v>8.7406781788316206</v>
      </c>
      <c r="F5099" s="4">
        <v>2.3171521230151601E-18</v>
      </c>
      <c r="G5099" s="4">
        <v>7.7561970387953596E-17</v>
      </c>
      <c r="H5099" s="3" t="str">
        <f>"NPTX1"</f>
        <v>NPTX1</v>
      </c>
      <c r="I5099" s="3" t="str">
        <f>"protein_coding"</f>
        <v>protein_coding</v>
      </c>
    </row>
    <row r="5100" spans="1:9" x14ac:dyDescent="0.2">
      <c r="A5100" s="3" t="str">
        <f>"ENSG00000261924.1"</f>
        <v>ENSG00000261924.1</v>
      </c>
      <c r="B5100" s="3">
        <v>219.357305162252</v>
      </c>
      <c r="C5100" s="3">
        <v>11.1740010395532</v>
      </c>
      <c r="D5100" s="3">
        <v>1.4696917566780501</v>
      </c>
      <c r="E5100" s="3">
        <v>7.60295551007912</v>
      </c>
      <c r="F5100" s="4">
        <v>2.8944301819614499E-14</v>
      </c>
      <c r="G5100" s="4">
        <v>6.7290562429952E-13</v>
      </c>
      <c r="H5100" s="3" t="str">
        <f>"AC127496.1"</f>
        <v>AC127496.1</v>
      </c>
      <c r="I5100" s="3" t="str">
        <f>"antisense"</f>
        <v>antisense</v>
      </c>
    </row>
    <row r="5101" spans="1:9" x14ac:dyDescent="0.2">
      <c r="A5101" s="3" t="str">
        <f>"ENSG00000280351.2"</f>
        <v>ENSG00000280351.2</v>
      </c>
      <c r="B5101" s="3">
        <v>29.927517761511801</v>
      </c>
      <c r="C5101" s="3">
        <v>-2.13367833810906</v>
      </c>
      <c r="D5101" s="3">
        <v>0.69859378055736998</v>
      </c>
      <c r="E5101" s="3">
        <v>-3.0542475434103</v>
      </c>
      <c r="F5101" s="3">
        <v>2.2562582358742899E-3</v>
      </c>
      <c r="G5101" s="3">
        <v>8.9342055156033696E-3</v>
      </c>
      <c r="H5101" s="3" t="str">
        <f>"AC127496.7"</f>
        <v>AC127496.7</v>
      </c>
      <c r="I5101" s="3" t="str">
        <f>"TEC"</f>
        <v>TEC</v>
      </c>
    </row>
    <row r="5102" spans="1:9" x14ac:dyDescent="0.2">
      <c r="A5102" s="3" t="str">
        <f>"ENSG00000275966.1"</f>
        <v>ENSG00000275966.1</v>
      </c>
      <c r="B5102" s="3">
        <v>23.9529758846489</v>
      </c>
      <c r="C5102" s="3">
        <v>-2.04082172230502</v>
      </c>
      <c r="D5102" s="3">
        <v>0.73568896344847301</v>
      </c>
      <c r="E5102" s="3">
        <v>-2.77402791627981</v>
      </c>
      <c r="F5102" s="3">
        <v>5.5366926861293297E-3</v>
      </c>
      <c r="G5102" s="3">
        <v>1.9388030538358299E-2</v>
      </c>
      <c r="H5102" s="3" t="str">
        <f>"AC110285.6"</f>
        <v>AC110285.6</v>
      </c>
      <c r="I5102" s="3" t="str">
        <f>"lincRNA"</f>
        <v>lincRNA</v>
      </c>
    </row>
    <row r="5103" spans="1:9" x14ac:dyDescent="0.2">
      <c r="A5103" s="3" t="str">
        <f>"ENSG00000262877.4"</f>
        <v>ENSG00000262877.4</v>
      </c>
      <c r="B5103" s="3">
        <v>113.751877055333</v>
      </c>
      <c r="C5103" s="3">
        <v>-1.51339407949201</v>
      </c>
      <c r="D5103" s="3">
        <v>0.36032945215939899</v>
      </c>
      <c r="E5103" s="3">
        <v>-4.20002880814343</v>
      </c>
      <c r="F5103" s="4">
        <v>2.6688102156557501E-5</v>
      </c>
      <c r="G5103" s="3">
        <v>1.7288890144073299E-4</v>
      </c>
      <c r="H5103" s="3" t="str">
        <f>"AC110285.2"</f>
        <v>AC110285.2</v>
      </c>
      <c r="I5103" s="3" t="str">
        <f>"lincRNA"</f>
        <v>lincRNA</v>
      </c>
    </row>
    <row r="5104" spans="1:9" x14ac:dyDescent="0.2">
      <c r="A5104" s="3" t="str">
        <f>"ENSG00000266074.8"</f>
        <v>ENSG00000266074.8</v>
      </c>
      <c r="B5104" s="3">
        <v>2627.6184423403702</v>
      </c>
      <c r="C5104" s="3">
        <v>-2.4524722535783301</v>
      </c>
      <c r="D5104" s="3">
        <v>0.22764141207184099</v>
      </c>
      <c r="E5104" s="3">
        <v>-10.773401163072901</v>
      </c>
      <c r="F5104" s="4">
        <v>4.5969910691445899E-27</v>
      </c>
      <c r="G5104" s="4">
        <v>2.9471580155525302E-25</v>
      </c>
      <c r="H5104" s="3" t="str">
        <f>"BAHCC1"</f>
        <v>BAHCC1</v>
      </c>
      <c r="I5104" s="3" t="str">
        <f>"protein_coding"</f>
        <v>protein_coding</v>
      </c>
    </row>
    <row r="5105" spans="1:9" x14ac:dyDescent="0.2">
      <c r="A5105" s="3" t="str">
        <f>"ENSG00000279692.1"</f>
        <v>ENSG00000279692.1</v>
      </c>
      <c r="B5105" s="3">
        <v>529.56686552930398</v>
      </c>
      <c r="C5105" s="3">
        <v>-2.19927924147881</v>
      </c>
      <c r="D5105" s="3">
        <v>0.24062671244685199</v>
      </c>
      <c r="E5105" s="3">
        <v>-9.1397967379226994</v>
      </c>
      <c r="F5105" s="4">
        <v>6.2569821620878999E-20</v>
      </c>
      <c r="G5105" s="4">
        <v>2.3744288714541698E-18</v>
      </c>
      <c r="H5105" s="3" t="str">
        <f>"AC110285.7"</f>
        <v>AC110285.7</v>
      </c>
      <c r="I5105" s="3" t="str">
        <f>"TEC"</f>
        <v>TEC</v>
      </c>
    </row>
    <row r="5106" spans="1:9" x14ac:dyDescent="0.2">
      <c r="A5106" s="3" t="str">
        <f>"ENSG00000184009.11"</f>
        <v>ENSG00000184009.11</v>
      </c>
      <c r="B5106" s="3">
        <v>102584.95446497999</v>
      </c>
      <c r="C5106" s="3">
        <v>-1.83664424270863</v>
      </c>
      <c r="D5106" s="3">
        <v>0.22088885442105</v>
      </c>
      <c r="E5106" s="3">
        <v>-8.3147891165558292</v>
      </c>
      <c r="F5106" s="4">
        <v>9.1915564225284204E-17</v>
      </c>
      <c r="G5106" s="4">
        <v>2.6958271027409201E-15</v>
      </c>
      <c r="H5106" s="3" t="str">
        <f>"ACTG1"</f>
        <v>ACTG1</v>
      </c>
      <c r="I5106" s="3" t="str">
        <f t="shared" ref="I5106:I5122" si="232">"protein_coding"</f>
        <v>protein_coding</v>
      </c>
    </row>
    <row r="5107" spans="1:9" x14ac:dyDescent="0.2">
      <c r="A5107" s="3" t="str">
        <f>"ENSG00000185527.12"</f>
        <v>ENSG00000185527.12</v>
      </c>
      <c r="B5107" s="3">
        <v>96.795590218399695</v>
      </c>
      <c r="C5107" s="3">
        <v>1.2063331899990599</v>
      </c>
      <c r="D5107" s="3">
        <v>0.40120001213592299</v>
      </c>
      <c r="E5107" s="3">
        <v>3.0068124464322401</v>
      </c>
      <c r="F5107" s="3">
        <v>2.6400259198872999E-3</v>
      </c>
      <c r="G5107" s="3">
        <v>1.02351716333479E-2</v>
      </c>
      <c r="H5107" s="3" t="str">
        <f>"AC139530.1"</f>
        <v>AC139530.1</v>
      </c>
      <c r="I5107" s="3" t="str">
        <f t="shared" si="232"/>
        <v>protein_coding</v>
      </c>
    </row>
    <row r="5108" spans="1:9" x14ac:dyDescent="0.2">
      <c r="A5108" s="3" t="str">
        <f>"ENSG00000262814.8"</f>
        <v>ENSG00000262814.8</v>
      </c>
      <c r="B5108" s="3">
        <v>1100.7643918532101</v>
      </c>
      <c r="C5108" s="3">
        <v>-1.3447610606448399</v>
      </c>
      <c r="D5108" s="3">
        <v>0.24112202241871999</v>
      </c>
      <c r="E5108" s="3">
        <v>-5.5770976336188802</v>
      </c>
      <c r="F5108" s="4">
        <v>2.4456462133436501E-8</v>
      </c>
      <c r="G5108" s="4">
        <v>2.7592762888188098E-7</v>
      </c>
      <c r="H5108" s="3" t="str">
        <f>"MRPL12"</f>
        <v>MRPL12</v>
      </c>
      <c r="I5108" s="3" t="str">
        <f t="shared" si="232"/>
        <v>protein_coding</v>
      </c>
    </row>
    <row r="5109" spans="1:9" x14ac:dyDescent="0.2">
      <c r="A5109" s="3" t="str">
        <f>"ENSG00000183048.12"</f>
        <v>ENSG00000183048.12</v>
      </c>
      <c r="B5109" s="3">
        <v>540.40361403157794</v>
      </c>
      <c r="C5109" s="3">
        <v>-1.18108411118655</v>
      </c>
      <c r="D5109" s="3">
        <v>0.27240075943840802</v>
      </c>
      <c r="E5109" s="3">
        <v>-4.3358326666251701</v>
      </c>
      <c r="F5109" s="4">
        <v>1.4520938091247099E-5</v>
      </c>
      <c r="G5109" s="4">
        <v>9.95100604054856E-5</v>
      </c>
      <c r="H5109" s="3" t="str">
        <f>"SLC25A10"</f>
        <v>SLC25A10</v>
      </c>
      <c r="I5109" s="3" t="str">
        <f t="shared" si="232"/>
        <v>protein_coding</v>
      </c>
    </row>
    <row r="5110" spans="1:9" x14ac:dyDescent="0.2">
      <c r="A5110" s="3" t="str">
        <f>"ENSG00000141552.17"</f>
        <v>ENSG00000141552.17</v>
      </c>
      <c r="B5110" s="3">
        <v>1243.43248020698</v>
      </c>
      <c r="C5110" s="3">
        <v>-1.05436895795768</v>
      </c>
      <c r="D5110" s="3">
        <v>0.25009727223231498</v>
      </c>
      <c r="E5110" s="3">
        <v>-4.2158354969112697</v>
      </c>
      <c r="F5110" s="4">
        <v>2.4885512132881699E-5</v>
      </c>
      <c r="G5110" s="3">
        <v>1.6194304969778601E-4</v>
      </c>
      <c r="H5110" s="3" t="str">
        <f>"ANAPC11"</f>
        <v>ANAPC11</v>
      </c>
      <c r="I5110" s="3" t="str">
        <f t="shared" si="232"/>
        <v>protein_coding</v>
      </c>
    </row>
    <row r="5111" spans="1:9" x14ac:dyDescent="0.2">
      <c r="A5111" s="3" t="str">
        <f>"ENSG00000185813.10"</f>
        <v>ENSG00000185813.10</v>
      </c>
      <c r="B5111" s="3">
        <v>3663.2632239991499</v>
      </c>
      <c r="C5111" s="3">
        <v>-2.75193435405231</v>
      </c>
      <c r="D5111" s="3">
        <v>0.23061138851839599</v>
      </c>
      <c r="E5111" s="3">
        <v>-11.9332109820448</v>
      </c>
      <c r="F5111" s="4">
        <v>7.9448666236915699E-33</v>
      </c>
      <c r="G5111" s="4">
        <v>7.4389615428083902E-31</v>
      </c>
      <c r="H5111" s="3" t="str">
        <f>"PCYT2"</f>
        <v>PCYT2</v>
      </c>
      <c r="I5111" s="3" t="str">
        <f t="shared" si="232"/>
        <v>protein_coding</v>
      </c>
    </row>
    <row r="5112" spans="1:9" x14ac:dyDescent="0.2">
      <c r="A5112" s="3" t="str">
        <f>"ENSG00000183010.16"</f>
        <v>ENSG00000183010.16</v>
      </c>
      <c r="B5112" s="3">
        <v>5485.13137188369</v>
      </c>
      <c r="C5112" s="3">
        <v>-2.4289499923572699</v>
      </c>
      <c r="D5112" s="3">
        <v>0.219454402214146</v>
      </c>
      <c r="E5112" s="3">
        <v>-11.068130636026501</v>
      </c>
      <c r="F5112" s="4">
        <v>1.79097597906779E-28</v>
      </c>
      <c r="G5112" s="4">
        <v>1.24169777357914E-26</v>
      </c>
      <c r="H5112" s="3" t="str">
        <f>"PYCR1"</f>
        <v>PYCR1</v>
      </c>
      <c r="I5112" s="3" t="str">
        <f t="shared" si="232"/>
        <v>protein_coding</v>
      </c>
    </row>
    <row r="5113" spans="1:9" x14ac:dyDescent="0.2">
      <c r="A5113" s="3" t="str">
        <f>"ENSG00000185269.12"</f>
        <v>ENSG00000185269.12</v>
      </c>
      <c r="B5113" s="3">
        <v>7808.8311805208004</v>
      </c>
      <c r="C5113" s="3">
        <v>-2.2277563928528599</v>
      </c>
      <c r="D5113" s="3">
        <v>0.241044116597606</v>
      </c>
      <c r="E5113" s="3">
        <v>-9.2421106322699504</v>
      </c>
      <c r="F5113" s="4">
        <v>2.41682039986993E-20</v>
      </c>
      <c r="G5113" s="4">
        <v>9.6839860934200108E-19</v>
      </c>
      <c r="H5113" s="3" t="str">
        <f>"NOTUM"</f>
        <v>NOTUM</v>
      </c>
      <c r="I5113" s="3" t="str">
        <f t="shared" si="232"/>
        <v>protein_coding</v>
      </c>
    </row>
    <row r="5114" spans="1:9" x14ac:dyDescent="0.2">
      <c r="A5114" s="3" t="str">
        <f>"ENSG00000169696.16"</f>
        <v>ENSG00000169696.16</v>
      </c>
      <c r="B5114" s="3">
        <v>9816.9933154019709</v>
      </c>
      <c r="C5114" s="3">
        <v>-1.79737365820268</v>
      </c>
      <c r="D5114" s="3">
        <v>0.214335041390042</v>
      </c>
      <c r="E5114" s="3">
        <v>-8.38581338145198</v>
      </c>
      <c r="F5114" s="4">
        <v>5.0376199982524098E-17</v>
      </c>
      <c r="G5114" s="4">
        <v>1.5017508981661201E-15</v>
      </c>
      <c r="H5114" s="3" t="str">
        <f>"ASPSCR1"</f>
        <v>ASPSCR1</v>
      </c>
      <c r="I5114" s="3" t="str">
        <f t="shared" si="232"/>
        <v>protein_coding</v>
      </c>
    </row>
    <row r="5115" spans="1:9" x14ac:dyDescent="0.2">
      <c r="A5115" s="3" t="str">
        <f>"ENSG00000169689.15"</f>
        <v>ENSG00000169689.15</v>
      </c>
      <c r="B5115" s="3">
        <v>904.29245392022005</v>
      </c>
      <c r="C5115" s="3">
        <v>-1.3256089832743201</v>
      </c>
      <c r="D5115" s="3">
        <v>0.25132012423211902</v>
      </c>
      <c r="E5115" s="3">
        <v>-5.2745835110680801</v>
      </c>
      <c r="F5115" s="4">
        <v>1.33057918025491E-7</v>
      </c>
      <c r="G5115" s="4">
        <v>1.3270238259299201E-6</v>
      </c>
      <c r="H5115" s="3" t="str">
        <f>"CENPX"</f>
        <v>CENPX</v>
      </c>
      <c r="I5115" s="3" t="str">
        <f t="shared" si="232"/>
        <v>protein_coding</v>
      </c>
    </row>
    <row r="5116" spans="1:9" x14ac:dyDescent="0.2">
      <c r="A5116" s="3" t="str">
        <f>"ENSG00000169683.8"</f>
        <v>ENSG00000169683.8</v>
      </c>
      <c r="B5116" s="3">
        <v>855.51622586966096</v>
      </c>
      <c r="C5116" s="3">
        <v>-2.2058783852714199</v>
      </c>
      <c r="D5116" s="3">
        <v>0.211839035491447</v>
      </c>
      <c r="E5116" s="3">
        <v>-10.4129929602161</v>
      </c>
      <c r="F5116" s="4">
        <v>2.1631196778468598E-25</v>
      </c>
      <c r="G5116" s="4">
        <v>1.25306756477787E-23</v>
      </c>
      <c r="H5116" s="3" t="str">
        <f>"LRRC45"</f>
        <v>LRRC45</v>
      </c>
      <c r="I5116" s="3" t="str">
        <f t="shared" si="232"/>
        <v>protein_coding</v>
      </c>
    </row>
    <row r="5117" spans="1:9" x14ac:dyDescent="0.2">
      <c r="A5117" s="3" t="str">
        <f>"ENSG00000169750.9"</f>
        <v>ENSG00000169750.9</v>
      </c>
      <c r="B5117" s="3">
        <v>196.71739239154601</v>
      </c>
      <c r="C5117" s="3">
        <v>-1.61959681273031</v>
      </c>
      <c r="D5117" s="3">
        <v>0.30714677949236302</v>
      </c>
      <c r="E5117" s="3">
        <v>-5.2730385628887202</v>
      </c>
      <c r="F5117" s="4">
        <v>1.34183354360713E-7</v>
      </c>
      <c r="G5117" s="4">
        <v>1.3343408234548701E-6</v>
      </c>
      <c r="H5117" s="3" t="str">
        <f>"RAC3"</f>
        <v>RAC3</v>
      </c>
      <c r="I5117" s="3" t="str">
        <f t="shared" si="232"/>
        <v>protein_coding</v>
      </c>
    </row>
    <row r="5118" spans="1:9" x14ac:dyDescent="0.2">
      <c r="A5118" s="3" t="str">
        <f>"ENSG00000169733.12"</f>
        <v>ENSG00000169733.12</v>
      </c>
      <c r="B5118" s="3">
        <v>3200.1114263352201</v>
      </c>
      <c r="C5118" s="3">
        <v>1.1084360473631101</v>
      </c>
      <c r="D5118" s="3">
        <v>0.20696353282782401</v>
      </c>
      <c r="E5118" s="3">
        <v>5.3557070282774397</v>
      </c>
      <c r="F5118" s="4">
        <v>8.5222502702303195E-8</v>
      </c>
      <c r="G5118" s="4">
        <v>8.7229809584134403E-7</v>
      </c>
      <c r="H5118" s="3" t="str">
        <f>"RFNG"</f>
        <v>RFNG</v>
      </c>
      <c r="I5118" s="3" t="str">
        <f t="shared" si="232"/>
        <v>protein_coding</v>
      </c>
    </row>
    <row r="5119" spans="1:9" x14ac:dyDescent="0.2">
      <c r="A5119" s="3" t="str">
        <f>"ENSG00000169710.9"</f>
        <v>ENSG00000169710.9</v>
      </c>
      <c r="B5119" s="3">
        <v>33783.545209251803</v>
      </c>
      <c r="C5119" s="3">
        <v>-2.47331263300407</v>
      </c>
      <c r="D5119" s="3">
        <v>0.24249686343528601</v>
      </c>
      <c r="E5119" s="3">
        <v>-10.199359274039001</v>
      </c>
      <c r="F5119" s="4">
        <v>1.9958480303561801E-24</v>
      </c>
      <c r="G5119" s="4">
        <v>1.06420491747778E-22</v>
      </c>
      <c r="H5119" s="3" t="str">
        <f>"FASN"</f>
        <v>FASN</v>
      </c>
      <c r="I5119" s="3" t="str">
        <f t="shared" si="232"/>
        <v>protein_coding</v>
      </c>
    </row>
    <row r="5120" spans="1:9" x14ac:dyDescent="0.2">
      <c r="A5120" s="3" t="str">
        <f>"ENSG00000141526.16"</f>
        <v>ENSG00000141526.16</v>
      </c>
      <c r="B5120" s="3">
        <v>12195.3574913868</v>
      </c>
      <c r="C5120" s="3">
        <v>-1.46226788716986</v>
      </c>
      <c r="D5120" s="3">
        <v>0.21362613559846799</v>
      </c>
      <c r="E5120" s="3">
        <v>-6.8449859052748998</v>
      </c>
      <c r="F5120" s="4">
        <v>7.6483401404535205E-12</v>
      </c>
      <c r="G5120" s="4">
        <v>1.3634026484322201E-10</v>
      </c>
      <c r="H5120" s="3" t="str">
        <f>"SLC16A3"</f>
        <v>SLC16A3</v>
      </c>
      <c r="I5120" s="3" t="str">
        <f t="shared" si="232"/>
        <v>protein_coding</v>
      </c>
    </row>
    <row r="5121" spans="1:9" x14ac:dyDescent="0.2">
      <c r="A5121" s="3" t="str">
        <f>"ENSG00000173762.8"</f>
        <v>ENSG00000173762.8</v>
      </c>
      <c r="B5121" s="3">
        <v>1182.8810137283001</v>
      </c>
      <c r="C5121" s="3">
        <v>-1.16877171090885</v>
      </c>
      <c r="D5121" s="3">
        <v>0.26560472852935302</v>
      </c>
      <c r="E5121" s="3">
        <v>-4.4004175580017497</v>
      </c>
      <c r="F5121" s="4">
        <v>1.0804277082239601E-5</v>
      </c>
      <c r="G5121" s="4">
        <v>7.6127266009770795E-5</v>
      </c>
      <c r="H5121" s="3" t="str">
        <f>"CD7"</f>
        <v>CD7</v>
      </c>
      <c r="I5121" s="3" t="str">
        <f t="shared" si="232"/>
        <v>protein_coding</v>
      </c>
    </row>
    <row r="5122" spans="1:9" x14ac:dyDescent="0.2">
      <c r="A5122" s="3" t="str">
        <f>"ENSG00000181396.13"</f>
        <v>ENSG00000181396.13</v>
      </c>
      <c r="B5122" s="3">
        <v>1607.8173165206999</v>
      </c>
      <c r="C5122" s="3">
        <v>-1.4249762125687</v>
      </c>
      <c r="D5122" s="3">
        <v>0.219091138150807</v>
      </c>
      <c r="E5122" s="3">
        <v>-6.5040340042774503</v>
      </c>
      <c r="F5122" s="4">
        <v>7.8194209081230503E-11</v>
      </c>
      <c r="G5122" s="4">
        <v>1.2379765338967401E-9</v>
      </c>
      <c r="H5122" s="3" t="str">
        <f>"OGFOD3"</f>
        <v>OGFOD3</v>
      </c>
      <c r="I5122" s="3" t="str">
        <f t="shared" si="232"/>
        <v>protein_coding</v>
      </c>
    </row>
    <row r="5123" spans="1:9" x14ac:dyDescent="0.2">
      <c r="A5123" s="3" t="str">
        <f>"ENSG00000279744.1"</f>
        <v>ENSG00000279744.1</v>
      </c>
      <c r="B5123" s="3">
        <v>180.73135790661101</v>
      </c>
      <c r="C5123" s="3">
        <v>1.0914291208828</v>
      </c>
      <c r="D5123" s="3">
        <v>0.30252397200061099</v>
      </c>
      <c r="E5123" s="3">
        <v>3.60774425135671</v>
      </c>
      <c r="F5123" s="3">
        <v>3.0887072144483198E-4</v>
      </c>
      <c r="G5123" s="3">
        <v>1.5642751946482001E-3</v>
      </c>
      <c r="H5123" s="3" t="str">
        <f>"AC132938.5"</f>
        <v>AC132938.5</v>
      </c>
      <c r="I5123" s="3" t="str">
        <f>"TEC"</f>
        <v>TEC</v>
      </c>
    </row>
    <row r="5124" spans="1:9" x14ac:dyDescent="0.2">
      <c r="A5124" s="3" t="str">
        <f>"ENSG00000141568.21"</f>
        <v>ENSG00000141568.21</v>
      </c>
      <c r="B5124" s="3">
        <v>6913.44679721594</v>
      </c>
      <c r="C5124" s="3">
        <v>-1.03099561094952</v>
      </c>
      <c r="D5124" s="3">
        <v>0.192370448542759</v>
      </c>
      <c r="E5124" s="3">
        <v>-5.3594282217435198</v>
      </c>
      <c r="F5124" s="4">
        <v>8.3485755044238594E-8</v>
      </c>
      <c r="G5124" s="4">
        <v>8.5774372839003302E-7</v>
      </c>
      <c r="H5124" s="3" t="str">
        <f>"FOXK2"</f>
        <v>FOXK2</v>
      </c>
      <c r="I5124" s="3" t="str">
        <f>"protein_coding"</f>
        <v>protein_coding</v>
      </c>
    </row>
    <row r="5125" spans="1:9" x14ac:dyDescent="0.2">
      <c r="A5125" s="3" t="str">
        <f>"ENSG00000167363.14"</f>
        <v>ENSG00000167363.14</v>
      </c>
      <c r="B5125" s="3">
        <v>1369.0670302896699</v>
      </c>
      <c r="C5125" s="3">
        <v>-1.01114672832945</v>
      </c>
      <c r="D5125" s="3">
        <v>0.20428189974645999</v>
      </c>
      <c r="E5125" s="3">
        <v>-4.9497617242859402</v>
      </c>
      <c r="F5125" s="4">
        <v>7.4304394533895599E-7</v>
      </c>
      <c r="G5125" s="4">
        <v>6.5015152147240004E-6</v>
      </c>
      <c r="H5125" s="3" t="str">
        <f>"FN3K"</f>
        <v>FN3K</v>
      </c>
      <c r="I5125" s="3" t="str">
        <f>"protein_coding"</f>
        <v>protein_coding</v>
      </c>
    </row>
    <row r="5126" spans="1:9" x14ac:dyDescent="0.2">
      <c r="A5126" s="3" t="str">
        <f>"ENSG00000176845.13"</f>
        <v>ENSG00000176845.13</v>
      </c>
      <c r="B5126" s="3">
        <v>371.98070332582802</v>
      </c>
      <c r="C5126" s="3">
        <v>3.17235192472948</v>
      </c>
      <c r="D5126" s="3">
        <v>0.26592430704616499</v>
      </c>
      <c r="E5126" s="3">
        <v>11.9295297220752</v>
      </c>
      <c r="F5126" s="4">
        <v>8.3041287828849401E-33</v>
      </c>
      <c r="G5126" s="4">
        <v>7.7487190735364999E-31</v>
      </c>
      <c r="H5126" s="3" t="str">
        <f>"METRNL"</f>
        <v>METRNL</v>
      </c>
      <c r="I5126" s="3" t="str">
        <f>"protein_coding"</f>
        <v>protein_coding</v>
      </c>
    </row>
    <row r="5127" spans="1:9" x14ac:dyDescent="0.2">
      <c r="A5127" s="3" t="str">
        <f>"ENSG00000173213.9"</f>
        <v>ENSG00000173213.9</v>
      </c>
      <c r="B5127" s="3">
        <v>238.59279207676201</v>
      </c>
      <c r="C5127" s="3">
        <v>-2.0770669052005699</v>
      </c>
      <c r="D5127" s="3">
        <v>0.30677147772207902</v>
      </c>
      <c r="E5127" s="3">
        <v>-6.7707301885551798</v>
      </c>
      <c r="F5127" s="4">
        <v>1.2813403863489401E-11</v>
      </c>
      <c r="G5127" s="4">
        <v>2.22657407569193E-10</v>
      </c>
      <c r="H5127" s="3" t="str">
        <f>"TUBB8P12"</f>
        <v>TUBB8P12</v>
      </c>
      <c r="I5127" s="3" t="str">
        <f>"protein_coding"</f>
        <v>protein_coding</v>
      </c>
    </row>
    <row r="5128" spans="1:9" x14ac:dyDescent="0.2">
      <c r="A5128" s="3" t="str">
        <f>"ENSG00000282965.1"</f>
        <v>ENSG00000282965.1</v>
      </c>
      <c r="B5128" s="3">
        <v>80.856179938023104</v>
      </c>
      <c r="C5128" s="3">
        <v>-1.2662268269241299</v>
      </c>
      <c r="D5128" s="3">
        <v>0.40450847972979498</v>
      </c>
      <c r="E5128" s="3">
        <v>-3.1302850011202499</v>
      </c>
      <c r="F5128" s="3">
        <v>1.74636782274778E-3</v>
      </c>
      <c r="G5128" s="3">
        <v>7.1856363736648599E-3</v>
      </c>
      <c r="H5128" s="3" t="str">
        <f>"AP001005.3"</f>
        <v>AP001005.3</v>
      </c>
      <c r="I5128" s="3" t="str">
        <f>"lincRNA"</f>
        <v>lincRNA</v>
      </c>
    </row>
    <row r="5129" spans="1:9" x14ac:dyDescent="0.2">
      <c r="A5129" s="3" t="str">
        <f>"ENSG00000277521.1"</f>
        <v>ENSG00000277521.1</v>
      </c>
      <c r="B5129" s="3">
        <v>17.9215714240061</v>
      </c>
      <c r="C5129" s="3">
        <v>4.4674671174913199</v>
      </c>
      <c r="D5129" s="3">
        <v>1.1192349028700399</v>
      </c>
      <c r="E5129" s="3">
        <v>3.9915366345665602</v>
      </c>
      <c r="F5129" s="4">
        <v>6.56465447852277E-5</v>
      </c>
      <c r="G5129" s="3">
        <v>3.9122296713978502E-4</v>
      </c>
      <c r="H5129" s="3" t="str">
        <f>"MIR8078"</f>
        <v>MIR8078</v>
      </c>
      <c r="I5129" s="3" t="str">
        <f>"miRNA"</f>
        <v>miRNA</v>
      </c>
    </row>
    <row r="5130" spans="1:9" x14ac:dyDescent="0.2">
      <c r="A5130" s="3" t="str">
        <f>"ENSG00000079101.16"</f>
        <v>ENSG00000079101.16</v>
      </c>
      <c r="B5130" s="3">
        <v>7.56428404140431</v>
      </c>
      <c r="C5130" s="3">
        <v>3.7723966223521002</v>
      </c>
      <c r="D5130" s="3">
        <v>1.50666124825488</v>
      </c>
      <c r="E5130" s="3">
        <v>2.50381207236966</v>
      </c>
      <c r="F5130" s="3">
        <v>1.22863274533834E-2</v>
      </c>
      <c r="G5130" s="3">
        <v>3.7758353724603698E-2</v>
      </c>
      <c r="H5130" s="3" t="str">
        <f>"CLUL1"</f>
        <v>CLUL1</v>
      </c>
      <c r="I5130" s="3" t="str">
        <f>"protein_coding"</f>
        <v>protein_coding</v>
      </c>
    </row>
    <row r="5131" spans="1:9" x14ac:dyDescent="0.2">
      <c r="A5131" s="3" t="str">
        <f>"ENSG00000263727.1"</f>
        <v>ENSG00000263727.1</v>
      </c>
      <c r="B5131" s="3">
        <v>92.743445880753299</v>
      </c>
      <c r="C5131" s="3">
        <v>1.0649889781864299</v>
      </c>
      <c r="D5131" s="3">
        <v>0.385553155504264</v>
      </c>
      <c r="E5131" s="3">
        <v>2.7622364464726799</v>
      </c>
      <c r="F5131" s="3">
        <v>5.7406888133358803E-3</v>
      </c>
      <c r="G5131" s="3">
        <v>1.9979122250218799E-2</v>
      </c>
      <c r="H5131" s="3" t="str">
        <f>"AP001178.1"</f>
        <v>AP001178.1</v>
      </c>
      <c r="I5131" s="3" t="str">
        <f>"sense_intronic"</f>
        <v>sense_intronic</v>
      </c>
    </row>
    <row r="5132" spans="1:9" x14ac:dyDescent="0.2">
      <c r="A5132" s="3" t="str">
        <f>"ENSG00000264635.1"</f>
        <v>ENSG00000264635.1</v>
      </c>
      <c r="B5132" s="3">
        <v>74.889860424202396</v>
      </c>
      <c r="C5132" s="3">
        <v>1.2654742327355599</v>
      </c>
      <c r="D5132" s="3">
        <v>0.42794440109057702</v>
      </c>
      <c r="E5132" s="3">
        <v>2.95709963609902</v>
      </c>
      <c r="F5132" s="3">
        <v>3.10547751085687E-3</v>
      </c>
      <c r="G5132" s="3">
        <v>1.1807835017906399E-2</v>
      </c>
      <c r="H5132" s="3" t="str">
        <f>"AP001020.2"</f>
        <v>AP001020.2</v>
      </c>
      <c r="I5132" s="3" t="str">
        <f>"sense_intronic"</f>
        <v>sense_intronic</v>
      </c>
    </row>
    <row r="5133" spans="1:9" x14ac:dyDescent="0.2">
      <c r="A5133" s="3" t="str">
        <f>"ENSG00000206687.1"</f>
        <v>ENSG00000206687.1</v>
      </c>
      <c r="B5133" s="3">
        <v>43.388623565584197</v>
      </c>
      <c r="C5133" s="3">
        <v>1.8293689665058801</v>
      </c>
      <c r="D5133" s="3">
        <v>0.55466556957088797</v>
      </c>
      <c r="E5133" s="3">
        <v>3.2981476891041801</v>
      </c>
      <c r="F5133" s="3">
        <v>9.7324929109000998E-4</v>
      </c>
      <c r="G5133" s="3">
        <v>4.3139943768227603E-3</v>
      </c>
      <c r="H5133" s="3" t="str">
        <f>"RNU1-109P"</f>
        <v>RNU1-109P</v>
      </c>
      <c r="I5133" s="3" t="str">
        <f>"snRNA"</f>
        <v>snRNA</v>
      </c>
    </row>
    <row r="5134" spans="1:9" x14ac:dyDescent="0.2">
      <c r="A5134" s="3" t="str">
        <f>"ENSG00000263745.6"</f>
        <v>ENSG00000263745.6</v>
      </c>
      <c r="B5134" s="3">
        <v>4.3302005939076098</v>
      </c>
      <c r="C5134" s="3">
        <v>5.5088803257156904</v>
      </c>
      <c r="D5134" s="3">
        <v>2.1104502212244198</v>
      </c>
      <c r="E5134" s="3">
        <v>2.6102867863519599</v>
      </c>
      <c r="F5134" s="3">
        <v>9.0466346159683401E-3</v>
      </c>
      <c r="G5134" s="3">
        <v>2.9246992570157698E-2</v>
      </c>
      <c r="H5134" s="3" t="str">
        <f>"AP005230.1"</f>
        <v>AP005230.1</v>
      </c>
      <c r="I5134" s="3" t="str">
        <f>"lincRNA"</f>
        <v>lincRNA</v>
      </c>
    </row>
    <row r="5135" spans="1:9" x14ac:dyDescent="0.2">
      <c r="A5135" s="3" t="str">
        <f>"ENSG00000101605.12"</f>
        <v>ENSG00000101605.12</v>
      </c>
      <c r="B5135" s="3">
        <v>236.894108048064</v>
      </c>
      <c r="C5135" s="3">
        <v>3.2037303520065898</v>
      </c>
      <c r="D5135" s="3">
        <v>0.31961379994630901</v>
      </c>
      <c r="E5135" s="3">
        <v>10.0237547707413</v>
      </c>
      <c r="F5135" s="4">
        <v>1.19860909331195E-23</v>
      </c>
      <c r="G5135" s="4">
        <v>6.0255538681680298E-22</v>
      </c>
      <c r="H5135" s="3" t="str">
        <f>"MYOM1"</f>
        <v>MYOM1</v>
      </c>
      <c r="I5135" s="3" t="str">
        <f>"protein_coding"</f>
        <v>protein_coding</v>
      </c>
    </row>
    <row r="5136" spans="1:9" x14ac:dyDescent="0.2">
      <c r="A5136" s="3" t="str">
        <f>"ENSG00000265399.1"</f>
        <v>ENSG00000265399.1</v>
      </c>
      <c r="B5136" s="3">
        <v>14.338474003003199</v>
      </c>
      <c r="C5136" s="3">
        <v>2.5880057093508602</v>
      </c>
      <c r="D5136" s="3">
        <v>1.03040282464593</v>
      </c>
      <c r="E5136" s="3">
        <v>2.51164461844342</v>
      </c>
      <c r="F5136" s="3">
        <v>1.2017003661173699E-2</v>
      </c>
      <c r="G5136" s="3">
        <v>3.7064444052071599E-2</v>
      </c>
      <c r="H5136" s="3" t="str">
        <f>"AP005329.2"</f>
        <v>AP005329.2</v>
      </c>
      <c r="I5136" s="3" t="str">
        <f>"antisense"</f>
        <v>antisense</v>
      </c>
    </row>
    <row r="5137" spans="1:9" x14ac:dyDescent="0.2">
      <c r="A5137" s="3" t="str">
        <f>"ENSG00000170579.17"</f>
        <v>ENSG00000170579.17</v>
      </c>
      <c r="B5137" s="3">
        <v>17.801169746019301</v>
      </c>
      <c r="C5137" s="3">
        <v>3.6779759364341502</v>
      </c>
      <c r="D5137" s="3">
        <v>0.98467560587677605</v>
      </c>
      <c r="E5137" s="3">
        <v>3.7352158563522102</v>
      </c>
      <c r="F5137" s="3">
        <v>1.8755424240861701E-4</v>
      </c>
      <c r="G5137" s="3">
        <v>1.00655710910136E-3</v>
      </c>
      <c r="H5137" s="3" t="str">
        <f>"DLGAP1"</f>
        <v>DLGAP1</v>
      </c>
      <c r="I5137" s="3" t="str">
        <f>"protein_coding"</f>
        <v>protein_coding</v>
      </c>
    </row>
    <row r="5138" spans="1:9" x14ac:dyDescent="0.2">
      <c r="A5138" s="3" t="str">
        <f>"ENSG00000264575.1"</f>
        <v>ENSG00000264575.1</v>
      </c>
      <c r="B5138" s="3">
        <v>223.801013345347</v>
      </c>
      <c r="C5138" s="3">
        <v>-1.74054324523839</v>
      </c>
      <c r="D5138" s="3">
        <v>0.30173268146458998</v>
      </c>
      <c r="E5138" s="3">
        <v>-5.7684942737721103</v>
      </c>
      <c r="F5138" s="4">
        <v>7.9982930276537503E-9</v>
      </c>
      <c r="G5138" s="4">
        <v>9.6471664508402705E-8</v>
      </c>
      <c r="H5138" s="3" t="str">
        <f>"LINC00526"</f>
        <v>LINC00526</v>
      </c>
      <c r="I5138" s="3" t="str">
        <f>"lincRNA"</f>
        <v>lincRNA</v>
      </c>
    </row>
    <row r="5139" spans="1:9" x14ac:dyDescent="0.2">
      <c r="A5139" s="3" t="str">
        <f>"ENSG00000082397.17"</f>
        <v>ENSG00000082397.17</v>
      </c>
      <c r="B5139" s="3">
        <v>9.5117878105551306</v>
      </c>
      <c r="C5139" s="3">
        <v>5.1604908298054202</v>
      </c>
      <c r="D5139" s="3">
        <v>1.7589503074544801</v>
      </c>
      <c r="E5139" s="3">
        <v>2.9338468562386999</v>
      </c>
      <c r="F5139" s="3">
        <v>3.3478934988848599E-3</v>
      </c>
      <c r="G5139" s="3">
        <v>1.2597714979162501E-2</v>
      </c>
      <c r="H5139" s="3" t="str">
        <f>"EPB41L3"</f>
        <v>EPB41L3</v>
      </c>
      <c r="I5139" s="3" t="str">
        <f>"protein_coding"</f>
        <v>protein_coding</v>
      </c>
    </row>
    <row r="5140" spans="1:9" x14ac:dyDescent="0.2">
      <c r="A5140" s="3" t="str">
        <f>"ENSG00000154655.15"</f>
        <v>ENSG00000154655.15</v>
      </c>
      <c r="B5140" s="3">
        <v>112.414122194141</v>
      </c>
      <c r="C5140" s="3">
        <v>-1.2263433584167001</v>
      </c>
      <c r="D5140" s="3">
        <v>0.36902343388585301</v>
      </c>
      <c r="E5140" s="3">
        <v>-3.3232126900538201</v>
      </c>
      <c r="F5140" s="3">
        <v>8.8987037479182102E-4</v>
      </c>
      <c r="G5140" s="3">
        <v>3.9803409352422697E-3</v>
      </c>
      <c r="H5140" s="3" t="str">
        <f>"L3MBTL4"</f>
        <v>L3MBTL4</v>
      </c>
      <c r="I5140" s="3" t="str">
        <f>"protein_coding"</f>
        <v>protein_coding</v>
      </c>
    </row>
    <row r="5141" spans="1:9" x14ac:dyDescent="0.2">
      <c r="A5141" s="3" t="str">
        <f>"ENSG00000101680.15"</f>
        <v>ENSG00000101680.15</v>
      </c>
      <c r="B5141" s="3">
        <v>359.21172131992</v>
      </c>
      <c r="C5141" s="3">
        <v>4.4196076459156002</v>
      </c>
      <c r="D5141" s="3">
        <v>0.30755102882971203</v>
      </c>
      <c r="E5141" s="3">
        <v>14.3703230736474</v>
      </c>
      <c r="F5141" s="4">
        <v>7.9459710577636302E-47</v>
      </c>
      <c r="G5141" s="4">
        <v>1.38784534237747E-44</v>
      </c>
      <c r="H5141" s="3" t="str">
        <f>"LAMA1"</f>
        <v>LAMA1</v>
      </c>
      <c r="I5141" s="3" t="str">
        <f>"protein_coding"</f>
        <v>protein_coding</v>
      </c>
    </row>
    <row r="5142" spans="1:9" x14ac:dyDescent="0.2">
      <c r="A5142" s="3" t="str">
        <f>"ENSG00000266805.1"</f>
        <v>ENSG00000266805.1</v>
      </c>
      <c r="B5142" s="3">
        <v>56.6286346920093</v>
      </c>
      <c r="C5142" s="3">
        <v>2.1181276686966002</v>
      </c>
      <c r="D5142" s="3">
        <v>0.53595554749114105</v>
      </c>
      <c r="E5142" s="3">
        <v>3.9520584843496098</v>
      </c>
      <c r="F5142" s="4">
        <v>7.7481797266004801E-5</v>
      </c>
      <c r="G5142" s="3">
        <v>4.5547929452143101E-4</v>
      </c>
      <c r="H5142" s="3" t="str">
        <f>"AP005432.1"</f>
        <v>AP005432.1</v>
      </c>
      <c r="I5142" s="3" t="str">
        <f>"sense_intronic"</f>
        <v>sense_intronic</v>
      </c>
    </row>
    <row r="5143" spans="1:9" x14ac:dyDescent="0.2">
      <c r="A5143" s="3" t="str">
        <f>"ENSG00000168461.13"</f>
        <v>ENSG00000168461.13</v>
      </c>
      <c r="B5143" s="3">
        <v>61.275781805741197</v>
      </c>
      <c r="C5143" s="3">
        <v>3.0230322078345302</v>
      </c>
      <c r="D5143" s="3">
        <v>0.51423656134983098</v>
      </c>
      <c r="E5143" s="3">
        <v>5.8786800376451298</v>
      </c>
      <c r="F5143" s="4">
        <v>4.1355085433557299E-9</v>
      </c>
      <c r="G5143" s="4">
        <v>5.1902441861268298E-8</v>
      </c>
      <c r="H5143" s="3" t="str">
        <f>"RAB31"</f>
        <v>RAB31</v>
      </c>
      <c r="I5143" s="3" t="str">
        <f>"protein_coding"</f>
        <v>protein_coding</v>
      </c>
    </row>
    <row r="5144" spans="1:9" x14ac:dyDescent="0.2">
      <c r="A5144" s="3" t="str">
        <f>"ENSG00000141404.16"</f>
        <v>ENSG00000141404.16</v>
      </c>
      <c r="B5144" s="3">
        <v>63.507875751272998</v>
      </c>
      <c r="C5144" s="3">
        <v>-1.42137584663738</v>
      </c>
      <c r="D5144" s="3">
        <v>0.450316901899382</v>
      </c>
      <c r="E5144" s="3">
        <v>-3.1563901790987399</v>
      </c>
      <c r="F5144" s="3">
        <v>1.5973502628866499E-3</v>
      </c>
      <c r="G5144" s="3">
        <v>6.6386520153863104E-3</v>
      </c>
      <c r="H5144" s="3" t="str">
        <f>"GNAL"</f>
        <v>GNAL</v>
      </c>
      <c r="I5144" s="3" t="str">
        <f>"protein_coding"</f>
        <v>protein_coding</v>
      </c>
    </row>
    <row r="5145" spans="1:9" x14ac:dyDescent="0.2">
      <c r="A5145" s="3" t="str">
        <f>"ENSG00000141401.12"</f>
        <v>ENSG00000141401.12</v>
      </c>
      <c r="B5145" s="3">
        <v>1218.1162155618799</v>
      </c>
      <c r="C5145" s="3">
        <v>-2.1687558998794398</v>
      </c>
      <c r="D5145" s="3">
        <v>0.22717119228002999</v>
      </c>
      <c r="E5145" s="3">
        <v>-9.5467910262408804</v>
      </c>
      <c r="F5145" s="4">
        <v>1.33775778910817E-21</v>
      </c>
      <c r="G5145" s="4">
        <v>5.8980398834676897E-20</v>
      </c>
      <c r="H5145" s="3" t="str">
        <f>"IMPA2"</f>
        <v>IMPA2</v>
      </c>
      <c r="I5145" s="3" t="str">
        <f>"protein_coding"</f>
        <v>protein_coding</v>
      </c>
    </row>
    <row r="5146" spans="1:9" x14ac:dyDescent="0.2">
      <c r="A5146" s="3" t="str">
        <f>"ENSG00000181626.11"</f>
        <v>ENSG00000181626.11</v>
      </c>
      <c r="B5146" s="3">
        <v>161.627870170634</v>
      </c>
      <c r="C5146" s="3">
        <v>9.2868043392921198</v>
      </c>
      <c r="D5146" s="3">
        <v>1.48033193986457</v>
      </c>
      <c r="E5146" s="3">
        <v>6.2734607618759597</v>
      </c>
      <c r="F5146" s="4">
        <v>3.5310994642468E-10</v>
      </c>
      <c r="G5146" s="4">
        <v>5.07179056944293E-9</v>
      </c>
      <c r="H5146" s="3" t="str">
        <f>"ANKRD62"</f>
        <v>ANKRD62</v>
      </c>
      <c r="I5146" s="3" t="str">
        <f>"protein_coding"</f>
        <v>protein_coding</v>
      </c>
    </row>
    <row r="5147" spans="1:9" x14ac:dyDescent="0.2">
      <c r="A5147" s="3" t="str">
        <f>"ENSG00000200827.1"</f>
        <v>ENSG00000200827.1</v>
      </c>
      <c r="B5147" s="3">
        <v>5.8339976332213803</v>
      </c>
      <c r="C5147" s="3">
        <v>5.9376349820635896</v>
      </c>
      <c r="D5147" s="3">
        <v>1.9699676968919899</v>
      </c>
      <c r="E5147" s="3">
        <v>3.0140773330605199</v>
      </c>
      <c r="F5147" s="3">
        <v>2.5776209366505701E-3</v>
      </c>
      <c r="G5147" s="3">
        <v>1.00332053801311E-2</v>
      </c>
      <c r="H5147" s="3" t="str">
        <f>"RNU6-324P"</f>
        <v>RNU6-324P</v>
      </c>
      <c r="I5147" s="3" t="str">
        <f>"snRNA"</f>
        <v>snRNA</v>
      </c>
    </row>
    <row r="5148" spans="1:9" x14ac:dyDescent="0.2">
      <c r="A5148" s="3" t="str">
        <f>"ENSG00000279285.1"</f>
        <v>ENSG00000279285.1</v>
      </c>
      <c r="B5148" s="3">
        <v>10.2004363319357</v>
      </c>
      <c r="C5148" s="3">
        <v>6.7438829775843399</v>
      </c>
      <c r="D5148" s="3">
        <v>1.76947518501237</v>
      </c>
      <c r="E5148" s="3">
        <v>3.8112334293838601</v>
      </c>
      <c r="F5148" s="3">
        <v>1.3827511509701901E-4</v>
      </c>
      <c r="G5148" s="3">
        <v>7.6657746218476805E-4</v>
      </c>
      <c r="H5148" s="3" t="str">
        <f>"AP005264.6"</f>
        <v>AP005264.6</v>
      </c>
      <c r="I5148" s="3" t="str">
        <f>"TEC"</f>
        <v>TEC</v>
      </c>
    </row>
    <row r="5149" spans="1:9" x14ac:dyDescent="0.2">
      <c r="A5149" s="3" t="str">
        <f>"ENSG00000267733.5"</f>
        <v>ENSG00000267733.5</v>
      </c>
      <c r="B5149" s="3">
        <v>19.4466587774046</v>
      </c>
      <c r="C5149" s="3">
        <v>7.6748323048865696</v>
      </c>
      <c r="D5149" s="3">
        <v>1.6323963553405201</v>
      </c>
      <c r="E5149" s="3">
        <v>4.7015740262943497</v>
      </c>
      <c r="F5149" s="4">
        <v>2.5816363624491299E-6</v>
      </c>
      <c r="G5149" s="4">
        <v>2.05078268127264E-5</v>
      </c>
      <c r="H5149" s="3" t="str">
        <f>"AP005264.5"</f>
        <v>AP005264.5</v>
      </c>
      <c r="I5149" s="3" t="str">
        <f>"transcribed_processed_pseudogene"</f>
        <v>transcribed_processed_pseudogene</v>
      </c>
    </row>
    <row r="5150" spans="1:9" x14ac:dyDescent="0.2">
      <c r="A5150" s="3" t="str">
        <f>"ENSG00000176014.12"</f>
        <v>ENSG00000176014.12</v>
      </c>
      <c r="B5150" s="3">
        <v>2917.0555630490499</v>
      </c>
      <c r="C5150" s="3">
        <v>1.9234282749207201</v>
      </c>
      <c r="D5150" s="3">
        <v>0.19419201274898901</v>
      </c>
      <c r="E5150" s="3">
        <v>9.9047754214634995</v>
      </c>
      <c r="F5150" s="4">
        <v>3.9686066518271902E-23</v>
      </c>
      <c r="G5150" s="4">
        <v>1.9343940150686101E-21</v>
      </c>
      <c r="H5150" s="3" t="str">
        <f>"TUBB6"</f>
        <v>TUBB6</v>
      </c>
      <c r="I5150" s="3" t="str">
        <f>"protein_coding"</f>
        <v>protein_coding</v>
      </c>
    </row>
    <row r="5151" spans="1:9" x14ac:dyDescent="0.2">
      <c r="A5151" s="3" t="str">
        <f>"ENSG00000267199.1"</f>
        <v>ENSG00000267199.1</v>
      </c>
      <c r="B5151" s="3">
        <v>81.201980899796993</v>
      </c>
      <c r="C5151" s="3">
        <v>1.3950732300289399</v>
      </c>
      <c r="D5151" s="3">
        <v>0.44421340751397798</v>
      </c>
      <c r="E5151" s="3">
        <v>3.14054732799806</v>
      </c>
      <c r="F5151" s="3">
        <v>1.6863245797352001E-3</v>
      </c>
      <c r="G5151" s="3">
        <v>6.9680445593031503E-3</v>
      </c>
      <c r="H5151" s="3" t="str">
        <f>"AP001029.2"</f>
        <v>AP001029.2</v>
      </c>
      <c r="I5151" s="3" t="str">
        <f>"antisense"</f>
        <v>antisense</v>
      </c>
    </row>
    <row r="5152" spans="1:9" x14ac:dyDescent="0.2">
      <c r="A5152" s="3" t="str">
        <f>"ENSG00000101624.10"</f>
        <v>ENSG00000101624.10</v>
      </c>
      <c r="B5152" s="3">
        <v>1553.1294721407501</v>
      </c>
      <c r="C5152" s="3">
        <v>2.1040077518761602</v>
      </c>
      <c r="D5152" s="3">
        <v>0.20660911020588099</v>
      </c>
      <c r="E5152" s="3">
        <v>10.1835187702012</v>
      </c>
      <c r="F5152" s="4">
        <v>2.3491000087916198E-24</v>
      </c>
      <c r="G5152" s="4">
        <v>1.2356356745085899E-22</v>
      </c>
      <c r="H5152" s="3" t="str">
        <f>"CEP76"</f>
        <v>CEP76</v>
      </c>
      <c r="I5152" s="3" t="str">
        <f>"protein_coding"</f>
        <v>protein_coding</v>
      </c>
    </row>
    <row r="5153" spans="1:9" x14ac:dyDescent="0.2">
      <c r="A5153" s="3" t="str">
        <f>"ENSG00000267249.1"</f>
        <v>ENSG00000267249.1</v>
      </c>
      <c r="B5153" s="3">
        <v>107.67380744265</v>
      </c>
      <c r="C5153" s="3">
        <v>1.9876063200165801</v>
      </c>
      <c r="D5153" s="3">
        <v>0.37058181133093898</v>
      </c>
      <c r="E5153" s="3">
        <v>5.3634751065577699</v>
      </c>
      <c r="F5153" s="4">
        <v>8.1635906869292199E-8</v>
      </c>
      <c r="G5153" s="4">
        <v>8.4000511875664801E-7</v>
      </c>
      <c r="H5153" s="3" t="str">
        <f>"AP005482.3"</f>
        <v>AP005482.3</v>
      </c>
      <c r="I5153" s="3" t="str">
        <f>"sense_intronic"</f>
        <v>sense_intronic</v>
      </c>
    </row>
    <row r="5154" spans="1:9" x14ac:dyDescent="0.2">
      <c r="A5154" s="3" t="str">
        <f>"ENSG00000168675.18"</f>
        <v>ENSG00000168675.18</v>
      </c>
      <c r="B5154" s="3">
        <v>333.12136504091802</v>
      </c>
      <c r="C5154" s="3">
        <v>-1.07390746514443</v>
      </c>
      <c r="D5154" s="3">
        <v>0.24763388911706299</v>
      </c>
      <c r="E5154" s="3">
        <v>-4.3366740674042603</v>
      </c>
      <c r="F5154" s="4">
        <v>1.44654878581719E-5</v>
      </c>
      <c r="G5154" s="4">
        <v>9.9204920128771902E-5</v>
      </c>
      <c r="H5154" s="3" t="str">
        <f>"LDLRAD4"</f>
        <v>LDLRAD4</v>
      </c>
      <c r="I5154" s="3" t="str">
        <f>"protein_coding"</f>
        <v>protein_coding</v>
      </c>
    </row>
    <row r="5155" spans="1:9" x14ac:dyDescent="0.2">
      <c r="A5155" s="3" t="str">
        <f>"ENSG00000267324.1"</f>
        <v>ENSG00000267324.1</v>
      </c>
      <c r="B5155" s="3">
        <v>22.577871592264302</v>
      </c>
      <c r="C5155" s="3">
        <v>6.4323581659847804</v>
      </c>
      <c r="D5155" s="3">
        <v>1.58733683823465</v>
      </c>
      <c r="E5155" s="3">
        <v>4.0522956508326997</v>
      </c>
      <c r="F5155" s="4">
        <v>5.0717517169715902E-5</v>
      </c>
      <c r="G5155" s="3">
        <v>3.1012122763089098E-4</v>
      </c>
      <c r="H5155" s="3" t="str">
        <f>"AC006557.2"</f>
        <v>AC006557.2</v>
      </c>
      <c r="I5155" s="3" t="str">
        <f>"processed_pseudogene"</f>
        <v>processed_pseudogene</v>
      </c>
    </row>
    <row r="5156" spans="1:9" x14ac:dyDescent="0.2">
      <c r="A5156" s="3" t="str">
        <f>"ENSG00000175319.3"</f>
        <v>ENSG00000175319.3</v>
      </c>
      <c r="B5156" s="3">
        <v>9.0316750769488099</v>
      </c>
      <c r="C5156" s="3">
        <v>5.0797246727583802</v>
      </c>
      <c r="D5156" s="3">
        <v>1.7887814560770801</v>
      </c>
      <c r="E5156" s="3">
        <v>2.8397681871649998</v>
      </c>
      <c r="F5156" s="3">
        <v>4.5146328081794203E-3</v>
      </c>
      <c r="G5156" s="3">
        <v>1.62496961855303E-2</v>
      </c>
      <c r="H5156" s="3" t="str">
        <f>"NF1P5"</f>
        <v>NF1P5</v>
      </c>
      <c r="I5156" s="3" t="str">
        <f>"processed_pseudogene"</f>
        <v>processed_pseudogene</v>
      </c>
    </row>
    <row r="5157" spans="1:9" x14ac:dyDescent="0.2">
      <c r="A5157" s="3" t="str">
        <f>"ENSG00000186481.16"</f>
        <v>ENSG00000186481.16</v>
      </c>
      <c r="B5157" s="3">
        <v>2034.26684844387</v>
      </c>
      <c r="C5157" s="3">
        <v>3.3093715649247302</v>
      </c>
      <c r="D5157" s="3">
        <v>0.22356820545612899</v>
      </c>
      <c r="E5157" s="3">
        <v>14.8025143296779</v>
      </c>
      <c r="F5157" s="4">
        <v>1.41107668681811E-49</v>
      </c>
      <c r="G5157" s="4">
        <v>2.7660148550887E-47</v>
      </c>
      <c r="H5157" s="3" t="str">
        <f>"ANKRD20A5P"</f>
        <v>ANKRD20A5P</v>
      </c>
      <c r="I5157" s="3" t="str">
        <f>"transcribed_unprocessed_pseudogene"</f>
        <v>transcribed_unprocessed_pseudogene</v>
      </c>
    </row>
    <row r="5158" spans="1:9" x14ac:dyDescent="0.2">
      <c r="A5158" s="3" t="str">
        <f>"ENSG00000212329.1"</f>
        <v>ENSG00000212329.1</v>
      </c>
      <c r="B5158" s="3">
        <v>67.698606486989107</v>
      </c>
      <c r="C5158" s="3">
        <v>3.18364845161872</v>
      </c>
      <c r="D5158" s="3">
        <v>0.49981361661748702</v>
      </c>
      <c r="E5158" s="3">
        <v>6.3696713050040996</v>
      </c>
      <c r="F5158" s="4">
        <v>1.8943373308655999E-10</v>
      </c>
      <c r="G5158" s="4">
        <v>2.8297702441938E-9</v>
      </c>
      <c r="H5158" s="3" t="str">
        <f>"RNU6-316P"</f>
        <v>RNU6-316P</v>
      </c>
      <c r="I5158" s="3" t="str">
        <f>"snRNA"</f>
        <v>snRNA</v>
      </c>
    </row>
    <row r="5159" spans="1:9" x14ac:dyDescent="0.2">
      <c r="A5159" s="3" t="str">
        <f>"ENSG00000266145.1"</f>
        <v>ENSG00000266145.1</v>
      </c>
      <c r="B5159" s="3">
        <v>207.999627747136</v>
      </c>
      <c r="C5159" s="3">
        <v>2.73849378480053</v>
      </c>
      <c r="D5159" s="3">
        <v>0.30457668695647799</v>
      </c>
      <c r="E5159" s="3">
        <v>8.9911470643576692</v>
      </c>
      <c r="F5159" s="4">
        <v>2.4466341586988602E-19</v>
      </c>
      <c r="G5159" s="4">
        <v>8.8179154658819901E-18</v>
      </c>
      <c r="H5159" s="3" t="str">
        <f>"RHOT1P1"</f>
        <v>RHOT1P1</v>
      </c>
      <c r="I5159" s="3" t="str">
        <f>"processed_pseudogene"</f>
        <v>processed_pseudogene</v>
      </c>
    </row>
    <row r="5160" spans="1:9" x14ac:dyDescent="0.2">
      <c r="A5160" s="3" t="str">
        <f>"ENSG00000283294.1"</f>
        <v>ENSG00000283294.1</v>
      </c>
      <c r="B5160" s="3">
        <v>161.270461278043</v>
      </c>
      <c r="C5160" s="3">
        <v>3.2614379186604099</v>
      </c>
      <c r="D5160" s="3">
        <v>0.40840944573832599</v>
      </c>
      <c r="E5160" s="3">
        <v>7.9857063853269796</v>
      </c>
      <c r="F5160" s="4">
        <v>1.3971988811974499E-15</v>
      </c>
      <c r="G5160" s="4">
        <v>3.6711164817731E-14</v>
      </c>
      <c r="H5160" s="3" t="str">
        <f>"AP005212.4"</f>
        <v>AP005212.4</v>
      </c>
      <c r="I5160" s="3" t="str">
        <f>"processed_transcript"</f>
        <v>processed_transcript</v>
      </c>
    </row>
    <row r="5161" spans="1:9" x14ac:dyDescent="0.2">
      <c r="A5161" s="3" t="str">
        <f>"ENSG00000274214.1"</f>
        <v>ENSG00000274214.1</v>
      </c>
      <c r="B5161" s="3">
        <v>55.336780181246901</v>
      </c>
      <c r="C5161" s="3">
        <v>3.54202389958661</v>
      </c>
      <c r="D5161" s="3">
        <v>0.57963519790525497</v>
      </c>
      <c r="E5161" s="3">
        <v>6.1107812506679</v>
      </c>
      <c r="F5161" s="4">
        <v>9.914458526628971E-10</v>
      </c>
      <c r="G5161" s="4">
        <v>1.34867324750404E-8</v>
      </c>
      <c r="H5161" s="3" t="str">
        <f>"AP005212.2"</f>
        <v>AP005212.2</v>
      </c>
      <c r="I5161" s="3" t="str">
        <f>"processed_pseudogene"</f>
        <v>processed_pseudogene</v>
      </c>
    </row>
    <row r="5162" spans="1:9" x14ac:dyDescent="0.2">
      <c r="A5162" s="3" t="str">
        <f>"ENSG00000265787.2"</f>
        <v>ENSG00000265787.2</v>
      </c>
      <c r="B5162" s="3">
        <v>29.725750798662101</v>
      </c>
      <c r="C5162" s="3">
        <v>6.8356036712929598</v>
      </c>
      <c r="D5162" s="3">
        <v>1.5554363352357801</v>
      </c>
      <c r="E5162" s="3">
        <v>4.3946534592537896</v>
      </c>
      <c r="F5162" s="4">
        <v>1.1094960315025101E-5</v>
      </c>
      <c r="G5162" s="4">
        <v>7.7993907044243802E-5</v>
      </c>
      <c r="H5162" s="3" t="str">
        <f>"CYP4F35P"</f>
        <v>CYP4F35P</v>
      </c>
      <c r="I5162" s="3" t="str">
        <f>"transcribed_unprocessed_pseudogene"</f>
        <v>transcribed_unprocessed_pseudogene</v>
      </c>
    </row>
    <row r="5163" spans="1:9" x14ac:dyDescent="0.2">
      <c r="A5163" s="3" t="str">
        <f>"ENSG00000183206.17"</f>
        <v>ENSG00000183206.17</v>
      </c>
      <c r="B5163" s="3">
        <v>5.4323726899743301</v>
      </c>
      <c r="C5163" s="3">
        <v>5.8384671515102298</v>
      </c>
      <c r="D5163" s="3">
        <v>1.9903824247200499</v>
      </c>
      <c r="E5163" s="3">
        <v>2.9333393819187399</v>
      </c>
      <c r="F5163" s="3">
        <v>3.3533711180266999E-3</v>
      </c>
      <c r="G5163" s="3">
        <v>1.26061400183324E-2</v>
      </c>
      <c r="H5163" s="3" t="str">
        <f>"POTEC"</f>
        <v>POTEC</v>
      </c>
      <c r="I5163" s="3" t="str">
        <f t="shared" ref="I5163:I5175" si="233">"protein_coding"</f>
        <v>protein_coding</v>
      </c>
    </row>
    <row r="5164" spans="1:9" x14ac:dyDescent="0.2">
      <c r="A5164" s="3" t="str">
        <f>"ENSG00000141448.9"</f>
        <v>ENSG00000141448.9</v>
      </c>
      <c r="B5164" s="3">
        <v>445.11356378934499</v>
      </c>
      <c r="C5164" s="3">
        <v>-1.63365558946782</v>
      </c>
      <c r="D5164" s="3">
        <v>0.23257865442450501</v>
      </c>
      <c r="E5164" s="3">
        <v>-7.0240994106279899</v>
      </c>
      <c r="F5164" s="4">
        <v>2.15451374225627E-12</v>
      </c>
      <c r="G5164" s="4">
        <v>4.0994438502274099E-11</v>
      </c>
      <c r="H5164" s="3" t="str">
        <f>"GATA6"</f>
        <v>GATA6</v>
      </c>
      <c r="I5164" s="3" t="str">
        <f t="shared" si="233"/>
        <v>protein_coding</v>
      </c>
    </row>
    <row r="5165" spans="1:9" x14ac:dyDescent="0.2">
      <c r="A5165" s="3" t="str">
        <f>"ENSG00000134508.12"</f>
        <v>ENSG00000134508.12</v>
      </c>
      <c r="B5165" s="3">
        <v>1622.0272378907</v>
      </c>
      <c r="C5165" s="3">
        <v>-1.9183292781740999</v>
      </c>
      <c r="D5165" s="3">
        <v>0.21267643464211999</v>
      </c>
      <c r="E5165" s="3">
        <v>-9.0199428131384796</v>
      </c>
      <c r="F5165" s="4">
        <v>1.8818751286521299E-19</v>
      </c>
      <c r="G5165" s="4">
        <v>6.8550069024578203E-18</v>
      </c>
      <c r="H5165" s="3" t="str">
        <f>"CABLES1"</f>
        <v>CABLES1</v>
      </c>
      <c r="I5165" s="3" t="str">
        <f t="shared" si="233"/>
        <v>protein_coding</v>
      </c>
    </row>
    <row r="5166" spans="1:9" x14ac:dyDescent="0.2">
      <c r="A5166" s="3" t="str">
        <f>"ENSG00000134490.14"</f>
        <v>ENSG00000134490.14</v>
      </c>
      <c r="B5166" s="3">
        <v>317.35481197871701</v>
      </c>
      <c r="C5166" s="3">
        <v>-1.0617089268295199</v>
      </c>
      <c r="D5166" s="3">
        <v>0.24818038409629101</v>
      </c>
      <c r="E5166" s="3">
        <v>-4.2779727765172204</v>
      </c>
      <c r="F5166" s="4">
        <v>1.8860307995657101E-5</v>
      </c>
      <c r="G5166" s="3">
        <v>1.2598352830538599E-4</v>
      </c>
      <c r="H5166" s="3" t="str">
        <f>"TMEM241"</f>
        <v>TMEM241</v>
      </c>
      <c r="I5166" s="3" t="str">
        <f t="shared" si="233"/>
        <v>protein_coding</v>
      </c>
    </row>
    <row r="5167" spans="1:9" x14ac:dyDescent="0.2">
      <c r="A5167" s="3" t="str">
        <f>"ENSG00000101782.15"</f>
        <v>ENSG00000101782.15</v>
      </c>
      <c r="B5167" s="3">
        <v>2201.1032649418198</v>
      </c>
      <c r="C5167" s="3">
        <v>1.64994040834612</v>
      </c>
      <c r="D5167" s="3">
        <v>0.18244463871222499</v>
      </c>
      <c r="E5167" s="3">
        <v>9.04351270605774</v>
      </c>
      <c r="F5167" s="4">
        <v>1.5171635953409299E-19</v>
      </c>
      <c r="G5167" s="4">
        <v>5.5711801189021899E-18</v>
      </c>
      <c r="H5167" s="3" t="str">
        <f>"RIOK3"</f>
        <v>RIOK3</v>
      </c>
      <c r="I5167" s="3" t="str">
        <f t="shared" si="233"/>
        <v>protein_coding</v>
      </c>
    </row>
    <row r="5168" spans="1:9" x14ac:dyDescent="0.2">
      <c r="A5168" s="3" t="str">
        <f>"ENSG00000141458.13"</f>
        <v>ENSG00000141458.13</v>
      </c>
      <c r="B5168" s="3">
        <v>2815.2433952413098</v>
      </c>
      <c r="C5168" s="3">
        <v>-1.4053158757872299</v>
      </c>
      <c r="D5168" s="3">
        <v>0.18197440928074399</v>
      </c>
      <c r="E5168" s="3">
        <v>-7.7226016632874703</v>
      </c>
      <c r="F5168" s="4">
        <v>1.13978944681732E-14</v>
      </c>
      <c r="G5168" s="4">
        <v>2.7265885037253199E-13</v>
      </c>
      <c r="H5168" s="3" t="str">
        <f>"NPC1"</f>
        <v>NPC1</v>
      </c>
      <c r="I5168" s="3" t="str">
        <f t="shared" si="233"/>
        <v>protein_coding</v>
      </c>
    </row>
    <row r="5169" spans="1:9" x14ac:dyDescent="0.2">
      <c r="A5169" s="3" t="str">
        <f>"ENSG00000154065.17"</f>
        <v>ENSG00000154065.17</v>
      </c>
      <c r="B5169" s="3">
        <v>12.304834520662601</v>
      </c>
      <c r="C5169" s="3">
        <v>4.5033430746816103</v>
      </c>
      <c r="D5169" s="3">
        <v>1.3712805212913799</v>
      </c>
      <c r="E5169" s="3">
        <v>3.2840421815666501</v>
      </c>
      <c r="F5169" s="3">
        <v>1.02329605356186E-3</v>
      </c>
      <c r="G5169" s="3">
        <v>4.5072336843517604E-3</v>
      </c>
      <c r="H5169" s="3" t="str">
        <f>"ANKRD29"</f>
        <v>ANKRD29</v>
      </c>
      <c r="I5169" s="3" t="str">
        <f t="shared" si="233"/>
        <v>protein_coding</v>
      </c>
    </row>
    <row r="5170" spans="1:9" x14ac:dyDescent="0.2">
      <c r="A5170" s="3" t="str">
        <f>"ENSG00000053747.16"</f>
        <v>ENSG00000053747.16</v>
      </c>
      <c r="B5170" s="3">
        <v>1013.92619441162</v>
      </c>
      <c r="C5170" s="3">
        <v>3.1439753004301401</v>
      </c>
      <c r="D5170" s="3">
        <v>0.205860503418857</v>
      </c>
      <c r="E5170" s="3">
        <v>15.272357971617399</v>
      </c>
      <c r="F5170" s="4">
        <v>1.1686948596743499E-52</v>
      </c>
      <c r="G5170" s="4">
        <v>2.5680184549634601E-50</v>
      </c>
      <c r="H5170" s="3" t="str">
        <f>"LAMA3"</f>
        <v>LAMA3</v>
      </c>
      <c r="I5170" s="3" t="str">
        <f t="shared" si="233"/>
        <v>protein_coding</v>
      </c>
    </row>
    <row r="5171" spans="1:9" x14ac:dyDescent="0.2">
      <c r="A5171" s="3" t="str">
        <f>"ENSG00000154040.20"</f>
        <v>ENSG00000154040.20</v>
      </c>
      <c r="B5171" s="3">
        <v>531.17508111053405</v>
      </c>
      <c r="C5171" s="3">
        <v>5.2978764723077703</v>
      </c>
      <c r="D5171" s="3">
        <v>0.30496485963160003</v>
      </c>
      <c r="E5171" s="3">
        <v>17.372088307838599</v>
      </c>
      <c r="F5171" s="4">
        <v>1.34249850634394E-67</v>
      </c>
      <c r="G5171" s="4">
        <v>5.0804245558824004E-65</v>
      </c>
      <c r="H5171" s="3" t="str">
        <f>"CABYR"</f>
        <v>CABYR</v>
      </c>
      <c r="I5171" s="3" t="str">
        <f t="shared" si="233"/>
        <v>protein_coding</v>
      </c>
    </row>
    <row r="5172" spans="1:9" x14ac:dyDescent="0.2">
      <c r="A5172" s="3" t="str">
        <f>"ENSG00000141447.18"</f>
        <v>ENSG00000141447.18</v>
      </c>
      <c r="B5172" s="3">
        <v>89.544892267806901</v>
      </c>
      <c r="C5172" s="3">
        <v>7.4263028774980002</v>
      </c>
      <c r="D5172" s="3">
        <v>1.0988491652521499</v>
      </c>
      <c r="E5172" s="3">
        <v>6.7582550110905704</v>
      </c>
      <c r="F5172" s="4">
        <v>1.39663557428024E-11</v>
      </c>
      <c r="G5172" s="4">
        <v>2.41307098873898E-10</v>
      </c>
      <c r="H5172" s="3" t="str">
        <f>"OSBPL1A"</f>
        <v>OSBPL1A</v>
      </c>
      <c r="I5172" s="3" t="str">
        <f t="shared" si="233"/>
        <v>protein_coding</v>
      </c>
    </row>
    <row r="5173" spans="1:9" x14ac:dyDescent="0.2">
      <c r="A5173" s="3" t="str">
        <f>"ENSG00000154059.11"</f>
        <v>ENSG00000154059.11</v>
      </c>
      <c r="B5173" s="3">
        <v>330.44967393904301</v>
      </c>
      <c r="C5173" s="3">
        <v>1.1425985591374599</v>
      </c>
      <c r="D5173" s="3">
        <v>0.251500114932795</v>
      </c>
      <c r="E5173" s="3">
        <v>4.5431333478427396</v>
      </c>
      <c r="F5173" s="4">
        <v>5.5424166205918696E-6</v>
      </c>
      <c r="G5173" s="4">
        <v>4.1534047560488797E-5</v>
      </c>
      <c r="H5173" s="3" t="str">
        <f>"IMPACT"</f>
        <v>IMPACT</v>
      </c>
      <c r="I5173" s="3" t="str">
        <f t="shared" si="233"/>
        <v>protein_coding</v>
      </c>
    </row>
    <row r="5174" spans="1:9" x14ac:dyDescent="0.2">
      <c r="A5174" s="3" t="str">
        <f>"ENSG00000141384.12"</f>
        <v>ENSG00000141384.12</v>
      </c>
      <c r="B5174" s="3">
        <v>209.819933412398</v>
      </c>
      <c r="C5174" s="3">
        <v>-1.50073006858534</v>
      </c>
      <c r="D5174" s="3">
        <v>0.28791576561798299</v>
      </c>
      <c r="E5174" s="3">
        <v>-5.2123928169204898</v>
      </c>
      <c r="F5174" s="4">
        <v>1.86420280036566E-7</v>
      </c>
      <c r="G5174" s="4">
        <v>1.81342141026644E-6</v>
      </c>
      <c r="H5174" s="3" t="str">
        <f>"TAF4B"</f>
        <v>TAF4B</v>
      </c>
      <c r="I5174" s="3" t="str">
        <f t="shared" si="233"/>
        <v>protein_coding</v>
      </c>
    </row>
    <row r="5175" spans="1:9" x14ac:dyDescent="0.2">
      <c r="A5175" s="3" t="str">
        <f>"ENSG00000134504.13"</f>
        <v>ENSG00000134504.13</v>
      </c>
      <c r="B5175" s="3">
        <v>547.949696672865</v>
      </c>
      <c r="C5175" s="3">
        <v>1.41795642416392</v>
      </c>
      <c r="D5175" s="3">
        <v>0.230756397328026</v>
      </c>
      <c r="E5175" s="3">
        <v>6.1448195611593697</v>
      </c>
      <c r="F5175" s="4">
        <v>8.0054465988334601E-10</v>
      </c>
      <c r="G5175" s="4">
        <v>1.10386843865595E-8</v>
      </c>
      <c r="H5175" s="3" t="str">
        <f>"KCTD1"</f>
        <v>KCTD1</v>
      </c>
      <c r="I5175" s="3" t="str">
        <f t="shared" si="233"/>
        <v>protein_coding</v>
      </c>
    </row>
    <row r="5176" spans="1:9" x14ac:dyDescent="0.2">
      <c r="A5176" s="3" t="str">
        <f>"ENSG00000277534.1"</f>
        <v>ENSG00000277534.1</v>
      </c>
      <c r="B5176" s="3">
        <v>298.5740555882</v>
      </c>
      <c r="C5176" s="3">
        <v>2.6526688070974398</v>
      </c>
      <c r="D5176" s="3">
        <v>0.29733356645033399</v>
      </c>
      <c r="E5176" s="3">
        <v>8.92152486772979</v>
      </c>
      <c r="F5176" s="4">
        <v>4.5991148733020903E-19</v>
      </c>
      <c r="G5176" s="4">
        <v>1.6232135097520999E-17</v>
      </c>
      <c r="H5176" s="3" t="str">
        <f>"AC007996.1"</f>
        <v>AC007996.1</v>
      </c>
      <c r="I5176" s="3" t="str">
        <f>"sense_intronic"</f>
        <v>sense_intronic</v>
      </c>
    </row>
    <row r="5177" spans="1:9" x14ac:dyDescent="0.2">
      <c r="A5177" s="3" t="str">
        <f>"ENSG00000260372.6"</f>
        <v>ENSG00000260372.6</v>
      </c>
      <c r="B5177" s="3">
        <v>5.3568906899879503</v>
      </c>
      <c r="C5177" s="3">
        <v>5.8143335532681197</v>
      </c>
      <c r="D5177" s="3">
        <v>2.01092518547784</v>
      </c>
      <c r="E5177" s="3">
        <v>2.8913723868282601</v>
      </c>
      <c r="F5177" s="3">
        <v>3.8356333151812801E-3</v>
      </c>
      <c r="G5177" s="3">
        <v>1.41401029547753E-2</v>
      </c>
      <c r="H5177" s="3" t="str">
        <f>"AQP4-AS1"</f>
        <v>AQP4-AS1</v>
      </c>
      <c r="I5177" s="3" t="str">
        <f>"antisense"</f>
        <v>antisense</v>
      </c>
    </row>
    <row r="5178" spans="1:9" x14ac:dyDescent="0.2">
      <c r="A5178" s="3" t="str">
        <f>"ENSG00000171885.15"</f>
        <v>ENSG00000171885.15</v>
      </c>
      <c r="B5178" s="3">
        <v>30.698866989627799</v>
      </c>
      <c r="C5178" s="3">
        <v>-1.8343899020444601</v>
      </c>
      <c r="D5178" s="3">
        <v>0.64580454173394697</v>
      </c>
      <c r="E5178" s="3">
        <v>-2.8404722845696102</v>
      </c>
      <c r="F5178" s="3">
        <v>4.5046787132058796E-3</v>
      </c>
      <c r="G5178" s="3">
        <v>1.6220296140970099E-2</v>
      </c>
      <c r="H5178" s="3" t="str">
        <f>"AQP4"</f>
        <v>AQP4</v>
      </c>
      <c r="I5178" s="3" t="str">
        <f>"protein_coding"</f>
        <v>protein_coding</v>
      </c>
    </row>
    <row r="5179" spans="1:9" x14ac:dyDescent="0.2">
      <c r="A5179" s="3" t="str">
        <f>"ENSG00000154080.14"</f>
        <v>ENSG00000154080.14</v>
      </c>
      <c r="B5179" s="3">
        <v>1056.93157633592</v>
      </c>
      <c r="C5179" s="3">
        <v>-3.13391672333448</v>
      </c>
      <c r="D5179" s="3">
        <v>0.20696443297343101</v>
      </c>
      <c r="E5179" s="3">
        <v>-15.142296085901799</v>
      </c>
      <c r="F5179" s="4">
        <v>8.5186805800957198E-52</v>
      </c>
      <c r="G5179" s="4">
        <v>1.81334757629584E-49</v>
      </c>
      <c r="H5179" s="3" t="str">
        <f>"CHST9"</f>
        <v>CHST9</v>
      </c>
      <c r="I5179" s="3" t="str">
        <f>"protein_coding"</f>
        <v>protein_coding</v>
      </c>
    </row>
    <row r="5180" spans="1:9" x14ac:dyDescent="0.2">
      <c r="A5180" s="3" t="str">
        <f>"ENSG00000266549.1"</f>
        <v>ENSG00000266549.1</v>
      </c>
      <c r="B5180" s="3">
        <v>18.891361129906699</v>
      </c>
      <c r="C5180" s="3">
        <v>-2.8091927110562902</v>
      </c>
      <c r="D5180" s="3">
        <v>0.85158638804044096</v>
      </c>
      <c r="E5180" s="3">
        <v>-3.29877596742761</v>
      </c>
      <c r="F5180" s="3">
        <v>9.7107377297045601E-4</v>
      </c>
      <c r="G5180" s="3">
        <v>4.3050515932518798E-3</v>
      </c>
      <c r="H5180" s="3" t="str">
        <f>"AC023575.1"</f>
        <v>AC023575.1</v>
      </c>
      <c r="I5180" s="3" t="str">
        <f>"processed_pseudogene"</f>
        <v>processed_pseudogene</v>
      </c>
    </row>
    <row r="5181" spans="1:9" x14ac:dyDescent="0.2">
      <c r="A5181" s="3" t="str">
        <f>"ENSG00000170558.9"</f>
        <v>ENSG00000170558.9</v>
      </c>
      <c r="B5181" s="3">
        <v>2331.2323900452202</v>
      </c>
      <c r="C5181" s="3">
        <v>-1.0700725763246199</v>
      </c>
      <c r="D5181" s="3">
        <v>0.18238270041257801</v>
      </c>
      <c r="E5181" s="3">
        <v>-5.8671824350881296</v>
      </c>
      <c r="F5181" s="4">
        <v>4.4326287631163001E-9</v>
      </c>
      <c r="G5181" s="4">
        <v>5.5350978876548998E-8</v>
      </c>
      <c r="H5181" s="3" t="str">
        <f>"CDH2"</f>
        <v>CDH2</v>
      </c>
      <c r="I5181" s="3" t="str">
        <f t="shared" ref="I5181:I5187" si="234">"protein_coding"</f>
        <v>protein_coding</v>
      </c>
    </row>
    <row r="5182" spans="1:9" x14ac:dyDescent="0.2">
      <c r="A5182" s="3" t="str">
        <f>"ENSG00000134762.17"</f>
        <v>ENSG00000134762.17</v>
      </c>
      <c r="B5182" s="3">
        <v>2039.52362599861</v>
      </c>
      <c r="C5182" s="3">
        <v>7.5816918298245399</v>
      </c>
      <c r="D5182" s="3">
        <v>0.30282609724884502</v>
      </c>
      <c r="E5182" s="3">
        <v>25.036454581371</v>
      </c>
      <c r="F5182" s="4">
        <v>2.4522365882663301E-138</v>
      </c>
      <c r="G5182" s="4">
        <v>1.11360150534154E-134</v>
      </c>
      <c r="H5182" s="3" t="str">
        <f>"DSC3"</f>
        <v>DSC3</v>
      </c>
      <c r="I5182" s="3" t="str">
        <f t="shared" si="234"/>
        <v>protein_coding</v>
      </c>
    </row>
    <row r="5183" spans="1:9" x14ac:dyDescent="0.2">
      <c r="A5183" s="3" t="str">
        <f>"ENSG00000134765.9"</f>
        <v>ENSG00000134765.9</v>
      </c>
      <c r="B5183" s="3">
        <v>11.1908883232093</v>
      </c>
      <c r="C5183" s="3">
        <v>6.8774013179738596</v>
      </c>
      <c r="D5183" s="3">
        <v>1.7464027080084601</v>
      </c>
      <c r="E5183" s="3">
        <v>3.9380386244456802</v>
      </c>
      <c r="F5183" s="4">
        <v>8.2150372962616199E-5</v>
      </c>
      <c r="G5183" s="3">
        <v>4.8012681512492501E-4</v>
      </c>
      <c r="H5183" s="3" t="str">
        <f>"DSC1"</f>
        <v>DSC1</v>
      </c>
      <c r="I5183" s="3" t="str">
        <f t="shared" si="234"/>
        <v>protein_coding</v>
      </c>
    </row>
    <row r="5184" spans="1:9" x14ac:dyDescent="0.2">
      <c r="A5184" s="3" t="str">
        <f>"ENSG00000134760.6"</f>
        <v>ENSG00000134760.6</v>
      </c>
      <c r="B5184" s="3">
        <v>11.7406393750188</v>
      </c>
      <c r="C5184" s="3">
        <v>5.4761970974272698</v>
      </c>
      <c r="D5184" s="3">
        <v>1.7072303060695899</v>
      </c>
      <c r="E5184" s="3">
        <v>3.20764988646122</v>
      </c>
      <c r="F5184" s="3">
        <v>1.33824305586044E-3</v>
      </c>
      <c r="G5184" s="3">
        <v>5.6929131214722203E-3</v>
      </c>
      <c r="H5184" s="3" t="str">
        <f>"DSG1"</f>
        <v>DSG1</v>
      </c>
      <c r="I5184" s="3" t="str">
        <f t="shared" si="234"/>
        <v>protein_coding</v>
      </c>
    </row>
    <row r="5185" spans="1:9" x14ac:dyDescent="0.2">
      <c r="A5185" s="3" t="str">
        <f>"ENSG00000175065.11"</f>
        <v>ENSG00000175065.11</v>
      </c>
      <c r="B5185" s="3">
        <v>4.0372899650807801</v>
      </c>
      <c r="C5185" s="3">
        <v>5.4095356733146298</v>
      </c>
      <c r="D5185" s="3">
        <v>2.1467512296701501</v>
      </c>
      <c r="E5185" s="3">
        <v>2.5198707696307201</v>
      </c>
      <c r="F5185" s="3">
        <v>1.17397926988685E-2</v>
      </c>
      <c r="G5185" s="3">
        <v>3.6345203007166198E-2</v>
      </c>
      <c r="H5185" s="3" t="str">
        <f>"DSG4"</f>
        <v>DSG4</v>
      </c>
      <c r="I5185" s="3" t="str">
        <f t="shared" si="234"/>
        <v>protein_coding</v>
      </c>
    </row>
    <row r="5186" spans="1:9" x14ac:dyDescent="0.2">
      <c r="A5186" s="3" t="str">
        <f>"ENSG00000134757.5"</f>
        <v>ENSG00000134757.5</v>
      </c>
      <c r="B5186" s="3">
        <v>7.96302772433096</v>
      </c>
      <c r="C5186" s="3">
        <v>4.9048628168612201</v>
      </c>
      <c r="D5186" s="3">
        <v>1.8180012072223699</v>
      </c>
      <c r="E5186" s="3">
        <v>2.69794255216976</v>
      </c>
      <c r="F5186" s="3">
        <v>6.9769479604831304E-3</v>
      </c>
      <c r="G5186" s="3">
        <v>2.3550656724391002E-2</v>
      </c>
      <c r="H5186" s="3" t="str">
        <f>"DSG3"</f>
        <v>DSG3</v>
      </c>
      <c r="I5186" s="3" t="str">
        <f t="shared" si="234"/>
        <v>protein_coding</v>
      </c>
    </row>
    <row r="5187" spans="1:9" x14ac:dyDescent="0.2">
      <c r="A5187" s="3" t="str">
        <f>"ENSG00000134758.14"</f>
        <v>ENSG00000134758.14</v>
      </c>
      <c r="B5187" s="3">
        <v>1064.3465258958299</v>
      </c>
      <c r="C5187" s="3">
        <v>-1.1496463733600499</v>
      </c>
      <c r="D5187" s="3">
        <v>0.198952697987229</v>
      </c>
      <c r="E5187" s="3">
        <v>-5.7784909930391999</v>
      </c>
      <c r="F5187" s="4">
        <v>7.53735782023072E-9</v>
      </c>
      <c r="G5187" s="4">
        <v>9.1194666308981601E-8</v>
      </c>
      <c r="H5187" s="3" t="str">
        <f>"RNF138"</f>
        <v>RNF138</v>
      </c>
      <c r="I5187" s="3" t="str">
        <f t="shared" si="234"/>
        <v>protein_coding</v>
      </c>
    </row>
    <row r="5188" spans="1:9" x14ac:dyDescent="0.2">
      <c r="A5188" s="3" t="str">
        <f>"ENSG00000285095.1"</f>
        <v>ENSG00000285095.1</v>
      </c>
      <c r="B5188" s="3">
        <v>4.1097661746942604</v>
      </c>
      <c r="C5188" s="3">
        <v>5.4328693169605202</v>
      </c>
      <c r="D5188" s="3">
        <v>2.14332345947187</v>
      </c>
      <c r="E5188" s="3">
        <v>2.5347874082893802</v>
      </c>
      <c r="F5188" s="3">
        <v>1.1251558606317101E-2</v>
      </c>
      <c r="G5188" s="3">
        <v>3.5125024902190903E-2</v>
      </c>
      <c r="H5188" s="3" t="str">
        <f>"AC025887.2"</f>
        <v>AC025887.2</v>
      </c>
      <c r="I5188" s="3" t="str">
        <f>"antisense"</f>
        <v>antisense</v>
      </c>
    </row>
    <row r="5189" spans="1:9" x14ac:dyDescent="0.2">
      <c r="A5189" s="3" t="str">
        <f>"ENSG00000228835.1"</f>
        <v>ENSG00000228835.1</v>
      </c>
      <c r="B5189" s="3">
        <v>157.29928134811399</v>
      </c>
      <c r="C5189" s="3">
        <v>-1.17094164025347</v>
      </c>
      <c r="D5189" s="3">
        <v>0.31007490651326303</v>
      </c>
      <c r="E5189" s="3">
        <v>-3.77631861094632</v>
      </c>
      <c r="F5189" s="3">
        <v>1.5916337231870699E-4</v>
      </c>
      <c r="G5189" s="3">
        <v>8.6945564117034597E-4</v>
      </c>
      <c r="H5189" s="3" t="str">
        <f>"AC012123.1"</f>
        <v>AC012123.1</v>
      </c>
      <c r="I5189" s="3" t="str">
        <f>"antisense"</f>
        <v>antisense</v>
      </c>
    </row>
    <row r="5190" spans="1:9" x14ac:dyDescent="0.2">
      <c r="A5190" s="3" t="str">
        <f>"ENSG00000166960.16"</f>
        <v>ENSG00000166960.16</v>
      </c>
      <c r="B5190" s="3">
        <v>69.790293909711096</v>
      </c>
      <c r="C5190" s="3">
        <v>7.0625590937462297</v>
      </c>
      <c r="D5190" s="3">
        <v>1.1384292196691299</v>
      </c>
      <c r="E5190" s="3">
        <v>6.2037753175369899</v>
      </c>
      <c r="F5190" s="4">
        <v>5.5124471617852399E-10</v>
      </c>
      <c r="G5190" s="4">
        <v>7.7103515306551502E-9</v>
      </c>
      <c r="H5190" s="3" t="str">
        <f>"CCDC178"</f>
        <v>CCDC178</v>
      </c>
      <c r="I5190" s="3" t="str">
        <f>"protein_coding"</f>
        <v>protein_coding</v>
      </c>
    </row>
    <row r="5191" spans="1:9" x14ac:dyDescent="0.2">
      <c r="A5191" s="3" t="str">
        <f>"ENSG00000141431.12"</f>
        <v>ENSG00000141431.12</v>
      </c>
      <c r="B5191" s="3">
        <v>22.100808017940899</v>
      </c>
      <c r="C5191" s="3">
        <v>4.7797224046752902</v>
      </c>
      <c r="D5191" s="3">
        <v>1.07532897095777</v>
      </c>
      <c r="E5191" s="3">
        <v>4.4448931757302903</v>
      </c>
      <c r="F5191" s="4">
        <v>8.7935550352062098E-6</v>
      </c>
      <c r="G5191" s="4">
        <v>6.3385712710122694E-5</v>
      </c>
      <c r="H5191" s="3" t="str">
        <f>"ASXL3"</f>
        <v>ASXL3</v>
      </c>
      <c r="I5191" s="3" t="str">
        <f>"protein_coding"</f>
        <v>protein_coding</v>
      </c>
    </row>
    <row r="5192" spans="1:9" x14ac:dyDescent="0.2">
      <c r="A5192" s="3" t="str">
        <f>"ENSG00000101746.15"</f>
        <v>ENSG00000101746.15</v>
      </c>
      <c r="B5192" s="3">
        <v>3.8893317554809199</v>
      </c>
      <c r="C5192" s="3">
        <v>5.35263968609567</v>
      </c>
      <c r="D5192" s="3">
        <v>2.1805139762792298</v>
      </c>
      <c r="E5192" s="3">
        <v>2.4547605492670499</v>
      </c>
      <c r="F5192" s="3">
        <v>1.40978459500909E-2</v>
      </c>
      <c r="G5192" s="3">
        <v>4.2402473628670397E-2</v>
      </c>
      <c r="H5192" s="3" t="str">
        <f>"NOL4"</f>
        <v>NOL4</v>
      </c>
      <c r="I5192" s="3" t="str">
        <f>"protein_coding"</f>
        <v>protein_coding</v>
      </c>
    </row>
    <row r="5193" spans="1:9" x14ac:dyDescent="0.2">
      <c r="A5193" s="3" t="str">
        <f>"ENSG00000166974.12"</f>
        <v>ENSG00000166974.12</v>
      </c>
      <c r="B5193" s="3">
        <v>2080.96091109073</v>
      </c>
      <c r="C5193" s="3">
        <v>-1.1438948108108</v>
      </c>
      <c r="D5193" s="3">
        <v>0.17996066697643701</v>
      </c>
      <c r="E5193" s="3">
        <v>-6.3563601426337</v>
      </c>
      <c r="F5193" s="4">
        <v>2.0659035822785899E-10</v>
      </c>
      <c r="G5193" s="4">
        <v>3.0575597450485902E-9</v>
      </c>
      <c r="H5193" s="3" t="str">
        <f>"MAPRE2"</f>
        <v>MAPRE2</v>
      </c>
      <c r="I5193" s="3" t="str">
        <f>"protein_coding"</f>
        <v>protein_coding</v>
      </c>
    </row>
    <row r="5194" spans="1:9" x14ac:dyDescent="0.2">
      <c r="A5194" s="3" t="str">
        <f>"ENSG00000186814.14"</f>
        <v>ENSG00000186814.14</v>
      </c>
      <c r="B5194" s="3">
        <v>665.75535688106902</v>
      </c>
      <c r="C5194" s="3">
        <v>1.53939343615244</v>
      </c>
      <c r="D5194" s="3">
        <v>0.240681095616392</v>
      </c>
      <c r="E5194" s="3">
        <v>6.3959881527463001</v>
      </c>
      <c r="F5194" s="4">
        <v>1.59512371907381E-10</v>
      </c>
      <c r="G5194" s="4">
        <v>2.4145742207557801E-9</v>
      </c>
      <c r="H5194" s="3" t="str">
        <f>"ZSCAN30"</f>
        <v>ZSCAN30</v>
      </c>
      <c r="I5194" s="3" t="str">
        <f>"protein_coding"</f>
        <v>protein_coding</v>
      </c>
    </row>
    <row r="5195" spans="1:9" x14ac:dyDescent="0.2">
      <c r="A5195" s="3" t="str">
        <f>"ENSG00000268573.1"</f>
        <v>ENSG00000268573.1</v>
      </c>
      <c r="B5195" s="3">
        <v>177.246437832883</v>
      </c>
      <c r="C5195" s="3">
        <v>1.0431191595406599</v>
      </c>
      <c r="D5195" s="3">
        <v>0.30532051298646401</v>
      </c>
      <c r="E5195" s="3">
        <v>3.4164725761053201</v>
      </c>
      <c r="F5195" s="3">
        <v>6.3438052979479195E-4</v>
      </c>
      <c r="G5195" s="3">
        <v>2.9572226339296299E-3</v>
      </c>
      <c r="H5195" s="3" t="str">
        <f>"AC011815.1"</f>
        <v>AC011815.1</v>
      </c>
      <c r="I5195" s="3" t="str">
        <f>"lincRNA"</f>
        <v>lincRNA</v>
      </c>
    </row>
    <row r="5196" spans="1:9" x14ac:dyDescent="0.2">
      <c r="A5196" s="3" t="str">
        <f>"ENSG00000186496.12"</f>
        <v>ENSG00000186496.12</v>
      </c>
      <c r="B5196" s="3">
        <v>42.902071138809397</v>
      </c>
      <c r="C5196" s="3">
        <v>2.5727964441964</v>
      </c>
      <c r="D5196" s="3">
        <v>0.58755955119173398</v>
      </c>
      <c r="E5196" s="3">
        <v>4.3787841402255401</v>
      </c>
      <c r="F5196" s="4">
        <v>1.1934326726543599E-5</v>
      </c>
      <c r="G5196" s="4">
        <v>8.3335366560259604E-5</v>
      </c>
      <c r="H5196" s="3" t="str">
        <f>"ZNF396"</f>
        <v>ZNF396</v>
      </c>
      <c r="I5196" s="3" t="str">
        <f>"protein_coding"</f>
        <v>protein_coding</v>
      </c>
    </row>
    <row r="5197" spans="1:9" x14ac:dyDescent="0.2">
      <c r="A5197" s="3" t="str">
        <f>"ENSG00000134775.15"</f>
        <v>ENSG00000134775.15</v>
      </c>
      <c r="B5197" s="3">
        <v>14.9168586056989</v>
      </c>
      <c r="C5197" s="3">
        <v>3.7447812097148501</v>
      </c>
      <c r="D5197" s="3">
        <v>1.09056270660983</v>
      </c>
      <c r="E5197" s="3">
        <v>3.43380640747933</v>
      </c>
      <c r="F5197" s="3">
        <v>5.9516910452381505E-4</v>
      </c>
      <c r="G5197" s="3">
        <v>2.7954788124393E-3</v>
      </c>
      <c r="H5197" s="3" t="str">
        <f>"FHOD3"</f>
        <v>FHOD3</v>
      </c>
      <c r="I5197" s="3" t="str">
        <f>"protein_coding"</f>
        <v>protein_coding</v>
      </c>
    </row>
    <row r="5198" spans="1:9" x14ac:dyDescent="0.2">
      <c r="A5198" s="3" t="str">
        <f>"ENSG00000267374.1"</f>
        <v>ENSG00000267374.1</v>
      </c>
      <c r="B5198" s="3">
        <v>263.17520580155002</v>
      </c>
      <c r="C5198" s="3">
        <v>-1.23227961382287</v>
      </c>
      <c r="D5198" s="3">
        <v>0.26895999772379298</v>
      </c>
      <c r="E5198" s="3">
        <v>-4.5816464316316301</v>
      </c>
      <c r="F5198" s="4">
        <v>4.6132940009546601E-6</v>
      </c>
      <c r="G5198" s="4">
        <v>3.5062321239612701E-5</v>
      </c>
      <c r="H5198" s="3" t="str">
        <f>"AC016205.1"</f>
        <v>AC016205.1</v>
      </c>
      <c r="I5198" s="3" t="str">
        <f>"lincRNA"</f>
        <v>lincRNA</v>
      </c>
    </row>
    <row r="5199" spans="1:9" x14ac:dyDescent="0.2">
      <c r="A5199" s="3" t="str">
        <f>"ENSG00000175886.10"</f>
        <v>ENSG00000175886.10</v>
      </c>
      <c r="B5199" s="3">
        <v>66.990127376885596</v>
      </c>
      <c r="C5199" s="3">
        <v>-1.8926058639993799</v>
      </c>
      <c r="D5199" s="3">
        <v>0.45523110486302298</v>
      </c>
      <c r="E5199" s="3">
        <v>-4.1574616580052499</v>
      </c>
      <c r="F5199" s="4">
        <v>3.2180326415910997E-5</v>
      </c>
      <c r="G5199" s="3">
        <v>2.04768181656779E-4</v>
      </c>
      <c r="H5199" s="3" t="str">
        <f>"RPL7AP66"</f>
        <v>RPL7AP66</v>
      </c>
      <c r="I5199" s="3" t="str">
        <f>"processed_pseudogene"</f>
        <v>processed_pseudogene</v>
      </c>
    </row>
    <row r="5200" spans="1:9" x14ac:dyDescent="0.2">
      <c r="A5200" s="3" t="str">
        <f>"ENSG00000132874.14"</f>
        <v>ENSG00000132874.14</v>
      </c>
      <c r="B5200" s="3">
        <v>3.9255698602876601</v>
      </c>
      <c r="C5200" s="3">
        <v>5.3649036796241196</v>
      </c>
      <c r="D5200" s="3">
        <v>2.1862776153234802</v>
      </c>
      <c r="E5200" s="3">
        <v>2.45389864581783</v>
      </c>
      <c r="F5200" s="3">
        <v>1.4131680591543599E-2</v>
      </c>
      <c r="G5200" s="3">
        <v>4.2476106020715901E-2</v>
      </c>
      <c r="H5200" s="3" t="str">
        <f>"SLC14A2"</f>
        <v>SLC14A2</v>
      </c>
      <c r="I5200" s="3" t="str">
        <f>"protein_coding"</f>
        <v>protein_coding</v>
      </c>
    </row>
    <row r="5201" spans="1:9" x14ac:dyDescent="0.2">
      <c r="A5201" s="3" t="str">
        <f>"ENSG00000266988.5"</f>
        <v>ENSG00000266988.5</v>
      </c>
      <c r="B5201" s="3">
        <v>4.2577243842941197</v>
      </c>
      <c r="C5201" s="3">
        <v>5.4867669360524598</v>
      </c>
      <c r="D5201" s="3">
        <v>2.11613036159978</v>
      </c>
      <c r="E5201" s="3">
        <v>2.5928303074412198</v>
      </c>
      <c r="F5201" s="3">
        <v>9.5189725018600003E-3</v>
      </c>
      <c r="G5201" s="3">
        <v>3.0470329388883902E-2</v>
      </c>
      <c r="H5201" s="3" t="str">
        <f>"AC021517.1"</f>
        <v>AC021517.1</v>
      </c>
      <c r="I5201" s="3" t="str">
        <f>"sense_intronic"</f>
        <v>sense_intronic</v>
      </c>
    </row>
    <row r="5202" spans="1:9" x14ac:dyDescent="0.2">
      <c r="A5202" s="3" t="str">
        <f>"ENSG00000152229.18"</f>
        <v>ENSG00000152229.18</v>
      </c>
      <c r="B5202" s="3">
        <v>189.744385330011</v>
      </c>
      <c r="C5202" s="3">
        <v>4.5550830997771898</v>
      </c>
      <c r="D5202" s="3">
        <v>0.38502479372006398</v>
      </c>
      <c r="E5202" s="3">
        <v>11.8306227912403</v>
      </c>
      <c r="F5202" s="4">
        <v>2.7112264829947299E-32</v>
      </c>
      <c r="G5202" s="4">
        <v>2.4062797388324899E-30</v>
      </c>
      <c r="H5202" s="3" t="str">
        <f>"PSTPIP2"</f>
        <v>PSTPIP2</v>
      </c>
      <c r="I5202" s="3" t="str">
        <f t="shared" ref="I5202:I5209" si="235">"protein_coding"</f>
        <v>protein_coding</v>
      </c>
    </row>
    <row r="5203" spans="1:9" x14ac:dyDescent="0.2">
      <c r="A5203" s="3" t="str">
        <f>"ENSG00000167210.17"</f>
        <v>ENSG00000167210.17</v>
      </c>
      <c r="B5203" s="3">
        <v>8.4517408699884502</v>
      </c>
      <c r="C5203" s="3">
        <v>3.9299671328076502</v>
      </c>
      <c r="D5203" s="3">
        <v>1.4971787094850399</v>
      </c>
      <c r="E5203" s="3">
        <v>2.6249151874189902</v>
      </c>
      <c r="F5203" s="3">
        <v>8.6670553076643193E-3</v>
      </c>
      <c r="G5203" s="3">
        <v>2.82443793766212E-2</v>
      </c>
      <c r="H5203" s="3" t="str">
        <f>"LOXHD1"</f>
        <v>LOXHD1</v>
      </c>
      <c r="I5203" s="3" t="str">
        <f t="shared" si="235"/>
        <v>protein_coding</v>
      </c>
    </row>
    <row r="5204" spans="1:9" x14ac:dyDescent="0.2">
      <c r="A5204" s="3" t="str">
        <f>"ENSG00000167216.16"</f>
        <v>ENSG00000167216.16</v>
      </c>
      <c r="B5204" s="3">
        <v>9.1405572903315608</v>
      </c>
      <c r="C5204" s="3">
        <v>4.0605951744826996</v>
      </c>
      <c r="D5204" s="3">
        <v>1.44020793391972</v>
      </c>
      <c r="E5204" s="3">
        <v>2.8194506354587499</v>
      </c>
      <c r="F5204" s="3">
        <v>4.8105929694418599E-3</v>
      </c>
      <c r="G5204" s="3">
        <v>1.7158558271813399E-2</v>
      </c>
      <c r="H5204" s="3" t="str">
        <f>"KATNAL2"</f>
        <v>KATNAL2</v>
      </c>
      <c r="I5204" s="3" t="str">
        <f t="shared" si="235"/>
        <v>protein_coding</v>
      </c>
    </row>
    <row r="5205" spans="1:9" x14ac:dyDescent="0.2">
      <c r="A5205" s="3" t="str">
        <f>"ENSG00000184828.10"</f>
        <v>ENSG00000184828.10</v>
      </c>
      <c r="B5205" s="3">
        <v>7.8180753051040002</v>
      </c>
      <c r="C5205" s="3">
        <v>4.88009968679913</v>
      </c>
      <c r="D5205" s="3">
        <v>1.8455460297392801</v>
      </c>
      <c r="E5205" s="3">
        <v>2.6442579096705199</v>
      </c>
      <c r="F5205" s="3">
        <v>8.1870248114142598E-3</v>
      </c>
      <c r="G5205" s="3">
        <v>2.6889086913766201E-2</v>
      </c>
      <c r="H5205" s="3" t="str">
        <f>"ZBTB7C"</f>
        <v>ZBTB7C</v>
      </c>
      <c r="I5205" s="3" t="str">
        <f t="shared" si="235"/>
        <v>protein_coding</v>
      </c>
    </row>
    <row r="5206" spans="1:9" x14ac:dyDescent="0.2">
      <c r="A5206" s="3" t="str">
        <f>"ENSG00000134030.14"</f>
        <v>ENSG00000134030.14</v>
      </c>
      <c r="B5206" s="3">
        <v>1849.15593638106</v>
      </c>
      <c r="C5206" s="3">
        <v>-1.53464568516122</v>
      </c>
      <c r="D5206" s="3">
        <v>0.217212029958229</v>
      </c>
      <c r="E5206" s="3">
        <v>-7.0651965522183104</v>
      </c>
      <c r="F5206" s="4">
        <v>1.60388808392055E-12</v>
      </c>
      <c r="G5206" s="4">
        <v>3.1059800016050498E-11</v>
      </c>
      <c r="H5206" s="3" t="str">
        <f>"CTIF"</f>
        <v>CTIF</v>
      </c>
      <c r="I5206" s="3" t="str">
        <f t="shared" si="235"/>
        <v>protein_coding</v>
      </c>
    </row>
    <row r="5207" spans="1:9" x14ac:dyDescent="0.2">
      <c r="A5207" s="3" t="str">
        <f>"ENSG00000167306.20"</f>
        <v>ENSG00000167306.20</v>
      </c>
      <c r="B5207" s="3">
        <v>1239.5905443061899</v>
      </c>
      <c r="C5207" s="3">
        <v>-1.37315697376617</v>
      </c>
      <c r="D5207" s="3">
        <v>0.218134740834763</v>
      </c>
      <c r="E5207" s="3">
        <v>-6.2949944080953797</v>
      </c>
      <c r="F5207" s="4">
        <v>3.0741094150497099E-10</v>
      </c>
      <c r="G5207" s="4">
        <v>4.4482346910175E-9</v>
      </c>
      <c r="H5207" s="3" t="str">
        <f>"MYO5B"</f>
        <v>MYO5B</v>
      </c>
      <c r="I5207" s="3" t="str">
        <f t="shared" si="235"/>
        <v>protein_coding</v>
      </c>
    </row>
    <row r="5208" spans="1:9" x14ac:dyDescent="0.2">
      <c r="A5208" s="3" t="str">
        <f>"ENSG00000134042.13"</f>
        <v>ENSG00000134042.13</v>
      </c>
      <c r="B5208" s="3">
        <v>8.5124429782153506</v>
      </c>
      <c r="C5208" s="3">
        <v>6.4827049885886003</v>
      </c>
      <c r="D5208" s="3">
        <v>1.8258597173722999</v>
      </c>
      <c r="E5208" s="3">
        <v>3.5504945571164899</v>
      </c>
      <c r="F5208" s="3">
        <v>3.8450808648691701E-4</v>
      </c>
      <c r="G5208" s="3">
        <v>1.90174112044092E-3</v>
      </c>
      <c r="H5208" s="3" t="str">
        <f>"MRO"</f>
        <v>MRO</v>
      </c>
      <c r="I5208" s="3" t="str">
        <f t="shared" si="235"/>
        <v>protein_coding</v>
      </c>
    </row>
    <row r="5209" spans="1:9" x14ac:dyDescent="0.2">
      <c r="A5209" s="3" t="str">
        <f>"ENSG00000141642.9"</f>
        <v>ENSG00000141642.9</v>
      </c>
      <c r="B5209" s="3">
        <v>116.30319356626801</v>
      </c>
      <c r="C5209" s="3">
        <v>1.2437293420284601</v>
      </c>
      <c r="D5209" s="3">
        <v>0.39923704465332399</v>
      </c>
      <c r="E5209" s="3">
        <v>3.1152653760084998</v>
      </c>
      <c r="F5209" s="3">
        <v>1.8377948770739001E-3</v>
      </c>
      <c r="G5209" s="3">
        <v>7.4995352726722501E-3</v>
      </c>
      <c r="H5209" s="3" t="str">
        <f>"ELAC1"</f>
        <v>ELAC1</v>
      </c>
      <c r="I5209" s="3" t="str">
        <f t="shared" si="235"/>
        <v>protein_coding</v>
      </c>
    </row>
    <row r="5210" spans="1:9" x14ac:dyDescent="0.2">
      <c r="A5210" s="3" t="str">
        <f>"ENSG00000227115.7"</f>
        <v>ENSG00000227115.7</v>
      </c>
      <c r="B5210" s="3">
        <v>8.1861755049021703</v>
      </c>
      <c r="C5210" s="3">
        <v>4.9311538160256196</v>
      </c>
      <c r="D5210" s="3">
        <v>1.84422075181392</v>
      </c>
      <c r="E5210" s="3">
        <v>2.67384141034933</v>
      </c>
      <c r="F5210" s="3">
        <v>7.4987903797105902E-3</v>
      </c>
      <c r="G5210" s="3">
        <v>2.49535346209055E-2</v>
      </c>
      <c r="H5210" s="3" t="str">
        <f>"LINC01630"</f>
        <v>LINC01630</v>
      </c>
      <c r="I5210" s="3" t="str">
        <f>"lincRNA"</f>
        <v>lincRNA</v>
      </c>
    </row>
    <row r="5211" spans="1:9" x14ac:dyDescent="0.2">
      <c r="A5211" s="3" t="str">
        <f>"ENSG00000187323.12"</f>
        <v>ENSG00000187323.12</v>
      </c>
      <c r="B5211" s="3">
        <v>8.70252634331524</v>
      </c>
      <c r="C5211" s="3">
        <v>5.0258078228051799</v>
      </c>
      <c r="D5211" s="3">
        <v>1.79043774713542</v>
      </c>
      <c r="E5211" s="3">
        <v>2.8070274048043</v>
      </c>
      <c r="F5211" s="3">
        <v>5.0000987743857696E-3</v>
      </c>
      <c r="G5211" s="3">
        <v>1.7723128828631401E-2</v>
      </c>
      <c r="H5211" s="3" t="str">
        <f>"DCC"</f>
        <v>DCC</v>
      </c>
      <c r="I5211" s="3" t="str">
        <f>"protein_coding"</f>
        <v>protein_coding</v>
      </c>
    </row>
    <row r="5212" spans="1:9" x14ac:dyDescent="0.2">
      <c r="A5212" s="3" t="str">
        <f>"ENSG00000166510.14"</f>
        <v>ENSG00000166510.14</v>
      </c>
      <c r="B5212" s="3">
        <v>289.761165196837</v>
      </c>
      <c r="C5212" s="3">
        <v>-3.5918056020012399</v>
      </c>
      <c r="D5212" s="3">
        <v>0.29920853770783501</v>
      </c>
      <c r="E5212" s="3">
        <v>-12.0043553219343</v>
      </c>
      <c r="F5212" s="4">
        <v>3.3708026605890401E-33</v>
      </c>
      <c r="G5212" s="4">
        <v>3.2001484352985902E-31</v>
      </c>
      <c r="H5212" s="3" t="str">
        <f>"CCDC68"</f>
        <v>CCDC68</v>
      </c>
      <c r="I5212" s="3" t="str">
        <f>"protein_coding"</f>
        <v>protein_coding</v>
      </c>
    </row>
    <row r="5213" spans="1:9" x14ac:dyDescent="0.2">
      <c r="A5213" s="3" t="str">
        <f>"ENSG00000196628.16"</f>
        <v>ENSG00000196628.16</v>
      </c>
      <c r="B5213" s="3">
        <v>10.058489703081699</v>
      </c>
      <c r="C5213" s="3">
        <v>6.7284973566361703</v>
      </c>
      <c r="D5213" s="3">
        <v>1.7653056374463101</v>
      </c>
      <c r="E5213" s="3">
        <v>3.8115197809993</v>
      </c>
      <c r="F5213" s="3">
        <v>1.38115000684238E-4</v>
      </c>
      <c r="G5213" s="3">
        <v>7.65971793943302E-4</v>
      </c>
      <c r="H5213" s="3" t="str">
        <f>"TCF4"</f>
        <v>TCF4</v>
      </c>
      <c r="I5213" s="3" t="str">
        <f>"protein_coding"</f>
        <v>protein_coding</v>
      </c>
    </row>
    <row r="5214" spans="1:9" x14ac:dyDescent="0.2">
      <c r="A5214" s="3" t="str">
        <f>"ENSG00000267257.1"</f>
        <v>ENSG00000267257.1</v>
      </c>
      <c r="B5214" s="3">
        <v>11.529141165781599</v>
      </c>
      <c r="C5214" s="3">
        <v>3.3445927991643498</v>
      </c>
      <c r="D5214" s="3">
        <v>1.15638229796666</v>
      </c>
      <c r="E5214" s="3">
        <v>2.8922898638671199</v>
      </c>
      <c r="F5214" s="3">
        <v>3.8244492184931599E-3</v>
      </c>
      <c r="G5214" s="3">
        <v>1.4114149784137E-2</v>
      </c>
      <c r="H5214" s="3" t="str">
        <f>"AC105105.1"</f>
        <v>AC105105.1</v>
      </c>
      <c r="I5214" s="3" t="str">
        <f>"antisense"</f>
        <v>antisense</v>
      </c>
    </row>
    <row r="5215" spans="1:9" x14ac:dyDescent="0.2">
      <c r="A5215" s="3" t="str">
        <f>"ENSG00000172175.14"</f>
        <v>ENSG00000172175.14</v>
      </c>
      <c r="B5215" s="3">
        <v>9902.1553964668492</v>
      </c>
      <c r="C5215" s="3">
        <v>1.1232649748308801</v>
      </c>
      <c r="D5215" s="3">
        <v>0.208476827161413</v>
      </c>
      <c r="E5215" s="3">
        <v>5.3879608114008599</v>
      </c>
      <c r="F5215" s="4">
        <v>7.12615849545807E-8</v>
      </c>
      <c r="G5215" s="4">
        <v>7.4279434019030598E-7</v>
      </c>
      <c r="H5215" s="3" t="str">
        <f>"MALT1"</f>
        <v>MALT1</v>
      </c>
      <c r="I5215" s="3" t="str">
        <f>"protein_coding"</f>
        <v>protein_coding</v>
      </c>
    </row>
    <row r="5216" spans="1:9" x14ac:dyDescent="0.2">
      <c r="A5216" s="3" t="str">
        <f>"ENSG00000266946.1"</f>
        <v>ENSG00000266946.1</v>
      </c>
      <c r="B5216" s="3">
        <v>344.03238050649799</v>
      </c>
      <c r="C5216" s="3">
        <v>1.40965604583148</v>
      </c>
      <c r="D5216" s="3">
        <v>0.25481003660597201</v>
      </c>
      <c r="E5216" s="3">
        <v>5.5321841502315303</v>
      </c>
      <c r="F5216" s="4">
        <v>3.1626760570741301E-8</v>
      </c>
      <c r="G5216" s="4">
        <v>3.5029851433779998E-7</v>
      </c>
      <c r="H5216" s="3" t="str">
        <f>"MRPL37P1"</f>
        <v>MRPL37P1</v>
      </c>
      <c r="I5216" s="3" t="str">
        <f>"processed_pseudogene"</f>
        <v>processed_pseudogene</v>
      </c>
    </row>
    <row r="5217" spans="1:9" x14ac:dyDescent="0.2">
      <c r="A5217" s="3" t="str">
        <f>"ENSG00000166562.9"</f>
        <v>ENSG00000166562.9</v>
      </c>
      <c r="B5217" s="3">
        <v>1282.4856759524</v>
      </c>
      <c r="C5217" s="3">
        <v>-1.4744614721089599</v>
      </c>
      <c r="D5217" s="3">
        <v>0.209025944531819</v>
      </c>
      <c r="E5217" s="3">
        <v>-7.0539639249639201</v>
      </c>
      <c r="F5217" s="4">
        <v>1.73891479443752E-12</v>
      </c>
      <c r="G5217" s="4">
        <v>3.3460601274038899E-11</v>
      </c>
      <c r="H5217" s="3" t="str">
        <f>"SEC11C"</f>
        <v>SEC11C</v>
      </c>
      <c r="I5217" s="3" t="str">
        <f>"protein_coding"</f>
        <v>protein_coding</v>
      </c>
    </row>
    <row r="5218" spans="1:9" x14ac:dyDescent="0.2">
      <c r="A5218" s="3" t="str">
        <f>"ENSG00000141682.11"</f>
        <v>ENSG00000141682.11</v>
      </c>
      <c r="B5218" s="3">
        <v>421.11135718844599</v>
      </c>
      <c r="C5218" s="3">
        <v>2.5366270496287902</v>
      </c>
      <c r="D5218" s="3">
        <v>0.24644649546976299</v>
      </c>
      <c r="E5218" s="3">
        <v>10.2928103919417</v>
      </c>
      <c r="F5218" s="4">
        <v>7.5927310031331499E-25</v>
      </c>
      <c r="G5218" s="4">
        <v>4.1793765988357402E-23</v>
      </c>
      <c r="H5218" s="3" t="str">
        <f>"PMAIP1"</f>
        <v>PMAIP1</v>
      </c>
      <c r="I5218" s="3" t="str">
        <f>"protein_coding"</f>
        <v>protein_coding</v>
      </c>
    </row>
    <row r="5219" spans="1:9" x14ac:dyDescent="0.2">
      <c r="A5219" s="3" t="str">
        <f>"ENSG00000266900.1"</f>
        <v>ENSG00000266900.1</v>
      </c>
      <c r="B5219" s="3">
        <v>72.890093740249597</v>
      </c>
      <c r="C5219" s="3">
        <v>1.0935963847847601</v>
      </c>
      <c r="D5219" s="3">
        <v>0.42934417365281002</v>
      </c>
      <c r="E5219" s="3">
        <v>2.5471322353825601</v>
      </c>
      <c r="F5219" s="3">
        <v>1.08612267536327E-2</v>
      </c>
      <c r="G5219" s="3">
        <v>3.4125443422074603E-2</v>
      </c>
      <c r="H5219" s="3" t="str">
        <f>"AC027514.1"</f>
        <v>AC027514.1</v>
      </c>
      <c r="I5219" s="3" t="str">
        <f>"sense_intronic"</f>
        <v>sense_intronic</v>
      </c>
    </row>
    <row r="5220" spans="1:9" x14ac:dyDescent="0.2">
      <c r="A5220" s="3" t="str">
        <f>"ENSG00000141664.9"</f>
        <v>ENSG00000141664.9</v>
      </c>
      <c r="B5220" s="3">
        <v>4903.0679809727499</v>
      </c>
      <c r="C5220" s="3">
        <v>-1.2935932376232799</v>
      </c>
      <c r="D5220" s="3">
        <v>0.17282391350738599</v>
      </c>
      <c r="E5220" s="3">
        <v>-7.4850361351642398</v>
      </c>
      <c r="F5220" s="4">
        <v>7.1527453625840903E-14</v>
      </c>
      <c r="G5220" s="4">
        <v>1.6120004375047901E-12</v>
      </c>
      <c r="H5220" s="3" t="str">
        <f>"ZCCHC2"</f>
        <v>ZCCHC2</v>
      </c>
      <c r="I5220" s="3" t="str">
        <f>"protein_coding"</f>
        <v>protein_coding</v>
      </c>
    </row>
    <row r="5221" spans="1:9" x14ac:dyDescent="0.2">
      <c r="A5221" s="3" t="str">
        <f>"ENSG00000081913.14"</f>
        <v>ENSG00000081913.14</v>
      </c>
      <c r="B5221" s="3">
        <v>1733.92172207213</v>
      </c>
      <c r="C5221" s="3">
        <v>-1.3298054858095201</v>
      </c>
      <c r="D5221" s="3">
        <v>0.20086428952194099</v>
      </c>
      <c r="E5221" s="3">
        <v>-6.6204176410574096</v>
      </c>
      <c r="F5221" s="4">
        <v>3.5818543497248101E-11</v>
      </c>
      <c r="G5221" s="4">
        <v>5.94365319530766E-10</v>
      </c>
      <c r="H5221" s="3" t="str">
        <f>"PHLPP1"</f>
        <v>PHLPP1</v>
      </c>
      <c r="I5221" s="3" t="str">
        <f>"protein_coding"</f>
        <v>protein_coding</v>
      </c>
    </row>
    <row r="5222" spans="1:9" x14ac:dyDescent="0.2">
      <c r="A5222" s="3" t="str">
        <f>"ENSG00000171791.13"</f>
        <v>ENSG00000171791.13</v>
      </c>
      <c r="B5222" s="3">
        <v>56.463317073504101</v>
      </c>
      <c r="C5222" s="3">
        <v>-1.66774103284002</v>
      </c>
      <c r="D5222" s="3">
        <v>0.49887192195791502</v>
      </c>
      <c r="E5222" s="3">
        <v>-3.3430244506338598</v>
      </c>
      <c r="F5222" s="3">
        <v>8.2870597708732696E-4</v>
      </c>
      <c r="G5222" s="3">
        <v>3.74302804925775E-3</v>
      </c>
      <c r="H5222" s="3" t="str">
        <f>"BCL2"</f>
        <v>BCL2</v>
      </c>
      <c r="I5222" s="3" t="str">
        <f>"protein_coding"</f>
        <v>protein_coding</v>
      </c>
    </row>
    <row r="5223" spans="1:9" x14ac:dyDescent="0.2">
      <c r="A5223" s="3" t="str">
        <f>"ENSG00000267430.1"</f>
        <v>ENSG00000267430.1</v>
      </c>
      <c r="B5223" s="3">
        <v>46.258245303614501</v>
      </c>
      <c r="C5223" s="3">
        <v>1.2470149608263601</v>
      </c>
      <c r="D5223" s="3">
        <v>0.521875922278635</v>
      </c>
      <c r="E5223" s="3">
        <v>2.3894855225004399</v>
      </c>
      <c r="F5223" s="3">
        <v>1.6871988818531199E-2</v>
      </c>
      <c r="G5223" s="3">
        <v>4.9161702420973098E-2</v>
      </c>
      <c r="H5223" s="3" t="str">
        <f>"AC036176.2"</f>
        <v>AC036176.2</v>
      </c>
      <c r="I5223" s="3" t="str">
        <f>"processed_pseudogene"</f>
        <v>processed_pseudogene</v>
      </c>
    </row>
    <row r="5224" spans="1:9" x14ac:dyDescent="0.2">
      <c r="A5224" s="3" t="str">
        <f>"ENSG00000206075.14"</f>
        <v>ENSG00000206075.14</v>
      </c>
      <c r="B5224" s="3">
        <v>109.900801884768</v>
      </c>
      <c r="C5224" s="3">
        <v>7.7253677753007803</v>
      </c>
      <c r="D5224" s="3">
        <v>1.08974489270416</v>
      </c>
      <c r="E5224" s="3">
        <v>7.0891525411333296</v>
      </c>
      <c r="F5224" s="4">
        <v>1.3493573017202601E-12</v>
      </c>
      <c r="G5224" s="4">
        <v>2.6336632091670499E-11</v>
      </c>
      <c r="H5224" s="3" t="str">
        <f>"SERPINB5"</f>
        <v>SERPINB5</v>
      </c>
      <c r="I5224" s="3" t="str">
        <f>"protein_coding"</f>
        <v>protein_coding</v>
      </c>
    </row>
    <row r="5225" spans="1:9" x14ac:dyDescent="0.2">
      <c r="A5225" s="3" t="str">
        <f>"ENSG00000166401.14"</f>
        <v>ENSG00000166401.14</v>
      </c>
      <c r="B5225" s="3">
        <v>104.33035986845201</v>
      </c>
      <c r="C5225" s="3">
        <v>2.7914523252336099</v>
      </c>
      <c r="D5225" s="3">
        <v>0.39705336947910502</v>
      </c>
      <c r="E5225" s="3">
        <v>7.03042094541527</v>
      </c>
      <c r="F5225" s="4">
        <v>2.05911365032536E-12</v>
      </c>
      <c r="G5225" s="4">
        <v>3.9261490294202297E-11</v>
      </c>
      <c r="H5225" s="3" t="str">
        <f>"SERPINB8"</f>
        <v>SERPINB8</v>
      </c>
      <c r="I5225" s="3" t="str">
        <f>"protein_coding"</f>
        <v>protein_coding</v>
      </c>
    </row>
    <row r="5226" spans="1:9" x14ac:dyDescent="0.2">
      <c r="A5226" s="3" t="str">
        <f>"ENSG00000171451.14"</f>
        <v>ENSG00000171451.14</v>
      </c>
      <c r="B5226" s="3">
        <v>141.63693528835401</v>
      </c>
      <c r="C5226" s="3">
        <v>5.7475821093111099</v>
      </c>
      <c r="D5226" s="3">
        <v>0.574790983315703</v>
      </c>
      <c r="E5226" s="3">
        <v>9.9994298382273907</v>
      </c>
      <c r="F5226" s="4">
        <v>1.53276999789086E-23</v>
      </c>
      <c r="G5226" s="4">
        <v>7.6489714528447598E-22</v>
      </c>
      <c r="H5226" s="3" t="str">
        <f>"DSEL"</f>
        <v>DSEL</v>
      </c>
      <c r="I5226" s="3" t="str">
        <f>"protein_coding"</f>
        <v>protein_coding</v>
      </c>
    </row>
    <row r="5227" spans="1:9" x14ac:dyDescent="0.2">
      <c r="A5227" s="3" t="str">
        <f>"ENSG00000206052.11"</f>
        <v>ENSG00000206052.11</v>
      </c>
      <c r="B5227" s="3">
        <v>1550.7657677499999</v>
      </c>
      <c r="C5227" s="3">
        <v>-2.4655150125743002</v>
      </c>
      <c r="D5227" s="3">
        <v>0.189808952413797</v>
      </c>
      <c r="E5227" s="3">
        <v>-12.9894558777148</v>
      </c>
      <c r="F5227" s="4">
        <v>1.4042183614434601E-38</v>
      </c>
      <c r="G5227" s="4">
        <v>1.7962787649882701E-36</v>
      </c>
      <c r="H5227" s="3" t="str">
        <f>"DOK6"</f>
        <v>DOK6</v>
      </c>
      <c r="I5227" s="3" t="str">
        <f>"protein_coding"</f>
        <v>protein_coding</v>
      </c>
    </row>
    <row r="5228" spans="1:9" x14ac:dyDescent="0.2">
      <c r="A5228" s="3" t="str">
        <f>"ENSG00000264845.2"</f>
        <v>ENSG00000264845.2</v>
      </c>
      <c r="B5228" s="3">
        <v>116.237033595095</v>
      </c>
      <c r="C5228" s="3">
        <v>-1.9580932688980399</v>
      </c>
      <c r="D5228" s="3">
        <v>0.37157420695392301</v>
      </c>
      <c r="E5228" s="3">
        <v>-5.2697233345393402</v>
      </c>
      <c r="F5228" s="4">
        <v>1.3662953876419701E-7</v>
      </c>
      <c r="G5228" s="4">
        <v>1.3556973935572E-6</v>
      </c>
      <c r="H5228" s="3" t="str">
        <f>"AC119868.1"</f>
        <v>AC119868.1</v>
      </c>
      <c r="I5228" s="3" t="str">
        <f>"transcribed_processed_pseudogene"</f>
        <v>transcribed_processed_pseudogene</v>
      </c>
    </row>
    <row r="5229" spans="1:9" x14ac:dyDescent="0.2">
      <c r="A5229" s="3" t="str">
        <f>"ENSG00000279221.1"</f>
        <v>ENSG00000279221.1</v>
      </c>
      <c r="B5229" s="3">
        <v>70.624252403478096</v>
      </c>
      <c r="C5229" s="3">
        <v>-1.2316683999834599</v>
      </c>
      <c r="D5229" s="3">
        <v>0.437974522456131</v>
      </c>
      <c r="E5229" s="3">
        <v>-2.8121918897847098</v>
      </c>
      <c r="F5229" s="3">
        <v>4.9205139213017602E-3</v>
      </c>
      <c r="G5229" s="3">
        <v>1.7493377193855599E-2</v>
      </c>
      <c r="H5229" s="3" t="str">
        <f>"AC068254.2"</f>
        <v>AC068254.2</v>
      </c>
      <c r="I5229" s="3" t="str">
        <f>"TEC"</f>
        <v>TEC</v>
      </c>
    </row>
    <row r="5230" spans="1:9" x14ac:dyDescent="0.2">
      <c r="A5230" s="3" t="str">
        <f>"ENSG00000266304.1"</f>
        <v>ENSG00000266304.1</v>
      </c>
      <c r="B5230" s="3">
        <v>92.610509119719296</v>
      </c>
      <c r="C5230" s="3">
        <v>1.5853651400812601</v>
      </c>
      <c r="D5230" s="3">
        <v>0.43487932439726801</v>
      </c>
      <c r="E5230" s="3">
        <v>3.64552888845322</v>
      </c>
      <c r="F5230" s="3">
        <v>2.6684243544724699E-4</v>
      </c>
      <c r="G5230" s="3">
        <v>1.3724347394683499E-3</v>
      </c>
      <c r="H5230" s="3" t="str">
        <f>"LIVAR"</f>
        <v>LIVAR</v>
      </c>
      <c r="I5230" s="3" t="str">
        <f>"lincRNA"</f>
        <v>lincRNA</v>
      </c>
    </row>
    <row r="5231" spans="1:9" x14ac:dyDescent="0.2">
      <c r="A5231" s="3" t="str">
        <f>"ENSG00000260457.2"</f>
        <v>ENSG00000260457.2</v>
      </c>
      <c r="B5231" s="3">
        <v>4.9884980611747398</v>
      </c>
      <c r="C5231" s="3">
        <v>5.7089767879157503</v>
      </c>
      <c r="D5231" s="3">
        <v>2.08929110101219</v>
      </c>
      <c r="E5231" s="3">
        <v>2.7324946653675801</v>
      </c>
      <c r="F5231" s="3">
        <v>6.2856689374679604E-3</v>
      </c>
      <c r="G5231" s="3">
        <v>2.15347191675078E-2</v>
      </c>
      <c r="H5231" s="3" t="str">
        <f>"AC027458.1"</f>
        <v>AC027458.1</v>
      </c>
      <c r="I5231" s="3" t="str">
        <f>"lincRNA"</f>
        <v>lincRNA</v>
      </c>
    </row>
    <row r="5232" spans="1:9" x14ac:dyDescent="0.2">
      <c r="A5232" s="3" t="str">
        <f>"ENSG00000075336.12"</f>
        <v>ENSG00000075336.12</v>
      </c>
      <c r="B5232" s="3">
        <v>1619.2696932184101</v>
      </c>
      <c r="C5232" s="3">
        <v>1.33412256415761</v>
      </c>
      <c r="D5232" s="3">
        <v>0.18637938409591401</v>
      </c>
      <c r="E5232" s="3">
        <v>7.1581015820454201</v>
      </c>
      <c r="F5232" s="4">
        <v>8.1801932680460103E-13</v>
      </c>
      <c r="G5232" s="4">
        <v>1.6388656321650701E-11</v>
      </c>
      <c r="H5232" s="3" t="str">
        <f>"TIMM21"</f>
        <v>TIMM21</v>
      </c>
      <c r="I5232" s="3" t="str">
        <f t="shared" ref="I5232:I5237" si="236">"protein_coding"</f>
        <v>protein_coding</v>
      </c>
    </row>
    <row r="5233" spans="1:9" x14ac:dyDescent="0.2">
      <c r="A5233" s="3" t="str">
        <f>"ENSG00000166347.19"</f>
        <v>ENSG00000166347.19</v>
      </c>
      <c r="B5233" s="3">
        <v>1315.9798364016399</v>
      </c>
      <c r="C5233" s="3">
        <v>-1.3092425198789801</v>
      </c>
      <c r="D5233" s="3">
        <v>0.220886630356909</v>
      </c>
      <c r="E5233" s="3">
        <v>-5.9272148692906397</v>
      </c>
      <c r="F5233" s="4">
        <v>3.0811570156956301E-9</v>
      </c>
      <c r="G5233" s="4">
        <v>3.9248380180766099E-8</v>
      </c>
      <c r="H5233" s="3" t="str">
        <f>"CYB5A"</f>
        <v>CYB5A</v>
      </c>
      <c r="I5233" s="3" t="str">
        <f t="shared" si="236"/>
        <v>protein_coding</v>
      </c>
    </row>
    <row r="5234" spans="1:9" x14ac:dyDescent="0.2">
      <c r="A5234" s="3" t="str">
        <f>"ENSG00000206043.6"</f>
        <v>ENSG00000206043.6</v>
      </c>
      <c r="B5234" s="3">
        <v>6.8636935196746096</v>
      </c>
      <c r="C5234" s="3">
        <v>6.1755940381357304</v>
      </c>
      <c r="D5234" s="3">
        <v>1.8894328215106599</v>
      </c>
      <c r="E5234" s="3">
        <v>3.2684909290387698</v>
      </c>
      <c r="F5234" s="3">
        <v>1.0812264322655001E-3</v>
      </c>
      <c r="G5234" s="3">
        <v>4.7174021777322698E-3</v>
      </c>
      <c r="H5234" s="3" t="str">
        <f>"C18orf63"</f>
        <v>C18orf63</v>
      </c>
      <c r="I5234" s="3" t="str">
        <f t="shared" si="236"/>
        <v>protein_coding</v>
      </c>
    </row>
    <row r="5235" spans="1:9" x14ac:dyDescent="0.2">
      <c r="A5235" s="3" t="str">
        <f>"ENSG00000187773.8"</f>
        <v>ENSG00000187773.8</v>
      </c>
      <c r="B5235" s="3">
        <v>13.6668961989949</v>
      </c>
      <c r="C5235" s="3">
        <v>3.2609744984339102</v>
      </c>
      <c r="D5235" s="3">
        <v>1.06396031215628</v>
      </c>
      <c r="E5235" s="3">
        <v>3.0649399805384099</v>
      </c>
      <c r="F5235" s="3">
        <v>2.17713683108274E-3</v>
      </c>
      <c r="G5235" s="3">
        <v>8.6738481117869994E-3</v>
      </c>
      <c r="H5235" s="3" t="str">
        <f>"DIPK1C"</f>
        <v>DIPK1C</v>
      </c>
      <c r="I5235" s="3" t="str">
        <f t="shared" si="236"/>
        <v>protein_coding</v>
      </c>
    </row>
    <row r="5236" spans="1:9" x14ac:dyDescent="0.2">
      <c r="A5236" s="3" t="str">
        <f>"ENSG00000179981.10"</f>
        <v>ENSG00000179981.10</v>
      </c>
      <c r="B5236" s="3">
        <v>430.09670646883501</v>
      </c>
      <c r="C5236" s="3">
        <v>-2.3135338936738301</v>
      </c>
      <c r="D5236" s="3">
        <v>0.25521651228160502</v>
      </c>
      <c r="E5236" s="3">
        <v>-9.0649851492409894</v>
      </c>
      <c r="F5236" s="4">
        <v>1.2462122750066901E-19</v>
      </c>
      <c r="G5236" s="4">
        <v>4.6072653808829301E-18</v>
      </c>
      <c r="H5236" s="3" t="str">
        <f>"TSHZ1"</f>
        <v>TSHZ1</v>
      </c>
      <c r="I5236" s="3" t="str">
        <f t="shared" si="236"/>
        <v>protein_coding</v>
      </c>
    </row>
    <row r="5237" spans="1:9" x14ac:dyDescent="0.2">
      <c r="A5237" s="3" t="str">
        <f>"ENSG00000101493.11"</f>
        <v>ENSG00000101493.11</v>
      </c>
      <c r="B5237" s="3">
        <v>2930.2754545071002</v>
      </c>
      <c r="C5237" s="3">
        <v>-1.25923678881587</v>
      </c>
      <c r="D5237" s="3">
        <v>0.21258314000280501</v>
      </c>
      <c r="E5237" s="3">
        <v>-5.9235026296029503</v>
      </c>
      <c r="F5237" s="4">
        <v>3.1515568774218798E-9</v>
      </c>
      <c r="G5237" s="4">
        <v>4.0126387962202799E-8</v>
      </c>
      <c r="H5237" s="3" t="str">
        <f>"ZNF516"</f>
        <v>ZNF516</v>
      </c>
      <c r="I5237" s="3" t="str">
        <f t="shared" si="236"/>
        <v>protein_coding</v>
      </c>
    </row>
    <row r="5238" spans="1:9" x14ac:dyDescent="0.2">
      <c r="A5238" s="3" t="str">
        <f>"ENSG00000275178.1"</f>
        <v>ENSG00000275178.1</v>
      </c>
      <c r="B5238" s="3">
        <v>4.1490100698739001</v>
      </c>
      <c r="C5238" s="3">
        <v>5.4528452321004099</v>
      </c>
      <c r="D5238" s="3">
        <v>2.14831681779456</v>
      </c>
      <c r="E5238" s="3">
        <v>2.5381941745902501</v>
      </c>
      <c r="F5238" s="3">
        <v>1.11426142424134E-2</v>
      </c>
      <c r="G5238" s="3">
        <v>3.48648151427466E-2</v>
      </c>
      <c r="H5238" s="3" t="str">
        <f>"AC018529.1"</f>
        <v>AC018529.1</v>
      </c>
      <c r="I5238" s="3" t="str">
        <f>"antisense"</f>
        <v>antisense</v>
      </c>
    </row>
    <row r="5239" spans="1:9" x14ac:dyDescent="0.2">
      <c r="A5239" s="3" t="str">
        <f>"ENSG00000267780.2"</f>
        <v>ENSG00000267780.2</v>
      </c>
      <c r="B5239" s="3">
        <v>26.648518401831499</v>
      </c>
      <c r="C5239" s="3">
        <v>8.1330452022169197</v>
      </c>
      <c r="D5239" s="3">
        <v>1.5758192851077899</v>
      </c>
      <c r="E5239" s="3">
        <v>5.1611534895390099</v>
      </c>
      <c r="F5239" s="4">
        <v>2.4543284021832399E-7</v>
      </c>
      <c r="G5239" s="4">
        <v>2.3316975583782001E-6</v>
      </c>
      <c r="H5239" s="3" t="str">
        <f>"AC021594.2"</f>
        <v>AC021594.2</v>
      </c>
      <c r="I5239" s="3" t="str">
        <f>"lincRNA"</f>
        <v>lincRNA</v>
      </c>
    </row>
    <row r="5240" spans="1:9" x14ac:dyDescent="0.2">
      <c r="A5240" s="3" t="str">
        <f>"ENSG00000178342.4"</f>
        <v>ENSG00000178342.4</v>
      </c>
      <c r="B5240" s="3">
        <v>27.596888606515002</v>
      </c>
      <c r="C5240" s="3">
        <v>6.7274397258466001</v>
      </c>
      <c r="D5240" s="3">
        <v>1.5634501896516799</v>
      </c>
      <c r="E5240" s="3">
        <v>4.3029447118781698</v>
      </c>
      <c r="F5240" s="4">
        <v>1.68542919690144E-5</v>
      </c>
      <c r="G5240" s="3">
        <v>1.1381137379919099E-4</v>
      </c>
      <c r="H5240" s="3" t="str">
        <f>"KCNG2"</f>
        <v>KCNG2</v>
      </c>
      <c r="I5240" s="3" t="str">
        <f>"protein_coding"</f>
        <v>protein_coding</v>
      </c>
    </row>
    <row r="5241" spans="1:9" x14ac:dyDescent="0.2">
      <c r="A5241" s="3" t="str">
        <f>"ENSG00000122490.19"</f>
        <v>ENSG00000122490.19</v>
      </c>
      <c r="B5241" s="3">
        <v>1164.3891328505499</v>
      </c>
      <c r="C5241" s="3">
        <v>-1.0270012065793901</v>
      </c>
      <c r="D5241" s="3">
        <v>0.223830362723725</v>
      </c>
      <c r="E5241" s="3">
        <v>-4.5883015784012597</v>
      </c>
      <c r="F5241" s="4">
        <v>4.4686676759699398E-6</v>
      </c>
      <c r="G5241" s="4">
        <v>3.4086726810513099E-5</v>
      </c>
      <c r="H5241" s="3" t="str">
        <f>"PQLC1"</f>
        <v>PQLC1</v>
      </c>
      <c r="I5241" s="3" t="str">
        <f>"protein_coding"</f>
        <v>protein_coding</v>
      </c>
    </row>
    <row r="5242" spans="1:9" x14ac:dyDescent="0.2">
      <c r="A5242" s="3" t="str">
        <f>"ENSG00000101546.13"</f>
        <v>ENSG00000101546.13</v>
      </c>
      <c r="B5242" s="3">
        <v>841.43162451806302</v>
      </c>
      <c r="C5242" s="3">
        <v>-1.573309540885</v>
      </c>
      <c r="D5242" s="3">
        <v>0.22240863734001101</v>
      </c>
      <c r="E5242" s="3">
        <v>-7.0739588160858</v>
      </c>
      <c r="F5242" s="4">
        <v>1.5057499092017799E-12</v>
      </c>
      <c r="G5242" s="4">
        <v>2.9284202552477502E-11</v>
      </c>
      <c r="H5242" s="3" t="str">
        <f>"RBFA"</f>
        <v>RBFA</v>
      </c>
      <c r="I5242" s="3" t="str">
        <f>"protein_coding"</f>
        <v>protein_coding</v>
      </c>
    </row>
    <row r="5243" spans="1:9" x14ac:dyDescent="0.2">
      <c r="A5243" s="3" t="str">
        <f>"ENSG00000178184.16"</f>
        <v>ENSG00000178184.16</v>
      </c>
      <c r="B5243" s="3">
        <v>858.10951121610196</v>
      </c>
      <c r="C5243" s="3">
        <v>1.0576853885822699</v>
      </c>
      <c r="D5243" s="3">
        <v>0.21644448580270501</v>
      </c>
      <c r="E5243" s="3">
        <v>4.8866358718252796</v>
      </c>
      <c r="F5243" s="4">
        <v>1.02573547750496E-6</v>
      </c>
      <c r="G5243" s="4">
        <v>8.7832226761714392E-6</v>
      </c>
      <c r="H5243" s="3" t="str">
        <f>"PARD6G"</f>
        <v>PARD6G</v>
      </c>
      <c r="I5243" s="3" t="str">
        <f>"protein_coding"</f>
        <v>protein_coding</v>
      </c>
    </row>
    <row r="5244" spans="1:9" x14ac:dyDescent="0.2">
      <c r="A5244" s="3" t="str">
        <f>"ENSG00000282393.1"</f>
        <v>ENSG00000282393.1</v>
      </c>
      <c r="B5244" s="3">
        <v>45.557936778914197</v>
      </c>
      <c r="C5244" s="3">
        <v>1.96003928268711</v>
      </c>
      <c r="D5244" s="3">
        <v>0.55661600752090301</v>
      </c>
      <c r="E5244" s="3">
        <v>3.5213491099849601</v>
      </c>
      <c r="F5244" s="3">
        <v>4.2935694380300497E-4</v>
      </c>
      <c r="G5244" s="3">
        <v>2.0935376964567802E-3</v>
      </c>
      <c r="H5244" s="3" t="str">
        <f>"AC016588.2"</f>
        <v>AC016588.2</v>
      </c>
      <c r="I5244" s="3" t="str">
        <f>"lincRNA"</f>
        <v>lincRNA</v>
      </c>
    </row>
    <row r="5245" spans="1:9" x14ac:dyDescent="0.2">
      <c r="A5245" s="3" t="str">
        <f>"ENSG00000181781.9"</f>
        <v>ENSG00000181781.9</v>
      </c>
      <c r="B5245" s="3">
        <v>21.340403828384598</v>
      </c>
      <c r="C5245" s="3">
        <v>1.9495324482618599</v>
      </c>
      <c r="D5245" s="3">
        <v>0.75955819787750001</v>
      </c>
      <c r="E5245" s="3">
        <v>2.5666663248577999</v>
      </c>
      <c r="F5245" s="3">
        <v>1.0268136775290201E-2</v>
      </c>
      <c r="G5245" s="3">
        <v>3.2528301676122702E-2</v>
      </c>
      <c r="H5245" s="3" t="str">
        <f>"ODF3L2"</f>
        <v>ODF3L2</v>
      </c>
      <c r="I5245" s="3" t="str">
        <f>"protein_coding"</f>
        <v>protein_coding</v>
      </c>
    </row>
    <row r="5246" spans="1:9" x14ac:dyDescent="0.2">
      <c r="A5246" s="3" t="str">
        <f>"ENSG00000267751.5"</f>
        <v>ENSG00000267751.5</v>
      </c>
      <c r="B5246" s="3">
        <v>66.011617385961102</v>
      </c>
      <c r="C5246" s="3">
        <v>-2.0933109533235101</v>
      </c>
      <c r="D5246" s="3">
        <v>0.49860591583747899</v>
      </c>
      <c r="E5246" s="3">
        <v>-4.1983275505415802</v>
      </c>
      <c r="F5246" s="4">
        <v>2.6889350616461401E-5</v>
      </c>
      <c r="G5246" s="3">
        <v>1.7402711074743999E-4</v>
      </c>
      <c r="H5246" s="3" t="str">
        <f>"AC009005.1"</f>
        <v>AC009005.1</v>
      </c>
      <c r="I5246" s="3" t="str">
        <f>"antisense"</f>
        <v>antisense</v>
      </c>
    </row>
    <row r="5247" spans="1:9" x14ac:dyDescent="0.2">
      <c r="A5247" s="3" t="str">
        <f>"ENSG00000099822.3"</f>
        <v>ENSG00000099822.3</v>
      </c>
      <c r="B5247" s="3">
        <v>112.889693759247</v>
      </c>
      <c r="C5247" s="3">
        <v>5.9404685930768899</v>
      </c>
      <c r="D5247" s="3">
        <v>0.64413572675935804</v>
      </c>
      <c r="E5247" s="3">
        <v>9.2223864416950505</v>
      </c>
      <c r="F5247" s="4">
        <v>2.9056015613297203E-20</v>
      </c>
      <c r="G5247" s="4">
        <v>1.1540659729089E-18</v>
      </c>
      <c r="H5247" s="3" t="str">
        <f>"HCN2"</f>
        <v>HCN2</v>
      </c>
      <c r="I5247" s="3" t="str">
        <f>"protein_coding"</f>
        <v>protein_coding</v>
      </c>
    </row>
    <row r="5248" spans="1:9" x14ac:dyDescent="0.2">
      <c r="A5248" s="3" t="str">
        <f>"ENSG00000099821.14"</f>
        <v>ENSG00000099821.14</v>
      </c>
      <c r="B5248" s="3">
        <v>2000.41310249092</v>
      </c>
      <c r="C5248" s="3">
        <v>-1.24686282065433</v>
      </c>
      <c r="D5248" s="3">
        <v>0.21831341617684599</v>
      </c>
      <c r="E5248" s="3">
        <v>-5.7113430887101497</v>
      </c>
      <c r="F5248" s="4">
        <v>1.12088015934598E-8</v>
      </c>
      <c r="G5248" s="4">
        <v>1.32210483557142E-7</v>
      </c>
      <c r="H5248" s="3" t="str">
        <f>"POLRMT"</f>
        <v>POLRMT</v>
      </c>
      <c r="I5248" s="3" t="str">
        <f>"protein_coding"</f>
        <v>protein_coding</v>
      </c>
    </row>
    <row r="5249" spans="1:9" x14ac:dyDescent="0.2">
      <c r="A5249" s="3" t="str">
        <f>"ENSG00000070404.10"</f>
        <v>ENSG00000070404.10</v>
      </c>
      <c r="B5249" s="3">
        <v>1218.7037085007801</v>
      </c>
      <c r="C5249" s="3">
        <v>1.24146073026091</v>
      </c>
      <c r="D5249" s="3">
        <v>0.204152506414575</v>
      </c>
      <c r="E5249" s="3">
        <v>6.0810457440079499</v>
      </c>
      <c r="F5249" s="4">
        <v>1.1940121910136401E-9</v>
      </c>
      <c r="G5249" s="4">
        <v>1.60816856987388E-8</v>
      </c>
      <c r="H5249" s="3" t="str">
        <f>"FSTL3"</f>
        <v>FSTL3</v>
      </c>
      <c r="I5249" s="3" t="str">
        <f>"protein_coding"</f>
        <v>protein_coding</v>
      </c>
    </row>
    <row r="5250" spans="1:9" x14ac:dyDescent="0.2">
      <c r="A5250" s="3" t="str">
        <f>"ENSG00000099864.18"</f>
        <v>ENSG00000099864.18</v>
      </c>
      <c r="B5250" s="3">
        <v>1632.09659357019</v>
      </c>
      <c r="C5250" s="3">
        <v>1.52200210438622</v>
      </c>
      <c r="D5250" s="3">
        <v>0.20290414261006301</v>
      </c>
      <c r="E5250" s="3">
        <v>7.5010893558303096</v>
      </c>
      <c r="F5250" s="4">
        <v>6.328962601997E-14</v>
      </c>
      <c r="G5250" s="4">
        <v>1.4334600500133999E-12</v>
      </c>
      <c r="H5250" s="3" t="str">
        <f>"PALM"</f>
        <v>PALM</v>
      </c>
      <c r="I5250" s="3" t="str">
        <f>"protein_coding"</f>
        <v>protein_coding</v>
      </c>
    </row>
    <row r="5251" spans="1:9" x14ac:dyDescent="0.2">
      <c r="A5251" s="3" t="str">
        <f>"ENSG00000099812.9"</f>
        <v>ENSG00000099812.9</v>
      </c>
      <c r="B5251" s="3">
        <v>309.35039765807602</v>
      </c>
      <c r="C5251" s="3">
        <v>-1.6545211093385499</v>
      </c>
      <c r="D5251" s="3">
        <v>0.25642961214564203</v>
      </c>
      <c r="E5251" s="3">
        <v>-6.45214527095587</v>
      </c>
      <c r="F5251" s="4">
        <v>1.10277789337336E-10</v>
      </c>
      <c r="G5251" s="4">
        <v>1.7053001850592499E-9</v>
      </c>
      <c r="H5251" s="3" t="str">
        <f>"MISP"</f>
        <v>MISP</v>
      </c>
      <c r="I5251" s="3" t="str">
        <f>"protein_coding"</f>
        <v>protein_coding</v>
      </c>
    </row>
    <row r="5252" spans="1:9" x14ac:dyDescent="0.2">
      <c r="A5252" s="3" t="str">
        <f>"ENSG00000267530.2"</f>
        <v>ENSG00000267530.2</v>
      </c>
      <c r="B5252" s="3">
        <v>67.562649360447793</v>
      </c>
      <c r="C5252" s="3">
        <v>-1.4330941789763101</v>
      </c>
      <c r="D5252" s="3">
        <v>0.504361238449194</v>
      </c>
      <c r="E5252" s="3">
        <v>-2.8414042748066399</v>
      </c>
      <c r="F5252" s="3">
        <v>4.4915333894415196E-3</v>
      </c>
      <c r="G5252" s="3">
        <v>1.61772386334584E-2</v>
      </c>
      <c r="H5252" s="3" t="str">
        <f>"LINC01836"</f>
        <v>LINC01836</v>
      </c>
      <c r="I5252" s="3" t="str">
        <f>"lincRNA"</f>
        <v>lincRNA</v>
      </c>
    </row>
    <row r="5253" spans="1:9" x14ac:dyDescent="0.2">
      <c r="A5253" s="3" t="str">
        <f>"ENSG00000011304.20"</f>
        <v>ENSG00000011304.20</v>
      </c>
      <c r="B5253" s="3">
        <v>14516.2001528364</v>
      </c>
      <c r="C5253" s="3">
        <v>-1.4043854751595899</v>
      </c>
      <c r="D5253" s="3">
        <v>0.201537192263953</v>
      </c>
      <c r="E5253" s="3">
        <v>-6.9683687630235296</v>
      </c>
      <c r="F5253" s="4">
        <v>3.2063688179151899E-12</v>
      </c>
      <c r="G5253" s="4">
        <v>5.9715605729142305E-11</v>
      </c>
      <c r="H5253" s="3" t="str">
        <f>"PTBP1"</f>
        <v>PTBP1</v>
      </c>
      <c r="I5253" s="3" t="str">
        <f t="shared" ref="I5253:I5265" si="237">"protein_coding"</f>
        <v>protein_coding</v>
      </c>
    </row>
    <row r="5254" spans="1:9" x14ac:dyDescent="0.2">
      <c r="A5254" s="3" t="str">
        <f>"ENSG00000129951.18"</f>
        <v>ENSG00000129951.18</v>
      </c>
      <c r="B5254" s="3">
        <v>71.085392117596101</v>
      </c>
      <c r="C5254" s="3">
        <v>4.7265189572822202</v>
      </c>
      <c r="D5254" s="3">
        <v>0.61381417948316497</v>
      </c>
      <c r="E5254" s="3">
        <v>7.7002440074974698</v>
      </c>
      <c r="F5254" s="4">
        <v>1.35806648329605E-14</v>
      </c>
      <c r="G5254" s="4">
        <v>3.2232785252933401E-13</v>
      </c>
      <c r="H5254" s="3" t="str">
        <f>"PLPPR3"</f>
        <v>PLPPR3</v>
      </c>
      <c r="I5254" s="3" t="str">
        <f t="shared" si="237"/>
        <v>protein_coding</v>
      </c>
    </row>
    <row r="5255" spans="1:9" x14ac:dyDescent="0.2">
      <c r="A5255" s="3" t="str">
        <f>"ENSG00000175221.15"</f>
        <v>ENSG00000175221.15</v>
      </c>
      <c r="B5255" s="3">
        <v>1029.57143853715</v>
      </c>
      <c r="C5255" s="3">
        <v>-1.1047715398909901</v>
      </c>
      <c r="D5255" s="3">
        <v>0.22698549638476301</v>
      </c>
      <c r="E5255" s="3">
        <v>-4.8671459519963802</v>
      </c>
      <c r="F5255" s="4">
        <v>1.13221414937437E-6</v>
      </c>
      <c r="G5255" s="4">
        <v>9.6014437995653499E-6</v>
      </c>
      <c r="H5255" s="3" t="str">
        <f>"MED16"</f>
        <v>MED16</v>
      </c>
      <c r="I5255" s="3" t="str">
        <f t="shared" si="237"/>
        <v>protein_coding</v>
      </c>
    </row>
    <row r="5256" spans="1:9" x14ac:dyDescent="0.2">
      <c r="A5256" s="3" t="str">
        <f>"ENSG00000116014.10"</f>
        <v>ENSG00000116014.10</v>
      </c>
      <c r="B5256" s="3">
        <v>127.727369129408</v>
      </c>
      <c r="C5256" s="3">
        <v>-2.4964765281812502</v>
      </c>
      <c r="D5256" s="3">
        <v>0.35548824405410201</v>
      </c>
      <c r="E5256" s="3">
        <v>-7.0226697223813597</v>
      </c>
      <c r="F5256" s="4">
        <v>2.1766834070980602E-12</v>
      </c>
      <c r="G5256" s="4">
        <v>4.1387364126448698E-11</v>
      </c>
      <c r="H5256" s="3" t="str">
        <f>"KISS1R"</f>
        <v>KISS1R</v>
      </c>
      <c r="I5256" s="3" t="str">
        <f t="shared" si="237"/>
        <v>protein_coding</v>
      </c>
    </row>
    <row r="5257" spans="1:9" x14ac:dyDescent="0.2">
      <c r="A5257" s="3" t="str">
        <f>"ENSG00000065268.10"</f>
        <v>ENSG00000065268.10</v>
      </c>
      <c r="B5257" s="3">
        <v>1316.2773868448</v>
      </c>
      <c r="C5257" s="3">
        <v>-1.60799729993651</v>
      </c>
      <c r="D5257" s="3">
        <v>0.237810877392616</v>
      </c>
      <c r="E5257" s="3">
        <v>-6.7616642164007299</v>
      </c>
      <c r="F5257" s="4">
        <v>1.3641557682426399E-11</v>
      </c>
      <c r="G5257" s="4">
        <v>2.3614455030055398E-10</v>
      </c>
      <c r="H5257" s="3" t="str">
        <f>"WDR18"</f>
        <v>WDR18</v>
      </c>
      <c r="I5257" s="3" t="str">
        <f t="shared" si="237"/>
        <v>protein_coding</v>
      </c>
    </row>
    <row r="5258" spans="1:9" x14ac:dyDescent="0.2">
      <c r="A5258" s="3" t="str">
        <f>"ENSG00000116032.5"</f>
        <v>ENSG00000116032.5</v>
      </c>
      <c r="B5258" s="3">
        <v>57.1586601372315</v>
      </c>
      <c r="C5258" s="3">
        <v>3.4100719949257998</v>
      </c>
      <c r="D5258" s="3">
        <v>0.55556494798010703</v>
      </c>
      <c r="E5258" s="3">
        <v>6.1380258191665096</v>
      </c>
      <c r="F5258" s="4">
        <v>8.3553285276058903E-10</v>
      </c>
      <c r="G5258" s="4">
        <v>1.14862581428697E-8</v>
      </c>
      <c r="H5258" s="3" t="str">
        <f>"GRIN3B"</f>
        <v>GRIN3B</v>
      </c>
      <c r="I5258" s="3" t="str">
        <f t="shared" si="237"/>
        <v>protein_coding</v>
      </c>
    </row>
    <row r="5259" spans="1:9" x14ac:dyDescent="0.2">
      <c r="A5259" s="3" t="str">
        <f>"ENSG00000099817.12"</f>
        <v>ENSG00000099817.12</v>
      </c>
      <c r="B5259" s="3">
        <v>4212.8041408878098</v>
      </c>
      <c r="C5259" s="3">
        <v>-1.17459798865076</v>
      </c>
      <c r="D5259" s="3">
        <v>0.22561429912850101</v>
      </c>
      <c r="E5259" s="3">
        <v>-5.2062213839636202</v>
      </c>
      <c r="F5259" s="4">
        <v>1.92724703386246E-7</v>
      </c>
      <c r="G5259" s="4">
        <v>1.8680789730220701E-6</v>
      </c>
      <c r="H5259" s="3" t="str">
        <f>"POLR2E"</f>
        <v>POLR2E</v>
      </c>
      <c r="I5259" s="3" t="str">
        <f t="shared" si="237"/>
        <v>protein_coding</v>
      </c>
    </row>
    <row r="5260" spans="1:9" x14ac:dyDescent="0.2">
      <c r="A5260" s="3" t="str">
        <f>"ENSG00000167468.16"</f>
        <v>ENSG00000167468.16</v>
      </c>
      <c r="B5260" s="3">
        <v>8074.9211929066496</v>
      </c>
      <c r="C5260" s="3">
        <v>-1.0595342431155299</v>
      </c>
      <c r="D5260" s="3">
        <v>0.224791396405112</v>
      </c>
      <c r="E5260" s="3">
        <v>-4.71341101154096</v>
      </c>
      <c r="F5260" s="4">
        <v>2.43604136121153E-6</v>
      </c>
      <c r="G5260" s="4">
        <v>1.9424881173231101E-5</v>
      </c>
      <c r="H5260" s="3" t="str">
        <f>"GPX4"</f>
        <v>GPX4</v>
      </c>
      <c r="I5260" s="3" t="str">
        <f t="shared" si="237"/>
        <v>protein_coding</v>
      </c>
    </row>
    <row r="5261" spans="1:9" x14ac:dyDescent="0.2">
      <c r="A5261" s="3" t="str">
        <f>"ENSG00000099625.13"</f>
        <v>ENSG00000099625.13</v>
      </c>
      <c r="B5261" s="3">
        <v>161.14867803631299</v>
      </c>
      <c r="C5261" s="3">
        <v>-1.1927319197716399</v>
      </c>
      <c r="D5261" s="3">
        <v>0.315028851970857</v>
      </c>
      <c r="E5261" s="3">
        <v>-3.7861037562425399</v>
      </c>
      <c r="F5261" s="3">
        <v>1.53027799646855E-4</v>
      </c>
      <c r="G5261" s="3">
        <v>8.3995738456443803E-4</v>
      </c>
      <c r="H5261" s="3" t="str">
        <f>"CBARP"</f>
        <v>CBARP</v>
      </c>
      <c r="I5261" s="3" t="str">
        <f t="shared" si="237"/>
        <v>protein_coding</v>
      </c>
    </row>
    <row r="5262" spans="1:9" x14ac:dyDescent="0.2">
      <c r="A5262" s="3" t="str">
        <f>"ENSG00000099624.8"</f>
        <v>ENSG00000099624.8</v>
      </c>
      <c r="B5262" s="3">
        <v>1220.4991202876899</v>
      </c>
      <c r="C5262" s="3">
        <v>-1.02967905359137</v>
      </c>
      <c r="D5262" s="3">
        <v>0.22682557055559699</v>
      </c>
      <c r="E5262" s="3">
        <v>-4.5395192925966397</v>
      </c>
      <c r="F5262" s="4">
        <v>5.6382621656693497E-6</v>
      </c>
      <c r="G5262" s="4">
        <v>4.2170115077681303E-5</v>
      </c>
      <c r="H5262" s="3" t="str">
        <f>"ATP5F1D"</f>
        <v>ATP5F1D</v>
      </c>
      <c r="I5262" s="3" t="str">
        <f t="shared" si="237"/>
        <v>protein_coding</v>
      </c>
    </row>
    <row r="5263" spans="1:9" x14ac:dyDescent="0.2">
      <c r="A5263" s="3" t="str">
        <f>"ENSG00000099622.14"</f>
        <v>ENSG00000099622.14</v>
      </c>
      <c r="B5263" s="3">
        <v>5014.7343907041804</v>
      </c>
      <c r="C5263" s="3">
        <v>1.2718693624038999</v>
      </c>
      <c r="D5263" s="3">
        <v>0.199497533727997</v>
      </c>
      <c r="E5263" s="3">
        <v>6.37536383852252</v>
      </c>
      <c r="F5263" s="4">
        <v>1.8252909570728501E-10</v>
      </c>
      <c r="G5263" s="4">
        <v>2.7341232934229801E-9</v>
      </c>
      <c r="H5263" s="3" t="str">
        <f>"CIRBP"</f>
        <v>CIRBP</v>
      </c>
      <c r="I5263" s="3" t="str">
        <f t="shared" si="237"/>
        <v>protein_coding</v>
      </c>
    </row>
    <row r="5264" spans="1:9" x14ac:dyDescent="0.2">
      <c r="A5264" s="3" t="str">
        <f>"ENSG00000228300.14"</f>
        <v>ENSG00000228300.14</v>
      </c>
      <c r="B5264" s="3">
        <v>486.27806283571499</v>
      </c>
      <c r="C5264" s="3">
        <v>-1.3678063044854201</v>
      </c>
      <c r="D5264" s="3">
        <v>0.240968630150763</v>
      </c>
      <c r="E5264" s="3">
        <v>-5.6762836873399296</v>
      </c>
      <c r="F5264" s="4">
        <v>1.3765242693177499E-8</v>
      </c>
      <c r="G5264" s="4">
        <v>1.6062593904111701E-7</v>
      </c>
      <c r="H5264" s="3" t="str">
        <f>"C19orf24"</f>
        <v>C19orf24</v>
      </c>
      <c r="I5264" s="3" t="str">
        <f t="shared" si="237"/>
        <v>protein_coding</v>
      </c>
    </row>
    <row r="5265" spans="1:9" x14ac:dyDescent="0.2">
      <c r="A5265" s="3" t="str">
        <f>"ENSG00000099617.4"</f>
        <v>ENSG00000099617.4</v>
      </c>
      <c r="B5265" s="3">
        <v>535.01013900687201</v>
      </c>
      <c r="C5265" s="3">
        <v>-1.1735623718599399</v>
      </c>
      <c r="D5265" s="3">
        <v>0.24506375393600899</v>
      </c>
      <c r="E5265" s="3">
        <v>-4.7888043540146796</v>
      </c>
      <c r="F5265" s="4">
        <v>1.67777954263765E-6</v>
      </c>
      <c r="G5265" s="4">
        <v>1.37985086623145E-5</v>
      </c>
      <c r="H5265" s="3" t="str">
        <f>"EFNA2"</f>
        <v>EFNA2</v>
      </c>
      <c r="I5265" s="3" t="str">
        <f t="shared" si="237"/>
        <v>protein_coding</v>
      </c>
    </row>
    <row r="5266" spans="1:9" x14ac:dyDescent="0.2">
      <c r="A5266" s="3" t="str">
        <f>"ENSG00000279488.1"</f>
        <v>ENSG00000279488.1</v>
      </c>
      <c r="B5266" s="3">
        <v>19.884364358481498</v>
      </c>
      <c r="C5266" s="3">
        <v>2.1685667777067201</v>
      </c>
      <c r="D5266" s="3">
        <v>0.79892799839516904</v>
      </c>
      <c r="E5266" s="3">
        <v>2.71434570081757</v>
      </c>
      <c r="F5266" s="3">
        <v>6.6406827706454296E-3</v>
      </c>
      <c r="G5266" s="3">
        <v>2.2544067213029598E-2</v>
      </c>
      <c r="H5266" s="3" t="str">
        <f>"AC004623.1"</f>
        <v>AC004623.1</v>
      </c>
      <c r="I5266" s="3" t="str">
        <f>"TEC"</f>
        <v>TEC</v>
      </c>
    </row>
    <row r="5267" spans="1:9" x14ac:dyDescent="0.2">
      <c r="A5267" s="3" t="str">
        <f>"ENSG00000071626.16"</f>
        <v>ENSG00000071626.16</v>
      </c>
      <c r="B5267" s="3">
        <v>5343.8710913517198</v>
      </c>
      <c r="C5267" s="3">
        <v>-1.11248177760166</v>
      </c>
      <c r="D5267" s="3">
        <v>0.212212218928338</v>
      </c>
      <c r="E5267" s="3">
        <v>-5.2423078332606803</v>
      </c>
      <c r="F5267" s="4">
        <v>1.5858051376612901E-7</v>
      </c>
      <c r="G5267" s="4">
        <v>1.5581836489670799E-6</v>
      </c>
      <c r="H5267" s="3" t="str">
        <f>"DAZAP1"</f>
        <v>DAZAP1</v>
      </c>
      <c r="I5267" s="3" t="str">
        <f>"protein_coding"</f>
        <v>protein_coding</v>
      </c>
    </row>
    <row r="5268" spans="1:9" x14ac:dyDescent="0.2">
      <c r="A5268" s="3" t="str">
        <f>"ENSG00000267317.2"</f>
        <v>ENSG00000267317.2</v>
      </c>
      <c r="B5268" s="3">
        <v>211.46131068959301</v>
      </c>
      <c r="C5268" s="3">
        <v>1.19790432593246</v>
      </c>
      <c r="D5268" s="3">
        <v>0.29443647761921399</v>
      </c>
      <c r="E5268" s="3">
        <v>4.06846439550766</v>
      </c>
      <c r="F5268" s="4">
        <v>4.7323990542089399E-5</v>
      </c>
      <c r="G5268" s="3">
        <v>2.9146400775323502E-4</v>
      </c>
      <c r="H5268" s="3" t="str">
        <f>"AC027307.2"</f>
        <v>AC027307.2</v>
      </c>
      <c r="I5268" s="3" t="str">
        <f>"antisense"</f>
        <v>antisense</v>
      </c>
    </row>
    <row r="5269" spans="1:9" x14ac:dyDescent="0.2">
      <c r="A5269" s="3" t="str">
        <f>"ENSG00000181588.16"</f>
        <v>ENSG00000181588.16</v>
      </c>
      <c r="B5269" s="3">
        <v>1479.54101000422</v>
      </c>
      <c r="C5269" s="3">
        <v>-1.55171968998063</v>
      </c>
      <c r="D5269" s="3">
        <v>0.232029243331728</v>
      </c>
      <c r="E5269" s="3">
        <v>-6.6876039748238298</v>
      </c>
      <c r="F5269" s="4">
        <v>2.2685403007775401E-11</v>
      </c>
      <c r="G5269" s="4">
        <v>3.84396253577648E-10</v>
      </c>
      <c r="H5269" s="3" t="str">
        <f>"MEX3D"</f>
        <v>MEX3D</v>
      </c>
      <c r="I5269" s="3" t="str">
        <f>"protein_coding"</f>
        <v>protein_coding</v>
      </c>
    </row>
    <row r="5270" spans="1:9" x14ac:dyDescent="0.2">
      <c r="A5270" s="3" t="str">
        <f>"ENSG00000071564.15"</f>
        <v>ENSG00000071564.15</v>
      </c>
      <c r="B5270" s="3">
        <v>3319.9830115818099</v>
      </c>
      <c r="C5270" s="3">
        <v>-1.45855613428058</v>
      </c>
      <c r="D5270" s="3">
        <v>0.19343923732750101</v>
      </c>
      <c r="E5270" s="3">
        <v>-7.5401255424264502</v>
      </c>
      <c r="F5270" s="4">
        <v>4.6951923001498898E-14</v>
      </c>
      <c r="G5270" s="4">
        <v>1.0768510488399301E-12</v>
      </c>
      <c r="H5270" s="3" t="str">
        <f>"TCF3"</f>
        <v>TCF3</v>
      </c>
      <c r="I5270" s="3" t="str">
        <f>"protein_coding"</f>
        <v>protein_coding</v>
      </c>
    </row>
    <row r="5271" spans="1:9" x14ac:dyDescent="0.2">
      <c r="A5271" s="3" t="str">
        <f>"ENSG00000267073.1"</f>
        <v>ENSG00000267073.1</v>
      </c>
      <c r="B5271" s="3">
        <v>23.715627309609701</v>
      </c>
      <c r="C5271" s="3">
        <v>2.4942775709485399</v>
      </c>
      <c r="D5271" s="3">
        <v>0.85871233137381697</v>
      </c>
      <c r="E5271" s="3">
        <v>2.9046718904782201</v>
      </c>
      <c r="F5271" s="3">
        <v>3.6763827237434599E-3</v>
      </c>
      <c r="G5271" s="3">
        <v>1.3654634688364E-2</v>
      </c>
      <c r="H5271" s="3" t="str">
        <f>"AC005256.1"</f>
        <v>AC005256.1</v>
      </c>
      <c r="I5271" s="3" t="str">
        <f>"lincRNA"</f>
        <v>lincRNA</v>
      </c>
    </row>
    <row r="5272" spans="1:9" x14ac:dyDescent="0.2">
      <c r="A5272" s="3" t="str">
        <f>"ENSG00000129911.9"</f>
        <v>ENSG00000129911.9</v>
      </c>
      <c r="B5272" s="3">
        <v>1115.8808121152599</v>
      </c>
      <c r="C5272" s="3">
        <v>-1.9917698467007099</v>
      </c>
      <c r="D5272" s="3">
        <v>0.230681292337583</v>
      </c>
      <c r="E5272" s="3">
        <v>-8.6342929091359402</v>
      </c>
      <c r="F5272" s="4">
        <v>5.9091408085528002E-18</v>
      </c>
      <c r="G5272" s="4">
        <v>1.9009015302318601E-16</v>
      </c>
      <c r="H5272" s="3" t="str">
        <f>"KLF16"</f>
        <v>KLF16</v>
      </c>
      <c r="I5272" s="3" t="str">
        <f t="shared" ref="I5272:I5284" si="238">"protein_coding"</f>
        <v>protein_coding</v>
      </c>
    </row>
    <row r="5273" spans="1:9" x14ac:dyDescent="0.2">
      <c r="A5273" s="3" t="str">
        <f>"ENSG00000213638.6"</f>
        <v>ENSG00000213638.6</v>
      </c>
      <c r="B5273" s="3">
        <v>130.678004558109</v>
      </c>
      <c r="C5273" s="3">
        <v>-1.08187982940896</v>
      </c>
      <c r="D5273" s="3">
        <v>0.348499225948666</v>
      </c>
      <c r="E5273" s="3">
        <v>-3.1043966495590398</v>
      </c>
      <c r="F5273" s="3">
        <v>1.9066752774882199E-3</v>
      </c>
      <c r="G5273" s="3">
        <v>7.7250944036669003E-3</v>
      </c>
      <c r="H5273" s="3" t="str">
        <f>"ADAT3"</f>
        <v>ADAT3</v>
      </c>
      <c r="I5273" s="3" t="str">
        <f t="shared" si="238"/>
        <v>protein_coding</v>
      </c>
    </row>
    <row r="5274" spans="1:9" x14ac:dyDescent="0.2">
      <c r="A5274" s="3" t="str">
        <f>"ENSG00000104885.18"</f>
        <v>ENSG00000104885.18</v>
      </c>
      <c r="B5274" s="3">
        <v>4146.5597817040498</v>
      </c>
      <c r="C5274" s="3">
        <v>-1.34233232639693</v>
      </c>
      <c r="D5274" s="3">
        <v>0.20758046808066899</v>
      </c>
      <c r="E5274" s="3">
        <v>-6.4665637321680904</v>
      </c>
      <c r="F5274" s="4">
        <v>1.00256554422018E-10</v>
      </c>
      <c r="G5274" s="4">
        <v>1.5600744365144101E-9</v>
      </c>
      <c r="H5274" s="3" t="str">
        <f>"DOT1L"</f>
        <v>DOT1L</v>
      </c>
      <c r="I5274" s="3" t="str">
        <f t="shared" si="238"/>
        <v>protein_coding</v>
      </c>
    </row>
    <row r="5275" spans="1:9" x14ac:dyDescent="0.2">
      <c r="A5275" s="3" t="str">
        <f>"ENSG00000104886.11"</f>
        <v>ENSG00000104886.11</v>
      </c>
      <c r="B5275" s="3">
        <v>1706.17641031842</v>
      </c>
      <c r="C5275" s="3">
        <v>-1.11650549850865</v>
      </c>
      <c r="D5275" s="3">
        <v>0.22968548355234</v>
      </c>
      <c r="E5275" s="3">
        <v>-4.8610189953699203</v>
      </c>
      <c r="F5275" s="4">
        <v>1.1678304582265E-6</v>
      </c>
      <c r="G5275" s="4">
        <v>9.8758151754492502E-6</v>
      </c>
      <c r="H5275" s="3" t="str">
        <f>"PLEKHJ1"</f>
        <v>PLEKHJ1</v>
      </c>
      <c r="I5275" s="3" t="str">
        <f t="shared" si="238"/>
        <v>protein_coding</v>
      </c>
    </row>
    <row r="5276" spans="1:9" x14ac:dyDescent="0.2">
      <c r="A5276" s="3" t="str">
        <f>"ENSG00000104897.10"</f>
        <v>ENSG00000104897.10</v>
      </c>
      <c r="B5276" s="3">
        <v>1954.9954536446</v>
      </c>
      <c r="C5276" s="3">
        <v>-1.5014870599683099</v>
      </c>
      <c r="D5276" s="3">
        <v>0.21519939122015599</v>
      </c>
      <c r="E5276" s="3">
        <v>-6.9771900908039202</v>
      </c>
      <c r="F5276" s="4">
        <v>3.0114213574329102E-12</v>
      </c>
      <c r="G5276" s="4">
        <v>5.6238655055500003E-11</v>
      </c>
      <c r="H5276" s="3" t="str">
        <f>"SF3A2"</f>
        <v>SF3A2</v>
      </c>
      <c r="I5276" s="3" t="str">
        <f t="shared" si="238"/>
        <v>protein_coding</v>
      </c>
    </row>
    <row r="5277" spans="1:9" x14ac:dyDescent="0.2">
      <c r="A5277" s="3" t="str">
        <f>"ENSG00000178297.13"</f>
        <v>ENSG00000178297.13</v>
      </c>
      <c r="B5277" s="3">
        <v>74.674856465186707</v>
      </c>
      <c r="C5277" s="3">
        <v>-1.31539268903674</v>
      </c>
      <c r="D5277" s="3">
        <v>0.43300228251644202</v>
      </c>
      <c r="E5277" s="3">
        <v>-3.03784239055781</v>
      </c>
      <c r="F5277" s="3">
        <v>2.38278543123006E-3</v>
      </c>
      <c r="G5277" s="3">
        <v>9.3631027754146907E-3</v>
      </c>
      <c r="H5277" s="3" t="str">
        <f>"TMPRSS9"</f>
        <v>TMPRSS9</v>
      </c>
      <c r="I5277" s="3" t="str">
        <f t="shared" si="238"/>
        <v>protein_coding</v>
      </c>
    </row>
    <row r="5278" spans="1:9" x14ac:dyDescent="0.2">
      <c r="A5278" s="3" t="str">
        <f>"ENSG00000099800.8"</f>
        <v>ENSG00000099800.8</v>
      </c>
      <c r="B5278" s="3">
        <v>1865.87237836192</v>
      </c>
      <c r="C5278" s="3">
        <v>-1.2758150303376701</v>
      </c>
      <c r="D5278" s="3">
        <v>0.23054615090210601</v>
      </c>
      <c r="E5278" s="3">
        <v>-5.5338812873063601</v>
      </c>
      <c r="F5278" s="4">
        <v>3.1322100917455299E-8</v>
      </c>
      <c r="G5278" s="4">
        <v>3.4734769381274102E-7</v>
      </c>
      <c r="H5278" s="3" t="str">
        <f>"TIMM13"</f>
        <v>TIMM13</v>
      </c>
      <c r="I5278" s="3" t="str">
        <f t="shared" si="238"/>
        <v>protein_coding</v>
      </c>
    </row>
    <row r="5279" spans="1:9" x14ac:dyDescent="0.2">
      <c r="A5279" s="3" t="str">
        <f>"ENSG00000176619.13"</f>
        <v>ENSG00000176619.13</v>
      </c>
      <c r="B5279" s="3">
        <v>7337.0764572464404</v>
      </c>
      <c r="C5279" s="3">
        <v>-1.53461037188134</v>
      </c>
      <c r="D5279" s="3">
        <v>0.21386672982971899</v>
      </c>
      <c r="E5279" s="3">
        <v>-7.1755451308541502</v>
      </c>
      <c r="F5279" s="4">
        <v>7.2019634246180505E-13</v>
      </c>
      <c r="G5279" s="4">
        <v>1.45788928254508E-11</v>
      </c>
      <c r="H5279" s="3" t="str">
        <f>"LMNB2"</f>
        <v>LMNB2</v>
      </c>
      <c r="I5279" s="3" t="str">
        <f t="shared" si="238"/>
        <v>protein_coding</v>
      </c>
    </row>
    <row r="5280" spans="1:9" x14ac:dyDescent="0.2">
      <c r="A5280" s="3" t="str">
        <f>"ENSG00000176490.5"</f>
        <v>ENSG00000176490.5</v>
      </c>
      <c r="B5280" s="3">
        <v>78.245618719431306</v>
      </c>
      <c r="C5280" s="3">
        <v>-1.3569734870716099</v>
      </c>
      <c r="D5280" s="3">
        <v>0.41071648435288</v>
      </c>
      <c r="E5280" s="3">
        <v>-3.30391776022734</v>
      </c>
      <c r="F5280" s="3">
        <v>9.5343797017525796E-4</v>
      </c>
      <c r="G5280" s="3">
        <v>4.2337556019174096E-3</v>
      </c>
      <c r="H5280" s="3" t="str">
        <f>"DIRAS1"</f>
        <v>DIRAS1</v>
      </c>
      <c r="I5280" s="3" t="str">
        <f t="shared" si="238"/>
        <v>protein_coding</v>
      </c>
    </row>
    <row r="5281" spans="1:9" x14ac:dyDescent="0.2">
      <c r="A5281" s="3" t="str">
        <f>"ENSG00000172006.11"</f>
        <v>ENSG00000172006.11</v>
      </c>
      <c r="B5281" s="3">
        <v>201.27674353987101</v>
      </c>
      <c r="C5281" s="3">
        <v>2.1318626909717402</v>
      </c>
      <c r="D5281" s="3">
        <v>0.298143776907414</v>
      </c>
      <c r="E5281" s="3">
        <v>7.1504517487674004</v>
      </c>
      <c r="F5281" s="4">
        <v>8.6492781648153299E-13</v>
      </c>
      <c r="G5281" s="4">
        <v>1.7290306834682599E-11</v>
      </c>
      <c r="H5281" s="3" t="str">
        <f>"ZNF554"</f>
        <v>ZNF554</v>
      </c>
      <c r="I5281" s="3" t="str">
        <f t="shared" si="238"/>
        <v>protein_coding</v>
      </c>
    </row>
    <row r="5282" spans="1:9" x14ac:dyDescent="0.2">
      <c r="A5282" s="3" t="str">
        <f>"ENSG00000172000.7"</f>
        <v>ENSG00000172000.7</v>
      </c>
      <c r="B5282" s="3">
        <v>628.06203298722096</v>
      </c>
      <c r="C5282" s="3">
        <v>-1.1343922709261101</v>
      </c>
      <c r="D5282" s="3">
        <v>0.213301486795164</v>
      </c>
      <c r="E5282" s="3">
        <v>-5.3182576829175003</v>
      </c>
      <c r="F5282" s="4">
        <v>1.04765626085609E-7</v>
      </c>
      <c r="G5282" s="4">
        <v>1.06196019864382E-6</v>
      </c>
      <c r="H5282" s="3" t="str">
        <f>"ZNF556"</f>
        <v>ZNF556</v>
      </c>
      <c r="I5282" s="3" t="str">
        <f t="shared" si="238"/>
        <v>protein_coding</v>
      </c>
    </row>
    <row r="5283" spans="1:9" x14ac:dyDescent="0.2">
      <c r="A5283" s="3" t="str">
        <f>"ENSG00000104964.14"</f>
        <v>ENSG00000104964.14</v>
      </c>
      <c r="B5283" s="3">
        <v>3540.3100414274099</v>
      </c>
      <c r="C5283" s="3">
        <v>-1.0875784490133</v>
      </c>
      <c r="D5283" s="3">
        <v>0.19995130621526</v>
      </c>
      <c r="E5283" s="3">
        <v>-5.4392165252596696</v>
      </c>
      <c r="F5283" s="4">
        <v>5.3515384285717398E-8</v>
      </c>
      <c r="G5283" s="4">
        <v>5.6980604753143498E-7</v>
      </c>
      <c r="H5283" s="3" t="str">
        <f>"AES"</f>
        <v>AES</v>
      </c>
      <c r="I5283" s="3" t="str">
        <f t="shared" si="238"/>
        <v>protein_coding</v>
      </c>
    </row>
    <row r="5284" spans="1:9" x14ac:dyDescent="0.2">
      <c r="A5284" s="3" t="str">
        <f>"ENSG00000060558.3"</f>
        <v>ENSG00000060558.3</v>
      </c>
      <c r="B5284" s="3">
        <v>5.0277419563543804</v>
      </c>
      <c r="C5284" s="3">
        <v>5.7249864720364698</v>
      </c>
      <c r="D5284" s="3">
        <v>2.0292551541625601</v>
      </c>
      <c r="E5284" s="3">
        <v>2.82122554193983</v>
      </c>
      <c r="F5284" s="3">
        <v>4.7840554620197E-3</v>
      </c>
      <c r="G5284" s="3">
        <v>1.7077316805142299E-2</v>
      </c>
      <c r="H5284" s="3" t="str">
        <f>"GNA15"</f>
        <v>GNA15</v>
      </c>
      <c r="I5284" s="3" t="str">
        <f t="shared" si="238"/>
        <v>protein_coding</v>
      </c>
    </row>
    <row r="5285" spans="1:9" x14ac:dyDescent="0.2">
      <c r="A5285" s="3" t="str">
        <f>"ENSG00000267551.3"</f>
        <v>ENSG00000267551.3</v>
      </c>
      <c r="B5285" s="3">
        <v>40.197596177467403</v>
      </c>
      <c r="C5285" s="3">
        <v>7.2730490987100396</v>
      </c>
      <c r="D5285" s="3">
        <v>1.52807555229914</v>
      </c>
      <c r="E5285" s="3">
        <v>4.7596135464421296</v>
      </c>
      <c r="F5285" s="4">
        <v>1.9396398281229901E-6</v>
      </c>
      <c r="G5285" s="4">
        <v>1.5771222440127399E-5</v>
      </c>
      <c r="H5285" s="3" t="str">
        <f>"AC005264.1"</f>
        <v>AC005264.1</v>
      </c>
      <c r="I5285" s="3" t="str">
        <f>"antisense"</f>
        <v>antisense</v>
      </c>
    </row>
    <row r="5286" spans="1:9" x14ac:dyDescent="0.2">
      <c r="A5286" s="3" t="str">
        <f>"ENSG00000125910.5"</f>
        <v>ENSG00000125910.5</v>
      </c>
      <c r="B5286" s="3">
        <v>120.54545349873599</v>
      </c>
      <c r="C5286" s="3">
        <v>5.2461128254738503</v>
      </c>
      <c r="D5286" s="3">
        <v>0.53213285233129604</v>
      </c>
      <c r="E5286" s="3">
        <v>9.8586524069889894</v>
      </c>
      <c r="F5286" s="4">
        <v>6.2887729673304796E-23</v>
      </c>
      <c r="G5286" s="4">
        <v>3.01672882114179E-21</v>
      </c>
      <c r="H5286" s="3" t="str">
        <f>"S1PR4"</f>
        <v>S1PR4</v>
      </c>
      <c r="I5286" s="3" t="str">
        <f t="shared" ref="I5286:I5301" si="239">"protein_coding"</f>
        <v>protein_coding</v>
      </c>
    </row>
    <row r="5287" spans="1:9" x14ac:dyDescent="0.2">
      <c r="A5287" s="3" t="str">
        <f>"ENSG00000095932.6"</f>
        <v>ENSG00000095932.6</v>
      </c>
      <c r="B5287" s="3">
        <v>337.04618260401099</v>
      </c>
      <c r="C5287" s="3">
        <v>-1.16426395536729</v>
      </c>
      <c r="D5287" s="3">
        <v>0.32856877795737699</v>
      </c>
      <c r="E5287" s="3">
        <v>-3.5434406233154601</v>
      </c>
      <c r="F5287" s="3">
        <v>3.94942233982603E-4</v>
      </c>
      <c r="G5287" s="3">
        <v>1.94626602220784E-3</v>
      </c>
      <c r="H5287" s="3" t="str">
        <f>"SMIM24"</f>
        <v>SMIM24</v>
      </c>
      <c r="I5287" s="3" t="str">
        <f t="shared" si="239"/>
        <v>protein_coding</v>
      </c>
    </row>
    <row r="5288" spans="1:9" x14ac:dyDescent="0.2">
      <c r="A5288" s="3" t="str">
        <f>"ENSG00000161091.13"</f>
        <v>ENSG00000161091.13</v>
      </c>
      <c r="B5288" s="3">
        <v>848.69199288977404</v>
      </c>
      <c r="C5288" s="3">
        <v>-1.27088024384809</v>
      </c>
      <c r="D5288" s="3">
        <v>0.22678718656447</v>
      </c>
      <c r="E5288" s="3">
        <v>-5.60384501038292</v>
      </c>
      <c r="F5288" s="4">
        <v>2.09648189801131E-8</v>
      </c>
      <c r="G5288" s="4">
        <v>2.3870807469750998E-7</v>
      </c>
      <c r="H5288" s="3" t="str">
        <f>"MFSD12"</f>
        <v>MFSD12</v>
      </c>
      <c r="I5288" s="3" t="str">
        <f t="shared" si="239"/>
        <v>protein_coding</v>
      </c>
    </row>
    <row r="5289" spans="1:9" x14ac:dyDescent="0.2">
      <c r="A5289" s="3" t="str">
        <f>"ENSG00000183397.5"</f>
        <v>ENSG00000183397.5</v>
      </c>
      <c r="B5289" s="3">
        <v>10.759080224811299</v>
      </c>
      <c r="C5289" s="3">
        <v>4.3130080279740897</v>
      </c>
      <c r="D5289" s="3">
        <v>1.39619061054358</v>
      </c>
      <c r="E5289" s="3">
        <v>3.08912550722204</v>
      </c>
      <c r="F5289" s="3">
        <v>2.0074661427904698E-3</v>
      </c>
      <c r="G5289" s="3">
        <v>8.0805776322369505E-3</v>
      </c>
      <c r="H5289" s="3" t="str">
        <f>"C19orf71"</f>
        <v>C19orf71</v>
      </c>
      <c r="I5289" s="3" t="str">
        <f t="shared" si="239"/>
        <v>protein_coding</v>
      </c>
    </row>
    <row r="5290" spans="1:9" x14ac:dyDescent="0.2">
      <c r="A5290" s="3" t="str">
        <f>"ENSG00000105289.15"</f>
        <v>ENSG00000105289.15</v>
      </c>
      <c r="B5290" s="3">
        <v>59.2790366259607</v>
      </c>
      <c r="C5290" s="3">
        <v>-2.29334288266914</v>
      </c>
      <c r="D5290" s="3">
        <v>0.53195271973425895</v>
      </c>
      <c r="E5290" s="3">
        <v>-4.3111780381812803</v>
      </c>
      <c r="F5290" s="4">
        <v>1.62387088167887E-5</v>
      </c>
      <c r="G5290" s="3">
        <v>1.10173331456933E-4</v>
      </c>
      <c r="H5290" s="3" t="str">
        <f>"TJP3"</f>
        <v>TJP3</v>
      </c>
      <c r="I5290" s="3" t="str">
        <f t="shared" si="239"/>
        <v>protein_coding</v>
      </c>
    </row>
    <row r="5291" spans="1:9" x14ac:dyDescent="0.2">
      <c r="A5291" s="3" t="str">
        <f>"ENSG00000007264.15"</f>
        <v>ENSG00000007264.15</v>
      </c>
      <c r="B5291" s="3">
        <v>25.496898579206199</v>
      </c>
      <c r="C5291" s="3">
        <v>-2.8733050886065001</v>
      </c>
      <c r="D5291" s="3">
        <v>0.74325743713443404</v>
      </c>
      <c r="E5291" s="3">
        <v>-3.8658275653241798</v>
      </c>
      <c r="F5291" s="3">
        <v>1.10713142713939E-4</v>
      </c>
      <c r="G5291" s="3">
        <v>6.2767394913164701E-4</v>
      </c>
      <c r="H5291" s="3" t="str">
        <f>"MATK"</f>
        <v>MATK</v>
      </c>
      <c r="I5291" s="3" t="str">
        <f t="shared" si="239"/>
        <v>protein_coding</v>
      </c>
    </row>
    <row r="5292" spans="1:9" x14ac:dyDescent="0.2">
      <c r="A5292" s="3" t="str">
        <f>"ENSG00000060566.14"</f>
        <v>ENSG00000060566.14</v>
      </c>
      <c r="B5292" s="3">
        <v>63.551261833672001</v>
      </c>
      <c r="C5292" s="3">
        <v>-1.97344968289981</v>
      </c>
      <c r="D5292" s="3">
        <v>0.475381836928427</v>
      </c>
      <c r="E5292" s="3">
        <v>-4.1512938223530096</v>
      </c>
      <c r="F5292" s="4">
        <v>3.3060101038115298E-5</v>
      </c>
      <c r="G5292" s="3">
        <v>2.09960525696096E-4</v>
      </c>
      <c r="H5292" s="3" t="str">
        <f>"CREB3L3"</f>
        <v>CREB3L3</v>
      </c>
      <c r="I5292" s="3" t="str">
        <f t="shared" si="239"/>
        <v>protein_coding</v>
      </c>
    </row>
    <row r="5293" spans="1:9" x14ac:dyDescent="0.2">
      <c r="A5293" s="3" t="str">
        <f>"ENSG00000089847.12"</f>
        <v>ENSG00000089847.12</v>
      </c>
      <c r="B5293" s="3">
        <v>25.266802751499199</v>
      </c>
      <c r="C5293" s="3">
        <v>3.7111458584457502</v>
      </c>
      <c r="D5293" s="3">
        <v>0.89526221428864905</v>
      </c>
      <c r="E5293" s="3">
        <v>4.1453172034011496</v>
      </c>
      <c r="F5293" s="4">
        <v>3.3934362101011302E-5</v>
      </c>
      <c r="G5293" s="3">
        <v>2.1512553842863101E-4</v>
      </c>
      <c r="H5293" s="3" t="str">
        <f>"ANKRD24"</f>
        <v>ANKRD24</v>
      </c>
      <c r="I5293" s="3" t="str">
        <f t="shared" si="239"/>
        <v>protein_coding</v>
      </c>
    </row>
    <row r="5294" spans="1:9" x14ac:dyDescent="0.2">
      <c r="A5294" s="3" t="str">
        <f>"ENSG00000105246.6"</f>
        <v>ENSG00000105246.6</v>
      </c>
      <c r="B5294" s="3">
        <v>175.143302806707</v>
      </c>
      <c r="C5294" s="3">
        <v>5.7949528201584899</v>
      </c>
      <c r="D5294" s="3">
        <v>0.50899942858623004</v>
      </c>
      <c r="E5294" s="3">
        <v>11.384988852058701</v>
      </c>
      <c r="F5294" s="4">
        <v>4.9674597234074502E-30</v>
      </c>
      <c r="G5294" s="4">
        <v>3.88932112309433E-28</v>
      </c>
      <c r="H5294" s="3" t="str">
        <f>"EBI3"</f>
        <v>EBI3</v>
      </c>
      <c r="I5294" s="3" t="str">
        <f t="shared" si="239"/>
        <v>protein_coding</v>
      </c>
    </row>
    <row r="5295" spans="1:9" x14ac:dyDescent="0.2">
      <c r="A5295" s="3" t="str">
        <f>"ENSG00000105255.11"</f>
        <v>ENSG00000105255.11</v>
      </c>
      <c r="B5295" s="3">
        <v>21.598327950976699</v>
      </c>
      <c r="C5295" s="3">
        <v>2.4575569284793102</v>
      </c>
      <c r="D5295" s="3">
        <v>0.84480698556197098</v>
      </c>
      <c r="E5295" s="3">
        <v>2.9090158704648101</v>
      </c>
      <c r="F5295" s="3">
        <v>3.62568453999269E-3</v>
      </c>
      <c r="G5295" s="3">
        <v>1.34976126057085E-2</v>
      </c>
      <c r="H5295" s="3" t="str">
        <f>"FSD1"</f>
        <v>FSD1</v>
      </c>
      <c r="I5295" s="3" t="str">
        <f t="shared" si="239"/>
        <v>protein_coding</v>
      </c>
    </row>
    <row r="5296" spans="1:9" x14ac:dyDescent="0.2">
      <c r="A5296" s="3" t="str">
        <f>"ENSG00000008382.15"</f>
        <v>ENSG00000008382.15</v>
      </c>
      <c r="B5296" s="3">
        <v>426.912909990348</v>
      </c>
      <c r="C5296" s="3">
        <v>-1.0601520132721001</v>
      </c>
      <c r="D5296" s="3">
        <v>0.250545999139137</v>
      </c>
      <c r="E5296" s="3">
        <v>-4.2313667626492899</v>
      </c>
      <c r="F5296" s="4">
        <v>2.3227556913443601E-5</v>
      </c>
      <c r="G5296" s="3">
        <v>1.5233380768927001E-4</v>
      </c>
      <c r="H5296" s="3" t="str">
        <f>"MPND"</f>
        <v>MPND</v>
      </c>
      <c r="I5296" s="3" t="str">
        <f t="shared" si="239"/>
        <v>protein_coding</v>
      </c>
    </row>
    <row r="5297" spans="1:9" x14ac:dyDescent="0.2">
      <c r="A5297" s="3" t="str">
        <f>"ENSG00000167670.16"</f>
        <v>ENSG00000167670.16</v>
      </c>
      <c r="B5297" s="3">
        <v>2100.8634226435902</v>
      </c>
      <c r="C5297" s="3">
        <v>-1.1523275136500299</v>
      </c>
      <c r="D5297" s="3">
        <v>0.203530676098092</v>
      </c>
      <c r="E5297" s="3">
        <v>-5.6616896073919802</v>
      </c>
      <c r="F5297" s="4">
        <v>1.4988976490248801E-8</v>
      </c>
      <c r="G5297" s="4">
        <v>1.7401135169570099E-7</v>
      </c>
      <c r="H5297" s="3" t="str">
        <f>"CHAF1A"</f>
        <v>CHAF1A</v>
      </c>
      <c r="I5297" s="3" t="str">
        <f t="shared" si="239"/>
        <v>protein_coding</v>
      </c>
    </row>
    <row r="5298" spans="1:9" x14ac:dyDescent="0.2">
      <c r="A5298" s="3" t="str">
        <f>"ENSG00000167676.4"</f>
        <v>ENSG00000167676.4</v>
      </c>
      <c r="B5298" s="3">
        <v>410.07537822055298</v>
      </c>
      <c r="C5298" s="3">
        <v>1.2605199513468801</v>
      </c>
      <c r="D5298" s="3">
        <v>0.25345695302180599</v>
      </c>
      <c r="E5298" s="3">
        <v>4.9733098118576002</v>
      </c>
      <c r="F5298" s="4">
        <v>6.5819345156823699E-7</v>
      </c>
      <c r="G5298" s="4">
        <v>5.8132243030404402E-6</v>
      </c>
      <c r="H5298" s="3" t="str">
        <f>"PLIN4"</f>
        <v>PLIN4</v>
      </c>
      <c r="I5298" s="3" t="str">
        <f t="shared" si="239"/>
        <v>protein_coding</v>
      </c>
    </row>
    <row r="5299" spans="1:9" x14ac:dyDescent="0.2">
      <c r="A5299" s="3" t="str">
        <f>"ENSG00000214456.8"</f>
        <v>ENSG00000214456.8</v>
      </c>
      <c r="B5299" s="3">
        <v>65.259124473778201</v>
      </c>
      <c r="C5299" s="3">
        <v>1.5382992095618699</v>
      </c>
      <c r="D5299" s="3">
        <v>0.46851857255886298</v>
      </c>
      <c r="E5299" s="3">
        <v>3.2833259974311999</v>
      </c>
      <c r="F5299" s="3">
        <v>1.0258995506181199E-3</v>
      </c>
      <c r="G5299" s="3">
        <v>4.5158387374574496E-3</v>
      </c>
      <c r="H5299" s="3" t="str">
        <f>"PLIN5"</f>
        <v>PLIN5</v>
      </c>
      <c r="I5299" s="3" t="str">
        <f t="shared" si="239"/>
        <v>protein_coding</v>
      </c>
    </row>
    <row r="5300" spans="1:9" x14ac:dyDescent="0.2">
      <c r="A5300" s="3" t="str">
        <f>"ENSG00000185361.9"</f>
        <v>ENSG00000185361.9</v>
      </c>
      <c r="B5300" s="3">
        <v>1204.05539954856</v>
      </c>
      <c r="C5300" s="3">
        <v>-1.0090182779135799</v>
      </c>
      <c r="D5300" s="3">
        <v>0.238427628370946</v>
      </c>
      <c r="E5300" s="3">
        <v>-4.2319687731144402</v>
      </c>
      <c r="F5300" s="4">
        <v>2.3165457722416999E-5</v>
      </c>
      <c r="G5300" s="3">
        <v>1.5205714925625101E-4</v>
      </c>
      <c r="H5300" s="3" t="str">
        <f>"TNFAIP8L1"</f>
        <v>TNFAIP8L1</v>
      </c>
      <c r="I5300" s="3" t="str">
        <f t="shared" si="239"/>
        <v>protein_coding</v>
      </c>
    </row>
    <row r="5301" spans="1:9" x14ac:dyDescent="0.2">
      <c r="A5301" s="3" t="str">
        <f>"ENSG00000074842.7"</f>
        <v>ENSG00000074842.7</v>
      </c>
      <c r="B5301" s="3">
        <v>2459.86334486653</v>
      </c>
      <c r="C5301" s="3">
        <v>-1.17595205747243</v>
      </c>
      <c r="D5301" s="3">
        <v>0.21439131995635</v>
      </c>
      <c r="E5301" s="3">
        <v>-5.4850730790400402</v>
      </c>
      <c r="F5301" s="4">
        <v>4.1329852540116997E-8</v>
      </c>
      <c r="G5301" s="4">
        <v>4.4865119209584402E-7</v>
      </c>
      <c r="H5301" s="3" t="str">
        <f>"MYDGF"</f>
        <v>MYDGF</v>
      </c>
      <c r="I5301" s="3" t="str">
        <f t="shared" si="239"/>
        <v>protein_coding</v>
      </c>
    </row>
    <row r="5302" spans="1:9" x14ac:dyDescent="0.2">
      <c r="A5302" s="3" t="str">
        <f>"ENSG00000268565.1"</f>
        <v>ENSG00000268565.1</v>
      </c>
      <c r="B5302" s="3">
        <v>20.8825396588222</v>
      </c>
      <c r="C5302" s="3">
        <v>-2.27112041793941</v>
      </c>
      <c r="D5302" s="3">
        <v>0.77801255884375498</v>
      </c>
      <c r="E5302" s="3">
        <v>-2.91913079310011</v>
      </c>
      <c r="F5302" s="3">
        <v>3.5100891595268302E-3</v>
      </c>
      <c r="G5302" s="3">
        <v>1.31192591673015E-2</v>
      </c>
      <c r="H5302" s="3" t="str">
        <f>"AC005339.1"</f>
        <v>AC005339.1</v>
      </c>
      <c r="I5302" s="3" t="str">
        <f>"antisense"</f>
        <v>antisense</v>
      </c>
    </row>
    <row r="5303" spans="1:9" x14ac:dyDescent="0.2">
      <c r="A5303" s="3" t="str">
        <f>"ENSG00000127666.9"</f>
        <v>ENSG00000127666.9</v>
      </c>
      <c r="B5303" s="3">
        <v>314.97769834158601</v>
      </c>
      <c r="C5303" s="3">
        <v>-1.18245101547841</v>
      </c>
      <c r="D5303" s="3">
        <v>0.29407624364545698</v>
      </c>
      <c r="E5303" s="3">
        <v>-4.0208994811018703</v>
      </c>
      <c r="F5303" s="4">
        <v>5.7976341790264299E-5</v>
      </c>
      <c r="G5303" s="3">
        <v>3.5041734355797E-4</v>
      </c>
      <c r="H5303" s="3" t="str">
        <f>"TICAM1"</f>
        <v>TICAM1</v>
      </c>
      <c r="I5303" s="3" t="str">
        <f t="shared" ref="I5303:I5330" si="240">"protein_coding"</f>
        <v>protein_coding</v>
      </c>
    </row>
    <row r="5304" spans="1:9" x14ac:dyDescent="0.2">
      <c r="A5304" s="3" t="str">
        <f>"ENSG00000276043.5"</f>
        <v>ENSG00000276043.5</v>
      </c>
      <c r="B5304" s="3">
        <v>3627.5003967269799</v>
      </c>
      <c r="C5304" s="3">
        <v>-4.1884462052971001</v>
      </c>
      <c r="D5304" s="3">
        <v>0.21972714827244699</v>
      </c>
      <c r="E5304" s="3">
        <v>-19.062033245449101</v>
      </c>
      <c r="F5304" s="4">
        <v>5.2206059920043004E-81</v>
      </c>
      <c r="G5304" s="4">
        <v>3.7433118806352902E-78</v>
      </c>
      <c r="H5304" s="3" t="str">
        <f>"UHRF1"</f>
        <v>UHRF1</v>
      </c>
      <c r="I5304" s="3" t="str">
        <f t="shared" si="240"/>
        <v>protein_coding</v>
      </c>
    </row>
    <row r="5305" spans="1:9" x14ac:dyDescent="0.2">
      <c r="A5305" s="3" t="str">
        <f>"ENSG00000223573.7"</f>
        <v>ENSG00000223573.7</v>
      </c>
      <c r="B5305" s="3">
        <v>191.494867199314</v>
      </c>
      <c r="C5305" s="3">
        <v>5.17342127885364</v>
      </c>
      <c r="D5305" s="3">
        <v>0.43229894618419401</v>
      </c>
      <c r="E5305" s="3">
        <v>11.9672308353242</v>
      </c>
      <c r="F5305" s="4">
        <v>5.2760251015416098E-33</v>
      </c>
      <c r="G5305" s="4">
        <v>4.99152277575362E-31</v>
      </c>
      <c r="H5305" s="3" t="str">
        <f>"TINCR"</f>
        <v>TINCR</v>
      </c>
      <c r="I5305" s="3" t="str">
        <f t="shared" si="240"/>
        <v>protein_coding</v>
      </c>
    </row>
    <row r="5306" spans="1:9" x14ac:dyDescent="0.2">
      <c r="A5306" s="3" t="str">
        <f>"ENSG00000174917.8"</f>
        <v>ENSG00000174917.8</v>
      </c>
      <c r="B5306" s="3">
        <v>569.16648648290197</v>
      </c>
      <c r="C5306" s="3">
        <v>-1.0073141640966401</v>
      </c>
      <c r="D5306" s="3">
        <v>0.28072692253407999</v>
      </c>
      <c r="E5306" s="3">
        <v>-3.5882349829640998</v>
      </c>
      <c r="F5306" s="3">
        <v>3.32924169813304E-4</v>
      </c>
      <c r="G5306" s="3">
        <v>1.6705681132418201E-3</v>
      </c>
      <c r="H5306" s="3" t="str">
        <f>"MICOS13"</f>
        <v>MICOS13</v>
      </c>
      <c r="I5306" s="3" t="str">
        <f t="shared" si="240"/>
        <v>protein_coding</v>
      </c>
    </row>
    <row r="5307" spans="1:9" x14ac:dyDescent="0.2">
      <c r="A5307" s="3" t="str">
        <f>"ENSG00000174898.16"</f>
        <v>ENSG00000174898.16</v>
      </c>
      <c r="B5307" s="3">
        <v>88.9162150652908</v>
      </c>
      <c r="C5307" s="3">
        <v>3.6813528094258499</v>
      </c>
      <c r="D5307" s="3">
        <v>0.48543235642417198</v>
      </c>
      <c r="E5307" s="3">
        <v>7.5836576625087604</v>
      </c>
      <c r="F5307" s="4">
        <v>3.35946861353315E-14</v>
      </c>
      <c r="G5307" s="4">
        <v>7.7902503245053505E-13</v>
      </c>
      <c r="H5307" s="3" t="str">
        <f>"CATSPERD"</f>
        <v>CATSPERD</v>
      </c>
      <c r="I5307" s="3" t="str">
        <f t="shared" si="240"/>
        <v>protein_coding</v>
      </c>
    </row>
    <row r="5308" spans="1:9" x14ac:dyDescent="0.2">
      <c r="A5308" s="3" t="str">
        <f>"ENSG00000171119.2"</f>
        <v>ENSG00000171119.2</v>
      </c>
      <c r="B5308" s="3">
        <v>57.4563656800782</v>
      </c>
      <c r="C5308" s="3">
        <v>-1.46673507839609</v>
      </c>
      <c r="D5308" s="3">
        <v>0.48477472752342898</v>
      </c>
      <c r="E5308" s="3">
        <v>-3.02560136723547</v>
      </c>
      <c r="F5308" s="3">
        <v>2.4813921272671901E-3</v>
      </c>
      <c r="G5308" s="3">
        <v>9.7002139586297303E-3</v>
      </c>
      <c r="H5308" s="3" t="str">
        <f>"NRTN"</f>
        <v>NRTN</v>
      </c>
      <c r="I5308" s="3" t="str">
        <f t="shared" si="240"/>
        <v>protein_coding</v>
      </c>
    </row>
    <row r="5309" spans="1:9" x14ac:dyDescent="0.2">
      <c r="A5309" s="3" t="str">
        <f>"ENSG00000156413.13"</f>
        <v>ENSG00000156413.13</v>
      </c>
      <c r="B5309" s="3">
        <v>240.270633952303</v>
      </c>
      <c r="C5309" s="3">
        <v>-2.00576198647425</v>
      </c>
      <c r="D5309" s="3">
        <v>0.28965496941050201</v>
      </c>
      <c r="E5309" s="3">
        <v>-6.9246593302242596</v>
      </c>
      <c r="F5309" s="4">
        <v>4.37025920630591E-12</v>
      </c>
      <c r="G5309" s="4">
        <v>7.99707539249276E-11</v>
      </c>
      <c r="H5309" s="3" t="str">
        <f>"FUT6"</f>
        <v>FUT6</v>
      </c>
      <c r="I5309" s="3" t="str">
        <f t="shared" si="240"/>
        <v>protein_coding</v>
      </c>
    </row>
    <row r="5310" spans="1:9" x14ac:dyDescent="0.2">
      <c r="A5310" s="3" t="str">
        <f>"ENSG00000171124.13"</f>
        <v>ENSG00000171124.13</v>
      </c>
      <c r="B5310" s="3">
        <v>22.677093288416501</v>
      </c>
      <c r="C5310" s="3">
        <v>-3.46437870588242</v>
      </c>
      <c r="D5310" s="3">
        <v>0.85711635729632996</v>
      </c>
      <c r="E5310" s="3">
        <v>-4.0419001182177698</v>
      </c>
      <c r="F5310" s="4">
        <v>5.3019817317905197E-5</v>
      </c>
      <c r="G5310" s="3">
        <v>3.2253426266152298E-4</v>
      </c>
      <c r="H5310" s="3" t="str">
        <f>"FUT3"</f>
        <v>FUT3</v>
      </c>
      <c r="I5310" s="3" t="str">
        <f t="shared" si="240"/>
        <v>protein_coding</v>
      </c>
    </row>
    <row r="5311" spans="1:9" x14ac:dyDescent="0.2">
      <c r="A5311" s="3" t="str">
        <f>"ENSG00000187650.3"</f>
        <v>ENSG00000187650.3</v>
      </c>
      <c r="B5311" s="3">
        <v>268.69594628994099</v>
      </c>
      <c r="C5311" s="3">
        <v>2.0753731615137201</v>
      </c>
      <c r="D5311" s="3">
        <v>0.30202458914324598</v>
      </c>
      <c r="E5311" s="3">
        <v>6.8715370738552402</v>
      </c>
      <c r="F5311" s="4">
        <v>6.3513779748076603E-12</v>
      </c>
      <c r="G5311" s="4">
        <v>1.1400263219999E-10</v>
      </c>
      <c r="H5311" s="3" t="str">
        <f>"VMAC"</f>
        <v>VMAC</v>
      </c>
      <c r="I5311" s="3" t="str">
        <f t="shared" si="240"/>
        <v>protein_coding</v>
      </c>
    </row>
    <row r="5312" spans="1:9" x14ac:dyDescent="0.2">
      <c r="A5312" s="3" t="str">
        <f>"ENSG00000105519.16"</f>
        <v>ENSG00000105519.16</v>
      </c>
      <c r="B5312" s="3">
        <v>377.63141375078601</v>
      </c>
      <c r="C5312" s="3">
        <v>2.3212812125639601</v>
      </c>
      <c r="D5312" s="3">
        <v>0.253129900913107</v>
      </c>
      <c r="E5312" s="3">
        <v>9.1703161269786104</v>
      </c>
      <c r="F5312" s="4">
        <v>4.7163388091733398E-20</v>
      </c>
      <c r="G5312" s="4">
        <v>1.8227813267169699E-18</v>
      </c>
      <c r="H5312" s="3" t="str">
        <f>"CAPS"</f>
        <v>CAPS</v>
      </c>
      <c r="I5312" s="3" t="str">
        <f t="shared" si="240"/>
        <v>protein_coding</v>
      </c>
    </row>
    <row r="5313" spans="1:9" x14ac:dyDescent="0.2">
      <c r="A5313" s="3" t="str">
        <f>"ENSG00000125656.10"</f>
        <v>ENSG00000125656.10</v>
      </c>
      <c r="B5313" s="3">
        <v>936.36087717301598</v>
      </c>
      <c r="C5313" s="3">
        <v>-1.18969495497523</v>
      </c>
      <c r="D5313" s="3">
        <v>0.224201215610072</v>
      </c>
      <c r="E5313" s="3">
        <v>-5.3063715633207504</v>
      </c>
      <c r="F5313" s="4">
        <v>1.11828891086622E-7</v>
      </c>
      <c r="G5313" s="4">
        <v>1.12726666497861E-6</v>
      </c>
      <c r="H5313" s="3" t="str">
        <f>"CLPP"</f>
        <v>CLPP</v>
      </c>
      <c r="I5313" s="3" t="str">
        <f t="shared" si="240"/>
        <v>protein_coding</v>
      </c>
    </row>
    <row r="5314" spans="1:9" x14ac:dyDescent="0.2">
      <c r="A5314" s="3" t="str">
        <f>"ENSG00000125652.8"</f>
        <v>ENSG00000125652.8</v>
      </c>
      <c r="B5314" s="3">
        <v>438.56421808263701</v>
      </c>
      <c r="C5314" s="3">
        <v>-1.3481717508953299</v>
      </c>
      <c r="D5314" s="3">
        <v>0.27860953099073299</v>
      </c>
      <c r="E5314" s="3">
        <v>-4.8389290420225004</v>
      </c>
      <c r="F5314" s="4">
        <v>1.30540638878897E-6</v>
      </c>
      <c r="G5314" s="4">
        <v>1.0971131361916399E-5</v>
      </c>
      <c r="H5314" s="3" t="str">
        <f>"ALKBH7"</f>
        <v>ALKBH7</v>
      </c>
      <c r="I5314" s="3" t="str">
        <f t="shared" si="240"/>
        <v>protein_coding</v>
      </c>
    </row>
    <row r="5315" spans="1:9" x14ac:dyDescent="0.2">
      <c r="A5315" s="3" t="str">
        <f>"ENSG00000125648.15"</f>
        <v>ENSG00000125648.15</v>
      </c>
      <c r="B5315" s="3">
        <v>1376.1502662205701</v>
      </c>
      <c r="C5315" s="3">
        <v>-1.0185078860201999</v>
      </c>
      <c r="D5315" s="3">
        <v>0.21362080949940901</v>
      </c>
      <c r="E5315" s="3">
        <v>-4.7678308513432404</v>
      </c>
      <c r="F5315" s="4">
        <v>1.86220025519071E-6</v>
      </c>
      <c r="G5315" s="4">
        <v>1.51732566845638E-5</v>
      </c>
      <c r="H5315" s="3" t="str">
        <f>"SLC25A23"</f>
        <v>SLC25A23</v>
      </c>
      <c r="I5315" s="3" t="str">
        <f t="shared" si="240"/>
        <v>protein_coding</v>
      </c>
    </row>
    <row r="5316" spans="1:9" x14ac:dyDescent="0.2">
      <c r="A5316" s="3" t="str">
        <f>"ENSG00000205744.10"</f>
        <v>ENSG00000205744.10</v>
      </c>
      <c r="B5316" s="3">
        <v>374.94029006773701</v>
      </c>
      <c r="C5316" s="3">
        <v>5.0706475281257104</v>
      </c>
      <c r="D5316" s="3">
        <v>0.33310766812828002</v>
      </c>
      <c r="E5316" s="3">
        <v>15.222247979512099</v>
      </c>
      <c r="F5316" s="4">
        <v>2.5173044209194401E-52</v>
      </c>
      <c r="G5316" s="4">
        <v>5.4435709172057195E-50</v>
      </c>
      <c r="H5316" s="3" t="str">
        <f>"DENND1C"</f>
        <v>DENND1C</v>
      </c>
      <c r="I5316" s="3" t="str">
        <f t="shared" si="240"/>
        <v>protein_coding</v>
      </c>
    </row>
    <row r="5317" spans="1:9" x14ac:dyDescent="0.2">
      <c r="A5317" s="3" t="str">
        <f>"ENSG00000141968.8"</f>
        <v>ENSG00000141968.8</v>
      </c>
      <c r="B5317" s="3">
        <v>5.8732415284010102</v>
      </c>
      <c r="C5317" s="3">
        <v>5.9517568877012001</v>
      </c>
      <c r="D5317" s="3">
        <v>1.9562798399693699</v>
      </c>
      <c r="E5317" s="3">
        <v>3.04238522838041</v>
      </c>
      <c r="F5317" s="3">
        <v>2.3471130442924799E-3</v>
      </c>
      <c r="G5317" s="3">
        <v>9.2429237054252392E-3</v>
      </c>
      <c r="H5317" s="3" t="str">
        <f>"VAV1"</f>
        <v>VAV1</v>
      </c>
      <c r="I5317" s="3" t="str">
        <f t="shared" si="240"/>
        <v>protein_coding</v>
      </c>
    </row>
    <row r="5318" spans="1:9" x14ac:dyDescent="0.2">
      <c r="A5318" s="3" t="str">
        <f>"ENSG00000104883.8"</f>
        <v>ENSG00000104883.8</v>
      </c>
      <c r="B5318" s="3">
        <v>4.1852481746806403</v>
      </c>
      <c r="C5318" s="3">
        <v>5.4642790107380197</v>
      </c>
      <c r="D5318" s="3">
        <v>2.1340325364361399</v>
      </c>
      <c r="E5318" s="3">
        <v>2.5605415650613401</v>
      </c>
      <c r="F5318" s="3">
        <v>1.04509161058062E-2</v>
      </c>
      <c r="G5318" s="3">
        <v>3.3022858765499499E-2</v>
      </c>
      <c r="H5318" s="3" t="str">
        <f>"PEX11G"</f>
        <v>PEX11G</v>
      </c>
      <c r="I5318" s="3" t="str">
        <f t="shared" si="240"/>
        <v>protein_coding</v>
      </c>
    </row>
    <row r="5319" spans="1:9" x14ac:dyDescent="0.2">
      <c r="A5319" s="3" t="str">
        <f>"ENSG00000076826.9"</f>
        <v>ENSG00000076826.9</v>
      </c>
      <c r="B5319" s="3">
        <v>2001.2095703524999</v>
      </c>
      <c r="C5319" s="3">
        <v>-1.5734681370325401</v>
      </c>
      <c r="D5319" s="3">
        <v>0.23326109202794501</v>
      </c>
      <c r="E5319" s="3">
        <v>-6.7455233247559097</v>
      </c>
      <c r="F5319" s="4">
        <v>1.5247643735074199E-11</v>
      </c>
      <c r="G5319" s="4">
        <v>2.6277833576822701E-10</v>
      </c>
      <c r="H5319" s="3" t="str">
        <f>"CAMSAP3"</f>
        <v>CAMSAP3</v>
      </c>
      <c r="I5319" s="3" t="str">
        <f t="shared" si="240"/>
        <v>protein_coding</v>
      </c>
    </row>
    <row r="5320" spans="1:9" x14ac:dyDescent="0.2">
      <c r="A5320" s="3" t="str">
        <f>"ENSG00000183019.7"</f>
        <v>ENSG00000183019.7</v>
      </c>
      <c r="B5320" s="3">
        <v>5.4686107947810703</v>
      </c>
      <c r="C5320" s="3">
        <v>5.8471691751158898</v>
      </c>
      <c r="D5320" s="3">
        <v>1.9869895306888601</v>
      </c>
      <c r="E5320" s="3">
        <v>2.9427277219164698</v>
      </c>
      <c r="F5320" s="3">
        <v>3.2533441457431398E-3</v>
      </c>
      <c r="G5320" s="3">
        <v>1.22877554670174E-2</v>
      </c>
      <c r="H5320" s="3" t="str">
        <f>"MCEMP1"</f>
        <v>MCEMP1</v>
      </c>
      <c r="I5320" s="3" t="str">
        <f t="shared" si="240"/>
        <v>protein_coding</v>
      </c>
    </row>
    <row r="5321" spans="1:9" x14ac:dyDescent="0.2">
      <c r="A5321" s="3" t="str">
        <f>"ENSG00000142459.8"</f>
        <v>ENSG00000142459.8</v>
      </c>
      <c r="B5321" s="3">
        <v>320.71073773477099</v>
      </c>
      <c r="C5321" s="3">
        <v>1.9007979588387101</v>
      </c>
      <c r="D5321" s="3">
        <v>0.276038977653838</v>
      </c>
      <c r="E5321" s="3">
        <v>6.8859766653040104</v>
      </c>
      <c r="F5321" s="4">
        <v>5.7392398713490898E-12</v>
      </c>
      <c r="G5321" s="4">
        <v>1.0376713256446501E-10</v>
      </c>
      <c r="H5321" s="3" t="str">
        <f>"EVI5L"</f>
        <v>EVI5L</v>
      </c>
      <c r="I5321" s="3" t="str">
        <f t="shared" si="240"/>
        <v>protein_coding</v>
      </c>
    </row>
    <row r="5322" spans="1:9" x14ac:dyDescent="0.2">
      <c r="A5322" s="3" t="str">
        <f>"ENSG00000178531.6"</f>
        <v>ENSG00000178531.6</v>
      </c>
      <c r="B5322" s="3">
        <v>137.14874448814001</v>
      </c>
      <c r="C5322" s="3">
        <v>1.1764618693453901</v>
      </c>
      <c r="D5322" s="3">
        <v>0.34553057655998598</v>
      </c>
      <c r="E5322" s="3">
        <v>3.4047981543571302</v>
      </c>
      <c r="F5322" s="3">
        <v>6.6212975116404895E-4</v>
      </c>
      <c r="G5322" s="3">
        <v>3.0776269754293501E-3</v>
      </c>
      <c r="H5322" s="3" t="str">
        <f>"CTXN1"</f>
        <v>CTXN1</v>
      </c>
      <c r="I5322" s="3" t="str">
        <f t="shared" si="240"/>
        <v>protein_coding</v>
      </c>
    </row>
    <row r="5323" spans="1:9" x14ac:dyDescent="0.2">
      <c r="A5323" s="3" t="str">
        <f>"ENSG00000104980.8"</f>
        <v>ENSG00000104980.8</v>
      </c>
      <c r="B5323" s="3">
        <v>1578.95863036843</v>
      </c>
      <c r="C5323" s="3">
        <v>-1.5634550497341499</v>
      </c>
      <c r="D5323" s="3">
        <v>0.20285365536179401</v>
      </c>
      <c r="E5323" s="3">
        <v>-7.7073052834354598</v>
      </c>
      <c r="F5323" s="4">
        <v>1.2850215309567101E-14</v>
      </c>
      <c r="G5323" s="4">
        <v>3.0632529880995199E-13</v>
      </c>
      <c r="H5323" s="3" t="str">
        <f>"TIMM44"</f>
        <v>TIMM44</v>
      </c>
      <c r="I5323" s="3" t="str">
        <f t="shared" si="240"/>
        <v>protein_coding</v>
      </c>
    </row>
    <row r="5324" spans="1:9" x14ac:dyDescent="0.2">
      <c r="A5324" s="3" t="str">
        <f>"ENSG00000167775.11"</f>
        <v>ENSG00000167775.11</v>
      </c>
      <c r="B5324" s="3">
        <v>1655.2773556299301</v>
      </c>
      <c r="C5324" s="3">
        <v>-2.23020985991554</v>
      </c>
      <c r="D5324" s="3">
        <v>0.24390239052819199</v>
      </c>
      <c r="E5324" s="3">
        <v>-9.1438622437681794</v>
      </c>
      <c r="F5324" s="4">
        <v>6.0260827136400696E-20</v>
      </c>
      <c r="G5324" s="4">
        <v>2.30284257641726E-18</v>
      </c>
      <c r="H5324" s="3" t="str">
        <f>"CD320"</f>
        <v>CD320</v>
      </c>
      <c r="I5324" s="3" t="str">
        <f t="shared" si="240"/>
        <v>protein_coding</v>
      </c>
    </row>
    <row r="5325" spans="1:9" x14ac:dyDescent="0.2">
      <c r="A5325" s="3" t="str">
        <f>"ENSG00000186994.11"</f>
        <v>ENSG00000186994.11</v>
      </c>
      <c r="B5325" s="3">
        <v>481.77210186308997</v>
      </c>
      <c r="C5325" s="3">
        <v>7.04829327329952</v>
      </c>
      <c r="D5325" s="3">
        <v>0.454120134508048</v>
      </c>
      <c r="E5325" s="3">
        <v>15.5207680472811</v>
      </c>
      <c r="F5325" s="4">
        <v>2.5102825185451299E-54</v>
      </c>
      <c r="G5325" s="4">
        <v>5.9476232854607899E-52</v>
      </c>
      <c r="H5325" s="3" t="str">
        <f>"KANK3"</f>
        <v>KANK3</v>
      </c>
      <c r="I5325" s="3" t="str">
        <f t="shared" si="240"/>
        <v>protein_coding</v>
      </c>
    </row>
    <row r="5326" spans="1:9" x14ac:dyDescent="0.2">
      <c r="A5326" s="3" t="str">
        <f>"ENSG00000099785.10"</f>
        <v>ENSG00000099785.10</v>
      </c>
      <c r="B5326" s="3">
        <v>734.53036129659699</v>
      </c>
      <c r="C5326" s="3">
        <v>2.4377282852034101</v>
      </c>
      <c r="D5326" s="3">
        <v>0.26199688163614498</v>
      </c>
      <c r="E5326" s="3">
        <v>9.3044171746626407</v>
      </c>
      <c r="F5326" s="4">
        <v>1.34729206577506E-20</v>
      </c>
      <c r="G5326" s="4">
        <v>5.5202506640861601E-19</v>
      </c>
      <c r="H5326" s="3" t="str">
        <f>"MARCH2"</f>
        <v>MARCH2</v>
      </c>
      <c r="I5326" s="3" t="str">
        <f t="shared" si="240"/>
        <v>protein_coding</v>
      </c>
    </row>
    <row r="5327" spans="1:9" x14ac:dyDescent="0.2">
      <c r="A5327" s="3" t="str">
        <f>"ENSG00000133246.12"</f>
        <v>ENSG00000133246.12</v>
      </c>
      <c r="B5327" s="3">
        <v>45.509567189454899</v>
      </c>
      <c r="C5327" s="3">
        <v>5.8530390642404502</v>
      </c>
      <c r="D5327" s="3">
        <v>0.96688424110827498</v>
      </c>
      <c r="E5327" s="3">
        <v>6.0535054925825396</v>
      </c>
      <c r="F5327" s="4">
        <v>1.4172723770565701E-9</v>
      </c>
      <c r="G5327" s="4">
        <v>1.8874105795532899E-8</v>
      </c>
      <c r="H5327" s="3" t="str">
        <f>"PRAM1"</f>
        <v>PRAM1</v>
      </c>
      <c r="I5327" s="3" t="str">
        <f t="shared" si="240"/>
        <v>protein_coding</v>
      </c>
    </row>
    <row r="5328" spans="1:9" x14ac:dyDescent="0.2">
      <c r="A5328" s="3" t="str">
        <f>"ENSG00000181143.15"</f>
        <v>ENSG00000181143.15</v>
      </c>
      <c r="B5328" s="3">
        <v>103.94615836876299</v>
      </c>
      <c r="C5328" s="3">
        <v>4.7937616946708896</v>
      </c>
      <c r="D5328" s="3">
        <v>0.52796323650440202</v>
      </c>
      <c r="E5328" s="3">
        <v>9.0797263203588798</v>
      </c>
      <c r="F5328" s="4">
        <v>1.0884819889844001E-19</v>
      </c>
      <c r="G5328" s="4">
        <v>4.06829475361565E-18</v>
      </c>
      <c r="H5328" s="3" t="str">
        <f>"MUC16"</f>
        <v>MUC16</v>
      </c>
      <c r="I5328" s="3" t="str">
        <f t="shared" si="240"/>
        <v>protein_coding</v>
      </c>
    </row>
    <row r="5329" spans="1:9" x14ac:dyDescent="0.2">
      <c r="A5329" s="3" t="str">
        <f>"ENSG00000196110.7"</f>
        <v>ENSG00000196110.7</v>
      </c>
      <c r="B5329" s="3">
        <v>114.463795843138</v>
      </c>
      <c r="C5329" s="3">
        <v>1.56681966704127</v>
      </c>
      <c r="D5329" s="3">
        <v>0.357276195753013</v>
      </c>
      <c r="E5329" s="3">
        <v>4.3854577653542304</v>
      </c>
      <c r="F5329" s="4">
        <v>1.1574211457477299E-5</v>
      </c>
      <c r="G5329" s="4">
        <v>8.1090907580839595E-5</v>
      </c>
      <c r="H5329" s="3" t="str">
        <f>"ZNF699"</f>
        <v>ZNF699</v>
      </c>
      <c r="I5329" s="3" t="str">
        <f t="shared" si="240"/>
        <v>protein_coding</v>
      </c>
    </row>
    <row r="5330" spans="1:9" x14ac:dyDescent="0.2">
      <c r="A5330" s="3" t="str">
        <f>"ENSG00000171469.11"</f>
        <v>ENSG00000171469.11</v>
      </c>
      <c r="B5330" s="3">
        <v>3536.6180274571502</v>
      </c>
      <c r="C5330" s="3">
        <v>2.8010584916361698</v>
      </c>
      <c r="D5330" s="3">
        <v>0.22038070943906399</v>
      </c>
      <c r="E5330" s="3">
        <v>12.710089275806901</v>
      </c>
      <c r="F5330" s="4">
        <v>5.19750705986465E-37</v>
      </c>
      <c r="G5330" s="4">
        <v>6.1572380373970399E-35</v>
      </c>
      <c r="H5330" s="3" t="str">
        <f>"ZNF561"</f>
        <v>ZNF561</v>
      </c>
      <c r="I5330" s="3" t="str">
        <f t="shared" si="240"/>
        <v>protein_coding</v>
      </c>
    </row>
    <row r="5331" spans="1:9" x14ac:dyDescent="0.2">
      <c r="A5331" s="3" t="str">
        <f>"ENSG00000267106.6"</f>
        <v>ENSG00000267106.6</v>
      </c>
      <c r="B5331" s="3">
        <v>160.48385975723701</v>
      </c>
      <c r="C5331" s="3">
        <v>2.3674714993447399</v>
      </c>
      <c r="D5331" s="3">
        <v>0.34049968768441902</v>
      </c>
      <c r="E5331" s="3">
        <v>6.9529329540500298</v>
      </c>
      <c r="F5331" s="4">
        <v>3.5776874976617802E-12</v>
      </c>
      <c r="G5331" s="4">
        <v>6.6133820385882305E-11</v>
      </c>
      <c r="H5331" s="3" t="str">
        <f>"ZNF561-AS1"</f>
        <v>ZNF561-AS1</v>
      </c>
      <c r="I5331" s="3" t="str">
        <f>"processed_transcript"</f>
        <v>processed_transcript</v>
      </c>
    </row>
    <row r="5332" spans="1:9" x14ac:dyDescent="0.2">
      <c r="A5332" s="3" t="str">
        <f>"ENSG00000224689.9"</f>
        <v>ENSG00000224689.9</v>
      </c>
      <c r="B5332" s="3">
        <v>14.165250087403001</v>
      </c>
      <c r="C5332" s="3">
        <v>7.2190304778234102</v>
      </c>
      <c r="D5332" s="3">
        <v>1.6798697532545099</v>
      </c>
      <c r="E5332" s="3">
        <v>4.2973751172301196</v>
      </c>
      <c r="F5332" s="4">
        <v>1.7283257447023E-5</v>
      </c>
      <c r="G5332" s="3">
        <v>1.1644829764071099E-4</v>
      </c>
      <c r="H5332" s="3" t="str">
        <f>"ZNF812P"</f>
        <v>ZNF812P</v>
      </c>
      <c r="I5332" s="3" t="str">
        <f>"transcribed_unprocessed_pseudogene"</f>
        <v>transcribed_unprocessed_pseudogene</v>
      </c>
    </row>
    <row r="5333" spans="1:9" x14ac:dyDescent="0.2">
      <c r="A5333" s="3" t="str">
        <f>"ENSG00000196605.7"</f>
        <v>ENSG00000196605.7</v>
      </c>
      <c r="B5333" s="3">
        <v>150.16433180386201</v>
      </c>
      <c r="C5333" s="3">
        <v>1.1603257991946001</v>
      </c>
      <c r="D5333" s="3">
        <v>0.318767663203192</v>
      </c>
      <c r="E5333" s="3">
        <v>3.6400360925410902</v>
      </c>
      <c r="F5333" s="3">
        <v>2.72599827559439E-4</v>
      </c>
      <c r="G5333" s="3">
        <v>1.39904454728047E-3</v>
      </c>
      <c r="H5333" s="3" t="str">
        <f>"ZNF846"</f>
        <v>ZNF846</v>
      </c>
      <c r="I5333" s="3" t="str">
        <f>"protein_coding"</f>
        <v>protein_coding</v>
      </c>
    </row>
    <row r="5334" spans="1:9" x14ac:dyDescent="0.2">
      <c r="A5334" s="3" t="str">
        <f>"ENSG00000267370.1"</f>
        <v>ENSG00000267370.1</v>
      </c>
      <c r="B5334" s="3">
        <v>17.048900063859001</v>
      </c>
      <c r="C5334" s="3">
        <v>2.1627081056993802</v>
      </c>
      <c r="D5334" s="3">
        <v>0.89469516225509205</v>
      </c>
      <c r="E5334" s="3">
        <v>2.41725695738451</v>
      </c>
      <c r="F5334" s="3">
        <v>1.56379733837003E-2</v>
      </c>
      <c r="G5334" s="3">
        <v>4.6158364292674801E-2</v>
      </c>
      <c r="H5334" s="3" t="str">
        <f>"AC008752.3"</f>
        <v>AC008752.3</v>
      </c>
      <c r="I5334" s="3" t="str">
        <f>"unprocessed_pseudogene"</f>
        <v>unprocessed_pseudogene</v>
      </c>
    </row>
    <row r="5335" spans="1:9" x14ac:dyDescent="0.2">
      <c r="A5335" s="3" t="str">
        <f>"ENSG00000105088.8"</f>
        <v>ENSG00000105088.8</v>
      </c>
      <c r="B5335" s="3">
        <v>29.849624171676901</v>
      </c>
      <c r="C5335" s="3">
        <v>3.9593956661569698</v>
      </c>
      <c r="D5335" s="3">
        <v>0.80833529799496096</v>
      </c>
      <c r="E5335" s="3">
        <v>4.8982095375249202</v>
      </c>
      <c r="F5335" s="4">
        <v>9.6713870784902595E-7</v>
      </c>
      <c r="G5335" s="4">
        <v>8.3312135228461602E-6</v>
      </c>
      <c r="H5335" s="3" t="str">
        <f>"OLFM2"</f>
        <v>OLFM2</v>
      </c>
      <c r="I5335" s="3" t="str">
        <f t="shared" ref="I5335:I5371" si="241">"protein_coding"</f>
        <v>protein_coding</v>
      </c>
    </row>
    <row r="5336" spans="1:9" x14ac:dyDescent="0.2">
      <c r="A5336" s="3" t="str">
        <f>"ENSG00000130810.20"</f>
        <v>ENSG00000130810.20</v>
      </c>
      <c r="B5336" s="3">
        <v>265.53538047396302</v>
      </c>
      <c r="C5336" s="3">
        <v>-1.48650490948117</v>
      </c>
      <c r="D5336" s="3">
        <v>0.26758416526593098</v>
      </c>
      <c r="E5336" s="3">
        <v>-5.5552798051553101</v>
      </c>
      <c r="F5336" s="4">
        <v>2.7716741279685799E-8</v>
      </c>
      <c r="G5336" s="4">
        <v>3.10015619723974E-7</v>
      </c>
      <c r="H5336" s="3" t="str">
        <f>"PPAN"</f>
        <v>PPAN</v>
      </c>
      <c r="I5336" s="3" t="str">
        <f t="shared" si="241"/>
        <v>protein_coding</v>
      </c>
    </row>
    <row r="5337" spans="1:9" x14ac:dyDescent="0.2">
      <c r="A5337" s="3" t="str">
        <f>"ENSG00000244165.2"</f>
        <v>ENSG00000244165.2</v>
      </c>
      <c r="B5337" s="3">
        <v>98.730303135727098</v>
      </c>
      <c r="C5337" s="3">
        <v>-1.8618887146985399</v>
      </c>
      <c r="D5337" s="3">
        <v>0.37941808925329501</v>
      </c>
      <c r="E5337" s="3">
        <v>-4.9072217889315297</v>
      </c>
      <c r="F5337" s="4">
        <v>9.2375553489307301E-7</v>
      </c>
      <c r="G5337" s="4">
        <v>7.98526873706585E-6</v>
      </c>
      <c r="H5337" s="3" t="str">
        <f>"P2RY11"</f>
        <v>P2RY11</v>
      </c>
      <c r="I5337" s="3" t="str">
        <f t="shared" si="241"/>
        <v>protein_coding</v>
      </c>
    </row>
    <row r="5338" spans="1:9" x14ac:dyDescent="0.2">
      <c r="A5338" s="3" t="str">
        <f>"ENSG00000105364.13"</f>
        <v>ENSG00000105364.13</v>
      </c>
      <c r="B5338" s="3">
        <v>1629.73390982915</v>
      </c>
      <c r="C5338" s="3">
        <v>-1.4087039136533599</v>
      </c>
      <c r="D5338" s="3">
        <v>0.24103620457423</v>
      </c>
      <c r="E5338" s="3">
        <v>-5.8443664765702801</v>
      </c>
      <c r="F5338" s="4">
        <v>5.0849971556072899E-9</v>
      </c>
      <c r="G5338" s="4">
        <v>6.3034994312480301E-8</v>
      </c>
      <c r="H5338" s="3" t="str">
        <f>"MRPL4"</f>
        <v>MRPL4</v>
      </c>
      <c r="I5338" s="3" t="str">
        <f t="shared" si="241"/>
        <v>protein_coding</v>
      </c>
    </row>
    <row r="5339" spans="1:9" x14ac:dyDescent="0.2">
      <c r="A5339" s="3" t="str">
        <f>"ENSG00000105371.10"</f>
        <v>ENSG00000105371.10</v>
      </c>
      <c r="B5339" s="3">
        <v>706.16219843586396</v>
      </c>
      <c r="C5339" s="3">
        <v>3.3435494415295102</v>
      </c>
      <c r="D5339" s="3">
        <v>0.25803626496173998</v>
      </c>
      <c r="E5339" s="3">
        <v>12.957672604760701</v>
      </c>
      <c r="F5339" s="4">
        <v>2.1260051948102699E-38</v>
      </c>
      <c r="G5339" s="4">
        <v>2.7068814739717499E-36</v>
      </c>
      <c r="H5339" s="3" t="str">
        <f>"ICAM4"</f>
        <v>ICAM4</v>
      </c>
      <c r="I5339" s="3" t="str">
        <f t="shared" si="241"/>
        <v>protein_coding</v>
      </c>
    </row>
    <row r="5340" spans="1:9" x14ac:dyDescent="0.2">
      <c r="A5340" s="3" t="str">
        <f>"ENSG00000161847.14"</f>
        <v>ENSG00000161847.14</v>
      </c>
      <c r="B5340" s="3">
        <v>2001.1174709096999</v>
      </c>
      <c r="C5340" s="3">
        <v>-1.4838385372665599</v>
      </c>
      <c r="D5340" s="3">
        <v>0.22026751728376301</v>
      </c>
      <c r="E5340" s="3">
        <v>-6.7365290877409798</v>
      </c>
      <c r="F5340" s="4">
        <v>1.6221483171021999E-11</v>
      </c>
      <c r="G5340" s="4">
        <v>2.7920830825068602E-10</v>
      </c>
      <c r="H5340" s="3" t="str">
        <f>"RAVER1"</f>
        <v>RAVER1</v>
      </c>
      <c r="I5340" s="3" t="str">
        <f t="shared" si="241"/>
        <v>protein_coding</v>
      </c>
    </row>
    <row r="5341" spans="1:9" x14ac:dyDescent="0.2">
      <c r="A5341" s="3" t="str">
        <f>"ENSG00000076662.10"</f>
        <v>ENSG00000076662.10</v>
      </c>
      <c r="B5341" s="3">
        <v>280.52386324258498</v>
      </c>
      <c r="C5341" s="3">
        <v>-2.1453363033415802</v>
      </c>
      <c r="D5341" s="3">
        <v>0.29936487278720098</v>
      </c>
      <c r="E5341" s="3">
        <v>-7.16629270284011</v>
      </c>
      <c r="F5341" s="4">
        <v>7.7055933143113399E-13</v>
      </c>
      <c r="G5341" s="4">
        <v>1.5494782364209699E-11</v>
      </c>
      <c r="H5341" s="3" t="str">
        <f>"ICAM3"</f>
        <v>ICAM3</v>
      </c>
      <c r="I5341" s="3" t="str">
        <f t="shared" si="241"/>
        <v>protein_coding</v>
      </c>
    </row>
    <row r="5342" spans="1:9" x14ac:dyDescent="0.2">
      <c r="A5342" s="3" t="str">
        <f>"ENSG00000065989.16"</f>
        <v>ENSG00000065989.16</v>
      </c>
      <c r="B5342" s="3">
        <v>528.50842876591003</v>
      </c>
      <c r="C5342" s="3">
        <v>-1.9790983487898699</v>
      </c>
      <c r="D5342" s="3">
        <v>0.22673995446029099</v>
      </c>
      <c r="E5342" s="3">
        <v>-8.7284940737538701</v>
      </c>
      <c r="F5342" s="4">
        <v>2.5808597040104499E-18</v>
      </c>
      <c r="G5342" s="4">
        <v>8.5966606791164598E-17</v>
      </c>
      <c r="H5342" s="3" t="str">
        <f>"AC011529.1"</f>
        <v>AC011529.1</v>
      </c>
      <c r="I5342" s="3" t="str">
        <f t="shared" si="241"/>
        <v>protein_coding</v>
      </c>
    </row>
    <row r="5343" spans="1:9" x14ac:dyDescent="0.2">
      <c r="A5343" s="3" t="str">
        <f>"ENSG00000079999.14"</f>
        <v>ENSG00000079999.14</v>
      </c>
      <c r="B5343" s="3">
        <v>2573.93543893271</v>
      </c>
      <c r="C5343" s="3">
        <v>-1.1230936841019501</v>
      </c>
      <c r="D5343" s="3">
        <v>0.19936751341825201</v>
      </c>
      <c r="E5343" s="3">
        <v>-5.6332833010051298</v>
      </c>
      <c r="F5343" s="4">
        <v>1.7681064777107798E-8</v>
      </c>
      <c r="G5343" s="4">
        <v>2.0318682917834601E-7</v>
      </c>
      <c r="H5343" s="3" t="str">
        <f>"KEAP1"</f>
        <v>KEAP1</v>
      </c>
      <c r="I5343" s="3" t="str">
        <f t="shared" si="241"/>
        <v>protein_coding</v>
      </c>
    </row>
    <row r="5344" spans="1:9" x14ac:dyDescent="0.2">
      <c r="A5344" s="3" t="str">
        <f>"ENSG00000129347.20"</f>
        <v>ENSG00000129347.20</v>
      </c>
      <c r="B5344" s="3">
        <v>1061.3913017090599</v>
      </c>
      <c r="C5344" s="3">
        <v>-1.07918364450089</v>
      </c>
      <c r="D5344" s="3">
        <v>0.204953317283043</v>
      </c>
      <c r="E5344" s="3">
        <v>-5.26550952581327</v>
      </c>
      <c r="F5344" s="4">
        <v>1.3980106993621901E-7</v>
      </c>
      <c r="G5344" s="4">
        <v>1.3841423519448299E-6</v>
      </c>
      <c r="H5344" s="3" t="str">
        <f>"KRI1"</f>
        <v>KRI1</v>
      </c>
      <c r="I5344" s="3" t="str">
        <f t="shared" si="241"/>
        <v>protein_coding</v>
      </c>
    </row>
    <row r="5345" spans="1:9" x14ac:dyDescent="0.2">
      <c r="A5345" s="3" t="str">
        <f>"ENSG00000129354.11"</f>
        <v>ENSG00000129354.11</v>
      </c>
      <c r="B5345" s="3">
        <v>529.73467052631304</v>
      </c>
      <c r="C5345" s="3">
        <v>-4.3104818087512804</v>
      </c>
      <c r="D5345" s="3">
        <v>0.322257885668082</v>
      </c>
      <c r="E5345" s="3">
        <v>-13.3758769000023</v>
      </c>
      <c r="F5345" s="4">
        <v>8.3661176711538505E-41</v>
      </c>
      <c r="G5345" s="4">
        <v>1.1997453062417301E-38</v>
      </c>
      <c r="H5345" s="3" t="str">
        <f>"AP1M2"</f>
        <v>AP1M2</v>
      </c>
      <c r="I5345" s="3" t="str">
        <f t="shared" si="241"/>
        <v>protein_coding</v>
      </c>
    </row>
    <row r="5346" spans="1:9" x14ac:dyDescent="0.2">
      <c r="A5346" s="3" t="str">
        <f>"ENSG00000129353.15"</f>
        <v>ENSG00000129353.15</v>
      </c>
      <c r="B5346" s="3">
        <v>140.28309764478701</v>
      </c>
      <c r="C5346" s="3">
        <v>-1.4537006980992599</v>
      </c>
      <c r="D5346" s="3">
        <v>0.32989358706723598</v>
      </c>
      <c r="E5346" s="3">
        <v>-4.4065745897721298</v>
      </c>
      <c r="F5346" s="4">
        <v>1.0501815513559401E-5</v>
      </c>
      <c r="G5346" s="4">
        <v>7.4303549025695305E-5</v>
      </c>
      <c r="H5346" s="3" t="str">
        <f>"SLC44A2"</f>
        <v>SLC44A2</v>
      </c>
      <c r="I5346" s="3" t="str">
        <f t="shared" si="241"/>
        <v>protein_coding</v>
      </c>
    </row>
    <row r="5347" spans="1:9" x14ac:dyDescent="0.2">
      <c r="A5347" s="3" t="str">
        <f>"ENSG00000129351.17"</f>
        <v>ENSG00000129351.17</v>
      </c>
      <c r="B5347" s="3">
        <v>15787.8247942501</v>
      </c>
      <c r="C5347" s="3">
        <v>-1.08318986266675</v>
      </c>
      <c r="D5347" s="3">
        <v>0.187233748376299</v>
      </c>
      <c r="E5347" s="3">
        <v>-5.7852276742853999</v>
      </c>
      <c r="F5347" s="4">
        <v>7.2414184696493697E-9</v>
      </c>
      <c r="G5347" s="4">
        <v>8.7809047192940104E-8</v>
      </c>
      <c r="H5347" s="3" t="str">
        <f>"ILF3"</f>
        <v>ILF3</v>
      </c>
      <c r="I5347" s="3" t="str">
        <f t="shared" si="241"/>
        <v>protein_coding</v>
      </c>
    </row>
    <row r="5348" spans="1:9" x14ac:dyDescent="0.2">
      <c r="A5348" s="3" t="str">
        <f>"ENSG00000099203.7"</f>
        <v>ENSG00000099203.7</v>
      </c>
      <c r="B5348" s="3">
        <v>806.27734981389995</v>
      </c>
      <c r="C5348" s="3">
        <v>-1.41454668071172</v>
      </c>
      <c r="D5348" s="3">
        <v>0.25140121084369998</v>
      </c>
      <c r="E5348" s="3">
        <v>-5.6266502295852696</v>
      </c>
      <c r="F5348" s="4">
        <v>1.8374276747608599E-8</v>
      </c>
      <c r="G5348" s="4">
        <v>2.10708719925123E-7</v>
      </c>
      <c r="H5348" s="3" t="str">
        <f>"TMED1"</f>
        <v>TMED1</v>
      </c>
      <c r="I5348" s="3" t="str">
        <f t="shared" si="241"/>
        <v>protein_coding</v>
      </c>
    </row>
    <row r="5349" spans="1:9" x14ac:dyDescent="0.2">
      <c r="A5349" s="3" t="str">
        <f>"ENSG00000142453.11"</f>
        <v>ENSG00000142453.11</v>
      </c>
      <c r="B5349" s="3">
        <v>3351.7841969527899</v>
      </c>
      <c r="C5349" s="3">
        <v>-1.5684343433966801</v>
      </c>
      <c r="D5349" s="3">
        <v>0.20370450566811499</v>
      </c>
      <c r="E5349" s="3">
        <v>-7.6995564641660197</v>
      </c>
      <c r="F5349" s="4">
        <v>1.3653932832528E-14</v>
      </c>
      <c r="G5349" s="4">
        <v>3.23784776229669E-13</v>
      </c>
      <c r="H5349" s="3" t="str">
        <f>"CARM1"</f>
        <v>CARM1</v>
      </c>
      <c r="I5349" s="3" t="str">
        <f t="shared" si="241"/>
        <v>protein_coding</v>
      </c>
    </row>
    <row r="5350" spans="1:9" x14ac:dyDescent="0.2">
      <c r="A5350" s="3" t="str">
        <f>"ENSG00000130164.13"</f>
        <v>ENSG00000130164.13</v>
      </c>
      <c r="B5350" s="3">
        <v>6573.9298588653501</v>
      </c>
      <c r="C5350" s="3">
        <v>-2.3850769269120899</v>
      </c>
      <c r="D5350" s="3">
        <v>0.21733488588477101</v>
      </c>
      <c r="E5350" s="3">
        <v>-10.9742019427872</v>
      </c>
      <c r="F5350" s="4">
        <v>5.08529071908163E-28</v>
      </c>
      <c r="G5350" s="4">
        <v>3.4381865067696599E-26</v>
      </c>
      <c r="H5350" s="3" t="str">
        <f>"LDLR"</f>
        <v>LDLR</v>
      </c>
      <c r="I5350" s="3" t="str">
        <f t="shared" si="241"/>
        <v>protein_coding</v>
      </c>
    </row>
    <row r="5351" spans="1:9" x14ac:dyDescent="0.2">
      <c r="A5351" s="3" t="str">
        <f>"ENSG00000161888.11"</f>
        <v>ENSG00000161888.11</v>
      </c>
      <c r="B5351" s="3">
        <v>1074.0641331074801</v>
      </c>
      <c r="C5351" s="3">
        <v>-1.2599054110936001</v>
      </c>
      <c r="D5351" s="3">
        <v>0.218612047106789</v>
      </c>
      <c r="E5351" s="3">
        <v>-5.7632021097088</v>
      </c>
      <c r="F5351" s="4">
        <v>8.2532861759457398E-9</v>
      </c>
      <c r="G5351" s="4">
        <v>9.9327424220845196E-8</v>
      </c>
      <c r="H5351" s="3" t="str">
        <f>"SPC24"</f>
        <v>SPC24</v>
      </c>
      <c r="I5351" s="3" t="str">
        <f t="shared" si="241"/>
        <v>protein_coding</v>
      </c>
    </row>
    <row r="5352" spans="1:9" x14ac:dyDescent="0.2">
      <c r="A5352" s="3" t="str">
        <f>"ENSG00000197256.10"</f>
        <v>ENSG00000197256.10</v>
      </c>
      <c r="B5352" s="3">
        <v>909.02110787376398</v>
      </c>
      <c r="C5352" s="3">
        <v>-1.22606531537031</v>
      </c>
      <c r="D5352" s="3">
        <v>0.21378687710702801</v>
      </c>
      <c r="E5352" s="3">
        <v>-5.7349886576831599</v>
      </c>
      <c r="F5352" s="4">
        <v>9.7518871923181298E-9</v>
      </c>
      <c r="G5352" s="4">
        <v>1.15828103892368E-7</v>
      </c>
      <c r="H5352" s="3" t="str">
        <f>"KANK2"</f>
        <v>KANK2</v>
      </c>
      <c r="I5352" s="3" t="str">
        <f t="shared" si="241"/>
        <v>protein_coding</v>
      </c>
    </row>
    <row r="5353" spans="1:9" x14ac:dyDescent="0.2">
      <c r="A5353" s="3" t="str">
        <f>"ENSG00000130173.13"</f>
        <v>ENSG00000130173.13</v>
      </c>
      <c r="B5353" s="3">
        <v>162.93777619859</v>
      </c>
      <c r="C5353" s="3">
        <v>-1.9755494374087399</v>
      </c>
      <c r="D5353" s="3">
        <v>0.33560042116435301</v>
      </c>
      <c r="E5353" s="3">
        <v>-5.8866119135209702</v>
      </c>
      <c r="F5353" s="4">
        <v>3.9419286520073203E-9</v>
      </c>
      <c r="G5353" s="4">
        <v>4.9655908451799997E-8</v>
      </c>
      <c r="H5353" s="3" t="str">
        <f>"ANGPTL8"</f>
        <v>ANGPTL8</v>
      </c>
      <c r="I5353" s="3" t="str">
        <f t="shared" si="241"/>
        <v>protein_coding</v>
      </c>
    </row>
    <row r="5354" spans="1:9" x14ac:dyDescent="0.2">
      <c r="A5354" s="3" t="str">
        <f>"ENSG00000187266.14"</f>
        <v>ENSG00000187266.14</v>
      </c>
      <c r="B5354" s="3">
        <v>221.29655251361001</v>
      </c>
      <c r="C5354" s="3">
        <v>1.35318323506744</v>
      </c>
      <c r="D5354" s="3">
        <v>0.30292379655995899</v>
      </c>
      <c r="E5354" s="3">
        <v>4.4670747245160802</v>
      </c>
      <c r="F5354" s="4">
        <v>7.9296437782633405E-6</v>
      </c>
      <c r="G5354" s="4">
        <v>5.7447222554198697E-5</v>
      </c>
      <c r="H5354" s="3" t="str">
        <f>"EPOR"</f>
        <v>EPOR</v>
      </c>
      <c r="I5354" s="3" t="str">
        <f t="shared" si="241"/>
        <v>protein_coding</v>
      </c>
    </row>
    <row r="5355" spans="1:9" x14ac:dyDescent="0.2">
      <c r="A5355" s="3" t="str">
        <f>"ENSG00000130175.9"</f>
        <v>ENSG00000130175.9</v>
      </c>
      <c r="B5355" s="3">
        <v>7968.9987099883301</v>
      </c>
      <c r="C5355" s="3">
        <v>-1.0130983355415899</v>
      </c>
      <c r="D5355" s="3">
        <v>0.207964400759758</v>
      </c>
      <c r="E5355" s="3">
        <v>-4.8714988326868998</v>
      </c>
      <c r="F5355" s="4">
        <v>1.10754817574677E-6</v>
      </c>
      <c r="G5355" s="4">
        <v>9.41865329106501E-6</v>
      </c>
      <c r="H5355" s="3" t="str">
        <f>"PRKCSH"</f>
        <v>PRKCSH</v>
      </c>
      <c r="I5355" s="3" t="str">
        <f t="shared" si="241"/>
        <v>protein_coding</v>
      </c>
    </row>
    <row r="5356" spans="1:9" x14ac:dyDescent="0.2">
      <c r="A5356" s="3" t="str">
        <f>"ENSG00000196361.10"</f>
        <v>ENSG00000196361.10</v>
      </c>
      <c r="B5356" s="3">
        <v>88.307792517407094</v>
      </c>
      <c r="C5356" s="3">
        <v>5.3876654854389701</v>
      </c>
      <c r="D5356" s="3">
        <v>0.63707818312589803</v>
      </c>
      <c r="E5356" s="3">
        <v>8.4568356414337806</v>
      </c>
      <c r="F5356" s="4">
        <v>2.7473071193859599E-17</v>
      </c>
      <c r="G5356" s="4">
        <v>8.4297158876023801E-16</v>
      </c>
      <c r="H5356" s="3" t="str">
        <f>"ELAVL3"</f>
        <v>ELAVL3</v>
      </c>
      <c r="I5356" s="3" t="str">
        <f t="shared" si="241"/>
        <v>protein_coding</v>
      </c>
    </row>
    <row r="5357" spans="1:9" x14ac:dyDescent="0.2">
      <c r="A5357" s="3" t="str">
        <f>"ENSG00000130159.14"</f>
        <v>ENSG00000130159.14</v>
      </c>
      <c r="B5357" s="3">
        <v>983.96118275275705</v>
      </c>
      <c r="C5357" s="3">
        <v>-1.20425585514636</v>
      </c>
      <c r="D5357" s="3">
        <v>0.227501323916286</v>
      </c>
      <c r="E5357" s="3">
        <v>-5.2934015258279796</v>
      </c>
      <c r="F5357" s="4">
        <v>1.2006190587763599E-7</v>
      </c>
      <c r="G5357" s="4">
        <v>1.2053525237464799E-6</v>
      </c>
      <c r="H5357" s="3" t="str">
        <f>"ECSIT"</f>
        <v>ECSIT</v>
      </c>
      <c r="I5357" s="3" t="str">
        <f t="shared" si="241"/>
        <v>protein_coding</v>
      </c>
    </row>
    <row r="5358" spans="1:9" x14ac:dyDescent="0.2">
      <c r="A5358" s="3" t="str">
        <f>"ENSG00000197044.11"</f>
        <v>ENSG00000197044.11</v>
      </c>
      <c r="B5358" s="3">
        <v>573.19551890327102</v>
      </c>
      <c r="C5358" s="3">
        <v>1.8790330818877801</v>
      </c>
      <c r="D5358" s="3">
        <v>0.25559120234953198</v>
      </c>
      <c r="E5358" s="3">
        <v>7.3517126748287502</v>
      </c>
      <c r="F5358" s="4">
        <v>1.95683099227726E-13</v>
      </c>
      <c r="G5358" s="4">
        <v>4.2282136436620597E-12</v>
      </c>
      <c r="H5358" s="3" t="str">
        <f>"ZNF441"</f>
        <v>ZNF441</v>
      </c>
      <c r="I5358" s="3" t="str">
        <f t="shared" si="241"/>
        <v>protein_coding</v>
      </c>
    </row>
    <row r="5359" spans="1:9" x14ac:dyDescent="0.2">
      <c r="A5359" s="3" t="str">
        <f>"ENSG00000177599.13"</f>
        <v>ENSG00000177599.13</v>
      </c>
      <c r="B5359" s="3">
        <v>203.245765635179</v>
      </c>
      <c r="C5359" s="3">
        <v>3.6781987102855598</v>
      </c>
      <c r="D5359" s="3">
        <v>0.37172028200718699</v>
      </c>
      <c r="E5359" s="3">
        <v>9.8950713434959692</v>
      </c>
      <c r="F5359" s="4">
        <v>4.3729850649312702E-23</v>
      </c>
      <c r="G5359" s="4">
        <v>2.1238988246734798E-21</v>
      </c>
      <c r="H5359" s="3" t="str">
        <f>"ZNF491"</f>
        <v>ZNF491</v>
      </c>
      <c r="I5359" s="3" t="str">
        <f t="shared" si="241"/>
        <v>protein_coding</v>
      </c>
    </row>
    <row r="5360" spans="1:9" x14ac:dyDescent="0.2">
      <c r="A5360" s="3" t="str">
        <f>"ENSG00000171295.12"</f>
        <v>ENSG00000171295.12</v>
      </c>
      <c r="B5360" s="3">
        <v>2104.8441549335798</v>
      </c>
      <c r="C5360" s="3">
        <v>2.79317046381128</v>
      </c>
      <c r="D5360" s="3">
        <v>0.21746168175425501</v>
      </c>
      <c r="E5360" s="3">
        <v>12.844425929565601</v>
      </c>
      <c r="F5360" s="4">
        <v>9.2435070365887597E-38</v>
      </c>
      <c r="G5360" s="4">
        <v>1.1396282182169E-35</v>
      </c>
      <c r="H5360" s="3" t="str">
        <f>"ZNF440"</f>
        <v>ZNF440</v>
      </c>
      <c r="I5360" s="3" t="str">
        <f t="shared" si="241"/>
        <v>protein_coding</v>
      </c>
    </row>
    <row r="5361" spans="1:9" x14ac:dyDescent="0.2">
      <c r="A5361" s="3" t="str">
        <f>"ENSG00000197647.11"</f>
        <v>ENSG00000197647.11</v>
      </c>
      <c r="B5361" s="3">
        <v>124.509006114909</v>
      </c>
      <c r="C5361" s="3">
        <v>1.0115520878875901</v>
      </c>
      <c r="D5361" s="3">
        <v>0.35389611207323202</v>
      </c>
      <c r="E5361" s="3">
        <v>2.8583306043166399</v>
      </c>
      <c r="F5361" s="3">
        <v>4.2587642611099799E-3</v>
      </c>
      <c r="G5361" s="3">
        <v>1.54491478927524E-2</v>
      </c>
      <c r="H5361" s="3" t="str">
        <f>"ZNF433"</f>
        <v>ZNF433</v>
      </c>
      <c r="I5361" s="3" t="str">
        <f t="shared" si="241"/>
        <v>protein_coding</v>
      </c>
    </row>
    <row r="5362" spans="1:9" x14ac:dyDescent="0.2">
      <c r="A5362" s="3" t="str">
        <f>"ENSG00000223547.10"</f>
        <v>ENSG00000223547.10</v>
      </c>
      <c r="B5362" s="3">
        <v>73.535453349036999</v>
      </c>
      <c r="C5362" s="3">
        <v>1.09407220365261</v>
      </c>
      <c r="D5362" s="3">
        <v>0.42600001464699</v>
      </c>
      <c r="E5362" s="3">
        <v>2.5682445212102301</v>
      </c>
      <c r="F5362" s="3">
        <v>1.0221502607917101E-2</v>
      </c>
      <c r="G5362" s="3">
        <v>3.2410715880125202E-2</v>
      </c>
      <c r="H5362" s="3" t="str">
        <f>"ZNF844"</f>
        <v>ZNF844</v>
      </c>
      <c r="I5362" s="3" t="str">
        <f t="shared" si="241"/>
        <v>protein_coding</v>
      </c>
    </row>
    <row r="5363" spans="1:9" x14ac:dyDescent="0.2">
      <c r="A5363" s="3" t="str">
        <f>"ENSG00000188868.13"</f>
        <v>ENSG00000188868.13</v>
      </c>
      <c r="B5363" s="3">
        <v>678.91739546383405</v>
      </c>
      <c r="C5363" s="3">
        <v>1.8568703127728601</v>
      </c>
      <c r="D5363" s="3">
        <v>0.231178442374537</v>
      </c>
      <c r="E5363" s="3">
        <v>8.03219493002943</v>
      </c>
      <c r="F5363" s="4">
        <v>9.5744087075776507E-16</v>
      </c>
      <c r="G5363" s="4">
        <v>2.56261212235136E-14</v>
      </c>
      <c r="H5363" s="3" t="str">
        <f>"ZNF563"</f>
        <v>ZNF563</v>
      </c>
      <c r="I5363" s="3" t="str">
        <f t="shared" si="241"/>
        <v>protein_coding</v>
      </c>
    </row>
    <row r="5364" spans="1:9" x14ac:dyDescent="0.2">
      <c r="A5364" s="3" t="str">
        <f>"ENSG00000198342.10"</f>
        <v>ENSG00000198342.10</v>
      </c>
      <c r="B5364" s="3">
        <v>171.728224787421</v>
      </c>
      <c r="C5364" s="3">
        <v>1.1573188389857201</v>
      </c>
      <c r="D5364" s="3">
        <v>0.31487987272187201</v>
      </c>
      <c r="E5364" s="3">
        <v>3.6754297090559498</v>
      </c>
      <c r="F5364" s="3">
        <v>2.3744941236248E-4</v>
      </c>
      <c r="G5364" s="3">
        <v>1.2384732271516999E-3</v>
      </c>
      <c r="H5364" s="3" t="str">
        <f>"ZNF442"</f>
        <v>ZNF442</v>
      </c>
      <c r="I5364" s="3" t="str">
        <f t="shared" si="241"/>
        <v>protein_coding</v>
      </c>
    </row>
    <row r="5365" spans="1:9" x14ac:dyDescent="0.2">
      <c r="A5365" s="3" t="str">
        <f>"ENSG00000249709.8"</f>
        <v>ENSG00000249709.8</v>
      </c>
      <c r="B5365" s="3">
        <v>89.634856139692801</v>
      </c>
      <c r="C5365" s="3">
        <v>1.2054427772998</v>
      </c>
      <c r="D5365" s="3">
        <v>0.38982217160333599</v>
      </c>
      <c r="E5365" s="3">
        <v>3.09228890789311</v>
      </c>
      <c r="F5365" s="3">
        <v>1.9861943995905899E-3</v>
      </c>
      <c r="G5365" s="3">
        <v>8.0057636280433005E-3</v>
      </c>
      <c r="H5365" s="3" t="str">
        <f>"ZNF564"</f>
        <v>ZNF564</v>
      </c>
      <c r="I5365" s="3" t="str">
        <f t="shared" si="241"/>
        <v>protein_coding</v>
      </c>
    </row>
    <row r="5366" spans="1:9" x14ac:dyDescent="0.2">
      <c r="A5366" s="3" t="str">
        <f>"ENSG00000285589.1"</f>
        <v>ENSG00000285589.1</v>
      </c>
      <c r="B5366" s="3">
        <v>89.874839746998902</v>
      </c>
      <c r="C5366" s="3">
        <v>-1.1334184000171601</v>
      </c>
      <c r="D5366" s="3">
        <v>0.400497871399283</v>
      </c>
      <c r="E5366" s="3">
        <v>-2.8300235306049402</v>
      </c>
      <c r="F5366" s="3">
        <v>4.65445808094417E-3</v>
      </c>
      <c r="G5366" s="3">
        <v>1.66956318235237E-2</v>
      </c>
      <c r="H5366" s="3" t="str">
        <f>"AC010422.8"</f>
        <v>AC010422.8</v>
      </c>
      <c r="I5366" s="3" t="str">
        <f t="shared" si="241"/>
        <v>protein_coding</v>
      </c>
    </row>
    <row r="5367" spans="1:9" x14ac:dyDescent="0.2">
      <c r="A5367" s="3" t="str">
        <f>"ENSG00000095059.16"</f>
        <v>ENSG00000095059.16</v>
      </c>
      <c r="B5367" s="3">
        <v>104.83106503537</v>
      </c>
      <c r="C5367" s="3">
        <v>-1.0552059839808501</v>
      </c>
      <c r="D5367" s="3">
        <v>0.41432823585492601</v>
      </c>
      <c r="E5367" s="3">
        <v>-2.54678752898301</v>
      </c>
      <c r="F5367" s="3">
        <v>1.0871960572433399E-2</v>
      </c>
      <c r="G5367" s="3">
        <v>3.4151292335380702E-2</v>
      </c>
      <c r="H5367" s="3" t="str">
        <f>"DHPS"</f>
        <v>DHPS</v>
      </c>
      <c r="I5367" s="3" t="str">
        <f t="shared" si="241"/>
        <v>protein_coding</v>
      </c>
    </row>
    <row r="5368" spans="1:9" x14ac:dyDescent="0.2">
      <c r="A5368" s="3" t="str">
        <f>"ENSG00000167815.12"</f>
        <v>ENSG00000167815.12</v>
      </c>
      <c r="B5368" s="3">
        <v>5608.1587454310002</v>
      </c>
      <c r="C5368" s="3">
        <v>-1.1122051447818799</v>
      </c>
      <c r="D5368" s="3">
        <v>0.24829337011809299</v>
      </c>
      <c r="E5368" s="3">
        <v>-4.47939928582423</v>
      </c>
      <c r="F5368" s="4">
        <v>7.48533978960224E-6</v>
      </c>
      <c r="G5368" s="4">
        <v>5.4518324845573999E-5</v>
      </c>
      <c r="H5368" s="3" t="str">
        <f>"PRDX2"</f>
        <v>PRDX2</v>
      </c>
      <c r="I5368" s="3" t="str">
        <f t="shared" si="241"/>
        <v>protein_coding</v>
      </c>
    </row>
    <row r="5369" spans="1:9" x14ac:dyDescent="0.2">
      <c r="A5369" s="3" t="str">
        <f>"ENSG00000105613.10"</f>
        <v>ENSG00000105613.10</v>
      </c>
      <c r="B5369" s="3">
        <v>109.22515340315699</v>
      </c>
      <c r="C5369" s="3">
        <v>-1.49111202339347</v>
      </c>
      <c r="D5369" s="3">
        <v>0.39362633761155202</v>
      </c>
      <c r="E5369" s="3">
        <v>-3.7881408862050399</v>
      </c>
      <c r="F5369" s="3">
        <v>1.51778778163338E-4</v>
      </c>
      <c r="G5369" s="3">
        <v>8.33740017731822E-4</v>
      </c>
      <c r="H5369" s="3" t="str">
        <f>"MAST1"</f>
        <v>MAST1</v>
      </c>
      <c r="I5369" s="3" t="str">
        <f t="shared" si="241"/>
        <v>protein_coding</v>
      </c>
    </row>
    <row r="5370" spans="1:9" x14ac:dyDescent="0.2">
      <c r="A5370" s="3" t="str">
        <f>"ENSG00000105607.13"</f>
        <v>ENSG00000105607.13</v>
      </c>
      <c r="B5370" s="3">
        <v>666.00889912209095</v>
      </c>
      <c r="C5370" s="3">
        <v>-1.2035319148985799</v>
      </c>
      <c r="D5370" s="3">
        <v>0.23940287006549099</v>
      </c>
      <c r="E5370" s="3">
        <v>-5.0272242541175203</v>
      </c>
      <c r="F5370" s="4">
        <v>4.9763029503846303E-7</v>
      </c>
      <c r="G5370" s="4">
        <v>4.4986505139061103E-6</v>
      </c>
      <c r="H5370" s="3" t="str">
        <f>"GCDH"</f>
        <v>GCDH</v>
      </c>
      <c r="I5370" s="3" t="str">
        <f t="shared" si="241"/>
        <v>protein_coding</v>
      </c>
    </row>
    <row r="5371" spans="1:9" x14ac:dyDescent="0.2">
      <c r="A5371" s="3" t="str">
        <f>"ENSG00000008441.16"</f>
        <v>ENSG00000008441.16</v>
      </c>
      <c r="B5371" s="3">
        <v>1726.3010459827699</v>
      </c>
      <c r="C5371" s="3">
        <v>-2.5361503307326299</v>
      </c>
      <c r="D5371" s="3">
        <v>0.22450799830623899</v>
      </c>
      <c r="E5371" s="3">
        <v>-11.2964809711287</v>
      </c>
      <c r="F5371" s="4">
        <v>1.3658206673735299E-29</v>
      </c>
      <c r="G5371" s="4">
        <v>1.03661603687818E-27</v>
      </c>
      <c r="H5371" s="3" t="str">
        <f>"NFIX"</f>
        <v>NFIX</v>
      </c>
      <c r="I5371" s="3" t="str">
        <f t="shared" si="241"/>
        <v>protein_coding</v>
      </c>
    </row>
    <row r="5372" spans="1:9" x14ac:dyDescent="0.2">
      <c r="A5372" s="3" t="str">
        <f>"ENSG00000279044.1"</f>
        <v>ENSG00000279044.1</v>
      </c>
      <c r="B5372" s="3">
        <v>20.962197886611001</v>
      </c>
      <c r="C5372" s="3">
        <v>-2.0916704033137399</v>
      </c>
      <c r="D5372" s="3">
        <v>0.77631883716189498</v>
      </c>
      <c r="E5372" s="3">
        <v>-2.69434451824017</v>
      </c>
      <c r="F5372" s="3">
        <v>7.0527223140835604E-3</v>
      </c>
      <c r="G5372" s="3">
        <v>2.3765214555013001E-2</v>
      </c>
      <c r="H5372" s="3" t="str">
        <f>"AC007787.2"</f>
        <v>AC007787.2</v>
      </c>
      <c r="I5372" s="3" t="str">
        <f>"TEC"</f>
        <v>TEC</v>
      </c>
    </row>
    <row r="5373" spans="1:9" x14ac:dyDescent="0.2">
      <c r="A5373" s="3" t="str">
        <f>"ENSG00000104915.15"</f>
        <v>ENSG00000104915.15</v>
      </c>
      <c r="B5373" s="3">
        <v>696.07767610617202</v>
      </c>
      <c r="C5373" s="3">
        <v>-1.03312837336872</v>
      </c>
      <c r="D5373" s="3">
        <v>0.23996156980882599</v>
      </c>
      <c r="E5373" s="3">
        <v>-4.3053909598599498</v>
      </c>
      <c r="F5373" s="4">
        <v>1.6669108212561402E-5</v>
      </c>
      <c r="G5373" s="3">
        <v>1.1272851612500901E-4</v>
      </c>
      <c r="H5373" s="3" t="str">
        <f>"STX10"</f>
        <v>STX10</v>
      </c>
      <c r="I5373" s="3" t="str">
        <f t="shared" ref="I5373:I5387" si="242">"protein_coding"</f>
        <v>protein_coding</v>
      </c>
    </row>
    <row r="5374" spans="1:9" x14ac:dyDescent="0.2">
      <c r="A5374" s="3" t="str">
        <f>"ENSG00000141837.19"</f>
        <v>ENSG00000141837.19</v>
      </c>
      <c r="B5374" s="3">
        <v>17.9128031129924</v>
      </c>
      <c r="C5374" s="3">
        <v>6.1001108453158999</v>
      </c>
      <c r="D5374" s="3">
        <v>1.6320336667273501</v>
      </c>
      <c r="E5374" s="3">
        <v>3.73773591175248</v>
      </c>
      <c r="F5374" s="3">
        <v>1.8568483361918299E-4</v>
      </c>
      <c r="G5374" s="3">
        <v>9.9774108130187508E-4</v>
      </c>
      <c r="H5374" s="3" t="str">
        <f>"CACNA1A"</f>
        <v>CACNA1A</v>
      </c>
      <c r="I5374" s="3" t="str">
        <f t="shared" si="242"/>
        <v>protein_coding</v>
      </c>
    </row>
    <row r="5375" spans="1:9" x14ac:dyDescent="0.2">
      <c r="A5375" s="3" t="str">
        <f>"ENSG00000037757.14"</f>
        <v>ENSG00000037757.14</v>
      </c>
      <c r="B5375" s="3">
        <v>2036.8772764401499</v>
      </c>
      <c r="C5375" s="3">
        <v>1.9365030573977</v>
      </c>
      <c r="D5375" s="3">
        <v>0.20645207829967199</v>
      </c>
      <c r="E5375" s="3">
        <v>9.3799155394638305</v>
      </c>
      <c r="F5375" s="4">
        <v>6.6025596868235702E-21</v>
      </c>
      <c r="G5375" s="4">
        <v>2.7848288511901199E-19</v>
      </c>
      <c r="H5375" s="3" t="str">
        <f>"MRI1"</f>
        <v>MRI1</v>
      </c>
      <c r="I5375" s="3" t="str">
        <f t="shared" si="242"/>
        <v>protein_coding</v>
      </c>
    </row>
    <row r="5376" spans="1:9" x14ac:dyDescent="0.2">
      <c r="A5376" s="3" t="str">
        <f>"ENSG00000104979.9"</f>
        <v>ENSG00000104979.9</v>
      </c>
      <c r="B5376" s="3">
        <v>1178.03818974562</v>
      </c>
      <c r="C5376" s="3">
        <v>-1.04141933817201</v>
      </c>
      <c r="D5376" s="3">
        <v>0.26726386258909401</v>
      </c>
      <c r="E5376" s="3">
        <v>-3.8965961506480999</v>
      </c>
      <c r="F5376" s="4">
        <v>9.7554088320243095E-5</v>
      </c>
      <c r="G5376" s="3">
        <v>5.5982650473076297E-4</v>
      </c>
      <c r="H5376" s="3" t="str">
        <f>"C19orf53"</f>
        <v>C19orf53</v>
      </c>
      <c r="I5376" s="3" t="str">
        <f t="shared" si="242"/>
        <v>protein_coding</v>
      </c>
    </row>
    <row r="5377" spans="1:9" x14ac:dyDescent="0.2">
      <c r="A5377" s="3" t="str">
        <f>"ENSG00000132003.9"</f>
        <v>ENSG00000132003.9</v>
      </c>
      <c r="B5377" s="3">
        <v>218.11649772252801</v>
      </c>
      <c r="C5377" s="3">
        <v>2.3160159073919702</v>
      </c>
      <c r="D5377" s="3">
        <v>0.355753871210991</v>
      </c>
      <c r="E5377" s="3">
        <v>6.5101636125791904</v>
      </c>
      <c r="F5377" s="4">
        <v>7.5068995574709503E-11</v>
      </c>
      <c r="G5377" s="4">
        <v>1.1912666991404199E-9</v>
      </c>
      <c r="H5377" s="3" t="str">
        <f>"ZSWIM4"</f>
        <v>ZSWIM4</v>
      </c>
      <c r="I5377" s="3" t="str">
        <f t="shared" si="242"/>
        <v>protein_coding</v>
      </c>
    </row>
    <row r="5378" spans="1:9" x14ac:dyDescent="0.2">
      <c r="A5378" s="3" t="str">
        <f>"ENSG00000132016.11"</f>
        <v>ENSG00000132016.11</v>
      </c>
      <c r="B5378" s="3">
        <v>43.607908213111003</v>
      </c>
      <c r="C5378" s="3">
        <v>-1.46078225282949</v>
      </c>
      <c r="D5378" s="3">
        <v>0.55842519347392705</v>
      </c>
      <c r="E5378" s="3">
        <v>-2.6158960410472498</v>
      </c>
      <c r="F5378" s="3">
        <v>8.8993648486568998E-3</v>
      </c>
      <c r="G5378" s="3">
        <v>2.8911529036765801E-2</v>
      </c>
      <c r="H5378" s="3" t="str">
        <f>"C19orf57"</f>
        <v>C19orf57</v>
      </c>
      <c r="I5378" s="3" t="str">
        <f t="shared" si="242"/>
        <v>protein_coding</v>
      </c>
    </row>
    <row r="5379" spans="1:9" x14ac:dyDescent="0.2">
      <c r="A5379" s="3" t="str">
        <f>"ENSG00000132000.13"</f>
        <v>ENSG00000132000.13</v>
      </c>
      <c r="B5379" s="3">
        <v>13.5157209311496</v>
      </c>
      <c r="C5379" s="3">
        <v>4.64485599665195</v>
      </c>
      <c r="D5379" s="3">
        <v>1.34550776313961</v>
      </c>
      <c r="E5379" s="3">
        <v>3.45212129123182</v>
      </c>
      <c r="F5379" s="3">
        <v>5.5619764252540303E-4</v>
      </c>
      <c r="G5379" s="3">
        <v>2.6323983265398102E-3</v>
      </c>
      <c r="H5379" s="3" t="str">
        <f>"PODNL1"</f>
        <v>PODNL1</v>
      </c>
      <c r="I5379" s="3" t="str">
        <f t="shared" si="242"/>
        <v>protein_coding</v>
      </c>
    </row>
    <row r="5380" spans="1:9" x14ac:dyDescent="0.2">
      <c r="A5380" s="3" t="str">
        <f>"ENSG00000187867.8"</f>
        <v>ENSG00000187867.8</v>
      </c>
      <c r="B5380" s="3">
        <v>40.386142181149197</v>
      </c>
      <c r="C5380" s="3">
        <v>-1.51244107088498</v>
      </c>
      <c r="D5380" s="3">
        <v>0.55366510923381396</v>
      </c>
      <c r="E5380" s="3">
        <v>-2.7316893292733599</v>
      </c>
      <c r="F5380" s="3">
        <v>6.3010525862780198E-3</v>
      </c>
      <c r="G5380" s="3">
        <v>2.1576571549367499E-2</v>
      </c>
      <c r="H5380" s="3" t="str">
        <f>"PALM3"</f>
        <v>PALM3</v>
      </c>
      <c r="I5380" s="3" t="str">
        <f t="shared" si="242"/>
        <v>protein_coding</v>
      </c>
    </row>
    <row r="5381" spans="1:9" x14ac:dyDescent="0.2">
      <c r="A5381" s="3" t="str">
        <f>"ENSG00000141858.11"</f>
        <v>ENSG00000141858.11</v>
      </c>
      <c r="B5381" s="3">
        <v>1596.7731365418799</v>
      </c>
      <c r="C5381" s="3">
        <v>-1.5491428467081301</v>
      </c>
      <c r="D5381" s="3">
        <v>0.210691641067174</v>
      </c>
      <c r="E5381" s="3">
        <v>-7.3526545185255996</v>
      </c>
      <c r="F5381" s="4">
        <v>1.9430870378069999E-13</v>
      </c>
      <c r="G5381" s="4">
        <v>4.2051860618846297E-12</v>
      </c>
      <c r="H5381" s="3" t="str">
        <f>"SAMD1"</f>
        <v>SAMD1</v>
      </c>
      <c r="I5381" s="3" t="str">
        <f t="shared" si="242"/>
        <v>protein_coding</v>
      </c>
    </row>
    <row r="5382" spans="1:9" x14ac:dyDescent="0.2">
      <c r="A5382" s="3" t="str">
        <f>"ENSG00000072062.13"</f>
        <v>ENSG00000072062.13</v>
      </c>
      <c r="B5382" s="3">
        <v>3538.78986826447</v>
      </c>
      <c r="C5382" s="3">
        <v>1.5375046023463801</v>
      </c>
      <c r="D5382" s="3">
        <v>0.198687837451411</v>
      </c>
      <c r="E5382" s="3">
        <v>7.7382924997730402</v>
      </c>
      <c r="F5382" s="4">
        <v>1.0076082755605899E-14</v>
      </c>
      <c r="G5382" s="4">
        <v>2.4252917565547198E-13</v>
      </c>
      <c r="H5382" s="3" t="str">
        <f>"PRKACA"</f>
        <v>PRKACA</v>
      </c>
      <c r="I5382" s="3" t="str">
        <f t="shared" si="242"/>
        <v>protein_coding</v>
      </c>
    </row>
    <row r="5383" spans="1:9" x14ac:dyDescent="0.2">
      <c r="A5383" s="3" t="str">
        <f>"ENSG00000099797.15"</f>
        <v>ENSG00000099797.15</v>
      </c>
      <c r="B5383" s="3">
        <v>2673.29405939967</v>
      </c>
      <c r="C5383" s="3">
        <v>-1.2139671452540599</v>
      </c>
      <c r="D5383" s="3">
        <v>0.235195229997887</v>
      </c>
      <c r="E5383" s="3">
        <v>-5.1615296163317801</v>
      </c>
      <c r="F5383" s="4">
        <v>2.4494012944027302E-7</v>
      </c>
      <c r="G5383" s="4">
        <v>2.3286405118140699E-6</v>
      </c>
      <c r="H5383" s="3" t="str">
        <f>"TECR"</f>
        <v>TECR</v>
      </c>
      <c r="I5383" s="3" t="str">
        <f t="shared" si="242"/>
        <v>protein_coding</v>
      </c>
    </row>
    <row r="5384" spans="1:9" x14ac:dyDescent="0.2">
      <c r="A5384" s="3" t="str">
        <f>"ENSG00000105137.13"</f>
        <v>ENSG00000105137.13</v>
      </c>
      <c r="B5384" s="3">
        <v>474.25136752914898</v>
      </c>
      <c r="C5384" s="3">
        <v>-2.5220789795404599</v>
      </c>
      <c r="D5384" s="3">
        <v>0.24421028476655501</v>
      </c>
      <c r="E5384" s="3">
        <v>-10.3274887949595</v>
      </c>
      <c r="F5384" s="4">
        <v>5.2928073439844399E-25</v>
      </c>
      <c r="G5384" s="4">
        <v>2.9431249326845701E-23</v>
      </c>
      <c r="H5384" s="3" t="str">
        <f>"SYDE1"</f>
        <v>SYDE1</v>
      </c>
      <c r="I5384" s="3" t="str">
        <f t="shared" si="242"/>
        <v>protein_coding</v>
      </c>
    </row>
    <row r="5385" spans="1:9" x14ac:dyDescent="0.2">
      <c r="A5385" s="3" t="str">
        <f>"ENSG00000105135.16"</f>
        <v>ENSG00000105135.16</v>
      </c>
      <c r="B5385" s="3">
        <v>1432.5918373582599</v>
      </c>
      <c r="C5385" s="3">
        <v>-1.4344745388751701</v>
      </c>
      <c r="D5385" s="3">
        <v>0.22821180360545601</v>
      </c>
      <c r="E5385" s="3">
        <v>-6.2857157965201704</v>
      </c>
      <c r="F5385" s="4">
        <v>3.2634649130417498E-10</v>
      </c>
      <c r="G5385" s="4">
        <v>4.7097260850449402E-9</v>
      </c>
      <c r="H5385" s="3" t="str">
        <f>"ILVBL"</f>
        <v>ILVBL</v>
      </c>
      <c r="I5385" s="3" t="str">
        <f t="shared" si="242"/>
        <v>protein_coding</v>
      </c>
    </row>
    <row r="5386" spans="1:9" x14ac:dyDescent="0.2">
      <c r="A5386" s="3" t="str">
        <f>"ENSG00000074181.9"</f>
        <v>ENSG00000074181.9</v>
      </c>
      <c r="B5386" s="3">
        <v>297.70615100632398</v>
      </c>
      <c r="C5386" s="3">
        <v>3.5408997007172802</v>
      </c>
      <c r="D5386" s="3">
        <v>0.30828015998865099</v>
      </c>
      <c r="E5386" s="3">
        <v>11.485979833563199</v>
      </c>
      <c r="F5386" s="4">
        <v>1.55166190500188E-30</v>
      </c>
      <c r="G5386" s="4">
        <v>1.26581233310138E-28</v>
      </c>
      <c r="H5386" s="3" t="str">
        <f>"NOTCH3"</f>
        <v>NOTCH3</v>
      </c>
      <c r="I5386" s="3" t="str">
        <f t="shared" si="242"/>
        <v>protein_coding</v>
      </c>
    </row>
    <row r="5387" spans="1:9" x14ac:dyDescent="0.2">
      <c r="A5387" s="3" t="str">
        <f>"ENSG00000186529.16"</f>
        <v>ENSG00000186529.16</v>
      </c>
      <c r="B5387" s="3">
        <v>882.33651712122196</v>
      </c>
      <c r="C5387" s="3">
        <v>1.4821193533886501</v>
      </c>
      <c r="D5387" s="3">
        <v>0.205803523041972</v>
      </c>
      <c r="E5387" s="3">
        <v>7.2016228463027199</v>
      </c>
      <c r="F5387" s="4">
        <v>5.9500084825900804E-13</v>
      </c>
      <c r="G5387" s="4">
        <v>1.2134721641102699E-11</v>
      </c>
      <c r="H5387" s="3" t="str">
        <f>"CYP4F3"</f>
        <v>CYP4F3</v>
      </c>
      <c r="I5387" s="3" t="str">
        <f t="shared" si="242"/>
        <v>protein_coding</v>
      </c>
    </row>
    <row r="5388" spans="1:9" x14ac:dyDescent="0.2">
      <c r="A5388" s="3" t="str">
        <f>"ENSG00000267241.2"</f>
        <v>ENSG00000267241.2</v>
      </c>
      <c r="B5388" s="3">
        <v>5.5048488995878104</v>
      </c>
      <c r="C5388" s="3">
        <v>5.8558213573745297</v>
      </c>
      <c r="D5388" s="3">
        <v>1.98540828848636</v>
      </c>
      <c r="E5388" s="3">
        <v>2.9494292893472802</v>
      </c>
      <c r="F5388" s="3">
        <v>3.1836141583888402E-3</v>
      </c>
      <c r="G5388" s="3">
        <v>1.20544656717094E-2</v>
      </c>
      <c r="H5388" s="3" t="str">
        <f>"CYP4F10P"</f>
        <v>CYP4F10P</v>
      </c>
      <c r="I5388" s="3" t="str">
        <f>"unprocessed_pseudogene"</f>
        <v>unprocessed_pseudogene</v>
      </c>
    </row>
    <row r="5389" spans="1:9" x14ac:dyDescent="0.2">
      <c r="A5389" s="3" t="str">
        <f>"ENSG00000186204.14"</f>
        <v>ENSG00000186204.14</v>
      </c>
      <c r="B5389" s="3">
        <v>1033.9773957505699</v>
      </c>
      <c r="C5389" s="3">
        <v>1.14858804342168</v>
      </c>
      <c r="D5389" s="3">
        <v>0.209208801867307</v>
      </c>
      <c r="E5389" s="3">
        <v>5.4901516244530804</v>
      </c>
      <c r="F5389" s="4">
        <v>4.0158884589025598E-8</v>
      </c>
      <c r="G5389" s="4">
        <v>4.3698447619695699E-7</v>
      </c>
      <c r="H5389" s="3" t="str">
        <f>"CYP4F12"</f>
        <v>CYP4F12</v>
      </c>
      <c r="I5389" s="3" t="str">
        <f>"protein_coding"</f>
        <v>protein_coding</v>
      </c>
    </row>
    <row r="5390" spans="1:9" x14ac:dyDescent="0.2">
      <c r="A5390" s="3" t="str">
        <f>"ENSG00000267594.5"</f>
        <v>ENSG00000267594.5</v>
      </c>
      <c r="B5390" s="3">
        <v>3.8168555458674298</v>
      </c>
      <c r="C5390" s="3">
        <v>5.3279350919035302</v>
      </c>
      <c r="D5390" s="3">
        <v>2.1809774924298599</v>
      </c>
      <c r="E5390" s="3">
        <v>2.4429115432858599</v>
      </c>
      <c r="F5390" s="3">
        <v>1.4569307781241599E-2</v>
      </c>
      <c r="G5390" s="3">
        <v>4.3474967595607303E-2</v>
      </c>
      <c r="H5390" s="3" t="str">
        <f>"CYP4F24P"</f>
        <v>CYP4F24P</v>
      </c>
      <c r="I5390" s="3" t="str">
        <f>"unprocessed_pseudogene"</f>
        <v>unprocessed_pseudogene</v>
      </c>
    </row>
    <row r="5391" spans="1:9" x14ac:dyDescent="0.2">
      <c r="A5391" s="3" t="str">
        <f>"ENSG00000214049.7"</f>
        <v>ENSG00000214049.7</v>
      </c>
      <c r="B5391" s="3">
        <v>191.85936255290699</v>
      </c>
      <c r="C5391" s="3">
        <v>2.6880515785694001</v>
      </c>
      <c r="D5391" s="3">
        <v>0.34107224933654001</v>
      </c>
      <c r="E5391" s="3">
        <v>7.8811793800235801</v>
      </c>
      <c r="F5391" s="4">
        <v>3.2430533930630801E-15</v>
      </c>
      <c r="G5391" s="4">
        <v>8.2505579645928903E-14</v>
      </c>
      <c r="H5391" s="3" t="str">
        <f>"UCA1"</f>
        <v>UCA1</v>
      </c>
      <c r="I5391" s="3" t="str">
        <f>"lincRNA"</f>
        <v>lincRNA</v>
      </c>
    </row>
    <row r="5392" spans="1:9" x14ac:dyDescent="0.2">
      <c r="A5392" s="3" t="str">
        <f>"ENSG00000186115.13"</f>
        <v>ENSG00000186115.13</v>
      </c>
      <c r="B5392" s="3">
        <v>1624.56349973378</v>
      </c>
      <c r="C5392" s="3">
        <v>6.4911373122500899</v>
      </c>
      <c r="D5392" s="3">
        <v>0.27859973209572703</v>
      </c>
      <c r="E5392" s="3">
        <v>23.2991513072228</v>
      </c>
      <c r="F5392" s="4">
        <v>4.5219500708331803E-120</v>
      </c>
      <c r="G5392" s="4">
        <v>1.12008703254538E-116</v>
      </c>
      <c r="H5392" s="3" t="str">
        <f>"CYP4F2"</f>
        <v>CYP4F2</v>
      </c>
      <c r="I5392" s="3" t="str">
        <f>"protein_coding"</f>
        <v>protein_coding</v>
      </c>
    </row>
    <row r="5393" spans="1:9" x14ac:dyDescent="0.2">
      <c r="A5393" s="3" t="str">
        <f>"ENSG00000267056.2"</f>
        <v>ENSG00000267056.2</v>
      </c>
      <c r="B5393" s="3">
        <v>175.855501143493</v>
      </c>
      <c r="C5393" s="3">
        <v>1.55483813591071</v>
      </c>
      <c r="D5393" s="3">
        <v>0.34830050327151202</v>
      </c>
      <c r="E5393" s="3">
        <v>4.46407088507324</v>
      </c>
      <c r="F5393" s="4">
        <v>8.0416940218016792E-6</v>
      </c>
      <c r="G5393" s="4">
        <v>5.8212549684386398E-5</v>
      </c>
      <c r="H5393" s="3" t="str">
        <f>"AC005336.1"</f>
        <v>AC005336.1</v>
      </c>
      <c r="I5393" s="3" t="str">
        <f>"processed_pseudogene"</f>
        <v>processed_pseudogene</v>
      </c>
    </row>
    <row r="5394" spans="1:9" x14ac:dyDescent="0.2">
      <c r="A5394" s="3" t="str">
        <f>"ENSG00000171903.16"</f>
        <v>ENSG00000171903.16</v>
      </c>
      <c r="B5394" s="3">
        <v>1343.0858374755601</v>
      </c>
      <c r="C5394" s="3">
        <v>1.3108867914338</v>
      </c>
      <c r="D5394" s="3">
        <v>0.19377587980831101</v>
      </c>
      <c r="E5394" s="3">
        <v>6.7649636927494097</v>
      </c>
      <c r="F5394" s="4">
        <v>1.33342633554178E-11</v>
      </c>
      <c r="G5394" s="4">
        <v>2.31118749138085E-10</v>
      </c>
      <c r="H5394" s="3" t="str">
        <f>"CYP4F11"</f>
        <v>CYP4F11</v>
      </c>
      <c r="I5394" s="3" t="str">
        <f>"protein_coding"</f>
        <v>protein_coding</v>
      </c>
    </row>
    <row r="5395" spans="1:9" x14ac:dyDescent="0.2">
      <c r="A5395" s="3" t="str">
        <f>"ENSG00000167460.16"</f>
        <v>ENSG00000167460.16</v>
      </c>
      <c r="B5395" s="3">
        <v>9400.0200910488002</v>
      </c>
      <c r="C5395" s="3">
        <v>-1.21128990254905</v>
      </c>
      <c r="D5395" s="3">
        <v>0.17676566934673299</v>
      </c>
      <c r="E5395" s="3">
        <v>-6.8525178391571604</v>
      </c>
      <c r="F5395" s="4">
        <v>7.2561334397670303E-12</v>
      </c>
      <c r="G5395" s="4">
        <v>1.2964450349726699E-10</v>
      </c>
      <c r="H5395" s="3" t="str">
        <f>"TPM4"</f>
        <v>TPM4</v>
      </c>
      <c r="I5395" s="3" t="str">
        <f>"protein_coding"</f>
        <v>protein_coding</v>
      </c>
    </row>
    <row r="5396" spans="1:9" x14ac:dyDescent="0.2">
      <c r="A5396" s="3" t="str">
        <f>"ENSG00000279198.1"</f>
        <v>ENSG00000279198.1</v>
      </c>
      <c r="B5396" s="3">
        <v>35.201623654934899</v>
      </c>
      <c r="C5396" s="3">
        <v>-2.05818896297294</v>
      </c>
      <c r="D5396" s="3">
        <v>0.60510870779211701</v>
      </c>
      <c r="E5396" s="3">
        <v>-3.40135406492948</v>
      </c>
      <c r="F5396" s="3">
        <v>6.7052919256939099E-4</v>
      </c>
      <c r="G5396" s="3">
        <v>3.1129509132625998E-3</v>
      </c>
      <c r="H5396" s="3" t="str">
        <f>"AC008894.3"</f>
        <v>AC008894.3</v>
      </c>
      <c r="I5396" s="3" t="str">
        <f>"TEC"</f>
        <v>TEC</v>
      </c>
    </row>
    <row r="5397" spans="1:9" x14ac:dyDescent="0.2">
      <c r="A5397" s="3" t="str">
        <f>"ENSG00000279977.1"</f>
        <v>ENSG00000279977.1</v>
      </c>
      <c r="B5397" s="3">
        <v>85.954315912427504</v>
      </c>
      <c r="C5397" s="3">
        <v>1.1460175904705601</v>
      </c>
      <c r="D5397" s="3">
        <v>0.41153755428304201</v>
      </c>
      <c r="E5397" s="3">
        <v>2.78472177944268</v>
      </c>
      <c r="F5397" s="3">
        <v>5.3573669802837202E-3</v>
      </c>
      <c r="G5397" s="3">
        <v>1.88181227422703E-2</v>
      </c>
      <c r="H5397" s="3" t="str">
        <f>"AC008764.10"</f>
        <v>AC008764.10</v>
      </c>
      <c r="I5397" s="3" t="str">
        <f>"TEC"</f>
        <v>TEC</v>
      </c>
    </row>
    <row r="5398" spans="1:9" x14ac:dyDescent="0.2">
      <c r="A5398" s="3" t="str">
        <f>"ENSG00000160111.13"</f>
        <v>ENSG00000160111.13</v>
      </c>
      <c r="B5398" s="3">
        <v>550.39184738908898</v>
      </c>
      <c r="C5398" s="3">
        <v>6.3412267500207502</v>
      </c>
      <c r="D5398" s="3">
        <v>0.362412066112416</v>
      </c>
      <c r="E5398" s="3">
        <v>17.497283735729098</v>
      </c>
      <c r="F5398" s="4">
        <v>1.50266497981181E-68</v>
      </c>
      <c r="G5398" s="4">
        <v>6.2035019249897495E-66</v>
      </c>
      <c r="H5398" s="3" t="str">
        <f>"CPAMD8"</f>
        <v>CPAMD8</v>
      </c>
      <c r="I5398" s="3" t="str">
        <f>"protein_coding"</f>
        <v>protein_coding</v>
      </c>
    </row>
    <row r="5399" spans="1:9" x14ac:dyDescent="0.2">
      <c r="A5399" s="3" t="str">
        <f>"ENSG00000130307.11"</f>
        <v>ENSG00000130307.11</v>
      </c>
      <c r="B5399" s="3">
        <v>68.040753560334593</v>
      </c>
      <c r="C5399" s="3">
        <v>2.3216313242545401</v>
      </c>
      <c r="D5399" s="3">
        <v>0.46056409076068799</v>
      </c>
      <c r="E5399" s="3">
        <v>5.0408431113681296</v>
      </c>
      <c r="F5399" s="4">
        <v>4.63485329804326E-7</v>
      </c>
      <c r="G5399" s="4">
        <v>4.2123364847159699E-6</v>
      </c>
      <c r="H5399" s="3" t="str">
        <f>"USHBP1"</f>
        <v>USHBP1</v>
      </c>
      <c r="I5399" s="3" t="str">
        <f>"protein_coding"</f>
        <v>protein_coding</v>
      </c>
    </row>
    <row r="5400" spans="1:9" x14ac:dyDescent="0.2">
      <c r="A5400" s="3" t="str">
        <f>"ENSG00000130299.17"</f>
        <v>ENSG00000130299.17</v>
      </c>
      <c r="B5400" s="3">
        <v>1003.53476322533</v>
      </c>
      <c r="C5400" s="3">
        <v>-1.27197123709617</v>
      </c>
      <c r="D5400" s="3">
        <v>0.21486285821578699</v>
      </c>
      <c r="E5400" s="3">
        <v>-5.9199214217783602</v>
      </c>
      <c r="F5400" s="4">
        <v>3.2209547460584099E-9</v>
      </c>
      <c r="G5400" s="4">
        <v>4.0952568346175203E-8</v>
      </c>
      <c r="H5400" s="3" t="str">
        <f>"GTPBP3"</f>
        <v>GTPBP3</v>
      </c>
      <c r="I5400" s="3" t="str">
        <f>"protein_coding"</f>
        <v>protein_coding</v>
      </c>
    </row>
    <row r="5401" spans="1:9" x14ac:dyDescent="0.2">
      <c r="A5401" s="3" t="str">
        <f>"ENSG00000269439.5"</f>
        <v>ENSG00000269439.5</v>
      </c>
      <c r="B5401" s="3">
        <v>122.081736733326</v>
      </c>
      <c r="C5401" s="3">
        <v>-1.2985496110631201</v>
      </c>
      <c r="D5401" s="3">
        <v>0.35403660093533601</v>
      </c>
      <c r="E5401" s="3">
        <v>-3.6678400132428499</v>
      </c>
      <c r="F5401" s="3">
        <v>2.44608153298038E-4</v>
      </c>
      <c r="G5401" s="3">
        <v>1.2697348738639001E-3</v>
      </c>
      <c r="H5401" s="3" t="str">
        <f>"AC010618.4"</f>
        <v>AC010618.4</v>
      </c>
      <c r="I5401" s="3" t="str">
        <f>"lincRNA"</f>
        <v>lincRNA</v>
      </c>
    </row>
    <row r="5402" spans="1:9" x14ac:dyDescent="0.2">
      <c r="A5402" s="3" t="str">
        <f>"ENSG00000167483.18"</f>
        <v>ENSG00000167483.18</v>
      </c>
      <c r="B5402" s="3">
        <v>55.396181745314202</v>
      </c>
      <c r="C5402" s="3">
        <v>4.3577512067465598</v>
      </c>
      <c r="D5402" s="3">
        <v>0.64457976109549397</v>
      </c>
      <c r="E5402" s="3">
        <v>6.76060818189569</v>
      </c>
      <c r="F5402" s="4">
        <v>1.3741367978915201E-11</v>
      </c>
      <c r="G5402" s="4">
        <v>2.3757046530552199E-10</v>
      </c>
      <c r="H5402" s="3" t="str">
        <f>"FAM129C"</f>
        <v>FAM129C</v>
      </c>
      <c r="I5402" s="3" t="str">
        <f t="shared" ref="I5402:I5421" si="243">"protein_coding"</f>
        <v>protein_coding</v>
      </c>
    </row>
    <row r="5403" spans="1:9" x14ac:dyDescent="0.2">
      <c r="A5403" s="3" t="str">
        <f>"ENSG00000130309.11"</f>
        <v>ENSG00000130309.11</v>
      </c>
      <c r="B5403" s="3">
        <v>4677.5713962063401</v>
      </c>
      <c r="C5403" s="3">
        <v>-1.67913727027832</v>
      </c>
      <c r="D5403" s="3">
        <v>0.20269517361358599</v>
      </c>
      <c r="E5403" s="3">
        <v>-8.2840515654279496</v>
      </c>
      <c r="F5403" s="4">
        <v>1.19054020620418E-16</v>
      </c>
      <c r="G5403" s="4">
        <v>3.4509201062176002E-15</v>
      </c>
      <c r="H5403" s="3" t="str">
        <f>"COLGALT1"</f>
        <v>COLGALT1</v>
      </c>
      <c r="I5403" s="3" t="str">
        <f t="shared" si="243"/>
        <v>protein_coding</v>
      </c>
    </row>
    <row r="5404" spans="1:9" x14ac:dyDescent="0.2">
      <c r="A5404" s="3" t="str">
        <f>"ENSG00000130477.15"</f>
        <v>ENSG00000130477.15</v>
      </c>
      <c r="B5404" s="3">
        <v>396.84519334550498</v>
      </c>
      <c r="C5404" s="3">
        <v>4.3256950963721703</v>
      </c>
      <c r="D5404" s="3">
        <v>0.28535790225365198</v>
      </c>
      <c r="E5404" s="3">
        <v>15.158841098176801</v>
      </c>
      <c r="F5404" s="4">
        <v>6.6227613085876498E-52</v>
      </c>
      <c r="G5404" s="4">
        <v>1.42086911318967E-49</v>
      </c>
      <c r="H5404" s="3" t="str">
        <f>"UNC13A"</f>
        <v>UNC13A</v>
      </c>
      <c r="I5404" s="3" t="str">
        <f t="shared" si="243"/>
        <v>protein_coding</v>
      </c>
    </row>
    <row r="5405" spans="1:9" x14ac:dyDescent="0.2">
      <c r="A5405" s="3" t="str">
        <f>"ENSG00000179913.10"</f>
        <v>ENSG00000179913.10</v>
      </c>
      <c r="B5405" s="3">
        <v>145.22616876348499</v>
      </c>
      <c r="C5405" s="3">
        <v>-1.7735710240192399</v>
      </c>
      <c r="D5405" s="3">
        <v>0.35789825886288901</v>
      </c>
      <c r="E5405" s="3">
        <v>-4.9555173295735298</v>
      </c>
      <c r="F5405" s="4">
        <v>7.2138092332867105E-7</v>
      </c>
      <c r="G5405" s="4">
        <v>6.3221183718032496E-6</v>
      </c>
      <c r="H5405" s="3" t="str">
        <f>"B3GNT3"</f>
        <v>B3GNT3</v>
      </c>
      <c r="I5405" s="3" t="str">
        <f t="shared" si="243"/>
        <v>protein_coding</v>
      </c>
    </row>
    <row r="5406" spans="1:9" x14ac:dyDescent="0.2">
      <c r="A5406" s="3" t="str">
        <f>"ENSG00000105641.4"</f>
        <v>ENSG00000105641.4</v>
      </c>
      <c r="B5406" s="3">
        <v>15.8562492314963</v>
      </c>
      <c r="C5406" s="3">
        <v>7.38359779442193</v>
      </c>
      <c r="D5406" s="3">
        <v>1.6538953816796</v>
      </c>
      <c r="E5406" s="3">
        <v>4.4643681070827901</v>
      </c>
      <c r="F5406" s="4">
        <v>8.0305398285019099E-6</v>
      </c>
      <c r="G5406" s="4">
        <v>5.8147254506295898E-5</v>
      </c>
      <c r="H5406" s="3" t="str">
        <f>"SLC5A5"</f>
        <v>SLC5A5</v>
      </c>
      <c r="I5406" s="3" t="str">
        <f t="shared" si="243"/>
        <v>protein_coding</v>
      </c>
    </row>
    <row r="5407" spans="1:9" x14ac:dyDescent="0.2">
      <c r="A5407" s="3" t="str">
        <f>"ENSG00000105642.15"</f>
        <v>ENSG00000105642.15</v>
      </c>
      <c r="B5407" s="3">
        <v>9.4727551832480508</v>
      </c>
      <c r="C5407" s="3">
        <v>3.0282514166949901</v>
      </c>
      <c r="D5407" s="3">
        <v>1.2311134724233299</v>
      </c>
      <c r="E5407" s="3">
        <v>2.4597662884268199</v>
      </c>
      <c r="F5407" s="3">
        <v>1.39027517502987E-2</v>
      </c>
      <c r="G5407" s="3">
        <v>4.19314010339151E-2</v>
      </c>
      <c r="H5407" s="3" t="str">
        <f>"KCNN1"</f>
        <v>KCNN1</v>
      </c>
      <c r="I5407" s="3" t="str">
        <f t="shared" si="243"/>
        <v>protein_coding</v>
      </c>
    </row>
    <row r="5408" spans="1:9" x14ac:dyDescent="0.2">
      <c r="A5408" s="3" t="str">
        <f>"ENSG00000285188.1"</f>
        <v>ENSG00000285188.1</v>
      </c>
      <c r="B5408" s="3">
        <v>191.123539509285</v>
      </c>
      <c r="C5408" s="3">
        <v>8.5285618233016898</v>
      </c>
      <c r="D5408" s="3">
        <v>1.05941438931814</v>
      </c>
      <c r="E5408" s="3">
        <v>8.0502605111780792</v>
      </c>
      <c r="F5408" s="4">
        <v>8.2617989971685501E-16</v>
      </c>
      <c r="G5408" s="4">
        <v>2.2222037243420701E-14</v>
      </c>
      <c r="H5408" s="3" t="str">
        <f>"AC008397.2"</f>
        <v>AC008397.2</v>
      </c>
      <c r="I5408" s="3" t="str">
        <f t="shared" si="243"/>
        <v>protein_coding</v>
      </c>
    </row>
    <row r="5409" spans="1:9" x14ac:dyDescent="0.2">
      <c r="A5409" s="3" t="str">
        <f>"ENSG00000105650.22"</f>
        <v>ENSG00000105650.22</v>
      </c>
      <c r="B5409" s="3">
        <v>996.30500724390902</v>
      </c>
      <c r="C5409" s="3">
        <v>8.2105813533680205</v>
      </c>
      <c r="D5409" s="3">
        <v>0.459918186356087</v>
      </c>
      <c r="E5409" s="3">
        <v>17.852265026569501</v>
      </c>
      <c r="F5409" s="4">
        <v>2.7754783051512801E-71</v>
      </c>
      <c r="G5409" s="4">
        <v>1.35810619555839E-68</v>
      </c>
      <c r="H5409" s="3" t="str">
        <f>"PDE4C"</f>
        <v>PDE4C</v>
      </c>
      <c r="I5409" s="3" t="str">
        <f t="shared" si="243"/>
        <v>protein_coding</v>
      </c>
    </row>
    <row r="5410" spans="1:9" x14ac:dyDescent="0.2">
      <c r="A5410" s="3" t="str">
        <f>"ENSG00000130518.17"</f>
        <v>ENSG00000130518.17</v>
      </c>
      <c r="B5410" s="3">
        <v>56.136584813361999</v>
      </c>
      <c r="C5410" s="3">
        <v>1.9000837413356499</v>
      </c>
      <c r="D5410" s="3">
        <v>0.48869021159818099</v>
      </c>
      <c r="E5410" s="3">
        <v>3.8881149985012602</v>
      </c>
      <c r="F5410" s="3">
        <v>1.0102576157353501E-4</v>
      </c>
      <c r="G5410" s="3">
        <v>5.7804471348049398E-4</v>
      </c>
      <c r="H5410" s="3" t="str">
        <f>"IQCN"</f>
        <v>IQCN</v>
      </c>
      <c r="I5410" s="3" t="str">
        <f t="shared" si="243"/>
        <v>protein_coding</v>
      </c>
    </row>
    <row r="5411" spans="1:9" x14ac:dyDescent="0.2">
      <c r="A5411" s="3" t="str">
        <f>"ENSG00000130511.16"</f>
        <v>ENSG00000130511.16</v>
      </c>
      <c r="B5411" s="3">
        <v>1374.5349634046599</v>
      </c>
      <c r="C5411" s="3">
        <v>-1.3654952049424101</v>
      </c>
      <c r="D5411" s="3">
        <v>0.20688916928586501</v>
      </c>
      <c r="E5411" s="3">
        <v>-6.6001289949386397</v>
      </c>
      <c r="F5411" s="4">
        <v>4.1080018472411597E-11</v>
      </c>
      <c r="G5411" s="4">
        <v>6.7550227116342702E-10</v>
      </c>
      <c r="H5411" s="3" t="str">
        <f>"SSBP4"</f>
        <v>SSBP4</v>
      </c>
      <c r="I5411" s="3" t="str">
        <f t="shared" si="243"/>
        <v>protein_coding</v>
      </c>
    </row>
    <row r="5412" spans="1:9" x14ac:dyDescent="0.2">
      <c r="A5412" s="3" t="str">
        <f>"ENSG00000105655.18"</f>
        <v>ENSG00000105655.18</v>
      </c>
      <c r="B5412" s="3">
        <v>3248.5010054937902</v>
      </c>
      <c r="C5412" s="3">
        <v>2.1251420052149101</v>
      </c>
      <c r="D5412" s="3">
        <v>0.234005382674565</v>
      </c>
      <c r="E5412" s="3">
        <v>9.0815945382349508</v>
      </c>
      <c r="F5412" s="4">
        <v>1.06995691225066E-19</v>
      </c>
      <c r="G5412" s="4">
        <v>4.0045488994634298E-18</v>
      </c>
      <c r="H5412" s="3" t="str">
        <f>"ISYNA1"</f>
        <v>ISYNA1</v>
      </c>
      <c r="I5412" s="3" t="str">
        <f t="shared" si="243"/>
        <v>protein_coding</v>
      </c>
    </row>
    <row r="5413" spans="1:9" x14ac:dyDescent="0.2">
      <c r="A5413" s="3" t="str">
        <f>"ENSG00000105656.13"</f>
        <v>ENSG00000105656.13</v>
      </c>
      <c r="B5413" s="3">
        <v>1044.00408371756</v>
      </c>
      <c r="C5413" s="3">
        <v>1.0289895543129799</v>
      </c>
      <c r="D5413" s="3">
        <v>0.222592988120038</v>
      </c>
      <c r="E5413" s="3">
        <v>4.6227401995164001</v>
      </c>
      <c r="F5413" s="4">
        <v>3.7870390147551199E-6</v>
      </c>
      <c r="G5413" s="4">
        <v>2.9264166771137999E-5</v>
      </c>
      <c r="H5413" s="3" t="str">
        <f>"ELL"</f>
        <v>ELL</v>
      </c>
      <c r="I5413" s="3" t="str">
        <f t="shared" si="243"/>
        <v>protein_coding</v>
      </c>
    </row>
    <row r="5414" spans="1:9" x14ac:dyDescent="0.2">
      <c r="A5414" s="3" t="str">
        <f>"ENSG00000006016.11"</f>
        <v>ENSG00000006016.11</v>
      </c>
      <c r="B5414" s="3">
        <v>8922.4502726934206</v>
      </c>
      <c r="C5414" s="3">
        <v>-1.1100927926670501</v>
      </c>
      <c r="D5414" s="3">
        <v>0.18161755531088</v>
      </c>
      <c r="E5414" s="3">
        <v>-6.1122549016083498</v>
      </c>
      <c r="F5414" s="4">
        <v>9.8233110129378409E-10</v>
      </c>
      <c r="G5414" s="4">
        <v>1.33760997086216E-8</v>
      </c>
      <c r="H5414" s="3" t="str">
        <f>"CRLF1"</f>
        <v>CRLF1</v>
      </c>
      <c r="I5414" s="3" t="str">
        <f t="shared" si="243"/>
        <v>protein_coding</v>
      </c>
    </row>
    <row r="5415" spans="1:9" x14ac:dyDescent="0.2">
      <c r="A5415" s="3" t="str">
        <f>"ENSG00000223802.7"</f>
        <v>ENSG00000223802.7</v>
      </c>
      <c r="B5415" s="3">
        <v>143.78126555900599</v>
      </c>
      <c r="C5415" s="3">
        <v>-1.95286111023808</v>
      </c>
      <c r="D5415" s="3">
        <v>0.33865915630750998</v>
      </c>
      <c r="E5415" s="3">
        <v>-5.7664500541802504</v>
      </c>
      <c r="F5415" s="4">
        <v>8.0958687406169699E-9</v>
      </c>
      <c r="G5415" s="4">
        <v>9.7475976834109896E-8</v>
      </c>
      <c r="H5415" s="3" t="str">
        <f>"CERS1"</f>
        <v>CERS1</v>
      </c>
      <c r="I5415" s="3" t="str">
        <f t="shared" si="243"/>
        <v>protein_coding</v>
      </c>
    </row>
    <row r="5416" spans="1:9" x14ac:dyDescent="0.2">
      <c r="A5416" s="3" t="str">
        <f>"ENSG00000105676.14"</f>
        <v>ENSG00000105676.14</v>
      </c>
      <c r="B5416" s="3">
        <v>1452.3011785661699</v>
      </c>
      <c r="C5416" s="3">
        <v>-1.58139264296008</v>
      </c>
      <c r="D5416" s="3">
        <v>0.20916891787489</v>
      </c>
      <c r="E5416" s="3">
        <v>-7.5603615442804797</v>
      </c>
      <c r="F5416" s="4">
        <v>4.0195053693931002E-14</v>
      </c>
      <c r="G5416" s="4">
        <v>9.2734515495219109E-13</v>
      </c>
      <c r="H5416" s="3" t="str">
        <f>"ARMC6"</f>
        <v>ARMC6</v>
      </c>
      <c r="I5416" s="3" t="str">
        <f t="shared" si="243"/>
        <v>protein_coding</v>
      </c>
    </row>
    <row r="5417" spans="1:9" x14ac:dyDescent="0.2">
      <c r="A5417" s="3" t="str">
        <f>"ENSG00000181035.13"</f>
        <v>ENSG00000181035.13</v>
      </c>
      <c r="B5417" s="3">
        <v>455.995285761307</v>
      </c>
      <c r="C5417" s="3">
        <v>-1.0345698366488201</v>
      </c>
      <c r="D5417" s="3">
        <v>0.26957874418113498</v>
      </c>
      <c r="E5417" s="3">
        <v>-3.8377277844787199</v>
      </c>
      <c r="F5417" s="3">
        <v>1.24178028237151E-4</v>
      </c>
      <c r="G5417" s="3">
        <v>6.9590266050548199E-4</v>
      </c>
      <c r="H5417" s="3" t="str">
        <f>"SLC25A42"</f>
        <v>SLC25A42</v>
      </c>
      <c r="I5417" s="3" t="str">
        <f t="shared" si="243"/>
        <v>protein_coding</v>
      </c>
    </row>
    <row r="5418" spans="1:9" x14ac:dyDescent="0.2">
      <c r="A5418" s="3" t="str">
        <f>"ENSG00000167491.17"</f>
        <v>ENSG00000167491.17</v>
      </c>
      <c r="B5418" s="3">
        <v>5154.57451195469</v>
      </c>
      <c r="C5418" s="3">
        <v>-1.0109928139809801</v>
      </c>
      <c r="D5418" s="3">
        <v>0.197354705449479</v>
      </c>
      <c r="E5418" s="3">
        <v>-5.1227195808603803</v>
      </c>
      <c r="F5418" s="4">
        <v>3.0116006512957699E-7</v>
      </c>
      <c r="G5418" s="4">
        <v>2.8169269806335702E-6</v>
      </c>
      <c r="H5418" s="3" t="str">
        <f>"GATAD2A"</f>
        <v>GATAD2A</v>
      </c>
      <c r="I5418" s="3" t="str">
        <f t="shared" si="243"/>
        <v>protein_coding</v>
      </c>
    </row>
    <row r="5419" spans="1:9" x14ac:dyDescent="0.2">
      <c r="A5419" s="3" t="str">
        <f>"ENSG00000250067.12"</f>
        <v>ENSG00000250067.12</v>
      </c>
      <c r="B5419" s="3">
        <v>171.35463180699699</v>
      </c>
      <c r="C5419" s="3">
        <v>1.4273630007332201</v>
      </c>
      <c r="D5419" s="3">
        <v>0.30477424670618802</v>
      </c>
      <c r="E5419" s="3">
        <v>4.6833451847040104</v>
      </c>
      <c r="F5419" s="4">
        <v>2.8223063553853E-6</v>
      </c>
      <c r="G5419" s="4">
        <v>2.22703102418718E-5</v>
      </c>
      <c r="H5419" s="3" t="str">
        <f>"YJEFN3"</f>
        <v>YJEFN3</v>
      </c>
      <c r="I5419" s="3" t="str">
        <f t="shared" si="243"/>
        <v>protein_coding</v>
      </c>
    </row>
    <row r="5420" spans="1:9" x14ac:dyDescent="0.2">
      <c r="A5420" s="3" t="str">
        <f>"ENSG00000064547.14"</f>
        <v>ENSG00000064547.14</v>
      </c>
      <c r="B5420" s="3">
        <v>69.322540319582401</v>
      </c>
      <c r="C5420" s="3">
        <v>1.9328359731309399</v>
      </c>
      <c r="D5420" s="3">
        <v>0.49574930789912097</v>
      </c>
      <c r="E5420" s="3">
        <v>3.8988172899764302</v>
      </c>
      <c r="F5420" s="4">
        <v>9.6663676959458101E-5</v>
      </c>
      <c r="G5420" s="3">
        <v>5.5553579542593498E-4</v>
      </c>
      <c r="H5420" s="3" t="str">
        <f>"LPAR2"</f>
        <v>LPAR2</v>
      </c>
      <c r="I5420" s="3" t="str">
        <f t="shared" si="243"/>
        <v>protein_coding</v>
      </c>
    </row>
    <row r="5421" spans="1:9" x14ac:dyDescent="0.2">
      <c r="A5421" s="3" t="str">
        <f>"ENSG00000089639.11"</f>
        <v>ENSG00000089639.11</v>
      </c>
      <c r="B5421" s="3">
        <v>455.798822828602</v>
      </c>
      <c r="C5421" s="3">
        <v>1.2782334784018801</v>
      </c>
      <c r="D5421" s="3">
        <v>0.250007301969706</v>
      </c>
      <c r="E5421" s="3">
        <v>5.1127845800150498</v>
      </c>
      <c r="F5421" s="4">
        <v>3.1744423706863702E-7</v>
      </c>
      <c r="G5421" s="4">
        <v>2.95807220499629E-6</v>
      </c>
      <c r="H5421" s="3" t="str">
        <f>"GMIP"</f>
        <v>GMIP</v>
      </c>
      <c r="I5421" s="3" t="str">
        <f t="shared" si="243"/>
        <v>protein_coding</v>
      </c>
    </row>
    <row r="5422" spans="1:9" x14ac:dyDescent="0.2">
      <c r="A5422" s="3" t="str">
        <f>"ENSG00000266904.5"</f>
        <v>ENSG00000266904.5</v>
      </c>
      <c r="B5422" s="3">
        <v>77.567149612037298</v>
      </c>
      <c r="C5422" s="3">
        <v>3.0294126177670599</v>
      </c>
      <c r="D5422" s="3">
        <v>0.53843602366260301</v>
      </c>
      <c r="E5422" s="3">
        <v>5.6263186054307504</v>
      </c>
      <c r="F5422" s="4">
        <v>1.8409618256362801E-8</v>
      </c>
      <c r="G5422" s="4">
        <v>2.11025186634883E-7</v>
      </c>
      <c r="H5422" s="3" t="str">
        <f>"LINC00663"</f>
        <v>LINC00663</v>
      </c>
      <c r="I5422" s="3" t="str">
        <f>"lincRNA"</f>
        <v>lincRNA</v>
      </c>
    </row>
    <row r="5423" spans="1:9" x14ac:dyDescent="0.2">
      <c r="A5423" s="3" t="str">
        <f>"ENSG00000267419.2"</f>
        <v>ENSG00000267419.2</v>
      </c>
      <c r="B5423" s="3">
        <v>334.34622726165901</v>
      </c>
      <c r="C5423" s="3">
        <v>2.04477139709071</v>
      </c>
      <c r="D5423" s="3">
        <v>0.27149828165509099</v>
      </c>
      <c r="E5423" s="3">
        <v>7.5314340283316001</v>
      </c>
      <c r="F5423" s="4">
        <v>5.01860661575681E-14</v>
      </c>
      <c r="G5423" s="4">
        <v>1.14620263587197E-12</v>
      </c>
      <c r="H5423" s="3" t="str">
        <f>"AC011477.1"</f>
        <v>AC011477.1</v>
      </c>
      <c r="I5423" s="3" t="str">
        <f>"transcribed_unprocessed_pseudogene"</f>
        <v>transcribed_unprocessed_pseudogene</v>
      </c>
    </row>
    <row r="5424" spans="1:9" x14ac:dyDescent="0.2">
      <c r="A5424" s="3" t="str">
        <f>"ENSG00000197124.12"</f>
        <v>ENSG00000197124.12</v>
      </c>
      <c r="B5424" s="3">
        <v>611.53885633304105</v>
      </c>
      <c r="C5424" s="3">
        <v>3.1557225159624802</v>
      </c>
      <c r="D5424" s="3">
        <v>0.25340252878202701</v>
      </c>
      <c r="E5424" s="3">
        <v>12.4533978849003</v>
      </c>
      <c r="F5424" s="4">
        <v>1.3401569640899801E-35</v>
      </c>
      <c r="G5424" s="4">
        <v>1.4664761767293E-33</v>
      </c>
      <c r="H5424" s="3" t="str">
        <f>"ZNF682"</f>
        <v>ZNF682</v>
      </c>
      <c r="I5424" s="3" t="str">
        <f t="shared" ref="I5424:I5441" si="244">"protein_coding"</f>
        <v>protein_coding</v>
      </c>
    </row>
    <row r="5425" spans="1:9" x14ac:dyDescent="0.2">
      <c r="A5425" s="3" t="str">
        <f>"ENSG00000213988.11"</f>
        <v>ENSG00000213988.11</v>
      </c>
      <c r="B5425" s="3">
        <v>343.69272205020502</v>
      </c>
      <c r="C5425" s="3">
        <v>1.1051475944539999</v>
      </c>
      <c r="D5425" s="3">
        <v>0.28251545852781001</v>
      </c>
      <c r="E5425" s="3">
        <v>3.91181282685534</v>
      </c>
      <c r="F5425" s="4">
        <v>9.16058985492182E-5</v>
      </c>
      <c r="G5425" s="3">
        <v>5.2970838662363105E-4</v>
      </c>
      <c r="H5425" s="3" t="str">
        <f>"ZNF90"</f>
        <v>ZNF90</v>
      </c>
      <c r="I5425" s="3" t="str">
        <f t="shared" si="244"/>
        <v>protein_coding</v>
      </c>
    </row>
    <row r="5426" spans="1:9" x14ac:dyDescent="0.2">
      <c r="A5426" s="3" t="str">
        <f>"ENSG00000256229.8"</f>
        <v>ENSG00000256229.8</v>
      </c>
      <c r="B5426" s="3">
        <v>216.04702077179701</v>
      </c>
      <c r="C5426" s="3">
        <v>1.2247464444988401</v>
      </c>
      <c r="D5426" s="3">
        <v>0.29121348516099399</v>
      </c>
      <c r="E5426" s="3">
        <v>4.20566528305429</v>
      </c>
      <c r="F5426" s="4">
        <v>2.6031526142483201E-5</v>
      </c>
      <c r="G5426" s="3">
        <v>1.68876426858152E-4</v>
      </c>
      <c r="H5426" s="3" t="str">
        <f>"ZNF486"</f>
        <v>ZNF486</v>
      </c>
      <c r="I5426" s="3" t="str">
        <f t="shared" si="244"/>
        <v>protein_coding</v>
      </c>
    </row>
    <row r="5427" spans="1:9" x14ac:dyDescent="0.2">
      <c r="A5427" s="3" t="str">
        <f>"ENSG00000105750.15"</f>
        <v>ENSG00000105750.15</v>
      </c>
      <c r="B5427" s="3">
        <v>140.715973462466</v>
      </c>
      <c r="C5427" s="3">
        <v>1.35259173674449</v>
      </c>
      <c r="D5427" s="3">
        <v>0.34891924211277903</v>
      </c>
      <c r="E5427" s="3">
        <v>3.8765180405479098</v>
      </c>
      <c r="F5427" s="3">
        <v>1.05961956722897E-4</v>
      </c>
      <c r="G5427" s="3">
        <v>6.0350029992240102E-4</v>
      </c>
      <c r="H5427" s="3" t="str">
        <f>"ZNF85"</f>
        <v>ZNF85</v>
      </c>
      <c r="I5427" s="3" t="str">
        <f t="shared" si="244"/>
        <v>protein_coding</v>
      </c>
    </row>
    <row r="5428" spans="1:9" x14ac:dyDescent="0.2">
      <c r="A5428" s="3" t="str">
        <f>"ENSG00000118620.13"</f>
        <v>ENSG00000118620.13</v>
      </c>
      <c r="B5428" s="3">
        <v>573.46411656767998</v>
      </c>
      <c r="C5428" s="3">
        <v>1.28449670537503</v>
      </c>
      <c r="D5428" s="3">
        <v>0.271962091453545</v>
      </c>
      <c r="E5428" s="3">
        <v>4.7230726110018804</v>
      </c>
      <c r="F5428" s="4">
        <v>2.3230786002492201E-6</v>
      </c>
      <c r="G5428" s="4">
        <v>1.8644159829452299E-5</v>
      </c>
      <c r="H5428" s="3" t="str">
        <f>"ZNF430"</f>
        <v>ZNF430</v>
      </c>
      <c r="I5428" s="3" t="str">
        <f t="shared" si="244"/>
        <v>protein_coding</v>
      </c>
    </row>
    <row r="5429" spans="1:9" x14ac:dyDescent="0.2">
      <c r="A5429" s="3" t="str">
        <f>"ENSG00000197013.10"</f>
        <v>ENSG00000197013.10</v>
      </c>
      <c r="B5429" s="3">
        <v>183.27899005612301</v>
      </c>
      <c r="C5429" s="3">
        <v>1.7428194044017</v>
      </c>
      <c r="D5429" s="3">
        <v>0.32469959780930502</v>
      </c>
      <c r="E5429" s="3">
        <v>5.3674824858429799</v>
      </c>
      <c r="F5429" s="4">
        <v>7.9843258744725706E-8</v>
      </c>
      <c r="G5429" s="4">
        <v>8.2404896629452302E-7</v>
      </c>
      <c r="H5429" s="3" t="str">
        <f>"ZNF429"</f>
        <v>ZNF429</v>
      </c>
      <c r="I5429" s="3" t="str">
        <f t="shared" si="244"/>
        <v>protein_coding</v>
      </c>
    </row>
    <row r="5430" spans="1:9" x14ac:dyDescent="0.2">
      <c r="A5430" s="3" t="str">
        <f>"ENSG00000166289.6"</f>
        <v>ENSG00000166289.6</v>
      </c>
      <c r="B5430" s="3">
        <v>383.83823305237701</v>
      </c>
      <c r="C5430" s="3">
        <v>2.2791810028192301</v>
      </c>
      <c r="D5430" s="3">
        <v>0.26590049668055399</v>
      </c>
      <c r="E5430" s="3">
        <v>8.5715560191577005</v>
      </c>
      <c r="F5430" s="4">
        <v>1.0209603186429499E-17</v>
      </c>
      <c r="G5430" s="4">
        <v>3.22715844571513E-16</v>
      </c>
      <c r="H5430" s="3" t="str">
        <f>"PLEKHF1"</f>
        <v>PLEKHF1</v>
      </c>
      <c r="I5430" s="3" t="str">
        <f t="shared" si="244"/>
        <v>protein_coding</v>
      </c>
    </row>
    <row r="5431" spans="1:9" x14ac:dyDescent="0.2">
      <c r="A5431" s="3" t="str">
        <f>"ENSG00000198597.9"</f>
        <v>ENSG00000198597.9</v>
      </c>
      <c r="B5431" s="3">
        <v>3.8560994410470699</v>
      </c>
      <c r="C5431" s="3">
        <v>5.3491168120911601</v>
      </c>
      <c r="D5431" s="3">
        <v>2.2210669996358101</v>
      </c>
      <c r="E5431" s="3">
        <v>2.4083545489479898</v>
      </c>
      <c r="F5431" s="3">
        <v>1.6024610240486702E-2</v>
      </c>
      <c r="G5431" s="3">
        <v>4.7034639149255701E-2</v>
      </c>
      <c r="H5431" s="3" t="str">
        <f>"ZNF536"</f>
        <v>ZNF536</v>
      </c>
      <c r="I5431" s="3" t="str">
        <f t="shared" si="244"/>
        <v>protein_coding</v>
      </c>
    </row>
    <row r="5432" spans="1:9" x14ac:dyDescent="0.2">
      <c r="A5432" s="3" t="str">
        <f>"ENSG00000105186.16"</f>
        <v>ENSG00000105186.16</v>
      </c>
      <c r="B5432" s="3">
        <v>1209.7649849842201</v>
      </c>
      <c r="C5432" s="3">
        <v>-1.88553781570584</v>
      </c>
      <c r="D5432" s="3">
        <v>0.20302299710806099</v>
      </c>
      <c r="E5432" s="3">
        <v>-9.2873114995058597</v>
      </c>
      <c r="F5432" s="4">
        <v>1.58234600583896E-20</v>
      </c>
      <c r="G5432" s="4">
        <v>6.4542188055530396E-19</v>
      </c>
      <c r="H5432" s="3" t="str">
        <f>"ANKRD27"</f>
        <v>ANKRD27</v>
      </c>
      <c r="I5432" s="3" t="str">
        <f t="shared" si="244"/>
        <v>protein_coding</v>
      </c>
    </row>
    <row r="5433" spans="1:9" x14ac:dyDescent="0.2">
      <c r="A5433" s="3" t="str">
        <f>"ENSG00000213965.3"</f>
        <v>ENSG00000213965.3</v>
      </c>
      <c r="B5433" s="3">
        <v>79.775582162159694</v>
      </c>
      <c r="C5433" s="3">
        <v>-2.05206975595318</v>
      </c>
      <c r="D5433" s="3">
        <v>0.455615308024026</v>
      </c>
      <c r="E5433" s="3">
        <v>-4.5039526104881604</v>
      </c>
      <c r="F5433" s="4">
        <v>6.6701086579688603E-6</v>
      </c>
      <c r="G5433" s="4">
        <v>4.9026288266435802E-5</v>
      </c>
      <c r="H5433" s="3" t="str">
        <f>"NUDT19"</f>
        <v>NUDT19</v>
      </c>
      <c r="I5433" s="3" t="str">
        <f t="shared" si="244"/>
        <v>protein_coding</v>
      </c>
    </row>
    <row r="5434" spans="1:9" x14ac:dyDescent="0.2">
      <c r="A5434" s="3" t="str">
        <f>"ENSG00000173809.18"</f>
        <v>ENSG00000173809.18</v>
      </c>
      <c r="B5434" s="3">
        <v>13.0720142013125</v>
      </c>
      <c r="C5434" s="3">
        <v>3.9834157780305701</v>
      </c>
      <c r="D5434" s="3">
        <v>1.20424441996249</v>
      </c>
      <c r="E5434" s="3">
        <v>3.30781335748655</v>
      </c>
      <c r="F5434" s="3">
        <v>9.4027452523264097E-4</v>
      </c>
      <c r="G5434" s="3">
        <v>4.1807539146562897E-3</v>
      </c>
      <c r="H5434" s="3" t="str">
        <f>"AC008736.1"</f>
        <v>AC008736.1</v>
      </c>
      <c r="I5434" s="3" t="str">
        <f t="shared" si="244"/>
        <v>protein_coding</v>
      </c>
    </row>
    <row r="5435" spans="1:9" x14ac:dyDescent="0.2">
      <c r="A5435" s="3" t="str">
        <f>"ENSG00000131941.8"</f>
        <v>ENSG00000131941.8</v>
      </c>
      <c r="B5435" s="3">
        <v>1692.32689357915</v>
      </c>
      <c r="C5435" s="3">
        <v>-1.2053227312489501</v>
      </c>
      <c r="D5435" s="3">
        <v>0.202638636239453</v>
      </c>
      <c r="E5435" s="3">
        <v>-5.9481387834877202</v>
      </c>
      <c r="F5435" s="4">
        <v>2.7120860402170398E-9</v>
      </c>
      <c r="G5435" s="4">
        <v>3.4725661812872999E-8</v>
      </c>
      <c r="H5435" s="3" t="str">
        <f>"RHPN2"</f>
        <v>RHPN2</v>
      </c>
      <c r="I5435" s="3" t="str">
        <f t="shared" si="244"/>
        <v>protein_coding</v>
      </c>
    </row>
    <row r="5436" spans="1:9" x14ac:dyDescent="0.2">
      <c r="A5436" s="3" t="str">
        <f>"ENSG00000130881.14"</f>
        <v>ENSG00000130881.14</v>
      </c>
      <c r="B5436" s="3">
        <v>1166.2150401901999</v>
      </c>
      <c r="C5436" s="3">
        <v>-1.6386625343019301</v>
      </c>
      <c r="D5436" s="3">
        <v>0.22478428914173701</v>
      </c>
      <c r="E5436" s="3">
        <v>-7.2899335650129702</v>
      </c>
      <c r="F5436" s="4">
        <v>3.1010790345093802E-13</v>
      </c>
      <c r="G5436" s="4">
        <v>6.55508925161186E-12</v>
      </c>
      <c r="H5436" s="3" t="str">
        <f>"LRP3"</f>
        <v>LRP3</v>
      </c>
      <c r="I5436" s="3" t="str">
        <f t="shared" si="244"/>
        <v>protein_coding</v>
      </c>
    </row>
    <row r="5437" spans="1:9" x14ac:dyDescent="0.2">
      <c r="A5437" s="3" t="str">
        <f>"ENSG00000153879.9"</f>
        <v>ENSG00000153879.9</v>
      </c>
      <c r="B5437" s="3">
        <v>2191.60369076816</v>
      </c>
      <c r="C5437" s="3">
        <v>-1.27276914067932</v>
      </c>
      <c r="D5437" s="3">
        <v>0.182885376034501</v>
      </c>
      <c r="E5437" s="3">
        <v>-6.9593817082411897</v>
      </c>
      <c r="F5437" s="4">
        <v>3.41769347917836E-12</v>
      </c>
      <c r="G5437" s="4">
        <v>6.3262156404329399E-11</v>
      </c>
      <c r="H5437" s="3" t="str">
        <f>"CEBPG"</f>
        <v>CEBPG</v>
      </c>
      <c r="I5437" s="3" t="str">
        <f t="shared" si="244"/>
        <v>protein_coding</v>
      </c>
    </row>
    <row r="5438" spans="1:9" x14ac:dyDescent="0.2">
      <c r="A5438" s="3" t="str">
        <f>"ENSG00000153885.14"</f>
        <v>ENSG00000153885.14</v>
      </c>
      <c r="B5438" s="3">
        <v>943.39371482143099</v>
      </c>
      <c r="C5438" s="3">
        <v>-2.5321873575332101</v>
      </c>
      <c r="D5438" s="3">
        <v>0.21942771815787701</v>
      </c>
      <c r="E5438" s="3">
        <v>-11.539961217257501</v>
      </c>
      <c r="F5438" s="4">
        <v>8.2962618345167795E-31</v>
      </c>
      <c r="G5438" s="4">
        <v>6.9127904038250298E-29</v>
      </c>
      <c r="H5438" s="3" t="str">
        <f>"KCTD15"</f>
        <v>KCTD15</v>
      </c>
      <c r="I5438" s="3" t="str">
        <f t="shared" si="244"/>
        <v>protein_coding</v>
      </c>
    </row>
    <row r="5439" spans="1:9" x14ac:dyDescent="0.2">
      <c r="A5439" s="3" t="str">
        <f>"ENSG00000105220.16"</f>
        <v>ENSG00000105220.16</v>
      </c>
      <c r="B5439" s="3">
        <v>9749.0802889413408</v>
      </c>
      <c r="C5439" s="3">
        <v>-2.08361982322779</v>
      </c>
      <c r="D5439" s="3">
        <v>0.189711779723061</v>
      </c>
      <c r="E5439" s="3">
        <v>-10.983080893919301</v>
      </c>
      <c r="F5439" s="4">
        <v>4.6093070268844204E-28</v>
      </c>
      <c r="G5439" s="4">
        <v>3.1241240935701401E-26</v>
      </c>
      <c r="H5439" s="3" t="str">
        <f>"GPI"</f>
        <v>GPI</v>
      </c>
      <c r="I5439" s="3" t="str">
        <f t="shared" si="244"/>
        <v>protein_coding</v>
      </c>
    </row>
    <row r="5440" spans="1:9" x14ac:dyDescent="0.2">
      <c r="A5440" s="3" t="str">
        <f>"ENSG00000168661.14"</f>
        <v>ENSG00000168661.14</v>
      </c>
      <c r="B5440" s="3">
        <v>295.36027015007897</v>
      </c>
      <c r="C5440" s="3">
        <v>2.0151154325837202</v>
      </c>
      <c r="D5440" s="3">
        <v>0.29657724263579799</v>
      </c>
      <c r="E5440" s="3">
        <v>6.7945720132623704</v>
      </c>
      <c r="F5440" s="4">
        <v>1.0863454233394901E-11</v>
      </c>
      <c r="G5440" s="4">
        <v>1.9133583548630399E-10</v>
      </c>
      <c r="H5440" s="3" t="str">
        <f>"ZNF30"</f>
        <v>ZNF30</v>
      </c>
      <c r="I5440" s="3" t="str">
        <f t="shared" si="244"/>
        <v>protein_coding</v>
      </c>
    </row>
    <row r="5441" spans="1:9" x14ac:dyDescent="0.2">
      <c r="A5441" s="3" t="str">
        <f>"ENSG00000105711.12"</f>
        <v>ENSG00000105711.12</v>
      </c>
      <c r="B5441" s="3">
        <v>184.728464621402</v>
      </c>
      <c r="C5441" s="3">
        <v>-1.2566633900572599</v>
      </c>
      <c r="D5441" s="3">
        <v>0.317741552859714</v>
      </c>
      <c r="E5441" s="3">
        <v>-3.9549859901770099</v>
      </c>
      <c r="F5441" s="4">
        <v>7.6539136766071497E-5</v>
      </c>
      <c r="G5441" s="3">
        <v>4.5061837931399098E-4</v>
      </c>
      <c r="H5441" s="3" t="str">
        <f>"SCN1B"</f>
        <v>SCN1B</v>
      </c>
      <c r="I5441" s="3" t="str">
        <f t="shared" si="244"/>
        <v>protein_coding</v>
      </c>
    </row>
    <row r="5442" spans="1:9" x14ac:dyDescent="0.2">
      <c r="A5442" s="3" t="str">
        <f>"ENSG00000179066.8"</f>
        <v>ENSG00000179066.8</v>
      </c>
      <c r="B5442" s="3">
        <v>9.1130441276284806</v>
      </c>
      <c r="C5442" s="3">
        <v>4.0469955655526499</v>
      </c>
      <c r="D5442" s="3">
        <v>1.4657016766375901</v>
      </c>
      <c r="E5442" s="3">
        <v>2.7611318388041401</v>
      </c>
      <c r="F5442" s="3">
        <v>5.7601418820520701E-3</v>
      </c>
      <c r="G5442" s="3">
        <v>2.0028916010754599E-2</v>
      </c>
      <c r="H5442" s="3" t="str">
        <f>"AC020907.1"</f>
        <v>AC020907.1</v>
      </c>
      <c r="I5442" s="3" t="str">
        <f>"lincRNA"</f>
        <v>lincRNA</v>
      </c>
    </row>
    <row r="5443" spans="1:9" x14ac:dyDescent="0.2">
      <c r="A5443" s="3" t="str">
        <f>"ENSG00000089327.14"</f>
        <v>ENSG00000089327.14</v>
      </c>
      <c r="B5443" s="3">
        <v>28.945368176596801</v>
      </c>
      <c r="C5443" s="3">
        <v>-1.91020391917414</v>
      </c>
      <c r="D5443" s="3">
        <v>0.67454725760715695</v>
      </c>
      <c r="E5443" s="3">
        <v>-2.83183112470173</v>
      </c>
      <c r="F5443" s="3">
        <v>4.6282285254621303E-3</v>
      </c>
      <c r="G5443" s="3">
        <v>1.6619048844658198E-2</v>
      </c>
      <c r="H5443" s="3" t="str">
        <f>"FXYD5"</f>
        <v>FXYD5</v>
      </c>
      <c r="I5443" s="3" t="str">
        <f t="shared" ref="I5443:I5460" si="245">"protein_coding"</f>
        <v>protein_coding</v>
      </c>
    </row>
    <row r="5444" spans="1:9" x14ac:dyDescent="0.2">
      <c r="A5444" s="3" t="str">
        <f>"ENSG00000105698.16"</f>
        <v>ENSG00000105698.16</v>
      </c>
      <c r="B5444" s="3">
        <v>2178.1660070284202</v>
      </c>
      <c r="C5444" s="3">
        <v>-1.1504780255369</v>
      </c>
      <c r="D5444" s="3">
        <v>0.211153219002262</v>
      </c>
      <c r="E5444" s="3">
        <v>-5.4485459941038403</v>
      </c>
      <c r="F5444" s="4">
        <v>5.0783259673509902E-8</v>
      </c>
      <c r="G5444" s="4">
        <v>5.4284590782552095E-7</v>
      </c>
      <c r="H5444" s="3" t="str">
        <f>"USF2"</f>
        <v>USF2</v>
      </c>
      <c r="I5444" s="3" t="str">
        <f t="shared" si="245"/>
        <v>protein_coding</v>
      </c>
    </row>
    <row r="5445" spans="1:9" x14ac:dyDescent="0.2">
      <c r="A5445" s="3" t="str">
        <f>"ENSG00000105697.9"</f>
        <v>ENSG00000105697.9</v>
      </c>
      <c r="B5445" s="3">
        <v>1312.6406896619801</v>
      </c>
      <c r="C5445" s="3">
        <v>-3.9171272652481099</v>
      </c>
      <c r="D5445" s="3">
        <v>0.22196942277105899</v>
      </c>
      <c r="E5445" s="3">
        <v>-17.647148045648901</v>
      </c>
      <c r="F5445" s="4">
        <v>1.07026160002706E-69</v>
      </c>
      <c r="G5445" s="4">
        <v>4.6287964787202199E-67</v>
      </c>
      <c r="H5445" s="3" t="str">
        <f>"HAMP"</f>
        <v>HAMP</v>
      </c>
      <c r="I5445" s="3" t="str">
        <f t="shared" si="245"/>
        <v>protein_coding</v>
      </c>
    </row>
    <row r="5446" spans="1:9" x14ac:dyDescent="0.2">
      <c r="A5446" s="3" t="str">
        <f>"ENSG00000105677.12"</f>
        <v>ENSG00000105677.12</v>
      </c>
      <c r="B5446" s="3">
        <v>1607.6845337223999</v>
      </c>
      <c r="C5446" s="3">
        <v>-1.59319189788605</v>
      </c>
      <c r="D5446" s="3">
        <v>0.23039543600413201</v>
      </c>
      <c r="E5446" s="3">
        <v>-6.9150323700747203</v>
      </c>
      <c r="F5446" s="4">
        <v>4.6775655218089299E-12</v>
      </c>
      <c r="G5446" s="4">
        <v>8.5250587138948506E-11</v>
      </c>
      <c r="H5446" s="3" t="str">
        <f>"TMEM147"</f>
        <v>TMEM147</v>
      </c>
      <c r="I5446" s="3" t="str">
        <f t="shared" si="245"/>
        <v>protein_coding</v>
      </c>
    </row>
    <row r="5447" spans="1:9" x14ac:dyDescent="0.2">
      <c r="A5447" s="3" t="str">
        <f>"ENSG00000126246.10"</f>
        <v>ENSG00000126246.10</v>
      </c>
      <c r="B5447" s="3">
        <v>26.1596947115281</v>
      </c>
      <c r="C5447" s="3">
        <v>-2.3302299672897502</v>
      </c>
      <c r="D5447" s="3">
        <v>0.73697787779168999</v>
      </c>
      <c r="E5447" s="3">
        <v>-3.1618723404183302</v>
      </c>
      <c r="F5447" s="3">
        <v>1.5675826960964501E-3</v>
      </c>
      <c r="G5447" s="3">
        <v>6.5268835147524202E-3</v>
      </c>
      <c r="H5447" s="3" t="str">
        <f>"IGFLR1"</f>
        <v>IGFLR1</v>
      </c>
      <c r="I5447" s="3" t="str">
        <f t="shared" si="245"/>
        <v>protein_coding</v>
      </c>
    </row>
    <row r="5448" spans="1:9" x14ac:dyDescent="0.2">
      <c r="A5448" s="3" t="str">
        <f>"ENSG00000004777.18"</f>
        <v>ENSG00000004777.18</v>
      </c>
      <c r="B5448" s="3">
        <v>123.77659029270301</v>
      </c>
      <c r="C5448" s="3">
        <v>-2.7606893151221099</v>
      </c>
      <c r="D5448" s="3">
        <v>0.36589244998046699</v>
      </c>
      <c r="E5448" s="3">
        <v>-7.54508412313369</v>
      </c>
      <c r="F5448" s="4">
        <v>4.5199564243714899E-14</v>
      </c>
      <c r="G5448" s="4">
        <v>1.0392848328679301E-12</v>
      </c>
      <c r="H5448" s="3" t="str">
        <f>"ARHGAP33"</f>
        <v>ARHGAP33</v>
      </c>
      <c r="I5448" s="3" t="str">
        <f t="shared" si="245"/>
        <v>protein_coding</v>
      </c>
    </row>
    <row r="5449" spans="1:9" x14ac:dyDescent="0.2">
      <c r="A5449" s="3" t="str">
        <f>"ENSG00000250799.9"</f>
        <v>ENSG00000250799.9</v>
      </c>
      <c r="B5449" s="3">
        <v>319.604544997895</v>
      </c>
      <c r="C5449" s="3">
        <v>-3.7401996660262502</v>
      </c>
      <c r="D5449" s="3">
        <v>0.34536670428740601</v>
      </c>
      <c r="E5449" s="3">
        <v>-10.829647501033399</v>
      </c>
      <c r="F5449" s="4">
        <v>2.4911244073270101E-27</v>
      </c>
      <c r="G5449" s="4">
        <v>1.6199443132801699E-25</v>
      </c>
      <c r="H5449" s="3" t="str">
        <f>"PRODH2"</f>
        <v>PRODH2</v>
      </c>
      <c r="I5449" s="3" t="str">
        <f t="shared" si="245"/>
        <v>protein_coding</v>
      </c>
    </row>
    <row r="5450" spans="1:9" x14ac:dyDescent="0.2">
      <c r="A5450" s="3" t="str">
        <f>"ENSG00000105290.12"</f>
        <v>ENSG00000105290.12</v>
      </c>
      <c r="B5450" s="3">
        <v>1645.68514485065</v>
      </c>
      <c r="C5450" s="3">
        <v>4.8597026183974297</v>
      </c>
      <c r="D5450" s="3">
        <v>0.22808660190451399</v>
      </c>
      <c r="E5450" s="3">
        <v>21.3063922993245</v>
      </c>
      <c r="F5450" s="4">
        <v>9.9039005374431904E-101</v>
      </c>
      <c r="G5450" s="4">
        <v>1.0794063117748601E-97</v>
      </c>
      <c r="H5450" s="3" t="str">
        <f>"APLP1"</f>
        <v>APLP1</v>
      </c>
      <c r="I5450" s="3" t="str">
        <f t="shared" si="245"/>
        <v>protein_coding</v>
      </c>
    </row>
    <row r="5451" spans="1:9" x14ac:dyDescent="0.2">
      <c r="A5451" s="3" t="str">
        <f>"ENSG00000167604.14"</f>
        <v>ENSG00000167604.14</v>
      </c>
      <c r="B5451" s="3">
        <v>91.676332734303401</v>
      </c>
      <c r="C5451" s="3">
        <v>-2.04166153527316</v>
      </c>
      <c r="D5451" s="3">
        <v>0.41471407190001602</v>
      </c>
      <c r="E5451" s="3">
        <v>-4.9230582553402797</v>
      </c>
      <c r="F5451" s="4">
        <v>8.5202075146960602E-7</v>
      </c>
      <c r="G5451" s="4">
        <v>7.4003855324489503E-6</v>
      </c>
      <c r="H5451" s="3" t="str">
        <f>"AD000864.1"</f>
        <v>AD000864.1</v>
      </c>
      <c r="I5451" s="3" t="str">
        <f t="shared" si="245"/>
        <v>protein_coding</v>
      </c>
    </row>
    <row r="5452" spans="1:9" x14ac:dyDescent="0.2">
      <c r="A5452" s="3" t="str">
        <f>"ENSG00000126243.8"</f>
        <v>ENSG00000126243.8</v>
      </c>
      <c r="B5452" s="3">
        <v>223.13619237577799</v>
      </c>
      <c r="C5452" s="3">
        <v>-1.4997286617594701</v>
      </c>
      <c r="D5452" s="3">
        <v>0.31340523861191399</v>
      </c>
      <c r="E5452" s="3">
        <v>-4.7852699221041703</v>
      </c>
      <c r="F5452" s="4">
        <v>1.7075769358689999E-6</v>
      </c>
      <c r="G5452" s="4">
        <v>1.4030865130163599E-5</v>
      </c>
      <c r="H5452" s="3" t="str">
        <f>"LRFN3"</f>
        <v>LRFN3</v>
      </c>
      <c r="I5452" s="3" t="str">
        <f t="shared" si="245"/>
        <v>protein_coding</v>
      </c>
    </row>
    <row r="5453" spans="1:9" x14ac:dyDescent="0.2">
      <c r="A5453" s="3" t="str">
        <f>"ENSG00000075702.18"</f>
        <v>ENSG00000075702.18</v>
      </c>
      <c r="B5453" s="3">
        <v>1375.5790155817199</v>
      </c>
      <c r="C5453" s="3">
        <v>-1.2111467563677201</v>
      </c>
      <c r="D5453" s="3">
        <v>0.23009773678430201</v>
      </c>
      <c r="E5453" s="3">
        <v>-5.2636187269545696</v>
      </c>
      <c r="F5453" s="4">
        <v>1.4124721997685001E-7</v>
      </c>
      <c r="G5453" s="4">
        <v>1.3959241939460399E-6</v>
      </c>
      <c r="H5453" s="3" t="str">
        <f>"WDR62"</f>
        <v>WDR62</v>
      </c>
      <c r="I5453" s="3" t="str">
        <f t="shared" si="245"/>
        <v>protein_coding</v>
      </c>
    </row>
    <row r="5454" spans="1:9" x14ac:dyDescent="0.2">
      <c r="A5454" s="3" t="str">
        <f>"ENSG00000105258.9"</f>
        <v>ENSG00000105258.9</v>
      </c>
      <c r="B5454" s="3">
        <v>718.40156846643004</v>
      </c>
      <c r="C5454" s="3">
        <v>-1.41249387116875</v>
      </c>
      <c r="D5454" s="3">
        <v>0.249571455821298</v>
      </c>
      <c r="E5454" s="3">
        <v>-5.6596771714956997</v>
      </c>
      <c r="F5454" s="4">
        <v>1.5165800931317501E-8</v>
      </c>
      <c r="G5454" s="4">
        <v>1.7598917290272901E-7</v>
      </c>
      <c r="H5454" s="3" t="str">
        <f>"POLR2I"</f>
        <v>POLR2I</v>
      </c>
      <c r="I5454" s="3" t="str">
        <f t="shared" si="245"/>
        <v>protein_coding</v>
      </c>
    </row>
    <row r="5455" spans="1:9" x14ac:dyDescent="0.2">
      <c r="A5455" s="3" t="str">
        <f>"ENSG00000105254.12"</f>
        <v>ENSG00000105254.12</v>
      </c>
      <c r="B5455" s="3">
        <v>1527.0995117478899</v>
      </c>
      <c r="C5455" s="3">
        <v>-1.69641631484439</v>
      </c>
      <c r="D5455" s="3">
        <v>0.23388426670777801</v>
      </c>
      <c r="E5455" s="3">
        <v>-7.2532297222195998</v>
      </c>
      <c r="F5455" s="4">
        <v>4.0694899816759201E-13</v>
      </c>
      <c r="G5455" s="4">
        <v>8.4842791797592808E-12</v>
      </c>
      <c r="H5455" s="3" t="str">
        <f>"TBCB"</f>
        <v>TBCB</v>
      </c>
      <c r="I5455" s="3" t="str">
        <f t="shared" si="245"/>
        <v>protein_coding</v>
      </c>
    </row>
    <row r="5456" spans="1:9" x14ac:dyDescent="0.2">
      <c r="A5456" s="3" t="str">
        <f>"ENSG00000267041.6"</f>
        <v>ENSG00000267041.6</v>
      </c>
      <c r="B5456" s="3">
        <v>465.82504173497603</v>
      </c>
      <c r="C5456" s="3">
        <v>1.14974146682352</v>
      </c>
      <c r="D5456" s="3">
        <v>0.24400856941056701</v>
      </c>
      <c r="E5456" s="3">
        <v>4.7118897078117499</v>
      </c>
      <c r="F5456" s="4">
        <v>2.4543020798099401E-6</v>
      </c>
      <c r="G5456" s="4">
        <v>1.9559043219824899E-5</v>
      </c>
      <c r="H5456" s="3" t="str">
        <f>"ZNF850"</f>
        <v>ZNF850</v>
      </c>
      <c r="I5456" s="3" t="str">
        <f t="shared" si="245"/>
        <v>protein_coding</v>
      </c>
    </row>
    <row r="5457" spans="1:9" x14ac:dyDescent="0.2">
      <c r="A5457" s="3" t="str">
        <f>"ENSG00000196967.10"</f>
        <v>ENSG00000196967.10</v>
      </c>
      <c r="B5457" s="3">
        <v>199.35588588013599</v>
      </c>
      <c r="C5457" s="3">
        <v>1.3535127803034499</v>
      </c>
      <c r="D5457" s="3">
        <v>0.32070571381748703</v>
      </c>
      <c r="E5457" s="3">
        <v>4.2204199114261201</v>
      </c>
      <c r="F5457" s="4">
        <v>2.43847678046081E-5</v>
      </c>
      <c r="G5457" s="3">
        <v>1.5910243495501799E-4</v>
      </c>
      <c r="H5457" s="3" t="str">
        <f>"ZNF585A"</f>
        <v>ZNF585A</v>
      </c>
      <c r="I5457" s="3" t="str">
        <f t="shared" si="245"/>
        <v>protein_coding</v>
      </c>
    </row>
    <row r="5458" spans="1:9" x14ac:dyDescent="0.2">
      <c r="A5458" s="3" t="str">
        <f>"ENSG00000188283.11"</f>
        <v>ENSG00000188283.11</v>
      </c>
      <c r="B5458" s="3">
        <v>346.63203766406201</v>
      </c>
      <c r="C5458" s="3">
        <v>1.69707053471015</v>
      </c>
      <c r="D5458" s="3">
        <v>0.27154353543433402</v>
      </c>
      <c r="E5458" s="3">
        <v>6.2497180497988403</v>
      </c>
      <c r="F5458" s="4">
        <v>4.1119430443262498E-10</v>
      </c>
      <c r="G5458" s="4">
        <v>5.8444502936232296E-9</v>
      </c>
      <c r="H5458" s="3" t="str">
        <f>"ZNF383"</f>
        <v>ZNF383</v>
      </c>
      <c r="I5458" s="3" t="str">
        <f t="shared" si="245"/>
        <v>protein_coding</v>
      </c>
    </row>
    <row r="5459" spans="1:9" x14ac:dyDescent="0.2">
      <c r="A5459" s="3" t="str">
        <f>"ENSG00000171817.17"</f>
        <v>ENSG00000171817.17</v>
      </c>
      <c r="B5459" s="3">
        <v>92.416681405056295</v>
      </c>
      <c r="C5459" s="3">
        <v>5.4479584992646704</v>
      </c>
      <c r="D5459" s="3">
        <v>0.64617442661465196</v>
      </c>
      <c r="E5459" s="3">
        <v>8.4310958076859492</v>
      </c>
      <c r="F5459" s="4">
        <v>3.42443237941713E-17</v>
      </c>
      <c r="G5459" s="4">
        <v>1.03788107944359E-15</v>
      </c>
      <c r="H5459" s="3" t="str">
        <f>"ZNF540"</f>
        <v>ZNF540</v>
      </c>
      <c r="I5459" s="3" t="str">
        <f t="shared" si="245"/>
        <v>protein_coding</v>
      </c>
    </row>
    <row r="5460" spans="1:9" x14ac:dyDescent="0.2">
      <c r="A5460" s="3" t="str">
        <f>"ENSG00000196381.11"</f>
        <v>ENSG00000196381.11</v>
      </c>
      <c r="B5460" s="3">
        <v>111.792679522976</v>
      </c>
      <c r="C5460" s="3">
        <v>-1.13821488277061</v>
      </c>
      <c r="D5460" s="3">
        <v>0.38048128440250301</v>
      </c>
      <c r="E5460" s="3">
        <v>-2.9915134579037899</v>
      </c>
      <c r="F5460" s="3">
        <v>2.7759830212737298E-3</v>
      </c>
      <c r="G5460" s="3">
        <v>1.06968193156053E-2</v>
      </c>
      <c r="H5460" s="3" t="str">
        <f>"ZNF781"</f>
        <v>ZNF781</v>
      </c>
      <c r="I5460" s="3" t="str">
        <f t="shared" si="245"/>
        <v>protein_coding</v>
      </c>
    </row>
    <row r="5461" spans="1:9" x14ac:dyDescent="0.2">
      <c r="A5461" s="3" t="str">
        <f>"ENSG00000267152.1"</f>
        <v>ENSG00000267152.1</v>
      </c>
      <c r="B5461" s="3">
        <v>49.706067722547303</v>
      </c>
      <c r="C5461" s="3">
        <v>-1.8406316082949199</v>
      </c>
      <c r="D5461" s="3">
        <v>0.53160026399831395</v>
      </c>
      <c r="E5461" s="3">
        <v>-3.4624354669258599</v>
      </c>
      <c r="F5461" s="3">
        <v>5.3531026961211995E-4</v>
      </c>
      <c r="G5461" s="3">
        <v>2.5445915764343002E-3</v>
      </c>
      <c r="H5461" s="3" t="str">
        <f>"AC093227.1"</f>
        <v>AC093227.1</v>
      </c>
      <c r="I5461" s="3" t="str">
        <f>"lincRNA"</f>
        <v>lincRNA</v>
      </c>
    </row>
    <row r="5462" spans="1:9" x14ac:dyDescent="0.2">
      <c r="A5462" s="3" t="str">
        <f>"ENSG00000171804.10"</f>
        <v>ENSG00000171804.10</v>
      </c>
      <c r="B5462" s="3">
        <v>8.2891706675916392</v>
      </c>
      <c r="C5462" s="3">
        <v>4.9588576854821804</v>
      </c>
      <c r="D5462" s="3">
        <v>1.8147687658732901</v>
      </c>
      <c r="E5462" s="3">
        <v>2.7325011201060199</v>
      </c>
      <c r="F5462" s="3">
        <v>6.2855457747905304E-3</v>
      </c>
      <c r="G5462" s="3">
        <v>2.15347191675078E-2</v>
      </c>
      <c r="H5462" s="3" t="str">
        <f>"WDR87"</f>
        <v>WDR87</v>
      </c>
      <c r="I5462" s="3" t="str">
        <f t="shared" ref="I5462:I5494" si="246">"protein_coding"</f>
        <v>protein_coding</v>
      </c>
    </row>
    <row r="5463" spans="1:9" x14ac:dyDescent="0.2">
      <c r="A5463" s="3" t="str">
        <f>"ENSG00000167641.11"</f>
        <v>ENSG00000167641.11</v>
      </c>
      <c r="B5463" s="3">
        <v>25.2896737817446</v>
      </c>
      <c r="C5463" s="3">
        <v>8.0572565527833007</v>
      </c>
      <c r="D5463" s="3">
        <v>1.5816496617943101</v>
      </c>
      <c r="E5463" s="3">
        <v>5.0942106506966303</v>
      </c>
      <c r="F5463" s="4">
        <v>3.5019722486203998E-7</v>
      </c>
      <c r="G5463" s="4">
        <v>3.2444147520625601E-6</v>
      </c>
      <c r="H5463" s="3" t="str">
        <f>"PPP1R14A"</f>
        <v>PPP1R14A</v>
      </c>
      <c r="I5463" s="3" t="str">
        <f t="shared" si="246"/>
        <v>protein_coding</v>
      </c>
    </row>
    <row r="5464" spans="1:9" x14ac:dyDescent="0.2">
      <c r="A5464" s="3" t="str">
        <f>"ENSG00000167645.17"</f>
        <v>ENSG00000167645.17</v>
      </c>
      <c r="B5464" s="3">
        <v>658.71082963332003</v>
      </c>
      <c r="C5464" s="3">
        <v>-1.1202457760145901</v>
      </c>
      <c r="D5464" s="3">
        <v>0.245237220105403</v>
      </c>
      <c r="E5464" s="3">
        <v>-4.5680087856692797</v>
      </c>
      <c r="F5464" s="4">
        <v>4.92379399020204E-6</v>
      </c>
      <c r="G5464" s="4">
        <v>3.7193960313566698E-5</v>
      </c>
      <c r="H5464" s="3" t="str">
        <f>"YIF1B"</f>
        <v>YIF1B</v>
      </c>
      <c r="I5464" s="3" t="str">
        <f t="shared" si="246"/>
        <v>protein_coding</v>
      </c>
    </row>
    <row r="5465" spans="1:9" x14ac:dyDescent="0.2">
      <c r="A5465" s="3" t="str">
        <f>"ENSG00000099337.5"</f>
        <v>ENSG00000099337.5</v>
      </c>
      <c r="B5465" s="3">
        <v>21.506640985018699</v>
      </c>
      <c r="C5465" s="3">
        <v>3.45342186895834</v>
      </c>
      <c r="D5465" s="3">
        <v>0.88238107869508797</v>
      </c>
      <c r="E5465" s="3">
        <v>3.9137533117385601</v>
      </c>
      <c r="F5465" s="4">
        <v>9.0872474784626402E-5</v>
      </c>
      <c r="G5465" s="3">
        <v>5.2591383187270899E-4</v>
      </c>
      <c r="H5465" s="3" t="str">
        <f>"KCNK6"</f>
        <v>KCNK6</v>
      </c>
      <c r="I5465" s="3" t="str">
        <f t="shared" si="246"/>
        <v>protein_coding</v>
      </c>
    </row>
    <row r="5466" spans="1:9" x14ac:dyDescent="0.2">
      <c r="A5466" s="3" t="str">
        <f>"ENSG00000099338.23"</f>
        <v>ENSG00000099338.23</v>
      </c>
      <c r="B5466" s="3">
        <v>124.65065292721</v>
      </c>
      <c r="C5466" s="3">
        <v>3.0785625217720698</v>
      </c>
      <c r="D5466" s="3">
        <v>0.389381746924154</v>
      </c>
      <c r="E5466" s="3">
        <v>7.9062836049470002</v>
      </c>
      <c r="F5466" s="4">
        <v>2.6518665161353701E-15</v>
      </c>
      <c r="G5466" s="4">
        <v>6.8165478269000302E-14</v>
      </c>
      <c r="H5466" s="3" t="str">
        <f>"CATSPERG"</f>
        <v>CATSPERG</v>
      </c>
      <c r="I5466" s="3" t="str">
        <f t="shared" si="246"/>
        <v>protein_coding</v>
      </c>
    </row>
    <row r="5467" spans="1:9" x14ac:dyDescent="0.2">
      <c r="A5467" s="3" t="str">
        <f>"ENSG00000130244.12"</f>
        <v>ENSG00000130244.12</v>
      </c>
      <c r="B5467" s="3">
        <v>378.86892569237</v>
      </c>
      <c r="C5467" s="3">
        <v>1.60782074347895</v>
      </c>
      <c r="D5467" s="3">
        <v>0.28000145041515201</v>
      </c>
      <c r="E5467" s="3">
        <v>5.7421871961558297</v>
      </c>
      <c r="F5467" s="4">
        <v>9.3461418427549396E-9</v>
      </c>
      <c r="G5467" s="4">
        <v>1.11202762790194E-7</v>
      </c>
      <c r="H5467" s="3" t="str">
        <f>"FAM98C"</f>
        <v>FAM98C</v>
      </c>
      <c r="I5467" s="3" t="str">
        <f t="shared" si="246"/>
        <v>protein_coding</v>
      </c>
    </row>
    <row r="5468" spans="1:9" x14ac:dyDescent="0.2">
      <c r="A5468" s="3" t="str">
        <f>"ENSG00000171777.16"</f>
        <v>ENSG00000171777.16</v>
      </c>
      <c r="B5468" s="3">
        <v>4.1460042795009997</v>
      </c>
      <c r="C5468" s="3">
        <v>5.4444419213328796</v>
      </c>
      <c r="D5468" s="3">
        <v>2.1466105364649501</v>
      </c>
      <c r="E5468" s="3">
        <v>2.5362970267996601</v>
      </c>
      <c r="F5468" s="3">
        <v>1.1203166618934E-2</v>
      </c>
      <c r="G5468" s="3">
        <v>3.5022106570226502E-2</v>
      </c>
      <c r="H5468" s="3" t="str">
        <f>"RASGRP4"</f>
        <v>RASGRP4</v>
      </c>
      <c r="I5468" s="3" t="str">
        <f t="shared" si="246"/>
        <v>protein_coding</v>
      </c>
    </row>
    <row r="5469" spans="1:9" x14ac:dyDescent="0.2">
      <c r="A5469" s="3" t="str">
        <f>"ENSG00000196218.12"</f>
        <v>ENSG00000196218.12</v>
      </c>
      <c r="B5469" s="3">
        <v>32.471207838321398</v>
      </c>
      <c r="C5469" s="3">
        <v>4.3248719321939504</v>
      </c>
      <c r="D5469" s="3">
        <v>0.82961091798652697</v>
      </c>
      <c r="E5469" s="3">
        <v>5.2131328535193999</v>
      </c>
      <c r="F5469" s="4">
        <v>1.8567781835844E-7</v>
      </c>
      <c r="G5469" s="4">
        <v>1.80684411314729E-6</v>
      </c>
      <c r="H5469" s="3" t="str">
        <f>"RYR1"</f>
        <v>RYR1</v>
      </c>
      <c r="I5469" s="3" t="str">
        <f t="shared" si="246"/>
        <v>protein_coding</v>
      </c>
    </row>
    <row r="5470" spans="1:9" x14ac:dyDescent="0.2">
      <c r="A5470" s="3" t="str">
        <f>"ENSG00000205076.4"</f>
        <v>ENSG00000205076.4</v>
      </c>
      <c r="B5470" s="3">
        <v>33.418364236665397</v>
      </c>
      <c r="C5470" s="3">
        <v>4.3606911950828904</v>
      </c>
      <c r="D5470" s="3">
        <v>0.81379382312964199</v>
      </c>
      <c r="E5470" s="3">
        <v>5.3584717297469604</v>
      </c>
      <c r="F5470" s="4">
        <v>8.3928866026111895E-8</v>
      </c>
      <c r="G5470" s="4">
        <v>8.6099767041169805E-7</v>
      </c>
      <c r="H5470" s="3" t="str">
        <f>"LGALS7"</f>
        <v>LGALS7</v>
      </c>
      <c r="I5470" s="3" t="str">
        <f t="shared" si="246"/>
        <v>protein_coding</v>
      </c>
    </row>
    <row r="5471" spans="1:9" x14ac:dyDescent="0.2">
      <c r="A5471" s="3" t="str">
        <f>"ENSG00000178934.4"</f>
        <v>ENSG00000178934.4</v>
      </c>
      <c r="B5471" s="3">
        <v>311.752603019128</v>
      </c>
      <c r="C5471" s="3">
        <v>4.3343943061608101</v>
      </c>
      <c r="D5471" s="3">
        <v>0.32382348889096402</v>
      </c>
      <c r="E5471" s="3">
        <v>13.385052211639501</v>
      </c>
      <c r="F5471" s="4">
        <v>7.3945388633771405E-41</v>
      </c>
      <c r="G5471" s="4">
        <v>1.06602645719808E-38</v>
      </c>
      <c r="H5471" s="3" t="str">
        <f>"LGALS7B"</f>
        <v>LGALS7B</v>
      </c>
      <c r="I5471" s="3" t="str">
        <f t="shared" si="246"/>
        <v>protein_coding</v>
      </c>
    </row>
    <row r="5472" spans="1:9" x14ac:dyDescent="0.2">
      <c r="A5472" s="3" t="str">
        <f>"ENSG00000187994.14"</f>
        <v>ENSG00000187994.14</v>
      </c>
      <c r="B5472" s="3">
        <v>977.75075991345102</v>
      </c>
      <c r="C5472" s="3">
        <v>3.15611310974572</v>
      </c>
      <c r="D5472" s="3">
        <v>0.219842050075467</v>
      </c>
      <c r="E5472" s="3">
        <v>14.356275829225099</v>
      </c>
      <c r="F5472" s="4">
        <v>9.7317966494413991E-47</v>
      </c>
      <c r="G5472" s="4">
        <v>1.6782421728312E-44</v>
      </c>
      <c r="H5472" s="3" t="str">
        <f>"RINL"</f>
        <v>RINL</v>
      </c>
      <c r="I5472" s="3" t="str">
        <f t="shared" si="246"/>
        <v>protein_coding</v>
      </c>
    </row>
    <row r="5473" spans="1:9" x14ac:dyDescent="0.2">
      <c r="A5473" s="3" t="str">
        <f>"ENSG00000104825.17"</f>
        <v>ENSG00000104825.17</v>
      </c>
      <c r="B5473" s="3">
        <v>496.89198495010402</v>
      </c>
      <c r="C5473" s="3">
        <v>-1.2819620990638201</v>
      </c>
      <c r="D5473" s="3">
        <v>0.22812558413001599</v>
      </c>
      <c r="E5473" s="3">
        <v>-5.6195454970679304</v>
      </c>
      <c r="F5473" s="4">
        <v>1.91460456883566E-8</v>
      </c>
      <c r="G5473" s="4">
        <v>2.19006006242927E-7</v>
      </c>
      <c r="H5473" s="3" t="str">
        <f>"NFKBIB"</f>
        <v>NFKBIB</v>
      </c>
      <c r="I5473" s="3" t="str">
        <f t="shared" si="246"/>
        <v>protein_coding</v>
      </c>
    </row>
    <row r="5474" spans="1:9" x14ac:dyDescent="0.2">
      <c r="A5474" s="3" t="str">
        <f>"ENSG00000104835.14"</f>
        <v>ENSG00000104835.14</v>
      </c>
      <c r="B5474" s="3">
        <v>196.65779960061599</v>
      </c>
      <c r="C5474" s="3">
        <v>-1.71665575360641</v>
      </c>
      <c r="D5474" s="3">
        <v>0.293135721997905</v>
      </c>
      <c r="E5474" s="3">
        <v>-5.8561806862238299</v>
      </c>
      <c r="F5474" s="4">
        <v>4.73632913791933E-9</v>
      </c>
      <c r="G5474" s="4">
        <v>5.89272876807708E-8</v>
      </c>
      <c r="H5474" s="3" t="str">
        <f>"SARS2"</f>
        <v>SARS2</v>
      </c>
      <c r="I5474" s="3" t="str">
        <f t="shared" si="246"/>
        <v>protein_coding</v>
      </c>
    </row>
    <row r="5475" spans="1:9" x14ac:dyDescent="0.2">
      <c r="A5475" s="3" t="str">
        <f>"ENSG00000269190.6"</f>
        <v>ENSG00000269190.6</v>
      </c>
      <c r="B5475" s="3">
        <v>704.008041954693</v>
      </c>
      <c r="C5475" s="3">
        <v>-1.9162771498328901</v>
      </c>
      <c r="D5475" s="3">
        <v>0.22222382709601099</v>
      </c>
      <c r="E5475" s="3">
        <v>-8.6231848981926404</v>
      </c>
      <c r="F5475" s="4">
        <v>6.5117187111986001E-18</v>
      </c>
      <c r="G5475" s="4">
        <v>2.08489776408964E-16</v>
      </c>
      <c r="H5475" s="3" t="str">
        <f>"FBXO17"</f>
        <v>FBXO17</v>
      </c>
      <c r="I5475" s="3" t="str">
        <f t="shared" si="246"/>
        <v>protein_coding</v>
      </c>
    </row>
    <row r="5476" spans="1:9" x14ac:dyDescent="0.2">
      <c r="A5476" s="3" t="str">
        <f>"ENSG00000130669.17"</f>
        <v>ENSG00000130669.17</v>
      </c>
      <c r="B5476" s="3">
        <v>1767.4562302746399</v>
      </c>
      <c r="C5476" s="3">
        <v>-1.6211827311135201</v>
      </c>
      <c r="D5476" s="3">
        <v>0.21515012481926701</v>
      </c>
      <c r="E5476" s="3">
        <v>-7.5351233585170503</v>
      </c>
      <c r="F5476" s="4">
        <v>4.8787339399308502E-14</v>
      </c>
      <c r="G5476" s="4">
        <v>1.11519180923906E-12</v>
      </c>
      <c r="H5476" s="3" t="str">
        <f>"PAK4"</f>
        <v>PAK4</v>
      </c>
      <c r="I5476" s="3" t="str">
        <f t="shared" si="246"/>
        <v>protein_coding</v>
      </c>
    </row>
    <row r="5477" spans="1:9" x14ac:dyDescent="0.2">
      <c r="A5477" s="3" t="str">
        <f>"ENSG00000128011.4"</f>
        <v>ENSG00000128011.4</v>
      </c>
      <c r="B5477" s="3">
        <v>48.818710992455998</v>
      </c>
      <c r="C5477" s="3">
        <v>-2.3307817175123899</v>
      </c>
      <c r="D5477" s="3">
        <v>0.53134470577568405</v>
      </c>
      <c r="E5477" s="3">
        <v>-4.38657182837607</v>
      </c>
      <c r="F5477" s="4">
        <v>1.15151150011644E-5</v>
      </c>
      <c r="G5477" s="4">
        <v>8.0739150395451695E-5</v>
      </c>
      <c r="H5477" s="3" t="str">
        <f>"LRFN1"</f>
        <v>LRFN1</v>
      </c>
      <c r="I5477" s="3" t="str">
        <f t="shared" si="246"/>
        <v>protein_coding</v>
      </c>
    </row>
    <row r="5478" spans="1:9" x14ac:dyDescent="0.2">
      <c r="A5478" s="3" t="str">
        <f>"ENSG00000105193.9"</f>
        <v>ENSG00000105193.9</v>
      </c>
      <c r="B5478" s="3">
        <v>19703.849223486701</v>
      </c>
      <c r="C5478" s="3">
        <v>-1.1330213426995599</v>
      </c>
      <c r="D5478" s="3">
        <v>0.228353462038213</v>
      </c>
      <c r="E5478" s="3">
        <v>-4.9616998690826204</v>
      </c>
      <c r="F5478" s="4">
        <v>6.9878914018480404E-7</v>
      </c>
      <c r="G5478" s="4">
        <v>6.1399250895244601E-6</v>
      </c>
      <c r="H5478" s="3" t="str">
        <f>"RPS16"</f>
        <v>RPS16</v>
      </c>
      <c r="I5478" s="3" t="str">
        <f t="shared" si="246"/>
        <v>protein_coding</v>
      </c>
    </row>
    <row r="5479" spans="1:9" x14ac:dyDescent="0.2">
      <c r="A5479" s="3" t="str">
        <f>"ENSG00000105197.11"</f>
        <v>ENSG00000105197.11</v>
      </c>
      <c r="B5479" s="3">
        <v>1922.6157011809501</v>
      </c>
      <c r="C5479" s="3">
        <v>-1.1674772694454401</v>
      </c>
      <c r="D5479" s="3">
        <v>0.24208265161438799</v>
      </c>
      <c r="E5479" s="3">
        <v>-4.8226391344436799</v>
      </c>
      <c r="F5479" s="4">
        <v>1.4167114191067401E-6</v>
      </c>
      <c r="G5479" s="4">
        <v>1.18263284425249E-5</v>
      </c>
      <c r="H5479" s="3" t="str">
        <f>"TIMM50"</f>
        <v>TIMM50</v>
      </c>
      <c r="I5479" s="3" t="str">
        <f t="shared" si="246"/>
        <v>protein_coding</v>
      </c>
    </row>
    <row r="5480" spans="1:9" x14ac:dyDescent="0.2">
      <c r="A5480" s="3" t="str">
        <f>"ENSG00000090932.10"</f>
        <v>ENSG00000090932.10</v>
      </c>
      <c r="B5480" s="3">
        <v>64.403685035462104</v>
      </c>
      <c r="C5480" s="3">
        <v>-1.2916176370391399</v>
      </c>
      <c r="D5480" s="3">
        <v>0.45057371589016798</v>
      </c>
      <c r="E5480" s="3">
        <v>-2.8666067093757999</v>
      </c>
      <c r="F5480" s="3">
        <v>4.1489825988246399E-3</v>
      </c>
      <c r="G5480" s="3">
        <v>1.51132792607186E-2</v>
      </c>
      <c r="H5480" s="3" t="str">
        <f>"DLL3"</f>
        <v>DLL3</v>
      </c>
      <c r="I5480" s="3" t="str">
        <f t="shared" si="246"/>
        <v>protein_coding</v>
      </c>
    </row>
    <row r="5481" spans="1:9" x14ac:dyDescent="0.2">
      <c r="A5481" s="3" t="str">
        <f>"ENSG00000176401.5"</f>
        <v>ENSG00000176401.5</v>
      </c>
      <c r="B5481" s="3">
        <v>183.93009900893901</v>
      </c>
      <c r="C5481" s="3">
        <v>1.21628266007898</v>
      </c>
      <c r="D5481" s="3">
        <v>0.30350620062674599</v>
      </c>
      <c r="E5481" s="3">
        <v>4.0074392469324698</v>
      </c>
      <c r="F5481" s="4">
        <v>6.1380643688663906E-5</v>
      </c>
      <c r="G5481" s="3">
        <v>3.6862208476637099E-4</v>
      </c>
      <c r="H5481" s="3" t="str">
        <f>"EID2B"</f>
        <v>EID2B</v>
      </c>
      <c r="I5481" s="3" t="str">
        <f t="shared" si="246"/>
        <v>protein_coding</v>
      </c>
    </row>
    <row r="5482" spans="1:9" x14ac:dyDescent="0.2">
      <c r="A5482" s="3" t="str">
        <f>"ENSG00000105202.9"</f>
        <v>ENSG00000105202.9</v>
      </c>
      <c r="B5482" s="3">
        <v>4090.39318526644</v>
      </c>
      <c r="C5482" s="3">
        <v>-1.62252902173961</v>
      </c>
      <c r="D5482" s="3">
        <v>0.220312468290247</v>
      </c>
      <c r="E5482" s="3">
        <v>-7.3646717969772002</v>
      </c>
      <c r="F5482" s="4">
        <v>1.77583223707015E-13</v>
      </c>
      <c r="G5482" s="4">
        <v>3.8647045497963497E-12</v>
      </c>
      <c r="H5482" s="3" t="str">
        <f>"FBL"</f>
        <v>FBL</v>
      </c>
      <c r="I5482" s="3" t="str">
        <f t="shared" si="246"/>
        <v>protein_coding</v>
      </c>
    </row>
    <row r="5483" spans="1:9" x14ac:dyDescent="0.2">
      <c r="A5483" s="3" t="str">
        <f>"ENSG00000197782.14"</f>
        <v>ENSG00000197782.14</v>
      </c>
      <c r="B5483" s="3">
        <v>1767.55618674427</v>
      </c>
      <c r="C5483" s="3">
        <v>1.0318192612842301</v>
      </c>
      <c r="D5483" s="3">
        <v>0.20342204180312501</v>
      </c>
      <c r="E5483" s="3">
        <v>5.07230805540161</v>
      </c>
      <c r="F5483" s="4">
        <v>3.9301948052871302E-7</v>
      </c>
      <c r="G5483" s="4">
        <v>3.6128885917563602E-6</v>
      </c>
      <c r="H5483" s="3" t="str">
        <f>"ZNF780A"</f>
        <v>ZNF780A</v>
      </c>
      <c r="I5483" s="3" t="str">
        <f t="shared" si="246"/>
        <v>protein_coding</v>
      </c>
    </row>
    <row r="5484" spans="1:9" x14ac:dyDescent="0.2">
      <c r="A5484" s="3" t="str">
        <f>"ENSG00000130758.8"</f>
        <v>ENSG00000130758.8</v>
      </c>
      <c r="B5484" s="3">
        <v>355.64079313330001</v>
      </c>
      <c r="C5484" s="3">
        <v>1.19578776451797</v>
      </c>
      <c r="D5484" s="3">
        <v>0.25567843411403501</v>
      </c>
      <c r="E5484" s="3">
        <v>4.6769207135578501</v>
      </c>
      <c r="F5484" s="4">
        <v>2.91214787802363E-6</v>
      </c>
      <c r="G5484" s="4">
        <v>2.29460072968508E-5</v>
      </c>
      <c r="H5484" s="3" t="str">
        <f>"MAP3K10"</f>
        <v>MAP3K10</v>
      </c>
      <c r="I5484" s="3" t="str">
        <f t="shared" si="246"/>
        <v>protein_coding</v>
      </c>
    </row>
    <row r="5485" spans="1:9" x14ac:dyDescent="0.2">
      <c r="A5485" s="3" t="str">
        <f>"ENSG00000105219.10"</f>
        <v>ENSG00000105219.10</v>
      </c>
      <c r="B5485" s="3">
        <v>87.727379030951496</v>
      </c>
      <c r="C5485" s="3">
        <v>1.1551587868701501</v>
      </c>
      <c r="D5485" s="3">
        <v>0.43421409890220503</v>
      </c>
      <c r="E5485" s="3">
        <v>2.6603438022640602</v>
      </c>
      <c r="F5485" s="3">
        <v>7.8060924905416201E-3</v>
      </c>
      <c r="G5485" s="3">
        <v>2.5831017985157599E-2</v>
      </c>
      <c r="H5485" s="3" t="str">
        <f>"CNTD2"</f>
        <v>CNTD2</v>
      </c>
      <c r="I5485" s="3" t="str">
        <f t="shared" si="246"/>
        <v>protein_coding</v>
      </c>
    </row>
    <row r="5486" spans="1:9" x14ac:dyDescent="0.2">
      <c r="A5486" s="3" t="str">
        <f>"ENSG00000197019.5"</f>
        <v>ENSG00000197019.5</v>
      </c>
      <c r="B5486" s="3">
        <v>350.37616001536401</v>
      </c>
      <c r="C5486" s="3">
        <v>2.0611552214581099</v>
      </c>
      <c r="D5486" s="3">
        <v>0.28114535873705698</v>
      </c>
      <c r="E5486" s="3">
        <v>7.3312795584358597</v>
      </c>
      <c r="F5486" s="4">
        <v>2.2796556155553301E-13</v>
      </c>
      <c r="G5486" s="4">
        <v>4.8831585343581797E-12</v>
      </c>
      <c r="H5486" s="3" t="str">
        <f>"SERTAD1"</f>
        <v>SERTAD1</v>
      </c>
      <c r="I5486" s="3" t="str">
        <f t="shared" si="246"/>
        <v>protein_coding</v>
      </c>
    </row>
    <row r="5487" spans="1:9" x14ac:dyDescent="0.2">
      <c r="A5487" s="3" t="str">
        <f>"ENSG00000090013.10"</f>
        <v>ENSG00000090013.10</v>
      </c>
      <c r="B5487" s="3">
        <v>951.78439784749503</v>
      </c>
      <c r="C5487" s="3">
        <v>1.7114538533988</v>
      </c>
      <c r="D5487" s="3">
        <v>0.26614795878251302</v>
      </c>
      <c r="E5487" s="3">
        <v>6.4304601892413702</v>
      </c>
      <c r="F5487" s="4">
        <v>1.2721819779452801E-10</v>
      </c>
      <c r="G5487" s="4">
        <v>1.9506551689969101E-9</v>
      </c>
      <c r="H5487" s="3" t="str">
        <f>"BLVRB"</f>
        <v>BLVRB</v>
      </c>
      <c r="I5487" s="3" t="str">
        <f t="shared" si="246"/>
        <v>protein_coding</v>
      </c>
    </row>
    <row r="5488" spans="1:9" x14ac:dyDescent="0.2">
      <c r="A5488" s="3" t="str">
        <f>"ENSG00000160460.16"</f>
        <v>ENSG00000160460.16</v>
      </c>
      <c r="B5488" s="3">
        <v>41.321481123363903</v>
      </c>
      <c r="C5488" s="3">
        <v>5.2880963812989501</v>
      </c>
      <c r="D5488" s="3">
        <v>0.88669375524531102</v>
      </c>
      <c r="E5488" s="3">
        <v>5.9638362738169501</v>
      </c>
      <c r="F5488" s="4">
        <v>2.46383623234236E-9</v>
      </c>
      <c r="G5488" s="4">
        <v>3.1666106520109597E-8</v>
      </c>
      <c r="H5488" s="3" t="str">
        <f>"SPTBN4"</f>
        <v>SPTBN4</v>
      </c>
      <c r="I5488" s="3" t="str">
        <f t="shared" si="246"/>
        <v>protein_coding</v>
      </c>
    </row>
    <row r="5489" spans="1:9" x14ac:dyDescent="0.2">
      <c r="A5489" s="3" t="str">
        <f>"ENSG00000090006.17"</f>
        <v>ENSG00000090006.17</v>
      </c>
      <c r="B5489" s="3">
        <v>205.67833572418499</v>
      </c>
      <c r="C5489" s="3">
        <v>1.51114895468653</v>
      </c>
      <c r="D5489" s="3">
        <v>0.297700811171421</v>
      </c>
      <c r="E5489" s="3">
        <v>5.07606596280446</v>
      </c>
      <c r="F5489" s="4">
        <v>3.85329570175249E-7</v>
      </c>
      <c r="G5489" s="4">
        <v>3.5493829609753202E-6</v>
      </c>
      <c r="H5489" s="3" t="str">
        <f>"LTBP4"</f>
        <v>LTBP4</v>
      </c>
      <c r="I5489" s="3" t="str">
        <f t="shared" si="246"/>
        <v>protein_coding</v>
      </c>
    </row>
    <row r="5490" spans="1:9" x14ac:dyDescent="0.2">
      <c r="A5490" s="3" t="str">
        <f>"ENSG00000086544.3"</f>
        <v>ENSG00000086544.3</v>
      </c>
      <c r="B5490" s="3">
        <v>997.44417391435002</v>
      </c>
      <c r="C5490" s="3">
        <v>1.01200492767036</v>
      </c>
      <c r="D5490" s="3">
        <v>0.21982552493183</v>
      </c>
      <c r="E5490" s="3">
        <v>4.60367342684245</v>
      </c>
      <c r="F5490" s="4">
        <v>4.1510321535186804E-6</v>
      </c>
      <c r="G5490" s="4">
        <v>3.1878008198118198E-5</v>
      </c>
      <c r="H5490" s="3" t="str">
        <f>"ITPKC"</f>
        <v>ITPKC</v>
      </c>
      <c r="I5490" s="3" t="str">
        <f t="shared" si="246"/>
        <v>protein_coding</v>
      </c>
    </row>
    <row r="5491" spans="1:9" x14ac:dyDescent="0.2">
      <c r="A5491" s="3" t="str">
        <f>"ENSG00000167601.12"</f>
        <v>ENSG00000167601.12</v>
      </c>
      <c r="B5491" s="3">
        <v>2201.3691122272498</v>
      </c>
      <c r="C5491" s="3">
        <v>3.1294603672110601</v>
      </c>
      <c r="D5491" s="3">
        <v>0.23523013747680399</v>
      </c>
      <c r="E5491" s="3">
        <v>13.303824079598</v>
      </c>
      <c r="F5491" s="4">
        <v>2.1992600512351599E-40</v>
      </c>
      <c r="G5491" s="4">
        <v>3.1048310163732798E-38</v>
      </c>
      <c r="H5491" s="3" t="str">
        <f>"AXL"</f>
        <v>AXL</v>
      </c>
      <c r="I5491" s="3" t="str">
        <f t="shared" si="246"/>
        <v>protein_coding</v>
      </c>
    </row>
    <row r="5492" spans="1:9" x14ac:dyDescent="0.2">
      <c r="A5492" s="3" t="str">
        <f>"ENSG00000142046.15"</f>
        <v>ENSG00000142046.15</v>
      </c>
      <c r="B5492" s="3">
        <v>174.125557315165</v>
      </c>
      <c r="C5492" s="3">
        <v>1.24507731550678</v>
      </c>
      <c r="D5492" s="3">
        <v>0.345025858183374</v>
      </c>
      <c r="E5492" s="3">
        <v>3.60864928229537</v>
      </c>
      <c r="F5492" s="3">
        <v>3.0779538215206398E-4</v>
      </c>
      <c r="G5492" s="3">
        <v>1.5594088466897101E-3</v>
      </c>
      <c r="H5492" s="3" t="str">
        <f>"TMEM91"</f>
        <v>TMEM91</v>
      </c>
      <c r="I5492" s="3" t="str">
        <f t="shared" si="246"/>
        <v>protein_coding</v>
      </c>
    </row>
    <row r="5493" spans="1:9" x14ac:dyDescent="0.2">
      <c r="A5493" s="3" t="str">
        <f>"ENSG00000077348.9"</f>
        <v>ENSG00000077348.9</v>
      </c>
      <c r="B5493" s="3">
        <v>456.20433082264702</v>
      </c>
      <c r="C5493" s="3">
        <v>-1.06620420311318</v>
      </c>
      <c r="D5493" s="3">
        <v>0.25279636567562502</v>
      </c>
      <c r="E5493" s="3">
        <v>-4.2176405513727904</v>
      </c>
      <c r="F5493" s="4">
        <v>2.4687194001534299E-5</v>
      </c>
      <c r="G5493" s="3">
        <v>1.6092152511000099E-4</v>
      </c>
      <c r="H5493" s="3" t="str">
        <f>"EXOSC5"</f>
        <v>EXOSC5</v>
      </c>
      <c r="I5493" s="3" t="str">
        <f t="shared" si="246"/>
        <v>protein_coding</v>
      </c>
    </row>
    <row r="5494" spans="1:9" x14ac:dyDescent="0.2">
      <c r="A5494" s="3" t="str">
        <f>"ENSG00000177191.2"</f>
        <v>ENSG00000177191.2</v>
      </c>
      <c r="B5494" s="3">
        <v>133.50400849252</v>
      </c>
      <c r="C5494" s="3">
        <v>2.2485664132396002</v>
      </c>
      <c r="D5494" s="3">
        <v>0.36215774632213399</v>
      </c>
      <c r="E5494" s="3">
        <v>6.2088038598504403</v>
      </c>
      <c r="F5494" s="4">
        <v>5.3389408427101204E-10</v>
      </c>
      <c r="G5494" s="4">
        <v>7.4830309229075394E-9</v>
      </c>
      <c r="H5494" s="3" t="str">
        <f>"B3GNT8"</f>
        <v>B3GNT8</v>
      </c>
      <c r="I5494" s="3" t="str">
        <f t="shared" si="246"/>
        <v>protein_coding</v>
      </c>
    </row>
    <row r="5495" spans="1:9" x14ac:dyDescent="0.2">
      <c r="A5495" s="3" t="str">
        <f>"ENSG00000267107.7"</f>
        <v>ENSG00000267107.7</v>
      </c>
      <c r="B5495" s="3">
        <v>13.0964782047327</v>
      </c>
      <c r="C5495" s="3">
        <v>5.6354736130518202</v>
      </c>
      <c r="D5495" s="3">
        <v>1.6910751560014301</v>
      </c>
      <c r="E5495" s="3">
        <v>3.3324796908358398</v>
      </c>
      <c r="F5495" s="3">
        <v>8.6075752564146197E-4</v>
      </c>
      <c r="G5495" s="3">
        <v>3.8716068786853802E-3</v>
      </c>
      <c r="H5495" s="3" t="str">
        <f>"PCAT19"</f>
        <v>PCAT19</v>
      </c>
      <c r="I5495" s="3" t="str">
        <f>"lincRNA"</f>
        <v>lincRNA</v>
      </c>
    </row>
    <row r="5496" spans="1:9" x14ac:dyDescent="0.2">
      <c r="A5496" s="3" t="str">
        <f>"ENSG00000076928.17"</f>
        <v>ENSG00000076928.17</v>
      </c>
      <c r="B5496" s="3">
        <v>2127.8432398918098</v>
      </c>
      <c r="C5496" s="3">
        <v>-1.11099335972769</v>
      </c>
      <c r="D5496" s="3">
        <v>0.212661937675097</v>
      </c>
      <c r="E5496" s="3">
        <v>-5.2242228763336804</v>
      </c>
      <c r="F5496" s="4">
        <v>1.7488802993669001E-7</v>
      </c>
      <c r="G5496" s="4">
        <v>1.70917293819404E-6</v>
      </c>
      <c r="H5496" s="3" t="str">
        <f>"ARHGEF1"</f>
        <v>ARHGEF1</v>
      </c>
      <c r="I5496" s="3" t="str">
        <f>"protein_coding"</f>
        <v>protein_coding</v>
      </c>
    </row>
    <row r="5497" spans="1:9" x14ac:dyDescent="0.2">
      <c r="A5497" s="3" t="str">
        <f>"ENSG00000268041.2"</f>
        <v>ENSG00000268041.2</v>
      </c>
      <c r="B5497" s="3">
        <v>5.2844144803744602</v>
      </c>
      <c r="C5497" s="3">
        <v>5.7963924222255896</v>
      </c>
      <c r="D5497" s="3">
        <v>2.0064078652252801</v>
      </c>
      <c r="E5497" s="3">
        <v>2.8889402412578602</v>
      </c>
      <c r="F5497" s="3">
        <v>3.8654252525083602E-3</v>
      </c>
      <c r="G5497" s="3">
        <v>1.42326002506886E-2</v>
      </c>
      <c r="H5497" s="3" t="str">
        <f>"AC010616.1"</f>
        <v>AC010616.1</v>
      </c>
      <c r="I5497" s="3" t="str">
        <f>"protein_coding"</f>
        <v>protein_coding</v>
      </c>
    </row>
    <row r="5498" spans="1:9" x14ac:dyDescent="0.2">
      <c r="A5498" s="3" t="str">
        <f>"ENSG00000028277.21"</f>
        <v>ENSG00000028277.21</v>
      </c>
      <c r="B5498" s="3">
        <v>47.686880132203697</v>
      </c>
      <c r="C5498" s="3">
        <v>2.2000299916136998</v>
      </c>
      <c r="D5498" s="3">
        <v>0.53122631262576603</v>
      </c>
      <c r="E5498" s="3">
        <v>4.1414175829116999</v>
      </c>
      <c r="F5498" s="4">
        <v>3.4516590034939499E-5</v>
      </c>
      <c r="G5498" s="3">
        <v>2.1830861854271101E-4</v>
      </c>
      <c r="H5498" s="3" t="str">
        <f>"POU2F2"</f>
        <v>POU2F2</v>
      </c>
      <c r="I5498" s="3" t="str">
        <f>"protein_coding"</f>
        <v>protein_coding</v>
      </c>
    </row>
    <row r="5499" spans="1:9" x14ac:dyDescent="0.2">
      <c r="A5499" s="3" t="str">
        <f>"ENSG00000279539.1"</f>
        <v>ENSG00000279539.1</v>
      </c>
      <c r="B5499" s="3">
        <v>83.9400757653044</v>
      </c>
      <c r="C5499" s="3">
        <v>1.5463185396357999</v>
      </c>
      <c r="D5499" s="3">
        <v>0.40359047241236801</v>
      </c>
      <c r="E5499" s="3">
        <v>3.83140496452515</v>
      </c>
      <c r="F5499" s="3">
        <v>1.27413589523173E-4</v>
      </c>
      <c r="G5499" s="3">
        <v>7.1286202746157802E-4</v>
      </c>
      <c r="H5499" s="3" t="str">
        <f>"AC006486.2"</f>
        <v>AC006486.2</v>
      </c>
      <c r="I5499" s="3" t="str">
        <f>"TEC"</f>
        <v>TEC</v>
      </c>
    </row>
    <row r="5500" spans="1:9" x14ac:dyDescent="0.2">
      <c r="A5500" s="3" t="str">
        <f>"ENSG00000105722.10"</f>
        <v>ENSG00000105722.10</v>
      </c>
      <c r="B5500" s="3">
        <v>3080.8608040849499</v>
      </c>
      <c r="C5500" s="3">
        <v>-1.4288837281191999</v>
      </c>
      <c r="D5500" s="3">
        <v>0.223369274879441</v>
      </c>
      <c r="E5500" s="3">
        <v>-6.3969573652885199</v>
      </c>
      <c r="F5500" s="4">
        <v>1.58503560494592E-10</v>
      </c>
      <c r="G5500" s="4">
        <v>2.4006373056120901E-9</v>
      </c>
      <c r="H5500" s="3" t="str">
        <f>"ERF"</f>
        <v>ERF</v>
      </c>
      <c r="I5500" s="3" t="str">
        <f t="shared" ref="I5500:I5508" si="247">"protein_coding"</f>
        <v>protein_coding</v>
      </c>
    </row>
    <row r="5501" spans="1:9" x14ac:dyDescent="0.2">
      <c r="A5501" s="3" t="str">
        <f>"ENSG00000079462.7"</f>
        <v>ENSG00000079462.7</v>
      </c>
      <c r="B5501" s="3">
        <v>672.65670461873299</v>
      </c>
      <c r="C5501" s="3">
        <v>-1.7244551902098</v>
      </c>
      <c r="D5501" s="3">
        <v>0.275743981041004</v>
      </c>
      <c r="E5501" s="3">
        <v>-6.25382713232593</v>
      </c>
      <c r="F5501" s="4">
        <v>4.0051432629413599E-10</v>
      </c>
      <c r="G5501" s="4">
        <v>5.7075386237114597E-9</v>
      </c>
      <c r="H5501" s="3" t="str">
        <f>"PAFAH1B3"</f>
        <v>PAFAH1B3</v>
      </c>
      <c r="I5501" s="3" t="str">
        <f t="shared" si="247"/>
        <v>protein_coding</v>
      </c>
    </row>
    <row r="5502" spans="1:9" x14ac:dyDescent="0.2">
      <c r="A5502" s="3" t="str">
        <f>"ENSG00000176531.10"</f>
        <v>ENSG00000176531.10</v>
      </c>
      <c r="B5502" s="3">
        <v>1404.27181957414</v>
      </c>
      <c r="C5502" s="3">
        <v>2.2588013095346899</v>
      </c>
      <c r="D5502" s="3">
        <v>0.221495430475809</v>
      </c>
      <c r="E5502" s="3">
        <v>10.1979589587127</v>
      </c>
      <c r="F5502" s="4">
        <v>2.0248288104256801E-24</v>
      </c>
      <c r="G5502" s="4">
        <v>1.0754485496621499E-22</v>
      </c>
      <c r="H5502" s="3" t="str">
        <f>"PHLDB3"</f>
        <v>PHLDB3</v>
      </c>
      <c r="I5502" s="3" t="str">
        <f t="shared" si="247"/>
        <v>protein_coding</v>
      </c>
    </row>
    <row r="5503" spans="1:9" x14ac:dyDescent="0.2">
      <c r="A5503" s="3" t="str">
        <f>"ENSG00000131116.12"</f>
        <v>ENSG00000131116.12</v>
      </c>
      <c r="B5503" s="3">
        <v>430.54316868868</v>
      </c>
      <c r="C5503" s="3">
        <v>-1.0554936105146</v>
      </c>
      <c r="D5503" s="3">
        <v>0.28297615426559197</v>
      </c>
      <c r="E5503" s="3">
        <v>-3.7299736907299699</v>
      </c>
      <c r="F5503" s="3">
        <v>1.9149976557983599E-4</v>
      </c>
      <c r="G5503" s="3">
        <v>1.02490554169196E-3</v>
      </c>
      <c r="H5503" s="3" t="str">
        <f>"ZNF428"</f>
        <v>ZNF428</v>
      </c>
      <c r="I5503" s="3" t="str">
        <f t="shared" si="247"/>
        <v>protein_coding</v>
      </c>
    </row>
    <row r="5504" spans="1:9" x14ac:dyDescent="0.2">
      <c r="A5504" s="3" t="str">
        <f>"ENSG00000011422.12"</f>
        <v>ENSG00000011422.12</v>
      </c>
      <c r="B5504" s="3">
        <v>64.924361968720305</v>
      </c>
      <c r="C5504" s="3">
        <v>-2.6533548741067299</v>
      </c>
      <c r="D5504" s="3">
        <v>0.487648471892137</v>
      </c>
      <c r="E5504" s="3">
        <v>-5.4411220931573396</v>
      </c>
      <c r="F5504" s="4">
        <v>5.2946010105901697E-8</v>
      </c>
      <c r="G5504" s="4">
        <v>5.6440529630496997E-7</v>
      </c>
      <c r="H5504" s="3" t="str">
        <f>"PLAUR"</f>
        <v>PLAUR</v>
      </c>
      <c r="I5504" s="3" t="str">
        <f t="shared" si="247"/>
        <v>protein_coding</v>
      </c>
    </row>
    <row r="5505" spans="1:9" x14ac:dyDescent="0.2">
      <c r="A5505" s="3" t="str">
        <f>"ENSG00000104783.13"</f>
        <v>ENSG00000104783.13</v>
      </c>
      <c r="B5505" s="3">
        <v>24.8553257976289</v>
      </c>
      <c r="C5505" s="3">
        <v>3.1135681002121198</v>
      </c>
      <c r="D5505" s="3">
        <v>0.78576982791317296</v>
      </c>
      <c r="E5505" s="3">
        <v>3.9624429312602398</v>
      </c>
      <c r="F5505" s="4">
        <v>7.4186743748557395E-5</v>
      </c>
      <c r="G5505" s="3">
        <v>4.3724123013561401E-4</v>
      </c>
      <c r="H5505" s="3" t="str">
        <f>"KCNN4"</f>
        <v>KCNN4</v>
      </c>
      <c r="I5505" s="3" t="str">
        <f t="shared" si="247"/>
        <v>protein_coding</v>
      </c>
    </row>
    <row r="5506" spans="1:9" x14ac:dyDescent="0.2">
      <c r="A5506" s="3" t="str">
        <f>"ENSG00000216588.9"</f>
        <v>ENSG00000216588.9</v>
      </c>
      <c r="B5506" s="3">
        <v>18.876749137109702</v>
      </c>
      <c r="C5506" s="3">
        <v>-2.6415590543588801</v>
      </c>
      <c r="D5506" s="3">
        <v>0.83681484005634799</v>
      </c>
      <c r="E5506" s="3">
        <v>-3.15668285015238</v>
      </c>
      <c r="F5506" s="3">
        <v>1.5957480325968301E-3</v>
      </c>
      <c r="G5506" s="3">
        <v>6.6330048274852501E-3</v>
      </c>
      <c r="H5506" s="3" t="str">
        <f>"IGSF23"</f>
        <v>IGSF23</v>
      </c>
      <c r="I5506" s="3" t="str">
        <f t="shared" si="247"/>
        <v>protein_coding</v>
      </c>
    </row>
    <row r="5507" spans="1:9" x14ac:dyDescent="0.2">
      <c r="A5507" s="3" t="str">
        <f>"ENSG00000073008.15"</f>
        <v>ENSG00000073008.15</v>
      </c>
      <c r="B5507" s="3">
        <v>2230.0969376569401</v>
      </c>
      <c r="C5507" s="3">
        <v>-1.64361695333636</v>
      </c>
      <c r="D5507" s="3">
        <v>0.19920667114378701</v>
      </c>
      <c r="E5507" s="3">
        <v>-8.2508128061133394</v>
      </c>
      <c r="F5507" s="4">
        <v>1.5732081483384601E-16</v>
      </c>
      <c r="G5507" s="4">
        <v>4.5026473127918202E-15</v>
      </c>
      <c r="H5507" s="3" t="str">
        <f>"PVR"</f>
        <v>PVR</v>
      </c>
      <c r="I5507" s="3" t="str">
        <f t="shared" si="247"/>
        <v>protein_coding</v>
      </c>
    </row>
    <row r="5508" spans="1:9" x14ac:dyDescent="0.2">
      <c r="A5508" s="3" t="str">
        <f>"ENSG00000142273.12"</f>
        <v>ENSG00000142273.12</v>
      </c>
      <c r="B5508" s="3">
        <v>143.81874099628101</v>
      </c>
      <c r="C5508" s="3">
        <v>-1.15095099292911</v>
      </c>
      <c r="D5508" s="3">
        <v>0.37036898944923902</v>
      </c>
      <c r="E5508" s="3">
        <v>-3.1075792674776599</v>
      </c>
      <c r="F5508" s="3">
        <v>1.8862639282870299E-3</v>
      </c>
      <c r="G5508" s="3">
        <v>7.6617521249309501E-3</v>
      </c>
      <c r="H5508" s="3" t="str">
        <f>"CBLC"</f>
        <v>CBLC</v>
      </c>
      <c r="I5508" s="3" t="str">
        <f t="shared" si="247"/>
        <v>protein_coding</v>
      </c>
    </row>
    <row r="5509" spans="1:9" x14ac:dyDescent="0.2">
      <c r="A5509" s="3" t="str">
        <f>"ENSG00000285128.1"</f>
        <v>ENSG00000285128.1</v>
      </c>
      <c r="B5509" s="3">
        <v>17.6653968219677</v>
      </c>
      <c r="C5509" s="3">
        <v>-2.02659447076732</v>
      </c>
      <c r="D5509" s="3">
        <v>0.84941675871161204</v>
      </c>
      <c r="E5509" s="3">
        <v>-2.3858658897209</v>
      </c>
      <c r="F5509" s="3">
        <v>1.70389633730131E-2</v>
      </c>
      <c r="G5509" s="3">
        <v>4.9574013350185603E-2</v>
      </c>
      <c r="H5509" s="3" t="str">
        <f>"AC092306.1"</f>
        <v>AC092306.1</v>
      </c>
      <c r="I5509" s="3" t="str">
        <f>"lincRNA"</f>
        <v>lincRNA</v>
      </c>
    </row>
    <row r="5510" spans="1:9" x14ac:dyDescent="0.2">
      <c r="A5510" s="3" t="str">
        <f>"ENSG00000187244.11"</f>
        <v>ENSG00000187244.11</v>
      </c>
      <c r="B5510" s="3">
        <v>4268.7102367370999</v>
      </c>
      <c r="C5510" s="3">
        <v>-1.25775632923887</v>
      </c>
      <c r="D5510" s="3">
        <v>0.24427195204281399</v>
      </c>
      <c r="E5510" s="3">
        <v>-5.1490001971999497</v>
      </c>
      <c r="F5510" s="4">
        <v>2.6187860642307103E-7</v>
      </c>
      <c r="G5510" s="4">
        <v>2.4784322296663398E-6</v>
      </c>
      <c r="H5510" s="3" t="str">
        <f>"BCAM"</f>
        <v>BCAM</v>
      </c>
      <c r="I5510" s="3" t="str">
        <f t="shared" ref="I5510:I5535" si="248">"protein_coding"</f>
        <v>protein_coding</v>
      </c>
    </row>
    <row r="5511" spans="1:9" x14ac:dyDescent="0.2">
      <c r="A5511" s="3" t="str">
        <f>"ENSG00000130204.13"</f>
        <v>ENSG00000130204.13</v>
      </c>
      <c r="B5511" s="3">
        <v>3172.6711064126498</v>
      </c>
      <c r="C5511" s="3">
        <v>-1.4357955327096501</v>
      </c>
      <c r="D5511" s="3">
        <v>0.207286281792633</v>
      </c>
      <c r="E5511" s="3">
        <v>-6.9266307461002201</v>
      </c>
      <c r="F5511" s="4">
        <v>4.3098156621697698E-12</v>
      </c>
      <c r="G5511" s="4">
        <v>7.8970778310114105E-11</v>
      </c>
      <c r="H5511" s="3" t="str">
        <f>"AC011481.1"</f>
        <v>AC011481.1</v>
      </c>
      <c r="I5511" s="3" t="str">
        <f t="shared" si="248"/>
        <v>protein_coding</v>
      </c>
    </row>
    <row r="5512" spans="1:9" x14ac:dyDescent="0.2">
      <c r="A5512" s="3" t="str">
        <f>"ENSG00000007255.10"</f>
        <v>ENSG00000007255.10</v>
      </c>
      <c r="B5512" s="3">
        <v>208.60061089543601</v>
      </c>
      <c r="C5512" s="3">
        <v>1.79049245412308</v>
      </c>
      <c r="D5512" s="3">
        <v>0.31165092139825001</v>
      </c>
      <c r="E5512" s="3">
        <v>5.7451858190884701</v>
      </c>
      <c r="F5512" s="4">
        <v>9.1820096295043005E-9</v>
      </c>
      <c r="G5512" s="4">
        <v>1.0948893495628199E-7</v>
      </c>
      <c r="H5512" s="3" t="str">
        <f>"TRAPPC6A"</f>
        <v>TRAPPC6A</v>
      </c>
      <c r="I5512" s="3" t="str">
        <f t="shared" si="248"/>
        <v>protein_coding</v>
      </c>
    </row>
    <row r="5513" spans="1:9" x14ac:dyDescent="0.2">
      <c r="A5513" s="3" t="str">
        <f>"ENSG00000283632.2"</f>
        <v>ENSG00000283632.2</v>
      </c>
      <c r="B5513" s="3">
        <v>18.864731750524101</v>
      </c>
      <c r="C5513" s="3">
        <v>2.0820042143087099</v>
      </c>
      <c r="D5513" s="3">
        <v>0.81999765527767998</v>
      </c>
      <c r="E5513" s="3">
        <v>2.5390367898109001</v>
      </c>
      <c r="F5513" s="3">
        <v>1.1115813356632901E-2</v>
      </c>
      <c r="G5513" s="3">
        <v>3.4800938357828097E-2</v>
      </c>
      <c r="H5513" s="3" t="str">
        <f>"EXOC3L2"</f>
        <v>EXOC3L2</v>
      </c>
      <c r="I5513" s="3" t="str">
        <f t="shared" si="248"/>
        <v>protein_coding</v>
      </c>
    </row>
    <row r="5514" spans="1:9" x14ac:dyDescent="0.2">
      <c r="A5514" s="3" t="str">
        <f>"ENSG00000104879.5"</f>
        <v>ENSG00000104879.5</v>
      </c>
      <c r="B5514" s="3">
        <v>89.074554319391694</v>
      </c>
      <c r="C5514" s="3">
        <v>2.0530438689653101</v>
      </c>
      <c r="D5514" s="3">
        <v>0.408038844393116</v>
      </c>
      <c r="E5514" s="3">
        <v>5.0314912346613596</v>
      </c>
      <c r="F5514" s="4">
        <v>4.8667936464912204E-7</v>
      </c>
      <c r="G5514" s="4">
        <v>4.4084284071125701E-6</v>
      </c>
      <c r="H5514" s="3" t="str">
        <f>"CKM"</f>
        <v>CKM</v>
      </c>
      <c r="I5514" s="3" t="str">
        <f t="shared" si="248"/>
        <v>protein_coding</v>
      </c>
    </row>
    <row r="5515" spans="1:9" x14ac:dyDescent="0.2">
      <c r="A5515" s="3" t="str">
        <f>"ENSG00000104892.17"</f>
        <v>ENSG00000104892.17</v>
      </c>
      <c r="B5515" s="3">
        <v>57.0441842076009</v>
      </c>
      <c r="C5515" s="3">
        <v>1.1740137691785699</v>
      </c>
      <c r="D5515" s="3">
        <v>0.47229024438942002</v>
      </c>
      <c r="E5515" s="3">
        <v>2.4857887350528398</v>
      </c>
      <c r="F5515" s="3">
        <v>1.29264678615342E-2</v>
      </c>
      <c r="G5515" s="3">
        <v>3.9440926072029397E-2</v>
      </c>
      <c r="H5515" s="3" t="str">
        <f>"KLC3"</f>
        <v>KLC3</v>
      </c>
      <c r="I5515" s="3" t="str">
        <f t="shared" si="248"/>
        <v>protein_coding</v>
      </c>
    </row>
    <row r="5516" spans="1:9" x14ac:dyDescent="0.2">
      <c r="A5516" s="3" t="str">
        <f>"ENSG00000104884.15"</f>
        <v>ENSG00000104884.15</v>
      </c>
      <c r="B5516" s="3">
        <v>2182.3563043782901</v>
      </c>
      <c r="C5516" s="3">
        <v>-1.7767232463222</v>
      </c>
      <c r="D5516" s="3">
        <v>0.21530633654652501</v>
      </c>
      <c r="E5516" s="3">
        <v>-8.2520713269313006</v>
      </c>
      <c r="F5516" s="4">
        <v>1.5567245878311199E-16</v>
      </c>
      <c r="G5516" s="4">
        <v>4.4601550835577796E-15</v>
      </c>
      <c r="H5516" s="3" t="str">
        <f>"ERCC2"</f>
        <v>ERCC2</v>
      </c>
      <c r="I5516" s="3" t="str">
        <f t="shared" si="248"/>
        <v>protein_coding</v>
      </c>
    </row>
    <row r="5517" spans="1:9" x14ac:dyDescent="0.2">
      <c r="A5517" s="3" t="str">
        <f>"ENSG00000117877.10"</f>
        <v>ENSG00000117877.10</v>
      </c>
      <c r="B5517" s="3">
        <v>973.35166106992403</v>
      </c>
      <c r="C5517" s="3">
        <v>-1.92666330369591</v>
      </c>
      <c r="D5517" s="3">
        <v>0.21874223872107099</v>
      </c>
      <c r="E5517" s="3">
        <v>-8.8079161800693093</v>
      </c>
      <c r="F5517" s="4">
        <v>1.2749371050309101E-18</v>
      </c>
      <c r="G5517" s="4">
        <v>4.3586212422556102E-17</v>
      </c>
      <c r="H5517" s="3" t="str">
        <f>"CD3EAP"</f>
        <v>CD3EAP</v>
      </c>
      <c r="I5517" s="3" t="str">
        <f t="shared" si="248"/>
        <v>protein_coding</v>
      </c>
    </row>
    <row r="5518" spans="1:9" x14ac:dyDescent="0.2">
      <c r="A5518" s="3" t="str">
        <f>"ENSG00000125740.14"</f>
        <v>ENSG00000125740.14</v>
      </c>
      <c r="B5518" s="3">
        <v>86.460201616510105</v>
      </c>
      <c r="C5518" s="3">
        <v>1.76833955363685</v>
      </c>
      <c r="D5518" s="3">
        <v>0.400605476200876</v>
      </c>
      <c r="E5518" s="3">
        <v>4.4141672011247097</v>
      </c>
      <c r="F5518" s="4">
        <v>1.0139956963039601E-5</v>
      </c>
      <c r="G5518" s="4">
        <v>7.19300722134702E-5</v>
      </c>
      <c r="H5518" s="3" t="str">
        <f>"FOSB"</f>
        <v>FOSB</v>
      </c>
      <c r="I5518" s="3" t="str">
        <f t="shared" si="248"/>
        <v>protein_coding</v>
      </c>
    </row>
    <row r="5519" spans="1:9" x14ac:dyDescent="0.2">
      <c r="A5519" s="3" t="str">
        <f>"ENSG00000125753.14"</f>
        <v>ENSG00000125753.14</v>
      </c>
      <c r="B5519" s="3">
        <v>3411.4746359718802</v>
      </c>
      <c r="C5519" s="3">
        <v>-1.19808656951031</v>
      </c>
      <c r="D5519" s="3">
        <v>0.20083183397749299</v>
      </c>
      <c r="E5519" s="3">
        <v>-5.9656208170890901</v>
      </c>
      <c r="F5519" s="4">
        <v>2.4370564215610098E-9</v>
      </c>
      <c r="G5519" s="4">
        <v>3.1373504707661697E-8</v>
      </c>
      <c r="H5519" s="3" t="str">
        <f>"VASP"</f>
        <v>VASP</v>
      </c>
      <c r="I5519" s="3" t="str">
        <f t="shared" si="248"/>
        <v>protein_coding</v>
      </c>
    </row>
    <row r="5520" spans="1:9" x14ac:dyDescent="0.2">
      <c r="A5520" s="3" t="str">
        <f>"ENSG00000125741.4"</f>
        <v>ENSG00000125741.4</v>
      </c>
      <c r="B5520" s="3">
        <v>1206.5162081145399</v>
      </c>
      <c r="C5520" s="3">
        <v>-1.04091630404756</v>
      </c>
      <c r="D5520" s="3">
        <v>0.226267144238011</v>
      </c>
      <c r="E5520" s="3">
        <v>-4.6003864482976802</v>
      </c>
      <c r="F5520" s="4">
        <v>4.2170785375458901E-6</v>
      </c>
      <c r="G5520" s="4">
        <v>3.2330539930363701E-5</v>
      </c>
      <c r="H5520" s="3" t="str">
        <f>"OPA3"</f>
        <v>OPA3</v>
      </c>
      <c r="I5520" s="3" t="str">
        <f t="shared" si="248"/>
        <v>protein_coding</v>
      </c>
    </row>
    <row r="5521" spans="1:9" x14ac:dyDescent="0.2">
      <c r="A5521" s="3" t="str">
        <f>"ENSG00000125746.16"</f>
        <v>ENSG00000125746.16</v>
      </c>
      <c r="B5521" s="3">
        <v>788.37805080904695</v>
      </c>
      <c r="C5521" s="3">
        <v>1.59500170463831</v>
      </c>
      <c r="D5521" s="3">
        <v>0.217167210647318</v>
      </c>
      <c r="E5521" s="3">
        <v>7.34457886107222</v>
      </c>
      <c r="F5521" s="4">
        <v>2.0640796556438899E-13</v>
      </c>
      <c r="G5521" s="4">
        <v>4.4493653779532499E-12</v>
      </c>
      <c r="H5521" s="3" t="str">
        <f>"EML2"</f>
        <v>EML2</v>
      </c>
      <c r="I5521" s="3" t="str">
        <f t="shared" si="248"/>
        <v>protein_coding</v>
      </c>
    </row>
    <row r="5522" spans="1:9" x14ac:dyDescent="0.2">
      <c r="A5522" s="3" t="str">
        <f>"ENSG00000010310.9"</f>
        <v>ENSG00000010310.9</v>
      </c>
      <c r="B5522" s="3">
        <v>42.169720497417401</v>
      </c>
      <c r="C5522" s="3">
        <v>1.5776202790563101</v>
      </c>
      <c r="D5522" s="3">
        <v>0.55601638020986099</v>
      </c>
      <c r="E5522" s="3">
        <v>2.83736295405697</v>
      </c>
      <c r="F5522" s="3">
        <v>4.5487869958221296E-3</v>
      </c>
      <c r="G5522" s="3">
        <v>1.6355344322402401E-2</v>
      </c>
      <c r="H5522" s="3" t="str">
        <f>"GIPR"</f>
        <v>GIPR</v>
      </c>
      <c r="I5522" s="3" t="str">
        <f t="shared" si="248"/>
        <v>protein_coding</v>
      </c>
    </row>
    <row r="5523" spans="1:9" x14ac:dyDescent="0.2">
      <c r="A5523" s="3" t="str">
        <f>"ENSG00000125743.10"</f>
        <v>ENSG00000125743.10</v>
      </c>
      <c r="B5523" s="3">
        <v>2553.7454521674099</v>
      </c>
      <c r="C5523" s="3">
        <v>-1.1642206971073099</v>
      </c>
      <c r="D5523" s="3">
        <v>0.23823595732514499</v>
      </c>
      <c r="E5523" s="3">
        <v>-4.8868387046980297</v>
      </c>
      <c r="F5523" s="4">
        <v>1.0246797335844599E-6</v>
      </c>
      <c r="G5523" s="4">
        <v>8.7832226761714392E-6</v>
      </c>
      <c r="H5523" s="3" t="str">
        <f>"SNRPD2"</f>
        <v>SNRPD2</v>
      </c>
      <c r="I5523" s="3" t="str">
        <f t="shared" si="248"/>
        <v>protein_coding</v>
      </c>
    </row>
    <row r="5524" spans="1:9" x14ac:dyDescent="0.2">
      <c r="A5524" s="3" t="str">
        <f>"ENSG00000011478.12"</f>
        <v>ENSG00000011478.12</v>
      </c>
      <c r="B5524" s="3">
        <v>580.17483040349396</v>
      </c>
      <c r="C5524" s="3">
        <v>-2.64157303896756</v>
      </c>
      <c r="D5524" s="3">
        <v>0.260337447274886</v>
      </c>
      <c r="E5524" s="3">
        <v>-10.146727129034</v>
      </c>
      <c r="F5524" s="4">
        <v>3.4266268472725803E-24</v>
      </c>
      <c r="G5524" s="4">
        <v>1.79204033987785E-22</v>
      </c>
      <c r="H5524" s="3" t="str">
        <f>"QPCTL"</f>
        <v>QPCTL</v>
      </c>
      <c r="I5524" s="3" t="str">
        <f t="shared" si="248"/>
        <v>protein_coding</v>
      </c>
    </row>
    <row r="5525" spans="1:9" x14ac:dyDescent="0.2">
      <c r="A5525" s="3" t="str">
        <f>"ENSG00000177045.9"</f>
        <v>ENSG00000177045.9</v>
      </c>
      <c r="B5525" s="3">
        <v>436.693325405248</v>
      </c>
      <c r="C5525" s="3">
        <v>-1.1068135346675601</v>
      </c>
      <c r="D5525" s="3">
        <v>0.27277331818123202</v>
      </c>
      <c r="E5525" s="3">
        <v>-4.0576312303837296</v>
      </c>
      <c r="F5525" s="4">
        <v>4.9572962641992499E-5</v>
      </c>
      <c r="G5525" s="3">
        <v>3.0400956855871502E-4</v>
      </c>
      <c r="H5525" s="3" t="str">
        <f>"SIX5"</f>
        <v>SIX5</v>
      </c>
      <c r="I5525" s="3" t="str">
        <f t="shared" si="248"/>
        <v>protein_coding</v>
      </c>
    </row>
    <row r="5526" spans="1:9" x14ac:dyDescent="0.2">
      <c r="A5526" s="3" t="str">
        <f>"ENSG00000104967.7"</f>
        <v>ENSG00000104967.7</v>
      </c>
      <c r="B5526" s="3">
        <v>4.1097661746942604</v>
      </c>
      <c r="C5526" s="3">
        <v>5.4328693169605202</v>
      </c>
      <c r="D5526" s="3">
        <v>2.14332345947187</v>
      </c>
      <c r="E5526" s="3">
        <v>2.5347874082893802</v>
      </c>
      <c r="F5526" s="3">
        <v>1.1251558606317101E-2</v>
      </c>
      <c r="G5526" s="3">
        <v>3.5125024902190903E-2</v>
      </c>
      <c r="H5526" s="3" t="str">
        <f>"NOVA2"</f>
        <v>NOVA2</v>
      </c>
      <c r="I5526" s="3" t="str">
        <f t="shared" si="248"/>
        <v>protein_coding</v>
      </c>
    </row>
    <row r="5527" spans="1:9" x14ac:dyDescent="0.2">
      <c r="A5527" s="3" t="str">
        <f>"ENSG00000204869.8"</f>
        <v>ENSG00000204869.8</v>
      </c>
      <c r="B5527" s="3">
        <v>11.763381203964601</v>
      </c>
      <c r="C5527" s="3">
        <v>-2.5649138589290801</v>
      </c>
      <c r="D5527" s="3">
        <v>1.06908413197267</v>
      </c>
      <c r="E5527" s="3">
        <v>-2.3991693284197599</v>
      </c>
      <c r="F5527" s="3">
        <v>1.6432313955465301E-2</v>
      </c>
      <c r="G5527" s="3">
        <v>4.8055303031508498E-2</v>
      </c>
      <c r="H5527" s="3" t="str">
        <f>"IGFL4"</f>
        <v>IGFL4</v>
      </c>
      <c r="I5527" s="3" t="str">
        <f t="shared" si="248"/>
        <v>protein_coding</v>
      </c>
    </row>
    <row r="5528" spans="1:9" x14ac:dyDescent="0.2">
      <c r="A5528" s="3" t="str">
        <f>"ENSG00000204866.8"</f>
        <v>ENSG00000204866.8</v>
      </c>
      <c r="B5528" s="3">
        <v>7.1566041485014402</v>
      </c>
      <c r="C5528" s="3">
        <v>6.2348322409822696</v>
      </c>
      <c r="D5528" s="3">
        <v>1.8739066662439701</v>
      </c>
      <c r="E5528" s="3">
        <v>3.32718398055506</v>
      </c>
      <c r="F5528" s="3">
        <v>8.7728431726666605E-4</v>
      </c>
      <c r="G5528" s="3">
        <v>3.9334154669351399E-3</v>
      </c>
      <c r="H5528" s="3" t="str">
        <f>"IGFL2"</f>
        <v>IGFL2</v>
      </c>
      <c r="I5528" s="3" t="str">
        <f t="shared" si="248"/>
        <v>protein_coding</v>
      </c>
    </row>
    <row r="5529" spans="1:9" x14ac:dyDescent="0.2">
      <c r="A5529" s="3" t="str">
        <f>"ENSG00000197380.11"</f>
        <v>ENSG00000197380.11</v>
      </c>
      <c r="B5529" s="3">
        <v>12.583133156692501</v>
      </c>
      <c r="C5529" s="3">
        <v>5.5769336496655901</v>
      </c>
      <c r="D5529" s="3">
        <v>1.6976783773374999</v>
      </c>
      <c r="E5529" s="3">
        <v>3.2850354484764099</v>
      </c>
      <c r="F5529" s="3">
        <v>1.0196954162702001E-3</v>
      </c>
      <c r="G5529" s="3">
        <v>4.4971901921518698E-3</v>
      </c>
      <c r="H5529" s="3" t="str">
        <f>"DACT3"</f>
        <v>DACT3</v>
      </c>
      <c r="I5529" s="3" t="str">
        <f t="shared" si="248"/>
        <v>protein_coding</v>
      </c>
    </row>
    <row r="5530" spans="1:9" x14ac:dyDescent="0.2">
      <c r="A5530" s="3" t="str">
        <f>"ENSG00000105281.12"</f>
        <v>ENSG00000105281.12</v>
      </c>
      <c r="B5530" s="3">
        <v>8768.3505251851202</v>
      </c>
      <c r="C5530" s="3">
        <v>-1.7141716439516199</v>
      </c>
      <c r="D5530" s="3">
        <v>0.18241819109547999</v>
      </c>
      <c r="E5530" s="3">
        <v>-9.3969336811064004</v>
      </c>
      <c r="F5530" s="4">
        <v>5.61763168412434E-21</v>
      </c>
      <c r="G5530" s="4">
        <v>2.3804605054018002E-19</v>
      </c>
      <c r="H5530" s="3" t="str">
        <f>"SLC1A5"</f>
        <v>SLC1A5</v>
      </c>
      <c r="I5530" s="3" t="str">
        <f t="shared" si="248"/>
        <v>protein_coding</v>
      </c>
    </row>
    <row r="5531" spans="1:9" x14ac:dyDescent="0.2">
      <c r="A5531" s="3" t="str">
        <f>"ENSG00000130748.7"</f>
        <v>ENSG00000130748.7</v>
      </c>
      <c r="B5531" s="3">
        <v>147.18233782143</v>
      </c>
      <c r="C5531" s="3">
        <v>-1.66343024717031</v>
      </c>
      <c r="D5531" s="3">
        <v>0.46156294267354803</v>
      </c>
      <c r="E5531" s="3">
        <v>-3.60390770874085</v>
      </c>
      <c r="F5531" s="3">
        <v>3.1346840401955101E-4</v>
      </c>
      <c r="G5531" s="3">
        <v>1.5843208318161201E-3</v>
      </c>
      <c r="H5531" s="3" t="str">
        <f>"TMEM160"</f>
        <v>TMEM160</v>
      </c>
      <c r="I5531" s="3" t="str">
        <f t="shared" si="248"/>
        <v>protein_coding</v>
      </c>
    </row>
    <row r="5532" spans="1:9" x14ac:dyDescent="0.2">
      <c r="A5532" s="3" t="str">
        <f>"ENSG00000105327.17"</f>
        <v>ENSG00000105327.17</v>
      </c>
      <c r="B5532" s="3">
        <v>1186.24160954424</v>
      </c>
      <c r="C5532" s="3">
        <v>1.2152739425736501</v>
      </c>
      <c r="D5532" s="3">
        <v>0.230521372847526</v>
      </c>
      <c r="E5532" s="3">
        <v>5.2718493194879104</v>
      </c>
      <c r="F5532" s="4">
        <v>1.35055940009728E-7</v>
      </c>
      <c r="G5532" s="4">
        <v>1.34154910588591E-6</v>
      </c>
      <c r="H5532" s="3" t="str">
        <f>"BBC3"</f>
        <v>BBC3</v>
      </c>
      <c r="I5532" s="3" t="str">
        <f t="shared" si="248"/>
        <v>protein_coding</v>
      </c>
    </row>
    <row r="5533" spans="1:9" x14ac:dyDescent="0.2">
      <c r="A5533" s="3" t="str">
        <f>"ENSG00000105321.14"</f>
        <v>ENSG00000105321.14</v>
      </c>
      <c r="B5533" s="3">
        <v>585.08781724440098</v>
      </c>
      <c r="C5533" s="3">
        <v>-1.2827853218974701</v>
      </c>
      <c r="D5533" s="3">
        <v>0.233805252418986</v>
      </c>
      <c r="E5533" s="3">
        <v>-5.4865547656674396</v>
      </c>
      <c r="F5533" s="4">
        <v>4.0984839917949799E-8</v>
      </c>
      <c r="G5533" s="4">
        <v>4.45083273513105E-7</v>
      </c>
      <c r="H5533" s="3" t="str">
        <f>"CCDC9"</f>
        <v>CCDC9</v>
      </c>
      <c r="I5533" s="3" t="str">
        <f t="shared" si="248"/>
        <v>protein_coding</v>
      </c>
    </row>
    <row r="5534" spans="1:9" x14ac:dyDescent="0.2">
      <c r="A5534" s="3" t="str">
        <f>"ENSG00000118162.14"</f>
        <v>ENSG00000118162.14</v>
      </c>
      <c r="B5534" s="3">
        <v>270.62632544590201</v>
      </c>
      <c r="C5534" s="3">
        <v>-1.2138276720997301</v>
      </c>
      <c r="D5534" s="3">
        <v>0.28278533435832498</v>
      </c>
      <c r="E5534" s="3">
        <v>-4.2923996566301996</v>
      </c>
      <c r="F5534" s="4">
        <v>1.7675243522054799E-5</v>
      </c>
      <c r="G5534" s="3">
        <v>1.18795599468531E-4</v>
      </c>
      <c r="H5534" s="3" t="str">
        <f>"KPTN"</f>
        <v>KPTN</v>
      </c>
      <c r="I5534" s="3" t="str">
        <f t="shared" si="248"/>
        <v>protein_coding</v>
      </c>
    </row>
    <row r="5535" spans="1:9" x14ac:dyDescent="0.2">
      <c r="A5535" s="3" t="str">
        <f>"ENSG00000105499.14"</f>
        <v>ENSG00000105499.14</v>
      </c>
      <c r="B5535" s="3">
        <v>56.051164064932301</v>
      </c>
      <c r="C5535" s="3">
        <v>1.9358966402740401</v>
      </c>
      <c r="D5535" s="3">
        <v>0.50205951946378902</v>
      </c>
      <c r="E5535" s="3">
        <v>3.85591063454314</v>
      </c>
      <c r="F5535" s="3">
        <v>1.1529960637374001E-4</v>
      </c>
      <c r="G5535" s="3">
        <v>6.51372252719323E-4</v>
      </c>
      <c r="H5535" s="3" t="str">
        <f>"PLA2G4C"</f>
        <v>PLA2G4C</v>
      </c>
      <c r="I5535" s="3" t="str">
        <f t="shared" si="248"/>
        <v>protein_coding</v>
      </c>
    </row>
    <row r="5536" spans="1:9" x14ac:dyDescent="0.2">
      <c r="A5536" s="3" t="str">
        <f>"ENSG00000268001.1"</f>
        <v>ENSG00000268001.1</v>
      </c>
      <c r="B5536" s="3">
        <v>30.716689360333898</v>
      </c>
      <c r="C5536" s="3">
        <v>-1.9930603361932799</v>
      </c>
      <c r="D5536" s="3">
        <v>0.63751139869273898</v>
      </c>
      <c r="E5536" s="3">
        <v>-3.1263132553867901</v>
      </c>
      <c r="F5536" s="3">
        <v>1.77012887339917E-3</v>
      </c>
      <c r="G5536" s="3">
        <v>7.2647539408807202E-3</v>
      </c>
      <c r="H5536" s="3" t="str">
        <f>"CARD8-AS1"</f>
        <v>CARD8-AS1</v>
      </c>
      <c r="I5536" s="3" t="str">
        <f>"antisense"</f>
        <v>antisense</v>
      </c>
    </row>
    <row r="5537" spans="1:9" x14ac:dyDescent="0.2">
      <c r="A5537" s="3" t="str">
        <f>"ENSG00000142227.11"</f>
        <v>ENSG00000142227.11</v>
      </c>
      <c r="B5537" s="3">
        <v>154.95859355753399</v>
      </c>
      <c r="C5537" s="3">
        <v>-2.3170814928013899</v>
      </c>
      <c r="D5537" s="3">
        <v>0.35630691662747499</v>
      </c>
      <c r="E5537" s="3">
        <v>-6.5030494348330103</v>
      </c>
      <c r="F5537" s="4">
        <v>7.8707916118544395E-11</v>
      </c>
      <c r="G5537" s="4">
        <v>1.2439203165451399E-9</v>
      </c>
      <c r="H5537" s="3" t="str">
        <f>"EMP3"</f>
        <v>EMP3</v>
      </c>
      <c r="I5537" s="3" t="str">
        <f t="shared" ref="I5537:I5547" si="249">"protein_coding"</f>
        <v>protein_coding</v>
      </c>
    </row>
    <row r="5538" spans="1:9" x14ac:dyDescent="0.2">
      <c r="A5538" s="3" t="str">
        <f>"ENSG00000161558.11"</f>
        <v>ENSG00000161558.11</v>
      </c>
      <c r="B5538" s="3">
        <v>298.88885877466498</v>
      </c>
      <c r="C5538" s="3">
        <v>-1.29317110010687</v>
      </c>
      <c r="D5538" s="3">
        <v>0.29994366884961998</v>
      </c>
      <c r="E5538" s="3">
        <v>-4.3113798836514601</v>
      </c>
      <c r="F5538" s="4">
        <v>1.6223889919319598E-5</v>
      </c>
      <c r="G5538" s="3">
        <v>1.10100206383985E-4</v>
      </c>
      <c r="H5538" s="3" t="str">
        <f>"TMEM143"</f>
        <v>TMEM143</v>
      </c>
      <c r="I5538" s="3" t="str">
        <f t="shared" si="249"/>
        <v>protein_coding</v>
      </c>
    </row>
    <row r="5539" spans="1:9" x14ac:dyDescent="0.2">
      <c r="A5539" s="3" t="str">
        <f>"ENSG00000105438.9"</f>
        <v>ENSG00000105438.9</v>
      </c>
      <c r="B5539" s="3">
        <v>8020.7994930798004</v>
      </c>
      <c r="C5539" s="3">
        <v>-1.2727097908668401</v>
      </c>
      <c r="D5539" s="3">
        <v>0.208858239193222</v>
      </c>
      <c r="E5539" s="3">
        <v>-6.0936537422850696</v>
      </c>
      <c r="F5539" s="4">
        <v>1.1036224088416199E-9</v>
      </c>
      <c r="G5539" s="4">
        <v>1.4915872903624901E-8</v>
      </c>
      <c r="H5539" s="3" t="str">
        <f>"KDELR1"</f>
        <v>KDELR1</v>
      </c>
      <c r="I5539" s="3" t="str">
        <f t="shared" si="249"/>
        <v>protein_coding</v>
      </c>
    </row>
    <row r="5540" spans="1:9" x14ac:dyDescent="0.2">
      <c r="A5540" s="3" t="str">
        <f>"ENSG00000105464.3"</f>
        <v>ENSG00000105464.3</v>
      </c>
      <c r="B5540" s="3">
        <v>109.775486495113</v>
      </c>
      <c r="C5540" s="3">
        <v>1.1023977653464001</v>
      </c>
      <c r="D5540" s="3">
        <v>0.35903241597721502</v>
      </c>
      <c r="E5540" s="3">
        <v>3.0704686158933399</v>
      </c>
      <c r="F5540" s="3">
        <v>2.1372314642765298E-3</v>
      </c>
      <c r="G5540" s="3">
        <v>8.5395907159653995E-3</v>
      </c>
      <c r="H5540" s="3" t="str">
        <f>"GRIN2D"</f>
        <v>GRIN2D</v>
      </c>
      <c r="I5540" s="3" t="str">
        <f t="shared" si="249"/>
        <v>protein_coding</v>
      </c>
    </row>
    <row r="5541" spans="1:9" x14ac:dyDescent="0.2">
      <c r="A5541" s="3" t="str">
        <f>"ENSG00000105447.12"</f>
        <v>ENSG00000105447.12</v>
      </c>
      <c r="B5541" s="3">
        <v>2005.8214299615699</v>
      </c>
      <c r="C5541" s="3">
        <v>-1.2290855753202301</v>
      </c>
      <c r="D5541" s="3">
        <v>0.21397745597046999</v>
      </c>
      <c r="E5541" s="3">
        <v>-5.7439956454564598</v>
      </c>
      <c r="F5541" s="4">
        <v>9.2468166694171106E-9</v>
      </c>
      <c r="G5541" s="4">
        <v>1.10165288059295E-7</v>
      </c>
      <c r="H5541" s="3" t="str">
        <f>"GRWD1"</f>
        <v>GRWD1</v>
      </c>
      <c r="I5541" s="3" t="str">
        <f t="shared" si="249"/>
        <v>protein_coding</v>
      </c>
    </row>
    <row r="5542" spans="1:9" x14ac:dyDescent="0.2">
      <c r="A5542" s="3" t="str">
        <f>"ENSG00000182324.6"</f>
        <v>ENSG00000182324.6</v>
      </c>
      <c r="B5542" s="3">
        <v>37.681260692725303</v>
      </c>
      <c r="C5542" s="3">
        <v>-1.5626033883556201</v>
      </c>
      <c r="D5542" s="3">
        <v>0.56853581512808504</v>
      </c>
      <c r="E5542" s="3">
        <v>-2.7484695717957202</v>
      </c>
      <c r="F5542" s="3">
        <v>5.9874192028790598E-3</v>
      </c>
      <c r="G5542" s="3">
        <v>2.0648803057696299E-2</v>
      </c>
      <c r="H5542" s="3" t="str">
        <f>"KCNJ14"</f>
        <v>KCNJ14</v>
      </c>
      <c r="I5542" s="3" t="str">
        <f t="shared" si="249"/>
        <v>protein_coding</v>
      </c>
    </row>
    <row r="5543" spans="1:9" x14ac:dyDescent="0.2">
      <c r="A5543" s="3" t="str">
        <f>"ENSG00000105523.3"</f>
        <v>ENSG00000105523.3</v>
      </c>
      <c r="B5543" s="3">
        <v>25.3168284433557</v>
      </c>
      <c r="C5543" s="3">
        <v>-2.3777932050443802</v>
      </c>
      <c r="D5543" s="3">
        <v>0.72538468827222402</v>
      </c>
      <c r="E5543" s="3">
        <v>-3.2779754570061201</v>
      </c>
      <c r="F5543" s="3">
        <v>1.04554485887956E-3</v>
      </c>
      <c r="G5543" s="3">
        <v>4.5866946980987503E-3</v>
      </c>
      <c r="H5543" s="3" t="str">
        <f>"FAM83E"</f>
        <v>FAM83E</v>
      </c>
      <c r="I5543" s="3" t="str">
        <f t="shared" si="249"/>
        <v>protein_coding</v>
      </c>
    </row>
    <row r="5544" spans="1:9" x14ac:dyDescent="0.2">
      <c r="A5544" s="3" t="str">
        <f>"ENSG00000063180.9"</f>
        <v>ENSG00000063180.9</v>
      </c>
      <c r="B5544" s="3">
        <v>18.168857842058099</v>
      </c>
      <c r="C5544" s="3">
        <v>2.00539215261198</v>
      </c>
      <c r="D5544" s="3">
        <v>0.83688618785284796</v>
      </c>
      <c r="E5544" s="3">
        <v>2.3962543314964999</v>
      </c>
      <c r="F5544" s="3">
        <v>1.65635927628579E-2</v>
      </c>
      <c r="G5544" s="3">
        <v>4.8392473944841197E-2</v>
      </c>
      <c r="H5544" s="3" t="str">
        <f>"CA11"</f>
        <v>CA11</v>
      </c>
      <c r="I5544" s="3" t="str">
        <f t="shared" si="249"/>
        <v>protein_coding</v>
      </c>
    </row>
    <row r="5545" spans="1:9" x14ac:dyDescent="0.2">
      <c r="A5545" s="3" t="str">
        <f>"ENSG00000176909.12"</f>
        <v>ENSG00000176909.12</v>
      </c>
      <c r="B5545" s="3">
        <v>326.88492519216499</v>
      </c>
      <c r="C5545" s="3">
        <v>1.0793879569992899</v>
      </c>
      <c r="D5545" s="3">
        <v>0.27031994576298801</v>
      </c>
      <c r="E5545" s="3">
        <v>3.9930015299192099</v>
      </c>
      <c r="F5545" s="4">
        <v>6.5242147353316706E-5</v>
      </c>
      <c r="G5545" s="3">
        <v>3.8932386967494898E-4</v>
      </c>
      <c r="H5545" s="3" t="str">
        <f>"MAMSTR"</f>
        <v>MAMSTR</v>
      </c>
      <c r="I5545" s="3" t="str">
        <f t="shared" si="249"/>
        <v>protein_coding</v>
      </c>
    </row>
    <row r="5546" spans="1:9" x14ac:dyDescent="0.2">
      <c r="A5546" s="3" t="str">
        <f>"ENSG00000174951.11"</f>
        <v>ENSG00000174951.11</v>
      </c>
      <c r="B5546" s="3">
        <v>15.868571304110899</v>
      </c>
      <c r="C5546" s="3">
        <v>-3.9721427146739399</v>
      </c>
      <c r="D5546" s="3">
        <v>1.07321703771178</v>
      </c>
      <c r="E5546" s="3">
        <v>-3.7011551019940798</v>
      </c>
      <c r="F5546" s="3">
        <v>2.14620232152941E-4</v>
      </c>
      <c r="G5546" s="3">
        <v>1.1341655286018599E-3</v>
      </c>
      <c r="H5546" s="3" t="str">
        <f>"FUT1"</f>
        <v>FUT1</v>
      </c>
      <c r="I5546" s="3" t="str">
        <f t="shared" si="249"/>
        <v>protein_coding</v>
      </c>
    </row>
    <row r="5547" spans="1:9" x14ac:dyDescent="0.2">
      <c r="A5547" s="3" t="str">
        <f>"ENSG00000087076.9"</f>
        <v>ENSG00000087076.9</v>
      </c>
      <c r="B5547" s="3">
        <v>37.692477494556897</v>
      </c>
      <c r="C5547" s="3">
        <v>1.6687230111340901</v>
      </c>
      <c r="D5547" s="3">
        <v>0.57874897020869898</v>
      </c>
      <c r="E5547" s="3">
        <v>2.8833278278358501</v>
      </c>
      <c r="F5547" s="3">
        <v>3.9349768954621001E-3</v>
      </c>
      <c r="G5547" s="3">
        <v>1.44457444719288E-2</v>
      </c>
      <c r="H5547" s="3" t="str">
        <f>"HSD17B14"</f>
        <v>HSD17B14</v>
      </c>
      <c r="I5547" s="3" t="str">
        <f t="shared" si="249"/>
        <v>protein_coding</v>
      </c>
    </row>
    <row r="5548" spans="1:9" x14ac:dyDescent="0.2">
      <c r="A5548" s="3" t="str">
        <f>"ENSG00000267898.1"</f>
        <v>ENSG00000267898.1</v>
      </c>
      <c r="B5548" s="3">
        <v>56.706551793806099</v>
      </c>
      <c r="C5548" s="3">
        <v>-2.05577649144902</v>
      </c>
      <c r="D5548" s="3">
        <v>0.50221331150427095</v>
      </c>
      <c r="E5548" s="3">
        <v>-4.09343289864497</v>
      </c>
      <c r="F5548" s="4">
        <v>4.2503311782688401E-5</v>
      </c>
      <c r="G5548" s="3">
        <v>2.63708389568193E-4</v>
      </c>
      <c r="H5548" s="3" t="str">
        <f>"AC026803.2"</f>
        <v>AC026803.2</v>
      </c>
      <c r="I5548" s="3" t="str">
        <f>"lincRNA"</f>
        <v>lincRNA</v>
      </c>
    </row>
    <row r="5549" spans="1:9" x14ac:dyDescent="0.2">
      <c r="A5549" s="3" t="str">
        <f>"ENSG00000087086.15"</f>
        <v>ENSG00000087086.15</v>
      </c>
      <c r="B5549" s="3">
        <v>177141.36450444799</v>
      </c>
      <c r="C5549" s="3">
        <v>-1.3637038799088499</v>
      </c>
      <c r="D5549" s="3">
        <v>0.24108984802671499</v>
      </c>
      <c r="E5549" s="3">
        <v>-5.6564135365738801</v>
      </c>
      <c r="F5549" s="4">
        <v>1.54568789145659E-8</v>
      </c>
      <c r="G5549" s="4">
        <v>1.78985796763781E-7</v>
      </c>
      <c r="H5549" s="3" t="str">
        <f>"FTL"</f>
        <v>FTL</v>
      </c>
      <c r="I5549" s="3" t="str">
        <f>"protein_coding"</f>
        <v>protein_coding</v>
      </c>
    </row>
    <row r="5550" spans="1:9" x14ac:dyDescent="0.2">
      <c r="A5550" s="3" t="str">
        <f>"ENSG00000196337.11"</f>
        <v>ENSG00000196337.11</v>
      </c>
      <c r="B5550" s="3">
        <v>285.532849331318</v>
      </c>
      <c r="C5550" s="3">
        <v>8.1060257770656907</v>
      </c>
      <c r="D5550" s="3">
        <v>0.77100780465313601</v>
      </c>
      <c r="E5550" s="3">
        <v>10.513545684161301</v>
      </c>
      <c r="F5550" s="4">
        <v>7.4826293072725594E-26</v>
      </c>
      <c r="G5550" s="4">
        <v>4.4808615546209997E-24</v>
      </c>
      <c r="H5550" s="3" t="str">
        <f>"CGB7"</f>
        <v>CGB7</v>
      </c>
      <c r="I5550" s="3" t="str">
        <f>"protein_coding"</f>
        <v>protein_coding</v>
      </c>
    </row>
    <row r="5551" spans="1:9" x14ac:dyDescent="0.2">
      <c r="A5551" s="3" t="str">
        <f>"ENSG00000268108.1"</f>
        <v>ENSG00000268108.1</v>
      </c>
      <c r="B5551" s="3">
        <v>163.19228743566299</v>
      </c>
      <c r="C5551" s="3">
        <v>7.7133444194451304</v>
      </c>
      <c r="D5551" s="3">
        <v>0.88964077216870696</v>
      </c>
      <c r="E5551" s="3">
        <v>8.6701786392299098</v>
      </c>
      <c r="F5551" s="4">
        <v>4.3144296100683302E-18</v>
      </c>
      <c r="G5551" s="4">
        <v>1.4044834359083799E-16</v>
      </c>
      <c r="H5551" s="3" t="str">
        <f>"AC008687.2"</f>
        <v>AC008687.2</v>
      </c>
      <c r="I5551" s="3" t="str">
        <f>"antisense"</f>
        <v>antisense</v>
      </c>
    </row>
    <row r="5552" spans="1:9" x14ac:dyDescent="0.2">
      <c r="A5552" s="3" t="str">
        <f>"ENSG00000268287.1"</f>
        <v>ENSG00000268287.1</v>
      </c>
      <c r="B5552" s="3">
        <v>164.26030583997101</v>
      </c>
      <c r="C5552" s="3">
        <v>8.3081703406332501</v>
      </c>
      <c r="D5552" s="3">
        <v>1.0630849435980601</v>
      </c>
      <c r="E5552" s="3">
        <v>7.8151519223984902</v>
      </c>
      <c r="F5552" s="4">
        <v>5.4896776872914699E-15</v>
      </c>
      <c r="G5552" s="4">
        <v>1.35119465172205E-13</v>
      </c>
      <c r="H5552" s="3" t="str">
        <f>"AC008687.3"</f>
        <v>AC008687.3</v>
      </c>
      <c r="I5552" s="3" t="str">
        <f>"lincRNA"</f>
        <v>lincRNA</v>
      </c>
    </row>
    <row r="5553" spans="1:9" x14ac:dyDescent="0.2">
      <c r="A5553" s="3" t="str">
        <f>"ENSG00000177380.14"</f>
        <v>ENSG00000177380.14</v>
      </c>
      <c r="B5553" s="3">
        <v>464.43186471231502</v>
      </c>
      <c r="C5553" s="3">
        <v>-1.4975547014922701</v>
      </c>
      <c r="D5553" s="3">
        <v>0.238222575495288</v>
      </c>
      <c r="E5553" s="3">
        <v>-6.2863676894547398</v>
      </c>
      <c r="F5553" s="4">
        <v>3.2497973560635498E-10</v>
      </c>
      <c r="G5553" s="4">
        <v>4.6924869401517502E-9</v>
      </c>
      <c r="H5553" s="3" t="str">
        <f>"PPFIA3"</f>
        <v>PPFIA3</v>
      </c>
      <c r="I5553" s="3" t="str">
        <f t="shared" ref="I5553:I5563" si="250">"protein_coding"</f>
        <v>protein_coding</v>
      </c>
    </row>
    <row r="5554" spans="1:9" x14ac:dyDescent="0.2">
      <c r="A5554" s="3" t="str">
        <f>"ENSG00000130528.12"</f>
        <v>ENSG00000130528.12</v>
      </c>
      <c r="B5554" s="3">
        <v>160.873110512865</v>
      </c>
      <c r="C5554" s="3">
        <v>-1.10382923027013</v>
      </c>
      <c r="D5554" s="3">
        <v>0.31066247381493201</v>
      </c>
      <c r="E5554" s="3">
        <v>-3.5531463350404602</v>
      </c>
      <c r="F5554" s="3">
        <v>3.80652653115253E-4</v>
      </c>
      <c r="G5554" s="3">
        <v>1.88589077731533E-3</v>
      </c>
      <c r="H5554" s="3" t="str">
        <f>"HRC"</f>
        <v>HRC</v>
      </c>
      <c r="I5554" s="3" t="str">
        <f t="shared" si="250"/>
        <v>protein_coding</v>
      </c>
    </row>
    <row r="5555" spans="1:9" x14ac:dyDescent="0.2">
      <c r="A5555" s="3" t="str">
        <f>"ENSG00000074219.13"</f>
        <v>ENSG00000074219.13</v>
      </c>
      <c r="B5555" s="3">
        <v>746.31917884183304</v>
      </c>
      <c r="C5555" s="3">
        <v>-1.80127445086389</v>
      </c>
      <c r="D5555" s="3">
        <v>0.272530102292867</v>
      </c>
      <c r="E5555" s="3">
        <v>-6.6094513439407097</v>
      </c>
      <c r="F5555" s="4">
        <v>3.8574697482090903E-11</v>
      </c>
      <c r="G5555" s="4">
        <v>6.3699683775426105E-10</v>
      </c>
      <c r="H5555" s="3" t="str">
        <f>"TEAD2"</f>
        <v>TEAD2</v>
      </c>
      <c r="I5555" s="3" t="str">
        <f t="shared" si="250"/>
        <v>protein_coding</v>
      </c>
    </row>
    <row r="5556" spans="1:9" x14ac:dyDescent="0.2">
      <c r="A5556" s="3" t="str">
        <f>"ENSG00000161618.10"</f>
        <v>ENSG00000161618.10</v>
      </c>
      <c r="B5556" s="3">
        <v>792.16771706217105</v>
      </c>
      <c r="C5556" s="3">
        <v>-1.13784535630684</v>
      </c>
      <c r="D5556" s="3">
        <v>0.229172261594253</v>
      </c>
      <c r="E5556" s="3">
        <v>-4.9650221557850598</v>
      </c>
      <c r="F5556" s="4">
        <v>6.8693227409372897E-7</v>
      </c>
      <c r="G5556" s="4">
        <v>6.0533129599714801E-6</v>
      </c>
      <c r="H5556" s="3" t="str">
        <f>"ALDH16A1"</f>
        <v>ALDH16A1</v>
      </c>
      <c r="I5556" s="3" t="str">
        <f t="shared" si="250"/>
        <v>protein_coding</v>
      </c>
    </row>
    <row r="5557" spans="1:9" x14ac:dyDescent="0.2">
      <c r="A5557" s="3" t="str">
        <f>"ENSG00000126464.14"</f>
        <v>ENSG00000126464.14</v>
      </c>
      <c r="B5557" s="3">
        <v>2328.66001388522</v>
      </c>
      <c r="C5557" s="3">
        <v>-1.2535831678442599</v>
      </c>
      <c r="D5557" s="3">
        <v>0.19949973093089901</v>
      </c>
      <c r="E5557" s="3">
        <v>-6.2836333763200196</v>
      </c>
      <c r="F5557" s="4">
        <v>3.30750190379495E-10</v>
      </c>
      <c r="G5557" s="4">
        <v>4.7657062069117402E-9</v>
      </c>
      <c r="H5557" s="3" t="str">
        <f>"PRR12"</f>
        <v>PRR12</v>
      </c>
      <c r="I5557" s="3" t="str">
        <f t="shared" si="250"/>
        <v>protein_coding</v>
      </c>
    </row>
    <row r="5558" spans="1:9" x14ac:dyDescent="0.2">
      <c r="A5558" s="3" t="str">
        <f>"ENSG00000126453.9"</f>
        <v>ENSG00000126453.9</v>
      </c>
      <c r="B5558" s="3">
        <v>609.79398125488797</v>
      </c>
      <c r="C5558" s="3">
        <v>-1.3427011935147499</v>
      </c>
      <c r="D5558" s="3">
        <v>0.27271946673703001</v>
      </c>
      <c r="E5558" s="3">
        <v>-4.9233786263209796</v>
      </c>
      <c r="F5558" s="4">
        <v>8.5062643577047104E-7</v>
      </c>
      <c r="G5558" s="4">
        <v>7.3906308977799799E-6</v>
      </c>
      <c r="H5558" s="3" t="str">
        <f>"BCL2L12"</f>
        <v>BCL2L12</v>
      </c>
      <c r="I5558" s="3" t="str">
        <f t="shared" si="250"/>
        <v>protein_coding</v>
      </c>
    </row>
    <row r="5559" spans="1:9" x14ac:dyDescent="0.2">
      <c r="A5559" s="3" t="str">
        <f>"ENSG00000126457.21"</f>
        <v>ENSG00000126457.21</v>
      </c>
      <c r="B5559" s="3">
        <v>6015.2315506023397</v>
      </c>
      <c r="C5559" s="3">
        <v>-1.4161578899854499</v>
      </c>
      <c r="D5559" s="3">
        <v>0.22128607390060201</v>
      </c>
      <c r="E5559" s="3">
        <v>-6.3996701872055803</v>
      </c>
      <c r="F5559" s="4">
        <v>1.55712932851193E-10</v>
      </c>
      <c r="G5559" s="4">
        <v>2.3634766432749302E-9</v>
      </c>
      <c r="H5559" s="3" t="str">
        <f>"PRMT1"</f>
        <v>PRMT1</v>
      </c>
      <c r="I5559" s="3" t="str">
        <f t="shared" si="250"/>
        <v>protein_coding</v>
      </c>
    </row>
    <row r="5560" spans="1:9" x14ac:dyDescent="0.2">
      <c r="A5560" s="3" t="str">
        <f>"ENSG00000224420.3"</f>
        <v>ENSG00000224420.3</v>
      </c>
      <c r="B5560" s="3">
        <v>70.2513826124828</v>
      </c>
      <c r="C5560" s="3">
        <v>-1.3931499949477399</v>
      </c>
      <c r="D5560" s="3">
        <v>0.49779845829120301</v>
      </c>
      <c r="E5560" s="3">
        <v>-2.7986225584748001</v>
      </c>
      <c r="F5560" s="3">
        <v>5.1321089028187701E-3</v>
      </c>
      <c r="G5560" s="3">
        <v>1.8120328012842201E-2</v>
      </c>
      <c r="H5560" s="3" t="str">
        <f>"ADM5"</f>
        <v>ADM5</v>
      </c>
      <c r="I5560" s="3" t="str">
        <f t="shared" si="250"/>
        <v>protein_coding</v>
      </c>
    </row>
    <row r="5561" spans="1:9" x14ac:dyDescent="0.2">
      <c r="A5561" s="3" t="str">
        <f>"ENSG00000104960.15"</f>
        <v>ENSG00000104960.15</v>
      </c>
      <c r="B5561" s="3">
        <v>2157.2202812139799</v>
      </c>
      <c r="C5561" s="3">
        <v>-1.0280119915958601</v>
      </c>
      <c r="D5561" s="3">
        <v>0.20983495145431499</v>
      </c>
      <c r="E5561" s="3">
        <v>-4.8991456593430298</v>
      </c>
      <c r="F5561" s="4">
        <v>9.6254269445205192E-7</v>
      </c>
      <c r="G5561" s="4">
        <v>8.2942444009282306E-6</v>
      </c>
      <c r="H5561" s="3" t="str">
        <f>"PTOV1"</f>
        <v>PTOV1</v>
      </c>
      <c r="I5561" s="3" t="str">
        <f t="shared" si="250"/>
        <v>protein_coding</v>
      </c>
    </row>
    <row r="5562" spans="1:9" x14ac:dyDescent="0.2">
      <c r="A5562" s="3" t="str">
        <f>"ENSG00000204673.10"</f>
        <v>ENSG00000204673.10</v>
      </c>
      <c r="B5562" s="3">
        <v>1515.1383307041001</v>
      </c>
      <c r="C5562" s="3">
        <v>-1.2314443850061301</v>
      </c>
      <c r="D5562" s="3">
        <v>0.211066123462647</v>
      </c>
      <c r="E5562" s="3">
        <v>-5.8344009204492604</v>
      </c>
      <c r="F5562" s="4">
        <v>5.3984174902469902E-9</v>
      </c>
      <c r="G5562" s="4">
        <v>6.6617156411575999E-8</v>
      </c>
      <c r="H5562" s="3" t="str">
        <f>"AKT1S1"</f>
        <v>AKT1S1</v>
      </c>
      <c r="I5562" s="3" t="str">
        <f t="shared" si="250"/>
        <v>protein_coding</v>
      </c>
    </row>
    <row r="5563" spans="1:9" x14ac:dyDescent="0.2">
      <c r="A5563" s="3" t="str">
        <f>"ENSG00000213024.11"</f>
        <v>ENSG00000213024.11</v>
      </c>
      <c r="B5563" s="3">
        <v>2084.1815474345199</v>
      </c>
      <c r="C5563" s="3">
        <v>-1.0480738245972201</v>
      </c>
      <c r="D5563" s="3">
        <v>0.213873535530547</v>
      </c>
      <c r="E5563" s="3">
        <v>-4.9004371765646697</v>
      </c>
      <c r="F5563" s="4">
        <v>9.5623632275534406E-7</v>
      </c>
      <c r="G5563" s="4">
        <v>8.2477274726542808E-6</v>
      </c>
      <c r="H5563" s="3" t="str">
        <f>"NUP62"</f>
        <v>NUP62</v>
      </c>
      <c r="I5563" s="3" t="str">
        <f t="shared" si="250"/>
        <v>protein_coding</v>
      </c>
    </row>
    <row r="5564" spans="1:9" x14ac:dyDescent="0.2">
      <c r="A5564" s="3" t="str">
        <f>"ENSG00000204666.3"</f>
        <v>ENSG00000204666.3</v>
      </c>
      <c r="B5564" s="3">
        <v>20.016415607802401</v>
      </c>
      <c r="C5564" s="3">
        <v>2.0496997969299602</v>
      </c>
      <c r="D5564" s="3">
        <v>0.81736530966554</v>
      </c>
      <c r="E5564" s="3">
        <v>2.5076912032988998</v>
      </c>
      <c r="F5564" s="3">
        <v>1.2152281491262301E-2</v>
      </c>
      <c r="G5564" s="3">
        <v>3.7430840356367102E-2</v>
      </c>
      <c r="H5564" s="3" t="str">
        <f>"AC010624.1"</f>
        <v>AC010624.1</v>
      </c>
      <c r="I5564" s="3" t="str">
        <f>"sense_overlapping"</f>
        <v>sense_overlapping</v>
      </c>
    </row>
    <row r="5565" spans="1:9" x14ac:dyDescent="0.2">
      <c r="A5565" s="3" t="str">
        <f>"ENSG00000062822.13"</f>
        <v>ENSG00000062822.13</v>
      </c>
      <c r="B5565" s="3">
        <v>1492.9534829325901</v>
      </c>
      <c r="C5565" s="3">
        <v>-1.7815318347431901</v>
      </c>
      <c r="D5565" s="3">
        <v>0.22733538171353601</v>
      </c>
      <c r="E5565" s="3">
        <v>-7.8365796881899001</v>
      </c>
      <c r="F5565" s="4">
        <v>4.6298456703853697E-15</v>
      </c>
      <c r="G5565" s="4">
        <v>1.1573339906512899E-13</v>
      </c>
      <c r="H5565" s="3" t="str">
        <f>"POLD1"</f>
        <v>POLD1</v>
      </c>
      <c r="I5565" s="3" t="str">
        <f>"protein_coding"</f>
        <v>protein_coding</v>
      </c>
    </row>
    <row r="5566" spans="1:9" x14ac:dyDescent="0.2">
      <c r="A5566" s="3" t="str">
        <f>"ENSG00000086967.10"</f>
        <v>ENSG00000086967.10</v>
      </c>
      <c r="B5566" s="3">
        <v>10.680549065541999</v>
      </c>
      <c r="C5566" s="3">
        <v>6.8131489558824798</v>
      </c>
      <c r="D5566" s="3">
        <v>1.7441808252743201</v>
      </c>
      <c r="E5566" s="3">
        <v>3.9062170946701702</v>
      </c>
      <c r="F5566" s="4">
        <v>9.3752289433606401E-5</v>
      </c>
      <c r="G5566" s="3">
        <v>5.4017099390938305E-4</v>
      </c>
      <c r="H5566" s="3" t="str">
        <f>"MYBPC2"</f>
        <v>MYBPC2</v>
      </c>
      <c r="I5566" s="3" t="str">
        <f>"protein_coding"</f>
        <v>protein_coding</v>
      </c>
    </row>
    <row r="5567" spans="1:9" x14ac:dyDescent="0.2">
      <c r="A5567" s="3" t="str">
        <f>"ENSG00000268375.1"</f>
        <v>ENSG00000268375.1</v>
      </c>
      <c r="B5567" s="3">
        <v>10.838391303091599</v>
      </c>
      <c r="C5567" s="3">
        <v>-5.4663792606307604</v>
      </c>
      <c r="D5567" s="3">
        <v>1.7074265781867499</v>
      </c>
      <c r="E5567" s="3">
        <v>-3.2015310821950198</v>
      </c>
      <c r="F5567" s="3">
        <v>1.36699326369979E-3</v>
      </c>
      <c r="G5567" s="3">
        <v>5.7998233347910603E-3</v>
      </c>
      <c r="H5567" s="3" t="str">
        <f>"AC010325.2"</f>
        <v>AC010325.2</v>
      </c>
      <c r="I5567" s="3" t="str">
        <f>"antisense"</f>
        <v>antisense</v>
      </c>
    </row>
    <row r="5568" spans="1:9" x14ac:dyDescent="0.2">
      <c r="A5568" s="3" t="str">
        <f>"ENSG00000197588.9"</f>
        <v>ENSG00000197588.9</v>
      </c>
      <c r="B5568" s="3">
        <v>3.8168555458674298</v>
      </c>
      <c r="C5568" s="3">
        <v>5.3279350919035302</v>
      </c>
      <c r="D5568" s="3">
        <v>2.1809774924298599</v>
      </c>
      <c r="E5568" s="3">
        <v>2.4429115432858599</v>
      </c>
      <c r="F5568" s="3">
        <v>1.4569307781241599E-2</v>
      </c>
      <c r="G5568" s="3">
        <v>4.3474967595607303E-2</v>
      </c>
      <c r="H5568" s="3" t="str">
        <f>"KLKP1"</f>
        <v>KLKP1</v>
      </c>
      <c r="I5568" s="3" t="str">
        <f>"transcribed_unprocessed_pseudogene"</f>
        <v>transcribed_unprocessed_pseudogene</v>
      </c>
    </row>
    <row r="5569" spans="1:9" x14ac:dyDescent="0.2">
      <c r="A5569" s="3" t="str">
        <f>"ENSG00000142544.7"</f>
        <v>ENSG00000142544.7</v>
      </c>
      <c r="B5569" s="3">
        <v>56.524411709238798</v>
      </c>
      <c r="C5569" s="3">
        <v>-1.84245269154855</v>
      </c>
      <c r="D5569" s="3">
        <v>0.51889506470845703</v>
      </c>
      <c r="E5569" s="3">
        <v>-3.5507230977109798</v>
      </c>
      <c r="F5569" s="3">
        <v>3.8417437851334701E-4</v>
      </c>
      <c r="G5569" s="3">
        <v>1.9007806957242E-3</v>
      </c>
      <c r="H5569" s="3" t="str">
        <f>"CTU1"</f>
        <v>CTU1</v>
      </c>
      <c r="I5569" s="3" t="str">
        <f>"protein_coding"</f>
        <v>protein_coding</v>
      </c>
    </row>
    <row r="5570" spans="1:9" x14ac:dyDescent="0.2">
      <c r="A5570" s="3" t="str">
        <f>"ENSG00000268849.5"</f>
        <v>ENSG00000268849.5</v>
      </c>
      <c r="B5570" s="3">
        <v>13.917513773359101</v>
      </c>
      <c r="C5570" s="3">
        <v>4.0808174149808298</v>
      </c>
      <c r="D5570" s="3">
        <v>1.18061307553135</v>
      </c>
      <c r="E5570" s="3">
        <v>3.45652398703462</v>
      </c>
      <c r="F5570" s="3">
        <v>5.4719050479624996E-4</v>
      </c>
      <c r="G5570" s="3">
        <v>2.5956301678592298E-3</v>
      </c>
      <c r="H5570" s="3" t="str">
        <f>"SIGLEC22P"</f>
        <v>SIGLEC22P</v>
      </c>
      <c r="I5570" s="3" t="str">
        <f>"transcribed_unprocessed_pseudogene"</f>
        <v>transcribed_unprocessed_pseudogene</v>
      </c>
    </row>
    <row r="5571" spans="1:9" x14ac:dyDescent="0.2">
      <c r="A5571" s="3" t="str">
        <f>"ENSG00000105383.15"</f>
        <v>ENSG00000105383.15</v>
      </c>
      <c r="B5571" s="3">
        <v>12.296066209648901</v>
      </c>
      <c r="C5571" s="3">
        <v>7.0168555582280501</v>
      </c>
      <c r="D5571" s="3">
        <v>1.70849403015836</v>
      </c>
      <c r="E5571" s="3">
        <v>4.1070413091099001</v>
      </c>
      <c r="F5571" s="4">
        <v>4.0075957735880903E-5</v>
      </c>
      <c r="G5571" s="3">
        <v>2.4998846621555599E-4</v>
      </c>
      <c r="H5571" s="3" t="str">
        <f>"CD33"</f>
        <v>CD33</v>
      </c>
      <c r="I5571" s="3" t="str">
        <f>"protein_coding"</f>
        <v>protein_coding</v>
      </c>
    </row>
    <row r="5572" spans="1:9" x14ac:dyDescent="0.2">
      <c r="A5572" s="3" t="str">
        <f>"ENSG00000186806.5"</f>
        <v>ENSG00000186806.5</v>
      </c>
      <c r="B5572" s="3">
        <v>465.25696854874798</v>
      </c>
      <c r="C5572" s="3">
        <v>-1.3416131147750801</v>
      </c>
      <c r="D5572" s="3">
        <v>0.230298327485562</v>
      </c>
      <c r="E5572" s="3">
        <v>-5.8255443251500996</v>
      </c>
      <c r="F5572" s="4">
        <v>5.6926747211807601E-9</v>
      </c>
      <c r="G5572" s="4">
        <v>6.9837149089604694E-8</v>
      </c>
      <c r="H5572" s="3" t="str">
        <f>"VSIG10L"</f>
        <v>VSIG10L</v>
      </c>
      <c r="I5572" s="3" t="str">
        <f>"protein_coding"</f>
        <v>protein_coding</v>
      </c>
    </row>
    <row r="5573" spans="1:9" x14ac:dyDescent="0.2">
      <c r="A5573" s="3" t="str">
        <f>"ENSG00000267984.1"</f>
        <v>ENSG00000267984.1</v>
      </c>
      <c r="B5573" s="3">
        <v>40.280094930489803</v>
      </c>
      <c r="C5573" s="3">
        <v>-2.0173101197952201</v>
      </c>
      <c r="D5573" s="3">
        <v>0.67392104335657599</v>
      </c>
      <c r="E5573" s="3">
        <v>-2.99339238577218</v>
      </c>
      <c r="F5573" s="3">
        <v>2.7589478657085299E-3</v>
      </c>
      <c r="G5573" s="3">
        <v>1.06417118483806E-2</v>
      </c>
      <c r="H5573" s="3" t="str">
        <f>"AC008750.4"</f>
        <v>AC008750.4</v>
      </c>
      <c r="I5573" s="3" t="str">
        <f>"antisense"</f>
        <v>antisense</v>
      </c>
    </row>
    <row r="5574" spans="1:9" x14ac:dyDescent="0.2">
      <c r="A5574" s="3" t="str">
        <f>"ENSG00000105379.9"</f>
        <v>ENSG00000105379.9</v>
      </c>
      <c r="B5574" s="3">
        <v>6585.4455081677697</v>
      </c>
      <c r="C5574" s="3">
        <v>-2.1845082557208202</v>
      </c>
      <c r="D5574" s="3">
        <v>0.21684749422066901</v>
      </c>
      <c r="E5574" s="3">
        <v>-10.0739382005392</v>
      </c>
      <c r="F5574" s="4">
        <v>7.2034616059963805E-24</v>
      </c>
      <c r="G5574" s="4">
        <v>3.6893368116275002E-22</v>
      </c>
      <c r="H5574" s="3" t="str">
        <f>"ETFB"</f>
        <v>ETFB</v>
      </c>
      <c r="I5574" s="3" t="str">
        <f>"protein_coding"</f>
        <v>protein_coding</v>
      </c>
    </row>
    <row r="5575" spans="1:9" x14ac:dyDescent="0.2">
      <c r="A5575" s="3" t="str">
        <f>"ENSG00000160318.6"</f>
        <v>ENSG00000160318.6</v>
      </c>
      <c r="B5575" s="3">
        <v>74.439010359685497</v>
      </c>
      <c r="C5575" s="3">
        <v>-2.33431591802248</v>
      </c>
      <c r="D5575" s="3">
        <v>0.470388487284568</v>
      </c>
      <c r="E5575" s="3">
        <v>-4.9625277427555403</v>
      </c>
      <c r="F5575" s="4">
        <v>6.9581623853213003E-7</v>
      </c>
      <c r="G5575" s="4">
        <v>6.1157758229951398E-6</v>
      </c>
      <c r="H5575" s="3" t="str">
        <f>"CLDND2"</f>
        <v>CLDND2</v>
      </c>
      <c r="I5575" s="3" t="str">
        <f>"protein_coding"</f>
        <v>protein_coding</v>
      </c>
    </row>
    <row r="5576" spans="1:9" x14ac:dyDescent="0.2">
      <c r="A5576" s="3" t="str">
        <f>"ENSG00000105501.12"</f>
        <v>ENSG00000105501.12</v>
      </c>
      <c r="B5576" s="3">
        <v>7.3408004629080397</v>
      </c>
      <c r="C5576" s="3">
        <v>6.2724782074636902</v>
      </c>
      <c r="D5576" s="3">
        <v>1.8637627233396801</v>
      </c>
      <c r="E5576" s="3">
        <v>3.36549182410088</v>
      </c>
      <c r="F5576" s="3">
        <v>7.6407331549742104E-4</v>
      </c>
      <c r="G5576" s="3">
        <v>3.4924854264986099E-3</v>
      </c>
      <c r="H5576" s="3" t="str">
        <f>"SIGLEC5"</f>
        <v>SIGLEC5</v>
      </c>
      <c r="I5576" s="3" t="str">
        <f>"protein_coding"</f>
        <v>protein_coding</v>
      </c>
    </row>
    <row r="5577" spans="1:9" x14ac:dyDescent="0.2">
      <c r="A5577" s="3" t="str">
        <f>"ENSG00000273837.1"</f>
        <v>ENSG00000273837.1</v>
      </c>
      <c r="B5577" s="3">
        <v>40.185697546028301</v>
      </c>
      <c r="C5577" s="3">
        <v>8.7239072604011305</v>
      </c>
      <c r="D5577" s="3">
        <v>1.53659437359031</v>
      </c>
      <c r="E5577" s="3">
        <v>5.67743017307646</v>
      </c>
      <c r="F5577" s="4">
        <v>1.3673331274399199E-8</v>
      </c>
      <c r="G5577" s="4">
        <v>1.59758686635316E-7</v>
      </c>
      <c r="H5577" s="3" t="str">
        <f>"AC018755.4"</f>
        <v>AC018755.4</v>
      </c>
      <c r="I5577" s="3" t="str">
        <f>"sense_intronic"</f>
        <v>sense_intronic</v>
      </c>
    </row>
    <row r="5578" spans="1:9" x14ac:dyDescent="0.2">
      <c r="A5578" s="3" t="str">
        <f>"ENSG00000254415.3"</f>
        <v>ENSG00000254415.3</v>
      </c>
      <c r="B5578" s="3">
        <v>746.18532315983998</v>
      </c>
      <c r="C5578" s="3">
        <v>8.1701083780060308</v>
      </c>
      <c r="D5578" s="3">
        <v>0.50951748632145799</v>
      </c>
      <c r="E5578" s="3">
        <v>16.0349911383639</v>
      </c>
      <c r="F5578" s="4">
        <v>7.2793985749711203E-58</v>
      </c>
      <c r="G5578" s="4">
        <v>1.9526252209061202E-55</v>
      </c>
      <c r="H5578" s="3" t="str">
        <f>"SIGLEC14"</f>
        <v>SIGLEC14</v>
      </c>
      <c r="I5578" s="3" t="str">
        <f>"protein_coding"</f>
        <v>protein_coding</v>
      </c>
    </row>
    <row r="5579" spans="1:9" x14ac:dyDescent="0.2">
      <c r="A5579" s="3" t="str">
        <f>"ENSG00000243469.1"</f>
        <v>ENSG00000243469.1</v>
      </c>
      <c r="B5579" s="3">
        <v>7.41327667252152</v>
      </c>
      <c r="C5579" s="3">
        <v>6.2853458829969604</v>
      </c>
      <c r="D5579" s="3">
        <v>1.8614676998914701</v>
      </c>
      <c r="E5579" s="3">
        <v>3.37655382543754</v>
      </c>
      <c r="F5579" s="3">
        <v>7.3400009002317702E-4</v>
      </c>
      <c r="G5579" s="3">
        <v>3.37313213912321E-3</v>
      </c>
      <c r="H5579" s="3" t="str">
        <f>"RPL7P51"</f>
        <v>RPL7P51</v>
      </c>
      <c r="I5579" s="3" t="str">
        <f>"processed_pseudogene"</f>
        <v>processed_pseudogene</v>
      </c>
    </row>
    <row r="5580" spans="1:9" x14ac:dyDescent="0.2">
      <c r="A5580" s="3" t="str">
        <f>"ENSG00000142556.19"</f>
        <v>ENSG00000142556.19</v>
      </c>
      <c r="B5580" s="3">
        <v>1243.13586079014</v>
      </c>
      <c r="C5580" s="3">
        <v>-1.0808960005469499</v>
      </c>
      <c r="D5580" s="3">
        <v>0.22180694498782</v>
      </c>
      <c r="E5580" s="3">
        <v>-4.8731386684321603</v>
      </c>
      <c r="F5580" s="4">
        <v>1.0983906792683899E-6</v>
      </c>
      <c r="G5580" s="4">
        <v>9.3495316582398394E-6</v>
      </c>
      <c r="H5580" s="3" t="str">
        <f>"ZNF614"</f>
        <v>ZNF614</v>
      </c>
      <c r="I5580" s="3" t="str">
        <f>"protein_coding"</f>
        <v>protein_coding</v>
      </c>
    </row>
    <row r="5581" spans="1:9" x14ac:dyDescent="0.2">
      <c r="A5581" s="3" t="str">
        <f>"ENSG00000167554.15"</f>
        <v>ENSG00000167554.15</v>
      </c>
      <c r="B5581" s="3">
        <v>29.4264220620076</v>
      </c>
      <c r="C5581" s="3">
        <v>2.5054368401617202</v>
      </c>
      <c r="D5581" s="3">
        <v>0.71042923982586803</v>
      </c>
      <c r="E5581" s="3">
        <v>3.5266521980089398</v>
      </c>
      <c r="F5581" s="3">
        <v>4.20849204133152E-4</v>
      </c>
      <c r="G5581" s="3">
        <v>2.05905517418136E-3</v>
      </c>
      <c r="H5581" s="3" t="str">
        <f>"ZNF610"</f>
        <v>ZNF610</v>
      </c>
      <c r="I5581" s="3" t="str">
        <f>"protein_coding"</f>
        <v>protein_coding</v>
      </c>
    </row>
    <row r="5582" spans="1:9" x14ac:dyDescent="0.2">
      <c r="A5582" s="3" t="str">
        <f>"ENSG00000269834.5"</f>
        <v>ENSG00000269834.5</v>
      </c>
      <c r="B5582" s="3">
        <v>134.500206797543</v>
      </c>
      <c r="C5582" s="3">
        <v>1.6462376485416399</v>
      </c>
      <c r="D5582" s="3">
        <v>0.34363742037515699</v>
      </c>
      <c r="E5582" s="3">
        <v>4.7906239278143801</v>
      </c>
      <c r="F5582" s="4">
        <v>1.6626349468593999E-6</v>
      </c>
      <c r="G5582" s="4">
        <v>1.3682215160700101E-5</v>
      </c>
      <c r="H5582" s="3" t="str">
        <f>"ZNF528-AS1"</f>
        <v>ZNF528-AS1</v>
      </c>
      <c r="I5582" s="3" t="str">
        <f>"processed_transcript"</f>
        <v>processed_transcript</v>
      </c>
    </row>
    <row r="5583" spans="1:9" x14ac:dyDescent="0.2">
      <c r="A5583" s="3" t="str">
        <f>"ENSG00000167766.18"</f>
        <v>ENSG00000167766.18</v>
      </c>
      <c r="B5583" s="3">
        <v>1061.30256720241</v>
      </c>
      <c r="C5583" s="3">
        <v>1.06758431416929</v>
      </c>
      <c r="D5583" s="3">
        <v>0.222708503068963</v>
      </c>
      <c r="E5583" s="3">
        <v>4.7936396655618996</v>
      </c>
      <c r="F5583" s="4">
        <v>1.63782341739611E-6</v>
      </c>
      <c r="G5583" s="4">
        <v>1.3494337663680601E-5</v>
      </c>
      <c r="H5583" s="3" t="str">
        <f>"ZNF83"</f>
        <v>ZNF83</v>
      </c>
      <c r="I5583" s="3" t="str">
        <f>"protein_coding"</f>
        <v>protein_coding</v>
      </c>
    </row>
    <row r="5584" spans="1:9" x14ac:dyDescent="0.2">
      <c r="A5584" s="3" t="str">
        <f>"ENSG00000198538.11"</f>
        <v>ENSG00000198538.11</v>
      </c>
      <c r="B5584" s="3">
        <v>714.37938725916001</v>
      </c>
      <c r="C5584" s="3">
        <v>1.89485051572222</v>
      </c>
      <c r="D5584" s="3">
        <v>0.21668166936140301</v>
      </c>
      <c r="E5584" s="3">
        <v>8.7448583966823694</v>
      </c>
      <c r="F5584" s="4">
        <v>2.23295506831215E-18</v>
      </c>
      <c r="G5584" s="4">
        <v>7.4835580253752795E-17</v>
      </c>
      <c r="H5584" s="3" t="str">
        <f>"ZNF28"</f>
        <v>ZNF28</v>
      </c>
      <c r="I5584" s="3" t="str">
        <f>"protein_coding"</f>
        <v>protein_coding</v>
      </c>
    </row>
    <row r="5585" spans="1:9" x14ac:dyDescent="0.2">
      <c r="A5585" s="3" t="str">
        <f>"ENSG00000204604.11"</f>
        <v>ENSG00000204604.11</v>
      </c>
      <c r="B5585" s="3">
        <v>1115.4360631690099</v>
      </c>
      <c r="C5585" s="3">
        <v>1.3779868231049699</v>
      </c>
      <c r="D5585" s="3">
        <v>0.20543805009435501</v>
      </c>
      <c r="E5585" s="3">
        <v>6.70755404109455</v>
      </c>
      <c r="F5585" s="4">
        <v>1.97913676111956E-11</v>
      </c>
      <c r="G5585" s="4">
        <v>3.37034620813903E-10</v>
      </c>
      <c r="H5585" s="3" t="str">
        <f>"ZNF468"</f>
        <v>ZNF468</v>
      </c>
      <c r="I5585" s="3" t="str">
        <f>"protein_coding"</f>
        <v>protein_coding</v>
      </c>
    </row>
    <row r="5586" spans="1:9" x14ac:dyDescent="0.2">
      <c r="A5586" s="3" t="str">
        <f>"ENSG00000213801.4"</f>
        <v>ENSG00000213801.4</v>
      </c>
      <c r="B5586" s="3">
        <v>180.086864049225</v>
      </c>
      <c r="C5586" s="3">
        <v>1.18568224065976</v>
      </c>
      <c r="D5586" s="3">
        <v>0.29701732519637403</v>
      </c>
      <c r="E5586" s="3">
        <v>3.9919632293363301</v>
      </c>
      <c r="F5586" s="4">
        <v>6.5528535321106901E-5</v>
      </c>
      <c r="G5586" s="3">
        <v>3.9069059122411401E-4</v>
      </c>
      <c r="H5586" s="3" t="str">
        <f>"ZNF321P"</f>
        <v>ZNF321P</v>
      </c>
      <c r="I5586" s="3" t="str">
        <f>"transcribed_processed_pseudogene"</f>
        <v>transcribed_processed_pseudogene</v>
      </c>
    </row>
    <row r="5587" spans="1:9" x14ac:dyDescent="0.2">
      <c r="A5587" s="3" t="str">
        <f>"ENSG00000180257.13"</f>
        <v>ENSG00000180257.13</v>
      </c>
      <c r="B5587" s="3">
        <v>450.94529110029902</v>
      </c>
      <c r="C5587" s="3">
        <v>1.0993564603857999</v>
      </c>
      <c r="D5587" s="3">
        <v>0.27942294178267302</v>
      </c>
      <c r="E5587" s="3">
        <v>3.9343815270574498</v>
      </c>
      <c r="F5587" s="4">
        <v>8.3411198749115098E-5</v>
      </c>
      <c r="G5587" s="3">
        <v>4.8697341596681798E-4</v>
      </c>
      <c r="H5587" s="3" t="str">
        <f>"ZNF816"</f>
        <v>ZNF816</v>
      </c>
      <c r="I5587" s="3" t="str">
        <f>"protein_coding"</f>
        <v>protein_coding</v>
      </c>
    </row>
    <row r="5588" spans="1:9" x14ac:dyDescent="0.2">
      <c r="A5588" s="3" t="str">
        <f>"ENSG00000269001.2"</f>
        <v>ENSG00000269001.2</v>
      </c>
      <c r="B5588" s="3">
        <v>135.58173820774499</v>
      </c>
      <c r="C5588" s="3">
        <v>1.94309235990783</v>
      </c>
      <c r="D5588" s="3">
        <v>0.39954710518998199</v>
      </c>
      <c r="E5588" s="3">
        <v>4.86323723703092</v>
      </c>
      <c r="F5588" s="4">
        <v>1.1548129690392899E-6</v>
      </c>
      <c r="G5588" s="4">
        <v>9.7748334785379096E-6</v>
      </c>
      <c r="H5588" s="3" t="str">
        <f>"AC092070.2"</f>
        <v>AC092070.2</v>
      </c>
      <c r="I5588" s="3" t="str">
        <f>"transcribed_unprocessed_pseudogene"</f>
        <v>transcribed_unprocessed_pseudogene</v>
      </c>
    </row>
    <row r="5589" spans="1:9" x14ac:dyDescent="0.2">
      <c r="A5589" s="3" t="str">
        <f>"ENSG00000179820.16"</f>
        <v>ENSG00000179820.16</v>
      </c>
      <c r="B5589" s="3">
        <v>4171.0545011056201</v>
      </c>
      <c r="C5589" s="3">
        <v>-2.5212546208769102</v>
      </c>
      <c r="D5589" s="3">
        <v>0.18992146533190499</v>
      </c>
      <c r="E5589" s="3">
        <v>-13.2752483584243</v>
      </c>
      <c r="F5589" s="4">
        <v>3.2220106814861199E-40</v>
      </c>
      <c r="G5589" s="4">
        <v>4.5252641772398102E-38</v>
      </c>
      <c r="H5589" s="3" t="str">
        <f>"MYADM"</f>
        <v>MYADM</v>
      </c>
      <c r="I5589" s="3" t="str">
        <f>"protein_coding"</f>
        <v>protein_coding</v>
      </c>
    </row>
    <row r="5590" spans="1:9" x14ac:dyDescent="0.2">
      <c r="A5590" s="3" t="str">
        <f>"ENSG00000167614.13"</f>
        <v>ENSG00000167614.13</v>
      </c>
      <c r="B5590" s="3">
        <v>394.18493249816697</v>
      </c>
      <c r="C5590" s="3">
        <v>-4.0879719033326598</v>
      </c>
      <c r="D5590" s="3">
        <v>0.28214936737413698</v>
      </c>
      <c r="E5590" s="3">
        <v>-14.488680025682701</v>
      </c>
      <c r="F5590" s="4">
        <v>1.42861819861092E-47</v>
      </c>
      <c r="G5590" s="4">
        <v>2.59503733717011E-45</v>
      </c>
      <c r="H5590" s="3" t="str">
        <f>"TTYH1"</f>
        <v>TTYH1</v>
      </c>
      <c r="I5590" s="3" t="str">
        <f>"protein_coding"</f>
        <v>protein_coding</v>
      </c>
    </row>
    <row r="5591" spans="1:9" x14ac:dyDescent="0.2">
      <c r="A5591" s="3" t="str">
        <f>"ENSG00000268496.1"</f>
        <v>ENSG00000268496.1</v>
      </c>
      <c r="B5591" s="3">
        <v>6.9422840565171997</v>
      </c>
      <c r="C5591" s="3">
        <v>-4.8331320612665296</v>
      </c>
      <c r="D5591" s="3">
        <v>1.8481105389261001</v>
      </c>
      <c r="E5591" s="3">
        <v>-2.6151747741642</v>
      </c>
      <c r="F5591" s="3">
        <v>8.9181808052601792E-3</v>
      </c>
      <c r="G5591" s="3">
        <v>2.8969202718279002E-2</v>
      </c>
      <c r="H5591" s="3" t="str">
        <f>"AC245884.9"</f>
        <v>AC245884.9</v>
      </c>
      <c r="I5591" s="3" t="str">
        <f>"sense_intronic"</f>
        <v>sense_intronic</v>
      </c>
    </row>
    <row r="5592" spans="1:9" x14ac:dyDescent="0.2">
      <c r="A5592" s="3" t="str">
        <f>"ENSG00000275183.1"</f>
        <v>ENSG00000275183.1</v>
      </c>
      <c r="B5592" s="3">
        <v>80.391360402087201</v>
      </c>
      <c r="C5592" s="3">
        <v>-1.18121420429223</v>
      </c>
      <c r="D5592" s="3">
        <v>0.43087294449737601</v>
      </c>
      <c r="E5592" s="3">
        <v>-2.7414443616787101</v>
      </c>
      <c r="F5592" s="3">
        <v>6.11697195033193E-3</v>
      </c>
      <c r="G5592" s="3">
        <v>2.10361144428492E-2</v>
      </c>
      <c r="H5592" s="3" t="str">
        <f>"LENG9"</f>
        <v>LENG9</v>
      </c>
      <c r="I5592" s="3" t="str">
        <f>"protein_coding"</f>
        <v>protein_coding</v>
      </c>
    </row>
    <row r="5593" spans="1:9" x14ac:dyDescent="0.2">
      <c r="A5593" s="3" t="str">
        <f>"ENSG00000167646.13"</f>
        <v>ENSG00000167646.13</v>
      </c>
      <c r="B5593" s="3">
        <v>73.698667801204493</v>
      </c>
      <c r="C5593" s="3">
        <v>5.1202662239383496</v>
      </c>
      <c r="D5593" s="3">
        <v>0.65414577786626804</v>
      </c>
      <c r="E5593" s="3">
        <v>7.8274085031014602</v>
      </c>
      <c r="F5593" s="4">
        <v>4.9802883861061098E-15</v>
      </c>
      <c r="G5593" s="4">
        <v>1.2369910451798801E-13</v>
      </c>
      <c r="H5593" s="3" t="str">
        <f>"DNAAF3"</f>
        <v>DNAAF3</v>
      </c>
      <c r="I5593" s="3" t="str">
        <f>"protein_coding"</f>
        <v>protein_coding</v>
      </c>
    </row>
    <row r="5594" spans="1:9" x14ac:dyDescent="0.2">
      <c r="A5594" s="3" t="str">
        <f>"ENSG00000267577.1"</f>
        <v>ENSG00000267577.1</v>
      </c>
      <c r="B5594" s="3">
        <v>9.1042758166147895</v>
      </c>
      <c r="C5594" s="3">
        <v>6.5849659476389197</v>
      </c>
      <c r="D5594" s="3">
        <v>1.7963158869328599</v>
      </c>
      <c r="E5594" s="3">
        <v>3.6658173518035899</v>
      </c>
      <c r="F5594" s="3">
        <v>2.4654985342381403E-4</v>
      </c>
      <c r="G5594" s="3">
        <v>1.27859608988174E-3</v>
      </c>
      <c r="H5594" s="3" t="str">
        <f>"AC010327.3"</f>
        <v>AC010327.3</v>
      </c>
      <c r="I5594" s="3" t="str">
        <f>"antisense"</f>
        <v>antisense</v>
      </c>
    </row>
    <row r="5595" spans="1:9" x14ac:dyDescent="0.2">
      <c r="A5595" s="3" t="str">
        <f>"ENSG00000133265.11"</f>
        <v>ENSG00000133265.11</v>
      </c>
      <c r="B5595" s="3">
        <v>814.55189779017996</v>
      </c>
      <c r="C5595" s="3">
        <v>-1.15794381648865</v>
      </c>
      <c r="D5595" s="3">
        <v>0.23315296270404301</v>
      </c>
      <c r="E5595" s="3">
        <v>-4.96645551083349</v>
      </c>
      <c r="F5595" s="4">
        <v>6.8187686875851804E-7</v>
      </c>
      <c r="G5595" s="4">
        <v>6.01070819898523E-6</v>
      </c>
      <c r="H5595" s="3" t="str">
        <f>"HSPBP1"</f>
        <v>HSPBP1</v>
      </c>
      <c r="I5595" s="3" t="str">
        <f t="shared" ref="I5595:I5606" si="251">"protein_coding"</f>
        <v>protein_coding</v>
      </c>
    </row>
    <row r="5596" spans="1:9" x14ac:dyDescent="0.2">
      <c r="A5596" s="3" t="str">
        <f>"ENSG00000160469.16"</f>
        <v>ENSG00000160469.16</v>
      </c>
      <c r="B5596" s="3">
        <v>65.349742843359493</v>
      </c>
      <c r="C5596" s="3">
        <v>2.1357881835928301</v>
      </c>
      <c r="D5596" s="3">
        <v>0.47013281687974101</v>
      </c>
      <c r="E5596" s="3">
        <v>4.5429463906986998</v>
      </c>
      <c r="F5596" s="4">
        <v>5.5473362723265597E-6</v>
      </c>
      <c r="G5596" s="4">
        <v>4.1558501900489903E-5</v>
      </c>
      <c r="H5596" s="3" t="str">
        <f>"BRSK1"</f>
        <v>BRSK1</v>
      </c>
      <c r="I5596" s="3" t="str">
        <f t="shared" si="251"/>
        <v>protein_coding</v>
      </c>
    </row>
    <row r="5597" spans="1:9" x14ac:dyDescent="0.2">
      <c r="A5597" s="3" t="str">
        <f>"ENSG00000180061.9"</f>
        <v>ENSG00000180061.9</v>
      </c>
      <c r="B5597" s="3">
        <v>22.908287933133199</v>
      </c>
      <c r="C5597" s="3">
        <v>1.8839700865051801</v>
      </c>
      <c r="D5597" s="3">
        <v>0.74649398821578505</v>
      </c>
      <c r="E5597" s="3">
        <v>2.5237578818392201</v>
      </c>
      <c r="F5597" s="3">
        <v>1.16107865494829E-2</v>
      </c>
      <c r="G5597" s="3">
        <v>3.6031788281749598E-2</v>
      </c>
      <c r="H5597" s="3" t="str">
        <f>"TMEM150B"</f>
        <v>TMEM150B</v>
      </c>
      <c r="I5597" s="3" t="str">
        <f t="shared" si="251"/>
        <v>protein_coding</v>
      </c>
    </row>
    <row r="5598" spans="1:9" x14ac:dyDescent="0.2">
      <c r="A5598" s="3" t="str">
        <f>"ENSG00000095752.7"</f>
        <v>ENSG00000095752.7</v>
      </c>
      <c r="B5598" s="3">
        <v>137.67028077315899</v>
      </c>
      <c r="C5598" s="3">
        <v>1.20255735177565</v>
      </c>
      <c r="D5598" s="3">
        <v>0.34798797209369697</v>
      </c>
      <c r="E5598" s="3">
        <v>3.45574401477261</v>
      </c>
      <c r="F5598" s="3">
        <v>5.4877622099583898E-4</v>
      </c>
      <c r="G5598" s="3">
        <v>2.6017932301154699E-3</v>
      </c>
      <c r="H5598" s="3" t="str">
        <f>"IL11"</f>
        <v>IL11</v>
      </c>
      <c r="I5598" s="3" t="str">
        <f t="shared" si="251"/>
        <v>protein_coding</v>
      </c>
    </row>
    <row r="5599" spans="1:9" x14ac:dyDescent="0.2">
      <c r="A5599" s="3" t="str">
        <f>"ENSG00000160472.5"</f>
        <v>ENSG00000160472.5</v>
      </c>
      <c r="B5599" s="3">
        <v>55.335479637087303</v>
      </c>
      <c r="C5599" s="3">
        <v>4.0773295484265502</v>
      </c>
      <c r="D5599" s="3">
        <v>0.61786501726301002</v>
      </c>
      <c r="E5599" s="3">
        <v>6.5990619868529103</v>
      </c>
      <c r="F5599" s="4">
        <v>4.1376729890610698E-11</v>
      </c>
      <c r="G5599" s="4">
        <v>6.7956103636496096E-10</v>
      </c>
      <c r="H5599" s="3" t="str">
        <f>"TMEM190"</f>
        <v>TMEM190</v>
      </c>
      <c r="I5599" s="3" t="str">
        <f t="shared" si="251"/>
        <v>protein_coding</v>
      </c>
    </row>
    <row r="5600" spans="1:9" x14ac:dyDescent="0.2">
      <c r="A5600" s="3" t="str">
        <f>"ENSG00000108106.14"</f>
        <v>ENSG00000108106.14</v>
      </c>
      <c r="B5600" s="3">
        <v>1363.18735767506</v>
      </c>
      <c r="C5600" s="3">
        <v>-1.0399651092662401</v>
      </c>
      <c r="D5600" s="3">
        <v>0.23022807163092099</v>
      </c>
      <c r="E5600" s="3">
        <v>-4.5171081957955401</v>
      </c>
      <c r="F5600" s="4">
        <v>6.2689877699152704E-6</v>
      </c>
      <c r="G5600" s="4">
        <v>4.63656649747235E-5</v>
      </c>
      <c r="H5600" s="3" t="str">
        <f>"UBE2S"</f>
        <v>UBE2S</v>
      </c>
      <c r="I5600" s="3" t="str">
        <f t="shared" si="251"/>
        <v>protein_coding</v>
      </c>
    </row>
    <row r="5601" spans="1:9" x14ac:dyDescent="0.2">
      <c r="A5601" s="3" t="str">
        <f>"ENSG00000187902.11"</f>
        <v>ENSG00000187902.11</v>
      </c>
      <c r="B5601" s="3">
        <v>4.7710694323342899</v>
      </c>
      <c r="C5601" s="3">
        <v>5.6498655801083801</v>
      </c>
      <c r="D5601" s="3">
        <v>2.0548781453748601</v>
      </c>
      <c r="E5601" s="3">
        <v>2.7494893518747898</v>
      </c>
      <c r="F5601" s="3">
        <v>5.9688202149847996E-3</v>
      </c>
      <c r="G5601" s="3">
        <v>2.05942059513348E-2</v>
      </c>
      <c r="H5601" s="3" t="str">
        <f>"SHISA7"</f>
        <v>SHISA7</v>
      </c>
      <c r="I5601" s="3" t="str">
        <f t="shared" si="251"/>
        <v>protein_coding</v>
      </c>
    </row>
    <row r="5602" spans="1:9" x14ac:dyDescent="0.2">
      <c r="A5602" s="3" t="str">
        <f>"ENSG00000197483.10"</f>
        <v>ENSG00000197483.10</v>
      </c>
      <c r="B5602" s="3">
        <v>257.13402846817002</v>
      </c>
      <c r="C5602" s="3">
        <v>-1.2795950470376301</v>
      </c>
      <c r="D5602" s="3">
        <v>0.26727575485733102</v>
      </c>
      <c r="E5602" s="3">
        <v>-4.7875462842511203</v>
      </c>
      <c r="F5602" s="4">
        <v>1.6883280864235599E-6</v>
      </c>
      <c r="G5602" s="4">
        <v>1.38810728336701E-5</v>
      </c>
      <c r="H5602" s="3" t="str">
        <f>"ZNF628"</f>
        <v>ZNF628</v>
      </c>
      <c r="I5602" s="3" t="str">
        <f t="shared" si="251"/>
        <v>protein_coding</v>
      </c>
    </row>
    <row r="5603" spans="1:9" x14ac:dyDescent="0.2">
      <c r="A5603" s="3" t="str">
        <f>"ENSG00000179922.5"</f>
        <v>ENSG00000179922.5</v>
      </c>
      <c r="B5603" s="3">
        <v>128.15307828450699</v>
      </c>
      <c r="C5603" s="3">
        <v>-1.0310569697816701</v>
      </c>
      <c r="D5603" s="3">
        <v>0.34443933314886399</v>
      </c>
      <c r="E5603" s="3">
        <v>-2.9934356229172301</v>
      </c>
      <c r="F5603" s="3">
        <v>2.7585569858712801E-3</v>
      </c>
      <c r="G5603" s="3">
        <v>1.0641710632031001E-2</v>
      </c>
      <c r="H5603" s="3" t="str">
        <f>"ZNF784"</f>
        <v>ZNF784</v>
      </c>
      <c r="I5603" s="3" t="str">
        <f t="shared" si="251"/>
        <v>protein_coding</v>
      </c>
    </row>
    <row r="5604" spans="1:9" x14ac:dyDescent="0.2">
      <c r="A5604" s="3" t="str">
        <f>"ENSG00000173581.7"</f>
        <v>ENSG00000173581.7</v>
      </c>
      <c r="B5604" s="3">
        <v>260.47952468644002</v>
      </c>
      <c r="C5604" s="3">
        <v>-1.04651903800443</v>
      </c>
      <c r="D5604" s="3">
        <v>0.27766888207854901</v>
      </c>
      <c r="E5604" s="3">
        <v>-3.7689460560740402</v>
      </c>
      <c r="F5604" s="3">
        <v>1.6393830959434799E-4</v>
      </c>
      <c r="G5604" s="3">
        <v>8.9354413313006299E-4</v>
      </c>
      <c r="H5604" s="3" t="str">
        <f>"CCDC106"</f>
        <v>CCDC106</v>
      </c>
      <c r="I5604" s="3" t="str">
        <f t="shared" si="251"/>
        <v>protein_coding</v>
      </c>
    </row>
    <row r="5605" spans="1:9" x14ac:dyDescent="0.2">
      <c r="A5605" s="3" t="str">
        <f>"ENSG00000171487.14"</f>
        <v>ENSG00000171487.14</v>
      </c>
      <c r="B5605" s="3">
        <v>4.1822423843077399</v>
      </c>
      <c r="C5605" s="3">
        <v>5.4559790170220399</v>
      </c>
      <c r="D5605" s="3">
        <v>2.1535693190750198</v>
      </c>
      <c r="E5605" s="3">
        <v>2.5334587415860099</v>
      </c>
      <c r="F5605" s="3">
        <v>1.12943035283908E-2</v>
      </c>
      <c r="G5605" s="3">
        <v>3.5206027712854998E-2</v>
      </c>
      <c r="H5605" s="3" t="str">
        <f>"NLRP5"</f>
        <v>NLRP5</v>
      </c>
      <c r="I5605" s="3" t="str">
        <f t="shared" si="251"/>
        <v>protein_coding</v>
      </c>
    </row>
    <row r="5606" spans="1:9" x14ac:dyDescent="0.2">
      <c r="A5606" s="3" t="str">
        <f>"ENSG00000131864.10"</f>
        <v>ENSG00000131864.10</v>
      </c>
      <c r="B5606" s="3">
        <v>6.1661521572278399</v>
      </c>
      <c r="C5606" s="3">
        <v>6.0207072949405402</v>
      </c>
      <c r="D5606" s="3">
        <v>1.93317068918253</v>
      </c>
      <c r="E5606" s="3">
        <v>3.11442095032307</v>
      </c>
      <c r="F5606" s="3">
        <v>1.84306335590704E-3</v>
      </c>
      <c r="G5606" s="3">
        <v>7.5120339952728498E-3</v>
      </c>
      <c r="H5606" s="3" t="str">
        <f>"USP29"</f>
        <v>USP29</v>
      </c>
      <c r="I5606" s="3" t="str">
        <f t="shared" si="251"/>
        <v>protein_coding</v>
      </c>
    </row>
    <row r="5607" spans="1:9" x14ac:dyDescent="0.2">
      <c r="A5607" s="3" t="str">
        <f>"ENSG00000268379.1"</f>
        <v>ENSG00000268379.1</v>
      </c>
      <c r="B5607" s="3">
        <v>33.6003186710468</v>
      </c>
      <c r="C5607" s="3">
        <v>2.37637470030668</v>
      </c>
      <c r="D5607" s="3">
        <v>0.64335385495072595</v>
      </c>
      <c r="E5607" s="3">
        <v>3.6937288585745498</v>
      </c>
      <c r="F5607" s="3">
        <v>2.2098943664627501E-4</v>
      </c>
      <c r="G5607" s="3">
        <v>1.1624129691700899E-3</v>
      </c>
      <c r="H5607" s="3" t="str">
        <f>"AC025588.1"</f>
        <v>AC025588.1</v>
      </c>
      <c r="I5607" s="3" t="str">
        <f>"processed_pseudogene"</f>
        <v>processed_pseudogene</v>
      </c>
    </row>
    <row r="5608" spans="1:9" x14ac:dyDescent="0.2">
      <c r="A5608" s="3" t="str">
        <f>"ENSG00000186230.7"</f>
        <v>ENSG00000186230.7</v>
      </c>
      <c r="B5608" s="3">
        <v>442.84582015045697</v>
      </c>
      <c r="C5608" s="3">
        <v>-1.3009702624996</v>
      </c>
      <c r="D5608" s="3">
        <v>0.23222680383504901</v>
      </c>
      <c r="E5608" s="3">
        <v>-5.6021537609572398</v>
      </c>
      <c r="F5608" s="4">
        <v>2.1170462587572298E-8</v>
      </c>
      <c r="G5608" s="4">
        <v>2.4094886972580699E-7</v>
      </c>
      <c r="H5608" s="3" t="str">
        <f>"ZNF749"</f>
        <v>ZNF749</v>
      </c>
      <c r="I5608" s="3" t="str">
        <f>"protein_coding"</f>
        <v>protein_coding</v>
      </c>
    </row>
    <row r="5609" spans="1:9" x14ac:dyDescent="0.2">
      <c r="A5609" s="3" t="str">
        <f>"ENSG00000276449.1"</f>
        <v>ENSG00000276449.1</v>
      </c>
      <c r="B5609" s="3">
        <v>47.704953373875597</v>
      </c>
      <c r="C5609" s="3">
        <v>-1.4439441514390701</v>
      </c>
      <c r="D5609" s="3">
        <v>0.53494986840391401</v>
      </c>
      <c r="E5609" s="3">
        <v>-2.6992139576503602</v>
      </c>
      <c r="F5609" s="3">
        <v>6.9503475933757001E-3</v>
      </c>
      <c r="G5609" s="3">
        <v>2.3478318978019799E-2</v>
      </c>
      <c r="H5609" s="3" t="str">
        <f>"AC004076.2"</f>
        <v>AC004076.2</v>
      </c>
      <c r="I5609" s="3" t="str">
        <f>"antisense"</f>
        <v>antisense</v>
      </c>
    </row>
    <row r="5610" spans="1:9" x14ac:dyDescent="0.2">
      <c r="A5610" s="3" t="str">
        <f>"ENSG00000251369.8"</f>
        <v>ENSG00000251369.8</v>
      </c>
      <c r="B5610" s="3">
        <v>920.33494351060995</v>
      </c>
      <c r="C5610" s="3">
        <v>2.0417669246417698</v>
      </c>
      <c r="D5610" s="3">
        <v>0.20475787864862099</v>
      </c>
      <c r="E5610" s="3">
        <v>9.9716159305673706</v>
      </c>
      <c r="F5610" s="4">
        <v>2.02900420315864E-23</v>
      </c>
      <c r="G5610" s="4">
        <v>1.0015267667294099E-21</v>
      </c>
      <c r="H5610" s="3" t="str">
        <f>"ZNF550"</f>
        <v>ZNF550</v>
      </c>
      <c r="I5610" s="3" t="str">
        <f>"protein_coding"</f>
        <v>protein_coding</v>
      </c>
    </row>
    <row r="5611" spans="1:9" x14ac:dyDescent="0.2">
      <c r="A5611" s="3" t="str">
        <f>"ENSG00000121417.14"</f>
        <v>ENSG00000121417.14</v>
      </c>
      <c r="B5611" s="3">
        <v>466.93708872889403</v>
      </c>
      <c r="C5611" s="3">
        <v>1.2897781628729199</v>
      </c>
      <c r="D5611" s="3">
        <v>0.22806191279083199</v>
      </c>
      <c r="E5611" s="3">
        <v>5.6553860620113401</v>
      </c>
      <c r="F5611" s="4">
        <v>1.5549635480252299E-8</v>
      </c>
      <c r="G5611" s="4">
        <v>1.7998339759151899E-7</v>
      </c>
      <c r="H5611" s="3" t="str">
        <f>"ZNF211"</f>
        <v>ZNF211</v>
      </c>
      <c r="I5611" s="3" t="str">
        <f>"protein_coding"</f>
        <v>protein_coding</v>
      </c>
    </row>
    <row r="5612" spans="1:9" x14ac:dyDescent="0.2">
      <c r="A5612" s="3" t="str">
        <f>"ENSG00000269097.1"</f>
        <v>ENSG00000269097.1</v>
      </c>
      <c r="B5612" s="3">
        <v>315.68149450917298</v>
      </c>
      <c r="C5612" s="3">
        <v>3.8384908206000201</v>
      </c>
      <c r="D5612" s="3">
        <v>0.29362027445198102</v>
      </c>
      <c r="E5612" s="3">
        <v>13.0729760666707</v>
      </c>
      <c r="F5612" s="4">
        <v>4.69905013371062E-39</v>
      </c>
      <c r="G5612" s="4">
        <v>6.1260774637901097E-37</v>
      </c>
      <c r="H5612" s="3" t="str">
        <f>"TPRG1LP1"</f>
        <v>TPRG1LP1</v>
      </c>
      <c r="I5612" s="3" t="str">
        <f>"processed_pseudogene"</f>
        <v>processed_pseudogene</v>
      </c>
    </row>
    <row r="5613" spans="1:9" x14ac:dyDescent="0.2">
      <c r="A5613" s="3" t="str">
        <f>"ENSG00000180532.10"</f>
        <v>ENSG00000180532.10</v>
      </c>
      <c r="B5613" s="3">
        <v>313.57392316841901</v>
      </c>
      <c r="C5613" s="3">
        <v>5.6303282905956804</v>
      </c>
      <c r="D5613" s="3">
        <v>0.41010813522338901</v>
      </c>
      <c r="E5613" s="3">
        <v>13.728887108100899</v>
      </c>
      <c r="F5613" s="4">
        <v>6.8172620436368897E-43</v>
      </c>
      <c r="G5613" s="4">
        <v>1.0614282223027101E-40</v>
      </c>
      <c r="H5613" s="3" t="str">
        <f>"ZSCAN4"</f>
        <v>ZSCAN4</v>
      </c>
      <c r="I5613" s="3" t="str">
        <f>"protein_coding"</f>
        <v>protein_coding</v>
      </c>
    </row>
    <row r="5614" spans="1:9" x14ac:dyDescent="0.2">
      <c r="A5614" s="3" t="str">
        <f>"ENSG00000283103.2"</f>
        <v>ENSG00000283103.2</v>
      </c>
      <c r="B5614" s="3">
        <v>120.66300570716599</v>
      </c>
      <c r="C5614" s="3">
        <v>-1.18765342108921</v>
      </c>
      <c r="D5614" s="3">
        <v>0.34501589693432999</v>
      </c>
      <c r="E5614" s="3">
        <v>-3.4423150690800299</v>
      </c>
      <c r="F5614" s="3">
        <v>5.7675806603937798E-4</v>
      </c>
      <c r="G5614" s="3">
        <v>2.7193159760122701E-3</v>
      </c>
      <c r="H5614" s="3" t="str">
        <f>"AC010642.2"</f>
        <v>AC010642.2</v>
      </c>
      <c r="I5614" s="3" t="str">
        <f>"antisense"</f>
        <v>antisense</v>
      </c>
    </row>
    <row r="5615" spans="1:9" x14ac:dyDescent="0.2">
      <c r="A5615" s="3" t="str">
        <f>"ENSG00000152475.7"</f>
        <v>ENSG00000152475.7</v>
      </c>
      <c r="B5615" s="3">
        <v>59.340528474617798</v>
      </c>
      <c r="C5615" s="3">
        <v>1.77682815440298</v>
      </c>
      <c r="D5615" s="3">
        <v>0.48096792048897802</v>
      </c>
      <c r="E5615" s="3">
        <v>3.6942758107371501</v>
      </c>
      <c r="F5615" s="3">
        <v>2.2051434923814399E-4</v>
      </c>
      <c r="G5615" s="3">
        <v>1.1608103697240599E-3</v>
      </c>
      <c r="H5615" s="3" t="str">
        <f>"ZNF837"</f>
        <v>ZNF837</v>
      </c>
      <c r="I5615" s="3" t="str">
        <f>"protein_coding"</f>
        <v>protein_coding</v>
      </c>
    </row>
    <row r="5616" spans="1:9" x14ac:dyDescent="0.2">
      <c r="A5616" s="3" t="str">
        <f>"ENSG00000232098.3"</f>
        <v>ENSG00000232098.3</v>
      </c>
      <c r="B5616" s="3">
        <v>514.98026567759905</v>
      </c>
      <c r="C5616" s="3">
        <v>1.0027867492990501</v>
      </c>
      <c r="D5616" s="3">
        <v>0.24346300598756701</v>
      </c>
      <c r="E5616" s="3">
        <v>4.1188464967456104</v>
      </c>
      <c r="F5616" s="4">
        <v>3.8077368325370503E-5</v>
      </c>
      <c r="G5616" s="3">
        <v>2.3861408803159401E-4</v>
      </c>
      <c r="H5616" s="3" t="str">
        <f>"AC012313.1"</f>
        <v>AC012313.1</v>
      </c>
      <c r="I5616" s="3" t="str">
        <f>"lincRNA"</f>
        <v>lincRNA</v>
      </c>
    </row>
    <row r="5617" spans="1:9" x14ac:dyDescent="0.2">
      <c r="A5617" s="3" t="str">
        <f>"ENSG00000083807.10"</f>
        <v>ENSG00000083807.10</v>
      </c>
      <c r="B5617" s="3">
        <v>357.20639327854701</v>
      </c>
      <c r="C5617" s="3">
        <v>-1.10661294975658</v>
      </c>
      <c r="D5617" s="3">
        <v>0.253503563982172</v>
      </c>
      <c r="E5617" s="3">
        <v>-4.3652757080543703</v>
      </c>
      <c r="F5617" s="4">
        <v>1.2696251781033101E-5</v>
      </c>
      <c r="G5617" s="4">
        <v>8.8136247714091397E-5</v>
      </c>
      <c r="H5617" s="3" t="str">
        <f>"SLC27A5"</f>
        <v>SLC27A5</v>
      </c>
      <c r="I5617" s="3" t="str">
        <f>"protein_coding"</f>
        <v>protein_coding</v>
      </c>
    </row>
    <row r="5618" spans="1:9" x14ac:dyDescent="0.2">
      <c r="A5618" s="3" t="str">
        <f>"ENSG00000267858.5"</f>
        <v>ENSG00000267858.5</v>
      </c>
      <c r="B5618" s="3">
        <v>242.688366682008</v>
      </c>
      <c r="C5618" s="3">
        <v>1.7456663155368499</v>
      </c>
      <c r="D5618" s="3">
        <v>0.27412638735973599</v>
      </c>
      <c r="E5618" s="3">
        <v>6.3681075446633697</v>
      </c>
      <c r="F5618" s="4">
        <v>1.9137471824537E-10</v>
      </c>
      <c r="G5618" s="4">
        <v>2.8571983276885499E-9</v>
      </c>
      <c r="H5618" s="3" t="str">
        <f>"MZF1-AS1"</f>
        <v>MZF1-AS1</v>
      </c>
      <c r="I5618" s="3" t="str">
        <f>"antisense"</f>
        <v>antisense</v>
      </c>
    </row>
    <row r="5619" spans="1:9" x14ac:dyDescent="0.2">
      <c r="A5619" s="3" t="str">
        <f>"ENSG00000196476.12"</f>
        <v>ENSG00000196476.12</v>
      </c>
      <c r="B5619" s="3">
        <v>388.92032410665502</v>
      </c>
      <c r="C5619" s="3">
        <v>-1.63330438059698</v>
      </c>
      <c r="D5619" s="3">
        <v>0.25657039250802699</v>
      </c>
      <c r="E5619" s="3">
        <v>-6.3659113767223898</v>
      </c>
      <c r="F5619" s="4">
        <v>1.9413350690098601E-10</v>
      </c>
      <c r="G5619" s="4">
        <v>2.89249758290758E-9</v>
      </c>
      <c r="H5619" s="3" t="str">
        <f>"C20orf96"</f>
        <v>C20orf96</v>
      </c>
      <c r="I5619" s="3" t="str">
        <f t="shared" ref="I5619:I5626" si="252">"protein_coding"</f>
        <v>protein_coding</v>
      </c>
    </row>
    <row r="5620" spans="1:9" x14ac:dyDescent="0.2">
      <c r="A5620" s="3" t="str">
        <f>"ENSG00000177732.8"</f>
        <v>ENSG00000177732.8</v>
      </c>
      <c r="B5620" s="3">
        <v>4578.1000518749797</v>
      </c>
      <c r="C5620" s="3">
        <v>-1.51811788359772</v>
      </c>
      <c r="D5620" s="3">
        <v>0.209311453317053</v>
      </c>
      <c r="E5620" s="3">
        <v>-7.2529135866165904</v>
      </c>
      <c r="F5620" s="4">
        <v>4.0790034339433198E-13</v>
      </c>
      <c r="G5620" s="4">
        <v>8.4969882694689392E-12</v>
      </c>
      <c r="H5620" s="3" t="str">
        <f>"SOX12"</f>
        <v>SOX12</v>
      </c>
      <c r="I5620" s="3" t="str">
        <f t="shared" si="252"/>
        <v>protein_coding</v>
      </c>
    </row>
    <row r="5621" spans="1:9" x14ac:dyDescent="0.2">
      <c r="A5621" s="3" t="str">
        <f>"ENSG00000101255.11"</f>
        <v>ENSG00000101255.11</v>
      </c>
      <c r="B5621" s="3">
        <v>3554.7439048220699</v>
      </c>
      <c r="C5621" s="3">
        <v>-2.2805068913346398</v>
      </c>
      <c r="D5621" s="3">
        <v>0.201459813331794</v>
      </c>
      <c r="E5621" s="3">
        <v>-11.3199096813356</v>
      </c>
      <c r="F5621" s="4">
        <v>1.04579609443355E-29</v>
      </c>
      <c r="G5621" s="4">
        <v>8.0267059676143502E-28</v>
      </c>
      <c r="H5621" s="3" t="str">
        <f>"TRIB3"</f>
        <v>TRIB3</v>
      </c>
      <c r="I5621" s="3" t="str">
        <f t="shared" si="252"/>
        <v>protein_coding</v>
      </c>
    </row>
    <row r="5622" spans="1:9" x14ac:dyDescent="0.2">
      <c r="A5622" s="3" t="str">
        <f>"ENSG00000215397.4"</f>
        <v>ENSG00000215397.4</v>
      </c>
      <c r="B5622" s="3">
        <v>4.8465514323206698</v>
      </c>
      <c r="C5622" s="3">
        <v>5.6768670601366198</v>
      </c>
      <c r="D5622" s="3">
        <v>2.0625215872145701</v>
      </c>
      <c r="E5622" s="3">
        <v>2.75239158480916</v>
      </c>
      <c r="F5622" s="3">
        <v>5.9161731801165201E-3</v>
      </c>
      <c r="G5622" s="3">
        <v>2.0448810178692701E-2</v>
      </c>
      <c r="H5622" s="3" t="str">
        <f>"SCRT2"</f>
        <v>SCRT2</v>
      </c>
      <c r="I5622" s="3" t="str">
        <f t="shared" si="252"/>
        <v>protein_coding</v>
      </c>
    </row>
    <row r="5623" spans="1:9" x14ac:dyDescent="0.2">
      <c r="A5623" s="3" t="str">
        <f>"ENSG00000125898.13"</f>
        <v>ENSG00000125898.13</v>
      </c>
      <c r="B5623" s="3">
        <v>317.18913277299202</v>
      </c>
      <c r="C5623" s="3">
        <v>1.5225531284285301</v>
      </c>
      <c r="D5623" s="3">
        <v>0.27629776061556699</v>
      </c>
      <c r="E5623" s="3">
        <v>5.5105518229189201</v>
      </c>
      <c r="F5623" s="4">
        <v>3.5771047117220699E-8</v>
      </c>
      <c r="G5623" s="4">
        <v>3.9127006053910602E-7</v>
      </c>
      <c r="H5623" s="3" t="str">
        <f>"FAM110A"</f>
        <v>FAM110A</v>
      </c>
      <c r="I5623" s="3" t="str">
        <f t="shared" si="252"/>
        <v>protein_coding</v>
      </c>
    </row>
    <row r="5624" spans="1:9" x14ac:dyDescent="0.2">
      <c r="A5624" s="3" t="str">
        <f>"ENSG00000101280.8"</f>
        <v>ENSG00000101280.8</v>
      </c>
      <c r="B5624" s="3">
        <v>37.362299781807401</v>
      </c>
      <c r="C5624" s="3">
        <v>8.61942229486983</v>
      </c>
      <c r="D5624" s="3">
        <v>1.54114047882428</v>
      </c>
      <c r="E5624" s="3">
        <v>5.5928855372389403</v>
      </c>
      <c r="F5624" s="4">
        <v>2.2332652871544199E-8</v>
      </c>
      <c r="G5624" s="4">
        <v>2.5354074699623498E-7</v>
      </c>
      <c r="H5624" s="3" t="str">
        <f>"ANGPT4"</f>
        <v>ANGPT4</v>
      </c>
      <c r="I5624" s="3" t="str">
        <f t="shared" si="252"/>
        <v>protein_coding</v>
      </c>
    </row>
    <row r="5625" spans="1:9" x14ac:dyDescent="0.2">
      <c r="A5625" s="3" t="str">
        <f>"ENSG00000125895.5"</f>
        <v>ENSG00000125895.5</v>
      </c>
      <c r="B5625" s="3">
        <v>148.11189071191501</v>
      </c>
      <c r="C5625" s="3">
        <v>-1.0421915802000501</v>
      </c>
      <c r="D5625" s="3">
        <v>0.320351858010055</v>
      </c>
      <c r="E5625" s="3">
        <v>-3.2532715329758899</v>
      </c>
      <c r="F5625" s="3">
        <v>1.1408442429908399E-3</v>
      </c>
      <c r="G5625" s="3">
        <v>4.9521400491909203E-3</v>
      </c>
      <c r="H5625" s="3" t="str">
        <f>"TMEM74B"</f>
        <v>TMEM74B</v>
      </c>
      <c r="I5625" s="3" t="str">
        <f t="shared" si="252"/>
        <v>protein_coding</v>
      </c>
    </row>
    <row r="5626" spans="1:9" x14ac:dyDescent="0.2">
      <c r="A5626" s="3" t="str">
        <f>"ENSG00000101298.15"</f>
        <v>ENSG00000101298.15</v>
      </c>
      <c r="B5626" s="3">
        <v>22.137170652800201</v>
      </c>
      <c r="C5626" s="3">
        <v>5.3893953013946403</v>
      </c>
      <c r="D5626" s="3">
        <v>1.22551364096425</v>
      </c>
      <c r="E5626" s="3">
        <v>4.3976624341400301</v>
      </c>
      <c r="F5626" s="4">
        <v>1.0942298788770401E-5</v>
      </c>
      <c r="G5626" s="4">
        <v>7.7059916024198994E-5</v>
      </c>
      <c r="H5626" s="3" t="str">
        <f>"SNPH"</f>
        <v>SNPH</v>
      </c>
      <c r="I5626" s="3" t="str">
        <f t="shared" si="252"/>
        <v>protein_coding</v>
      </c>
    </row>
    <row r="5627" spans="1:9" x14ac:dyDescent="0.2">
      <c r="A5627" s="3" t="str">
        <f>"ENSG00000234684.6"</f>
        <v>ENSG00000234684.6</v>
      </c>
      <c r="B5627" s="3">
        <v>496.48878773525598</v>
      </c>
      <c r="C5627" s="3">
        <v>1.32398986719037</v>
      </c>
      <c r="D5627" s="3">
        <v>0.246695740310373</v>
      </c>
      <c r="E5627" s="3">
        <v>5.3668939136307401</v>
      </c>
      <c r="F5627" s="4">
        <v>8.0104139818058096E-8</v>
      </c>
      <c r="G5627" s="4">
        <v>8.2642843529823105E-7</v>
      </c>
      <c r="H5627" s="3" t="str">
        <f>"SDCBP2-AS1"</f>
        <v>SDCBP2-AS1</v>
      </c>
      <c r="I5627" s="3" t="str">
        <f>"antisense"</f>
        <v>antisense</v>
      </c>
    </row>
    <row r="5628" spans="1:9" x14ac:dyDescent="0.2">
      <c r="A5628" s="3" t="str">
        <f>"ENSG00000229728.1"</f>
        <v>ENSG00000229728.1</v>
      </c>
      <c r="B5628" s="3">
        <v>43.396037531542497</v>
      </c>
      <c r="C5628" s="3">
        <v>3.1514329417582201</v>
      </c>
      <c r="D5628" s="3">
        <v>0.60685917698387604</v>
      </c>
      <c r="E5628" s="3">
        <v>5.19302181013561</v>
      </c>
      <c r="F5628" s="4">
        <v>2.06907934696851E-7</v>
      </c>
      <c r="G5628" s="4">
        <v>1.9949117114950801E-6</v>
      </c>
      <c r="H5628" s="3" t="str">
        <f>"AL136531.1"</f>
        <v>AL136531.1</v>
      </c>
      <c r="I5628" s="3" t="str">
        <f>"antisense"</f>
        <v>antisense</v>
      </c>
    </row>
    <row r="5629" spans="1:9" x14ac:dyDescent="0.2">
      <c r="A5629" s="3" t="str">
        <f>"ENSG00000089012.14"</f>
        <v>ENSG00000089012.14</v>
      </c>
      <c r="B5629" s="3">
        <v>3.9648137554673002</v>
      </c>
      <c r="C5629" s="3">
        <v>5.38581965917892</v>
      </c>
      <c r="D5629" s="3">
        <v>2.16320773319238</v>
      </c>
      <c r="E5629" s="3">
        <v>2.4897376135165499</v>
      </c>
      <c r="F5629" s="3">
        <v>1.2783743375967001E-2</v>
      </c>
      <c r="G5629" s="3">
        <v>3.9066695352733702E-2</v>
      </c>
      <c r="H5629" s="3" t="str">
        <f>"SIRPG"</f>
        <v>SIRPG</v>
      </c>
      <c r="I5629" s="3" t="str">
        <f>"protein_coding"</f>
        <v>protein_coding</v>
      </c>
    </row>
    <row r="5630" spans="1:9" x14ac:dyDescent="0.2">
      <c r="A5630" s="3" t="str">
        <f>"ENSG00000276649.1"</f>
        <v>ENSG00000276649.1</v>
      </c>
      <c r="B5630" s="3">
        <v>12.0393936856289</v>
      </c>
      <c r="C5630" s="3">
        <v>6.9866441689233101</v>
      </c>
      <c r="D5630" s="3">
        <v>1.71389088575245</v>
      </c>
      <c r="E5630" s="3">
        <v>4.0764813133690003</v>
      </c>
      <c r="F5630" s="4">
        <v>4.5722328080542599E-5</v>
      </c>
      <c r="G5630" s="3">
        <v>2.8223748826700101E-4</v>
      </c>
      <c r="H5630" s="3" t="str">
        <f>"AL117335.1"</f>
        <v>AL117335.1</v>
      </c>
      <c r="I5630" s="3" t="str">
        <f>"antisense"</f>
        <v>antisense</v>
      </c>
    </row>
    <row r="5631" spans="1:9" x14ac:dyDescent="0.2">
      <c r="A5631" s="3" t="str">
        <f>"ENSG00000198053.11"</f>
        <v>ENSG00000198053.11</v>
      </c>
      <c r="B5631" s="3">
        <v>795.71299672005</v>
      </c>
      <c r="C5631" s="3">
        <v>6.1413876631227904</v>
      </c>
      <c r="D5631" s="3">
        <v>0.31149777267711898</v>
      </c>
      <c r="E5631" s="3">
        <v>19.715671191936899</v>
      </c>
      <c r="F5631" s="4">
        <v>1.58203385876536E-86</v>
      </c>
      <c r="G5631" s="4">
        <v>1.26781401617E-83</v>
      </c>
      <c r="H5631" s="3" t="str">
        <f>"SIRPA"</f>
        <v>SIRPA</v>
      </c>
      <c r="I5631" s="3" t="str">
        <f t="shared" ref="I5631:I5639" si="253">"protein_coding"</f>
        <v>protein_coding</v>
      </c>
    </row>
    <row r="5632" spans="1:9" x14ac:dyDescent="0.2">
      <c r="A5632" s="3" t="str">
        <f>"ENSG00000101327.9"</f>
        <v>ENSG00000101327.9</v>
      </c>
      <c r="B5632" s="3">
        <v>11.961073794232099</v>
      </c>
      <c r="C5632" s="3">
        <v>5.5038159518293197</v>
      </c>
      <c r="D5632" s="3">
        <v>1.70233018885162</v>
      </c>
      <c r="E5632" s="3">
        <v>3.2331071773697202</v>
      </c>
      <c r="F5632" s="3">
        <v>1.2245161304698499E-3</v>
      </c>
      <c r="G5632" s="3">
        <v>5.2658445402323298E-3</v>
      </c>
      <c r="H5632" s="3" t="str">
        <f>"PDYN"</f>
        <v>PDYN</v>
      </c>
      <c r="I5632" s="3" t="str">
        <f t="shared" si="253"/>
        <v>protein_coding</v>
      </c>
    </row>
    <row r="5633" spans="1:9" x14ac:dyDescent="0.2">
      <c r="A5633" s="3" t="str">
        <f>"ENSG00000125834.12"</f>
        <v>ENSG00000125834.12</v>
      </c>
      <c r="B5633" s="3">
        <v>5365.1047989652197</v>
      </c>
      <c r="C5633" s="3">
        <v>-1.18431836416658</v>
      </c>
      <c r="D5633" s="3">
        <v>0.211267791160588</v>
      </c>
      <c r="E5633" s="3">
        <v>-5.6057686676260099</v>
      </c>
      <c r="F5633" s="4">
        <v>2.0733273222587201E-8</v>
      </c>
      <c r="G5633" s="4">
        <v>2.3617035764876001E-7</v>
      </c>
      <c r="H5633" s="3" t="str">
        <f>"STK35"</f>
        <v>STK35</v>
      </c>
      <c r="I5633" s="3" t="str">
        <f t="shared" si="253"/>
        <v>protein_coding</v>
      </c>
    </row>
    <row r="5634" spans="1:9" x14ac:dyDescent="0.2">
      <c r="A5634" s="3" t="str">
        <f>"ENSG00000125835.18"</f>
        <v>ENSG00000125835.18</v>
      </c>
      <c r="B5634" s="3">
        <v>7724.7469419839299</v>
      </c>
      <c r="C5634" s="3">
        <v>-1.1433487824337401</v>
      </c>
      <c r="D5634" s="3">
        <v>0.23067271430994901</v>
      </c>
      <c r="E5634" s="3">
        <v>-4.9565844224534299</v>
      </c>
      <c r="F5634" s="4">
        <v>7.17432018836619E-7</v>
      </c>
      <c r="G5634" s="4">
        <v>6.2915578426911401E-6</v>
      </c>
      <c r="H5634" s="3" t="str">
        <f>"SNRPB"</f>
        <v>SNRPB</v>
      </c>
      <c r="I5634" s="3" t="str">
        <f t="shared" si="253"/>
        <v>protein_coding</v>
      </c>
    </row>
    <row r="5635" spans="1:9" x14ac:dyDescent="0.2">
      <c r="A5635" s="3" t="str">
        <f>"ENSG00000149488.13"</f>
        <v>ENSG00000149488.13</v>
      </c>
      <c r="B5635" s="3">
        <v>11.884632624688701</v>
      </c>
      <c r="C5635" s="3">
        <v>3.0222485332431201</v>
      </c>
      <c r="D5635" s="3">
        <v>1.1802785411964301</v>
      </c>
      <c r="E5635" s="3">
        <v>2.5606231306887199</v>
      </c>
      <c r="F5635" s="3">
        <v>1.04484630718477E-2</v>
      </c>
      <c r="G5635" s="3">
        <v>3.3022766885353702E-2</v>
      </c>
      <c r="H5635" s="3" t="str">
        <f>"TMC2"</f>
        <v>TMC2</v>
      </c>
      <c r="I5635" s="3" t="str">
        <f t="shared" si="253"/>
        <v>protein_coding</v>
      </c>
    </row>
    <row r="5636" spans="1:9" x14ac:dyDescent="0.2">
      <c r="A5636" s="3" t="str">
        <f>"ENSG00000101361.17"</f>
        <v>ENSG00000101361.17</v>
      </c>
      <c r="B5636" s="3">
        <v>9324.8953517049795</v>
      </c>
      <c r="C5636" s="3">
        <v>-1.06057045895885</v>
      </c>
      <c r="D5636" s="3">
        <v>0.18327740699348599</v>
      </c>
      <c r="E5636" s="3">
        <v>-5.7866950234435999</v>
      </c>
      <c r="F5636" s="4">
        <v>7.1784735211004603E-9</v>
      </c>
      <c r="G5636" s="4">
        <v>8.71233265164473E-8</v>
      </c>
      <c r="H5636" s="3" t="str">
        <f>"NOP56"</f>
        <v>NOP56</v>
      </c>
      <c r="I5636" s="3" t="str">
        <f t="shared" si="253"/>
        <v>protein_coding</v>
      </c>
    </row>
    <row r="5637" spans="1:9" x14ac:dyDescent="0.2">
      <c r="A5637" s="3" t="str">
        <f>"ENSG00000088881.20"</f>
        <v>ENSG00000088881.20</v>
      </c>
      <c r="B5637" s="3">
        <v>81.422201122450701</v>
      </c>
      <c r="C5637" s="3">
        <v>1.21135421699612</v>
      </c>
      <c r="D5637" s="3">
        <v>0.40636675188215698</v>
      </c>
      <c r="E5637" s="3">
        <v>2.9809383060634902</v>
      </c>
      <c r="F5637" s="3">
        <v>2.8736667882687098E-3</v>
      </c>
      <c r="G5637" s="3">
        <v>1.10140383992063E-2</v>
      </c>
      <c r="H5637" s="3" t="str">
        <f>"EBF4"</f>
        <v>EBF4</v>
      </c>
      <c r="I5637" s="3" t="str">
        <f t="shared" si="253"/>
        <v>protein_coding</v>
      </c>
    </row>
    <row r="5638" spans="1:9" x14ac:dyDescent="0.2">
      <c r="A5638" s="3" t="str">
        <f>"ENSG00000125901.6"</f>
        <v>ENSG00000125901.6</v>
      </c>
      <c r="B5638" s="3">
        <v>2367.47976439988</v>
      </c>
      <c r="C5638" s="3">
        <v>-1.16682786745765</v>
      </c>
      <c r="D5638" s="3">
        <v>0.23634026863445901</v>
      </c>
      <c r="E5638" s="3">
        <v>-4.9370675348700503</v>
      </c>
      <c r="F5638" s="4">
        <v>7.9306013900029202E-7</v>
      </c>
      <c r="G5638" s="4">
        <v>6.9125110708064398E-6</v>
      </c>
      <c r="H5638" s="3" t="str">
        <f>"MRPS26"</f>
        <v>MRPS26</v>
      </c>
      <c r="I5638" s="3" t="str">
        <f t="shared" si="253"/>
        <v>protein_coding</v>
      </c>
    </row>
    <row r="5639" spans="1:9" x14ac:dyDescent="0.2">
      <c r="A5639" s="3" t="str">
        <f>"ENSG00000088836.13"</f>
        <v>ENSG00000088836.13</v>
      </c>
      <c r="B5639" s="3">
        <v>5742.1744409512603</v>
      </c>
      <c r="C5639" s="3">
        <v>1.4275270481294</v>
      </c>
      <c r="D5639" s="3">
        <v>0.19804004725580801</v>
      </c>
      <c r="E5639" s="3">
        <v>7.2082746288455102</v>
      </c>
      <c r="F5639" s="4">
        <v>5.6665259724281799E-13</v>
      </c>
      <c r="G5639" s="4">
        <v>1.1617444181395801E-11</v>
      </c>
      <c r="H5639" s="3" t="str">
        <f>"SLC4A11"</f>
        <v>SLC4A11</v>
      </c>
      <c r="I5639" s="3" t="str">
        <f t="shared" si="253"/>
        <v>protein_coding</v>
      </c>
    </row>
    <row r="5640" spans="1:9" x14ac:dyDescent="0.2">
      <c r="A5640" s="3" t="str">
        <f>"ENSG00000277287.1"</f>
        <v>ENSG00000277287.1</v>
      </c>
      <c r="B5640" s="3">
        <v>569.48937587343596</v>
      </c>
      <c r="C5640" s="3">
        <v>3.60776361915643</v>
      </c>
      <c r="D5640" s="3">
        <v>0.24948773409072</v>
      </c>
      <c r="E5640" s="3">
        <v>14.4606853411261</v>
      </c>
      <c r="F5640" s="4">
        <v>2.1464984085685899E-47</v>
      </c>
      <c r="G5640" s="4">
        <v>3.8225909894293001E-45</v>
      </c>
      <c r="H5640" s="3" t="str">
        <f>"AL109976.1"</f>
        <v>AL109976.1</v>
      </c>
      <c r="I5640" s="3" t="str">
        <f>"lincRNA"</f>
        <v>lincRNA</v>
      </c>
    </row>
    <row r="5641" spans="1:9" x14ac:dyDescent="0.2">
      <c r="A5641" s="3" t="str">
        <f>"ENSG00000101220.17"</f>
        <v>ENSG00000101220.17</v>
      </c>
      <c r="B5641" s="3">
        <v>1783.1801868033201</v>
      </c>
      <c r="C5641" s="3">
        <v>-2.2179630308092801</v>
      </c>
      <c r="D5641" s="3">
        <v>0.238919945988842</v>
      </c>
      <c r="E5641" s="3">
        <v>-9.2832895203854893</v>
      </c>
      <c r="F5641" s="4">
        <v>1.6432524670047099E-20</v>
      </c>
      <c r="G5641" s="4">
        <v>6.6826417863399103E-19</v>
      </c>
      <c r="H5641" s="3" t="str">
        <f>"C20orf27"</f>
        <v>C20orf27</v>
      </c>
      <c r="I5641" s="3" t="str">
        <f>"protein_coding"</f>
        <v>protein_coding</v>
      </c>
    </row>
    <row r="5642" spans="1:9" x14ac:dyDescent="0.2">
      <c r="A5642" s="3" t="str">
        <f>"ENSG00000125843.11"</f>
        <v>ENSG00000125843.11</v>
      </c>
      <c r="B5642" s="3">
        <v>669.937486473332</v>
      </c>
      <c r="C5642" s="3">
        <v>-1.34094046325188</v>
      </c>
      <c r="D5642" s="3">
        <v>0.210654897085642</v>
      </c>
      <c r="E5642" s="3">
        <v>-6.3655793518378001</v>
      </c>
      <c r="F5642" s="4">
        <v>1.9455395774097399E-10</v>
      </c>
      <c r="G5642" s="4">
        <v>2.8967276975783099E-9</v>
      </c>
      <c r="H5642" s="3" t="str">
        <f>"AP5S1"</f>
        <v>AP5S1</v>
      </c>
      <c r="I5642" s="3" t="str">
        <f>"protein_coding"</f>
        <v>protein_coding</v>
      </c>
    </row>
    <row r="5643" spans="1:9" x14ac:dyDescent="0.2">
      <c r="A5643" s="3" t="str">
        <f>"ENSG00000229539.1"</f>
        <v>ENSG00000229539.1</v>
      </c>
      <c r="B5643" s="3">
        <v>144.14279069125899</v>
      </c>
      <c r="C5643" s="3">
        <v>1.1824329086077101</v>
      </c>
      <c r="D5643" s="3">
        <v>0.32421810144998398</v>
      </c>
      <c r="E5643" s="3">
        <v>3.6470292784998102</v>
      </c>
      <c r="F5643" s="3">
        <v>2.6528970554709898E-4</v>
      </c>
      <c r="G5643" s="3">
        <v>1.36569528919803E-3</v>
      </c>
      <c r="H5643" s="3" t="str">
        <f>"AL353194.1"</f>
        <v>AL353194.1</v>
      </c>
      <c r="I5643" s="3" t="str">
        <f>"antisense"</f>
        <v>antisense</v>
      </c>
    </row>
    <row r="5644" spans="1:9" x14ac:dyDescent="0.2">
      <c r="A5644" s="3" t="str">
        <f>"ENSG00000125779.22"</f>
        <v>ENSG00000125779.22</v>
      </c>
      <c r="B5644" s="3">
        <v>4614.6648369866298</v>
      </c>
      <c r="C5644" s="3">
        <v>1.3110334632507701</v>
      </c>
      <c r="D5644" s="3">
        <v>0.17583167020687401</v>
      </c>
      <c r="E5644" s="3">
        <v>7.4561850075602401</v>
      </c>
      <c r="F5644" s="4">
        <v>8.9063662993017298E-14</v>
      </c>
      <c r="G5644" s="4">
        <v>1.9923790029316398E-12</v>
      </c>
      <c r="H5644" s="3" t="str">
        <f>"PANK2"</f>
        <v>PANK2</v>
      </c>
      <c r="I5644" s="3" t="str">
        <f>"protein_coding"</f>
        <v>protein_coding</v>
      </c>
    </row>
    <row r="5645" spans="1:9" x14ac:dyDescent="0.2">
      <c r="A5645" s="3" t="str">
        <f>"ENSG00000226608.3"</f>
        <v>ENSG00000226608.3</v>
      </c>
      <c r="B5645" s="3">
        <v>105.47799757632301</v>
      </c>
      <c r="C5645" s="3">
        <v>-1.0392983586512701</v>
      </c>
      <c r="D5645" s="3">
        <v>0.36937777094480001</v>
      </c>
      <c r="E5645" s="3">
        <v>-2.81364619206223</v>
      </c>
      <c r="F5645" s="3">
        <v>4.8983107746175701E-3</v>
      </c>
      <c r="G5645" s="3">
        <v>1.7428084836250302E-2</v>
      </c>
      <c r="H5645" s="3" t="str">
        <f>"FTLP3"</f>
        <v>FTLP3</v>
      </c>
      <c r="I5645" s="3" t="str">
        <f>"processed_pseudogene"</f>
        <v>processed_pseudogene</v>
      </c>
    </row>
    <row r="5646" spans="1:9" x14ac:dyDescent="0.2">
      <c r="A5646" s="3" t="str">
        <f>"ENSG00000101265.16"</f>
        <v>ENSG00000101265.16</v>
      </c>
      <c r="B5646" s="3">
        <v>69.406692357117905</v>
      </c>
      <c r="C5646" s="3">
        <v>2.3490734955214601</v>
      </c>
      <c r="D5646" s="3">
        <v>0.46815614690054502</v>
      </c>
      <c r="E5646" s="3">
        <v>5.0177136647113096</v>
      </c>
      <c r="F5646" s="4">
        <v>5.2290032561194204E-7</v>
      </c>
      <c r="G5646" s="4">
        <v>4.7130218894967201E-6</v>
      </c>
      <c r="H5646" s="3" t="str">
        <f>"RASSF2"</f>
        <v>RASSF2</v>
      </c>
      <c r="I5646" s="3" t="str">
        <f>"protein_coding"</f>
        <v>protein_coding</v>
      </c>
    </row>
    <row r="5647" spans="1:9" x14ac:dyDescent="0.2">
      <c r="A5647" s="3" t="str">
        <f>"ENSG00000252367.1"</f>
        <v>ENSG00000252367.1</v>
      </c>
      <c r="B5647" s="3">
        <v>15.530447662838201</v>
      </c>
      <c r="C5647" s="3">
        <v>2.50681742873663</v>
      </c>
      <c r="D5647" s="3">
        <v>0.92330796192056197</v>
      </c>
      <c r="E5647" s="3">
        <v>2.71503932828894</v>
      </c>
      <c r="F5647" s="3">
        <v>6.6267900350794303E-3</v>
      </c>
      <c r="G5647" s="3">
        <v>2.2502510977792801E-2</v>
      </c>
      <c r="H5647" s="3" t="str">
        <f>"RF00019"</f>
        <v>RF00019</v>
      </c>
      <c r="I5647" s="3" t="str">
        <f>"misc_RNA"</f>
        <v>misc_RNA</v>
      </c>
    </row>
    <row r="5648" spans="1:9" x14ac:dyDescent="0.2">
      <c r="A5648" s="3" t="str">
        <f>"ENSG00000132646.11"</f>
        <v>ENSG00000132646.11</v>
      </c>
      <c r="B5648" s="3">
        <v>19358.105384946201</v>
      </c>
      <c r="C5648" s="3">
        <v>1.5679346561123</v>
      </c>
      <c r="D5648" s="3">
        <v>0.181849197554241</v>
      </c>
      <c r="E5648" s="3">
        <v>8.62216978243538</v>
      </c>
      <c r="F5648" s="4">
        <v>6.5697199208034003E-18</v>
      </c>
      <c r="G5648" s="4">
        <v>2.1009995150484801E-16</v>
      </c>
      <c r="H5648" s="3" t="str">
        <f>"PCNA"</f>
        <v>PCNA</v>
      </c>
      <c r="I5648" s="3" t="str">
        <f>"protein_coding"</f>
        <v>protein_coding</v>
      </c>
    </row>
    <row r="5649" spans="1:9" x14ac:dyDescent="0.2">
      <c r="A5649" s="3" t="str">
        <f>"ENSG00000226995.8"</f>
        <v>ENSG00000226995.8</v>
      </c>
      <c r="B5649" s="3">
        <v>4.2909566987279701</v>
      </c>
      <c r="C5649" s="3">
        <v>5.4906776166512303</v>
      </c>
      <c r="D5649" s="3">
        <v>2.2108381641221801</v>
      </c>
      <c r="E5649" s="3">
        <v>2.4835276076534099</v>
      </c>
      <c r="F5649" s="3">
        <v>1.30088250259493E-2</v>
      </c>
      <c r="G5649" s="3">
        <v>3.9643379429822101E-2</v>
      </c>
      <c r="H5649" s="3" t="str">
        <f>"LINC00658"</f>
        <v>LINC00658</v>
      </c>
      <c r="I5649" s="3" t="str">
        <f>"lincRNA"</f>
        <v>lincRNA</v>
      </c>
    </row>
    <row r="5650" spans="1:9" x14ac:dyDescent="0.2">
      <c r="A5650" s="3" t="str">
        <f>"ENSG00000230563.3"</f>
        <v>ENSG00000230563.3</v>
      </c>
      <c r="B5650" s="3">
        <v>13.0808636734687</v>
      </c>
      <c r="C5650" s="3">
        <v>4.6000725381534702</v>
      </c>
      <c r="D5650" s="3">
        <v>1.36032627342214</v>
      </c>
      <c r="E5650" s="3">
        <v>3.3815950099832999</v>
      </c>
      <c r="F5650" s="3">
        <v>7.2066306396822999E-4</v>
      </c>
      <c r="G5650" s="3">
        <v>3.3212797306223902E-3</v>
      </c>
      <c r="H5650" s="3" t="str">
        <f>"AL121757.1"</f>
        <v>AL121757.1</v>
      </c>
      <c r="I5650" s="3" t="str">
        <f>"lincRNA"</f>
        <v>lincRNA</v>
      </c>
    </row>
    <row r="5651" spans="1:9" x14ac:dyDescent="0.2">
      <c r="A5651" s="3" t="str">
        <f>"ENSG00000205181.6"</f>
        <v>ENSG00000205181.6</v>
      </c>
      <c r="B5651" s="3">
        <v>143.175012660161</v>
      </c>
      <c r="C5651" s="3">
        <v>2.5433530079076898</v>
      </c>
      <c r="D5651" s="3">
        <v>0.381991347887434</v>
      </c>
      <c r="E5651" s="3">
        <v>6.6581429709689903</v>
      </c>
      <c r="F5651" s="4">
        <v>2.7730895953750999E-11</v>
      </c>
      <c r="G5651" s="4">
        <v>4.6612197535586297E-10</v>
      </c>
      <c r="H5651" s="3" t="str">
        <f>"LINC00654"</f>
        <v>LINC00654</v>
      </c>
      <c r="I5651" s="3" t="str">
        <f>"lincRNA"</f>
        <v>lincRNA</v>
      </c>
    </row>
    <row r="5652" spans="1:9" x14ac:dyDescent="0.2">
      <c r="A5652" s="3" t="str">
        <f>"ENSG00000125772.12"</f>
        <v>ENSG00000125772.12</v>
      </c>
      <c r="B5652" s="3">
        <v>1552.71610100359</v>
      </c>
      <c r="C5652" s="3">
        <v>2.0641274679220998</v>
      </c>
      <c r="D5652" s="3">
        <v>0.22991086060472499</v>
      </c>
      <c r="E5652" s="3">
        <v>8.9779467681209599</v>
      </c>
      <c r="F5652" s="4">
        <v>2.7586649200258702E-19</v>
      </c>
      <c r="G5652" s="4">
        <v>9.9032072563827396E-18</v>
      </c>
      <c r="H5652" s="3" t="str">
        <f>"GPCPD1"</f>
        <v>GPCPD1</v>
      </c>
      <c r="I5652" s="3" t="str">
        <f>"protein_coding"</f>
        <v>protein_coding</v>
      </c>
    </row>
    <row r="5653" spans="1:9" x14ac:dyDescent="0.2">
      <c r="A5653" s="3" t="str">
        <f>"ENSG00000089199.10"</f>
        <v>ENSG00000089199.10</v>
      </c>
      <c r="B5653" s="3">
        <v>23.613048002328998</v>
      </c>
      <c r="C5653" s="3">
        <v>2.0220941995539699</v>
      </c>
      <c r="D5653" s="3">
        <v>0.74325100410286604</v>
      </c>
      <c r="E5653" s="3">
        <v>2.7206074238604199</v>
      </c>
      <c r="F5653" s="3">
        <v>6.5162095848821698E-3</v>
      </c>
      <c r="G5653" s="3">
        <v>2.2193395319910599E-2</v>
      </c>
      <c r="H5653" s="3" t="str">
        <f>"CHGB"</f>
        <v>CHGB</v>
      </c>
      <c r="I5653" s="3" t="str">
        <f>"protein_coding"</f>
        <v>protein_coding</v>
      </c>
    </row>
    <row r="5654" spans="1:9" x14ac:dyDescent="0.2">
      <c r="A5654" s="3" t="str">
        <f>"ENSG00000125827.9"</f>
        <v>ENSG00000125827.9</v>
      </c>
      <c r="B5654" s="3">
        <v>2870.6448913372901</v>
      </c>
      <c r="C5654" s="3">
        <v>1.4091777376563499</v>
      </c>
      <c r="D5654" s="3">
        <v>0.17861664696572299</v>
      </c>
      <c r="E5654" s="3">
        <v>7.8893975538952903</v>
      </c>
      <c r="F5654" s="4">
        <v>3.0364877759878702E-15</v>
      </c>
      <c r="G5654" s="4">
        <v>7.7467399281218504E-14</v>
      </c>
      <c r="H5654" s="3" t="str">
        <f>"TMX4"</f>
        <v>TMX4</v>
      </c>
      <c r="I5654" s="3" t="str">
        <f>"protein_coding"</f>
        <v>protein_coding</v>
      </c>
    </row>
    <row r="5655" spans="1:9" x14ac:dyDescent="0.2">
      <c r="A5655" s="3" t="str">
        <f>"ENSG00000225479.1"</f>
        <v>ENSG00000225479.1</v>
      </c>
      <c r="B5655" s="3">
        <v>389.347966871572</v>
      </c>
      <c r="C5655" s="3">
        <v>1.49667176188596</v>
      </c>
      <c r="D5655" s="3">
        <v>0.27663040034953401</v>
      </c>
      <c r="E5655" s="3">
        <v>5.4103661781021097</v>
      </c>
      <c r="F5655" s="4">
        <v>6.2896008544831906E-8</v>
      </c>
      <c r="G5655" s="4">
        <v>6.6167086672626896E-7</v>
      </c>
      <c r="H5655" s="3" t="str">
        <f>"PLCB1-IT1"</f>
        <v>PLCB1-IT1</v>
      </c>
      <c r="I5655" s="3" t="str">
        <f>"sense_intronic"</f>
        <v>sense_intronic</v>
      </c>
    </row>
    <row r="5656" spans="1:9" x14ac:dyDescent="0.2">
      <c r="A5656" s="3" t="str">
        <f>"ENSG00000101333.16"</f>
        <v>ENSG00000101333.16</v>
      </c>
      <c r="B5656" s="3">
        <v>33.829337493647998</v>
      </c>
      <c r="C5656" s="3">
        <v>8.4737211588885106</v>
      </c>
      <c r="D5656" s="3">
        <v>1.5656871317108501</v>
      </c>
      <c r="E5656" s="3">
        <v>5.4121420475808399</v>
      </c>
      <c r="F5656" s="4">
        <v>6.2275255820014904E-8</v>
      </c>
      <c r="G5656" s="4">
        <v>6.5590023012290197E-7</v>
      </c>
      <c r="H5656" s="3" t="str">
        <f>"PLCB4"</f>
        <v>PLCB4</v>
      </c>
      <c r="I5656" s="3" t="str">
        <f>"protein_coding"</f>
        <v>protein_coding</v>
      </c>
    </row>
    <row r="5657" spans="1:9" x14ac:dyDescent="0.2">
      <c r="A5657" s="3" t="str">
        <f>"ENSG00000101349.16"</f>
        <v>ENSG00000101349.16</v>
      </c>
      <c r="B5657" s="3">
        <v>8.9229607625285894</v>
      </c>
      <c r="C5657" s="3">
        <v>5.0634039188957098</v>
      </c>
      <c r="D5657" s="3">
        <v>1.78149003379883</v>
      </c>
      <c r="E5657" s="3">
        <v>2.8422297194099699</v>
      </c>
      <c r="F5657" s="3">
        <v>4.4799198793902704E-3</v>
      </c>
      <c r="G5657" s="3">
        <v>1.61437844541975E-2</v>
      </c>
      <c r="H5657" s="3" t="str">
        <f>"PAK5"</f>
        <v>PAK5</v>
      </c>
      <c r="I5657" s="3" t="str">
        <f>"protein_coding"</f>
        <v>protein_coding</v>
      </c>
    </row>
    <row r="5658" spans="1:9" x14ac:dyDescent="0.2">
      <c r="A5658" s="3" t="str">
        <f>"ENSG00000227906.7"</f>
        <v>ENSG00000227906.7</v>
      </c>
      <c r="B5658" s="3">
        <v>34.777627626680598</v>
      </c>
      <c r="C5658" s="3">
        <v>-1.9156513176777601</v>
      </c>
      <c r="D5658" s="3">
        <v>0.62004400100053803</v>
      </c>
      <c r="E5658" s="3">
        <v>-3.0895409270738199</v>
      </c>
      <c r="F5658" s="3">
        <v>2.0046608482321201E-3</v>
      </c>
      <c r="G5658" s="3">
        <v>8.0716704790572899E-3</v>
      </c>
      <c r="H5658" s="3" t="str">
        <f>"SNAP25-AS1"</f>
        <v>SNAP25-AS1</v>
      </c>
      <c r="I5658" s="3" t="str">
        <f>"antisense"</f>
        <v>antisense</v>
      </c>
    </row>
    <row r="5659" spans="1:9" x14ac:dyDescent="0.2">
      <c r="A5659" s="3" t="str">
        <f>"ENSG00000132639.12"</f>
        <v>ENSG00000132639.12</v>
      </c>
      <c r="B5659" s="3">
        <v>8.7721212926083307</v>
      </c>
      <c r="C5659" s="3">
        <v>6.5293068167178898</v>
      </c>
      <c r="D5659" s="3">
        <v>1.80222790506651</v>
      </c>
      <c r="E5659" s="3">
        <v>3.62290851138326</v>
      </c>
      <c r="F5659" s="3">
        <v>2.9130887911135901E-4</v>
      </c>
      <c r="G5659" s="3">
        <v>1.4844385691316999E-3</v>
      </c>
      <c r="H5659" s="3" t="str">
        <f>"SNAP25"</f>
        <v>SNAP25</v>
      </c>
      <c r="I5659" s="3" t="str">
        <f>"protein_coding"</f>
        <v>protein_coding</v>
      </c>
    </row>
    <row r="5660" spans="1:9" x14ac:dyDescent="0.2">
      <c r="A5660" s="3" t="str">
        <f>"ENSG00000214835.3"</f>
        <v>ENSG00000214835.3</v>
      </c>
      <c r="B5660" s="3">
        <v>19.953212311520598</v>
      </c>
      <c r="C5660" s="3">
        <v>-3.46593153332226</v>
      </c>
      <c r="D5660" s="3">
        <v>0.88947246081787501</v>
      </c>
      <c r="E5660" s="3">
        <v>-3.8966147756112801</v>
      </c>
      <c r="F5660" s="4">
        <v>9.7546589845393697E-5</v>
      </c>
      <c r="G5660" s="3">
        <v>5.5982650473076297E-4</v>
      </c>
      <c r="H5660" s="3" t="str">
        <f>"RPL23AP6"</f>
        <v>RPL23AP6</v>
      </c>
      <c r="I5660" s="3" t="str">
        <f>"processed_pseudogene"</f>
        <v>processed_pseudogene</v>
      </c>
    </row>
    <row r="5661" spans="1:9" x14ac:dyDescent="0.2">
      <c r="A5661" s="3" t="str">
        <f>"ENSG00000172296.13"</f>
        <v>ENSG00000172296.13</v>
      </c>
      <c r="B5661" s="3">
        <v>1054.8627184628999</v>
      </c>
      <c r="C5661" s="3">
        <v>-3.8758044679316002</v>
      </c>
      <c r="D5661" s="3">
        <v>0.222891968399241</v>
      </c>
      <c r="E5661" s="3">
        <v>-17.388712997452199</v>
      </c>
      <c r="F5661" s="4">
        <v>1.00464915369665E-67</v>
      </c>
      <c r="G5661" s="4">
        <v>3.85544725222149E-65</v>
      </c>
      <c r="H5661" s="3" t="str">
        <f>"SPTLC3"</f>
        <v>SPTLC3</v>
      </c>
      <c r="I5661" s="3" t="str">
        <f>"protein_coding"</f>
        <v>protein_coding</v>
      </c>
    </row>
    <row r="5662" spans="1:9" x14ac:dyDescent="0.2">
      <c r="A5662" s="3" t="str">
        <f>"ENSG00000226263.1"</f>
        <v>ENSG00000226263.1</v>
      </c>
      <c r="B5662" s="3">
        <v>78.812778323962107</v>
      </c>
      <c r="C5662" s="3">
        <v>2.4625796202652102</v>
      </c>
      <c r="D5662" s="3">
        <v>0.44434486211860402</v>
      </c>
      <c r="E5662" s="3">
        <v>5.5420458976926303</v>
      </c>
      <c r="F5662" s="4">
        <v>2.9895791555505801E-8</v>
      </c>
      <c r="G5662" s="4">
        <v>3.3234215932797499E-7</v>
      </c>
      <c r="H5662" s="3" t="str">
        <f>"ISM1-AS1"</f>
        <v>ISM1-AS1</v>
      </c>
      <c r="I5662" s="3" t="str">
        <f>"antisense"</f>
        <v>antisense</v>
      </c>
    </row>
    <row r="5663" spans="1:9" x14ac:dyDescent="0.2">
      <c r="A5663" s="3" t="str">
        <f>"ENSG00000225956.1"</f>
        <v>ENSG00000225956.1</v>
      </c>
      <c r="B5663" s="3">
        <v>64.3664246460431</v>
      </c>
      <c r="C5663" s="3">
        <v>2.5700548539956101</v>
      </c>
      <c r="D5663" s="3">
        <v>0.51459774980394302</v>
      </c>
      <c r="E5663" s="3">
        <v>4.9942986633244599</v>
      </c>
      <c r="F5663" s="4">
        <v>5.9049957028339502E-7</v>
      </c>
      <c r="G5663" s="4">
        <v>5.2595929093493096E-6</v>
      </c>
      <c r="H5663" s="3" t="str">
        <f>"AL050320.1"</f>
        <v>AL050320.1</v>
      </c>
      <c r="I5663" s="3" t="str">
        <f>"antisense"</f>
        <v>antisense</v>
      </c>
    </row>
    <row r="5664" spans="1:9" x14ac:dyDescent="0.2">
      <c r="A5664" s="3" t="str">
        <f>"ENSG00000089048.14"</f>
        <v>ENSG00000089048.14</v>
      </c>
      <c r="B5664" s="3">
        <v>5301.6135340376304</v>
      </c>
      <c r="C5664" s="3">
        <v>1.2303143679948101</v>
      </c>
      <c r="D5664" s="3">
        <v>0.19436313203215899</v>
      </c>
      <c r="E5664" s="3">
        <v>6.3299780937428398</v>
      </c>
      <c r="F5664" s="4">
        <v>2.4519600771459297E-10</v>
      </c>
      <c r="G5664" s="4">
        <v>3.5937900065624E-9</v>
      </c>
      <c r="H5664" s="3" t="str">
        <f>"ESF1"</f>
        <v>ESF1</v>
      </c>
      <c r="I5664" s="3" t="str">
        <f t="shared" ref="I5664:I5670" si="254">"protein_coding"</f>
        <v>protein_coding</v>
      </c>
    </row>
    <row r="5665" spans="1:9" x14ac:dyDescent="0.2">
      <c r="A5665" s="3" t="str">
        <f>"ENSG00000125848.10"</f>
        <v>ENSG00000125848.10</v>
      </c>
      <c r="B5665" s="3">
        <v>293.70677043414798</v>
      </c>
      <c r="C5665" s="3">
        <v>2.9445910501636599</v>
      </c>
      <c r="D5665" s="3">
        <v>0.28047430084432001</v>
      </c>
      <c r="E5665" s="3">
        <v>10.498612676097199</v>
      </c>
      <c r="F5665" s="4">
        <v>8.76589229708173E-26</v>
      </c>
      <c r="G5665" s="4">
        <v>5.2035788108624401E-24</v>
      </c>
      <c r="H5665" s="3" t="str">
        <f>"FLRT3"</f>
        <v>FLRT3</v>
      </c>
      <c r="I5665" s="3" t="str">
        <f t="shared" si="254"/>
        <v>protein_coding</v>
      </c>
    </row>
    <row r="5666" spans="1:9" x14ac:dyDescent="0.2">
      <c r="A5666" s="3" t="str">
        <f>"ENSG00000125871.14"</f>
        <v>ENSG00000125871.14</v>
      </c>
      <c r="B5666" s="3">
        <v>4194.6593600100796</v>
      </c>
      <c r="C5666" s="3">
        <v>1.1645815289918799</v>
      </c>
      <c r="D5666" s="3">
        <v>0.18238219117054799</v>
      </c>
      <c r="E5666" s="3">
        <v>6.3853905993642801</v>
      </c>
      <c r="F5666" s="4">
        <v>1.7096052852456999E-10</v>
      </c>
      <c r="G5666" s="4">
        <v>2.5735699009441698E-9</v>
      </c>
      <c r="H5666" s="3" t="str">
        <f>"MGME1"</f>
        <v>MGME1</v>
      </c>
      <c r="I5666" s="3" t="str">
        <f t="shared" si="254"/>
        <v>protein_coding</v>
      </c>
    </row>
    <row r="5667" spans="1:9" x14ac:dyDescent="0.2">
      <c r="A5667" s="3" t="str">
        <f>"ENSG00000125821.12"</f>
        <v>ENSG00000125821.12</v>
      </c>
      <c r="B5667" s="3">
        <v>828.56497557043997</v>
      </c>
      <c r="C5667" s="3">
        <v>-1.02359885831502</v>
      </c>
      <c r="D5667" s="3">
        <v>0.209389043431052</v>
      </c>
      <c r="E5667" s="3">
        <v>-4.8885024810386897</v>
      </c>
      <c r="F5667" s="4">
        <v>1.0160591752386301E-6</v>
      </c>
      <c r="G5667" s="4">
        <v>8.7168023764883605E-6</v>
      </c>
      <c r="H5667" s="3" t="str">
        <f>"DTD1"</f>
        <v>DTD1</v>
      </c>
      <c r="I5667" s="3" t="str">
        <f t="shared" si="254"/>
        <v>protein_coding</v>
      </c>
    </row>
    <row r="5668" spans="1:9" x14ac:dyDescent="0.2">
      <c r="A5668" s="3" t="str">
        <f>"ENSG00000185052.11"</f>
        <v>ENSG00000185052.11</v>
      </c>
      <c r="B5668" s="3">
        <v>3.9648137554673002</v>
      </c>
      <c r="C5668" s="3">
        <v>5.38581965917892</v>
      </c>
      <c r="D5668" s="3">
        <v>2.16320773319238</v>
      </c>
      <c r="E5668" s="3">
        <v>2.4897376135165499</v>
      </c>
      <c r="F5668" s="3">
        <v>1.2783743375967001E-2</v>
      </c>
      <c r="G5668" s="3">
        <v>3.9066695352733702E-2</v>
      </c>
      <c r="H5668" s="3" t="str">
        <f>"SLC24A3"</f>
        <v>SLC24A3</v>
      </c>
      <c r="I5668" s="3" t="str">
        <f t="shared" si="254"/>
        <v>protein_coding</v>
      </c>
    </row>
    <row r="5669" spans="1:9" x14ac:dyDescent="0.2">
      <c r="A5669" s="3" t="str">
        <f>"ENSG00000089101.18"</f>
        <v>ENSG00000089101.18</v>
      </c>
      <c r="B5669" s="3">
        <v>14.526883233786</v>
      </c>
      <c r="C5669" s="3">
        <v>2.8018737791983002</v>
      </c>
      <c r="D5669" s="3">
        <v>1.0215893646821299</v>
      </c>
      <c r="E5669" s="3">
        <v>2.7426614607231201</v>
      </c>
      <c r="F5669" s="3">
        <v>6.0943480374379402E-3</v>
      </c>
      <c r="G5669" s="3">
        <v>2.0974194894034501E-2</v>
      </c>
      <c r="H5669" s="3" t="str">
        <f>"CFAP61"</f>
        <v>CFAP61</v>
      </c>
      <c r="I5669" s="3" t="str">
        <f t="shared" si="254"/>
        <v>protein_coding</v>
      </c>
    </row>
    <row r="5670" spans="1:9" x14ac:dyDescent="0.2">
      <c r="A5670" s="3" t="str">
        <f>"ENSG00000173404.5"</f>
        <v>ENSG00000173404.5</v>
      </c>
      <c r="B5670" s="3">
        <v>7.5219909869417503</v>
      </c>
      <c r="C5670" s="3">
        <v>6.3045072981125001</v>
      </c>
      <c r="D5670" s="3">
        <v>1.8659790666992999</v>
      </c>
      <c r="E5670" s="3">
        <v>3.3786591771709702</v>
      </c>
      <c r="F5670" s="3">
        <v>7.2840250332993097E-4</v>
      </c>
      <c r="G5670" s="3">
        <v>3.3519309252205099E-3</v>
      </c>
      <c r="H5670" s="3" t="str">
        <f>"INSM1"</f>
        <v>INSM1</v>
      </c>
      <c r="I5670" s="3" t="str">
        <f t="shared" si="254"/>
        <v>protein_coding</v>
      </c>
    </row>
    <row r="5671" spans="1:9" x14ac:dyDescent="0.2">
      <c r="A5671" s="3" t="str">
        <f>"ENSG00000232712.6"</f>
        <v>ENSG00000232712.6</v>
      </c>
      <c r="B5671" s="3">
        <v>6.2748664716480604</v>
      </c>
      <c r="C5671" s="3">
        <v>6.0436307079929099</v>
      </c>
      <c r="D5671" s="3">
        <v>1.9320769159683999</v>
      </c>
      <c r="E5671" s="3">
        <v>3.1280487117479501</v>
      </c>
      <c r="F5671" s="3">
        <v>1.7597101450729099E-3</v>
      </c>
      <c r="G5671" s="3">
        <v>7.2285274118500898E-3</v>
      </c>
      <c r="H5671" s="3" t="str">
        <f>"KIZ-AS1"</f>
        <v>KIZ-AS1</v>
      </c>
      <c r="I5671" s="3" t="str">
        <f>"antisense"</f>
        <v>antisense</v>
      </c>
    </row>
    <row r="5672" spans="1:9" x14ac:dyDescent="0.2">
      <c r="A5672" s="3" t="str">
        <f>"ENSG00000278041.1"</f>
        <v>ENSG00000278041.1</v>
      </c>
      <c r="B5672" s="3">
        <v>147.211676421558</v>
      </c>
      <c r="C5672" s="3">
        <v>5.0242512106138797</v>
      </c>
      <c r="D5672" s="3">
        <v>0.46560337696634801</v>
      </c>
      <c r="E5672" s="3">
        <v>10.7908392833178</v>
      </c>
      <c r="F5672" s="4">
        <v>3.8030046214272997E-27</v>
      </c>
      <c r="G5672" s="4">
        <v>2.4612937510695899E-25</v>
      </c>
      <c r="H5672" s="3" t="str">
        <f>"AL133325.3"</f>
        <v>AL133325.3</v>
      </c>
      <c r="I5672" s="3" t="str">
        <f>"lincRNA"</f>
        <v>lincRNA</v>
      </c>
    </row>
    <row r="5673" spans="1:9" x14ac:dyDescent="0.2">
      <c r="A5673" s="3" t="str">
        <f>"ENSG00000230400.2"</f>
        <v>ENSG00000230400.2</v>
      </c>
      <c r="B5673" s="3">
        <v>8.5154487685882394</v>
      </c>
      <c r="C5673" s="3">
        <v>6.4867705140999696</v>
      </c>
      <c r="D5673" s="3">
        <v>1.8120195559879699</v>
      </c>
      <c r="E5673" s="3">
        <v>3.5798567916465802</v>
      </c>
      <c r="F5673" s="3">
        <v>3.4378256105725301E-4</v>
      </c>
      <c r="G5673" s="3">
        <v>1.7184082629108401E-3</v>
      </c>
      <c r="H5673" s="3" t="str">
        <f>"LINC01747"</f>
        <v>LINC01747</v>
      </c>
      <c r="I5673" s="3" t="str">
        <f>"lincRNA"</f>
        <v>lincRNA</v>
      </c>
    </row>
    <row r="5674" spans="1:9" x14ac:dyDescent="0.2">
      <c r="A5674" s="3" t="str">
        <f>"ENSG00000125810.10"</f>
        <v>ENSG00000125810.10</v>
      </c>
      <c r="B5674" s="3">
        <v>3.8168555458674298</v>
      </c>
      <c r="C5674" s="3">
        <v>5.3279350919035302</v>
      </c>
      <c r="D5674" s="3">
        <v>2.1809774924298599</v>
      </c>
      <c r="E5674" s="3">
        <v>2.4429115432858599</v>
      </c>
      <c r="F5674" s="3">
        <v>1.4569307781241599E-2</v>
      </c>
      <c r="G5674" s="3">
        <v>4.3474967595607303E-2</v>
      </c>
      <c r="H5674" s="3" t="str">
        <f>"CD93"</f>
        <v>CD93</v>
      </c>
      <c r="I5674" s="3" t="str">
        <f>"protein_coding"</f>
        <v>protein_coding</v>
      </c>
    </row>
    <row r="5675" spans="1:9" x14ac:dyDescent="0.2">
      <c r="A5675" s="3" t="str">
        <f>"ENSG00000132661.4"</f>
        <v>ENSG00000132661.4</v>
      </c>
      <c r="B5675" s="3">
        <v>871.55946093198702</v>
      </c>
      <c r="C5675" s="3">
        <v>-1.63256764859225</v>
      </c>
      <c r="D5675" s="3">
        <v>0.23656757617959401</v>
      </c>
      <c r="E5675" s="3">
        <v>-6.9010625841339497</v>
      </c>
      <c r="F5675" s="4">
        <v>5.1614985466757701E-12</v>
      </c>
      <c r="G5675" s="4">
        <v>9.3632057857040394E-11</v>
      </c>
      <c r="H5675" s="3" t="str">
        <f>"NXT1"</f>
        <v>NXT1</v>
      </c>
      <c r="I5675" s="3" t="str">
        <f>"protein_coding"</f>
        <v>protein_coding</v>
      </c>
    </row>
    <row r="5676" spans="1:9" x14ac:dyDescent="0.2">
      <c r="A5676" s="3" t="str">
        <f>"ENSG00000226344.1"</f>
        <v>ENSG00000226344.1</v>
      </c>
      <c r="B5676" s="3">
        <v>4.6623551179140703</v>
      </c>
      <c r="C5676" s="3">
        <v>5.61968301665675</v>
      </c>
      <c r="D5676" s="3">
        <v>2.07268783865596</v>
      </c>
      <c r="E5676" s="3">
        <v>2.7113021613041601</v>
      </c>
      <c r="F5676" s="3">
        <v>6.7019521803354997E-3</v>
      </c>
      <c r="G5676" s="3">
        <v>2.27181004052751E-2</v>
      </c>
      <c r="H5676" s="3" t="str">
        <f>"CST12P"</f>
        <v>CST12P</v>
      </c>
      <c r="I5676" s="3" t="str">
        <f>"unprocessed_pseudogene"</f>
        <v>unprocessed_pseudogene</v>
      </c>
    </row>
    <row r="5677" spans="1:9" x14ac:dyDescent="0.2">
      <c r="A5677" s="3" t="str">
        <f>"ENSG00000101441.4"</f>
        <v>ENSG00000101441.4</v>
      </c>
      <c r="B5677" s="3">
        <v>55.794167094570703</v>
      </c>
      <c r="C5677" s="3">
        <v>7.7483462307095996</v>
      </c>
      <c r="D5677" s="3">
        <v>1.5057405067876699</v>
      </c>
      <c r="E5677" s="3">
        <v>5.1458708826528401</v>
      </c>
      <c r="F5677" s="4">
        <v>2.6628253620921699E-7</v>
      </c>
      <c r="G5677" s="4">
        <v>2.51138811495069E-6</v>
      </c>
      <c r="H5677" s="3" t="str">
        <f>"CST4"</f>
        <v>CST4</v>
      </c>
      <c r="I5677" s="3" t="str">
        <f>"protein_coding"</f>
        <v>protein_coding</v>
      </c>
    </row>
    <row r="5678" spans="1:9" x14ac:dyDescent="0.2">
      <c r="A5678" s="3" t="str">
        <f>"ENSG00000170373.8"</f>
        <v>ENSG00000170373.8</v>
      </c>
      <c r="B5678" s="3">
        <v>16.8194426968494</v>
      </c>
      <c r="C5678" s="3">
        <v>3.58522784908424</v>
      </c>
      <c r="D5678" s="3">
        <v>0.998179586388805</v>
      </c>
      <c r="E5678" s="3">
        <v>3.5917663494349799</v>
      </c>
      <c r="F5678" s="3">
        <v>3.2844426136722599E-4</v>
      </c>
      <c r="G5678" s="3">
        <v>1.6505202488883799E-3</v>
      </c>
      <c r="H5678" s="3" t="str">
        <f>"CST1"</f>
        <v>CST1</v>
      </c>
      <c r="I5678" s="3" t="str">
        <f>"protein_coding"</f>
        <v>protein_coding</v>
      </c>
    </row>
    <row r="5679" spans="1:9" x14ac:dyDescent="0.2">
      <c r="A5679" s="3" t="str">
        <f>"ENSG00000170367.5"</f>
        <v>ENSG00000170367.5</v>
      </c>
      <c r="B5679" s="3">
        <v>105.123384352393</v>
      </c>
      <c r="C5679" s="3">
        <v>8.6657005170441401</v>
      </c>
      <c r="D5679" s="3">
        <v>1.4786190207619101</v>
      </c>
      <c r="E5679" s="3">
        <v>5.8606716100397902</v>
      </c>
      <c r="F5679" s="4">
        <v>4.6099884097232203E-9</v>
      </c>
      <c r="G5679" s="4">
        <v>5.7407840127846602E-8</v>
      </c>
      <c r="H5679" s="3" t="str">
        <f>"CST5"</f>
        <v>CST5</v>
      </c>
      <c r="I5679" s="3" t="str">
        <f>"protein_coding"</f>
        <v>protein_coding</v>
      </c>
    </row>
    <row r="5680" spans="1:9" x14ac:dyDescent="0.2">
      <c r="A5680" s="3" t="str">
        <f>"ENSG00000154930.15"</f>
        <v>ENSG00000154930.15</v>
      </c>
      <c r="B5680" s="3">
        <v>1269.5733560640499</v>
      </c>
      <c r="C5680" s="3">
        <v>1.13721665395436</v>
      </c>
      <c r="D5680" s="3">
        <v>0.20391413761907001</v>
      </c>
      <c r="E5680" s="3">
        <v>5.5769387411420501</v>
      </c>
      <c r="F5680" s="4">
        <v>2.4478802183462201E-8</v>
      </c>
      <c r="G5680" s="4">
        <v>2.76065365518541E-7</v>
      </c>
      <c r="H5680" s="3" t="str">
        <f>"ACSS1"</f>
        <v>ACSS1</v>
      </c>
      <c r="I5680" s="3" t="str">
        <f>"protein_coding"</f>
        <v>protein_coding</v>
      </c>
    </row>
    <row r="5681" spans="1:9" x14ac:dyDescent="0.2">
      <c r="A5681" s="3" t="str">
        <f>"ENSG00000100994.12"</f>
        <v>ENSG00000100994.12</v>
      </c>
      <c r="B5681" s="3">
        <v>4791.7866511973698</v>
      </c>
      <c r="C5681" s="3">
        <v>-1.1923718734214399</v>
      </c>
      <c r="D5681" s="3">
        <v>0.21045245744801699</v>
      </c>
      <c r="E5681" s="3">
        <v>-5.6657540989558601</v>
      </c>
      <c r="F5681" s="4">
        <v>1.4637932368083699E-8</v>
      </c>
      <c r="G5681" s="4">
        <v>1.70153474075587E-7</v>
      </c>
      <c r="H5681" s="3" t="str">
        <f>"PYGB"</f>
        <v>PYGB</v>
      </c>
      <c r="I5681" s="3" t="str">
        <f>"protein_coding"</f>
        <v>protein_coding</v>
      </c>
    </row>
    <row r="5682" spans="1:9" x14ac:dyDescent="0.2">
      <c r="A5682" s="3" t="str">
        <f>"ENSG00000213742.6"</f>
        <v>ENSG00000213742.6</v>
      </c>
      <c r="B5682" s="3">
        <v>524.08121055950699</v>
      </c>
      <c r="C5682" s="3">
        <v>2.5406875704070901</v>
      </c>
      <c r="D5682" s="3">
        <v>0.240468956339774</v>
      </c>
      <c r="E5682" s="3">
        <v>10.565553280054999</v>
      </c>
      <c r="F5682" s="4">
        <v>4.30422963663842E-26</v>
      </c>
      <c r="G5682" s="4">
        <v>2.6061632202108199E-24</v>
      </c>
      <c r="H5682" s="3" t="str">
        <f>"ZNF337-AS1"</f>
        <v>ZNF337-AS1</v>
      </c>
      <c r="I5682" s="3" t="str">
        <f>"antisense"</f>
        <v>antisense</v>
      </c>
    </row>
    <row r="5683" spans="1:9" x14ac:dyDescent="0.2">
      <c r="A5683" s="3" t="str">
        <f>"ENSG00000130684.14"</f>
        <v>ENSG00000130684.14</v>
      </c>
      <c r="B5683" s="3">
        <v>2383.2229537475</v>
      </c>
      <c r="C5683" s="3">
        <v>2.04153378881314</v>
      </c>
      <c r="D5683" s="3">
        <v>0.18419636003558201</v>
      </c>
      <c r="E5683" s="3">
        <v>11.0834643443484</v>
      </c>
      <c r="F5683" s="4">
        <v>1.50917769776173E-28</v>
      </c>
      <c r="G5683" s="4">
        <v>1.0543734546388199E-26</v>
      </c>
      <c r="H5683" s="3" t="str">
        <f>"ZNF337"</f>
        <v>ZNF337</v>
      </c>
      <c r="I5683" s="3" t="str">
        <f>"protein_coding"</f>
        <v>protein_coding</v>
      </c>
    </row>
    <row r="5684" spans="1:9" x14ac:dyDescent="0.2">
      <c r="A5684" s="3" t="str">
        <f>"ENSG00000278383.1"</f>
        <v>ENSG00000278383.1</v>
      </c>
      <c r="B5684" s="3">
        <v>57.6044691138083</v>
      </c>
      <c r="C5684" s="3">
        <v>2.52850034667894</v>
      </c>
      <c r="D5684" s="3">
        <v>0.50459291640524895</v>
      </c>
      <c r="E5684" s="3">
        <v>5.0109707537952204</v>
      </c>
      <c r="F5684" s="4">
        <v>5.4156145589950396E-7</v>
      </c>
      <c r="G5684" s="4">
        <v>4.8619192714641801E-6</v>
      </c>
      <c r="H5684" s="3" t="str">
        <f>"AL031673.1"</f>
        <v>AL031673.1</v>
      </c>
      <c r="I5684" s="3" t="str">
        <f>"antisense"</f>
        <v>antisense</v>
      </c>
    </row>
    <row r="5685" spans="1:9" x14ac:dyDescent="0.2">
      <c r="A5685" s="3" t="str">
        <f>"ENSG00000175170.15"</f>
        <v>ENSG00000175170.15</v>
      </c>
      <c r="B5685" s="3">
        <v>343.76145716709902</v>
      </c>
      <c r="C5685" s="3">
        <v>3.8912578417950101</v>
      </c>
      <c r="D5685" s="3">
        <v>0.286298622371852</v>
      </c>
      <c r="E5685" s="3">
        <v>13.591605190265099</v>
      </c>
      <c r="F5685" s="4">
        <v>4.4912116084212503E-42</v>
      </c>
      <c r="G5685" s="4">
        <v>6.8364269661817802E-40</v>
      </c>
      <c r="H5685" s="3" t="str">
        <f>"FAM182B"</f>
        <v>FAM182B</v>
      </c>
      <c r="I5685" s="3" t="str">
        <f>"lincRNA"</f>
        <v>lincRNA</v>
      </c>
    </row>
    <row r="5686" spans="1:9" x14ac:dyDescent="0.2">
      <c r="A5686" s="3" t="str">
        <f>"ENSG00000277112.3"</f>
        <v>ENSG00000277112.3</v>
      </c>
      <c r="B5686" s="3">
        <v>23.900521476454401</v>
      </c>
      <c r="C5686" s="3">
        <v>4.89744611785164</v>
      </c>
      <c r="D5686" s="3">
        <v>1.0581293392973701</v>
      </c>
      <c r="E5686" s="3">
        <v>4.6284002682542704</v>
      </c>
      <c r="F5686" s="4">
        <v>3.6850125260340899E-6</v>
      </c>
      <c r="G5686" s="4">
        <v>2.8548631304194202E-5</v>
      </c>
      <c r="H5686" s="3" t="str">
        <f>"ANKRD20A21P"</f>
        <v>ANKRD20A21P</v>
      </c>
      <c r="I5686" s="3" t="str">
        <f>"transcribed_unprocessed_pseudogene"</f>
        <v>transcribed_unprocessed_pseudogene</v>
      </c>
    </row>
    <row r="5687" spans="1:9" x14ac:dyDescent="0.2">
      <c r="A5687" s="3" t="str">
        <f>"ENSG00000264395.1"</f>
        <v>ENSG00000264395.1</v>
      </c>
      <c r="B5687" s="3">
        <v>106.867827054141</v>
      </c>
      <c r="C5687" s="3">
        <v>-1.10672482164595</v>
      </c>
      <c r="D5687" s="3">
        <v>0.37950474254469302</v>
      </c>
      <c r="E5687" s="3">
        <v>-2.9162344961094102</v>
      </c>
      <c r="F5687" s="3">
        <v>3.5428411443732301E-3</v>
      </c>
      <c r="G5687" s="3">
        <v>1.32271571198599E-2</v>
      </c>
      <c r="H5687" s="3" t="str">
        <f>"MIR3193"</f>
        <v>MIR3193</v>
      </c>
      <c r="I5687" s="3" t="str">
        <f>"miRNA"</f>
        <v>miRNA</v>
      </c>
    </row>
    <row r="5688" spans="1:9" x14ac:dyDescent="0.2">
      <c r="A5688" s="3" t="str">
        <f>"ENSG00000281376.1"</f>
        <v>ENSG00000281376.1</v>
      </c>
      <c r="B5688" s="3">
        <v>104.83511959350599</v>
      </c>
      <c r="C5688" s="3">
        <v>1.1045417950648999</v>
      </c>
      <c r="D5688" s="3">
        <v>0.39141077974198402</v>
      </c>
      <c r="E5688" s="3">
        <v>2.8219503708942502</v>
      </c>
      <c r="F5688" s="3">
        <v>4.7732563360305298E-3</v>
      </c>
      <c r="G5688" s="3">
        <v>1.70655970853987E-2</v>
      </c>
      <c r="H5688" s="3" t="str">
        <f>"ABALON"</f>
        <v>ABALON</v>
      </c>
      <c r="I5688" s="3" t="str">
        <f>"antisense"</f>
        <v>antisense</v>
      </c>
    </row>
    <row r="5689" spans="1:9" x14ac:dyDescent="0.2">
      <c r="A5689" s="3" t="str">
        <f>"ENSG00000179772.7"</f>
        <v>ENSG00000179772.7</v>
      </c>
      <c r="B5689" s="3">
        <v>33.726634759973599</v>
      </c>
      <c r="C5689" s="3">
        <v>8.4710960844029195</v>
      </c>
      <c r="D5689" s="3">
        <v>1.5518113068466699</v>
      </c>
      <c r="E5689" s="3">
        <v>5.4588441565208399</v>
      </c>
      <c r="F5689" s="4">
        <v>4.7924417532253902E-8</v>
      </c>
      <c r="G5689" s="4">
        <v>5.1449826812502902E-7</v>
      </c>
      <c r="H5689" s="3" t="str">
        <f>"FOXS1"</f>
        <v>FOXS1</v>
      </c>
      <c r="I5689" s="3" t="str">
        <f>"protein_coding"</f>
        <v>protein_coding</v>
      </c>
    </row>
    <row r="5690" spans="1:9" x14ac:dyDescent="0.2">
      <c r="A5690" s="3" t="str">
        <f>"ENSG00000131044.17"</f>
        <v>ENSG00000131044.17</v>
      </c>
      <c r="B5690" s="3">
        <v>8.9897611893213298</v>
      </c>
      <c r="C5690" s="3">
        <v>3.4082712648462499</v>
      </c>
      <c r="D5690" s="3">
        <v>1.3280958278034301</v>
      </c>
      <c r="E5690" s="3">
        <v>2.5662841441820299</v>
      </c>
      <c r="F5690" s="3">
        <v>1.02794582867683E-2</v>
      </c>
      <c r="G5690" s="3">
        <v>3.2560381299648299E-2</v>
      </c>
      <c r="H5690" s="3" t="str">
        <f>"TTLL9"</f>
        <v>TTLL9</v>
      </c>
      <c r="I5690" s="3" t="str">
        <f>"protein_coding"</f>
        <v>protein_coding</v>
      </c>
    </row>
    <row r="5691" spans="1:9" x14ac:dyDescent="0.2">
      <c r="A5691" s="3" t="str">
        <f>"ENSG00000260903.3"</f>
        <v>ENSG00000260903.3</v>
      </c>
      <c r="B5691" s="3">
        <v>4.8827895371274099</v>
      </c>
      <c r="C5691" s="3">
        <v>5.6866669368035598</v>
      </c>
      <c r="D5691" s="3">
        <v>2.0508039739161501</v>
      </c>
      <c r="E5691" s="3">
        <v>2.7728963904553399</v>
      </c>
      <c r="F5691" s="3">
        <v>5.5559807245787497E-3</v>
      </c>
      <c r="G5691" s="3">
        <v>1.9448073844115801E-2</v>
      </c>
      <c r="H5691" s="3" t="str">
        <f>"XKR7"</f>
        <v>XKR7</v>
      </c>
      <c r="I5691" s="3" t="str">
        <f>"protein_coding"</f>
        <v>protein_coding</v>
      </c>
    </row>
    <row r="5692" spans="1:9" x14ac:dyDescent="0.2">
      <c r="A5692" s="3" t="str">
        <f>"ENSG00000101336.14"</f>
        <v>ENSG00000101336.14</v>
      </c>
      <c r="B5692" s="3">
        <v>7.56428404140431</v>
      </c>
      <c r="C5692" s="3">
        <v>3.7723966223521002</v>
      </c>
      <c r="D5692" s="3">
        <v>1.50666124825488</v>
      </c>
      <c r="E5692" s="3">
        <v>2.50381207236966</v>
      </c>
      <c r="F5692" s="3">
        <v>1.22863274533834E-2</v>
      </c>
      <c r="G5692" s="3">
        <v>3.7758353724603698E-2</v>
      </c>
      <c r="H5692" s="3" t="str">
        <f>"HCK"</f>
        <v>HCK</v>
      </c>
      <c r="I5692" s="3" t="str">
        <f>"protein_coding"</f>
        <v>protein_coding</v>
      </c>
    </row>
    <row r="5693" spans="1:9" x14ac:dyDescent="0.2">
      <c r="A5693" s="3" t="str">
        <f>"ENSG00000101350.8"</f>
        <v>ENSG00000101350.8</v>
      </c>
      <c r="B5693" s="3">
        <v>7265.9403834484701</v>
      </c>
      <c r="C5693" s="3">
        <v>2.1962226555803999</v>
      </c>
      <c r="D5693" s="3">
        <v>0.175872187266473</v>
      </c>
      <c r="E5693" s="3">
        <v>12.4876064243904</v>
      </c>
      <c r="F5693" s="4">
        <v>8.7238897373580995E-36</v>
      </c>
      <c r="G5693" s="4">
        <v>9.6234746426638105E-34</v>
      </c>
      <c r="H5693" s="3" t="str">
        <f>"KIF3B"</f>
        <v>KIF3B</v>
      </c>
      <c r="I5693" s="3" t="str">
        <f>"protein_coding"</f>
        <v>protein_coding</v>
      </c>
    </row>
    <row r="5694" spans="1:9" x14ac:dyDescent="0.2">
      <c r="A5694" s="3" t="str">
        <f>"ENSG00000277692.1"</f>
        <v>ENSG00000277692.1</v>
      </c>
      <c r="B5694" s="3">
        <v>15.4184729212625</v>
      </c>
      <c r="C5694" s="3">
        <v>3.7986625518600001</v>
      </c>
      <c r="D5694" s="3">
        <v>1.0734954170953099</v>
      </c>
      <c r="E5694" s="3">
        <v>3.5385922393022402</v>
      </c>
      <c r="F5694" s="3">
        <v>4.0226671279781402E-4</v>
      </c>
      <c r="G5694" s="3">
        <v>1.9798701451593302E-3</v>
      </c>
      <c r="H5694" s="3" t="str">
        <f>"AL121583.1"</f>
        <v>AL121583.1</v>
      </c>
      <c r="I5694" s="3" t="str">
        <f>"lincRNA"</f>
        <v>lincRNA</v>
      </c>
    </row>
    <row r="5695" spans="1:9" x14ac:dyDescent="0.2">
      <c r="A5695" s="3" t="str">
        <f>"ENSG00000277301.1"</f>
        <v>ENSG00000277301.1</v>
      </c>
      <c r="B5695" s="3">
        <v>42.3334451285805</v>
      </c>
      <c r="C5695" s="3">
        <v>2.9353118458421799</v>
      </c>
      <c r="D5695" s="3">
        <v>0.600506727723636</v>
      </c>
      <c r="E5695" s="3">
        <v>4.8880582187133497</v>
      </c>
      <c r="F5695" s="4">
        <v>1.0183541846307701E-6</v>
      </c>
      <c r="G5695" s="4">
        <v>8.7337414128532195E-6</v>
      </c>
      <c r="H5695" s="3" t="str">
        <f>"AL034550.2"</f>
        <v>AL034550.2</v>
      </c>
      <c r="I5695" s="3" t="str">
        <f>"antisense"</f>
        <v>antisense</v>
      </c>
    </row>
    <row r="5696" spans="1:9" x14ac:dyDescent="0.2">
      <c r="A5696" s="3" t="str">
        <f>"ENSG00000215529.12"</f>
        <v>ENSG00000215529.12</v>
      </c>
      <c r="B5696" s="3">
        <v>39.6108006470239</v>
      </c>
      <c r="C5696" s="3">
        <v>1.81780308628147</v>
      </c>
      <c r="D5696" s="3">
        <v>0.57396126694080396</v>
      </c>
      <c r="E5696" s="3">
        <v>3.1671180460840298</v>
      </c>
      <c r="F5696" s="3">
        <v>1.53957808661916E-3</v>
      </c>
      <c r="G5696" s="3">
        <v>6.42304151372107E-3</v>
      </c>
      <c r="H5696" s="3" t="str">
        <f>"EFCAB8"</f>
        <v>EFCAB8</v>
      </c>
      <c r="I5696" s="3" t="str">
        <f t="shared" ref="I5696:I5701" si="255">"protein_coding"</f>
        <v>protein_coding</v>
      </c>
    </row>
    <row r="5697" spans="1:9" x14ac:dyDescent="0.2">
      <c r="A5697" s="3" t="str">
        <f>"ENSG00000078898.7"</f>
        <v>ENSG00000078898.7</v>
      </c>
      <c r="B5697" s="3">
        <v>4364.4505142191601</v>
      </c>
      <c r="C5697" s="3">
        <v>-1.0989397581840299</v>
      </c>
      <c r="D5697" s="3">
        <v>0.247305599087076</v>
      </c>
      <c r="E5697" s="3">
        <v>-4.4436509413484604</v>
      </c>
      <c r="F5697" s="4">
        <v>8.8445055582164794E-6</v>
      </c>
      <c r="G5697" s="4">
        <v>6.3685582173552893E-5</v>
      </c>
      <c r="H5697" s="3" t="str">
        <f>"BPIFB2"</f>
        <v>BPIFB2</v>
      </c>
      <c r="I5697" s="3" t="str">
        <f t="shared" si="255"/>
        <v>protein_coding</v>
      </c>
    </row>
    <row r="5698" spans="1:9" x14ac:dyDescent="0.2">
      <c r="A5698" s="3" t="str">
        <f>"ENSG00000186191.7"</f>
        <v>ENSG00000186191.7</v>
      </c>
      <c r="B5698" s="3">
        <v>5.2874202707473597</v>
      </c>
      <c r="C5698" s="3">
        <v>5.8029394278270798</v>
      </c>
      <c r="D5698" s="3">
        <v>2.02483954767309</v>
      </c>
      <c r="E5698" s="3">
        <v>2.8658761799154502</v>
      </c>
      <c r="F5698" s="3">
        <v>4.1585686434663103E-3</v>
      </c>
      <c r="G5698" s="3">
        <v>1.5142124793335101E-2</v>
      </c>
      <c r="H5698" s="3" t="str">
        <f>"BPIFB4"</f>
        <v>BPIFB4</v>
      </c>
      <c r="I5698" s="3" t="str">
        <f t="shared" si="255"/>
        <v>protein_coding</v>
      </c>
    </row>
    <row r="5699" spans="1:9" x14ac:dyDescent="0.2">
      <c r="A5699" s="3" t="str">
        <f>"ENSG00000101400.5"</f>
        <v>ENSG00000101400.5</v>
      </c>
      <c r="B5699" s="3">
        <v>371.16076907061102</v>
      </c>
      <c r="C5699" s="3">
        <v>-1.17725958736415</v>
      </c>
      <c r="D5699" s="3">
        <v>0.28501793701860501</v>
      </c>
      <c r="E5699" s="3">
        <v>-4.1304754349102897</v>
      </c>
      <c r="F5699" s="4">
        <v>3.6201377855376499E-5</v>
      </c>
      <c r="G5699" s="3">
        <v>2.2780114143774701E-4</v>
      </c>
      <c r="H5699" s="3" t="str">
        <f>"SNTA1"</f>
        <v>SNTA1</v>
      </c>
      <c r="I5699" s="3" t="str">
        <f t="shared" si="255"/>
        <v>protein_coding</v>
      </c>
    </row>
    <row r="5700" spans="1:9" x14ac:dyDescent="0.2">
      <c r="A5700" s="3" t="str">
        <f>"ENSG00000101412.13"</f>
        <v>ENSG00000101412.13</v>
      </c>
      <c r="B5700" s="3">
        <v>1448.4274087480301</v>
      </c>
      <c r="C5700" s="3">
        <v>-2.3379237105183601</v>
      </c>
      <c r="D5700" s="3">
        <v>0.222061084667937</v>
      </c>
      <c r="E5700" s="3">
        <v>-10.528290961085901</v>
      </c>
      <c r="F5700" s="4">
        <v>6.3985609758897605E-26</v>
      </c>
      <c r="G5700" s="4">
        <v>3.8486002408403599E-24</v>
      </c>
      <c r="H5700" s="3" t="str">
        <f>"E2F1"</f>
        <v>E2F1</v>
      </c>
      <c r="I5700" s="3" t="str">
        <f t="shared" si="255"/>
        <v>protein_coding</v>
      </c>
    </row>
    <row r="5701" spans="1:9" x14ac:dyDescent="0.2">
      <c r="A5701" s="3" t="str">
        <f>"ENSG00000101417.12"</f>
        <v>ENSG00000101417.12</v>
      </c>
      <c r="B5701" s="3">
        <v>7.1203660436947001</v>
      </c>
      <c r="C5701" s="3">
        <v>6.2281843456542001</v>
      </c>
      <c r="D5701" s="3">
        <v>1.8751629089651101</v>
      </c>
      <c r="E5701" s="3">
        <v>3.3214097377232701</v>
      </c>
      <c r="F5701" s="3">
        <v>8.9563946787280001E-4</v>
      </c>
      <c r="G5701" s="3">
        <v>4.0031969457234497E-3</v>
      </c>
      <c r="H5701" s="3" t="str">
        <f>"PXMP4"</f>
        <v>PXMP4</v>
      </c>
      <c r="I5701" s="3" t="str">
        <f t="shared" si="255"/>
        <v>protein_coding</v>
      </c>
    </row>
    <row r="5702" spans="1:9" x14ac:dyDescent="0.2">
      <c r="A5702" s="3" t="str">
        <f>"ENSG00000230753.5"</f>
        <v>ENSG00000230753.5</v>
      </c>
      <c r="B5702" s="3">
        <v>3.9618079650943998</v>
      </c>
      <c r="C5702" s="3">
        <v>5.3771408192735599</v>
      </c>
      <c r="D5702" s="3">
        <v>2.19654804218851</v>
      </c>
      <c r="E5702" s="3">
        <v>2.4479959991751898</v>
      </c>
      <c r="F5702" s="3">
        <v>1.43653250707227E-2</v>
      </c>
      <c r="G5702" s="3">
        <v>4.3002857855634E-2</v>
      </c>
      <c r="H5702" s="3" t="str">
        <f>"ZNF341-AS1"</f>
        <v>ZNF341-AS1</v>
      </c>
      <c r="I5702" s="3" t="str">
        <f>"antisense"</f>
        <v>antisense</v>
      </c>
    </row>
    <row r="5703" spans="1:9" x14ac:dyDescent="0.2">
      <c r="A5703" s="3" t="str">
        <f>"ENSG00000285230.1"</f>
        <v>ENSG00000285230.1</v>
      </c>
      <c r="B5703" s="3">
        <v>247.586349120085</v>
      </c>
      <c r="C5703" s="3">
        <v>1.4281647670961499</v>
      </c>
      <c r="D5703" s="3">
        <v>0.27292204279453203</v>
      </c>
      <c r="E5703" s="3">
        <v>5.2328670578335803</v>
      </c>
      <c r="F5703" s="4">
        <v>1.6690078087421499E-7</v>
      </c>
      <c r="G5703" s="4">
        <v>1.63404440405309E-6</v>
      </c>
      <c r="H5703" s="3" t="str">
        <f>"RALY-AS1"</f>
        <v>RALY-AS1</v>
      </c>
      <c r="I5703" s="3" t="str">
        <f>"lincRNA"</f>
        <v>lincRNA</v>
      </c>
    </row>
    <row r="5704" spans="1:9" x14ac:dyDescent="0.2">
      <c r="A5704" s="3" t="str">
        <f>"ENSG00000125970.12"</f>
        <v>ENSG00000125970.12</v>
      </c>
      <c r="B5704" s="3">
        <v>9592.0389886953708</v>
      </c>
      <c r="C5704" s="3">
        <v>-1.16400757109076</v>
      </c>
      <c r="D5704" s="3">
        <v>0.21268099190483999</v>
      </c>
      <c r="E5704" s="3">
        <v>-5.4730211697130802</v>
      </c>
      <c r="F5704" s="4">
        <v>4.4242723647003598E-8</v>
      </c>
      <c r="G5704" s="4">
        <v>4.7798631689528496E-7</v>
      </c>
      <c r="H5704" s="3" t="str">
        <f>"RALY"</f>
        <v>RALY</v>
      </c>
      <c r="I5704" s="3" t="str">
        <f>"protein_coding"</f>
        <v>protein_coding</v>
      </c>
    </row>
    <row r="5705" spans="1:9" x14ac:dyDescent="0.2">
      <c r="A5705" s="3" t="str">
        <f>"ENSG00000101440.9"</f>
        <v>ENSG00000101440.9</v>
      </c>
      <c r="B5705" s="3">
        <v>3.8560994410470699</v>
      </c>
      <c r="C5705" s="3">
        <v>5.3491168120911601</v>
      </c>
      <c r="D5705" s="3">
        <v>2.2210669996358101</v>
      </c>
      <c r="E5705" s="3">
        <v>2.4083545489479898</v>
      </c>
      <c r="F5705" s="3">
        <v>1.6024610240486702E-2</v>
      </c>
      <c r="G5705" s="3">
        <v>4.7034639149255701E-2</v>
      </c>
      <c r="H5705" s="3" t="str">
        <f>"ASIP"</f>
        <v>ASIP</v>
      </c>
      <c r="I5705" s="3" t="str">
        <f>"protein_coding"</f>
        <v>protein_coding</v>
      </c>
    </row>
    <row r="5706" spans="1:9" x14ac:dyDescent="0.2">
      <c r="A5706" s="3" t="str">
        <f>"ENSG00000272945.1"</f>
        <v>ENSG00000272945.1</v>
      </c>
      <c r="B5706" s="3">
        <v>79.647656200131806</v>
      </c>
      <c r="C5706" s="3">
        <v>1.4166864341734999</v>
      </c>
      <c r="D5706" s="3">
        <v>0.411373140882693</v>
      </c>
      <c r="E5706" s="3">
        <v>3.4437990558491198</v>
      </c>
      <c r="F5706" s="3">
        <v>5.7360184264768305E-4</v>
      </c>
      <c r="G5706" s="3">
        <v>2.7063081223586902E-3</v>
      </c>
      <c r="H5706" s="3" t="str">
        <f>"AL356299.2"</f>
        <v>AL356299.2</v>
      </c>
      <c r="I5706" s="3" t="str">
        <f>"sense_intronic"</f>
        <v>sense_intronic</v>
      </c>
    </row>
    <row r="5707" spans="1:9" x14ac:dyDescent="0.2">
      <c r="A5707" s="3" t="str">
        <f>"ENSG00000078804.13"</f>
        <v>ENSG00000078804.13</v>
      </c>
      <c r="B5707" s="3">
        <v>5389.0942213145399</v>
      </c>
      <c r="C5707" s="3">
        <v>3.1584012857105401</v>
      </c>
      <c r="D5707" s="3">
        <v>0.18103511449481499</v>
      </c>
      <c r="E5707" s="3">
        <v>17.446346221417802</v>
      </c>
      <c r="F5707" s="4">
        <v>3.6696916065775799E-68</v>
      </c>
      <c r="G5707" s="4">
        <v>1.42840124577742E-65</v>
      </c>
      <c r="H5707" s="3" t="str">
        <f>"TP53INP2"</f>
        <v>TP53INP2</v>
      </c>
      <c r="I5707" s="3" t="str">
        <f>"protein_coding"</f>
        <v>protein_coding</v>
      </c>
    </row>
    <row r="5708" spans="1:9" x14ac:dyDescent="0.2">
      <c r="A5708" s="3" t="str">
        <f>"ENSG00000131069.20"</f>
        <v>ENSG00000131069.20</v>
      </c>
      <c r="B5708" s="3">
        <v>1165.7880680308101</v>
      </c>
      <c r="C5708" s="3">
        <v>-1.4584492963529101</v>
      </c>
      <c r="D5708" s="3">
        <v>0.24161246171526499</v>
      </c>
      <c r="E5708" s="3">
        <v>-6.0363165293670002</v>
      </c>
      <c r="F5708" s="4">
        <v>1.5767183150287E-9</v>
      </c>
      <c r="G5708" s="4">
        <v>2.0844659839683199E-8</v>
      </c>
      <c r="H5708" s="3" t="str">
        <f>"ACSS2"</f>
        <v>ACSS2</v>
      </c>
      <c r="I5708" s="3" t="str">
        <f>"protein_coding"</f>
        <v>protein_coding</v>
      </c>
    </row>
    <row r="5709" spans="1:9" x14ac:dyDescent="0.2">
      <c r="A5709" s="3" t="str">
        <f>"ENSG00000101000.6"</f>
        <v>ENSG00000101000.6</v>
      </c>
      <c r="B5709" s="3">
        <v>531.46553027015898</v>
      </c>
      <c r="C5709" s="3">
        <v>4.0240900848932002</v>
      </c>
      <c r="D5709" s="3">
        <v>0.262106102005911</v>
      </c>
      <c r="E5709" s="3">
        <v>15.3529050033427</v>
      </c>
      <c r="F5709" s="4">
        <v>3.38674559657889E-53</v>
      </c>
      <c r="G5709" s="4">
        <v>7.6263353115690097E-51</v>
      </c>
      <c r="H5709" s="3" t="str">
        <f>"PROCR"</f>
        <v>PROCR</v>
      </c>
      <c r="I5709" s="3" t="str">
        <f>"protein_coding"</f>
        <v>protein_coding</v>
      </c>
    </row>
    <row r="5710" spans="1:9" x14ac:dyDescent="0.2">
      <c r="A5710" s="3" t="str">
        <f>"ENSG00000088340.16"</f>
        <v>ENSG00000088340.16</v>
      </c>
      <c r="B5710" s="3">
        <v>39.233807606159502</v>
      </c>
      <c r="C5710" s="3">
        <v>1.85932766919808</v>
      </c>
      <c r="D5710" s="3">
        <v>0.59383951759716203</v>
      </c>
      <c r="E5710" s="3">
        <v>3.1310271783889201</v>
      </c>
      <c r="F5710" s="3">
        <v>1.7419603863955901E-3</v>
      </c>
      <c r="G5710" s="3">
        <v>7.1685839976016602E-3</v>
      </c>
      <c r="H5710" s="3" t="str">
        <f>"FER1L4"</f>
        <v>FER1L4</v>
      </c>
      <c r="I5710" s="3" t="str">
        <f>"transcribed_unitary_pseudogene"</f>
        <v>transcribed_unitary_pseudogene</v>
      </c>
    </row>
    <row r="5711" spans="1:9" x14ac:dyDescent="0.2">
      <c r="A5711" s="3" t="str">
        <f>"ENSG00000101335.10"</f>
        <v>ENSG00000101335.10</v>
      </c>
      <c r="B5711" s="3">
        <v>669.36778725882004</v>
      </c>
      <c r="C5711" s="3">
        <v>-1.8083703494527399</v>
      </c>
      <c r="D5711" s="3">
        <v>0.24433278403226799</v>
      </c>
      <c r="E5711" s="3">
        <v>-7.4012595428614798</v>
      </c>
      <c r="F5711" s="4">
        <v>1.3489877423203001E-13</v>
      </c>
      <c r="G5711" s="4">
        <v>2.97618372591102E-12</v>
      </c>
      <c r="H5711" s="3" t="str">
        <f>"MYL9"</f>
        <v>MYL9</v>
      </c>
      <c r="I5711" s="3" t="str">
        <f>"protein_coding"</f>
        <v>protein_coding</v>
      </c>
    </row>
    <row r="5712" spans="1:9" x14ac:dyDescent="0.2">
      <c r="A5712" s="3" t="str">
        <f>"ENSG00000101347.9"</f>
        <v>ENSG00000101347.9</v>
      </c>
      <c r="B5712" s="3">
        <v>1356.09252016552</v>
      </c>
      <c r="C5712" s="3">
        <v>-1.2522737767766801</v>
      </c>
      <c r="D5712" s="3">
        <v>0.191553734741533</v>
      </c>
      <c r="E5712" s="3">
        <v>-6.5374542473233399</v>
      </c>
      <c r="F5712" s="4">
        <v>6.2574778156347904E-11</v>
      </c>
      <c r="G5712" s="4">
        <v>1.0064787369693099E-9</v>
      </c>
      <c r="H5712" s="3" t="str">
        <f>"SAMHD1"</f>
        <v>SAMHD1</v>
      </c>
      <c r="I5712" s="3" t="str">
        <f>"protein_coding"</f>
        <v>protein_coding</v>
      </c>
    </row>
    <row r="5713" spans="1:9" x14ac:dyDescent="0.2">
      <c r="A5713" s="3" t="str">
        <f>"ENSG00000166619.14"</f>
        <v>ENSG00000166619.14</v>
      </c>
      <c r="B5713" s="3">
        <v>8119.3494539514204</v>
      </c>
      <c r="C5713" s="3">
        <v>2.4676457910834499</v>
      </c>
      <c r="D5713" s="3">
        <v>0.18223923429983599</v>
      </c>
      <c r="E5713" s="3">
        <v>13.540694464417401</v>
      </c>
      <c r="F5713" s="4">
        <v>8.9934641678817704E-42</v>
      </c>
      <c r="G5713" s="4">
        <v>1.3464006493531601E-39</v>
      </c>
      <c r="H5713" s="3" t="str">
        <f>"BLCAP"</f>
        <v>BLCAP</v>
      </c>
      <c r="I5713" s="3" t="str">
        <f>"protein_coding"</f>
        <v>protein_coding</v>
      </c>
    </row>
    <row r="5714" spans="1:9" x14ac:dyDescent="0.2">
      <c r="A5714" s="3" t="str">
        <f>"ENSG00000276603.1"</f>
        <v>ENSG00000276603.1</v>
      </c>
      <c r="B5714" s="3">
        <v>344.07161105517298</v>
      </c>
      <c r="C5714" s="3">
        <v>2.09261009509108</v>
      </c>
      <c r="D5714" s="3">
        <v>0.25342014103773502</v>
      </c>
      <c r="E5714" s="3">
        <v>8.2574734846331292</v>
      </c>
      <c r="F5714" s="4">
        <v>1.4878824181768099E-16</v>
      </c>
      <c r="G5714" s="4">
        <v>4.2809220958884402E-15</v>
      </c>
      <c r="H5714" s="3" t="str">
        <f>"AL109614.1"</f>
        <v>AL109614.1</v>
      </c>
      <c r="I5714" s="3" t="str">
        <f>"sense_intronic"</f>
        <v>sense_intronic</v>
      </c>
    </row>
    <row r="5715" spans="1:9" x14ac:dyDescent="0.2">
      <c r="A5715" s="3" t="str">
        <f>"ENSG00000101425.13"</f>
        <v>ENSG00000101425.13</v>
      </c>
      <c r="B5715" s="3">
        <v>18.060593423629701</v>
      </c>
      <c r="C5715" s="3">
        <v>7.5725468822487896</v>
      </c>
      <c r="D5715" s="3">
        <v>1.6333675694487799</v>
      </c>
      <c r="E5715" s="3">
        <v>4.6361560152711601</v>
      </c>
      <c r="F5715" s="4">
        <v>3.5494810096293998E-6</v>
      </c>
      <c r="G5715" s="4">
        <v>2.75893463049061E-5</v>
      </c>
      <c r="H5715" s="3" t="str">
        <f>"BPI"</f>
        <v>BPI</v>
      </c>
      <c r="I5715" s="3" t="str">
        <f>"protein_coding"</f>
        <v>protein_coding</v>
      </c>
    </row>
    <row r="5716" spans="1:9" x14ac:dyDescent="0.2">
      <c r="A5716" s="3" t="str">
        <f>"ENSG00000129988.6"</f>
        <v>ENSG00000129988.6</v>
      </c>
      <c r="B5716" s="3">
        <v>4.0372899650807801</v>
      </c>
      <c r="C5716" s="3">
        <v>5.4095356733146298</v>
      </c>
      <c r="D5716" s="3">
        <v>2.1467512296701501</v>
      </c>
      <c r="E5716" s="3">
        <v>2.5198707696307201</v>
      </c>
      <c r="F5716" s="3">
        <v>1.17397926988685E-2</v>
      </c>
      <c r="G5716" s="3">
        <v>3.6345203007166198E-2</v>
      </c>
      <c r="H5716" s="3" t="str">
        <f>"LBP"</f>
        <v>LBP</v>
      </c>
      <c r="I5716" s="3" t="str">
        <f>"protein_coding"</f>
        <v>protein_coding</v>
      </c>
    </row>
    <row r="5717" spans="1:9" x14ac:dyDescent="0.2">
      <c r="A5717" s="3" t="str">
        <f>"ENSG00000196756.12"</f>
        <v>ENSG00000196756.12</v>
      </c>
      <c r="B5717" s="3">
        <v>1327.5923390164701</v>
      </c>
      <c r="C5717" s="3">
        <v>-1.0644580801168599</v>
      </c>
      <c r="D5717" s="3">
        <v>0.21443124557808399</v>
      </c>
      <c r="E5717" s="3">
        <v>-4.9640996919417697</v>
      </c>
      <c r="F5717" s="4">
        <v>6.9020485964929895E-7</v>
      </c>
      <c r="G5717" s="4">
        <v>6.0762558354974003E-6</v>
      </c>
      <c r="H5717" s="3" t="str">
        <f>"SNHG17"</f>
        <v>SNHG17</v>
      </c>
      <c r="I5717" s="3" t="str">
        <f>"processed_transcript"</f>
        <v>processed_transcript</v>
      </c>
    </row>
    <row r="5718" spans="1:9" x14ac:dyDescent="0.2">
      <c r="A5718" s="3" t="str">
        <f>"ENSG00000225091.3"</f>
        <v>ENSG00000225091.3</v>
      </c>
      <c r="B5718" s="3">
        <v>71.022909348584705</v>
      </c>
      <c r="C5718" s="3">
        <v>-1.0755867068598699</v>
      </c>
      <c r="D5718" s="3">
        <v>0.43019131888041301</v>
      </c>
      <c r="E5718" s="3">
        <v>-2.50025200336241</v>
      </c>
      <c r="F5718" s="3">
        <v>1.2410499052605301E-2</v>
      </c>
      <c r="G5718" s="3">
        <v>3.8062682089862299E-2</v>
      </c>
      <c r="H5718" s="3" t="str">
        <f>"SNORA71A"</f>
        <v>SNORA71A</v>
      </c>
      <c r="I5718" s="3" t="str">
        <f>"snoRNA"</f>
        <v>snoRNA</v>
      </c>
    </row>
    <row r="5719" spans="1:9" x14ac:dyDescent="0.2">
      <c r="A5719" s="3" t="str">
        <f>"ENSG00000201512.1"</f>
        <v>ENSG00000201512.1</v>
      </c>
      <c r="B5719" s="3">
        <v>117.002833313002</v>
      </c>
      <c r="C5719" s="3">
        <v>-1.33803524971817</v>
      </c>
      <c r="D5719" s="3">
        <v>0.35509603644444698</v>
      </c>
      <c r="E5719" s="3">
        <v>-3.7680940151172302</v>
      </c>
      <c r="F5719" s="3">
        <v>1.6449875245477301E-4</v>
      </c>
      <c r="G5719" s="3">
        <v>8.9588197244357603E-4</v>
      </c>
      <c r="H5719" s="3" t="str">
        <f>"SNORA71C"</f>
        <v>SNORA71C</v>
      </c>
      <c r="I5719" s="3" t="str">
        <f>"snoRNA"</f>
        <v>snoRNA</v>
      </c>
    </row>
    <row r="5720" spans="1:9" x14ac:dyDescent="0.2">
      <c r="A5720" s="3" t="str">
        <f>"ENSG00000200354.1"</f>
        <v>ENSG00000200354.1</v>
      </c>
      <c r="B5720" s="3">
        <v>60.229040524738501</v>
      </c>
      <c r="C5720" s="3">
        <v>-1.7591674012229099</v>
      </c>
      <c r="D5720" s="3">
        <v>0.46549550824501501</v>
      </c>
      <c r="E5720" s="3">
        <v>-3.77912862758917</v>
      </c>
      <c r="F5720" s="3">
        <v>1.5737811809572901E-4</v>
      </c>
      <c r="G5720" s="3">
        <v>8.6106055898681297E-4</v>
      </c>
      <c r="H5720" s="3" t="str">
        <f>"SNORA71D"</f>
        <v>SNORA71D</v>
      </c>
      <c r="I5720" s="3" t="str">
        <f>"snoRNA"</f>
        <v>snoRNA</v>
      </c>
    </row>
    <row r="5721" spans="1:9" x14ac:dyDescent="0.2">
      <c r="A5721" s="3" t="str">
        <f>"ENSG00000170471.15"</f>
        <v>ENSG00000170471.15</v>
      </c>
      <c r="B5721" s="3">
        <v>8692.4014135572597</v>
      </c>
      <c r="C5721" s="3">
        <v>1.44264326614634</v>
      </c>
      <c r="D5721" s="3">
        <v>0.19942961085964001</v>
      </c>
      <c r="E5721" s="3">
        <v>7.2338468692178397</v>
      </c>
      <c r="F5721" s="4">
        <v>4.6950114748782999E-13</v>
      </c>
      <c r="G5721" s="4">
        <v>9.7281351829664604E-12</v>
      </c>
      <c r="H5721" s="3" t="str">
        <f>"RALGAPB"</f>
        <v>RALGAPB</v>
      </c>
      <c r="I5721" s="3" t="str">
        <f>"protein_coding"</f>
        <v>protein_coding</v>
      </c>
    </row>
    <row r="5722" spans="1:9" x14ac:dyDescent="0.2">
      <c r="A5722" s="3" t="str">
        <f>"ENSG00000231307.1"</f>
        <v>ENSG00000231307.1</v>
      </c>
      <c r="B5722" s="3">
        <v>107.649171788617</v>
      </c>
      <c r="C5722" s="3">
        <v>2.2643831060261501</v>
      </c>
      <c r="D5722" s="3">
        <v>0.40622446666165202</v>
      </c>
      <c r="E5722" s="3">
        <v>5.5742164538606502</v>
      </c>
      <c r="F5722" s="4">
        <v>2.4864642440163099E-8</v>
      </c>
      <c r="G5722" s="4">
        <v>2.8006900064783898E-7</v>
      </c>
      <c r="H5722" s="3" t="str">
        <f>"RPS3P2"</f>
        <v>RPS3P2</v>
      </c>
      <c r="I5722" s="3" t="str">
        <f>"processed_pseudogene"</f>
        <v>processed_pseudogene</v>
      </c>
    </row>
    <row r="5723" spans="1:9" x14ac:dyDescent="0.2">
      <c r="A5723" s="3" t="str">
        <f>"ENSG00000101442.10"</f>
        <v>ENSG00000101442.10</v>
      </c>
      <c r="B5723" s="3">
        <v>676.53815096021697</v>
      </c>
      <c r="C5723" s="3">
        <v>-1.08714367120781</v>
      </c>
      <c r="D5723" s="3">
        <v>0.21649873999215599</v>
      </c>
      <c r="E5723" s="3">
        <v>-5.0214780522380904</v>
      </c>
      <c r="F5723" s="4">
        <v>5.1275363734497899E-7</v>
      </c>
      <c r="G5723" s="4">
        <v>4.62462706280657E-6</v>
      </c>
      <c r="H5723" s="3" t="str">
        <f>"ACTR5"</f>
        <v>ACTR5</v>
      </c>
      <c r="I5723" s="3" t="str">
        <f>"protein_coding"</f>
        <v>protein_coding</v>
      </c>
    </row>
    <row r="5724" spans="1:9" x14ac:dyDescent="0.2">
      <c r="A5724" s="3" t="str">
        <f>"ENSG00000101445.10"</f>
        <v>ENSG00000101445.10</v>
      </c>
      <c r="B5724" s="3">
        <v>13.458024613295599</v>
      </c>
      <c r="C5724" s="3">
        <v>3.57797415431265</v>
      </c>
      <c r="D5724" s="3">
        <v>1.16467079470015</v>
      </c>
      <c r="E5724" s="3">
        <v>3.0720905603491202</v>
      </c>
      <c r="F5724" s="3">
        <v>2.1256522524406101E-3</v>
      </c>
      <c r="G5724" s="3">
        <v>8.5047939680248496E-3</v>
      </c>
      <c r="H5724" s="3" t="str">
        <f>"PPP1R16B"</f>
        <v>PPP1R16B</v>
      </c>
      <c r="I5724" s="3" t="str">
        <f>"protein_coding"</f>
        <v>protein_coding</v>
      </c>
    </row>
    <row r="5725" spans="1:9" x14ac:dyDescent="0.2">
      <c r="A5725" s="3" t="str">
        <f>"ENSG00000204103.4"</f>
        <v>ENSG00000204103.4</v>
      </c>
      <c r="B5725" s="3">
        <v>249.283170388955</v>
      </c>
      <c r="C5725" s="3">
        <v>6.0882483352097996</v>
      </c>
      <c r="D5725" s="3">
        <v>0.46733353644303199</v>
      </c>
      <c r="E5725" s="3">
        <v>13.027629862707199</v>
      </c>
      <c r="F5725" s="4">
        <v>8.5213702947760294E-39</v>
      </c>
      <c r="G5725" s="4">
        <v>1.1003875659799199E-36</v>
      </c>
      <c r="H5725" s="3" t="str">
        <f>"MAFB"</f>
        <v>MAFB</v>
      </c>
      <c r="I5725" s="3" t="str">
        <f>"protein_coding"</f>
        <v>protein_coding</v>
      </c>
    </row>
    <row r="5726" spans="1:9" x14ac:dyDescent="0.2">
      <c r="A5726" s="3" t="str">
        <f>"ENSG00000229771.2"</f>
        <v>ENSG00000229771.2</v>
      </c>
      <c r="B5726" s="3">
        <v>6.3865865764411804</v>
      </c>
      <c r="C5726" s="3">
        <v>6.0717322058502603</v>
      </c>
      <c r="D5726" s="3">
        <v>1.91855259725409</v>
      </c>
      <c r="E5726" s="3">
        <v>3.1647462855802702</v>
      </c>
      <c r="F5726" s="3">
        <v>1.55218235238969E-3</v>
      </c>
      <c r="G5726" s="3">
        <v>6.4686926515084096E-3</v>
      </c>
      <c r="H5726" s="3" t="str">
        <f>"AL035665.1"</f>
        <v>AL035665.1</v>
      </c>
      <c r="I5726" s="3" t="str">
        <f>"lincRNA"</f>
        <v>lincRNA</v>
      </c>
    </row>
    <row r="5727" spans="1:9" x14ac:dyDescent="0.2">
      <c r="A5727" s="3" t="str">
        <f>"ENSG00000132793.11"</f>
        <v>ENSG00000132793.11</v>
      </c>
      <c r="B5727" s="3">
        <v>1829.1029776333601</v>
      </c>
      <c r="C5727" s="3">
        <v>1.0194819711916601</v>
      </c>
      <c r="D5727" s="3">
        <v>0.205415817869749</v>
      </c>
      <c r="E5727" s="3">
        <v>4.9630159048321101</v>
      </c>
      <c r="F5727" s="4">
        <v>6.94068959833525E-7</v>
      </c>
      <c r="G5727" s="4">
        <v>6.1043566651336501E-6</v>
      </c>
      <c r="H5727" s="3" t="str">
        <f>"LPIN3"</f>
        <v>LPIN3</v>
      </c>
      <c r="I5727" s="3" t="str">
        <f>"protein_coding"</f>
        <v>protein_coding</v>
      </c>
    </row>
    <row r="5728" spans="1:9" x14ac:dyDescent="0.2">
      <c r="A5728" s="3" t="str">
        <f>"ENSG00000196090.12"</f>
        <v>ENSG00000196090.12</v>
      </c>
      <c r="B5728" s="3">
        <v>23.704718959623801</v>
      </c>
      <c r="C5728" s="3">
        <v>5.4940347309716504</v>
      </c>
      <c r="D5728" s="3">
        <v>1.21971008128319</v>
      </c>
      <c r="E5728" s="3">
        <v>4.5043775691282901</v>
      </c>
      <c r="F5728" s="4">
        <v>6.6567761622795599E-6</v>
      </c>
      <c r="G5728" s="4">
        <v>4.8967921191585097E-5</v>
      </c>
      <c r="H5728" s="3" t="str">
        <f>"PTPRT"</f>
        <v>PTPRT</v>
      </c>
      <c r="I5728" s="3" t="str">
        <f>"protein_coding"</f>
        <v>protein_coding</v>
      </c>
    </row>
    <row r="5729" spans="1:9" x14ac:dyDescent="0.2">
      <c r="A5729" s="3" t="str">
        <f>"ENSG00000233711.1"</f>
        <v>ENSG00000233711.1</v>
      </c>
      <c r="B5729" s="3">
        <v>27.8533932315726</v>
      </c>
      <c r="C5729" s="3">
        <v>8.1945840033272308</v>
      </c>
      <c r="D5729" s="3">
        <v>1.5735665684873901</v>
      </c>
      <c r="E5729" s="3">
        <v>5.2076500400007699</v>
      </c>
      <c r="F5729" s="4">
        <v>1.91247182155099E-7</v>
      </c>
      <c r="G5729" s="4">
        <v>1.8563989925828199E-6</v>
      </c>
      <c r="H5729" s="3" t="str">
        <f>"EIF4EBP2P1"</f>
        <v>EIF4EBP2P1</v>
      </c>
      <c r="I5729" s="3" t="str">
        <f>"processed_pseudogene"</f>
        <v>processed_pseudogene</v>
      </c>
    </row>
    <row r="5730" spans="1:9" x14ac:dyDescent="0.2">
      <c r="A5730" s="3" t="str">
        <f>"ENSG00000101049.15"</f>
        <v>ENSG00000101049.15</v>
      </c>
      <c r="B5730" s="3">
        <v>1037.5627141667901</v>
      </c>
      <c r="C5730" s="3">
        <v>2.1711827580270899</v>
      </c>
      <c r="D5730" s="3">
        <v>0.201775064425227</v>
      </c>
      <c r="E5730" s="3">
        <v>10.760411670351299</v>
      </c>
      <c r="F5730" s="4">
        <v>5.2933170200884497E-27</v>
      </c>
      <c r="G5730" s="4">
        <v>3.3776817060035101E-25</v>
      </c>
      <c r="H5730" s="3" t="str">
        <f>"SGK2"</f>
        <v>SGK2</v>
      </c>
      <c r="I5730" s="3" t="str">
        <f>"protein_coding"</f>
        <v>protein_coding</v>
      </c>
    </row>
    <row r="5731" spans="1:9" x14ac:dyDescent="0.2">
      <c r="A5731" s="3" t="str">
        <f>"ENSG00000101057.16"</f>
        <v>ENSG00000101057.16</v>
      </c>
      <c r="B5731" s="3">
        <v>5578.1267418587504</v>
      </c>
      <c r="C5731" s="3">
        <v>-1.52587190470106</v>
      </c>
      <c r="D5731" s="3">
        <v>0.23059514824615501</v>
      </c>
      <c r="E5731" s="3">
        <v>-6.6171032491639004</v>
      </c>
      <c r="F5731" s="4">
        <v>3.6630566451196998E-11</v>
      </c>
      <c r="G5731" s="4">
        <v>6.0673133379681698E-10</v>
      </c>
      <c r="H5731" s="3" t="str">
        <f>"MYBL2"</f>
        <v>MYBL2</v>
      </c>
      <c r="I5731" s="3" t="str">
        <f>"protein_coding"</f>
        <v>protein_coding</v>
      </c>
    </row>
    <row r="5732" spans="1:9" x14ac:dyDescent="0.2">
      <c r="A5732" s="3" t="str">
        <f>"ENSG00000124191.18"</f>
        <v>ENSG00000124191.18</v>
      </c>
      <c r="B5732" s="3">
        <v>7.7454745654380099</v>
      </c>
      <c r="C5732" s="3">
        <v>3.8050869843366799</v>
      </c>
      <c r="D5732" s="3">
        <v>1.5014859506064899</v>
      </c>
      <c r="E5732" s="3">
        <v>2.5342141781611001</v>
      </c>
      <c r="F5732" s="3">
        <v>1.12699825082976E-2</v>
      </c>
      <c r="G5732" s="3">
        <v>3.5166423889554002E-2</v>
      </c>
      <c r="H5732" s="3" t="str">
        <f>"TOX2"</f>
        <v>TOX2</v>
      </c>
      <c r="I5732" s="3" t="str">
        <f>"protein_coding"</f>
        <v>protein_coding</v>
      </c>
    </row>
    <row r="5733" spans="1:9" x14ac:dyDescent="0.2">
      <c r="A5733" s="3" t="str">
        <f>"ENSG00000149596.6"</f>
        <v>ENSG00000149596.6</v>
      </c>
      <c r="B5733" s="3">
        <v>6.8999316244813498</v>
      </c>
      <c r="C5733" s="3">
        <v>6.1824872788971303</v>
      </c>
      <c r="D5733" s="3">
        <v>1.8874648226700399</v>
      </c>
      <c r="E5733" s="3">
        <v>3.2755509955153999</v>
      </c>
      <c r="F5733" s="3">
        <v>1.0545607357935901E-3</v>
      </c>
      <c r="G5733" s="3">
        <v>4.6180675615827803E-3</v>
      </c>
      <c r="H5733" s="3" t="str">
        <f>"JPH2"</f>
        <v>JPH2</v>
      </c>
      <c r="I5733" s="3" t="str">
        <f>"protein_coding"</f>
        <v>protein_coding</v>
      </c>
    </row>
    <row r="5734" spans="1:9" x14ac:dyDescent="0.2">
      <c r="A5734" s="3" t="str">
        <f>"ENSG00000226812.2"</f>
        <v>ENSG00000226812.2</v>
      </c>
      <c r="B5734" s="3">
        <v>46.916213639125601</v>
      </c>
      <c r="C5734" s="3">
        <v>-2.9576046990934102</v>
      </c>
      <c r="D5734" s="3">
        <v>0.60523975145674602</v>
      </c>
      <c r="E5734" s="3">
        <v>-4.8866663036834304</v>
      </c>
      <c r="F5734" s="4">
        <v>1.0255770131299299E-6</v>
      </c>
      <c r="G5734" s="4">
        <v>8.7832226761714392E-6</v>
      </c>
      <c r="H5734" s="3" t="str">
        <f>"AL117382.1"</f>
        <v>AL117382.1</v>
      </c>
      <c r="I5734" s="3" t="str">
        <f>"antisense"</f>
        <v>antisense</v>
      </c>
    </row>
    <row r="5735" spans="1:9" x14ac:dyDescent="0.2">
      <c r="A5735" s="3" t="str">
        <f>"ENSG00000101076.16"</f>
        <v>ENSG00000101076.16</v>
      </c>
      <c r="B5735" s="3">
        <v>8696.7973517967093</v>
      </c>
      <c r="C5735" s="3">
        <v>-1.1253170405798001</v>
      </c>
      <c r="D5735" s="3">
        <v>0.183941174799088</v>
      </c>
      <c r="E5735" s="3">
        <v>-6.1178093583937496</v>
      </c>
      <c r="F5735" s="4">
        <v>9.4870465255363401E-10</v>
      </c>
      <c r="G5735" s="4">
        <v>1.2983101792129E-8</v>
      </c>
      <c r="H5735" s="3" t="str">
        <f>"HNF4A"</f>
        <v>HNF4A</v>
      </c>
      <c r="I5735" s="3" t="str">
        <f>"protein_coding"</f>
        <v>protein_coding</v>
      </c>
    </row>
    <row r="5736" spans="1:9" x14ac:dyDescent="0.2">
      <c r="A5736" s="3" t="str">
        <f>"ENSG00000229005.2"</f>
        <v>ENSG00000229005.2</v>
      </c>
      <c r="B5736" s="3">
        <v>85.572261742614103</v>
      </c>
      <c r="C5736" s="3">
        <v>-2.0460174383244998</v>
      </c>
      <c r="D5736" s="3">
        <v>0.41371853083944199</v>
      </c>
      <c r="E5736" s="3">
        <v>-4.9454333944701299</v>
      </c>
      <c r="F5736" s="4">
        <v>7.5974644639017401E-7</v>
      </c>
      <c r="G5736" s="4">
        <v>6.6348754566644403E-6</v>
      </c>
      <c r="H5736" s="3" t="str">
        <f>"HNF4A-AS1"</f>
        <v>HNF4A-AS1</v>
      </c>
      <c r="I5736" s="3" t="str">
        <f>"antisense"</f>
        <v>antisense</v>
      </c>
    </row>
    <row r="5737" spans="1:9" x14ac:dyDescent="0.2">
      <c r="A5737" s="3" t="str">
        <f>"ENSG00000233376.1"</f>
        <v>ENSG00000233376.1</v>
      </c>
      <c r="B5737" s="3">
        <v>24.942344176313</v>
      </c>
      <c r="C5737" s="3">
        <v>-2.25902771408495</v>
      </c>
      <c r="D5737" s="3">
        <v>0.72049929282177305</v>
      </c>
      <c r="E5737" s="3">
        <v>-3.13536423503992</v>
      </c>
      <c r="F5737" s="3">
        <v>1.71640855238428E-3</v>
      </c>
      <c r="G5737" s="3">
        <v>7.0805425930074899E-3</v>
      </c>
      <c r="H5737" s="3" t="str">
        <f>"AL117382.2"</f>
        <v>AL117382.2</v>
      </c>
      <c r="I5737" s="3" t="str">
        <f>"antisense"</f>
        <v>antisense</v>
      </c>
    </row>
    <row r="5738" spans="1:9" x14ac:dyDescent="0.2">
      <c r="A5738" s="3" t="str">
        <f>"ENSG00000168734.14"</f>
        <v>ENSG00000168734.14</v>
      </c>
      <c r="B5738" s="3">
        <v>508.44761084173899</v>
      </c>
      <c r="C5738" s="3">
        <v>-1.2545906208576401</v>
      </c>
      <c r="D5738" s="3">
        <v>0.25768632075966003</v>
      </c>
      <c r="E5738" s="3">
        <v>-4.8686737315318398</v>
      </c>
      <c r="F5738" s="4">
        <v>1.12349724914754E-6</v>
      </c>
      <c r="G5738" s="4">
        <v>9.5334567261049798E-6</v>
      </c>
      <c r="H5738" s="3" t="str">
        <f>"PKIG"</f>
        <v>PKIG</v>
      </c>
      <c r="I5738" s="3" t="str">
        <f>"protein_coding"</f>
        <v>protein_coding</v>
      </c>
    </row>
    <row r="5739" spans="1:9" x14ac:dyDescent="0.2">
      <c r="A5739" s="3" t="str">
        <f>"ENSG00000196839.13"</f>
        <v>ENSG00000196839.13</v>
      </c>
      <c r="B5739" s="3">
        <v>1208.64457546581</v>
      </c>
      <c r="C5739" s="3">
        <v>1.94563557499037</v>
      </c>
      <c r="D5739" s="3">
        <v>0.20844806048327699</v>
      </c>
      <c r="E5739" s="3">
        <v>9.3339106657049502</v>
      </c>
      <c r="F5739" s="4">
        <v>1.02035051341061E-20</v>
      </c>
      <c r="G5739" s="4">
        <v>4.23803207910042E-19</v>
      </c>
      <c r="H5739" s="3" t="str">
        <f>"ADA"</f>
        <v>ADA</v>
      </c>
      <c r="I5739" s="3" t="str">
        <f>"protein_coding"</f>
        <v>protein_coding</v>
      </c>
    </row>
    <row r="5740" spans="1:9" x14ac:dyDescent="0.2">
      <c r="A5740" s="3" t="str">
        <f>"ENSG00000101098.12"</f>
        <v>ENSG00000101098.12</v>
      </c>
      <c r="B5740" s="3">
        <v>675.99738743958301</v>
      </c>
      <c r="C5740" s="3">
        <v>6.8186313311685796</v>
      </c>
      <c r="D5740" s="3">
        <v>0.36690834083593199</v>
      </c>
      <c r="E5740" s="3">
        <v>18.584018329029</v>
      </c>
      <c r="F5740" s="4">
        <v>4.32847542547747E-77</v>
      </c>
      <c r="G5740" s="4">
        <v>2.6804084072269199E-74</v>
      </c>
      <c r="H5740" s="3" t="str">
        <f>"RIMS4"</f>
        <v>RIMS4</v>
      </c>
      <c r="I5740" s="3" t="str">
        <f>"protein_coding"</f>
        <v>protein_coding</v>
      </c>
    </row>
    <row r="5741" spans="1:9" x14ac:dyDescent="0.2">
      <c r="A5741" s="3" t="str">
        <f>"ENSG00000286100.1"</f>
        <v>ENSG00000286100.1</v>
      </c>
      <c r="B5741" s="3">
        <v>4.8073075371410301</v>
      </c>
      <c r="C5741" s="3">
        <v>5.6597867282439296</v>
      </c>
      <c r="D5741" s="3">
        <v>2.0539032196280198</v>
      </c>
      <c r="E5741" s="3">
        <v>2.7556248386761699</v>
      </c>
      <c r="F5741" s="3">
        <v>5.8580144965317896E-3</v>
      </c>
      <c r="G5741" s="3">
        <v>2.0291548561785101E-2</v>
      </c>
      <c r="H5741" s="3" t="str">
        <f>"AL008725.1"</f>
        <v>AL008725.1</v>
      </c>
      <c r="I5741" s="3" t="str">
        <f>"bidirectional_promoter_lncRNA"</f>
        <v>bidirectional_promoter_lncRNA</v>
      </c>
    </row>
    <row r="5742" spans="1:9" x14ac:dyDescent="0.2">
      <c r="A5742" s="3" t="str">
        <f>"ENSG00000124134.9"</f>
        <v>ENSG00000124134.9</v>
      </c>
      <c r="B5742" s="3">
        <v>6.5345447860410504</v>
      </c>
      <c r="C5742" s="3">
        <v>6.1065584322363398</v>
      </c>
      <c r="D5742" s="3">
        <v>1.9147670694155401</v>
      </c>
      <c r="E5742" s="3">
        <v>3.18919127541727</v>
      </c>
      <c r="F5742" s="3">
        <v>1.42671441136191E-3</v>
      </c>
      <c r="G5742" s="3">
        <v>6.0250600691844399E-3</v>
      </c>
      <c r="H5742" s="3" t="str">
        <f>"KCNS1"</f>
        <v>KCNS1</v>
      </c>
      <c r="I5742" s="3" t="str">
        <f>"protein_coding"</f>
        <v>protein_coding</v>
      </c>
    </row>
    <row r="5743" spans="1:9" x14ac:dyDescent="0.2">
      <c r="A5743" s="3" t="str">
        <f>"ENSG00000124145.6"</f>
        <v>ENSG00000124145.6</v>
      </c>
      <c r="B5743" s="3">
        <v>7936.2227632880504</v>
      </c>
      <c r="C5743" s="3">
        <v>1.3256407892843001</v>
      </c>
      <c r="D5743" s="3">
        <v>0.18674767049053501</v>
      </c>
      <c r="E5743" s="3">
        <v>7.0985666691434997</v>
      </c>
      <c r="F5743" s="4">
        <v>1.26057375178159E-12</v>
      </c>
      <c r="G5743" s="4">
        <v>2.4674463372696101E-11</v>
      </c>
      <c r="H5743" s="3" t="str">
        <f>"SDC4"</f>
        <v>SDC4</v>
      </c>
      <c r="I5743" s="3" t="str">
        <f>"protein_coding"</f>
        <v>protein_coding</v>
      </c>
    </row>
    <row r="5744" spans="1:9" x14ac:dyDescent="0.2">
      <c r="A5744" s="3" t="str">
        <f>"ENSG00000275894.1"</f>
        <v>ENSG00000275894.1</v>
      </c>
      <c r="B5744" s="3">
        <v>140.23236855215001</v>
      </c>
      <c r="C5744" s="3">
        <v>1.9623271216790701</v>
      </c>
      <c r="D5744" s="3">
        <v>0.33695600218180299</v>
      </c>
      <c r="E5744" s="3">
        <v>5.8236894697614003</v>
      </c>
      <c r="F5744" s="4">
        <v>5.7562487438790904E-9</v>
      </c>
      <c r="G5744" s="4">
        <v>7.0553535548571099E-8</v>
      </c>
      <c r="H5744" s="3" t="str">
        <f>"AL021578.1"</f>
        <v>AL021578.1</v>
      </c>
      <c r="I5744" s="3" t="str">
        <f>"sense_intronic"</f>
        <v>sense_intronic</v>
      </c>
    </row>
    <row r="5745" spans="1:9" x14ac:dyDescent="0.2">
      <c r="A5745" s="3" t="str">
        <f>"ENSG00000101443.18"</f>
        <v>ENSG00000101443.18</v>
      </c>
      <c r="B5745" s="3">
        <v>126.60443912078</v>
      </c>
      <c r="C5745" s="3">
        <v>4.4803983513862899</v>
      </c>
      <c r="D5745" s="3">
        <v>0.48813307104805298</v>
      </c>
      <c r="E5745" s="3">
        <v>9.1786412704359197</v>
      </c>
      <c r="F5745" s="4">
        <v>4.3656492973199101E-20</v>
      </c>
      <c r="G5745" s="4">
        <v>1.7017288469824799E-18</v>
      </c>
      <c r="H5745" s="3" t="str">
        <f>"WFDC2"</f>
        <v>WFDC2</v>
      </c>
      <c r="I5745" s="3" t="str">
        <f>"protein_coding"</f>
        <v>protein_coding</v>
      </c>
    </row>
    <row r="5746" spans="1:9" x14ac:dyDescent="0.2">
      <c r="A5746" s="3" t="str">
        <f>"ENSG00000124257.6"</f>
        <v>ENSG00000124257.6</v>
      </c>
      <c r="B5746" s="3">
        <v>1623.8186320720199</v>
      </c>
      <c r="C5746" s="3">
        <v>3.2914442768300298</v>
      </c>
      <c r="D5746" s="3">
        <v>0.20081831316916901</v>
      </c>
      <c r="E5746" s="3">
        <v>16.390159965427699</v>
      </c>
      <c r="F5746" s="4">
        <v>2.2485212098899099E-60</v>
      </c>
      <c r="G5746" s="4">
        <v>6.6592888484641696E-58</v>
      </c>
      <c r="H5746" s="3" t="str">
        <f>"NEURL2"</f>
        <v>NEURL2</v>
      </c>
      <c r="I5746" s="3" t="str">
        <f>"protein_coding"</f>
        <v>protein_coding</v>
      </c>
    </row>
    <row r="5747" spans="1:9" x14ac:dyDescent="0.2">
      <c r="A5747" s="3" t="str">
        <f>"ENSG00000271984.1"</f>
        <v>ENSG00000271984.1</v>
      </c>
      <c r="B5747" s="3">
        <v>1154.2201815098299</v>
      </c>
      <c r="C5747" s="3">
        <v>8.8006074307764006</v>
      </c>
      <c r="D5747" s="3">
        <v>0.49864386784155301</v>
      </c>
      <c r="E5747" s="3">
        <v>17.649083841883002</v>
      </c>
      <c r="F5747" s="4">
        <v>1.03420286680642E-69</v>
      </c>
      <c r="G5747" s="4">
        <v>4.5449879857862003E-67</v>
      </c>
      <c r="H5747" s="3" t="str">
        <f>"AL008726.1"</f>
        <v>AL008726.1</v>
      </c>
      <c r="I5747" s="3" t="str">
        <f>"antisense"</f>
        <v>antisense</v>
      </c>
    </row>
    <row r="5748" spans="1:9" x14ac:dyDescent="0.2">
      <c r="A5748" s="3" t="str">
        <f>"ENSG00000100979.15"</f>
        <v>ENSG00000100979.15</v>
      </c>
      <c r="B5748" s="3">
        <v>20713.0554850068</v>
      </c>
      <c r="C5748" s="3">
        <v>4.9909486276971302</v>
      </c>
      <c r="D5748" s="3">
        <v>0.19598727363181501</v>
      </c>
      <c r="E5748" s="3">
        <v>25.465677108571899</v>
      </c>
      <c r="F5748" s="4">
        <v>4.7334483653884604E-143</v>
      </c>
      <c r="G5748" s="4">
        <v>2.5794453522347902E-139</v>
      </c>
      <c r="H5748" s="3" t="str">
        <f>"PLTP"</f>
        <v>PLTP</v>
      </c>
      <c r="I5748" s="3" t="str">
        <f>"protein_coding"</f>
        <v>protein_coding</v>
      </c>
    </row>
    <row r="5749" spans="1:9" x14ac:dyDescent="0.2">
      <c r="A5749" s="3" t="str">
        <f>"ENSG00000100982.12"</f>
        <v>ENSG00000100982.12</v>
      </c>
      <c r="B5749" s="3">
        <v>1531.4534364732101</v>
      </c>
      <c r="C5749" s="3">
        <v>-1.20145606512103</v>
      </c>
      <c r="D5749" s="3">
        <v>0.21471736173226899</v>
      </c>
      <c r="E5749" s="3">
        <v>-5.5955236010170601</v>
      </c>
      <c r="F5749" s="4">
        <v>2.1995692234617401E-8</v>
      </c>
      <c r="G5749" s="4">
        <v>2.5013214787838898E-7</v>
      </c>
      <c r="H5749" s="3" t="str">
        <f>"PCIF1"</f>
        <v>PCIF1</v>
      </c>
      <c r="I5749" s="3" t="str">
        <f>"protein_coding"</f>
        <v>protein_coding</v>
      </c>
    </row>
    <row r="5750" spans="1:9" x14ac:dyDescent="0.2">
      <c r="A5750" s="3" t="str">
        <f>"ENSG00000100985.7"</f>
        <v>ENSG00000100985.7</v>
      </c>
      <c r="B5750" s="3">
        <v>75.500628716420707</v>
      </c>
      <c r="C5750" s="3">
        <v>9.6349854283734206</v>
      </c>
      <c r="D5750" s="3">
        <v>1.4972379578477399</v>
      </c>
      <c r="E5750" s="3">
        <v>6.4351730984857101</v>
      </c>
      <c r="F5750" s="4">
        <v>1.2333269552248399E-10</v>
      </c>
      <c r="G5750" s="4">
        <v>1.89748501123722E-9</v>
      </c>
      <c r="H5750" s="3" t="str">
        <f>"MMP9"</f>
        <v>MMP9</v>
      </c>
      <c r="I5750" s="3" t="str">
        <f>"protein_coding"</f>
        <v>protein_coding</v>
      </c>
    </row>
    <row r="5751" spans="1:9" x14ac:dyDescent="0.2">
      <c r="A5751" s="3" t="str">
        <f>"ENSG00000124140.13"</f>
        <v>ENSG00000124140.13</v>
      </c>
      <c r="B5751" s="3">
        <v>64.000550928173396</v>
      </c>
      <c r="C5751" s="3">
        <v>-1.6336000701579001</v>
      </c>
      <c r="D5751" s="3">
        <v>0.49981514952700101</v>
      </c>
      <c r="E5751" s="3">
        <v>-3.2684084740205499</v>
      </c>
      <c r="F5751" s="3">
        <v>1.0815415149561299E-3</v>
      </c>
      <c r="G5751" s="3">
        <v>4.71802139897687E-3</v>
      </c>
      <c r="H5751" s="3" t="str">
        <f>"SLC12A5"</f>
        <v>SLC12A5</v>
      </c>
      <c r="I5751" s="3" t="str">
        <f>"protein_coding"</f>
        <v>protein_coding</v>
      </c>
    </row>
    <row r="5752" spans="1:9" x14ac:dyDescent="0.2">
      <c r="A5752" s="3" t="str">
        <f>"ENSG00000283757.1"</f>
        <v>ENSG00000283757.1</v>
      </c>
      <c r="B5752" s="3">
        <v>26.2128443383376</v>
      </c>
      <c r="C5752" s="3">
        <v>2.12869827911446</v>
      </c>
      <c r="D5752" s="3">
        <v>0.76864356472031303</v>
      </c>
      <c r="E5752" s="3">
        <v>2.7694218449471202</v>
      </c>
      <c r="F5752" s="3">
        <v>5.61558751732418E-3</v>
      </c>
      <c r="G5752" s="3">
        <v>1.9613884512823001E-2</v>
      </c>
      <c r="H5752" s="3" t="str">
        <f>"AL031686.1"</f>
        <v>AL031686.1</v>
      </c>
      <c r="I5752" s="3" t="str">
        <f>"processed_transcript"</f>
        <v>processed_transcript</v>
      </c>
    </row>
    <row r="5753" spans="1:9" x14ac:dyDescent="0.2">
      <c r="A5753" s="3" t="str">
        <f>"ENSG00000198185.11"</f>
        <v>ENSG00000198185.11</v>
      </c>
      <c r="B5753" s="3">
        <v>434.84943138689601</v>
      </c>
      <c r="C5753" s="3">
        <v>1.69819291467844</v>
      </c>
      <c r="D5753" s="3">
        <v>0.28835784527439001</v>
      </c>
      <c r="E5753" s="3">
        <v>5.88918575481277</v>
      </c>
      <c r="F5753" s="4">
        <v>3.8810302529825799E-9</v>
      </c>
      <c r="G5753" s="4">
        <v>4.9002053430498802E-8</v>
      </c>
      <c r="H5753" s="3" t="str">
        <f>"ZNF334"</f>
        <v>ZNF334</v>
      </c>
      <c r="I5753" s="3" t="str">
        <f>"protein_coding"</f>
        <v>protein_coding</v>
      </c>
    </row>
    <row r="5754" spans="1:9" x14ac:dyDescent="0.2">
      <c r="A5754" s="3" t="str">
        <f>"ENSG00000158296.14"</f>
        <v>ENSG00000158296.14</v>
      </c>
      <c r="B5754" s="3">
        <v>6755.4506394791897</v>
      </c>
      <c r="C5754" s="3">
        <v>1.2663303982915299</v>
      </c>
      <c r="D5754" s="3">
        <v>0.176563979259592</v>
      </c>
      <c r="E5754" s="3">
        <v>7.1720766806558904</v>
      </c>
      <c r="F5754" s="4">
        <v>7.3868544428738402E-13</v>
      </c>
      <c r="G5754" s="4">
        <v>1.4930980935087801E-11</v>
      </c>
      <c r="H5754" s="3" t="str">
        <f>"SLC13A3"</f>
        <v>SLC13A3</v>
      </c>
      <c r="I5754" s="3" t="str">
        <f>"protein_coding"</f>
        <v>protein_coding</v>
      </c>
    </row>
    <row r="5755" spans="1:9" x14ac:dyDescent="0.2">
      <c r="A5755" s="3" t="str">
        <f>"ENSG00000064655.19"</f>
        <v>ENSG00000064655.19</v>
      </c>
      <c r="B5755" s="3">
        <v>11.0459359039824</v>
      </c>
      <c r="C5755" s="3">
        <v>6.8601544745856096</v>
      </c>
      <c r="D5755" s="3">
        <v>1.73863849390068</v>
      </c>
      <c r="E5755" s="3">
        <v>3.94570492868514</v>
      </c>
      <c r="F5755" s="4">
        <v>7.9565548421961803E-5</v>
      </c>
      <c r="G5755" s="3">
        <v>4.66721743348373E-4</v>
      </c>
      <c r="H5755" s="3" t="str">
        <f>"EYA2"</f>
        <v>EYA2</v>
      </c>
      <c r="I5755" s="3" t="str">
        <f>"protein_coding"</f>
        <v>protein_coding</v>
      </c>
    </row>
    <row r="5756" spans="1:9" x14ac:dyDescent="0.2">
      <c r="A5756" s="3" t="str">
        <f>"ENSG00000236028.1"</f>
        <v>ENSG00000236028.1</v>
      </c>
      <c r="B5756" s="3">
        <v>89.119470061681696</v>
      </c>
      <c r="C5756" s="3">
        <v>9.8717513523456706</v>
      </c>
      <c r="D5756" s="3">
        <v>1.5103079345985599</v>
      </c>
      <c r="E5756" s="3">
        <v>6.5362507381447097</v>
      </c>
      <c r="F5756" s="4">
        <v>6.3080129355137699E-11</v>
      </c>
      <c r="G5756" s="4">
        <v>1.0140084274568999E-9</v>
      </c>
      <c r="H5756" s="3" t="str">
        <f>"AL354766.2"</f>
        <v>AL354766.2</v>
      </c>
      <c r="I5756" s="3" t="str">
        <f>"lincRNA"</f>
        <v>lincRNA</v>
      </c>
    </row>
    <row r="5757" spans="1:9" x14ac:dyDescent="0.2">
      <c r="A5757" s="3" t="str">
        <f>"ENSG00000273451.1"</f>
        <v>ENSG00000273451.1</v>
      </c>
      <c r="B5757" s="3">
        <v>248.36744366246299</v>
      </c>
      <c r="C5757" s="3">
        <v>1.3443820288477899</v>
      </c>
      <c r="D5757" s="3">
        <v>0.31535095439310001</v>
      </c>
      <c r="E5757" s="3">
        <v>4.2631297293362698</v>
      </c>
      <c r="F5757" s="4">
        <v>2.01583405629192E-5</v>
      </c>
      <c r="G5757" s="3">
        <v>1.3386651360415799E-4</v>
      </c>
      <c r="H5757" s="3" t="str">
        <f>"AL031666.3"</f>
        <v>AL031666.3</v>
      </c>
      <c r="I5757" s="3" t="str">
        <f>"sense_intronic"</f>
        <v>sense_intronic</v>
      </c>
    </row>
    <row r="5758" spans="1:9" x14ac:dyDescent="0.2">
      <c r="A5758" s="3" t="str">
        <f>"ENSG00000196562.14"</f>
        <v>ENSG00000196562.14</v>
      </c>
      <c r="B5758" s="3">
        <v>13936.1594132891</v>
      </c>
      <c r="C5758" s="3">
        <v>3.2133248681189901</v>
      </c>
      <c r="D5758" s="3">
        <v>0.18973007212371501</v>
      </c>
      <c r="E5758" s="3">
        <v>16.9362970885485</v>
      </c>
      <c r="F5758" s="4">
        <v>2.4294370812039601E-64</v>
      </c>
      <c r="G5758" s="4">
        <v>8.2743590189455499E-62</v>
      </c>
      <c r="H5758" s="3" t="str">
        <f>"SULF2"</f>
        <v>SULF2</v>
      </c>
      <c r="I5758" s="3" t="str">
        <f>"protein_coding"</f>
        <v>protein_coding</v>
      </c>
    </row>
    <row r="5759" spans="1:9" x14ac:dyDescent="0.2">
      <c r="A5759" s="3" t="str">
        <f>"ENSG00000124126.14"</f>
        <v>ENSG00000124126.14</v>
      </c>
      <c r="B5759" s="3">
        <v>42.091384597357397</v>
      </c>
      <c r="C5759" s="3">
        <v>2.83957148363453</v>
      </c>
      <c r="D5759" s="3">
        <v>0.59534922577828897</v>
      </c>
      <c r="E5759" s="3">
        <v>4.7695896134280096</v>
      </c>
      <c r="F5759" s="4">
        <v>1.84601608577714E-6</v>
      </c>
      <c r="G5759" s="4">
        <v>1.5059401284182499E-5</v>
      </c>
      <c r="H5759" s="3" t="str">
        <f>"PREX1"</f>
        <v>PREX1</v>
      </c>
      <c r="I5759" s="3" t="str">
        <f>"protein_coding"</f>
        <v>protein_coding</v>
      </c>
    </row>
    <row r="5760" spans="1:9" x14ac:dyDescent="0.2">
      <c r="A5760" s="3" t="str">
        <f>"ENSG00000230758.1"</f>
        <v>ENSG00000230758.1</v>
      </c>
      <c r="B5760" s="3">
        <v>23.453765587334399</v>
      </c>
      <c r="C5760" s="3">
        <v>5.4724154332412098</v>
      </c>
      <c r="D5760" s="3">
        <v>1.21502309437994</v>
      </c>
      <c r="E5760" s="3">
        <v>4.5039600140554796</v>
      </c>
      <c r="F5760" s="4">
        <v>6.6698761626878399E-6</v>
      </c>
      <c r="G5760" s="4">
        <v>4.9026288266435802E-5</v>
      </c>
      <c r="H5760" s="3" t="str">
        <f>"SNAP23P1"</f>
        <v>SNAP23P1</v>
      </c>
      <c r="I5760" s="3" t="str">
        <f>"processed_pseudogene"</f>
        <v>processed_pseudogene</v>
      </c>
    </row>
    <row r="5761" spans="1:9" x14ac:dyDescent="0.2">
      <c r="A5761" s="3" t="str">
        <f>"ENSG00000227431.5"</f>
        <v>ENSG00000227431.5</v>
      </c>
      <c r="B5761" s="3">
        <v>40.269665859999002</v>
      </c>
      <c r="C5761" s="3">
        <v>3.0266027514165699</v>
      </c>
      <c r="D5761" s="3">
        <v>0.62530781598724505</v>
      </c>
      <c r="E5761" s="3">
        <v>4.8401805863215204</v>
      </c>
      <c r="F5761" s="4">
        <v>1.29721196827985E-6</v>
      </c>
      <c r="G5761" s="4">
        <v>1.09056261955325E-5</v>
      </c>
      <c r="H5761" s="3" t="str">
        <f>"CSE1L-AS1"</f>
        <v>CSE1L-AS1</v>
      </c>
      <c r="I5761" s="3" t="str">
        <f>"antisense"</f>
        <v>antisense</v>
      </c>
    </row>
    <row r="5762" spans="1:9" x14ac:dyDescent="0.2">
      <c r="A5762" s="3" t="str">
        <f>"ENSG00000124201.15"</f>
        <v>ENSG00000124201.15</v>
      </c>
      <c r="B5762" s="3">
        <v>3130.9258336377502</v>
      </c>
      <c r="C5762" s="3">
        <v>1.08724079131433</v>
      </c>
      <c r="D5762" s="3">
        <v>0.18078511319385901</v>
      </c>
      <c r="E5762" s="3">
        <v>6.01399513547591</v>
      </c>
      <c r="F5762" s="4">
        <v>1.8100594376684701E-9</v>
      </c>
      <c r="G5762" s="4">
        <v>2.3608755145118698E-8</v>
      </c>
      <c r="H5762" s="3" t="str">
        <f>"ZNFX1"</f>
        <v>ZNFX1</v>
      </c>
      <c r="I5762" s="3" t="str">
        <f>"protein_coding"</f>
        <v>protein_coding</v>
      </c>
    </row>
    <row r="5763" spans="1:9" x14ac:dyDescent="0.2">
      <c r="A5763" s="3" t="str">
        <f>"ENSG00000209042.1"</f>
        <v>ENSG00000209042.1</v>
      </c>
      <c r="B5763" s="3">
        <v>114.59355513485301</v>
      </c>
      <c r="C5763" s="3">
        <v>-1.7066965629600499</v>
      </c>
      <c r="D5763" s="3">
        <v>0.35879462535335399</v>
      </c>
      <c r="E5763" s="3">
        <v>-4.7567506377199296</v>
      </c>
      <c r="F5763" s="4">
        <v>1.9673393825867199E-6</v>
      </c>
      <c r="G5763" s="4">
        <v>1.59916754646004E-5</v>
      </c>
      <c r="H5763" s="3" t="str">
        <f>"SNORD12C"</f>
        <v>SNORD12C</v>
      </c>
      <c r="I5763" s="3" t="str">
        <f>"snoRNA"</f>
        <v>snoRNA</v>
      </c>
    </row>
    <row r="5764" spans="1:9" x14ac:dyDescent="0.2">
      <c r="A5764" s="3" t="str">
        <f>"ENSG00000158445.10"</f>
        <v>ENSG00000158445.10</v>
      </c>
      <c r="B5764" s="3">
        <v>10.909919694731601</v>
      </c>
      <c r="C5764" s="3">
        <v>3.70742522498657</v>
      </c>
      <c r="D5764" s="3">
        <v>1.2528397864696199</v>
      </c>
      <c r="E5764" s="3">
        <v>2.9592173436906499</v>
      </c>
      <c r="F5764" s="3">
        <v>3.0842149306932101E-3</v>
      </c>
      <c r="G5764" s="3">
        <v>1.1736816231368401E-2</v>
      </c>
      <c r="H5764" s="3" t="str">
        <f>"KCNB1"</f>
        <v>KCNB1</v>
      </c>
      <c r="I5764" s="3" t="str">
        <f>"protein_coding"</f>
        <v>protein_coding</v>
      </c>
    </row>
    <row r="5765" spans="1:9" x14ac:dyDescent="0.2">
      <c r="A5765" s="3" t="str">
        <f>"ENSG00000124212.6"</f>
        <v>ENSG00000124212.6</v>
      </c>
      <c r="B5765" s="3">
        <v>5.8007653187875299</v>
      </c>
      <c r="C5765" s="3">
        <v>5.93546411782095</v>
      </c>
      <c r="D5765" s="3">
        <v>1.9704464687610299</v>
      </c>
      <c r="E5765" s="3">
        <v>3.01224327172564</v>
      </c>
      <c r="F5765" s="3">
        <v>2.59324684567092E-3</v>
      </c>
      <c r="G5765" s="3">
        <v>1.00853835004276E-2</v>
      </c>
      <c r="H5765" s="3" t="str">
        <f>"PTGIS"</f>
        <v>PTGIS</v>
      </c>
      <c r="I5765" s="3" t="str">
        <f>"protein_coding"</f>
        <v>protein_coding</v>
      </c>
    </row>
    <row r="5766" spans="1:9" x14ac:dyDescent="0.2">
      <c r="A5766" s="3" t="str">
        <f>"ENSG00000197818.11"</f>
        <v>ENSG00000197818.11</v>
      </c>
      <c r="B5766" s="3">
        <v>1170.35006716056</v>
      </c>
      <c r="C5766" s="3">
        <v>1.0754955214958599</v>
      </c>
      <c r="D5766" s="3">
        <v>0.19250328429119901</v>
      </c>
      <c r="E5766" s="3">
        <v>5.5868944026376202</v>
      </c>
      <c r="F5766" s="4">
        <v>2.3116618824639499E-8</v>
      </c>
      <c r="G5766" s="4">
        <v>2.6189543164862901E-7</v>
      </c>
      <c r="H5766" s="3" t="str">
        <f>"SLC9A8"</f>
        <v>SLC9A8</v>
      </c>
      <c r="I5766" s="3" t="str">
        <f>"protein_coding"</f>
        <v>protein_coding</v>
      </c>
    </row>
    <row r="5767" spans="1:9" x14ac:dyDescent="0.2">
      <c r="A5767" s="3" t="str">
        <f>"ENSG00000237788.1"</f>
        <v>ENSG00000237788.1</v>
      </c>
      <c r="B5767" s="3">
        <v>67.567584216784297</v>
      </c>
      <c r="C5767" s="3">
        <v>1.7534423240313901</v>
      </c>
      <c r="D5767" s="3">
        <v>0.450225610799946</v>
      </c>
      <c r="E5767" s="3">
        <v>3.8945859186374001</v>
      </c>
      <c r="F5767" s="4">
        <v>9.83666216878498E-5</v>
      </c>
      <c r="G5767" s="3">
        <v>5.6377689127657597E-4</v>
      </c>
      <c r="H5767" s="3" t="str">
        <f>"AL162615.1"</f>
        <v>AL162615.1</v>
      </c>
      <c r="I5767" s="3" t="str">
        <f>"processed_pseudogene"</f>
        <v>processed_pseudogene</v>
      </c>
    </row>
    <row r="5768" spans="1:9" x14ac:dyDescent="0.2">
      <c r="A5768" s="3" t="str">
        <f>"ENSG00000237595.4"</f>
        <v>ENSG00000237595.4</v>
      </c>
      <c r="B5768" s="3">
        <v>74.853298976712907</v>
      </c>
      <c r="C5768" s="3">
        <v>2.82293778490269</v>
      </c>
      <c r="D5768" s="3">
        <v>0.46605161876123702</v>
      </c>
      <c r="E5768" s="3">
        <v>6.0571354572398004</v>
      </c>
      <c r="F5768" s="4">
        <v>1.3856690010259901E-9</v>
      </c>
      <c r="G5768" s="4">
        <v>1.8489384559723399E-8</v>
      </c>
      <c r="H5768" s="3" t="str">
        <f>"LINC01275"</f>
        <v>LINC01275</v>
      </c>
      <c r="I5768" s="3" t="str">
        <f>"lincRNA"</f>
        <v>lincRNA</v>
      </c>
    </row>
    <row r="5769" spans="1:9" x14ac:dyDescent="0.2">
      <c r="A5769" s="3" t="str">
        <f>"ENSG00000224397.6"</f>
        <v>ENSG00000224397.6</v>
      </c>
      <c r="B5769" s="3">
        <v>4.8465514323206698</v>
      </c>
      <c r="C5769" s="3">
        <v>5.6768670601366198</v>
      </c>
      <c r="D5769" s="3">
        <v>2.0625215872145701</v>
      </c>
      <c r="E5769" s="3">
        <v>2.75239158480916</v>
      </c>
      <c r="F5769" s="3">
        <v>5.9161731801165201E-3</v>
      </c>
      <c r="G5769" s="3">
        <v>2.0448810178692701E-2</v>
      </c>
      <c r="H5769" s="3" t="str">
        <f>"SMIM25"</f>
        <v>SMIM25</v>
      </c>
      <c r="I5769" s="3" t="str">
        <f>"lincRNA"</f>
        <v>lincRNA</v>
      </c>
    </row>
    <row r="5770" spans="1:9" x14ac:dyDescent="0.2">
      <c r="A5770" s="3" t="str">
        <f>"ENSG00000203999.8"</f>
        <v>ENSG00000203999.8</v>
      </c>
      <c r="B5770" s="3">
        <v>274.83088409141698</v>
      </c>
      <c r="C5770" s="3">
        <v>1.4509246907453699</v>
      </c>
      <c r="D5770" s="3">
        <v>0.269337264658773</v>
      </c>
      <c r="E5770" s="3">
        <v>5.3870179924176496</v>
      </c>
      <c r="F5770" s="4">
        <v>7.16362654015374E-8</v>
      </c>
      <c r="G5770" s="4">
        <v>7.4641427280905904E-7</v>
      </c>
      <c r="H5770" s="3" t="str">
        <f>"LINC01270"</f>
        <v>LINC01270</v>
      </c>
      <c r="I5770" s="3" t="str">
        <f>"lincRNA"</f>
        <v>lincRNA</v>
      </c>
    </row>
    <row r="5771" spans="1:9" x14ac:dyDescent="0.2">
      <c r="A5771" s="3" t="str">
        <f>"ENSG00000233077.1"</f>
        <v>ENSG00000233077.1</v>
      </c>
      <c r="B5771" s="3">
        <v>32.980457819701599</v>
      </c>
      <c r="C5771" s="3">
        <v>4.9502417124892997</v>
      </c>
      <c r="D5771" s="3">
        <v>0.92923247714815305</v>
      </c>
      <c r="E5771" s="3">
        <v>5.3272370846117703</v>
      </c>
      <c r="F5771" s="4">
        <v>9.9717967831315701E-8</v>
      </c>
      <c r="G5771" s="4">
        <v>1.0130557306114299E-6</v>
      </c>
      <c r="H5771" s="3" t="str">
        <f>"LINC01271"</f>
        <v>LINC01271</v>
      </c>
      <c r="I5771" s="3" t="str">
        <f>"lincRNA"</f>
        <v>lincRNA</v>
      </c>
    </row>
    <row r="5772" spans="1:9" x14ac:dyDescent="0.2">
      <c r="A5772" s="3" t="str">
        <f>"ENSG00000042062.12"</f>
        <v>ENSG00000042062.12</v>
      </c>
      <c r="B5772" s="3">
        <v>31.059963516366199</v>
      </c>
      <c r="C5772" s="3">
        <v>5.8820832010733701</v>
      </c>
      <c r="D5772" s="3">
        <v>1.17777377939423</v>
      </c>
      <c r="E5772" s="3">
        <v>4.9942385405274603</v>
      </c>
      <c r="F5772" s="4">
        <v>5.9068353589785599E-7</v>
      </c>
      <c r="G5772" s="4">
        <v>5.2595929093493096E-6</v>
      </c>
      <c r="H5772" s="3" t="str">
        <f>"RIPOR3"</f>
        <v>RIPOR3</v>
      </c>
      <c r="I5772" s="3" t="str">
        <f>"protein_coding"</f>
        <v>protein_coding</v>
      </c>
    </row>
    <row r="5773" spans="1:9" x14ac:dyDescent="0.2">
      <c r="A5773" s="3" t="str">
        <f>"ENSG00000026559.14"</f>
        <v>ENSG00000026559.14</v>
      </c>
      <c r="B5773" s="3">
        <v>13.3288112553851</v>
      </c>
      <c r="C5773" s="3">
        <v>4.6357932620845297</v>
      </c>
      <c r="D5773" s="3">
        <v>1.33766006787485</v>
      </c>
      <c r="E5773" s="3">
        <v>3.4655989017071001</v>
      </c>
      <c r="F5773" s="3">
        <v>5.2905190204215701E-4</v>
      </c>
      <c r="G5773" s="3">
        <v>2.5192375349427898E-3</v>
      </c>
      <c r="H5773" s="3" t="str">
        <f>"KCNG1"</f>
        <v>KCNG1</v>
      </c>
      <c r="I5773" s="3" t="str">
        <f>"protein_coding"</f>
        <v>protein_coding</v>
      </c>
    </row>
    <row r="5774" spans="1:9" x14ac:dyDescent="0.2">
      <c r="A5774" s="3" t="str">
        <f>"ENSG00000054793.13"</f>
        <v>ENSG00000054793.13</v>
      </c>
      <c r="B5774" s="3">
        <v>3717.6114174709101</v>
      </c>
      <c r="C5774" s="3">
        <v>-1.2988050925125201</v>
      </c>
      <c r="D5774" s="3">
        <v>0.18597627262859201</v>
      </c>
      <c r="E5774" s="3">
        <v>-6.9837139660623997</v>
      </c>
      <c r="F5774" s="4">
        <v>2.87477070286557E-12</v>
      </c>
      <c r="G5774" s="4">
        <v>5.38342799594351E-11</v>
      </c>
      <c r="H5774" s="3" t="str">
        <f>"ATP9A"</f>
        <v>ATP9A</v>
      </c>
      <c r="I5774" s="3" t="str">
        <f>"protein_coding"</f>
        <v>protein_coding</v>
      </c>
    </row>
    <row r="5775" spans="1:9" x14ac:dyDescent="0.2">
      <c r="A5775" s="3" t="str">
        <f>"ENSG00000020256.20"</f>
        <v>ENSG00000020256.20</v>
      </c>
      <c r="B5775" s="3">
        <v>1027.0176966300701</v>
      </c>
      <c r="C5775" s="3">
        <v>-1.0577339255195799</v>
      </c>
      <c r="D5775" s="3">
        <v>0.201402652500345</v>
      </c>
      <c r="E5775" s="3">
        <v>-5.25183711529204</v>
      </c>
      <c r="F5775" s="4">
        <v>1.50589607397017E-7</v>
      </c>
      <c r="G5775" s="4">
        <v>1.4828749666593801E-6</v>
      </c>
      <c r="H5775" s="3" t="str">
        <f>"ZFP64"</f>
        <v>ZFP64</v>
      </c>
      <c r="I5775" s="3" t="str">
        <f>"protein_coding"</f>
        <v>protein_coding</v>
      </c>
    </row>
    <row r="5776" spans="1:9" x14ac:dyDescent="0.2">
      <c r="A5776" s="3" t="str">
        <f>"ENSG00000234948.1"</f>
        <v>ENSG00000234948.1</v>
      </c>
      <c r="B5776" s="3">
        <v>3.9648137554673002</v>
      </c>
      <c r="C5776" s="3">
        <v>5.38581965917892</v>
      </c>
      <c r="D5776" s="3">
        <v>2.16320773319238</v>
      </c>
      <c r="E5776" s="3">
        <v>2.4897376135165499</v>
      </c>
      <c r="F5776" s="3">
        <v>1.2783743375967001E-2</v>
      </c>
      <c r="G5776" s="3">
        <v>3.9066695352733702E-2</v>
      </c>
      <c r="H5776" s="3" t="str">
        <f>"LINC01524"</f>
        <v>LINC01524</v>
      </c>
      <c r="I5776" s="3" t="str">
        <f>"lincRNA"</f>
        <v>lincRNA</v>
      </c>
    </row>
    <row r="5777" spans="1:9" x14ac:dyDescent="0.2">
      <c r="A5777" s="3" t="str">
        <f>"ENSG00000182463.16"</f>
        <v>ENSG00000182463.16</v>
      </c>
      <c r="B5777" s="3">
        <v>13.6972906220184</v>
      </c>
      <c r="C5777" s="3">
        <v>2.9706714818389299</v>
      </c>
      <c r="D5777" s="3">
        <v>1.0184029996017601</v>
      </c>
      <c r="E5777" s="3">
        <v>2.9169901139338599</v>
      </c>
      <c r="F5777" s="3">
        <v>3.5342697460672601E-3</v>
      </c>
      <c r="G5777" s="3">
        <v>1.3198772994941699E-2</v>
      </c>
      <c r="H5777" s="3" t="str">
        <f>"TSHZ2"</f>
        <v>TSHZ2</v>
      </c>
      <c r="I5777" s="3" t="str">
        <f>"protein_coding"</f>
        <v>protein_coding</v>
      </c>
    </row>
    <row r="5778" spans="1:9" x14ac:dyDescent="0.2">
      <c r="A5778" s="3" t="str">
        <f>"ENSG00000271774.1"</f>
        <v>ENSG00000271774.1</v>
      </c>
      <c r="B5778" s="3">
        <v>88.089907114010103</v>
      </c>
      <c r="C5778" s="3">
        <v>1.7928818737674299</v>
      </c>
      <c r="D5778" s="3">
        <v>0.456122487748849</v>
      </c>
      <c r="E5778" s="3">
        <v>3.9307026553679401</v>
      </c>
      <c r="F5778" s="4">
        <v>8.4697967887467702E-5</v>
      </c>
      <c r="G5778" s="3">
        <v>4.9374529974964305E-4</v>
      </c>
      <c r="H5778" s="3" t="str">
        <f>"AL109930.1"</f>
        <v>AL109930.1</v>
      </c>
      <c r="I5778" s="3" t="str">
        <f>"antisense"</f>
        <v>antisense</v>
      </c>
    </row>
    <row r="5779" spans="1:9" x14ac:dyDescent="0.2">
      <c r="A5779" s="3" t="str">
        <f>"ENSG00000259723.1"</f>
        <v>ENSG00000259723.1</v>
      </c>
      <c r="B5779" s="3">
        <v>172.95029973406201</v>
      </c>
      <c r="C5779" s="3">
        <v>2.4943500696448502</v>
      </c>
      <c r="D5779" s="3">
        <v>0.31838806898007999</v>
      </c>
      <c r="E5779" s="3">
        <v>7.8343076034074404</v>
      </c>
      <c r="F5779" s="4">
        <v>4.7143334822844098E-15</v>
      </c>
      <c r="G5779" s="4">
        <v>1.17521907037331E-13</v>
      </c>
      <c r="H5779" s="3" t="str">
        <f>"AL354993.2"</f>
        <v>AL354993.2</v>
      </c>
      <c r="I5779" s="3" t="str">
        <f>"antisense"</f>
        <v>antisense</v>
      </c>
    </row>
    <row r="5780" spans="1:9" x14ac:dyDescent="0.2">
      <c r="A5780" s="3" t="str">
        <f>"ENSG00000064787.13"</f>
        <v>ENSG00000064787.13</v>
      </c>
      <c r="B5780" s="3">
        <v>203.53504875955699</v>
      </c>
      <c r="C5780" s="3">
        <v>-2.6141385890651798</v>
      </c>
      <c r="D5780" s="3">
        <v>0.31974389244065499</v>
      </c>
      <c r="E5780" s="3">
        <v>-8.1757264200140298</v>
      </c>
      <c r="F5780" s="4">
        <v>2.94088606293622E-16</v>
      </c>
      <c r="G5780" s="4">
        <v>8.2171154860199701E-15</v>
      </c>
      <c r="H5780" s="3" t="str">
        <f>"BCAS1"</f>
        <v>BCAS1</v>
      </c>
      <c r="I5780" s="3" t="str">
        <f>"protein_coding"</f>
        <v>protein_coding</v>
      </c>
    </row>
    <row r="5781" spans="1:9" x14ac:dyDescent="0.2">
      <c r="A5781" s="3" t="str">
        <f>"ENSG00000019186.10"</f>
        <v>ENSG00000019186.10</v>
      </c>
      <c r="B5781" s="3">
        <v>12176.916245902599</v>
      </c>
      <c r="C5781" s="3">
        <v>1.0102020593710901</v>
      </c>
      <c r="D5781" s="3">
        <v>0.17927360923618199</v>
      </c>
      <c r="E5781" s="3">
        <v>5.6349736231405503</v>
      </c>
      <c r="F5781" s="4">
        <v>1.7508513318257901E-8</v>
      </c>
      <c r="G5781" s="4">
        <v>2.0137377052873501E-7</v>
      </c>
      <c r="H5781" s="3" t="str">
        <f>"CYP24A1"</f>
        <v>CYP24A1</v>
      </c>
      <c r="I5781" s="3" t="str">
        <f>"protein_coding"</f>
        <v>protein_coding</v>
      </c>
    </row>
    <row r="5782" spans="1:9" x14ac:dyDescent="0.2">
      <c r="A5782" s="3" t="str">
        <f>"ENSG00000124098.10"</f>
        <v>ENSG00000124098.10</v>
      </c>
      <c r="B5782" s="3">
        <v>9281.1845301507401</v>
      </c>
      <c r="C5782" s="3">
        <v>1.6690031877668301</v>
      </c>
      <c r="D5782" s="3">
        <v>0.18365603647857301</v>
      </c>
      <c r="E5782" s="3">
        <v>9.0876576657558399</v>
      </c>
      <c r="F5782" s="4">
        <v>1.0119559067588199E-19</v>
      </c>
      <c r="G5782" s="4">
        <v>3.8083926231294903E-18</v>
      </c>
      <c r="H5782" s="3" t="str">
        <f>"FAM210B"</f>
        <v>FAM210B</v>
      </c>
      <c r="I5782" s="3" t="str">
        <f>"protein_coding"</f>
        <v>protein_coding</v>
      </c>
    </row>
    <row r="5783" spans="1:9" x14ac:dyDescent="0.2">
      <c r="A5783" s="3" t="str">
        <f>"ENSG00000101144.13"</f>
        <v>ENSG00000101144.13</v>
      </c>
      <c r="B5783" s="3">
        <v>228.549005700572</v>
      </c>
      <c r="C5783" s="3">
        <v>8.7856865956867196</v>
      </c>
      <c r="D5783" s="3">
        <v>1.05601005332655</v>
      </c>
      <c r="E5783" s="3">
        <v>8.3196997680190599</v>
      </c>
      <c r="F5783" s="4">
        <v>8.8186405741717595E-17</v>
      </c>
      <c r="G5783" s="4">
        <v>2.6032665192249E-15</v>
      </c>
      <c r="H5783" s="3" t="str">
        <f>"BMP7"</f>
        <v>BMP7</v>
      </c>
      <c r="I5783" s="3" t="str">
        <f>"protein_coding"</f>
        <v>protein_coding</v>
      </c>
    </row>
    <row r="5784" spans="1:9" x14ac:dyDescent="0.2">
      <c r="A5784" s="3" t="str">
        <f>"ENSG00000226308.1"</f>
        <v>ENSG00000226308.1</v>
      </c>
      <c r="B5784" s="3">
        <v>6.3473426812615497</v>
      </c>
      <c r="C5784" s="3">
        <v>6.0588050892948804</v>
      </c>
      <c r="D5784" s="3">
        <v>1.9387374818076699</v>
      </c>
      <c r="E5784" s="3">
        <v>3.1251291864670998</v>
      </c>
      <c r="F5784" s="3">
        <v>1.7772698861429101E-3</v>
      </c>
      <c r="G5784" s="3">
        <v>7.2830910795211199E-3</v>
      </c>
      <c r="H5784" s="3" t="str">
        <f>"AL122058.1"</f>
        <v>AL122058.1</v>
      </c>
      <c r="I5784" s="3" t="str">
        <f>"lincRNA"</f>
        <v>lincRNA</v>
      </c>
    </row>
    <row r="5785" spans="1:9" x14ac:dyDescent="0.2">
      <c r="A5785" s="3" t="str">
        <f>"ENSG00000132819.17"</f>
        <v>ENSG00000132819.17</v>
      </c>
      <c r="B5785" s="3">
        <v>4077.0720639290398</v>
      </c>
      <c r="C5785" s="3">
        <v>1.00597077185603</v>
      </c>
      <c r="D5785" s="3">
        <v>0.20708194971316601</v>
      </c>
      <c r="E5785" s="3">
        <v>4.8578390016581698</v>
      </c>
      <c r="F5785" s="4">
        <v>1.1867384155759899E-6</v>
      </c>
      <c r="G5785" s="4">
        <v>1.0020161639045301E-5</v>
      </c>
      <c r="H5785" s="3" t="str">
        <f>"RBM38"</f>
        <v>RBM38</v>
      </c>
      <c r="I5785" s="3" t="str">
        <f>"protein_coding"</f>
        <v>protein_coding</v>
      </c>
    </row>
    <row r="5786" spans="1:9" x14ac:dyDescent="0.2">
      <c r="A5786" s="3" t="str">
        <f>"ENSG00000124225.16"</f>
        <v>ENSG00000124225.16</v>
      </c>
      <c r="B5786" s="3">
        <v>57.565290371107899</v>
      </c>
      <c r="C5786" s="3">
        <v>4.76991589775609</v>
      </c>
      <c r="D5786" s="3">
        <v>1.861609391392</v>
      </c>
      <c r="E5786" s="3">
        <v>2.5622538862405699</v>
      </c>
      <c r="F5786" s="3">
        <v>1.0399526531570001E-2</v>
      </c>
      <c r="G5786" s="3">
        <v>3.2890992386034601E-2</v>
      </c>
      <c r="H5786" s="3" t="str">
        <f>"PMEPA1"</f>
        <v>PMEPA1</v>
      </c>
      <c r="I5786" s="3" t="str">
        <f>"protein_coding"</f>
        <v>protein_coding</v>
      </c>
    </row>
    <row r="5787" spans="1:9" x14ac:dyDescent="0.2">
      <c r="A5787" s="3" t="str">
        <f>"ENSG00000278709.2"</f>
        <v>ENSG00000278709.2</v>
      </c>
      <c r="B5787" s="3">
        <v>5.5773251092012899</v>
      </c>
      <c r="C5787" s="3">
        <v>5.8730172189294603</v>
      </c>
      <c r="D5787" s="3">
        <v>1.9878318593136</v>
      </c>
      <c r="E5787" s="3">
        <v>2.9544838973238998</v>
      </c>
      <c r="F5787" s="3">
        <v>3.13192497340763E-3</v>
      </c>
      <c r="G5787" s="3">
        <v>1.18835203663052E-2</v>
      </c>
      <c r="H5787" s="3" t="str">
        <f>"NKILA"</f>
        <v>NKILA</v>
      </c>
      <c r="I5787" s="3" t="str">
        <f>"antisense"</f>
        <v>antisense</v>
      </c>
    </row>
    <row r="5788" spans="1:9" x14ac:dyDescent="0.2">
      <c r="A5788" s="3" t="str">
        <f>"ENSG00000254995.4"</f>
        <v>ENSG00000254995.4</v>
      </c>
      <c r="B5788" s="3">
        <v>418.42520185255501</v>
      </c>
      <c r="C5788" s="3">
        <v>1.10715893344012</v>
      </c>
      <c r="D5788" s="3">
        <v>0.244541597155358</v>
      </c>
      <c r="E5788" s="3">
        <v>4.5274871282399296</v>
      </c>
      <c r="F5788" s="4">
        <v>5.9689235669539097E-6</v>
      </c>
      <c r="G5788" s="4">
        <v>4.4387352737116101E-5</v>
      </c>
      <c r="H5788" s="3" t="str">
        <f>"STX16-NPEPL1"</f>
        <v>STX16-NPEPL1</v>
      </c>
      <c r="I5788" s="3" t="str">
        <f>"protein_coding"</f>
        <v>protein_coding</v>
      </c>
    </row>
    <row r="5789" spans="1:9" x14ac:dyDescent="0.2">
      <c r="A5789" s="3" t="str">
        <f>"ENSG00000276859.1"</f>
        <v>ENSG00000276859.1</v>
      </c>
      <c r="B5789" s="3">
        <v>6.9361697292880997</v>
      </c>
      <c r="C5789" s="3">
        <v>6.1893505386205003</v>
      </c>
      <c r="D5789" s="3">
        <v>1.88667036612856</v>
      </c>
      <c r="E5789" s="3">
        <v>3.2805680577476899</v>
      </c>
      <c r="F5789" s="3">
        <v>1.0359826711025899E-3</v>
      </c>
      <c r="G5789" s="3">
        <v>4.5520754458203902E-3</v>
      </c>
      <c r="H5789" s="3" t="str">
        <f>"RF02127"</f>
        <v>RF02127</v>
      </c>
      <c r="I5789" s="3" t="str">
        <f>"misc_RNA"</f>
        <v>misc_RNA</v>
      </c>
    </row>
    <row r="5790" spans="1:9" x14ac:dyDescent="0.2">
      <c r="A5790" s="3" t="str">
        <f>"ENSG00000276722.1"</f>
        <v>ENSG00000276722.1</v>
      </c>
      <c r="B5790" s="3">
        <v>7.52499677731464</v>
      </c>
      <c r="C5790" s="3">
        <v>6.3091617375997604</v>
      </c>
      <c r="D5790" s="3">
        <v>1.8562154266706801</v>
      </c>
      <c r="E5790" s="3">
        <v>3.39893831661335</v>
      </c>
      <c r="F5790" s="3">
        <v>6.7647971212428902E-4</v>
      </c>
      <c r="G5790" s="3">
        <v>3.1368350436096898E-3</v>
      </c>
      <c r="H5790" s="3" t="str">
        <f>"RF02128"</f>
        <v>RF02128</v>
      </c>
      <c r="I5790" s="3" t="str">
        <f>"misc_RNA"</f>
        <v>misc_RNA</v>
      </c>
    </row>
    <row r="5791" spans="1:9" x14ac:dyDescent="0.2">
      <c r="A5791" s="3" t="str">
        <f>"ENSG00000274491.1"</f>
        <v>ENSG00000274491.1</v>
      </c>
      <c r="B5791" s="3">
        <v>5.4323726899743301</v>
      </c>
      <c r="C5791" s="3">
        <v>5.8384671515102298</v>
      </c>
      <c r="D5791" s="3">
        <v>1.9903824247200499</v>
      </c>
      <c r="E5791" s="3">
        <v>2.9333393819187399</v>
      </c>
      <c r="F5791" s="3">
        <v>3.3533711180266999E-3</v>
      </c>
      <c r="G5791" s="3">
        <v>1.26061400183324E-2</v>
      </c>
      <c r="H5791" s="3" t="str">
        <f>"RF02130"</f>
        <v>RF02130</v>
      </c>
      <c r="I5791" s="3" t="str">
        <f>"misc_RNA"</f>
        <v>misc_RNA</v>
      </c>
    </row>
    <row r="5792" spans="1:9" x14ac:dyDescent="0.2">
      <c r="A5792" s="3" t="str">
        <f>"ENSG00000275069.1"</f>
        <v>ENSG00000275069.1</v>
      </c>
      <c r="B5792" s="3">
        <v>7.3045623581013004</v>
      </c>
      <c r="C5792" s="3">
        <v>6.2660001736162201</v>
      </c>
      <c r="D5792" s="3">
        <v>1.8664868521764999</v>
      </c>
      <c r="E5792" s="3">
        <v>3.35710919490778</v>
      </c>
      <c r="F5792" s="3">
        <v>7.8762000251612603E-4</v>
      </c>
      <c r="G5792" s="3">
        <v>3.5838814643548598E-3</v>
      </c>
      <c r="H5792" s="3" t="str">
        <f>"RF02131"</f>
        <v>RF02131</v>
      </c>
      <c r="I5792" s="3" t="str">
        <f>"misc_RNA"</f>
        <v>misc_RNA</v>
      </c>
    </row>
    <row r="5793" spans="1:9" x14ac:dyDescent="0.2">
      <c r="A5793" s="3" t="str">
        <f>"ENSG00000101160.14"</f>
        <v>ENSG00000101160.14</v>
      </c>
      <c r="B5793" s="3">
        <v>22.416357729230299</v>
      </c>
      <c r="C5793" s="3">
        <v>2.2703176976060901</v>
      </c>
      <c r="D5793" s="3">
        <v>0.78575506699868702</v>
      </c>
      <c r="E5793" s="3">
        <v>2.8893452845018399</v>
      </c>
      <c r="F5793" s="3">
        <v>3.8604492364524498E-3</v>
      </c>
      <c r="G5793" s="3">
        <v>1.4221965974258999E-2</v>
      </c>
      <c r="H5793" s="3" t="str">
        <f>"CTSZ"</f>
        <v>CTSZ</v>
      </c>
      <c r="I5793" s="3" t="str">
        <f>"protein_coding"</f>
        <v>protein_coding</v>
      </c>
    </row>
    <row r="5794" spans="1:9" x14ac:dyDescent="0.2">
      <c r="A5794" s="3" t="str">
        <f>"ENSG00000087495.17"</f>
        <v>ENSG00000087495.17</v>
      </c>
      <c r="B5794" s="3">
        <v>9.6538589694617105</v>
      </c>
      <c r="C5794" s="3">
        <v>6.6684028122708501</v>
      </c>
      <c r="D5794" s="3">
        <v>1.7739601857798399</v>
      </c>
      <c r="E5794" s="3">
        <v>3.75904874626</v>
      </c>
      <c r="F5794" s="3">
        <v>1.7056060757053701E-4</v>
      </c>
      <c r="G5794" s="3">
        <v>9.2409323413689202E-4</v>
      </c>
      <c r="H5794" s="3" t="str">
        <f>"PHACTR3"</f>
        <v>PHACTR3</v>
      </c>
      <c r="I5794" s="3" t="str">
        <f>"protein_coding"</f>
        <v>protein_coding</v>
      </c>
    </row>
    <row r="5795" spans="1:9" x14ac:dyDescent="0.2">
      <c r="A5795" s="3" t="str">
        <f>"ENSG00000196074.13"</f>
        <v>ENSG00000196074.13</v>
      </c>
      <c r="B5795" s="3">
        <v>26.8121883125011</v>
      </c>
      <c r="C5795" s="3">
        <v>2.25865584071795</v>
      </c>
      <c r="D5795" s="3">
        <v>0.70795884594700498</v>
      </c>
      <c r="E5795" s="3">
        <v>3.19037731310023</v>
      </c>
      <c r="F5795" s="3">
        <v>1.42087155012105E-3</v>
      </c>
      <c r="G5795" s="3">
        <v>6.0022460660694799E-3</v>
      </c>
      <c r="H5795" s="3" t="str">
        <f>"SYCP2"</f>
        <v>SYCP2</v>
      </c>
      <c r="I5795" s="3" t="str">
        <f>"protein_coding"</f>
        <v>protein_coding</v>
      </c>
    </row>
    <row r="5796" spans="1:9" x14ac:dyDescent="0.2">
      <c r="A5796" s="3" t="str">
        <f>"ENSG00000228340.5"</f>
        <v>ENSG00000228340.5</v>
      </c>
      <c r="B5796" s="3">
        <v>4.0735280698875203</v>
      </c>
      <c r="C5796" s="3">
        <v>5.4212402584095702</v>
      </c>
      <c r="D5796" s="3">
        <v>2.1434463209324499</v>
      </c>
      <c r="E5796" s="3">
        <v>2.52921671304146</v>
      </c>
      <c r="F5796" s="3">
        <v>1.1431741709104999E-2</v>
      </c>
      <c r="G5796" s="3">
        <v>3.5553095120189997E-2</v>
      </c>
      <c r="H5796" s="3" t="str">
        <f>"MIR646HG"</f>
        <v>MIR646HG</v>
      </c>
      <c r="I5796" s="3" t="str">
        <f>"lincRNA"</f>
        <v>lincRNA</v>
      </c>
    </row>
    <row r="5797" spans="1:9" x14ac:dyDescent="0.2">
      <c r="A5797" s="3" t="str">
        <f>"ENSG00000179242.16"</f>
        <v>ENSG00000179242.16</v>
      </c>
      <c r="B5797" s="3">
        <v>11.3115012690686</v>
      </c>
      <c r="C5797" s="3">
        <v>5.4185727820957696</v>
      </c>
      <c r="D5797" s="3">
        <v>1.7155348513117501</v>
      </c>
      <c r="E5797" s="3">
        <v>3.1585326161998801</v>
      </c>
      <c r="F5797" s="3">
        <v>1.5856556486248299E-3</v>
      </c>
      <c r="G5797" s="3">
        <v>6.5960854134474401E-3</v>
      </c>
      <c r="H5797" s="3" t="str">
        <f>"CDH4"</f>
        <v>CDH4</v>
      </c>
      <c r="I5797" s="3" t="str">
        <f>"protein_coding"</f>
        <v>protein_coding</v>
      </c>
    </row>
    <row r="5798" spans="1:9" x14ac:dyDescent="0.2">
      <c r="A5798" s="3" t="str">
        <f>"ENSG00000149657.20"</f>
        <v>ENSG00000149657.20</v>
      </c>
      <c r="B5798" s="3">
        <v>2731.2374083002301</v>
      </c>
      <c r="C5798" s="3">
        <v>-1.1040704865200499</v>
      </c>
      <c r="D5798" s="3">
        <v>0.207542798487731</v>
      </c>
      <c r="E5798" s="3">
        <v>-5.3197243872825197</v>
      </c>
      <c r="F5798" s="4">
        <v>1.0392456686854101E-7</v>
      </c>
      <c r="G5798" s="4">
        <v>1.0538268230246101E-6</v>
      </c>
      <c r="H5798" s="3" t="str">
        <f>"LSM14B"</f>
        <v>LSM14B</v>
      </c>
      <c r="I5798" s="3" t="str">
        <f>"protein_coding"</f>
        <v>protein_coding</v>
      </c>
    </row>
    <row r="5799" spans="1:9" x14ac:dyDescent="0.2">
      <c r="A5799" s="3" t="str">
        <f>"ENSG00000273812.2"</f>
        <v>ENSG00000273812.2</v>
      </c>
      <c r="B5799" s="3">
        <v>4.4026768035210901</v>
      </c>
      <c r="C5799" s="3">
        <v>5.5307600532189003</v>
      </c>
      <c r="D5799" s="3">
        <v>2.1164928962203402</v>
      </c>
      <c r="E5799" s="3">
        <v>2.6131720371449498</v>
      </c>
      <c r="F5799" s="3">
        <v>8.9706133959924893E-3</v>
      </c>
      <c r="G5799" s="3">
        <v>2.9077123863978999E-2</v>
      </c>
      <c r="H5799" s="3" t="str">
        <f>"BX640514.2"</f>
        <v>BX640514.2</v>
      </c>
      <c r="I5799" s="3" t="str">
        <f>"lincRNA"</f>
        <v>lincRNA</v>
      </c>
    </row>
    <row r="5800" spans="1:9" x14ac:dyDescent="0.2">
      <c r="A5800" s="3" t="str">
        <f>"ENSG00000101187.16"</f>
        <v>ENSG00000101187.16</v>
      </c>
      <c r="B5800" s="3">
        <v>1075.8368330702499</v>
      </c>
      <c r="C5800" s="3">
        <v>-2.7243516516750801</v>
      </c>
      <c r="D5800" s="3">
        <v>0.25771728793426402</v>
      </c>
      <c r="E5800" s="3">
        <v>-10.571086144480899</v>
      </c>
      <c r="F5800" s="4">
        <v>4.05767659769681E-26</v>
      </c>
      <c r="G5800" s="4">
        <v>2.46234998346203E-24</v>
      </c>
      <c r="H5800" s="3" t="str">
        <f>"SLCO4A1"</f>
        <v>SLCO4A1</v>
      </c>
      <c r="I5800" s="3" t="str">
        <f>"protein_coding"</f>
        <v>protein_coding</v>
      </c>
    </row>
    <row r="5801" spans="1:9" x14ac:dyDescent="0.2">
      <c r="A5801" s="3" t="str">
        <f>"ENSG00000277496.1"</f>
        <v>ENSG00000277496.1</v>
      </c>
      <c r="B5801" s="3">
        <v>11.770074628485199</v>
      </c>
      <c r="C5801" s="3">
        <v>2.7107612907849901</v>
      </c>
      <c r="D5801" s="3">
        <v>1.1041528079392899</v>
      </c>
      <c r="E5801" s="3">
        <v>2.4550599077352002</v>
      </c>
      <c r="F5801" s="3">
        <v>1.40861111558359E-2</v>
      </c>
      <c r="G5801" s="3">
        <v>4.2402473628670397E-2</v>
      </c>
      <c r="H5801" s="3" t="str">
        <f>"AL357033.4"</f>
        <v>AL357033.4</v>
      </c>
      <c r="I5801" s="3" t="str">
        <f>"antisense"</f>
        <v>antisense</v>
      </c>
    </row>
    <row r="5802" spans="1:9" x14ac:dyDescent="0.2">
      <c r="A5802" s="3" t="str">
        <f>"ENSG00000232803.1"</f>
        <v>ENSG00000232803.1</v>
      </c>
      <c r="B5802" s="3">
        <v>32.391686383431598</v>
      </c>
      <c r="C5802" s="3">
        <v>-5.4674339047839604</v>
      </c>
      <c r="D5802" s="3">
        <v>1.01410474303035</v>
      </c>
      <c r="E5802" s="3">
        <v>-5.3913897379536797</v>
      </c>
      <c r="F5802" s="4">
        <v>6.9914853628173898E-8</v>
      </c>
      <c r="G5802" s="4">
        <v>7.2959403171461197E-7</v>
      </c>
      <c r="H5802" s="3" t="str">
        <f>"SLCO4A1-AS1"</f>
        <v>SLCO4A1-AS1</v>
      </c>
      <c r="I5802" s="3" t="str">
        <f>"antisense"</f>
        <v>antisense</v>
      </c>
    </row>
    <row r="5803" spans="1:9" x14ac:dyDescent="0.2">
      <c r="A5803" s="3" t="str">
        <f>"ENSG00000101189.7"</f>
        <v>ENSG00000101189.7</v>
      </c>
      <c r="B5803" s="3">
        <v>1517.2606630576499</v>
      </c>
      <c r="C5803" s="3">
        <v>-1.3207362819442401</v>
      </c>
      <c r="D5803" s="3">
        <v>0.21243869777351301</v>
      </c>
      <c r="E5803" s="3">
        <v>-6.2170230555278199</v>
      </c>
      <c r="F5803" s="4">
        <v>5.0667534016758604E-10</v>
      </c>
      <c r="G5803" s="4">
        <v>7.1198468249335797E-9</v>
      </c>
      <c r="H5803" s="3" t="str">
        <f>"MRGBP"</f>
        <v>MRGBP</v>
      </c>
      <c r="I5803" s="3" t="str">
        <f>"protein_coding"</f>
        <v>protein_coding</v>
      </c>
    </row>
    <row r="5804" spans="1:9" x14ac:dyDescent="0.2">
      <c r="A5804" s="3" t="str">
        <f>"ENSG00000101194.18"</f>
        <v>ENSG00000101194.18</v>
      </c>
      <c r="B5804" s="3">
        <v>5353.0854377686701</v>
      </c>
      <c r="C5804" s="3">
        <v>-2.1069727401786</v>
      </c>
      <c r="D5804" s="3">
        <v>0.20977646070738201</v>
      </c>
      <c r="E5804" s="3">
        <v>-10.043894977890901</v>
      </c>
      <c r="F5804" s="4">
        <v>9.7736928441363806E-24</v>
      </c>
      <c r="G5804" s="4">
        <v>4.9591025870425302E-22</v>
      </c>
      <c r="H5804" s="3" t="str">
        <f>"SLC17A9"</f>
        <v>SLC17A9</v>
      </c>
      <c r="I5804" s="3" t="str">
        <f>"protein_coding"</f>
        <v>protein_coding</v>
      </c>
    </row>
    <row r="5805" spans="1:9" x14ac:dyDescent="0.2">
      <c r="A5805" s="3" t="str">
        <f>"ENSG00000101197.13"</f>
        <v>ENSG00000101197.13</v>
      </c>
      <c r="B5805" s="3">
        <v>185.96448285371099</v>
      </c>
      <c r="C5805" s="3">
        <v>4.2508008148672998</v>
      </c>
      <c r="D5805" s="3">
        <v>0.37325083664502201</v>
      </c>
      <c r="E5805" s="3">
        <v>11.388590185291401</v>
      </c>
      <c r="F5805" s="4">
        <v>4.7663908885350597E-30</v>
      </c>
      <c r="G5805" s="4">
        <v>3.7426470472597902E-28</v>
      </c>
      <c r="H5805" s="3" t="str">
        <f>"BIRC7"</f>
        <v>BIRC7</v>
      </c>
      <c r="I5805" s="3" t="str">
        <f>"protein_coding"</f>
        <v>protein_coding</v>
      </c>
    </row>
    <row r="5806" spans="1:9" x14ac:dyDescent="0.2">
      <c r="A5806" s="3" t="str">
        <f>"ENSG00000101198.15"</f>
        <v>ENSG00000101198.15</v>
      </c>
      <c r="B5806" s="3">
        <v>53.593039960682702</v>
      </c>
      <c r="C5806" s="3">
        <v>5.6699211665277103</v>
      </c>
      <c r="D5806" s="3">
        <v>0.85289066593458895</v>
      </c>
      <c r="E5806" s="3">
        <v>6.6478874643500401</v>
      </c>
      <c r="F5806" s="4">
        <v>2.9732948876486102E-11</v>
      </c>
      <c r="G5806" s="4">
        <v>4.9762509707470405E-10</v>
      </c>
      <c r="H5806" s="3" t="str">
        <f>"NKAIN4"</f>
        <v>NKAIN4</v>
      </c>
      <c r="I5806" s="3" t="str">
        <f>"protein_coding"</f>
        <v>protein_coding</v>
      </c>
    </row>
    <row r="5807" spans="1:9" x14ac:dyDescent="0.2">
      <c r="A5807" s="3" t="str">
        <f>"ENSG00000275620.1"</f>
        <v>ENSG00000275620.1</v>
      </c>
      <c r="B5807" s="3">
        <v>388.501240034163</v>
      </c>
      <c r="C5807" s="3">
        <v>7.7429761828940702</v>
      </c>
      <c r="D5807" s="3">
        <v>0.59829799383094695</v>
      </c>
      <c r="E5807" s="3">
        <v>12.941671646456999</v>
      </c>
      <c r="F5807" s="4">
        <v>2.6186873954581802E-38</v>
      </c>
      <c r="G5807" s="4">
        <v>3.31866862623484E-36</v>
      </c>
      <c r="H5807" s="3" t="str">
        <f>"AL121827.2"</f>
        <v>AL121827.2</v>
      </c>
      <c r="I5807" s="3" t="str">
        <f>"antisense"</f>
        <v>antisense</v>
      </c>
    </row>
    <row r="5808" spans="1:9" x14ac:dyDescent="0.2">
      <c r="A5808" s="3" t="str">
        <f>"ENSG00000101204.17"</f>
        <v>ENSG00000101204.17</v>
      </c>
      <c r="B5808" s="3">
        <v>27.451768288325599</v>
      </c>
      <c r="C5808" s="3">
        <v>8.1743386275130394</v>
      </c>
      <c r="D5808" s="3">
        <v>1.572554149823</v>
      </c>
      <c r="E5808" s="3">
        <v>5.1981285531141301</v>
      </c>
      <c r="F5808" s="4">
        <v>2.01304899021153E-7</v>
      </c>
      <c r="G5808" s="4">
        <v>1.9450193558969402E-6</v>
      </c>
      <c r="H5808" s="3" t="str">
        <f>"CHRNA4"</f>
        <v>CHRNA4</v>
      </c>
      <c r="I5808" s="3" t="str">
        <f>"protein_coding"</f>
        <v>protein_coding</v>
      </c>
    </row>
    <row r="5809" spans="1:9" x14ac:dyDescent="0.2">
      <c r="A5809" s="3" t="str">
        <f>"ENSG00000203900.2"</f>
        <v>ENSG00000203900.2</v>
      </c>
      <c r="B5809" s="3">
        <v>7.2320861484878201</v>
      </c>
      <c r="C5809" s="3">
        <v>6.2529265017664297</v>
      </c>
      <c r="D5809" s="3">
        <v>1.87540428350245</v>
      </c>
      <c r="E5809" s="3">
        <v>3.33417522652163</v>
      </c>
      <c r="F5809" s="3">
        <v>8.5552743874041598E-4</v>
      </c>
      <c r="G5809" s="3">
        <v>3.8517111902445699E-3</v>
      </c>
      <c r="H5809" s="3" t="str">
        <f>"AL121827.1"</f>
        <v>AL121827.1</v>
      </c>
      <c r="I5809" s="3" t="str">
        <f>"antisense"</f>
        <v>antisense</v>
      </c>
    </row>
    <row r="5810" spans="1:9" x14ac:dyDescent="0.2">
      <c r="A5810" s="3" t="str">
        <f>"ENSG00000258366.8"</f>
        <v>ENSG00000258366.8</v>
      </c>
      <c r="B5810" s="3">
        <v>213.069118283476</v>
      </c>
      <c r="C5810" s="3">
        <v>-1.0125752253162601</v>
      </c>
      <c r="D5810" s="3">
        <v>0.29500439961312103</v>
      </c>
      <c r="E5810" s="3">
        <v>-3.4324072001779702</v>
      </c>
      <c r="F5810" s="3">
        <v>5.9824858068786596E-4</v>
      </c>
      <c r="G5810" s="3">
        <v>2.8075680452628901E-3</v>
      </c>
      <c r="H5810" s="3" t="str">
        <f>"RTEL1"</f>
        <v>RTEL1</v>
      </c>
      <c r="I5810" s="3" t="str">
        <f>"protein_coding"</f>
        <v>protein_coding</v>
      </c>
    </row>
    <row r="5811" spans="1:9" x14ac:dyDescent="0.2">
      <c r="A5811" s="3" t="str">
        <f>"ENSG00000125520.14"</f>
        <v>ENSG00000125520.14</v>
      </c>
      <c r="B5811" s="3">
        <v>2714.1574285810898</v>
      </c>
      <c r="C5811" s="3">
        <v>-1.2085959378106299</v>
      </c>
      <c r="D5811" s="3">
        <v>0.24561740974997701</v>
      </c>
      <c r="E5811" s="3">
        <v>-4.92064442435455</v>
      </c>
      <c r="F5811" s="4">
        <v>8.6259719948679599E-7</v>
      </c>
      <c r="G5811" s="4">
        <v>7.4850910491772998E-6</v>
      </c>
      <c r="H5811" s="3" t="str">
        <f>"SLC2A4RG"</f>
        <v>SLC2A4RG</v>
      </c>
      <c r="I5811" s="3" t="str">
        <f>"protein_coding"</f>
        <v>protein_coding</v>
      </c>
    </row>
    <row r="5812" spans="1:9" x14ac:dyDescent="0.2">
      <c r="A5812" s="3" t="str">
        <f>"ENSG00000207554.1"</f>
        <v>ENSG00000207554.1</v>
      </c>
      <c r="B5812" s="3">
        <v>84.375539452188804</v>
      </c>
      <c r="C5812" s="3">
        <v>-1.0337691302968599</v>
      </c>
      <c r="D5812" s="3">
        <v>0.40483427389654503</v>
      </c>
      <c r="E5812" s="3">
        <v>-2.5535612890351298</v>
      </c>
      <c r="F5812" s="3">
        <v>1.06627510976934E-2</v>
      </c>
      <c r="G5812" s="3">
        <v>3.3606475322018797E-2</v>
      </c>
      <c r="H5812" s="3" t="str">
        <f>"MIR647"</f>
        <v>MIR647</v>
      </c>
      <c r="I5812" s="3" t="str">
        <f>"miRNA"</f>
        <v>miRNA</v>
      </c>
    </row>
    <row r="5813" spans="1:9" x14ac:dyDescent="0.2">
      <c r="A5813" s="3" t="str">
        <f>"ENSG00000280213.1"</f>
        <v>ENSG00000280213.1</v>
      </c>
      <c r="B5813" s="3">
        <v>43.7340951149056</v>
      </c>
      <c r="C5813" s="3">
        <v>1.69151677911455</v>
      </c>
      <c r="D5813" s="3">
        <v>0.53913039326922196</v>
      </c>
      <c r="E5813" s="3">
        <v>3.1374910415593402</v>
      </c>
      <c r="F5813" s="3">
        <v>1.7040048129460001E-3</v>
      </c>
      <c r="G5813" s="3">
        <v>7.0378989144065096E-3</v>
      </c>
      <c r="H5813" s="3" t="str">
        <f>"UCKL1-AS1"</f>
        <v>UCKL1-AS1</v>
      </c>
      <c r="I5813" s="3" t="str">
        <f>"antisense"</f>
        <v>antisense</v>
      </c>
    </row>
    <row r="5814" spans="1:9" x14ac:dyDescent="0.2">
      <c r="A5814" s="3" t="str">
        <f>"ENSG00000196700.9"</f>
        <v>ENSG00000196700.9</v>
      </c>
      <c r="B5814" s="3">
        <v>4459.6165641570296</v>
      </c>
      <c r="C5814" s="3">
        <v>-1.0045499405698599</v>
      </c>
      <c r="D5814" s="3">
        <v>0.217047580765377</v>
      </c>
      <c r="E5814" s="3">
        <v>-4.6282475806802896</v>
      </c>
      <c r="F5814" s="4">
        <v>3.6877299017515599E-6</v>
      </c>
      <c r="G5814" s="4">
        <v>2.8561562431217999E-5</v>
      </c>
      <c r="H5814" s="3" t="str">
        <f>"ZNF512B"</f>
        <v>ZNF512B</v>
      </c>
      <c r="I5814" s="3" t="str">
        <f>"protein_coding"</f>
        <v>protein_coding</v>
      </c>
    </row>
    <row r="5815" spans="1:9" x14ac:dyDescent="0.2">
      <c r="A5815" s="3" t="str">
        <f>"ENSG00000196421.8"</f>
        <v>ENSG00000196421.8</v>
      </c>
      <c r="B5815" s="3">
        <v>603.77582956330298</v>
      </c>
      <c r="C5815" s="3">
        <v>-1.74647293409927</v>
      </c>
      <c r="D5815" s="3">
        <v>0.22169947840342499</v>
      </c>
      <c r="E5815" s="3">
        <v>-7.87765919287021</v>
      </c>
      <c r="F5815" s="4">
        <v>3.3357105866790299E-15</v>
      </c>
      <c r="G5815" s="4">
        <v>8.4704665755119804E-14</v>
      </c>
      <c r="H5815" s="3" t="str">
        <f>"C20orf204"</f>
        <v>C20orf204</v>
      </c>
      <c r="I5815" s="3" t="str">
        <f>"protein_coding"</f>
        <v>protein_coding</v>
      </c>
    </row>
    <row r="5816" spans="1:9" x14ac:dyDescent="0.2">
      <c r="A5816" s="3" t="str">
        <f>"ENSG00000196132.13"</f>
        <v>ENSG00000196132.13</v>
      </c>
      <c r="B5816" s="3">
        <v>617.24987175318199</v>
      </c>
      <c r="C5816" s="3">
        <v>5.8057615842382404</v>
      </c>
      <c r="D5816" s="3">
        <v>0.30918784636955299</v>
      </c>
      <c r="E5816" s="3">
        <v>18.777457304382398</v>
      </c>
      <c r="F5816" s="4">
        <v>1.15479301773051E-78</v>
      </c>
      <c r="G5816" s="4">
        <v>7.6743037449032305E-76</v>
      </c>
      <c r="H5816" s="3" t="str">
        <f>"MYT1"</f>
        <v>MYT1</v>
      </c>
      <c r="I5816" s="3" t="str">
        <f>"protein_coding"</f>
        <v>protein_coding</v>
      </c>
    </row>
    <row r="5817" spans="1:9" x14ac:dyDescent="0.2">
      <c r="A5817" s="3" t="str">
        <f>"ENSG00000277117.4"</f>
        <v>ENSG00000277117.4</v>
      </c>
      <c r="B5817" s="3">
        <v>169.615425197501</v>
      </c>
      <c r="C5817" s="3">
        <v>1.2240972948289699</v>
      </c>
      <c r="D5817" s="3">
        <v>0.30321162860979101</v>
      </c>
      <c r="E5817" s="3">
        <v>4.0371053723809602</v>
      </c>
      <c r="F5817" s="4">
        <v>5.4114766644804E-5</v>
      </c>
      <c r="G5817" s="3">
        <v>3.28681463836597E-4</v>
      </c>
      <c r="H5817" s="3" t="str">
        <f>"FP565260.3"</f>
        <v>FP565260.3</v>
      </c>
      <c r="I5817" s="3" t="str">
        <f>"protein_coding"</f>
        <v>protein_coding</v>
      </c>
    </row>
    <row r="5818" spans="1:9" x14ac:dyDescent="0.2">
      <c r="A5818" s="3" t="str">
        <f>"ENSG00000274276.4"</f>
        <v>ENSG00000274276.4</v>
      </c>
      <c r="B5818" s="3">
        <v>75.056633919784502</v>
      </c>
      <c r="C5818" s="3">
        <v>-1.21128740924516</v>
      </c>
      <c r="D5818" s="3">
        <v>0.49295532745520798</v>
      </c>
      <c r="E5818" s="3">
        <v>-2.4571950880381102</v>
      </c>
      <c r="F5818" s="3">
        <v>1.40026622253746E-2</v>
      </c>
      <c r="G5818" s="3">
        <v>4.22140448832466E-2</v>
      </c>
      <c r="H5818" s="3" t="str">
        <f>"CBSL"</f>
        <v>CBSL</v>
      </c>
      <c r="I5818" s="3" t="str">
        <f>"protein_coding"</f>
        <v>protein_coding</v>
      </c>
    </row>
    <row r="5819" spans="1:9" x14ac:dyDescent="0.2">
      <c r="A5819" s="3" t="str">
        <f>"ENSG00000280018.3"</f>
        <v>ENSG00000280018.3</v>
      </c>
      <c r="B5819" s="3">
        <v>45.22480706252</v>
      </c>
      <c r="C5819" s="3">
        <v>-1.3533867013124401</v>
      </c>
      <c r="D5819" s="3">
        <v>0.52162893043430802</v>
      </c>
      <c r="E5819" s="3">
        <v>-2.59453918743657</v>
      </c>
      <c r="F5819" s="3">
        <v>9.4717815337299494E-3</v>
      </c>
      <c r="G5819" s="3">
        <v>3.03620742881812E-2</v>
      </c>
      <c r="H5819" s="3" t="str">
        <f>"CU634019.6"</f>
        <v>CU634019.6</v>
      </c>
      <c r="I5819" s="3" t="str">
        <f>"lincRNA"</f>
        <v>lincRNA</v>
      </c>
    </row>
    <row r="5820" spans="1:9" x14ac:dyDescent="0.2">
      <c r="A5820" s="3" t="str">
        <f>"ENSG00000279177.1"</f>
        <v>ENSG00000279177.1</v>
      </c>
      <c r="B5820" s="3">
        <v>25.903283504627002</v>
      </c>
      <c r="C5820" s="3">
        <v>-3.3056240252825999</v>
      </c>
      <c r="D5820" s="3">
        <v>0.77092881543579295</v>
      </c>
      <c r="E5820" s="3">
        <v>-4.2878459840860801</v>
      </c>
      <c r="F5820" s="4">
        <v>1.80414112114893E-5</v>
      </c>
      <c r="G5820" s="3">
        <v>1.20869026623912E-4</v>
      </c>
      <c r="H5820" s="3" t="str">
        <f>"FP236241.2"</f>
        <v>FP236241.2</v>
      </c>
      <c r="I5820" s="3" t="str">
        <f>"processed_pseudogene"</f>
        <v>processed_pseudogene</v>
      </c>
    </row>
    <row r="5821" spans="1:9" x14ac:dyDescent="0.2">
      <c r="A5821" s="3" t="str">
        <f>"ENSG00000277437.1"</f>
        <v>ENSG00000277437.1</v>
      </c>
      <c r="B5821" s="3">
        <v>68.275389945975505</v>
      </c>
      <c r="C5821" s="3">
        <v>-2.8997552614441102</v>
      </c>
      <c r="D5821" s="3">
        <v>0.55063224738455097</v>
      </c>
      <c r="E5821" s="3">
        <v>-5.26622854948591</v>
      </c>
      <c r="F5821" s="4">
        <v>1.3925490243808301E-7</v>
      </c>
      <c r="G5821" s="4">
        <v>1.3797375733565301E-6</v>
      </c>
      <c r="H5821" s="3" t="str">
        <f>"FP671120.1"</f>
        <v>FP671120.1</v>
      </c>
      <c r="I5821" s="3" t="str">
        <f>"miRNA"</f>
        <v>miRNA</v>
      </c>
    </row>
    <row r="5822" spans="1:9" x14ac:dyDescent="0.2">
      <c r="A5822" s="3" t="str">
        <f>"ENSG00000279718.1"</f>
        <v>ENSG00000279718.1</v>
      </c>
      <c r="B5822" s="3">
        <v>654.86576728458203</v>
      </c>
      <c r="C5822" s="3">
        <v>1.8608976944370701</v>
      </c>
      <c r="D5822" s="3">
        <v>0.21864306980081</v>
      </c>
      <c r="E5822" s="3">
        <v>8.5111213272499597</v>
      </c>
      <c r="F5822" s="4">
        <v>1.7225927162413399E-17</v>
      </c>
      <c r="G5822" s="4">
        <v>5.36405528450604E-16</v>
      </c>
      <c r="H5822" s="3" t="str">
        <f>"SNX18P12"</f>
        <v>SNX18P12</v>
      </c>
      <c r="I5822" s="3" t="str">
        <f>"processed_pseudogene"</f>
        <v>processed_pseudogene</v>
      </c>
    </row>
    <row r="5823" spans="1:9" x14ac:dyDescent="0.2">
      <c r="A5823" s="3" t="str">
        <f>"ENSG00000279208.1"</f>
        <v>ENSG00000279208.1</v>
      </c>
      <c r="B5823" s="3">
        <v>3367.6154617018101</v>
      </c>
      <c r="C5823" s="3">
        <v>2.10500022938488</v>
      </c>
      <c r="D5823" s="3">
        <v>0.21552973909006601</v>
      </c>
      <c r="E5823" s="3">
        <v>9.7666347032751606</v>
      </c>
      <c r="F5823" s="4">
        <v>1.56566391370353E-22</v>
      </c>
      <c r="G5823" s="4">
        <v>7.2922469498598498E-21</v>
      </c>
      <c r="H5823" s="3" t="str">
        <f>"CR381653.2"</f>
        <v>CR381653.2</v>
      </c>
      <c r="I5823" s="3" t="str">
        <f>"unprocessed_pseudogene"</f>
        <v>unprocessed_pseudogene</v>
      </c>
    </row>
    <row r="5824" spans="1:9" x14ac:dyDescent="0.2">
      <c r="A5824" s="3" t="str">
        <f>"ENSG00000228314.1"</f>
        <v>ENSG00000228314.1</v>
      </c>
      <c r="B5824" s="3">
        <v>9.0620261310622592</v>
      </c>
      <c r="C5824" s="3">
        <v>6.5722035309159397</v>
      </c>
      <c r="D5824" s="3">
        <v>1.8149669250490701</v>
      </c>
      <c r="E5824" s="3">
        <v>3.6211147653493798</v>
      </c>
      <c r="F5824" s="3">
        <v>2.9333634683230501E-4</v>
      </c>
      <c r="G5824" s="3">
        <v>1.4933566358699001E-3</v>
      </c>
      <c r="H5824" s="3" t="str">
        <f>"CYP4F29P"</f>
        <v>CYP4F29P</v>
      </c>
      <c r="I5824" s="3" t="str">
        <f>"transcribed_unprocessed_pseudogene"</f>
        <v>transcribed_unprocessed_pseudogene</v>
      </c>
    </row>
    <row r="5825" spans="1:9" x14ac:dyDescent="0.2">
      <c r="A5825" s="3" t="str">
        <f>"ENSG00000230965.1"</f>
        <v>ENSG00000230965.1</v>
      </c>
      <c r="B5825" s="3">
        <v>17.501992899664099</v>
      </c>
      <c r="C5825" s="3">
        <v>7.5227966452799899</v>
      </c>
      <c r="D5825" s="3">
        <v>1.6499050442377099</v>
      </c>
      <c r="E5825" s="3">
        <v>4.5595330904365499</v>
      </c>
      <c r="F5825" s="4">
        <v>5.1267478476190701E-6</v>
      </c>
      <c r="G5825" s="4">
        <v>3.8652047206440798E-5</v>
      </c>
      <c r="H5825" s="3" t="str">
        <f>"SNX18P13"</f>
        <v>SNX18P13</v>
      </c>
      <c r="I5825" s="3" t="str">
        <f>"processed_pseudogene"</f>
        <v>processed_pseudogene</v>
      </c>
    </row>
    <row r="5826" spans="1:9" x14ac:dyDescent="0.2">
      <c r="A5826" s="3" t="str">
        <f>"ENSG00000215559.8"</f>
        <v>ENSG00000215559.8</v>
      </c>
      <c r="B5826" s="3">
        <v>636.74252294912003</v>
      </c>
      <c r="C5826" s="3">
        <v>8.6792470376139992</v>
      </c>
      <c r="D5826" s="3">
        <v>0.67246514153380399</v>
      </c>
      <c r="E5826" s="3">
        <v>12.9066125536527</v>
      </c>
      <c r="F5826" s="4">
        <v>4.1307666950367498E-38</v>
      </c>
      <c r="G5826" s="4">
        <v>5.2106944509104701E-36</v>
      </c>
      <c r="H5826" s="3" t="str">
        <f>"ANKRD20A11P"</f>
        <v>ANKRD20A11P</v>
      </c>
      <c r="I5826" s="3" t="str">
        <f>"transcribed_unprocessed_pseudogene"</f>
        <v>transcribed_unprocessed_pseudogene</v>
      </c>
    </row>
    <row r="5827" spans="1:9" x14ac:dyDescent="0.2">
      <c r="A5827" s="3" t="str">
        <f>"ENSG00000203616.2"</f>
        <v>ENSG00000203616.2</v>
      </c>
      <c r="B5827" s="3">
        <v>52.763030389847501</v>
      </c>
      <c r="C5827" s="3">
        <v>5.6470567277066301</v>
      </c>
      <c r="D5827" s="3">
        <v>0.87216410554722601</v>
      </c>
      <c r="E5827" s="3">
        <v>6.4747639713554603</v>
      </c>
      <c r="F5827" s="4">
        <v>9.4960262319371498E-11</v>
      </c>
      <c r="G5827" s="4">
        <v>1.4844419204910601E-9</v>
      </c>
      <c r="H5827" s="3" t="str">
        <f>"RHOT1P2"</f>
        <v>RHOT1P2</v>
      </c>
      <c r="I5827" s="3" t="str">
        <f>"processed_pseudogene"</f>
        <v>processed_pseudogene</v>
      </c>
    </row>
    <row r="5828" spans="1:9" x14ac:dyDescent="0.2">
      <c r="A5828" s="3" t="str">
        <f>"ENSG00000223287.1"</f>
        <v>ENSG00000223287.1</v>
      </c>
      <c r="B5828" s="3">
        <v>20.258926035017399</v>
      </c>
      <c r="C5828" s="3">
        <v>7.7361805811788402</v>
      </c>
      <c r="D5828" s="3">
        <v>1.61243118622115</v>
      </c>
      <c r="E5828" s="3">
        <v>4.7978361168448602</v>
      </c>
      <c r="F5828" s="4">
        <v>1.6038892083415701E-6</v>
      </c>
      <c r="G5828" s="4">
        <v>1.325080935709E-5</v>
      </c>
      <c r="H5828" s="3" t="str">
        <f>"RNU6-954P"</f>
        <v>RNU6-954P</v>
      </c>
      <c r="I5828" s="3" t="str">
        <f>"snRNA"</f>
        <v>snRNA</v>
      </c>
    </row>
    <row r="5829" spans="1:9" x14ac:dyDescent="0.2">
      <c r="A5829" s="3" t="str">
        <f>"ENSG00000243064.8"</f>
        <v>ENSG00000243064.8</v>
      </c>
      <c r="B5829" s="3">
        <v>4.9884980611747398</v>
      </c>
      <c r="C5829" s="3">
        <v>5.7089767879157503</v>
      </c>
      <c r="D5829" s="3">
        <v>2.08929110101219</v>
      </c>
      <c r="E5829" s="3">
        <v>2.7324946653675801</v>
      </c>
      <c r="F5829" s="3">
        <v>6.2856689374679604E-3</v>
      </c>
      <c r="G5829" s="3">
        <v>2.15347191675078E-2</v>
      </c>
      <c r="H5829" s="3" t="str">
        <f>"ABCC13"</f>
        <v>ABCC13</v>
      </c>
      <c r="I5829" s="3" t="str">
        <f>"transcribed_unprocessed_pseudogene"</f>
        <v>transcribed_unprocessed_pseudogene</v>
      </c>
    </row>
    <row r="5830" spans="1:9" x14ac:dyDescent="0.2">
      <c r="A5830" s="3" t="str">
        <f>"ENSG00000235609.7"</f>
        <v>ENSG00000235609.7</v>
      </c>
      <c r="B5830" s="3">
        <v>194.29814553918399</v>
      </c>
      <c r="C5830" s="3">
        <v>-2.1860011107009698</v>
      </c>
      <c r="D5830" s="3">
        <v>0.33426643786876797</v>
      </c>
      <c r="E5830" s="3">
        <v>-6.5396966702328196</v>
      </c>
      <c r="F5830" s="4">
        <v>6.1643730063100996E-11</v>
      </c>
      <c r="G5830" s="4">
        <v>9.9267536231046904E-10</v>
      </c>
      <c r="H5830" s="3" t="str">
        <f>"AF127577.4"</f>
        <v>AF127577.4</v>
      </c>
      <c r="I5830" s="3" t="str">
        <f>"lincRNA"</f>
        <v>lincRNA</v>
      </c>
    </row>
    <row r="5831" spans="1:9" x14ac:dyDescent="0.2">
      <c r="A5831" s="3" t="str">
        <f>"ENSG00000281903.2"</f>
        <v>ENSG00000281903.2</v>
      </c>
      <c r="B5831" s="3">
        <v>72.239521591138796</v>
      </c>
      <c r="C5831" s="3">
        <v>-1.04223126879436</v>
      </c>
      <c r="D5831" s="3">
        <v>0.43482709216860399</v>
      </c>
      <c r="E5831" s="3">
        <v>-2.39688668798548</v>
      </c>
      <c r="F5831" s="3">
        <v>1.6535036195997301E-2</v>
      </c>
      <c r="G5831" s="3">
        <v>4.8314223188454603E-2</v>
      </c>
      <c r="H5831" s="3" t="str">
        <f>"LINC02246"</f>
        <v>LINC02246</v>
      </c>
      <c r="I5831" s="3" t="str">
        <f>"lincRNA"</f>
        <v>lincRNA</v>
      </c>
    </row>
    <row r="5832" spans="1:9" x14ac:dyDescent="0.2">
      <c r="A5832" s="3" t="str">
        <f>"ENSG00000229425.2"</f>
        <v>ENSG00000229425.2</v>
      </c>
      <c r="B5832" s="3">
        <v>728.524389779648</v>
      </c>
      <c r="C5832" s="3">
        <v>1.4268067069794099</v>
      </c>
      <c r="D5832" s="3">
        <v>0.27649308621915403</v>
      </c>
      <c r="E5832" s="3">
        <v>5.1603702880602604</v>
      </c>
      <c r="F5832" s="4">
        <v>2.4646187671502199E-7</v>
      </c>
      <c r="G5832" s="4">
        <v>2.3373988008542299E-6</v>
      </c>
      <c r="H5832" s="3" t="str">
        <f>"AJ009632.2"</f>
        <v>AJ009632.2</v>
      </c>
      <c r="I5832" s="3" t="str">
        <f>"lincRNA"</f>
        <v>lincRNA</v>
      </c>
    </row>
    <row r="5833" spans="1:9" x14ac:dyDescent="0.2">
      <c r="A5833" s="3" t="str">
        <f>"ENSG00000154646.9"</f>
        <v>ENSG00000154646.9</v>
      </c>
      <c r="B5833" s="3">
        <v>4.5143969083142101</v>
      </c>
      <c r="C5833" s="3">
        <v>5.5706196242912496</v>
      </c>
      <c r="D5833" s="3">
        <v>2.0836382646555101</v>
      </c>
      <c r="E5833" s="3">
        <v>2.6735061064988899</v>
      </c>
      <c r="F5833" s="3">
        <v>7.5062909580529899E-3</v>
      </c>
      <c r="G5833" s="3">
        <v>2.4963250303194202E-2</v>
      </c>
      <c r="H5833" s="3" t="str">
        <f>"TMPRSS15"</f>
        <v>TMPRSS15</v>
      </c>
      <c r="I5833" s="3" t="str">
        <f>"protein_coding"</f>
        <v>protein_coding</v>
      </c>
    </row>
    <row r="5834" spans="1:9" x14ac:dyDescent="0.2">
      <c r="A5834" s="3" t="str">
        <f>"ENSG00000229962.1"</f>
        <v>ENSG00000229962.1</v>
      </c>
      <c r="B5834" s="3">
        <v>11.260694540375001</v>
      </c>
      <c r="C5834" s="3">
        <v>4.3864833666631</v>
      </c>
      <c r="D5834" s="3">
        <v>1.39695194087188</v>
      </c>
      <c r="E5834" s="3">
        <v>3.1400388505315</v>
      </c>
      <c r="F5834" s="3">
        <v>1.68925430689898E-3</v>
      </c>
      <c r="G5834" s="3">
        <v>6.9790920545983997E-3</v>
      </c>
      <c r="H5834" s="3" t="str">
        <f>"AP000221.1"</f>
        <v>AP000221.1</v>
      </c>
      <c r="I5834" s="3" t="str">
        <f>"lincRNA"</f>
        <v>lincRNA</v>
      </c>
    </row>
    <row r="5835" spans="1:9" x14ac:dyDescent="0.2">
      <c r="A5835" s="3" t="str">
        <f>"ENSG00000260583.1"</f>
        <v>ENSG00000260583.1</v>
      </c>
      <c r="B5835" s="3">
        <v>46.001979306676297</v>
      </c>
      <c r="C5835" s="3">
        <v>1.93063436736242</v>
      </c>
      <c r="D5835" s="3">
        <v>0.53217349238761003</v>
      </c>
      <c r="E5835" s="3">
        <v>3.6278288847131099</v>
      </c>
      <c r="F5835" s="3">
        <v>2.8581457749626799E-4</v>
      </c>
      <c r="G5835" s="3">
        <v>1.45999058737173E-3</v>
      </c>
      <c r="H5835" s="3" t="str">
        <f>"AP000223.1"</f>
        <v>AP000223.1</v>
      </c>
      <c r="I5835" s="3" t="str">
        <f>"antisense"</f>
        <v>antisense</v>
      </c>
    </row>
    <row r="5836" spans="1:9" x14ac:dyDescent="0.2">
      <c r="A5836" s="3" t="str">
        <f>"ENSG00000154721.15"</f>
        <v>ENSG00000154721.15</v>
      </c>
      <c r="B5836" s="3">
        <v>5.1757001659542397</v>
      </c>
      <c r="C5836" s="3">
        <v>5.7691669903209899</v>
      </c>
      <c r="D5836" s="3">
        <v>2.0146158333858399</v>
      </c>
      <c r="E5836" s="3">
        <v>2.8636561346909999</v>
      </c>
      <c r="F5836" s="3">
        <v>4.1878236407200901E-3</v>
      </c>
      <c r="G5836" s="3">
        <v>1.5236430863760199E-2</v>
      </c>
      <c r="H5836" s="3" t="str">
        <f>"JAM2"</f>
        <v>JAM2</v>
      </c>
      <c r="I5836" s="3" t="str">
        <f>"protein_coding"</f>
        <v>protein_coding</v>
      </c>
    </row>
    <row r="5837" spans="1:9" x14ac:dyDescent="0.2">
      <c r="A5837" s="3" t="str">
        <f>"ENSG00000154734.15"</f>
        <v>ENSG00000154734.15</v>
      </c>
      <c r="B5837" s="3">
        <v>44.155162762280099</v>
      </c>
      <c r="C5837" s="3">
        <v>2.4049910583563499</v>
      </c>
      <c r="D5837" s="3">
        <v>0.60368917002542299</v>
      </c>
      <c r="E5837" s="3">
        <v>3.98382342730295</v>
      </c>
      <c r="F5837" s="4">
        <v>6.7815268705710094E-5</v>
      </c>
      <c r="G5837" s="3">
        <v>4.0264035016627202E-4</v>
      </c>
      <c r="H5837" s="3" t="str">
        <f>"ADAMTS1"</f>
        <v>ADAMTS1</v>
      </c>
      <c r="I5837" s="3" t="str">
        <f>"protein_coding"</f>
        <v>protein_coding</v>
      </c>
    </row>
    <row r="5838" spans="1:9" x14ac:dyDescent="0.2">
      <c r="A5838" s="3" t="str">
        <f>"ENSG00000156253.7"</f>
        <v>ENSG00000156253.7</v>
      </c>
      <c r="B5838" s="3">
        <v>608.03360950108504</v>
      </c>
      <c r="C5838" s="3">
        <v>2.1499094631412499</v>
      </c>
      <c r="D5838" s="3">
        <v>0.23508221501339099</v>
      </c>
      <c r="E5838" s="3">
        <v>9.1453513955480794</v>
      </c>
      <c r="F5838" s="4">
        <v>5.9436314082710596E-20</v>
      </c>
      <c r="G5838" s="4">
        <v>2.2745242272635001E-18</v>
      </c>
      <c r="H5838" s="3" t="str">
        <f>"RWDD2B"</f>
        <v>RWDD2B</v>
      </c>
      <c r="I5838" s="3" t="str">
        <f>"protein_coding"</f>
        <v>protein_coding</v>
      </c>
    </row>
    <row r="5839" spans="1:9" x14ac:dyDescent="0.2">
      <c r="A5839" s="3" t="str">
        <f>"ENSG00000156265.15"</f>
        <v>ENSG00000156265.15</v>
      </c>
      <c r="B5839" s="3">
        <v>11.0400922221991</v>
      </c>
      <c r="C5839" s="3">
        <v>5.3826337772699899</v>
      </c>
      <c r="D5839" s="3">
        <v>1.74439395297819</v>
      </c>
      <c r="E5839" s="3">
        <v>3.0856755540113299</v>
      </c>
      <c r="F5839" s="3">
        <v>2.03090295149885E-3</v>
      </c>
      <c r="G5839" s="3">
        <v>8.1652667433214001E-3</v>
      </c>
      <c r="H5839" s="3" t="str">
        <f>"MAP3K7CL"</f>
        <v>MAP3K7CL</v>
      </c>
      <c r="I5839" s="3" t="str">
        <f>"protein_coding"</f>
        <v>protein_coding</v>
      </c>
    </row>
    <row r="5840" spans="1:9" x14ac:dyDescent="0.2">
      <c r="A5840" s="3" t="str">
        <f>"ENSG00000273017.1"</f>
        <v>ENSG00000273017.1</v>
      </c>
      <c r="B5840" s="3">
        <v>27.916910528042902</v>
      </c>
      <c r="C5840" s="3">
        <v>-1.59229767681703</v>
      </c>
      <c r="D5840" s="3">
        <v>0.66107594319618201</v>
      </c>
      <c r="E5840" s="3">
        <v>-2.4086456226474602</v>
      </c>
      <c r="F5840" s="3">
        <v>1.60118370455372E-2</v>
      </c>
      <c r="G5840" s="3">
        <v>4.7017407477072101E-2</v>
      </c>
      <c r="H5840" s="3" t="str">
        <f>"AP000240.1"</f>
        <v>AP000240.1</v>
      </c>
      <c r="I5840" s="3" t="str">
        <f>"sense_intronic"</f>
        <v>sense_intronic</v>
      </c>
    </row>
    <row r="5841" spans="1:9" x14ac:dyDescent="0.2">
      <c r="A5841" s="3" t="str">
        <f>"ENSG00000171189.17"</f>
        <v>ENSG00000171189.17</v>
      </c>
      <c r="B5841" s="3">
        <v>3.8530936506741802</v>
      </c>
      <c r="C5841" s="3">
        <v>5.3403250580865702</v>
      </c>
      <c r="D5841" s="3">
        <v>2.1789621139591802</v>
      </c>
      <c r="E5841" s="3">
        <v>2.4508572333014098</v>
      </c>
      <c r="F5841" s="3">
        <v>1.4251646682892799E-2</v>
      </c>
      <c r="G5841" s="3">
        <v>4.2728280938466097E-2</v>
      </c>
      <c r="H5841" s="3" t="str">
        <f>"GRIK1"</f>
        <v>GRIK1</v>
      </c>
      <c r="I5841" s="3" t="str">
        <f>"protein_coding"</f>
        <v>protein_coding</v>
      </c>
    </row>
    <row r="5842" spans="1:9" x14ac:dyDescent="0.2">
      <c r="A5842" s="3" t="str">
        <f>"ENSG00000142149.9"</f>
        <v>ENSG00000142149.9</v>
      </c>
      <c r="B5842" s="3">
        <v>308.99689900492098</v>
      </c>
      <c r="C5842" s="3">
        <v>-2.3714295439649899</v>
      </c>
      <c r="D5842" s="3">
        <v>0.27233435432695702</v>
      </c>
      <c r="E5842" s="3">
        <v>-8.7077869768788592</v>
      </c>
      <c r="F5842" s="4">
        <v>3.0986495026749799E-18</v>
      </c>
      <c r="G5842" s="4">
        <v>1.02462260921584E-16</v>
      </c>
      <c r="H5842" s="3" t="str">
        <f>"HUNK"</f>
        <v>HUNK</v>
      </c>
      <c r="I5842" s="3" t="str">
        <f>"protein_coding"</f>
        <v>protein_coding</v>
      </c>
    </row>
    <row r="5843" spans="1:9" x14ac:dyDescent="0.2">
      <c r="A5843" s="3" t="str">
        <f>"ENSG00000159055.4"</f>
        <v>ENSG00000159055.4</v>
      </c>
      <c r="B5843" s="3">
        <v>432.95544055095701</v>
      </c>
      <c r="C5843" s="3">
        <v>-1.6065908600713199</v>
      </c>
      <c r="D5843" s="3">
        <v>0.23685627988635899</v>
      </c>
      <c r="E5843" s="3">
        <v>-6.7829776809892701</v>
      </c>
      <c r="F5843" s="4">
        <v>1.17723829861596E-11</v>
      </c>
      <c r="G5843" s="4">
        <v>2.0601292178798401E-10</v>
      </c>
      <c r="H5843" s="3" t="str">
        <f>"MIS18A"</f>
        <v>MIS18A</v>
      </c>
      <c r="I5843" s="3" t="str">
        <f>"protein_coding"</f>
        <v>protein_coding</v>
      </c>
    </row>
    <row r="5844" spans="1:9" x14ac:dyDescent="0.2">
      <c r="A5844" s="3" t="str">
        <f>"ENSG00000159082.17"</f>
        <v>ENSG00000159082.17</v>
      </c>
      <c r="B5844" s="3">
        <v>709.980268395395</v>
      </c>
      <c r="C5844" s="3">
        <v>1.30433984879889</v>
      </c>
      <c r="D5844" s="3">
        <v>0.218685814506036</v>
      </c>
      <c r="E5844" s="3">
        <v>5.9644465359818399</v>
      </c>
      <c r="F5844" s="4">
        <v>2.4546462222340201E-9</v>
      </c>
      <c r="G5844" s="4">
        <v>3.15777835775309E-8</v>
      </c>
      <c r="H5844" s="3" t="str">
        <f>"SYNJ1"</f>
        <v>SYNJ1</v>
      </c>
      <c r="I5844" s="3" t="str">
        <f>"protein_coding"</f>
        <v>protein_coding</v>
      </c>
    </row>
    <row r="5845" spans="1:9" x14ac:dyDescent="0.2">
      <c r="A5845" s="3" t="str">
        <f>"ENSG00000238197.5"</f>
        <v>ENSG00000238197.5</v>
      </c>
      <c r="B5845" s="3">
        <v>59.125250132674303</v>
      </c>
      <c r="C5845" s="3">
        <v>3.0274345034369099</v>
      </c>
      <c r="D5845" s="3">
        <v>0.518384797024243</v>
      </c>
      <c r="E5845" s="3">
        <v>5.8401298047622499</v>
      </c>
      <c r="F5845" s="4">
        <v>5.2160165819234803E-9</v>
      </c>
      <c r="G5845" s="4">
        <v>6.4453879277854495E-8</v>
      </c>
      <c r="H5845" s="3" t="str">
        <f>"PAXBP1-AS1"</f>
        <v>PAXBP1-AS1</v>
      </c>
      <c r="I5845" s="3" t="str">
        <f>"antisense"</f>
        <v>antisense</v>
      </c>
    </row>
    <row r="5846" spans="1:9" x14ac:dyDescent="0.2">
      <c r="A5846" s="3" t="str">
        <f>"ENSG00000232539.1"</f>
        <v>ENSG00000232539.1</v>
      </c>
      <c r="B5846" s="3">
        <v>3.8530936506741802</v>
      </c>
      <c r="C5846" s="3">
        <v>5.3403250580865702</v>
      </c>
      <c r="D5846" s="3">
        <v>2.1789621139591802</v>
      </c>
      <c r="E5846" s="3">
        <v>2.4508572333014098</v>
      </c>
      <c r="F5846" s="3">
        <v>1.4251646682892799E-2</v>
      </c>
      <c r="G5846" s="3">
        <v>4.2728280938466097E-2</v>
      </c>
      <c r="H5846" s="3" t="str">
        <f>"LINC00945"</f>
        <v>LINC00945</v>
      </c>
      <c r="I5846" s="3" t="str">
        <f>"lincRNA"</f>
        <v>lincRNA</v>
      </c>
    </row>
    <row r="5847" spans="1:9" x14ac:dyDescent="0.2">
      <c r="A5847" s="3" t="str">
        <f>"ENSG00000159110.19"</f>
        <v>ENSG00000159110.19</v>
      </c>
      <c r="B5847" s="3">
        <v>178.50576654273999</v>
      </c>
      <c r="C5847" s="3">
        <v>-1.3901673083453501</v>
      </c>
      <c r="D5847" s="3">
        <v>0.299924007912305</v>
      </c>
      <c r="E5847" s="3">
        <v>-4.6350651220685899</v>
      </c>
      <c r="F5847" s="4">
        <v>3.5682512820039699E-6</v>
      </c>
      <c r="G5847" s="4">
        <v>2.7707542831630399E-5</v>
      </c>
      <c r="H5847" s="3" t="str">
        <f>"IFNAR2"</f>
        <v>IFNAR2</v>
      </c>
      <c r="I5847" s="3" t="str">
        <f>"protein_coding"</f>
        <v>protein_coding</v>
      </c>
    </row>
    <row r="5848" spans="1:9" x14ac:dyDescent="0.2">
      <c r="A5848" s="3" t="str">
        <f>"ENSG00000223799.1"</f>
        <v>ENSG00000223799.1</v>
      </c>
      <c r="B5848" s="3">
        <v>7.3408004629080397</v>
      </c>
      <c r="C5848" s="3">
        <v>6.2724782074636902</v>
      </c>
      <c r="D5848" s="3">
        <v>1.8637627233396801</v>
      </c>
      <c r="E5848" s="3">
        <v>3.36549182410088</v>
      </c>
      <c r="F5848" s="3">
        <v>7.6407331549742104E-4</v>
      </c>
      <c r="G5848" s="3">
        <v>3.4924854264986099E-3</v>
      </c>
      <c r="H5848" s="3" t="str">
        <f>"IL10RB-DT"</f>
        <v>IL10RB-DT</v>
      </c>
      <c r="I5848" s="3" t="str">
        <f>"antisense"</f>
        <v>antisense</v>
      </c>
    </row>
    <row r="5849" spans="1:9" x14ac:dyDescent="0.2">
      <c r="A5849" s="3" t="str">
        <f>"ENSG00000159128.14"</f>
        <v>ENSG00000159128.14</v>
      </c>
      <c r="B5849" s="3">
        <v>1521.8715902726401</v>
      </c>
      <c r="C5849" s="3">
        <v>-1.1841912834980699</v>
      </c>
      <c r="D5849" s="3">
        <v>0.19749279692801999</v>
      </c>
      <c r="E5849" s="3">
        <v>-5.9961239190392996</v>
      </c>
      <c r="F5849" s="4">
        <v>2.0208283729358901E-9</v>
      </c>
      <c r="G5849" s="4">
        <v>2.6269804712492401E-8</v>
      </c>
      <c r="H5849" s="3" t="str">
        <f>"IFNGR2"</f>
        <v>IFNGR2</v>
      </c>
      <c r="I5849" s="3" t="str">
        <f>"protein_coding"</f>
        <v>protein_coding</v>
      </c>
    </row>
    <row r="5850" spans="1:9" x14ac:dyDescent="0.2">
      <c r="A5850" s="3" t="str">
        <f>"ENSG00000177692.11"</f>
        <v>ENSG00000177692.11</v>
      </c>
      <c r="B5850" s="3">
        <v>63.747846306937703</v>
      </c>
      <c r="C5850" s="3">
        <v>1.5087950187210999</v>
      </c>
      <c r="D5850" s="3">
        <v>0.484272192299252</v>
      </c>
      <c r="E5850" s="3">
        <v>3.11559293040875</v>
      </c>
      <c r="F5850" s="3">
        <v>1.83575495128164E-3</v>
      </c>
      <c r="G5850" s="3">
        <v>7.49233300742525E-3</v>
      </c>
      <c r="H5850" s="3" t="str">
        <f>"DNAJC28"</f>
        <v>DNAJC28</v>
      </c>
      <c r="I5850" s="3" t="str">
        <f>"protein_coding"</f>
        <v>protein_coding</v>
      </c>
    </row>
    <row r="5851" spans="1:9" x14ac:dyDescent="0.2">
      <c r="A5851" s="3" t="str">
        <f>"ENSG00000159131.17"</f>
        <v>ENSG00000159131.17</v>
      </c>
      <c r="B5851" s="3">
        <v>3400.63668755954</v>
      </c>
      <c r="C5851" s="3">
        <v>-1.0111606019514301</v>
      </c>
      <c r="D5851" s="3">
        <v>0.17438176202008801</v>
      </c>
      <c r="E5851" s="3">
        <v>-5.7985456176027403</v>
      </c>
      <c r="F5851" s="4">
        <v>6.6892507813351204E-9</v>
      </c>
      <c r="G5851" s="4">
        <v>8.1403312210378802E-8</v>
      </c>
      <c r="H5851" s="3" t="str">
        <f>"GART"</f>
        <v>GART</v>
      </c>
      <c r="I5851" s="3" t="str">
        <f>"protein_coding"</f>
        <v>protein_coding</v>
      </c>
    </row>
    <row r="5852" spans="1:9" x14ac:dyDescent="0.2">
      <c r="A5852" s="3" t="str">
        <f>"ENSG00000159147.18"</f>
        <v>ENSG00000159147.18</v>
      </c>
      <c r="B5852" s="3">
        <v>744.84722494164703</v>
      </c>
      <c r="C5852" s="3">
        <v>-1.16488301821365</v>
      </c>
      <c r="D5852" s="3">
        <v>0.20841374608594401</v>
      </c>
      <c r="E5852" s="3">
        <v>-5.58928112991779</v>
      </c>
      <c r="F5852" s="4">
        <v>2.2801155539258698E-8</v>
      </c>
      <c r="G5852" s="4">
        <v>2.5864408200590401E-7</v>
      </c>
      <c r="H5852" s="3" t="str">
        <f>"DONSON"</f>
        <v>DONSON</v>
      </c>
      <c r="I5852" s="3" t="str">
        <f>"protein_coding"</f>
        <v>protein_coding</v>
      </c>
    </row>
    <row r="5853" spans="1:9" x14ac:dyDescent="0.2">
      <c r="A5853" s="3" t="str">
        <f>"ENSG00000237945.7"</f>
        <v>ENSG00000237945.7</v>
      </c>
      <c r="B5853" s="3">
        <v>23.167587080691099</v>
      </c>
      <c r="C5853" s="3">
        <v>2.3219155870694199</v>
      </c>
      <c r="D5853" s="3">
        <v>0.75351045005084505</v>
      </c>
      <c r="E5853" s="3">
        <v>3.0814643471935201</v>
      </c>
      <c r="F5853" s="3">
        <v>2.0598514302438199E-3</v>
      </c>
      <c r="G5853" s="3">
        <v>8.2670160435783496E-3</v>
      </c>
      <c r="H5853" s="3" t="str">
        <f>"LINC00649"</f>
        <v>LINC00649</v>
      </c>
      <c r="I5853" s="3" t="str">
        <f>"antisense"</f>
        <v>antisense</v>
      </c>
    </row>
    <row r="5854" spans="1:9" x14ac:dyDescent="0.2">
      <c r="A5854" s="3" t="str">
        <f>"ENSG00000234380.2"</f>
        <v>ENSG00000234380.2</v>
      </c>
      <c r="B5854" s="3">
        <v>899.67566162552896</v>
      </c>
      <c r="C5854" s="3">
        <v>1.9799281524622101</v>
      </c>
      <c r="D5854" s="3">
        <v>0.21338256707866399</v>
      </c>
      <c r="E5854" s="3">
        <v>9.2787718301856597</v>
      </c>
      <c r="F5854" s="4">
        <v>1.7144329420913799E-20</v>
      </c>
      <c r="G5854" s="4">
        <v>6.9410333392516901E-19</v>
      </c>
      <c r="H5854" s="3" t="str">
        <f>"LINC01426"</f>
        <v>LINC01426</v>
      </c>
      <c r="I5854" s="3" t="str">
        <f>"lincRNA"</f>
        <v>lincRNA</v>
      </c>
    </row>
    <row r="5855" spans="1:9" x14ac:dyDescent="0.2">
      <c r="A5855" s="3" t="str">
        <f>"ENSG00000286153.1"</f>
        <v>ENSG00000286153.1</v>
      </c>
      <c r="B5855" s="3">
        <v>45.875137935521003</v>
      </c>
      <c r="C5855" s="3">
        <v>2.5444664101144099</v>
      </c>
      <c r="D5855" s="3">
        <v>0.55405029927497995</v>
      </c>
      <c r="E5855" s="3">
        <v>4.5924826923549196</v>
      </c>
      <c r="F5855" s="4">
        <v>4.3800384600151498E-6</v>
      </c>
      <c r="G5855" s="4">
        <v>3.3476271506320501E-5</v>
      </c>
      <c r="H5855" s="3" t="str">
        <f>"AP000331.1"</f>
        <v>AP000331.1</v>
      </c>
      <c r="I5855" s="3" t="str">
        <f>"antisense"</f>
        <v>antisense</v>
      </c>
    </row>
    <row r="5856" spans="1:9" x14ac:dyDescent="0.2">
      <c r="A5856" s="3" t="str">
        <f>"ENSG00000230794.1"</f>
        <v>ENSG00000230794.1</v>
      </c>
      <c r="B5856" s="3">
        <v>3.8893317554809199</v>
      </c>
      <c r="C5856" s="3">
        <v>5.35263968609567</v>
      </c>
      <c r="D5856" s="3">
        <v>2.1805139762792298</v>
      </c>
      <c r="E5856" s="3">
        <v>2.4547605492670499</v>
      </c>
      <c r="F5856" s="3">
        <v>1.40978459500909E-2</v>
      </c>
      <c r="G5856" s="3">
        <v>4.2402473628670397E-2</v>
      </c>
      <c r="H5856" s="3" t="str">
        <f>"AF015720.1"</f>
        <v>AF015720.1</v>
      </c>
      <c r="I5856" s="3" t="str">
        <f>"lincRNA"</f>
        <v>lincRNA</v>
      </c>
    </row>
    <row r="5857" spans="1:9" x14ac:dyDescent="0.2">
      <c r="A5857" s="3" t="str">
        <f>"ENSG00000229761.1"</f>
        <v>ENSG00000229761.1</v>
      </c>
      <c r="B5857" s="3">
        <v>4.3302005939076098</v>
      </c>
      <c r="C5857" s="3">
        <v>5.5088803257156904</v>
      </c>
      <c r="D5857" s="3">
        <v>2.1104502212244198</v>
      </c>
      <c r="E5857" s="3">
        <v>2.6102867863519599</v>
      </c>
      <c r="F5857" s="3">
        <v>9.0466346159683401E-3</v>
      </c>
      <c r="G5857" s="3">
        <v>2.9246992570157698E-2</v>
      </c>
      <c r="H5857" s="3" t="str">
        <f>"RPS20P1"</f>
        <v>RPS20P1</v>
      </c>
      <c r="I5857" s="3" t="str">
        <f>"processed_pseudogene"</f>
        <v>processed_pseudogene</v>
      </c>
    </row>
    <row r="5858" spans="1:9" x14ac:dyDescent="0.2">
      <c r="A5858" s="3" t="str">
        <f>"ENSG00000236830.6"</f>
        <v>ENSG00000236830.6</v>
      </c>
      <c r="B5858" s="3">
        <v>18.7889517448451</v>
      </c>
      <c r="C5858" s="3">
        <v>3.23885662829327</v>
      </c>
      <c r="D5858" s="3">
        <v>0.91330887112341097</v>
      </c>
      <c r="E5858" s="3">
        <v>3.5462883704494499</v>
      </c>
      <c r="F5858" s="3">
        <v>3.90698413646252E-4</v>
      </c>
      <c r="G5858" s="3">
        <v>1.9285071877933799E-3</v>
      </c>
      <c r="H5858" s="3" t="str">
        <f>"CBR3-AS1"</f>
        <v>CBR3-AS1</v>
      </c>
      <c r="I5858" s="3" t="str">
        <f>"processed_transcript"</f>
        <v>processed_transcript</v>
      </c>
    </row>
    <row r="5859" spans="1:9" x14ac:dyDescent="0.2">
      <c r="A5859" s="3" t="str">
        <f>"ENSG00000159259.8"</f>
        <v>ENSG00000159259.8</v>
      </c>
      <c r="B5859" s="3">
        <v>916.72892439618795</v>
      </c>
      <c r="C5859" s="3">
        <v>-1.13923355796904</v>
      </c>
      <c r="D5859" s="3">
        <v>0.227663228595477</v>
      </c>
      <c r="E5859" s="3">
        <v>-5.0040297021056901</v>
      </c>
      <c r="F5859" s="4">
        <v>5.6144100600491504E-7</v>
      </c>
      <c r="G5859" s="4">
        <v>5.0172460120091603E-6</v>
      </c>
      <c r="H5859" s="3" t="str">
        <f>"CHAF1B"</f>
        <v>CHAF1B</v>
      </c>
      <c r="I5859" s="3" t="str">
        <f>"protein_coding"</f>
        <v>protein_coding</v>
      </c>
    </row>
    <row r="5860" spans="1:9" x14ac:dyDescent="0.2">
      <c r="A5860" s="3" t="str">
        <f>"ENSG00000242553.1"</f>
        <v>ENSG00000242553.1</v>
      </c>
      <c r="B5860" s="3">
        <v>49.801807504081502</v>
      </c>
      <c r="C5860" s="3">
        <v>1.8040253837862801</v>
      </c>
      <c r="D5860" s="3">
        <v>0.51103006881304502</v>
      </c>
      <c r="E5860" s="3">
        <v>3.5301746294037799</v>
      </c>
      <c r="F5860" s="3">
        <v>4.1528546312657398E-4</v>
      </c>
      <c r="G5860" s="3">
        <v>2.0354889393433598E-3</v>
      </c>
      <c r="H5860" s="3" t="str">
        <f>"AP001432.1"</f>
        <v>AP001432.1</v>
      </c>
      <c r="I5860" s="3" t="str">
        <f>"lincRNA"</f>
        <v>lincRNA</v>
      </c>
    </row>
    <row r="5861" spans="1:9" x14ac:dyDescent="0.2">
      <c r="A5861" s="3" t="str">
        <f>"ENSG00000157554.19"</f>
        <v>ENSG00000157554.19</v>
      </c>
      <c r="B5861" s="3">
        <v>4.7348313275275498</v>
      </c>
      <c r="C5861" s="3">
        <v>5.6398842652474501</v>
      </c>
      <c r="D5861" s="3">
        <v>2.05830840027062</v>
      </c>
      <c r="E5861" s="3">
        <v>2.7400579351986001</v>
      </c>
      <c r="F5861" s="3">
        <v>6.1428355245557601E-3</v>
      </c>
      <c r="G5861" s="3">
        <v>2.1109072964758599E-2</v>
      </c>
      <c r="H5861" s="3" t="str">
        <f>"ERG"</f>
        <v>ERG</v>
      </c>
      <c r="I5861" s="3" t="str">
        <f>"protein_coding"</f>
        <v>protein_coding</v>
      </c>
    </row>
    <row r="5862" spans="1:9" x14ac:dyDescent="0.2">
      <c r="A5862" s="3" t="str">
        <f>"ENSG00000235888.2"</f>
        <v>ENSG00000235888.2</v>
      </c>
      <c r="B5862" s="3">
        <v>61.875446474596899</v>
      </c>
      <c r="C5862" s="3">
        <v>1.7186075304328801</v>
      </c>
      <c r="D5862" s="3">
        <v>0.46877647418253299</v>
      </c>
      <c r="E5862" s="3">
        <v>3.6661556735112102</v>
      </c>
      <c r="F5862" s="3">
        <v>2.4622407004749202E-4</v>
      </c>
      <c r="G5862" s="3">
        <v>1.27734268976013E-3</v>
      </c>
      <c r="H5862" s="3" t="str">
        <f>"AF064858.1"</f>
        <v>AF064858.1</v>
      </c>
      <c r="I5862" s="3" t="str">
        <f>"lincRNA"</f>
        <v>lincRNA</v>
      </c>
    </row>
    <row r="5863" spans="1:9" x14ac:dyDescent="0.2">
      <c r="A5863" s="3" t="str">
        <f>"ENSG00000182240.16"</f>
        <v>ENSG00000182240.16</v>
      </c>
      <c r="B5863" s="3">
        <v>56.114466356048098</v>
      </c>
      <c r="C5863" s="3">
        <v>6.7495633450729002</v>
      </c>
      <c r="D5863" s="3">
        <v>1.11769594411785</v>
      </c>
      <c r="E5863" s="3">
        <v>6.0388188582003304</v>
      </c>
      <c r="F5863" s="4">
        <v>1.55246401949931E-9</v>
      </c>
      <c r="G5863" s="4">
        <v>2.0543947129333499E-8</v>
      </c>
      <c r="H5863" s="3" t="str">
        <f>"BACE2"</f>
        <v>BACE2</v>
      </c>
      <c r="I5863" s="3" t="str">
        <f>"protein_coding"</f>
        <v>protein_coding</v>
      </c>
    </row>
    <row r="5864" spans="1:9" x14ac:dyDescent="0.2">
      <c r="A5864" s="3" t="str">
        <f>"ENSG00000224388.1"</f>
        <v>ENSG00000224388.1</v>
      </c>
      <c r="B5864" s="3">
        <v>4.6593493275411699</v>
      </c>
      <c r="C5864" s="3">
        <v>5.6122139252814298</v>
      </c>
      <c r="D5864" s="3">
        <v>2.0896389950956702</v>
      </c>
      <c r="E5864" s="3">
        <v>2.6857337264729302</v>
      </c>
      <c r="F5864" s="3">
        <v>7.2370738075707101E-3</v>
      </c>
      <c r="G5864" s="3">
        <v>2.4230591058599101E-2</v>
      </c>
      <c r="H5864" s="3" t="str">
        <f>"BACE2-IT1"</f>
        <v>BACE2-IT1</v>
      </c>
      <c r="I5864" s="3" t="str">
        <f>"antisense"</f>
        <v>antisense</v>
      </c>
    </row>
    <row r="5865" spans="1:9" x14ac:dyDescent="0.2">
      <c r="A5865" s="3" t="str">
        <f>"ENSG00000157601.14"</f>
        <v>ENSG00000157601.14</v>
      </c>
      <c r="B5865" s="3">
        <v>165.92054536544501</v>
      </c>
      <c r="C5865" s="3">
        <v>1.26047651405784</v>
      </c>
      <c r="D5865" s="3">
        <v>0.32109856359024203</v>
      </c>
      <c r="E5865" s="3">
        <v>3.9255127770249101</v>
      </c>
      <c r="F5865" s="4">
        <v>8.6545175799122403E-5</v>
      </c>
      <c r="G5865" s="3">
        <v>5.0370423740706102E-4</v>
      </c>
      <c r="H5865" s="3" t="str">
        <f>"MX1"</f>
        <v>MX1</v>
      </c>
      <c r="I5865" s="3" t="str">
        <f>"protein_coding"</f>
        <v>protein_coding</v>
      </c>
    </row>
    <row r="5866" spans="1:9" x14ac:dyDescent="0.2">
      <c r="A5866" s="3" t="str">
        <f>"ENSG00000160179.18"</f>
        <v>ENSG00000160179.18</v>
      </c>
      <c r="B5866" s="3">
        <v>17.432522480423501</v>
      </c>
      <c r="C5866" s="3">
        <v>7.5191500160593803</v>
      </c>
      <c r="D5866" s="3">
        <v>1.63757218420544</v>
      </c>
      <c r="E5866" s="3">
        <v>4.5916449293548096</v>
      </c>
      <c r="F5866" s="4">
        <v>4.3976609290345499E-6</v>
      </c>
      <c r="G5866" s="4">
        <v>3.35921130735644E-5</v>
      </c>
      <c r="H5866" s="3" t="str">
        <f>"ABCG1"</f>
        <v>ABCG1</v>
      </c>
      <c r="I5866" s="3" t="str">
        <f>"protein_coding"</f>
        <v>protein_coding</v>
      </c>
    </row>
    <row r="5867" spans="1:9" x14ac:dyDescent="0.2">
      <c r="A5867" s="3" t="str">
        <f>"ENSG00000160183.15"</f>
        <v>ENSG00000160183.15</v>
      </c>
      <c r="B5867" s="3">
        <v>18.609590798848799</v>
      </c>
      <c r="C5867" s="3">
        <v>-1.94419778788372</v>
      </c>
      <c r="D5867" s="3">
        <v>0.814816179396328</v>
      </c>
      <c r="E5867" s="3">
        <v>-2.3860569255314901</v>
      </c>
      <c r="F5867" s="3">
        <v>1.7030114734245601E-2</v>
      </c>
      <c r="G5867" s="3">
        <v>4.9558852522053901E-2</v>
      </c>
      <c r="H5867" s="3" t="str">
        <f>"TMPRSS3"</f>
        <v>TMPRSS3</v>
      </c>
      <c r="I5867" s="3" t="str">
        <f>"protein_coding"</f>
        <v>protein_coding</v>
      </c>
    </row>
    <row r="5868" spans="1:9" x14ac:dyDescent="0.2">
      <c r="A5868" s="3" t="str">
        <f>"ENSG00000225431.1"</f>
        <v>ENSG00000225431.1</v>
      </c>
      <c r="B5868" s="3">
        <v>6.9391755196609903</v>
      </c>
      <c r="C5868" s="3">
        <v>6.1943601591582302</v>
      </c>
      <c r="D5868" s="3">
        <v>1.89940891942847</v>
      </c>
      <c r="E5868" s="3">
        <v>3.2612041018645401</v>
      </c>
      <c r="F5868" s="3">
        <v>1.10940153956379E-3</v>
      </c>
      <c r="G5868" s="3">
        <v>4.8287322281940102E-3</v>
      </c>
      <c r="H5868" s="3" t="str">
        <f>"LINC01671"</f>
        <v>LINC01671</v>
      </c>
      <c r="I5868" s="3" t="str">
        <f>"lincRNA"</f>
        <v>lincRNA</v>
      </c>
    </row>
    <row r="5869" spans="1:9" x14ac:dyDescent="0.2">
      <c r="A5869" s="3" t="str">
        <f>"ENSG00000160191.18"</f>
        <v>ENSG00000160191.18</v>
      </c>
      <c r="B5869" s="3">
        <v>365.04313316546097</v>
      </c>
      <c r="C5869" s="3">
        <v>-1.84081440323302</v>
      </c>
      <c r="D5869" s="3">
        <v>0.25554317138370503</v>
      </c>
      <c r="E5869" s="3">
        <v>-7.2035358771883997</v>
      </c>
      <c r="F5869" s="4">
        <v>5.8670834714867802E-13</v>
      </c>
      <c r="G5869" s="4">
        <v>1.19835399810795E-11</v>
      </c>
      <c r="H5869" s="3" t="str">
        <f>"PDE9A"</f>
        <v>PDE9A</v>
      </c>
      <c r="I5869" s="3" t="str">
        <f>"protein_coding"</f>
        <v>protein_coding</v>
      </c>
    </row>
    <row r="5870" spans="1:9" x14ac:dyDescent="0.2">
      <c r="A5870" s="3" t="str">
        <f>"ENSG00000160193.11"</f>
        <v>ENSG00000160193.11</v>
      </c>
      <c r="B5870" s="3">
        <v>1278.17414008936</v>
      </c>
      <c r="C5870" s="3">
        <v>-1.2802350466478001</v>
      </c>
      <c r="D5870" s="3">
        <v>0.20609719784861399</v>
      </c>
      <c r="E5870" s="3">
        <v>-6.2118022952848904</v>
      </c>
      <c r="F5870" s="4">
        <v>5.2380305305762002E-10</v>
      </c>
      <c r="G5870" s="4">
        <v>7.34915642979452E-9</v>
      </c>
      <c r="H5870" s="3" t="str">
        <f>"WDR4"</f>
        <v>WDR4</v>
      </c>
      <c r="I5870" s="3" t="str">
        <f>"protein_coding"</f>
        <v>protein_coding</v>
      </c>
    </row>
    <row r="5871" spans="1:9" x14ac:dyDescent="0.2">
      <c r="A5871" s="3" t="str">
        <f>"ENSG00000160200.17"</f>
        <v>ENSG00000160200.17</v>
      </c>
      <c r="B5871" s="3">
        <v>691.87998341117395</v>
      </c>
      <c r="C5871" s="3">
        <v>-1.35410485014769</v>
      </c>
      <c r="D5871" s="3">
        <v>0.21856414790284601</v>
      </c>
      <c r="E5871" s="3">
        <v>-6.1954573206105303</v>
      </c>
      <c r="F5871" s="4">
        <v>5.8116039214381502E-10</v>
      </c>
      <c r="G5871" s="4">
        <v>8.1200474753622496E-9</v>
      </c>
      <c r="H5871" s="3" t="str">
        <f>"CBS"</f>
        <v>CBS</v>
      </c>
      <c r="I5871" s="3" t="str">
        <f>"protein_coding"</f>
        <v>protein_coding</v>
      </c>
    </row>
    <row r="5872" spans="1:9" x14ac:dyDescent="0.2">
      <c r="A5872" s="3" t="str">
        <f>"ENSG00000237989.1"</f>
        <v>ENSG00000237989.1</v>
      </c>
      <c r="B5872" s="3">
        <v>9.8410610742412103</v>
      </c>
      <c r="C5872" s="3">
        <v>6.6995188223995896</v>
      </c>
      <c r="D5872" s="3">
        <v>1.7983485773030401</v>
      </c>
      <c r="E5872" s="3">
        <v>3.72537277086</v>
      </c>
      <c r="F5872" s="3">
        <v>1.9502680101440601E-4</v>
      </c>
      <c r="G5872" s="3">
        <v>1.0416537618373101E-3</v>
      </c>
      <c r="H5872" s="3" t="str">
        <f>"LINC01679"</f>
        <v>LINC01679</v>
      </c>
      <c r="I5872" s="3" t="str">
        <f>"lincRNA"</f>
        <v>lincRNA</v>
      </c>
    </row>
    <row r="5873" spans="1:9" x14ac:dyDescent="0.2">
      <c r="A5873" s="3" t="str">
        <f>"ENSG00000185186.9"</f>
        <v>ENSG00000185186.9</v>
      </c>
      <c r="B5873" s="3">
        <v>22.592077057979399</v>
      </c>
      <c r="C5873" s="3">
        <v>1.9381045472734499</v>
      </c>
      <c r="D5873" s="3">
        <v>0.77077473224957505</v>
      </c>
      <c r="E5873" s="3">
        <v>2.5144889501202501</v>
      </c>
      <c r="F5873" s="3">
        <v>1.19205038052309E-2</v>
      </c>
      <c r="G5873" s="3">
        <v>3.68084731619591E-2</v>
      </c>
      <c r="H5873" s="3" t="str">
        <f>"LINC00313"</f>
        <v>LINC00313</v>
      </c>
      <c r="I5873" s="3" t="str">
        <f>"lincRNA"</f>
        <v>lincRNA</v>
      </c>
    </row>
    <row r="5874" spans="1:9" x14ac:dyDescent="0.2">
      <c r="A5874" s="3" t="str">
        <f>"ENSG00000160214.12"</f>
        <v>ENSG00000160214.12</v>
      </c>
      <c r="B5874" s="3">
        <v>1357.13556219922</v>
      </c>
      <c r="C5874" s="3">
        <v>-1.1836322135305799</v>
      </c>
      <c r="D5874" s="3">
        <v>0.23226952793979899</v>
      </c>
      <c r="E5874" s="3">
        <v>-5.0959427352750097</v>
      </c>
      <c r="F5874" s="4">
        <v>3.47010018726574E-7</v>
      </c>
      <c r="G5874" s="4">
        <v>3.2159802653887598E-6</v>
      </c>
      <c r="H5874" s="3" t="str">
        <f>"RRP1"</f>
        <v>RRP1</v>
      </c>
      <c r="I5874" s="3" t="str">
        <f>"protein_coding"</f>
        <v>protein_coding</v>
      </c>
    </row>
    <row r="5875" spans="1:9" x14ac:dyDescent="0.2">
      <c r="A5875" s="3" t="str">
        <f>"ENSG00000215458.8"</f>
        <v>ENSG00000215458.8</v>
      </c>
      <c r="B5875" s="3">
        <v>459.19652109643903</v>
      </c>
      <c r="C5875" s="3">
        <v>7.9832682100671599</v>
      </c>
      <c r="D5875" s="3">
        <v>0.59642089003396903</v>
      </c>
      <c r="E5875" s="3">
        <v>13.3852927411923</v>
      </c>
      <c r="F5875" s="4">
        <v>7.3706391979057501E-41</v>
      </c>
      <c r="G5875" s="4">
        <v>1.06602645719808E-38</v>
      </c>
      <c r="H5875" s="3" t="str">
        <f>"AATBC"</f>
        <v>AATBC</v>
      </c>
      <c r="I5875" s="3" t="str">
        <f>"antisense"</f>
        <v>antisense</v>
      </c>
    </row>
    <row r="5876" spans="1:9" x14ac:dyDescent="0.2">
      <c r="A5876" s="3" t="str">
        <f>"ENSG00000160223.17"</f>
        <v>ENSG00000160223.17</v>
      </c>
      <c r="B5876" s="3">
        <v>74.530810532447205</v>
      </c>
      <c r="C5876" s="3">
        <v>1.5854681521907701</v>
      </c>
      <c r="D5876" s="3">
        <v>0.43064285939568497</v>
      </c>
      <c r="E5876" s="3">
        <v>3.6816311186852899</v>
      </c>
      <c r="F5876" s="3">
        <v>2.3174655335322101E-4</v>
      </c>
      <c r="G5876" s="3">
        <v>1.21197664860177E-3</v>
      </c>
      <c r="H5876" s="3" t="str">
        <f>"ICOSLG"</f>
        <v>ICOSLG</v>
      </c>
      <c r="I5876" s="3" t="str">
        <f>"protein_coding"</f>
        <v>protein_coding</v>
      </c>
    </row>
    <row r="5877" spans="1:9" x14ac:dyDescent="0.2">
      <c r="A5877" s="3" t="str">
        <f>"ENSG00000160226.16"</f>
        <v>ENSG00000160226.16</v>
      </c>
      <c r="B5877" s="3">
        <v>289.09208740892399</v>
      </c>
      <c r="C5877" s="3">
        <v>-1.6627359257309</v>
      </c>
      <c r="D5877" s="3">
        <v>0.25806149912569298</v>
      </c>
      <c r="E5877" s="3">
        <v>-6.4431770386679599</v>
      </c>
      <c r="F5877" s="4">
        <v>1.1699808297982899E-10</v>
      </c>
      <c r="G5877" s="4">
        <v>1.80410116975179E-9</v>
      </c>
      <c r="H5877" s="3" t="str">
        <f>"CFAP410"</f>
        <v>CFAP410</v>
      </c>
      <c r="I5877" s="3" t="str">
        <f>"protein_coding"</f>
        <v>protein_coding</v>
      </c>
    </row>
    <row r="5878" spans="1:9" x14ac:dyDescent="0.2">
      <c r="A5878" s="3" t="str">
        <f>"ENSG00000142185.16"</f>
        <v>ENSG00000142185.16</v>
      </c>
      <c r="B5878" s="3">
        <v>137.268617146417</v>
      </c>
      <c r="C5878" s="3">
        <v>6.03525292107211</v>
      </c>
      <c r="D5878" s="3">
        <v>0.60317055630561001</v>
      </c>
      <c r="E5878" s="3">
        <v>10.005881185643</v>
      </c>
      <c r="F5878" s="4">
        <v>1.4360743959933E-23</v>
      </c>
      <c r="G5878" s="4">
        <v>7.1927792403730499E-22</v>
      </c>
      <c r="H5878" s="3" t="str">
        <f>"TRPM2"</f>
        <v>TRPM2</v>
      </c>
      <c r="I5878" s="3" t="str">
        <f>"protein_coding"</f>
        <v>protein_coding</v>
      </c>
    </row>
    <row r="5879" spans="1:9" x14ac:dyDescent="0.2">
      <c r="A5879" s="3" t="str">
        <f>"ENSG00000160233.8"</f>
        <v>ENSG00000160233.8</v>
      </c>
      <c r="B5879" s="3">
        <v>469.573301054203</v>
      </c>
      <c r="C5879" s="3">
        <v>-3.36652398142924</v>
      </c>
      <c r="D5879" s="3">
        <v>0.257632918314465</v>
      </c>
      <c r="E5879" s="3">
        <v>-13.0671344463835</v>
      </c>
      <c r="F5879" s="4">
        <v>5.0741171540855502E-39</v>
      </c>
      <c r="G5879" s="4">
        <v>6.5835461951128103E-37</v>
      </c>
      <c r="H5879" s="3" t="str">
        <f>"LRRC3"</f>
        <v>LRRC3</v>
      </c>
      <c r="I5879" s="3" t="str">
        <f>"protein_coding"</f>
        <v>protein_coding</v>
      </c>
    </row>
    <row r="5880" spans="1:9" x14ac:dyDescent="0.2">
      <c r="A5880" s="3" t="str">
        <f>"ENSG00000227039.6"</f>
        <v>ENSG00000227039.6</v>
      </c>
      <c r="B5880" s="3">
        <v>23.741000433340499</v>
      </c>
      <c r="C5880" s="3">
        <v>4.4617940255822397</v>
      </c>
      <c r="D5880" s="3">
        <v>0.97898031268497199</v>
      </c>
      <c r="E5880" s="3">
        <v>4.5575932097605003</v>
      </c>
      <c r="F5880" s="4">
        <v>5.1743129702161399E-6</v>
      </c>
      <c r="G5880" s="4">
        <v>3.8956757529560399E-5</v>
      </c>
      <c r="H5880" s="3" t="str">
        <f>"ITGB2-AS1"</f>
        <v>ITGB2-AS1</v>
      </c>
      <c r="I5880" s="3" t="str">
        <f>"antisense"</f>
        <v>antisense</v>
      </c>
    </row>
    <row r="5881" spans="1:9" x14ac:dyDescent="0.2">
      <c r="A5881" s="3" t="str">
        <f>"ENSG00000183250.11"</f>
        <v>ENSG00000183250.11</v>
      </c>
      <c r="B5881" s="3">
        <v>60.3977101635273</v>
      </c>
      <c r="C5881" s="3">
        <v>1.1733987996269599</v>
      </c>
      <c r="D5881" s="3">
        <v>0.48621228596782601</v>
      </c>
      <c r="E5881" s="3">
        <v>2.4133466666545802</v>
      </c>
      <c r="F5881" s="3">
        <v>1.5806777220372902E-2</v>
      </c>
      <c r="G5881" s="3">
        <v>4.65358877806629E-2</v>
      </c>
      <c r="H5881" s="3" t="str">
        <f>"LINC01547"</f>
        <v>LINC01547</v>
      </c>
      <c r="I5881" s="3" t="str">
        <f>"lincRNA"</f>
        <v>lincRNA</v>
      </c>
    </row>
    <row r="5882" spans="1:9" x14ac:dyDescent="0.2">
      <c r="A5882" s="3" t="str">
        <f>"ENSG00000235374.2"</f>
        <v>ENSG00000235374.2</v>
      </c>
      <c r="B5882" s="3">
        <v>76.403047321133499</v>
      </c>
      <c r="C5882" s="3">
        <v>1.2553471335189199</v>
      </c>
      <c r="D5882" s="3">
        <v>0.45993948625040298</v>
      </c>
      <c r="E5882" s="3">
        <v>2.7293745613210501</v>
      </c>
      <c r="F5882" s="3">
        <v>6.3454584915147603E-3</v>
      </c>
      <c r="G5882" s="3">
        <v>2.17040807831161E-2</v>
      </c>
      <c r="H5882" s="3" t="str">
        <f>"SSR4P1"</f>
        <v>SSR4P1</v>
      </c>
      <c r="I5882" s="3" t="str">
        <f>"transcribed_processed_pseudogene"</f>
        <v>transcribed_processed_pseudogene</v>
      </c>
    </row>
    <row r="5883" spans="1:9" x14ac:dyDescent="0.2">
      <c r="A5883" s="3" t="str">
        <f>"ENSG00000173638.19"</f>
        <v>ENSG00000173638.19</v>
      </c>
      <c r="B5883" s="3">
        <v>1758.81425841655</v>
      </c>
      <c r="C5883" s="3">
        <v>-2.7554131227053502</v>
      </c>
      <c r="D5883" s="3">
        <v>0.23112543963721299</v>
      </c>
      <c r="E5883" s="3">
        <v>-11.9217214990716</v>
      </c>
      <c r="F5883" s="4">
        <v>9.1204269968213303E-33</v>
      </c>
      <c r="G5883" s="4">
        <v>8.3954146750807701E-31</v>
      </c>
      <c r="H5883" s="3" t="str">
        <f>"SLC19A1"</f>
        <v>SLC19A1</v>
      </c>
      <c r="I5883" s="3" t="str">
        <f>"protein_coding"</f>
        <v>protein_coding</v>
      </c>
    </row>
    <row r="5884" spans="1:9" x14ac:dyDescent="0.2">
      <c r="A5884" s="3" t="str">
        <f>"ENSG00000160285.15"</f>
        <v>ENSG00000160285.15</v>
      </c>
      <c r="B5884" s="3">
        <v>3421.78431716151</v>
      </c>
      <c r="C5884" s="3">
        <v>-2.9899047778324301</v>
      </c>
      <c r="D5884" s="3">
        <v>0.20588130981028499</v>
      </c>
      <c r="E5884" s="3">
        <v>-14.522468215242901</v>
      </c>
      <c r="F5884" s="4">
        <v>8.7308959553177898E-48</v>
      </c>
      <c r="G5884" s="4">
        <v>1.5965820274801601E-45</v>
      </c>
      <c r="H5884" s="3" t="str">
        <f>"LSS"</f>
        <v>LSS</v>
      </c>
      <c r="I5884" s="3" t="str">
        <f>"protein_coding"</f>
        <v>protein_coding</v>
      </c>
    </row>
    <row r="5885" spans="1:9" x14ac:dyDescent="0.2">
      <c r="A5885" s="3" t="str">
        <f>"ENSG00000160299.17"</f>
        <v>ENSG00000160299.17</v>
      </c>
      <c r="B5885" s="3">
        <v>2791.0050745582898</v>
      </c>
      <c r="C5885" s="3">
        <v>-1.15371896134706</v>
      </c>
      <c r="D5885" s="3">
        <v>0.21337507277106599</v>
      </c>
      <c r="E5885" s="3">
        <v>-5.4069997322738503</v>
      </c>
      <c r="F5885" s="4">
        <v>6.4089239157799398E-8</v>
      </c>
      <c r="G5885" s="4">
        <v>6.7318407838572104E-7</v>
      </c>
      <c r="H5885" s="3" t="str">
        <f>"PCNT"</f>
        <v>PCNT</v>
      </c>
      <c r="I5885" s="3" t="str">
        <f>"protein_coding"</f>
        <v>protein_coding</v>
      </c>
    </row>
    <row r="5886" spans="1:9" x14ac:dyDescent="0.2">
      <c r="A5886" s="3" t="str">
        <f>"ENSG00000198062.14"</f>
        <v>ENSG00000198062.14</v>
      </c>
      <c r="B5886" s="3">
        <v>5.02473616598148</v>
      </c>
      <c r="C5886" s="3">
        <v>5.71885726036456</v>
      </c>
      <c r="D5886" s="3">
        <v>2.1090672675445101</v>
      </c>
      <c r="E5886" s="3">
        <v>2.7115575441189099</v>
      </c>
      <c r="F5886" s="3">
        <v>6.6967916136550197E-3</v>
      </c>
      <c r="G5886" s="3">
        <v>2.2717564877646701E-2</v>
      </c>
      <c r="H5886" s="3" t="str">
        <f>"POTEH"</f>
        <v>POTEH</v>
      </c>
      <c r="I5886" s="3" t="str">
        <f>"protein_coding"</f>
        <v>protein_coding</v>
      </c>
    </row>
    <row r="5887" spans="1:9" x14ac:dyDescent="0.2">
      <c r="A5887" s="3" t="str">
        <f>"ENSG00000271127.1"</f>
        <v>ENSG00000271127.1</v>
      </c>
      <c r="B5887" s="3">
        <v>98.707672771024903</v>
      </c>
      <c r="C5887" s="3">
        <v>1.1343847013631301</v>
      </c>
      <c r="D5887" s="3">
        <v>0.40180285656336301</v>
      </c>
      <c r="E5887" s="3">
        <v>2.8232370249071099</v>
      </c>
      <c r="F5887" s="3">
        <v>4.7541409822422403E-3</v>
      </c>
      <c r="G5887" s="3">
        <v>1.7003948456701799E-2</v>
      </c>
      <c r="H5887" s="3" t="str">
        <f>"AP000526.1"</f>
        <v>AP000526.1</v>
      </c>
      <c r="I5887" s="3" t="str">
        <f>"sense_intronic"</f>
        <v>sense_intronic</v>
      </c>
    </row>
    <row r="5888" spans="1:9" x14ac:dyDescent="0.2">
      <c r="A5888" s="3" t="str">
        <f>"ENSG00000237438.7"</f>
        <v>ENSG00000237438.7</v>
      </c>
      <c r="B5888" s="3">
        <v>12.0726260000627</v>
      </c>
      <c r="C5888" s="3">
        <v>6.9877034498740302</v>
      </c>
      <c r="D5888" s="3">
        <v>1.71998826975464</v>
      </c>
      <c r="E5888" s="3">
        <v>4.0626459916908804</v>
      </c>
      <c r="F5888" s="4">
        <v>4.8519583522723197E-5</v>
      </c>
      <c r="G5888" s="3">
        <v>2.9828815258204798E-4</v>
      </c>
      <c r="H5888" s="3" t="str">
        <f>"CECR7"</f>
        <v>CECR7</v>
      </c>
      <c r="I5888" s="3" t="str">
        <f>"transcribed_unprocessed_pseudogene"</f>
        <v>transcribed_unprocessed_pseudogene</v>
      </c>
    </row>
    <row r="5889" spans="1:9" x14ac:dyDescent="0.2">
      <c r="A5889" s="3" t="str">
        <f>"ENSG00000099954.18"</f>
        <v>ENSG00000099954.18</v>
      </c>
      <c r="B5889" s="3">
        <v>11.891435476029001</v>
      </c>
      <c r="C5889" s="3">
        <v>6.9678167871360097</v>
      </c>
      <c r="D5889" s="3">
        <v>1.7165703261951999</v>
      </c>
      <c r="E5889" s="3">
        <v>4.0591502024739397</v>
      </c>
      <c r="F5889" s="4">
        <v>4.92516267596019E-5</v>
      </c>
      <c r="G5889" s="3">
        <v>3.0251557130722998E-4</v>
      </c>
      <c r="H5889" s="3" t="str">
        <f>"CECR2"</f>
        <v>CECR2</v>
      </c>
      <c r="I5889" s="3" t="str">
        <f>"protein_coding"</f>
        <v>protein_coding</v>
      </c>
    </row>
    <row r="5890" spans="1:9" x14ac:dyDescent="0.2">
      <c r="A5890" s="3" t="str">
        <f>"ENSG00000131100.13"</f>
        <v>ENSG00000131100.13</v>
      </c>
      <c r="B5890" s="3">
        <v>2679.2986240134001</v>
      </c>
      <c r="C5890" s="3">
        <v>1.0523995260093399</v>
      </c>
      <c r="D5890" s="3">
        <v>0.185574333439921</v>
      </c>
      <c r="E5890" s="3">
        <v>5.6710403130724396</v>
      </c>
      <c r="F5890" s="4">
        <v>1.4193299196032899E-8</v>
      </c>
      <c r="G5890" s="4">
        <v>1.65267018459106E-7</v>
      </c>
      <c r="H5890" s="3" t="str">
        <f>"ATP6V1E1"</f>
        <v>ATP6V1E1</v>
      </c>
      <c r="I5890" s="3" t="str">
        <f>"protein_coding"</f>
        <v>protein_coding</v>
      </c>
    </row>
    <row r="5891" spans="1:9" x14ac:dyDescent="0.2">
      <c r="A5891" s="3" t="str">
        <f>"ENSG00000099968.17"</f>
        <v>ENSG00000099968.17</v>
      </c>
      <c r="B5891" s="3">
        <v>889.13753014874703</v>
      </c>
      <c r="C5891" s="3">
        <v>1.03479330166434</v>
      </c>
      <c r="D5891" s="3">
        <v>0.200506477059848</v>
      </c>
      <c r="E5891" s="3">
        <v>5.1608971283030796</v>
      </c>
      <c r="F5891" s="4">
        <v>2.4576921154328E-7</v>
      </c>
      <c r="G5891" s="4">
        <v>2.3332660999720399E-6</v>
      </c>
      <c r="H5891" s="3" t="str">
        <f>"BCL2L13"</f>
        <v>BCL2L13</v>
      </c>
      <c r="I5891" s="3" t="str">
        <f>"protein_coding"</f>
        <v>protein_coding</v>
      </c>
    </row>
    <row r="5892" spans="1:9" x14ac:dyDescent="0.2">
      <c r="A5892" s="3" t="str">
        <f>"ENSG00000184979.9"</f>
        <v>ENSG00000184979.9</v>
      </c>
      <c r="B5892" s="3">
        <v>271.31955580256903</v>
      </c>
      <c r="C5892" s="3">
        <v>-1.46173112088902</v>
      </c>
      <c r="D5892" s="3">
        <v>0.322393232852137</v>
      </c>
      <c r="E5892" s="3">
        <v>-4.5340006300921099</v>
      </c>
      <c r="F5892" s="4">
        <v>5.7876855993370001E-6</v>
      </c>
      <c r="G5892" s="4">
        <v>4.31455730574926E-5</v>
      </c>
      <c r="H5892" s="3" t="str">
        <f>"USP18"</f>
        <v>USP18</v>
      </c>
      <c r="I5892" s="3" t="str">
        <f>"protein_coding"</f>
        <v>protein_coding</v>
      </c>
    </row>
    <row r="5893" spans="1:9" x14ac:dyDescent="0.2">
      <c r="A5893" s="3" t="str">
        <f>"ENSG00000274044.4"</f>
        <v>ENSG00000274044.4</v>
      </c>
      <c r="B5893" s="3">
        <v>4.1490100698739001</v>
      </c>
      <c r="C5893" s="3">
        <v>5.4528452321004099</v>
      </c>
      <c r="D5893" s="3">
        <v>2.14831681779456</v>
      </c>
      <c r="E5893" s="3">
        <v>2.5381941745902501</v>
      </c>
      <c r="F5893" s="3">
        <v>1.11426142424134E-2</v>
      </c>
      <c r="G5893" s="3">
        <v>3.48648151427466E-2</v>
      </c>
      <c r="H5893" s="3" t="str">
        <f>"FAM230J"</f>
        <v>FAM230J</v>
      </c>
      <c r="I5893" s="3" t="str">
        <f>"lincRNA"</f>
        <v>lincRNA</v>
      </c>
    </row>
    <row r="5894" spans="1:9" x14ac:dyDescent="0.2">
      <c r="A5894" s="3" t="str">
        <f>"ENSG00000274602.5"</f>
        <v>ENSG00000274602.5</v>
      </c>
      <c r="B5894" s="3">
        <v>3007.5234174258799</v>
      </c>
      <c r="C5894" s="3">
        <v>1.3183132922152101</v>
      </c>
      <c r="D5894" s="3">
        <v>0.21172902343307501</v>
      </c>
      <c r="E5894" s="3">
        <v>6.2264174785273196</v>
      </c>
      <c r="F5894" s="4">
        <v>4.7722139611619001E-10</v>
      </c>
      <c r="G5894" s="4">
        <v>6.7267725711214902E-9</v>
      </c>
      <c r="H5894" s="3" t="str">
        <f>"PI4KAP1"</f>
        <v>PI4KAP1</v>
      </c>
      <c r="I5894" s="3" t="str">
        <f>"transcribed_unprocessed_pseudogene"</f>
        <v>transcribed_unprocessed_pseudogene</v>
      </c>
    </row>
    <row r="5895" spans="1:9" x14ac:dyDescent="0.2">
      <c r="A5895" s="3" t="str">
        <f>"ENSG00000275793.1"</f>
        <v>ENSG00000275793.1</v>
      </c>
      <c r="B5895" s="3">
        <v>20.763096244962</v>
      </c>
      <c r="C5895" s="3">
        <v>2.2428347275362799</v>
      </c>
      <c r="D5895" s="3">
        <v>0.785781523187841</v>
      </c>
      <c r="E5895" s="3">
        <v>2.85427267166745</v>
      </c>
      <c r="F5895" s="3">
        <v>4.3135490707124496E-3</v>
      </c>
      <c r="G5895" s="3">
        <v>1.5625002862231101E-2</v>
      </c>
      <c r="H5895" s="3" t="str">
        <f>"RIMBP3"</f>
        <v>RIMBP3</v>
      </c>
      <c r="I5895" s="3" t="str">
        <f>"protein_coding"</f>
        <v>protein_coding</v>
      </c>
    </row>
    <row r="5896" spans="1:9" x14ac:dyDescent="0.2">
      <c r="A5896" s="3" t="str">
        <f>"ENSG00000197421.9"</f>
        <v>ENSG00000197421.9</v>
      </c>
      <c r="B5896" s="3">
        <v>10.9826071722176</v>
      </c>
      <c r="C5896" s="3">
        <v>2.6074240959110799</v>
      </c>
      <c r="D5896" s="3">
        <v>1.09257780442539</v>
      </c>
      <c r="E5896" s="3">
        <v>2.3864882531476801</v>
      </c>
      <c r="F5896" s="3">
        <v>1.7010150783585701E-2</v>
      </c>
      <c r="G5896" s="3">
        <v>4.9511331951753002E-2</v>
      </c>
      <c r="H5896" s="3" t="str">
        <f>"GGT3P"</f>
        <v>GGT3P</v>
      </c>
      <c r="I5896" s="3" t="str">
        <f>"transcribed_unprocessed_pseudogene"</f>
        <v>transcribed_unprocessed_pseudogene</v>
      </c>
    </row>
    <row r="5897" spans="1:9" x14ac:dyDescent="0.2">
      <c r="A5897" s="3" t="str">
        <f>"ENSG00000183628.13"</f>
        <v>ENSG00000183628.13</v>
      </c>
      <c r="B5897" s="3">
        <v>14.355333452502901</v>
      </c>
      <c r="C5897" s="3">
        <v>5.7678251611042501</v>
      </c>
      <c r="D5897" s="3">
        <v>1.6625335699484001</v>
      </c>
      <c r="E5897" s="3">
        <v>3.4692984643210898</v>
      </c>
      <c r="F5897" s="3">
        <v>5.2181940297988598E-4</v>
      </c>
      <c r="G5897" s="3">
        <v>2.4900198376520098E-3</v>
      </c>
      <c r="H5897" s="3" t="str">
        <f>"DGCR6"</f>
        <v>DGCR6</v>
      </c>
      <c r="I5897" s="3" t="str">
        <f t="shared" ref="I5897:I5907" si="256">"protein_coding"</f>
        <v>protein_coding</v>
      </c>
    </row>
    <row r="5898" spans="1:9" x14ac:dyDescent="0.2">
      <c r="A5898" s="3" t="str">
        <f>"ENSG00000100033.16"</f>
        <v>ENSG00000100033.16</v>
      </c>
      <c r="B5898" s="3">
        <v>380.47470543117998</v>
      </c>
      <c r="C5898" s="3">
        <v>4.8971286483266603</v>
      </c>
      <c r="D5898" s="3">
        <v>0.33980893765332898</v>
      </c>
      <c r="E5898" s="3">
        <v>14.4114180225674</v>
      </c>
      <c r="F5898" s="4">
        <v>4.3861165873669602E-47</v>
      </c>
      <c r="G5898" s="4">
        <v>7.7602934192199705E-45</v>
      </c>
      <c r="H5898" s="3" t="str">
        <f>"PRODH"</f>
        <v>PRODH</v>
      </c>
      <c r="I5898" s="3" t="str">
        <f t="shared" si="256"/>
        <v>protein_coding</v>
      </c>
    </row>
    <row r="5899" spans="1:9" x14ac:dyDescent="0.2">
      <c r="A5899" s="3" t="str">
        <f>"ENSG00000100084.14"</f>
        <v>ENSG00000100084.14</v>
      </c>
      <c r="B5899" s="3">
        <v>591.83892589081995</v>
      </c>
      <c r="C5899" s="3">
        <v>-1.52305232747811</v>
      </c>
      <c r="D5899" s="3">
        <v>0.224664651722704</v>
      </c>
      <c r="E5899" s="3">
        <v>-6.7792254624815804</v>
      </c>
      <c r="F5899" s="4">
        <v>1.2082185225332101E-11</v>
      </c>
      <c r="G5899" s="4">
        <v>2.1120045619134999E-10</v>
      </c>
      <c r="H5899" s="3" t="str">
        <f>"HIRA"</f>
        <v>HIRA</v>
      </c>
      <c r="I5899" s="3" t="str">
        <f t="shared" si="256"/>
        <v>protein_coding</v>
      </c>
    </row>
    <row r="5900" spans="1:9" x14ac:dyDescent="0.2">
      <c r="A5900" s="3" t="str">
        <f>"ENSG00000093009.9"</f>
        <v>ENSG00000093009.9</v>
      </c>
      <c r="B5900" s="3">
        <v>836.29693489433203</v>
      </c>
      <c r="C5900" s="3">
        <v>-1.5066061698379201</v>
      </c>
      <c r="D5900" s="3">
        <v>0.23802704427404101</v>
      </c>
      <c r="E5900" s="3">
        <v>-6.3295587878802699</v>
      </c>
      <c r="F5900" s="4">
        <v>2.45863208580725E-10</v>
      </c>
      <c r="G5900" s="4">
        <v>3.6016316366661399E-9</v>
      </c>
      <c r="H5900" s="3" t="str">
        <f>"CDC45"</f>
        <v>CDC45</v>
      </c>
      <c r="I5900" s="3" t="str">
        <f t="shared" si="256"/>
        <v>protein_coding</v>
      </c>
    </row>
    <row r="5901" spans="1:9" x14ac:dyDescent="0.2">
      <c r="A5901" s="3" t="str">
        <f>"ENSG00000184058.14"</f>
        <v>ENSG00000184058.14</v>
      </c>
      <c r="B5901" s="3">
        <v>47.7142471795134</v>
      </c>
      <c r="C5901" s="3">
        <v>5.1736017501450897</v>
      </c>
      <c r="D5901" s="3">
        <v>0.81385609717215002</v>
      </c>
      <c r="E5901" s="3">
        <v>6.3568999091134799</v>
      </c>
      <c r="F5901" s="4">
        <v>2.0586603414468501E-10</v>
      </c>
      <c r="G5901" s="4">
        <v>3.05181274882494E-9</v>
      </c>
      <c r="H5901" s="3" t="str">
        <f>"TBX1"</f>
        <v>TBX1</v>
      </c>
      <c r="I5901" s="3" t="str">
        <f t="shared" si="256"/>
        <v>protein_coding</v>
      </c>
    </row>
    <row r="5902" spans="1:9" x14ac:dyDescent="0.2">
      <c r="A5902" s="3" t="str">
        <f>"ENSG00000185838.14"</f>
        <v>ENSG00000185838.14</v>
      </c>
      <c r="B5902" s="3">
        <v>151.67988578973899</v>
      </c>
      <c r="C5902" s="3">
        <v>-2.3003813424286399</v>
      </c>
      <c r="D5902" s="3">
        <v>0.339417159217481</v>
      </c>
      <c r="E5902" s="3">
        <v>-6.77744562983239</v>
      </c>
      <c r="F5902" s="4">
        <v>1.2231915970694701E-11</v>
      </c>
      <c r="G5902" s="4">
        <v>2.1350609510155001E-10</v>
      </c>
      <c r="H5902" s="3" t="str">
        <f>"GNB1L"</f>
        <v>GNB1L</v>
      </c>
      <c r="I5902" s="3" t="str">
        <f t="shared" si="256"/>
        <v>protein_coding</v>
      </c>
    </row>
    <row r="5903" spans="1:9" x14ac:dyDescent="0.2">
      <c r="A5903" s="3" t="str">
        <f>"ENSG00000099889.14"</f>
        <v>ENSG00000099889.14</v>
      </c>
      <c r="B5903" s="3">
        <v>5090.1393887084396</v>
      </c>
      <c r="C5903" s="3">
        <v>3.1955105719512198</v>
      </c>
      <c r="D5903" s="3">
        <v>0.206834561268052</v>
      </c>
      <c r="E5903" s="3">
        <v>15.449596780926401</v>
      </c>
      <c r="F5903" s="4">
        <v>7.5916873856350105E-54</v>
      </c>
      <c r="G5903" s="4">
        <v>1.76795475381536E-51</v>
      </c>
      <c r="H5903" s="3" t="str">
        <f>"ARVCF"</f>
        <v>ARVCF</v>
      </c>
      <c r="I5903" s="3" t="str">
        <f t="shared" si="256"/>
        <v>protein_coding</v>
      </c>
    </row>
    <row r="5904" spans="1:9" x14ac:dyDescent="0.2">
      <c r="A5904" s="3" t="str">
        <f>"ENSG00000183597.15"</f>
        <v>ENSG00000183597.15</v>
      </c>
      <c r="B5904" s="3">
        <v>1851.7004165671799</v>
      </c>
      <c r="C5904" s="3">
        <v>2.3043600271815898</v>
      </c>
      <c r="D5904" s="3">
        <v>0.21032401034995499</v>
      </c>
      <c r="E5904" s="3">
        <v>10.9562385357116</v>
      </c>
      <c r="F5904" s="4">
        <v>6.2024039460229701E-28</v>
      </c>
      <c r="G5904" s="4">
        <v>4.1624852294898502E-26</v>
      </c>
      <c r="H5904" s="3" t="str">
        <f>"TANGO2"</f>
        <v>TANGO2</v>
      </c>
      <c r="I5904" s="3" t="str">
        <f t="shared" si="256"/>
        <v>protein_coding</v>
      </c>
    </row>
    <row r="5905" spans="1:9" x14ac:dyDescent="0.2">
      <c r="A5905" s="3" t="str">
        <f>"ENSG00000099901.17"</f>
        <v>ENSG00000099901.17</v>
      </c>
      <c r="B5905" s="3">
        <v>5050.3623696217001</v>
      </c>
      <c r="C5905" s="3">
        <v>-1.71372455245913</v>
      </c>
      <c r="D5905" s="3">
        <v>0.20163781917677101</v>
      </c>
      <c r="E5905" s="3">
        <v>-8.4990234443903905</v>
      </c>
      <c r="F5905" s="4">
        <v>1.91192290832489E-17</v>
      </c>
      <c r="G5905" s="4">
        <v>5.9332760231353296E-16</v>
      </c>
      <c r="H5905" s="3" t="str">
        <f>"RANBP1"</f>
        <v>RANBP1</v>
      </c>
      <c r="I5905" s="3" t="str">
        <f t="shared" si="256"/>
        <v>protein_coding</v>
      </c>
    </row>
    <row r="5906" spans="1:9" x14ac:dyDescent="0.2">
      <c r="A5906" s="3" t="str">
        <f>"ENSG00000040608.14"</f>
        <v>ENSG00000040608.14</v>
      </c>
      <c r="B5906" s="3">
        <v>13.7014554982373</v>
      </c>
      <c r="C5906" s="3">
        <v>-2.90682317966376</v>
      </c>
      <c r="D5906" s="3">
        <v>1.0356494187386101</v>
      </c>
      <c r="E5906" s="3">
        <v>-2.8067636857308198</v>
      </c>
      <c r="F5906" s="3">
        <v>5.0041937541971402E-3</v>
      </c>
      <c r="G5906" s="3">
        <v>1.7730723955866001E-2</v>
      </c>
      <c r="H5906" s="3" t="str">
        <f>"RTN4R"</f>
        <v>RTN4R</v>
      </c>
      <c r="I5906" s="3" t="str">
        <f t="shared" si="256"/>
        <v>protein_coding</v>
      </c>
    </row>
    <row r="5907" spans="1:9" x14ac:dyDescent="0.2">
      <c r="A5907" s="3" t="str">
        <f>"ENSG00000244486.8"</f>
        <v>ENSG00000244486.8</v>
      </c>
      <c r="B5907" s="3">
        <v>454.96748808128302</v>
      </c>
      <c r="C5907" s="3">
        <v>-1.27802365891478</v>
      </c>
      <c r="D5907" s="3">
        <v>0.266491307751274</v>
      </c>
      <c r="E5907" s="3">
        <v>-4.7957423816149802</v>
      </c>
      <c r="F5907" s="4">
        <v>1.62073463722023E-6</v>
      </c>
      <c r="G5907" s="4">
        <v>1.33737603453481E-5</v>
      </c>
      <c r="H5907" s="3" t="str">
        <f>"SCARF2"</f>
        <v>SCARF2</v>
      </c>
      <c r="I5907" s="3" t="str">
        <f t="shared" si="256"/>
        <v>protein_coding</v>
      </c>
    </row>
    <row r="5908" spans="1:9" x14ac:dyDescent="0.2">
      <c r="A5908" s="3" t="str">
        <f>"ENSG00000223553.6"</f>
        <v>ENSG00000223553.6</v>
      </c>
      <c r="B5908" s="3">
        <v>23.828977076151201</v>
      </c>
      <c r="C5908" s="3">
        <v>1.9494389036962501</v>
      </c>
      <c r="D5908" s="3">
        <v>0.72711739226754002</v>
      </c>
      <c r="E5908" s="3">
        <v>2.6810511265819899</v>
      </c>
      <c r="F5908" s="3">
        <v>7.3391302096311797E-3</v>
      </c>
      <c r="G5908" s="3">
        <v>2.4500034406006E-2</v>
      </c>
      <c r="H5908" s="3" t="str">
        <f>"SMPD4P1"</f>
        <v>SMPD4P1</v>
      </c>
      <c r="I5908" s="3" t="str">
        <f>"transcribed_unprocessed_pseudogene"</f>
        <v>transcribed_unprocessed_pseudogene</v>
      </c>
    </row>
    <row r="5909" spans="1:9" x14ac:dyDescent="0.2">
      <c r="A5909" s="3" t="str">
        <f>"ENSG00000215498.9"</f>
        <v>ENSG00000215498.9</v>
      </c>
      <c r="B5909" s="3">
        <v>6.1299140524210998</v>
      </c>
      <c r="C5909" s="3">
        <v>6.0129926677642098</v>
      </c>
      <c r="D5909" s="3">
        <v>1.93646501795776</v>
      </c>
      <c r="E5909" s="3">
        <v>3.1051388029233098</v>
      </c>
      <c r="F5909" s="3">
        <v>1.9018975097317601E-3</v>
      </c>
      <c r="G5909" s="3">
        <v>7.7114585487591302E-3</v>
      </c>
      <c r="H5909" s="3" t="str">
        <f>"FAM230B"</f>
        <v>FAM230B</v>
      </c>
      <c r="I5909" s="3" t="str">
        <f>"processed_transcript"</f>
        <v>processed_transcript</v>
      </c>
    </row>
    <row r="5910" spans="1:9" x14ac:dyDescent="0.2">
      <c r="A5910" s="3" t="str">
        <f>"ENSG00000206140.11"</f>
        <v>ENSG00000206140.11</v>
      </c>
      <c r="B5910" s="3">
        <v>33.207093303964101</v>
      </c>
      <c r="C5910" s="3">
        <v>1.47539088303191</v>
      </c>
      <c r="D5910" s="3">
        <v>0.61134694649879695</v>
      </c>
      <c r="E5910" s="3">
        <v>2.4133446506628098</v>
      </c>
      <c r="F5910" s="3">
        <v>1.5806864660697899E-2</v>
      </c>
      <c r="G5910" s="3">
        <v>4.65358877806629E-2</v>
      </c>
      <c r="H5910" s="3" t="str">
        <f>"TMEM191C"</f>
        <v>TMEM191C</v>
      </c>
      <c r="I5910" s="3" t="str">
        <f>"protein_coding"</f>
        <v>protein_coding</v>
      </c>
    </row>
    <row r="5911" spans="1:9" x14ac:dyDescent="0.2">
      <c r="A5911" s="3" t="str">
        <f>"ENSG00000183506.17"</f>
        <v>ENSG00000183506.17</v>
      </c>
      <c r="B5911" s="3">
        <v>1691.7487537775801</v>
      </c>
      <c r="C5911" s="3">
        <v>1.06264014720116</v>
      </c>
      <c r="D5911" s="3">
        <v>0.22517550092875599</v>
      </c>
      <c r="E5911" s="3">
        <v>4.7191641311697303</v>
      </c>
      <c r="F5911" s="4">
        <v>2.3681569430703298E-6</v>
      </c>
      <c r="G5911" s="4">
        <v>1.8972411710625499E-5</v>
      </c>
      <c r="H5911" s="3" t="str">
        <f>"PI4KAP2"</f>
        <v>PI4KAP2</v>
      </c>
      <c r="I5911" s="3" t="str">
        <f>"transcribed_unitary_pseudogene"</f>
        <v>transcribed_unitary_pseudogene</v>
      </c>
    </row>
    <row r="5912" spans="1:9" x14ac:dyDescent="0.2">
      <c r="A5912" s="3" t="str">
        <f>"ENSG00000128228.5"</f>
        <v>ENSG00000128228.5</v>
      </c>
      <c r="B5912" s="3">
        <v>516.22089014759797</v>
      </c>
      <c r="C5912" s="3">
        <v>-1.91425816833439</v>
      </c>
      <c r="D5912" s="3">
        <v>0.26899234836111002</v>
      </c>
      <c r="E5912" s="3">
        <v>-7.1164037936297797</v>
      </c>
      <c r="F5912" s="4">
        <v>1.10779437973014E-12</v>
      </c>
      <c r="G5912" s="4">
        <v>2.17621293904161E-11</v>
      </c>
      <c r="H5912" s="3" t="str">
        <f>"SDF2L1"</f>
        <v>SDF2L1</v>
      </c>
      <c r="I5912" s="3" t="str">
        <f>"protein_coding"</f>
        <v>protein_coding</v>
      </c>
    </row>
    <row r="5913" spans="1:9" x14ac:dyDescent="0.2">
      <c r="A5913" s="3" t="str">
        <f>"ENSG00000100027.15"</f>
        <v>ENSG00000100027.15</v>
      </c>
      <c r="B5913" s="3">
        <v>62.577704450307401</v>
      </c>
      <c r="C5913" s="3">
        <v>1.6711715214568901</v>
      </c>
      <c r="D5913" s="3">
        <v>0.466462151909596</v>
      </c>
      <c r="E5913" s="3">
        <v>3.5826519142345798</v>
      </c>
      <c r="F5913" s="3">
        <v>3.4012369832215998E-4</v>
      </c>
      <c r="G5913" s="3">
        <v>1.7037854491406699E-3</v>
      </c>
      <c r="H5913" s="3" t="str">
        <f>"YPEL1"</f>
        <v>YPEL1</v>
      </c>
      <c r="I5913" s="3" t="str">
        <f>"protein_coding"</f>
        <v>protein_coding</v>
      </c>
    </row>
    <row r="5914" spans="1:9" x14ac:dyDescent="0.2">
      <c r="A5914" s="3" t="str">
        <f>"ENSG00000274422.1"</f>
        <v>ENSG00000274422.1</v>
      </c>
      <c r="B5914" s="3">
        <v>468.41480647994598</v>
      </c>
      <c r="C5914" s="3">
        <v>1.8859404269065001</v>
      </c>
      <c r="D5914" s="3">
        <v>0.29295448620733899</v>
      </c>
      <c r="E5914" s="3">
        <v>6.4376567545435304</v>
      </c>
      <c r="F5914" s="4">
        <v>1.2133199373376901E-10</v>
      </c>
      <c r="G5914" s="4">
        <v>1.86881449025664E-9</v>
      </c>
      <c r="H5914" s="3" t="str">
        <f>"AC245060.5"</f>
        <v>AC245060.5</v>
      </c>
      <c r="I5914" s="3" t="str">
        <f>"lincRNA"</f>
        <v>lincRNA</v>
      </c>
    </row>
    <row r="5915" spans="1:9" x14ac:dyDescent="0.2">
      <c r="A5915" s="3" t="str">
        <f>"ENSG00000286129.1"</f>
        <v>ENSG00000286129.1</v>
      </c>
      <c r="B5915" s="3">
        <v>120.82966542788</v>
      </c>
      <c r="C5915" s="3">
        <v>1.7877131035289999</v>
      </c>
      <c r="D5915" s="3">
        <v>0.35473479474794101</v>
      </c>
      <c r="E5915" s="3">
        <v>5.03957641031315</v>
      </c>
      <c r="F5915" s="4">
        <v>4.66563328299651E-7</v>
      </c>
      <c r="G5915" s="4">
        <v>4.2388966342716202E-6</v>
      </c>
      <c r="H5915" s="3" t="str">
        <f>"AC245060.7"</f>
        <v>AC245060.7</v>
      </c>
      <c r="I5915" s="3" t="str">
        <f>"processed_transcript"</f>
        <v>processed_transcript</v>
      </c>
    </row>
    <row r="5916" spans="1:9" x14ac:dyDescent="0.2">
      <c r="A5916" s="3" t="str">
        <f>"ENSG00000211645.2"</f>
        <v>ENSG00000211645.2</v>
      </c>
      <c r="B5916" s="3">
        <v>16.9702821667696</v>
      </c>
      <c r="C5916" s="3">
        <v>3.30884958523666</v>
      </c>
      <c r="D5916" s="3">
        <v>0.97038256649203503</v>
      </c>
      <c r="E5916" s="3">
        <v>3.40984030370441</v>
      </c>
      <c r="F5916" s="3">
        <v>6.5000928490616995E-4</v>
      </c>
      <c r="G5916" s="3">
        <v>3.0238693846403302E-3</v>
      </c>
      <c r="H5916" s="3" t="str">
        <f>"IGLV1-50"</f>
        <v>IGLV1-50</v>
      </c>
      <c r="I5916" s="3" t="str">
        <f>"IG_V_gene"</f>
        <v>IG_V_gene</v>
      </c>
    </row>
    <row r="5917" spans="1:9" x14ac:dyDescent="0.2">
      <c r="A5917" s="3" t="str">
        <f>"ENSG00000169548.3"</f>
        <v>ENSG00000169548.3</v>
      </c>
      <c r="B5917" s="3">
        <v>61.116504047826403</v>
      </c>
      <c r="C5917" s="3">
        <v>1.1354585445649501</v>
      </c>
      <c r="D5917" s="3">
        <v>0.46344221544953201</v>
      </c>
      <c r="E5917" s="3">
        <v>2.4500541959984701</v>
      </c>
      <c r="F5917" s="3">
        <v>1.42834714028338E-2</v>
      </c>
      <c r="G5917" s="3">
        <v>4.2814273411772602E-2</v>
      </c>
      <c r="H5917" s="3" t="str">
        <f>"ZNF280A"</f>
        <v>ZNF280A</v>
      </c>
      <c r="I5917" s="3" t="str">
        <f>"protein_coding"</f>
        <v>protein_coding</v>
      </c>
    </row>
    <row r="5918" spans="1:9" x14ac:dyDescent="0.2">
      <c r="A5918" s="3" t="str">
        <f>"ENSG00000186716.20"</f>
        <v>ENSG00000186716.20</v>
      </c>
      <c r="B5918" s="3">
        <v>2591.87734553359</v>
      </c>
      <c r="C5918" s="3">
        <v>-1.0829855988833901</v>
      </c>
      <c r="D5918" s="3">
        <v>0.19960874682688101</v>
      </c>
      <c r="E5918" s="3">
        <v>-5.4255417966360797</v>
      </c>
      <c r="F5918" s="4">
        <v>5.7779006852283598E-8</v>
      </c>
      <c r="G5918" s="4">
        <v>6.1185565476259995E-7</v>
      </c>
      <c r="H5918" s="3" t="str">
        <f>"BCR"</f>
        <v>BCR</v>
      </c>
      <c r="I5918" s="3" t="str">
        <f>"protein_coding"</f>
        <v>protein_coding</v>
      </c>
    </row>
    <row r="5919" spans="1:9" x14ac:dyDescent="0.2">
      <c r="A5919" s="3" t="str">
        <f>"ENSG00000230701.2"</f>
        <v>ENSG00000230701.2</v>
      </c>
      <c r="B5919" s="3">
        <v>75.216593788003294</v>
      </c>
      <c r="C5919" s="3">
        <v>-1.12670892434218</v>
      </c>
      <c r="D5919" s="3">
        <v>0.429971612702791</v>
      </c>
      <c r="E5919" s="3">
        <v>-2.6204263050291101</v>
      </c>
      <c r="F5919" s="3">
        <v>8.7819908764624009E-3</v>
      </c>
      <c r="G5919" s="3">
        <v>2.8571093183399499E-2</v>
      </c>
      <c r="H5919" s="3" t="str">
        <f>"FBXW4P1"</f>
        <v>FBXW4P1</v>
      </c>
      <c r="I5919" s="3" t="str">
        <f>"processed_pseudogene"</f>
        <v>processed_pseudogene</v>
      </c>
    </row>
    <row r="5920" spans="1:9" x14ac:dyDescent="0.2">
      <c r="A5920" s="3" t="str">
        <f>"ENSG00000224277.5"</f>
        <v>ENSG00000224277.5</v>
      </c>
      <c r="B5920" s="3">
        <v>13.875345248949101</v>
      </c>
      <c r="C5920" s="3">
        <v>7.1918994370131699</v>
      </c>
      <c r="D5920" s="3">
        <v>1.6825814773922301</v>
      </c>
      <c r="E5920" s="3">
        <v>4.2743246218065103</v>
      </c>
      <c r="F5920" s="4">
        <v>1.9171754137280401E-5</v>
      </c>
      <c r="G5920" s="3">
        <v>1.2785637072805801E-4</v>
      </c>
      <c r="H5920" s="3" t="str">
        <f>"AP000345.1"</f>
        <v>AP000345.1</v>
      </c>
      <c r="I5920" s="3" t="str">
        <f>"antisense"</f>
        <v>antisense</v>
      </c>
    </row>
    <row r="5921" spans="1:9" x14ac:dyDescent="0.2">
      <c r="A5921" s="3" t="str">
        <f>"ENSG00000189269.12"</f>
        <v>ENSG00000189269.12</v>
      </c>
      <c r="B5921" s="3">
        <v>20.467136456852302</v>
      </c>
      <c r="C5921" s="3">
        <v>2.4836470019513701</v>
      </c>
      <c r="D5921" s="3">
        <v>0.80610488310599504</v>
      </c>
      <c r="E5921" s="3">
        <v>3.0810469629977399</v>
      </c>
      <c r="F5921" s="3">
        <v>2.0627411156304001E-3</v>
      </c>
      <c r="G5921" s="3">
        <v>8.2770782332597E-3</v>
      </c>
      <c r="H5921" s="3" t="str">
        <f>"DRICH1"</f>
        <v>DRICH1</v>
      </c>
      <c r="I5921" s="3" t="str">
        <f>"protein_coding"</f>
        <v>protein_coding</v>
      </c>
    </row>
    <row r="5922" spans="1:9" x14ac:dyDescent="0.2">
      <c r="A5922" s="3" t="str">
        <f>"ENSG00000234353.2"</f>
        <v>ENSG00000234353.2</v>
      </c>
      <c r="B5922" s="3">
        <v>38.360670341357299</v>
      </c>
      <c r="C5922" s="3">
        <v>1.7572382430473099</v>
      </c>
      <c r="D5922" s="3">
        <v>0.58329001086703902</v>
      </c>
      <c r="E5922" s="3">
        <v>3.0126321560611702</v>
      </c>
      <c r="F5922" s="3">
        <v>2.5899263961566702E-3</v>
      </c>
      <c r="G5922" s="3">
        <v>1.0075346161633501E-2</v>
      </c>
      <c r="H5922" s="3" t="str">
        <f>"AP000346.2"</f>
        <v>AP000346.2</v>
      </c>
      <c r="I5922" s="3" t="str">
        <f>"transcribed_unprocessed_pseudogene"</f>
        <v>transcribed_unprocessed_pseudogene</v>
      </c>
    </row>
    <row r="5923" spans="1:9" x14ac:dyDescent="0.2">
      <c r="A5923" s="3" t="str">
        <f>"ENSG00000272578.5"</f>
        <v>ENSG00000272578.5</v>
      </c>
      <c r="B5923" s="3">
        <v>291.06184494896002</v>
      </c>
      <c r="C5923" s="3">
        <v>1.2205000842467799</v>
      </c>
      <c r="D5923" s="3">
        <v>0.26200463400038898</v>
      </c>
      <c r="E5923" s="3">
        <v>4.6583148763886699</v>
      </c>
      <c r="F5923" s="4">
        <v>3.18808318068259E-6</v>
      </c>
      <c r="G5923" s="4">
        <v>2.4954237984503999E-5</v>
      </c>
      <c r="H5923" s="3" t="str">
        <f>"AP000347.1"</f>
        <v>AP000347.1</v>
      </c>
      <c r="I5923" s="3" t="str">
        <f>"transcribed_unprocessed_pseudogene"</f>
        <v>transcribed_unprocessed_pseudogene</v>
      </c>
    </row>
    <row r="5924" spans="1:9" x14ac:dyDescent="0.2">
      <c r="A5924" s="3" t="str">
        <f>"ENSG00000133460.19"</f>
        <v>ENSG00000133460.19</v>
      </c>
      <c r="B5924" s="3">
        <v>422.92597303134698</v>
      </c>
      <c r="C5924" s="3">
        <v>1.5781466019936099</v>
      </c>
      <c r="D5924" s="3">
        <v>0.23260403210220601</v>
      </c>
      <c r="E5924" s="3">
        <v>6.7846915108512498</v>
      </c>
      <c r="F5924" s="4">
        <v>1.1633482199648199E-11</v>
      </c>
      <c r="G5924" s="4">
        <v>2.0371303952044601E-10</v>
      </c>
      <c r="H5924" s="3" t="str">
        <f>"SLC2A11"</f>
        <v>SLC2A11</v>
      </c>
      <c r="I5924" s="3" t="str">
        <f>"protein_coding"</f>
        <v>protein_coding</v>
      </c>
    </row>
    <row r="5925" spans="1:9" x14ac:dyDescent="0.2">
      <c r="A5925" s="3" t="str">
        <f>"ENSG00000240972.2"</f>
        <v>ENSG00000240972.2</v>
      </c>
      <c r="B5925" s="3">
        <v>1950.93472706272</v>
      </c>
      <c r="C5925" s="3">
        <v>-1.6602149827141901</v>
      </c>
      <c r="D5925" s="3">
        <v>0.25025335095687101</v>
      </c>
      <c r="E5925" s="3">
        <v>-6.6341368711594804</v>
      </c>
      <c r="F5925" s="4">
        <v>3.2640684651646402E-11</v>
      </c>
      <c r="G5925" s="4">
        <v>5.4395151969627501E-10</v>
      </c>
      <c r="H5925" s="3" t="str">
        <f>"MIF"</f>
        <v>MIF</v>
      </c>
      <c r="I5925" s="3" t="str">
        <f>"protein_coding"</f>
        <v>protein_coding</v>
      </c>
    </row>
    <row r="5926" spans="1:9" x14ac:dyDescent="0.2">
      <c r="A5926" s="3" t="str">
        <f>"ENSG00000133433.10"</f>
        <v>ENSG00000133433.10</v>
      </c>
      <c r="B5926" s="3">
        <v>59.486033536319901</v>
      </c>
      <c r="C5926" s="3">
        <v>1.3800267370356101</v>
      </c>
      <c r="D5926" s="3">
        <v>0.46240906980001201</v>
      </c>
      <c r="E5926" s="3">
        <v>2.98442834962658</v>
      </c>
      <c r="F5926" s="3">
        <v>2.8410873215334999E-3</v>
      </c>
      <c r="G5926" s="3">
        <v>1.09137327294266E-2</v>
      </c>
      <c r="H5926" s="3" t="str">
        <f>"GSTT2B"</f>
        <v>GSTT2B</v>
      </c>
      <c r="I5926" s="3" t="str">
        <f>"protein_coding"</f>
        <v>protein_coding</v>
      </c>
    </row>
    <row r="5927" spans="1:9" x14ac:dyDescent="0.2">
      <c r="A5927" s="3" t="str">
        <f>"ENSG00000276950.5"</f>
        <v>ENSG00000276950.5</v>
      </c>
      <c r="B5927" s="3">
        <v>78.363546569609994</v>
      </c>
      <c r="C5927" s="3">
        <v>-2.2124660175458599</v>
      </c>
      <c r="D5927" s="3">
        <v>0.428537373386908</v>
      </c>
      <c r="E5927" s="3">
        <v>-5.1628309569824102</v>
      </c>
      <c r="F5927" s="4">
        <v>2.4324278767137001E-7</v>
      </c>
      <c r="G5927" s="4">
        <v>2.3133110770268101E-6</v>
      </c>
      <c r="H5927" s="3" t="str">
        <f>"GSTT4"</f>
        <v>GSTT4</v>
      </c>
      <c r="I5927" s="3" t="str">
        <f>"protein_coding"</f>
        <v>protein_coding</v>
      </c>
    </row>
    <row r="5928" spans="1:9" x14ac:dyDescent="0.2">
      <c r="A5928" s="3" t="str">
        <f>"ENSG00000235689.1"</f>
        <v>ENSG00000235689.1</v>
      </c>
      <c r="B5928" s="3">
        <v>62.118068962454799</v>
      </c>
      <c r="C5928" s="3">
        <v>-2.09176179720503</v>
      </c>
      <c r="D5928" s="3">
        <v>0.46754378902506599</v>
      </c>
      <c r="E5928" s="3">
        <v>-4.4739377279865602</v>
      </c>
      <c r="F5928" s="4">
        <v>7.6792114657142094E-6</v>
      </c>
      <c r="G5928" s="4">
        <v>5.5811009550897601E-5</v>
      </c>
      <c r="H5928" s="3" t="str">
        <f>"AC253536.4"</f>
        <v>AC253536.4</v>
      </c>
      <c r="I5928" s="3" t="str">
        <f>"unprocessed_pseudogene"</f>
        <v>unprocessed_pseudogene</v>
      </c>
    </row>
    <row r="5929" spans="1:9" x14ac:dyDescent="0.2">
      <c r="A5929" s="3" t="str">
        <f>"ENSG00000128271.22"</f>
        <v>ENSG00000128271.22</v>
      </c>
      <c r="B5929" s="3">
        <v>31.907710530948201</v>
      </c>
      <c r="C5929" s="3">
        <v>-2.2276301954331501</v>
      </c>
      <c r="D5929" s="3">
        <v>0.64511904728056302</v>
      </c>
      <c r="E5929" s="3">
        <v>-3.4530528974822801</v>
      </c>
      <c r="F5929" s="3">
        <v>5.5428029934498596E-4</v>
      </c>
      <c r="G5929" s="3">
        <v>2.6246915739055999E-3</v>
      </c>
      <c r="H5929" s="3" t="str">
        <f>"ADORA2A"</f>
        <v>ADORA2A</v>
      </c>
      <c r="I5929" s="3" t="str">
        <f>"protein_coding"</f>
        <v>protein_coding</v>
      </c>
    </row>
    <row r="5930" spans="1:9" x14ac:dyDescent="0.2">
      <c r="A5930" s="3" t="str">
        <f>"ENSG00000100024.14"</f>
        <v>ENSG00000100024.14</v>
      </c>
      <c r="B5930" s="3">
        <v>49.164693557902602</v>
      </c>
      <c r="C5930" s="3">
        <v>-1.4235354731854899</v>
      </c>
      <c r="D5930" s="3">
        <v>0.53622786764382602</v>
      </c>
      <c r="E5930" s="3">
        <v>-2.6547211718788</v>
      </c>
      <c r="F5930" s="3">
        <v>7.9373986966310203E-3</v>
      </c>
      <c r="G5930" s="3">
        <v>2.62114428360843E-2</v>
      </c>
      <c r="H5930" s="3" t="str">
        <f>"UPB1"</f>
        <v>UPB1</v>
      </c>
      <c r="I5930" s="3" t="str">
        <f>"protein_coding"</f>
        <v>protein_coding</v>
      </c>
    </row>
    <row r="5931" spans="1:9" x14ac:dyDescent="0.2">
      <c r="A5931" s="3" t="str">
        <f>"ENSG00000100053.10"</f>
        <v>ENSG00000100053.10</v>
      </c>
      <c r="B5931" s="3">
        <v>59.532452769338498</v>
      </c>
      <c r="C5931" s="3">
        <v>1.4725764987283401</v>
      </c>
      <c r="D5931" s="3">
        <v>0.46862981002603399</v>
      </c>
      <c r="E5931" s="3">
        <v>3.1423022334975399</v>
      </c>
      <c r="F5931" s="3">
        <v>1.6762490947231699E-3</v>
      </c>
      <c r="G5931" s="3">
        <v>6.9348252480902102E-3</v>
      </c>
      <c r="H5931" s="3" t="str">
        <f>"CRYBB3"</f>
        <v>CRYBB3</v>
      </c>
      <c r="I5931" s="3" t="str">
        <f>"protein_coding"</f>
        <v>protein_coding</v>
      </c>
    </row>
    <row r="5932" spans="1:9" x14ac:dyDescent="0.2">
      <c r="A5932" s="3" t="str">
        <f>"ENSG00000272942.1"</f>
        <v>ENSG00000272942.1</v>
      </c>
      <c r="B5932" s="3">
        <v>23.149390200229799</v>
      </c>
      <c r="C5932" s="3">
        <v>-2.1167598689971299</v>
      </c>
      <c r="D5932" s="3">
        <v>0.75297567802538101</v>
      </c>
      <c r="E5932" s="3">
        <v>-2.8111928854703101</v>
      </c>
      <c r="F5932" s="3">
        <v>4.9358186369093601E-3</v>
      </c>
      <c r="G5932" s="3">
        <v>1.7538634637437302E-2</v>
      </c>
      <c r="H5932" s="3" t="str">
        <f>"AL022324.3"</f>
        <v>AL022324.3</v>
      </c>
      <c r="I5932" s="3" t="str">
        <f>"lincRNA"</f>
        <v>lincRNA</v>
      </c>
    </row>
    <row r="5933" spans="1:9" x14ac:dyDescent="0.2">
      <c r="A5933" s="3" t="str">
        <f>"ENSG00000271138.1"</f>
        <v>ENSG00000271138.1</v>
      </c>
      <c r="B5933" s="3">
        <v>15.704619396411999</v>
      </c>
      <c r="C5933" s="3">
        <v>-3.1496172448693298</v>
      </c>
      <c r="D5933" s="3">
        <v>1.0480200918912499</v>
      </c>
      <c r="E5933" s="3">
        <v>-3.0053023498676801</v>
      </c>
      <c r="F5933" s="3">
        <v>2.6531696881280501E-3</v>
      </c>
      <c r="G5933" s="3">
        <v>1.02782193382803E-2</v>
      </c>
      <c r="H5933" s="3" t="str">
        <f>"IGLVIVOR22-1"</f>
        <v>IGLVIVOR22-1</v>
      </c>
      <c r="I5933" s="3" t="str">
        <f>"IG_V_pseudogene"</f>
        <v>IG_V_pseudogene</v>
      </c>
    </row>
    <row r="5934" spans="1:9" x14ac:dyDescent="0.2">
      <c r="A5934" s="3" t="str">
        <f>"ENSG00000224003.1"</f>
        <v>ENSG00000224003.1</v>
      </c>
      <c r="B5934" s="3">
        <v>61.190302585168702</v>
      </c>
      <c r="C5934" s="3">
        <v>1.8346645946023901</v>
      </c>
      <c r="D5934" s="3">
        <v>0.48859109862160699</v>
      </c>
      <c r="E5934" s="3">
        <v>3.7550102729629602</v>
      </c>
      <c r="F5934" s="3">
        <v>1.73334368663618E-4</v>
      </c>
      <c r="G5934" s="3">
        <v>9.3688584466923401E-4</v>
      </c>
      <c r="H5934" s="3" t="str">
        <f>"YES1P1"</f>
        <v>YES1P1</v>
      </c>
      <c r="I5934" s="3" t="str">
        <f>"processed_pseudogene"</f>
        <v>processed_pseudogene</v>
      </c>
    </row>
    <row r="5935" spans="1:9" x14ac:dyDescent="0.2">
      <c r="A5935" s="3" t="str">
        <f>"ENSG00000100095.19"</f>
        <v>ENSG00000100095.19</v>
      </c>
      <c r="B5935" s="3">
        <v>4.2939624891008599</v>
      </c>
      <c r="C5935" s="3">
        <v>5.4978614945687996</v>
      </c>
      <c r="D5935" s="3">
        <v>2.1119244238519399</v>
      </c>
      <c r="E5935" s="3">
        <v>2.6032472717661199</v>
      </c>
      <c r="F5935" s="3">
        <v>9.2345323669644607E-3</v>
      </c>
      <c r="G5935" s="3">
        <v>2.9695893237658502E-2</v>
      </c>
      <c r="H5935" s="3" t="str">
        <f>"SEZ6L"</f>
        <v>SEZ6L</v>
      </c>
      <c r="I5935" s="3" t="str">
        <f>"protein_coding"</f>
        <v>protein_coding</v>
      </c>
    </row>
    <row r="5936" spans="1:9" x14ac:dyDescent="0.2">
      <c r="A5936" s="3" t="str">
        <f>"ENSG00000225783.7"</f>
        <v>ENSG00000225783.7</v>
      </c>
      <c r="B5936" s="3">
        <v>16.4813577532396</v>
      </c>
      <c r="C5936" s="3">
        <v>4.94994548955205</v>
      </c>
      <c r="D5936" s="3">
        <v>1.2799147878063499</v>
      </c>
      <c r="E5936" s="3">
        <v>3.8674023745250699</v>
      </c>
      <c r="F5936" s="3">
        <v>1.10000842759708E-4</v>
      </c>
      <c r="G5936" s="3">
        <v>6.2376544488527801E-4</v>
      </c>
      <c r="H5936" s="3" t="str">
        <f>"MIAT"</f>
        <v>MIAT</v>
      </c>
      <c r="I5936" s="3" t="str">
        <f>"lincRNA"</f>
        <v>lincRNA</v>
      </c>
    </row>
    <row r="5937" spans="1:9" x14ac:dyDescent="0.2">
      <c r="A5937" s="3" t="str">
        <f>"ENSG00000169184.6"</f>
        <v>ENSG00000169184.6</v>
      </c>
      <c r="B5937" s="3">
        <v>20.3523671927762</v>
      </c>
      <c r="C5937" s="3">
        <v>2.7780035223173001</v>
      </c>
      <c r="D5937" s="3">
        <v>0.83594473985867601</v>
      </c>
      <c r="E5937" s="3">
        <v>3.3231903855115399</v>
      </c>
      <c r="F5937" s="3">
        <v>8.8994153402194298E-4</v>
      </c>
      <c r="G5937" s="3">
        <v>3.9803409352422697E-3</v>
      </c>
      <c r="H5937" s="3" t="str">
        <f>"MN1"</f>
        <v>MN1</v>
      </c>
      <c r="I5937" s="3" t="str">
        <f>"protein_coding"</f>
        <v>protein_coding</v>
      </c>
    </row>
    <row r="5938" spans="1:9" x14ac:dyDescent="0.2">
      <c r="A5938" s="3" t="str">
        <f>"ENSG00000100154.14"</f>
        <v>ENSG00000100154.14</v>
      </c>
      <c r="B5938" s="3">
        <v>2286.9264810920399</v>
      </c>
      <c r="C5938" s="3">
        <v>-1.4620139567002499</v>
      </c>
      <c r="D5938" s="3">
        <v>0.194491721654864</v>
      </c>
      <c r="E5938" s="3">
        <v>-7.5171012126401804</v>
      </c>
      <c r="F5938" s="4">
        <v>5.6004062023046901E-14</v>
      </c>
      <c r="G5938" s="4">
        <v>1.27480591306763E-12</v>
      </c>
      <c r="H5938" s="3" t="str">
        <f>"TTC28"</f>
        <v>TTC28</v>
      </c>
      <c r="I5938" s="3" t="str">
        <f>"protein_coding"</f>
        <v>protein_coding</v>
      </c>
    </row>
    <row r="5939" spans="1:9" x14ac:dyDescent="0.2">
      <c r="A5939" s="3" t="str">
        <f>"ENSG00000100219.16"</f>
        <v>ENSG00000100219.16</v>
      </c>
      <c r="B5939" s="3">
        <v>6401.4864363903198</v>
      </c>
      <c r="C5939" s="3">
        <v>-1.4594080794717601</v>
      </c>
      <c r="D5939" s="3">
        <v>0.176523786718735</v>
      </c>
      <c r="E5939" s="3">
        <v>-8.2674868163637996</v>
      </c>
      <c r="F5939" s="4">
        <v>1.36812365517158E-16</v>
      </c>
      <c r="G5939" s="4">
        <v>3.9446841515830798E-15</v>
      </c>
      <c r="H5939" s="3" t="str">
        <f>"XBP1"</f>
        <v>XBP1</v>
      </c>
      <c r="I5939" s="3" t="str">
        <f>"protein_coding"</f>
        <v>protein_coding</v>
      </c>
    </row>
    <row r="5940" spans="1:9" x14ac:dyDescent="0.2">
      <c r="A5940" s="3" t="str">
        <f>"ENSG00000226471.6"</f>
        <v>ENSG00000226471.6</v>
      </c>
      <c r="B5940" s="3">
        <v>100.43652538723499</v>
      </c>
      <c r="C5940" s="3">
        <v>-1.47377866365541</v>
      </c>
      <c r="D5940" s="3">
        <v>0.37892641700553098</v>
      </c>
      <c r="E5940" s="3">
        <v>-3.8893531765400899</v>
      </c>
      <c r="F5940" s="3">
        <v>1.00511755705769E-4</v>
      </c>
      <c r="G5940" s="3">
        <v>5.7546623402292198E-4</v>
      </c>
      <c r="H5940" s="3" t="str">
        <f>"Z93930.2"</f>
        <v>Z93930.2</v>
      </c>
      <c r="I5940" s="3" t="str">
        <f>"antisense"</f>
        <v>antisense</v>
      </c>
    </row>
    <row r="5941" spans="1:9" x14ac:dyDescent="0.2">
      <c r="A5941" s="3" t="str">
        <f>"ENSG00000177993.3"</f>
        <v>ENSG00000177993.3</v>
      </c>
      <c r="B5941" s="3">
        <v>7.9209459377409601</v>
      </c>
      <c r="C5941" s="3">
        <v>3.8515640559895501</v>
      </c>
      <c r="D5941" s="3">
        <v>1.5227867050085</v>
      </c>
      <c r="E5941" s="3">
        <v>2.5292866317532301</v>
      </c>
      <c r="F5941" s="3">
        <v>1.14294644218272E-2</v>
      </c>
      <c r="G5941" s="3">
        <v>3.5553095120189997E-2</v>
      </c>
      <c r="H5941" s="3" t="str">
        <f>"ZNRF3-AS1"</f>
        <v>ZNRF3-AS1</v>
      </c>
      <c r="I5941" s="3" t="str">
        <f>"antisense"</f>
        <v>antisense</v>
      </c>
    </row>
    <row r="5942" spans="1:9" x14ac:dyDescent="0.2">
      <c r="A5942" s="3" t="str">
        <f>"ENSG00000186575.17"</f>
        <v>ENSG00000186575.17</v>
      </c>
      <c r="B5942" s="3">
        <v>2696.3727978422398</v>
      </c>
      <c r="C5942" s="3">
        <v>-1.25830968460876</v>
      </c>
      <c r="D5942" s="3">
        <v>0.19943538809757999</v>
      </c>
      <c r="E5942" s="3">
        <v>-6.3093601221518698</v>
      </c>
      <c r="F5942" s="4">
        <v>2.8019146826703002E-10</v>
      </c>
      <c r="G5942" s="4">
        <v>4.0760154489438098E-9</v>
      </c>
      <c r="H5942" s="3" t="str">
        <f>"NF2"</f>
        <v>NF2</v>
      </c>
      <c r="I5942" s="3" t="str">
        <f>"protein_coding"</f>
        <v>protein_coding</v>
      </c>
    </row>
    <row r="5943" spans="1:9" x14ac:dyDescent="0.2">
      <c r="A5943" s="3" t="str">
        <f>"ENSG00000279159.1"</f>
        <v>ENSG00000279159.1</v>
      </c>
      <c r="B5943" s="3">
        <v>17.360555544375199</v>
      </c>
      <c r="C5943" s="3">
        <v>2.5173856019749201</v>
      </c>
      <c r="D5943" s="3">
        <v>0.89164792533608395</v>
      </c>
      <c r="E5943" s="3">
        <v>2.8232955300446201</v>
      </c>
      <c r="F5943" s="3">
        <v>4.75327344168583E-3</v>
      </c>
      <c r="G5943" s="3">
        <v>1.70030775194451E-2</v>
      </c>
      <c r="H5943" s="3" t="str">
        <f>"AC003681.1"</f>
        <v>AC003681.1</v>
      </c>
      <c r="I5943" s="3" t="str">
        <f>"antisense"</f>
        <v>antisense</v>
      </c>
    </row>
    <row r="5944" spans="1:9" x14ac:dyDescent="0.2">
      <c r="A5944" s="3" t="str">
        <f>"ENSG00000176635.17"</f>
        <v>ENSG00000176635.17</v>
      </c>
      <c r="B5944" s="3">
        <v>4.0735280698875203</v>
      </c>
      <c r="C5944" s="3">
        <v>5.4212402584095702</v>
      </c>
      <c r="D5944" s="3">
        <v>2.1434463209324499</v>
      </c>
      <c r="E5944" s="3">
        <v>2.52921671304146</v>
      </c>
      <c r="F5944" s="3">
        <v>1.1431741709104999E-2</v>
      </c>
      <c r="G5944" s="3">
        <v>3.5553095120189997E-2</v>
      </c>
      <c r="H5944" s="3" t="str">
        <f>"HORMAD2"</f>
        <v>HORMAD2</v>
      </c>
      <c r="I5944" s="3" t="str">
        <f>"protein_coding"</f>
        <v>protein_coding</v>
      </c>
    </row>
    <row r="5945" spans="1:9" x14ac:dyDescent="0.2">
      <c r="A5945" s="3" t="str">
        <f>"ENSG00000268812.3"</f>
        <v>ENSG00000268812.3</v>
      </c>
      <c r="B5945" s="3">
        <v>60.474805816598803</v>
      </c>
      <c r="C5945" s="3">
        <v>1.7037017791698199</v>
      </c>
      <c r="D5945" s="3">
        <v>0.47519949871205203</v>
      </c>
      <c r="E5945" s="3">
        <v>3.5852347988316802</v>
      </c>
      <c r="F5945" s="3">
        <v>3.36775075837583E-4</v>
      </c>
      <c r="G5945" s="3">
        <v>1.68794196872219E-3</v>
      </c>
      <c r="H5945" s="3" t="str">
        <f>"AC004264.1"</f>
        <v>AC004264.1</v>
      </c>
      <c r="I5945" s="3" t="str">
        <f>"antisense"</f>
        <v>antisense</v>
      </c>
    </row>
    <row r="5946" spans="1:9" x14ac:dyDescent="0.2">
      <c r="A5946" s="3" t="str">
        <f>"ENSG00000100003.18"</f>
        <v>ENSG00000100003.18</v>
      </c>
      <c r="B5946" s="3">
        <v>274.05662423364402</v>
      </c>
      <c r="C5946" s="3">
        <v>1.6209598270990699</v>
      </c>
      <c r="D5946" s="3">
        <v>0.28249720175808801</v>
      </c>
      <c r="E5946" s="3">
        <v>5.7379677285694202</v>
      </c>
      <c r="F5946" s="4">
        <v>9.5819367766848597E-9</v>
      </c>
      <c r="G5946" s="4">
        <v>1.1395854707740399E-7</v>
      </c>
      <c r="H5946" s="3" t="str">
        <f>"SEC14L2"</f>
        <v>SEC14L2</v>
      </c>
      <c r="I5946" s="3" t="str">
        <f t="shared" ref="I5946:I5952" si="257">"protein_coding"</f>
        <v>protein_coding</v>
      </c>
    </row>
    <row r="5947" spans="1:9" x14ac:dyDescent="0.2">
      <c r="A5947" s="3" t="str">
        <f>"ENSG00000100036.13"</f>
        <v>ENSG00000100036.13</v>
      </c>
      <c r="B5947" s="3">
        <v>72.046587186351502</v>
      </c>
      <c r="C5947" s="3">
        <v>3.6216993052040198</v>
      </c>
      <c r="D5947" s="3">
        <v>0.52065663178055099</v>
      </c>
      <c r="E5947" s="3">
        <v>6.95602261478638</v>
      </c>
      <c r="F5947" s="4">
        <v>3.50013700314251E-12</v>
      </c>
      <c r="G5947" s="4">
        <v>6.4744217871435201E-11</v>
      </c>
      <c r="H5947" s="3" t="str">
        <f>"SLC35E4"</f>
        <v>SLC35E4</v>
      </c>
      <c r="I5947" s="3" t="str">
        <f t="shared" si="257"/>
        <v>protein_coding</v>
      </c>
    </row>
    <row r="5948" spans="1:9" x14ac:dyDescent="0.2">
      <c r="A5948" s="3" t="str">
        <f>"ENSG00000183963.18"</f>
        <v>ENSG00000183963.18</v>
      </c>
      <c r="B5948" s="3">
        <v>1996.0645686400401</v>
      </c>
      <c r="C5948" s="3">
        <v>1.1304035274437301</v>
      </c>
      <c r="D5948" s="3">
        <v>0.209664302026566</v>
      </c>
      <c r="E5948" s="3">
        <v>5.3914925741650501</v>
      </c>
      <c r="F5948" s="4">
        <v>6.9874847290247694E-8</v>
      </c>
      <c r="G5948" s="4">
        <v>7.2945592494918804E-7</v>
      </c>
      <c r="H5948" s="3" t="str">
        <f>"SMTN"</f>
        <v>SMTN</v>
      </c>
      <c r="I5948" s="3" t="str">
        <f t="shared" si="257"/>
        <v>protein_coding</v>
      </c>
    </row>
    <row r="5949" spans="1:9" x14ac:dyDescent="0.2">
      <c r="A5949" s="3" t="str">
        <f>"ENSG00000198832.10"</f>
        <v>ENSG00000198832.10</v>
      </c>
      <c r="B5949" s="3">
        <v>60.854953397052498</v>
      </c>
      <c r="C5949" s="3">
        <v>-3.0791895089365799</v>
      </c>
      <c r="D5949" s="3">
        <v>0.52477104709131395</v>
      </c>
      <c r="E5949" s="3">
        <v>-5.86768177475457</v>
      </c>
      <c r="F5949" s="4">
        <v>4.4193039711437E-9</v>
      </c>
      <c r="G5949" s="4">
        <v>5.52098923896159E-8</v>
      </c>
      <c r="H5949" s="3" t="str">
        <f>"SELENOM"</f>
        <v>SELENOM</v>
      </c>
      <c r="I5949" s="3" t="str">
        <f t="shared" si="257"/>
        <v>protein_coding</v>
      </c>
    </row>
    <row r="5950" spans="1:9" x14ac:dyDescent="0.2">
      <c r="A5950" s="3" t="str">
        <f>"ENSG00000100100.12"</f>
        <v>ENSG00000100100.12</v>
      </c>
      <c r="B5950" s="3">
        <v>101.643703710227</v>
      </c>
      <c r="C5950" s="3">
        <v>2.2381369630303798</v>
      </c>
      <c r="D5950" s="3">
        <v>0.41402129558953299</v>
      </c>
      <c r="E5950" s="3">
        <v>5.4058498605571801</v>
      </c>
      <c r="F5950" s="4">
        <v>6.4501811631968298E-8</v>
      </c>
      <c r="G5950" s="4">
        <v>6.7725659404094096E-7</v>
      </c>
      <c r="H5950" s="3" t="str">
        <f>"PIK3IP1"</f>
        <v>PIK3IP1</v>
      </c>
      <c r="I5950" s="3" t="str">
        <f t="shared" si="257"/>
        <v>protein_coding</v>
      </c>
    </row>
    <row r="5951" spans="1:9" x14ac:dyDescent="0.2">
      <c r="A5951" s="3" t="str">
        <f>"ENSG00000100105.18"</f>
        <v>ENSG00000100105.18</v>
      </c>
      <c r="B5951" s="3">
        <v>2120.3143688181799</v>
      </c>
      <c r="C5951" s="3">
        <v>-1.1054657467574001</v>
      </c>
      <c r="D5951" s="3">
        <v>0.200555473999567</v>
      </c>
      <c r="E5951" s="3">
        <v>-5.51201981532442</v>
      </c>
      <c r="F5951" s="4">
        <v>3.5473897079529598E-8</v>
      </c>
      <c r="G5951" s="4">
        <v>3.88643857549635E-7</v>
      </c>
      <c r="H5951" s="3" t="str">
        <f>"PATZ1"</f>
        <v>PATZ1</v>
      </c>
      <c r="I5951" s="3" t="str">
        <f t="shared" si="257"/>
        <v>protein_coding</v>
      </c>
    </row>
    <row r="5952" spans="1:9" x14ac:dyDescent="0.2">
      <c r="A5952" s="3" t="str">
        <f>"ENSG00000100150.18"</f>
        <v>ENSG00000100150.18</v>
      </c>
      <c r="B5952" s="3">
        <v>1106.23137559834</v>
      </c>
      <c r="C5952" s="3">
        <v>1.72191732353613</v>
      </c>
      <c r="D5952" s="3">
        <v>0.19934747766906599</v>
      </c>
      <c r="E5952" s="3">
        <v>8.6377683012105404</v>
      </c>
      <c r="F5952" s="4">
        <v>5.7321722034030798E-18</v>
      </c>
      <c r="G5952" s="4">
        <v>1.84833723107839E-16</v>
      </c>
      <c r="H5952" s="3" t="str">
        <f>"DEPDC5"</f>
        <v>DEPDC5</v>
      </c>
      <c r="I5952" s="3" t="str">
        <f t="shared" si="257"/>
        <v>protein_coding</v>
      </c>
    </row>
    <row r="5953" spans="1:9" x14ac:dyDescent="0.2">
      <c r="A5953" s="3" t="str">
        <f>"ENSG00000242251.3"</f>
        <v>ENSG00000242251.3</v>
      </c>
      <c r="B5953" s="3">
        <v>14.745818097980999</v>
      </c>
      <c r="C5953" s="3">
        <v>2.6253368861187298</v>
      </c>
      <c r="D5953" s="3">
        <v>0.97412030705965902</v>
      </c>
      <c r="E5953" s="3">
        <v>2.6950848546040498</v>
      </c>
      <c r="F5953" s="3">
        <v>7.03707076651217E-3</v>
      </c>
      <c r="G5953" s="3">
        <v>2.3724210241915001E-2</v>
      </c>
      <c r="H5953" s="3" t="str">
        <f>"RN7SL20P"</f>
        <v>RN7SL20P</v>
      </c>
      <c r="I5953" s="3" t="str">
        <f>"misc_RNA"</f>
        <v>misc_RNA</v>
      </c>
    </row>
    <row r="5954" spans="1:9" x14ac:dyDescent="0.2">
      <c r="A5954" s="3" t="str">
        <f>"ENSG00000100170.9"</f>
        <v>ENSG00000100170.9</v>
      </c>
      <c r="B5954" s="3">
        <v>4.6623551179140703</v>
      </c>
      <c r="C5954" s="3">
        <v>5.61968301665675</v>
      </c>
      <c r="D5954" s="3">
        <v>2.07268783865596</v>
      </c>
      <c r="E5954" s="3">
        <v>2.7113021613041601</v>
      </c>
      <c r="F5954" s="3">
        <v>6.7019521803354997E-3</v>
      </c>
      <c r="G5954" s="3">
        <v>2.27181004052751E-2</v>
      </c>
      <c r="H5954" s="3" t="str">
        <f>"SLC5A1"</f>
        <v>SLC5A1</v>
      </c>
      <c r="I5954" s="3" t="str">
        <f>"protein_coding"</f>
        <v>protein_coding</v>
      </c>
    </row>
    <row r="5955" spans="1:9" x14ac:dyDescent="0.2">
      <c r="A5955" s="3" t="str">
        <f>"ENSG00000185666.14"</f>
        <v>ENSG00000185666.14</v>
      </c>
      <c r="B5955" s="3">
        <v>273.66497072086702</v>
      </c>
      <c r="C5955" s="3">
        <v>-1.1835166780889199</v>
      </c>
      <c r="D5955" s="3">
        <v>0.26110690983763202</v>
      </c>
      <c r="E5955" s="3">
        <v>-4.5326899959288296</v>
      </c>
      <c r="F5955" s="4">
        <v>5.8237253262490899E-6</v>
      </c>
      <c r="G5955" s="4">
        <v>4.3354930044893101E-5</v>
      </c>
      <c r="H5955" s="3" t="str">
        <f>"SYN3"</f>
        <v>SYN3</v>
      </c>
      <c r="I5955" s="3" t="str">
        <f>"protein_coding"</f>
        <v>protein_coding</v>
      </c>
    </row>
    <row r="5956" spans="1:9" x14ac:dyDescent="0.2">
      <c r="A5956" s="3" t="str">
        <f>"ENSG00000232081.1"</f>
        <v>ENSG00000232081.1</v>
      </c>
      <c r="B5956" s="3">
        <v>39.357264020106797</v>
      </c>
      <c r="C5956" s="3">
        <v>1.4941934142554101</v>
      </c>
      <c r="D5956" s="3">
        <v>0.57400673482331999</v>
      </c>
      <c r="E5956" s="3">
        <v>2.60309387260991</v>
      </c>
      <c r="F5956" s="3">
        <v>9.2386653669309093E-3</v>
      </c>
      <c r="G5956" s="3">
        <v>2.9705677985929501E-2</v>
      </c>
      <c r="H5956" s="3" t="str">
        <f>"LARGE-IT1"</f>
        <v>LARGE-IT1</v>
      </c>
      <c r="I5956" s="3" t="str">
        <f>"sense_intronic"</f>
        <v>sense_intronic</v>
      </c>
    </row>
    <row r="5957" spans="1:9" x14ac:dyDescent="0.2">
      <c r="A5957" s="3" t="str">
        <f>"ENSG00000175329.12"</f>
        <v>ENSG00000175329.12</v>
      </c>
      <c r="B5957" s="3">
        <v>63.757566173406801</v>
      </c>
      <c r="C5957" s="3">
        <v>-3.36743592702281</v>
      </c>
      <c r="D5957" s="3">
        <v>0.52356216505906705</v>
      </c>
      <c r="E5957" s="3">
        <v>-6.4317785962301199</v>
      </c>
      <c r="F5957" s="4">
        <v>1.2611935978488901E-10</v>
      </c>
      <c r="G5957" s="4">
        <v>1.9348953806637699E-9</v>
      </c>
      <c r="H5957" s="3" t="str">
        <f>"ISX"</f>
        <v>ISX</v>
      </c>
      <c r="I5957" s="3" t="str">
        <f t="shared" ref="I5957:I5974" si="258">"protein_coding"</f>
        <v>protein_coding</v>
      </c>
    </row>
    <row r="5958" spans="1:9" x14ac:dyDescent="0.2">
      <c r="A5958" s="3" t="str">
        <f>"ENSG00000100297.16"</f>
        <v>ENSG00000100297.16</v>
      </c>
      <c r="B5958" s="3">
        <v>2615.96311914239</v>
      </c>
      <c r="C5958" s="3">
        <v>-1.3290662123036501</v>
      </c>
      <c r="D5958" s="3">
        <v>0.20507968537511201</v>
      </c>
      <c r="E5958" s="3">
        <v>-6.4807306968149998</v>
      </c>
      <c r="F5958" s="4">
        <v>9.1279469160578702E-11</v>
      </c>
      <c r="G5958" s="4">
        <v>1.42854204262969E-9</v>
      </c>
      <c r="H5958" s="3" t="str">
        <f>"MCM5"</f>
        <v>MCM5</v>
      </c>
      <c r="I5958" s="3" t="str">
        <f t="shared" si="258"/>
        <v>protein_coding</v>
      </c>
    </row>
    <row r="5959" spans="1:9" x14ac:dyDescent="0.2">
      <c r="A5959" s="3" t="str">
        <f>"ENSG00000198125.13"</f>
        <v>ENSG00000198125.13</v>
      </c>
      <c r="B5959" s="3">
        <v>5.0639800611611197</v>
      </c>
      <c r="C5959" s="3">
        <v>5.7344144815604299</v>
      </c>
      <c r="D5959" s="3">
        <v>2.0295138375163799</v>
      </c>
      <c r="E5959" s="3">
        <v>2.8255113986204301</v>
      </c>
      <c r="F5959" s="3">
        <v>4.7205208416510897E-3</v>
      </c>
      <c r="G5959" s="3">
        <v>1.6903670833548101E-2</v>
      </c>
      <c r="H5959" s="3" t="str">
        <f>"MB"</f>
        <v>MB</v>
      </c>
      <c r="I5959" s="3" t="str">
        <f t="shared" si="258"/>
        <v>protein_coding</v>
      </c>
    </row>
    <row r="5960" spans="1:9" x14ac:dyDescent="0.2">
      <c r="A5960" s="3" t="str">
        <f>"ENSG00000221963.6"</f>
        <v>ENSG00000221963.6</v>
      </c>
      <c r="B5960" s="3">
        <v>505.43386408721699</v>
      </c>
      <c r="C5960" s="3">
        <v>-1.40072235107751</v>
      </c>
      <c r="D5960" s="3">
        <v>0.22410577962806599</v>
      </c>
      <c r="E5960" s="3">
        <v>-6.2502732120617397</v>
      </c>
      <c r="F5960" s="4">
        <v>4.0973529543372001E-10</v>
      </c>
      <c r="G5960" s="4">
        <v>5.8297950886070801E-9</v>
      </c>
      <c r="H5960" s="3" t="str">
        <f>"APOL6"</f>
        <v>APOL6</v>
      </c>
      <c r="I5960" s="3" t="str">
        <f t="shared" si="258"/>
        <v>protein_coding</v>
      </c>
    </row>
    <row r="5961" spans="1:9" x14ac:dyDescent="0.2">
      <c r="A5961" s="3" t="str">
        <f>"ENSG00000128284.19"</f>
        <v>ENSG00000128284.19</v>
      </c>
      <c r="B5961" s="3">
        <v>95.792888892757503</v>
      </c>
      <c r="C5961" s="3">
        <v>1.7941513762130401</v>
      </c>
      <c r="D5961" s="3">
        <v>0.39386591990391201</v>
      </c>
      <c r="E5961" s="3">
        <v>4.5552338639777403</v>
      </c>
      <c r="F5961" s="4">
        <v>5.23273283597233E-6</v>
      </c>
      <c r="G5961" s="4">
        <v>3.9385710381695603E-5</v>
      </c>
      <c r="H5961" s="3" t="str">
        <f>"APOL3"</f>
        <v>APOL3</v>
      </c>
      <c r="I5961" s="3" t="str">
        <f t="shared" si="258"/>
        <v>protein_coding</v>
      </c>
    </row>
    <row r="5962" spans="1:9" x14ac:dyDescent="0.2">
      <c r="A5962" s="3" t="str">
        <f>"ENSG00000128335.14"</f>
        <v>ENSG00000128335.14</v>
      </c>
      <c r="B5962" s="3">
        <v>1369.01398109618</v>
      </c>
      <c r="C5962" s="3">
        <v>-1.3770842141058599</v>
      </c>
      <c r="D5962" s="3">
        <v>0.197840049614802</v>
      </c>
      <c r="E5962" s="3">
        <v>-6.9605937563555704</v>
      </c>
      <c r="F5962" s="4">
        <v>3.38841567666429E-12</v>
      </c>
      <c r="G5962" s="4">
        <v>6.2762856520783006E-11</v>
      </c>
      <c r="H5962" s="3" t="str">
        <f>"APOL2"</f>
        <v>APOL2</v>
      </c>
      <c r="I5962" s="3" t="str">
        <f t="shared" si="258"/>
        <v>protein_coding</v>
      </c>
    </row>
    <row r="5963" spans="1:9" x14ac:dyDescent="0.2">
      <c r="A5963" s="3" t="str">
        <f>"ENSG00000100342.20"</f>
        <v>ENSG00000100342.20</v>
      </c>
      <c r="B5963" s="3">
        <v>353.47985648564998</v>
      </c>
      <c r="C5963" s="3">
        <v>-3.1166262927658299</v>
      </c>
      <c r="D5963" s="3">
        <v>0.27425126286325802</v>
      </c>
      <c r="E5963" s="3">
        <v>-11.364127407208301</v>
      </c>
      <c r="F5963" s="4">
        <v>6.3091757086283402E-30</v>
      </c>
      <c r="G5963" s="4">
        <v>4.8976099866950498E-28</v>
      </c>
      <c r="H5963" s="3" t="str">
        <f>"APOL1"</f>
        <v>APOL1</v>
      </c>
      <c r="I5963" s="3" t="str">
        <f t="shared" si="258"/>
        <v>protein_coding</v>
      </c>
    </row>
    <row r="5964" spans="1:9" x14ac:dyDescent="0.2">
      <c r="A5964" s="3" t="str">
        <f>"ENSG00000100350.14"</f>
        <v>ENSG00000100350.14</v>
      </c>
      <c r="B5964" s="3">
        <v>2929.9669340525602</v>
      </c>
      <c r="C5964" s="3">
        <v>-1.33064442840897</v>
      </c>
      <c r="D5964" s="3">
        <v>0.211476643901675</v>
      </c>
      <c r="E5964" s="3">
        <v>-6.2921578660367103</v>
      </c>
      <c r="F5964" s="4">
        <v>3.13082834120855E-10</v>
      </c>
      <c r="G5964" s="4">
        <v>4.5279023255259801E-9</v>
      </c>
      <c r="H5964" s="3" t="str">
        <f>"FOXRED2"</f>
        <v>FOXRED2</v>
      </c>
      <c r="I5964" s="3" t="str">
        <f t="shared" si="258"/>
        <v>protein_coding</v>
      </c>
    </row>
    <row r="5965" spans="1:9" x14ac:dyDescent="0.2">
      <c r="A5965" s="3" t="str">
        <f>"ENSG00000128311.14"</f>
        <v>ENSG00000128311.14</v>
      </c>
      <c r="B5965" s="3">
        <v>1386.0326926263699</v>
      </c>
      <c r="C5965" s="3">
        <v>2.06038017810967</v>
      </c>
      <c r="D5965" s="3">
        <v>0.23747076509831699</v>
      </c>
      <c r="E5965" s="3">
        <v>8.6763529702556692</v>
      </c>
      <c r="F5965" s="4">
        <v>4.0866248603175801E-18</v>
      </c>
      <c r="G5965" s="4">
        <v>1.3319170761850901E-16</v>
      </c>
      <c r="H5965" s="3" t="str">
        <f>"TST"</f>
        <v>TST</v>
      </c>
      <c r="I5965" s="3" t="str">
        <f t="shared" si="258"/>
        <v>protein_coding</v>
      </c>
    </row>
    <row r="5966" spans="1:9" x14ac:dyDescent="0.2">
      <c r="A5966" s="3" t="str">
        <f>"ENSG00000128309.16"</f>
        <v>ENSG00000128309.16</v>
      </c>
      <c r="B5966" s="3">
        <v>3382.0171939135698</v>
      </c>
      <c r="C5966" s="3">
        <v>-1.3417033152114699</v>
      </c>
      <c r="D5966" s="3">
        <v>0.20594799967517499</v>
      </c>
      <c r="E5966" s="3">
        <v>-6.5147674040419599</v>
      </c>
      <c r="F5966" s="4">
        <v>7.2802380068332202E-11</v>
      </c>
      <c r="G5966" s="4">
        <v>1.15799559236535E-9</v>
      </c>
      <c r="H5966" s="3" t="str">
        <f>"MPST"</f>
        <v>MPST</v>
      </c>
      <c r="I5966" s="3" t="str">
        <f t="shared" si="258"/>
        <v>protein_coding</v>
      </c>
    </row>
    <row r="5967" spans="1:9" x14ac:dyDescent="0.2">
      <c r="A5967" s="3" t="str">
        <f>"ENSG00000133466.14"</f>
        <v>ENSG00000133466.14</v>
      </c>
      <c r="B5967" s="3">
        <v>387.571244403702</v>
      </c>
      <c r="C5967" s="3">
        <v>1.1965740417638699</v>
      </c>
      <c r="D5967" s="3">
        <v>0.23755635487666801</v>
      </c>
      <c r="E5967" s="3">
        <v>5.0370112910054203</v>
      </c>
      <c r="F5967" s="4">
        <v>4.7285689793297199E-7</v>
      </c>
      <c r="G5967" s="4">
        <v>4.2903536123808501E-6</v>
      </c>
      <c r="H5967" s="3" t="str">
        <f>"C1QTNF6"</f>
        <v>C1QTNF6</v>
      </c>
      <c r="I5967" s="3" t="str">
        <f t="shared" si="258"/>
        <v>protein_coding</v>
      </c>
    </row>
    <row r="5968" spans="1:9" x14ac:dyDescent="0.2">
      <c r="A5968" s="3" t="str">
        <f>"ENSG00000128340.15"</f>
        <v>ENSG00000128340.15</v>
      </c>
      <c r="B5968" s="3">
        <v>182.26454128213899</v>
      </c>
      <c r="C5968" s="3">
        <v>7.4578105943153599</v>
      </c>
      <c r="D5968" s="3">
        <v>0.77970364456809904</v>
      </c>
      <c r="E5968" s="3">
        <v>9.5649297605200605</v>
      </c>
      <c r="F5968" s="4">
        <v>1.12277690267293E-21</v>
      </c>
      <c r="G5968" s="4">
        <v>4.9905876455349502E-20</v>
      </c>
      <c r="H5968" s="3" t="str">
        <f>"RAC2"</f>
        <v>RAC2</v>
      </c>
      <c r="I5968" s="3" t="str">
        <f t="shared" si="258"/>
        <v>protein_coding</v>
      </c>
    </row>
    <row r="5969" spans="1:9" x14ac:dyDescent="0.2">
      <c r="A5969" s="3" t="str">
        <f>"ENSG00000166897.15"</f>
        <v>ENSG00000166897.15</v>
      </c>
      <c r="B5969" s="3">
        <v>6.4590627860546697</v>
      </c>
      <c r="C5969" s="3">
        <v>6.0865096776838099</v>
      </c>
      <c r="D5969" s="3">
        <v>1.91521344744196</v>
      </c>
      <c r="E5969" s="3">
        <v>3.1779798151549201</v>
      </c>
      <c r="F5969" s="3">
        <v>1.48305075154384E-3</v>
      </c>
      <c r="G5969" s="3">
        <v>6.2213916031566502E-3</v>
      </c>
      <c r="H5969" s="3" t="str">
        <f>"ELFN2"</f>
        <v>ELFN2</v>
      </c>
      <c r="I5969" s="3" t="str">
        <f t="shared" si="258"/>
        <v>protein_coding</v>
      </c>
    </row>
    <row r="5970" spans="1:9" x14ac:dyDescent="0.2">
      <c r="A5970" s="3" t="str">
        <f>"ENSG00000128283.7"</f>
        <v>ENSG00000128283.7</v>
      </c>
      <c r="B5970" s="3">
        <v>4030.9549942205199</v>
      </c>
      <c r="C5970" s="3">
        <v>-1.4463191278551399</v>
      </c>
      <c r="D5970" s="3">
        <v>0.22161990008330201</v>
      </c>
      <c r="E5970" s="3">
        <v>-6.52612480788728</v>
      </c>
      <c r="F5970" s="4">
        <v>6.7493086712646395E-11</v>
      </c>
      <c r="G5970" s="4">
        <v>1.07731935188018E-9</v>
      </c>
      <c r="H5970" s="3" t="str">
        <f>"CDC42EP1"</f>
        <v>CDC42EP1</v>
      </c>
      <c r="I5970" s="3" t="str">
        <f t="shared" si="258"/>
        <v>protein_coding</v>
      </c>
    </row>
    <row r="5971" spans="1:9" x14ac:dyDescent="0.2">
      <c r="A5971" s="3" t="str">
        <f>"ENSG00000273899.5"</f>
        <v>ENSG00000273899.5</v>
      </c>
      <c r="B5971" s="3">
        <v>89.496054722101306</v>
      </c>
      <c r="C5971" s="3">
        <v>-1.15384357507758</v>
      </c>
      <c r="D5971" s="3">
        <v>0.38618902136695599</v>
      </c>
      <c r="E5971" s="3">
        <v>-2.98776897124998</v>
      </c>
      <c r="F5971" s="3">
        <v>2.81021895548358E-3</v>
      </c>
      <c r="G5971" s="3">
        <v>1.0811922603792899E-2</v>
      </c>
      <c r="H5971" s="3" t="str">
        <f>"NOL12"</f>
        <v>NOL12</v>
      </c>
      <c r="I5971" s="3" t="str">
        <f t="shared" si="258"/>
        <v>protein_coding</v>
      </c>
    </row>
    <row r="5972" spans="1:9" x14ac:dyDescent="0.2">
      <c r="A5972" s="3" t="str">
        <f>"ENSG00000100106.21"</f>
        <v>ENSG00000100106.21</v>
      </c>
      <c r="B5972" s="3">
        <v>2617.0041861422601</v>
      </c>
      <c r="C5972" s="3">
        <v>2.1683190295325301</v>
      </c>
      <c r="D5972" s="3">
        <v>0.20678924163888199</v>
      </c>
      <c r="E5972" s="3">
        <v>10.485647185258699</v>
      </c>
      <c r="F5972" s="4">
        <v>1.00554841367563E-25</v>
      </c>
      <c r="G5972" s="4">
        <v>5.95612557117822E-24</v>
      </c>
      <c r="H5972" s="3" t="str">
        <f>"TRIOBP"</f>
        <v>TRIOBP</v>
      </c>
      <c r="I5972" s="3" t="str">
        <f t="shared" si="258"/>
        <v>protein_coding</v>
      </c>
    </row>
    <row r="5973" spans="1:9" x14ac:dyDescent="0.2">
      <c r="A5973" s="3" t="str">
        <f>"ENSG00000100116.16"</f>
        <v>ENSG00000100116.16</v>
      </c>
      <c r="B5973" s="3">
        <v>554.42206743082204</v>
      </c>
      <c r="C5973" s="3">
        <v>-1.8312270869084899</v>
      </c>
      <c r="D5973" s="3">
        <v>0.24166550208543799</v>
      </c>
      <c r="E5973" s="3">
        <v>-7.5775279098838197</v>
      </c>
      <c r="F5973" s="4">
        <v>3.5220126969825297E-14</v>
      </c>
      <c r="G5973" s="4">
        <v>8.1532948134819804E-13</v>
      </c>
      <c r="H5973" s="3" t="str">
        <f>"GCAT"</f>
        <v>GCAT</v>
      </c>
      <c r="I5973" s="3" t="str">
        <f t="shared" si="258"/>
        <v>protein_coding</v>
      </c>
    </row>
    <row r="5974" spans="1:9" x14ac:dyDescent="0.2">
      <c r="A5974" s="3" t="str">
        <f>"ENSG00000100139.13"</f>
        <v>ENSG00000100139.13</v>
      </c>
      <c r="B5974" s="3">
        <v>5066.3865926635299</v>
      </c>
      <c r="C5974" s="3">
        <v>2.0116952912277202</v>
      </c>
      <c r="D5974" s="3">
        <v>0.19663712129196301</v>
      </c>
      <c r="E5974" s="3">
        <v>10.230496042712099</v>
      </c>
      <c r="F5974" s="4">
        <v>1.4477589951323199E-24</v>
      </c>
      <c r="G5974" s="4">
        <v>7.7958674585712003E-23</v>
      </c>
      <c r="H5974" s="3" t="str">
        <f>"MICALL1"</f>
        <v>MICALL1</v>
      </c>
      <c r="I5974" s="3" t="str">
        <f t="shared" si="258"/>
        <v>protein_coding</v>
      </c>
    </row>
    <row r="5975" spans="1:9" x14ac:dyDescent="0.2">
      <c r="A5975" s="3" t="str">
        <f>"ENSG00000278948.1"</f>
        <v>ENSG00000278948.1</v>
      </c>
      <c r="B5975" s="3">
        <v>598.81555216961704</v>
      </c>
      <c r="C5975" s="3">
        <v>2.6459123725851801</v>
      </c>
      <c r="D5975" s="3">
        <v>0.22973630013778501</v>
      </c>
      <c r="E5975" s="3">
        <v>11.517171517945901</v>
      </c>
      <c r="F5975" s="4">
        <v>1.08101521884455E-30</v>
      </c>
      <c r="G5975" s="4">
        <v>8.8986168180837897E-29</v>
      </c>
      <c r="H5975" s="3" t="str">
        <f>"AL031587.5"</f>
        <v>AL031587.5</v>
      </c>
      <c r="I5975" s="3" t="str">
        <f>"TEC"</f>
        <v>TEC</v>
      </c>
    </row>
    <row r="5976" spans="1:9" x14ac:dyDescent="0.2">
      <c r="A5976" s="3" t="str">
        <f>"ENSG00000100142.15"</f>
        <v>ENSG00000100142.15</v>
      </c>
      <c r="B5976" s="3">
        <v>994.36040197243801</v>
      </c>
      <c r="C5976" s="3">
        <v>-1.0386448130305701</v>
      </c>
      <c r="D5976" s="3">
        <v>0.250722449478124</v>
      </c>
      <c r="E5976" s="3">
        <v>-4.1426079523093904</v>
      </c>
      <c r="F5976" s="4">
        <v>3.4337864920340501E-5</v>
      </c>
      <c r="G5976" s="3">
        <v>2.17329571541119E-4</v>
      </c>
      <c r="H5976" s="3" t="str">
        <f>"POLR2F"</f>
        <v>POLR2F</v>
      </c>
      <c r="I5976" s="3" t="str">
        <f>"protein_coding"</f>
        <v>protein_coding</v>
      </c>
    </row>
    <row r="5977" spans="1:9" x14ac:dyDescent="0.2">
      <c r="A5977" s="3" t="str">
        <f>"ENSG00000128298.17"</f>
        <v>ENSG00000128298.17</v>
      </c>
      <c r="B5977" s="3">
        <v>502.22180011636698</v>
      </c>
      <c r="C5977" s="3">
        <v>-1.1496059070674101</v>
      </c>
      <c r="D5977" s="3">
        <v>0.23558417308906399</v>
      </c>
      <c r="E5977" s="3">
        <v>-4.8798095898946201</v>
      </c>
      <c r="F5977" s="4">
        <v>1.0618831150347201E-6</v>
      </c>
      <c r="G5977" s="4">
        <v>9.0614247526937295E-6</v>
      </c>
      <c r="H5977" s="3" t="str">
        <f>"BAIAP2L2"</f>
        <v>BAIAP2L2</v>
      </c>
      <c r="I5977" s="3" t="str">
        <f>"protein_coding"</f>
        <v>protein_coding</v>
      </c>
    </row>
    <row r="5978" spans="1:9" x14ac:dyDescent="0.2">
      <c r="A5978" s="3" t="str">
        <f>"ENSG00000272720.1"</f>
        <v>ENSG00000272720.1</v>
      </c>
      <c r="B5978" s="3">
        <v>23.115724012634701</v>
      </c>
      <c r="C5978" s="3">
        <v>6.4678340151368499</v>
      </c>
      <c r="D5978" s="3">
        <v>1.5895304608570699</v>
      </c>
      <c r="E5978" s="3">
        <v>4.0690217485039</v>
      </c>
      <c r="F5978" s="4">
        <v>4.7210940811077098E-5</v>
      </c>
      <c r="G5978" s="3">
        <v>2.9088453638000502E-4</v>
      </c>
      <c r="H5978" s="3" t="str">
        <f>"AL022322.1"</f>
        <v>AL022322.1</v>
      </c>
      <c r="I5978" s="3" t="str">
        <f>"lincRNA"</f>
        <v>lincRNA</v>
      </c>
    </row>
    <row r="5979" spans="1:9" x14ac:dyDescent="0.2">
      <c r="A5979" s="3" t="str">
        <f>"ENSG00000184381.18"</f>
        <v>ENSG00000184381.18</v>
      </c>
      <c r="B5979" s="3">
        <v>291.14212381792203</v>
      </c>
      <c r="C5979" s="3">
        <v>1.5526169116367701</v>
      </c>
      <c r="D5979" s="3">
        <v>0.261731174646058</v>
      </c>
      <c r="E5979" s="3">
        <v>5.9321053891894602</v>
      </c>
      <c r="F5979" s="4">
        <v>2.9907454209636101E-9</v>
      </c>
      <c r="G5979" s="4">
        <v>3.8150206219567199E-8</v>
      </c>
      <c r="H5979" s="3" t="str">
        <f>"PLA2G6"</f>
        <v>PLA2G6</v>
      </c>
      <c r="I5979" s="3" t="str">
        <f>"protein_coding"</f>
        <v>protein_coding</v>
      </c>
    </row>
    <row r="5980" spans="1:9" x14ac:dyDescent="0.2">
      <c r="A5980" s="3" t="str">
        <f>"ENSG00000168135.4"</f>
        <v>ENSG00000168135.4</v>
      </c>
      <c r="B5980" s="3">
        <v>8.6996884519048692</v>
      </c>
      <c r="C5980" s="3">
        <v>3.9841811041678601</v>
      </c>
      <c r="D5980" s="3">
        <v>1.4595357948896299</v>
      </c>
      <c r="E5980" s="3">
        <v>2.72975909060809</v>
      </c>
      <c r="F5980" s="3">
        <v>6.3380623302796502E-3</v>
      </c>
      <c r="G5980" s="3">
        <v>2.1684227060915301E-2</v>
      </c>
      <c r="H5980" s="3" t="str">
        <f>"KCNJ4"</f>
        <v>KCNJ4</v>
      </c>
      <c r="I5980" s="3" t="str">
        <f>"protein_coding"</f>
        <v>protein_coding</v>
      </c>
    </row>
    <row r="5981" spans="1:9" x14ac:dyDescent="0.2">
      <c r="A5981" s="3" t="str">
        <f>"ENSG00000184949.16"</f>
        <v>ENSG00000184949.16</v>
      </c>
      <c r="B5981" s="3">
        <v>91.076569365477596</v>
      </c>
      <c r="C5981" s="3">
        <v>1.2362829094852701</v>
      </c>
      <c r="D5981" s="3">
        <v>0.387078370269342</v>
      </c>
      <c r="E5981" s="3">
        <v>3.19388269777262</v>
      </c>
      <c r="F5981" s="3">
        <v>1.4037314302014999E-3</v>
      </c>
      <c r="G5981" s="3">
        <v>5.9372043276467203E-3</v>
      </c>
      <c r="H5981" s="3" t="str">
        <f>"FAM227A"</f>
        <v>FAM227A</v>
      </c>
      <c r="I5981" s="3" t="str">
        <f>"protein_coding"</f>
        <v>protein_coding</v>
      </c>
    </row>
    <row r="5982" spans="1:9" x14ac:dyDescent="0.2">
      <c r="A5982" s="3" t="str">
        <f>"ENSG00000272669.1"</f>
        <v>ENSG00000272669.1</v>
      </c>
      <c r="B5982" s="3">
        <v>40.8107079783681</v>
      </c>
      <c r="C5982" s="3">
        <v>1.55979685164278</v>
      </c>
      <c r="D5982" s="3">
        <v>0.55382960933686898</v>
      </c>
      <c r="E5982" s="3">
        <v>2.8163840021309201</v>
      </c>
      <c r="F5982" s="3">
        <v>4.8567577860263002E-3</v>
      </c>
      <c r="G5982" s="3">
        <v>1.7311888984282899E-2</v>
      </c>
      <c r="H5982" s="3" t="str">
        <f>"AL021707.6"</f>
        <v>AL021707.6</v>
      </c>
      <c r="I5982" s="3" t="str">
        <f>"antisense"</f>
        <v>antisense</v>
      </c>
    </row>
    <row r="5983" spans="1:9" x14ac:dyDescent="0.2">
      <c r="A5983" s="3" t="str">
        <f>"ENSG00000179750.16"</f>
        <v>ENSG00000179750.16</v>
      </c>
      <c r="B5983" s="3">
        <v>594.77749637252498</v>
      </c>
      <c r="C5983" s="3">
        <v>2.28325119994481</v>
      </c>
      <c r="D5983" s="3">
        <v>0.26249261129156998</v>
      </c>
      <c r="E5983" s="3">
        <v>8.6983446456275093</v>
      </c>
      <c r="F5983" s="4">
        <v>3.3676043779147899E-18</v>
      </c>
      <c r="G5983" s="4">
        <v>1.10417709368284E-16</v>
      </c>
      <c r="H5983" s="3" t="str">
        <f>"APOBEC3B"</f>
        <v>APOBEC3B</v>
      </c>
      <c r="I5983" s="3" t="str">
        <f t="shared" ref="I5983:I5992" si="259">"protein_coding"</f>
        <v>protein_coding</v>
      </c>
    </row>
    <row r="5984" spans="1:9" x14ac:dyDescent="0.2">
      <c r="A5984" s="3" t="str">
        <f>"ENSG00000244509.4"</f>
        <v>ENSG00000244509.4</v>
      </c>
      <c r="B5984" s="3">
        <v>3957.2825463703498</v>
      </c>
      <c r="C5984" s="3">
        <v>2.3561301331569799</v>
      </c>
      <c r="D5984" s="3">
        <v>0.18694142832005001</v>
      </c>
      <c r="E5984" s="3">
        <v>12.6035740409729</v>
      </c>
      <c r="F5984" s="4">
        <v>2.01789149037566E-36</v>
      </c>
      <c r="G5984" s="4">
        <v>2.2908953932610698E-34</v>
      </c>
      <c r="H5984" s="3" t="str">
        <f>"APOBEC3C"</f>
        <v>APOBEC3C</v>
      </c>
      <c r="I5984" s="3" t="str">
        <f t="shared" si="259"/>
        <v>protein_coding</v>
      </c>
    </row>
    <row r="5985" spans="1:9" x14ac:dyDescent="0.2">
      <c r="A5985" s="3" t="str">
        <f>"ENSG00000243811.10"</f>
        <v>ENSG00000243811.10</v>
      </c>
      <c r="B5985" s="3">
        <v>23.354366649725499</v>
      </c>
      <c r="C5985" s="3">
        <v>3.18192679062166</v>
      </c>
      <c r="D5985" s="3">
        <v>0.81695361511394804</v>
      </c>
      <c r="E5985" s="3">
        <v>3.89486836431692</v>
      </c>
      <c r="F5985" s="4">
        <v>9.8252072941193796E-5</v>
      </c>
      <c r="G5985" s="3">
        <v>5.6323884524062898E-4</v>
      </c>
      <c r="H5985" s="3" t="str">
        <f>"APOBEC3D"</f>
        <v>APOBEC3D</v>
      </c>
      <c r="I5985" s="3" t="str">
        <f t="shared" si="259"/>
        <v>protein_coding</v>
      </c>
    </row>
    <row r="5986" spans="1:9" x14ac:dyDescent="0.2">
      <c r="A5986" s="3" t="str">
        <f>"ENSG00000239713.9"</f>
        <v>ENSG00000239713.9</v>
      </c>
      <c r="B5986" s="3">
        <v>102.308639881522</v>
      </c>
      <c r="C5986" s="3">
        <v>2.0744559495696899</v>
      </c>
      <c r="D5986" s="3">
        <v>0.42534826903183698</v>
      </c>
      <c r="E5986" s="3">
        <v>4.8770762704442197</v>
      </c>
      <c r="F5986" s="4">
        <v>1.07669811794625E-6</v>
      </c>
      <c r="G5986" s="4">
        <v>9.1820950296342805E-6</v>
      </c>
      <c r="H5986" s="3" t="str">
        <f>"APOBEC3G"</f>
        <v>APOBEC3G</v>
      </c>
      <c r="I5986" s="3" t="str">
        <f t="shared" si="259"/>
        <v>protein_coding</v>
      </c>
    </row>
    <row r="5987" spans="1:9" x14ac:dyDescent="0.2">
      <c r="A5987" s="3" t="str">
        <f>"ENSG00000100298.15"</f>
        <v>ENSG00000100298.15</v>
      </c>
      <c r="B5987" s="3">
        <v>36.924604632716097</v>
      </c>
      <c r="C5987" s="3">
        <v>7.1521672971911396</v>
      </c>
      <c r="D5987" s="3">
        <v>1.5369191629902199</v>
      </c>
      <c r="E5987" s="3">
        <v>4.65357415628546</v>
      </c>
      <c r="F5987" s="4">
        <v>3.2623020145534801E-6</v>
      </c>
      <c r="G5987" s="4">
        <v>2.5505865994415701E-5</v>
      </c>
      <c r="H5987" s="3" t="str">
        <f>"APOBEC3H"</f>
        <v>APOBEC3H</v>
      </c>
      <c r="I5987" s="3" t="str">
        <f t="shared" si="259"/>
        <v>protein_coding</v>
      </c>
    </row>
    <row r="5988" spans="1:9" x14ac:dyDescent="0.2">
      <c r="A5988" s="3" t="str">
        <f>"ENSG00000100311.16"</f>
        <v>ENSG00000100311.16</v>
      </c>
      <c r="B5988" s="3">
        <v>359.23058216796198</v>
      </c>
      <c r="C5988" s="3">
        <v>1.9934908634328401</v>
      </c>
      <c r="D5988" s="3">
        <v>0.27656203656839201</v>
      </c>
      <c r="E5988" s="3">
        <v>7.2081146355742103</v>
      </c>
      <c r="F5988" s="4">
        <v>5.6731862187141497E-13</v>
      </c>
      <c r="G5988" s="4">
        <v>1.16223537519778E-11</v>
      </c>
      <c r="H5988" s="3" t="str">
        <f>"PDGFB"</f>
        <v>PDGFB</v>
      </c>
      <c r="I5988" s="3" t="str">
        <f t="shared" si="259"/>
        <v>protein_coding</v>
      </c>
    </row>
    <row r="5989" spans="1:9" x14ac:dyDescent="0.2">
      <c r="A5989" s="3" t="str">
        <f>"ENSG00000128268.12"</f>
        <v>ENSG00000128268.12</v>
      </c>
      <c r="B5989" s="3">
        <v>68.006026362129603</v>
      </c>
      <c r="C5989" s="3">
        <v>8.0361174807644105</v>
      </c>
      <c r="D5989" s="3">
        <v>1.4957665119288699</v>
      </c>
      <c r="E5989" s="3">
        <v>5.3725748080837796</v>
      </c>
      <c r="F5989" s="4">
        <v>7.7620210336696996E-8</v>
      </c>
      <c r="G5989" s="4">
        <v>8.0354022456078401E-7</v>
      </c>
      <c r="H5989" s="3" t="str">
        <f>"MGAT3"</f>
        <v>MGAT3</v>
      </c>
      <c r="I5989" s="3" t="str">
        <f t="shared" si="259"/>
        <v>protein_coding</v>
      </c>
    </row>
    <row r="5990" spans="1:9" x14ac:dyDescent="0.2">
      <c r="A5990" s="3" t="str">
        <f>"ENSG00000128272.14"</f>
        <v>ENSG00000128272.14</v>
      </c>
      <c r="B5990" s="3">
        <v>10572.990646800599</v>
      </c>
      <c r="C5990" s="3">
        <v>-1.2544004407178899</v>
      </c>
      <c r="D5990" s="3">
        <v>0.18524626454974899</v>
      </c>
      <c r="E5990" s="3">
        <v>-6.7715289361800703</v>
      </c>
      <c r="F5990" s="4">
        <v>1.27428467195745E-11</v>
      </c>
      <c r="G5990" s="4">
        <v>2.21714140848177E-10</v>
      </c>
      <c r="H5990" s="3" t="str">
        <f>"ATF4"</f>
        <v>ATF4</v>
      </c>
      <c r="I5990" s="3" t="str">
        <f t="shared" si="259"/>
        <v>protein_coding</v>
      </c>
    </row>
    <row r="5991" spans="1:9" x14ac:dyDescent="0.2">
      <c r="A5991" s="3" t="str">
        <f>"ENSG00000100346.17"</f>
        <v>ENSG00000100346.17</v>
      </c>
      <c r="B5991" s="3">
        <v>6.4228246812479304</v>
      </c>
      <c r="C5991" s="3">
        <v>6.0791384959959602</v>
      </c>
      <c r="D5991" s="3">
        <v>1.91621201727102</v>
      </c>
      <c r="E5991" s="3">
        <v>3.1724769708174501</v>
      </c>
      <c r="F5991" s="3">
        <v>1.5114454604688099E-3</v>
      </c>
      <c r="G5991" s="3">
        <v>6.3231006389365303E-3</v>
      </c>
      <c r="H5991" s="3" t="str">
        <f>"CACNA1I"</f>
        <v>CACNA1I</v>
      </c>
      <c r="I5991" s="3" t="str">
        <f t="shared" si="259"/>
        <v>protein_coding</v>
      </c>
    </row>
    <row r="5992" spans="1:9" x14ac:dyDescent="0.2">
      <c r="A5992" s="3" t="str">
        <f>"ENSG00000128285.4"</f>
        <v>ENSG00000128285.4</v>
      </c>
      <c r="B5992" s="3">
        <v>33.135446157177498</v>
      </c>
      <c r="C5992" s="3">
        <v>2.1251918622788102</v>
      </c>
      <c r="D5992" s="3">
        <v>0.64751072562857104</v>
      </c>
      <c r="E5992" s="3">
        <v>3.28209522740458</v>
      </c>
      <c r="F5992" s="3">
        <v>1.03038801247556E-3</v>
      </c>
      <c r="G5992" s="3">
        <v>4.5333412200745504E-3</v>
      </c>
      <c r="H5992" s="3" t="str">
        <f>"MCHR1"</f>
        <v>MCHR1</v>
      </c>
      <c r="I5992" s="3" t="str">
        <f t="shared" si="259"/>
        <v>protein_coding</v>
      </c>
    </row>
    <row r="5993" spans="1:9" x14ac:dyDescent="0.2">
      <c r="A5993" s="3" t="str">
        <f>"ENSG00000235513.1"</f>
        <v>ENSG00000235513.1</v>
      </c>
      <c r="B5993" s="3">
        <v>53.751104817688301</v>
      </c>
      <c r="C5993" s="3">
        <v>5.0939952706237897</v>
      </c>
      <c r="D5993" s="3">
        <v>1.6120892367955599</v>
      </c>
      <c r="E5993" s="3">
        <v>3.1598717703428201</v>
      </c>
      <c r="F5993" s="3">
        <v>1.57838588682328E-3</v>
      </c>
      <c r="G5993" s="3">
        <v>6.5698564403107104E-3</v>
      </c>
      <c r="H5993" s="3" t="str">
        <f>"AL035681.1"</f>
        <v>AL035681.1</v>
      </c>
      <c r="I5993" s="3" t="str">
        <f>"antisense"</f>
        <v>antisense</v>
      </c>
    </row>
    <row r="5994" spans="1:9" x14ac:dyDescent="0.2">
      <c r="A5994" s="3" t="str">
        <f>"ENSG00000100413.17"</f>
        <v>ENSG00000100413.17</v>
      </c>
      <c r="B5994" s="3">
        <v>1357.2229720842199</v>
      </c>
      <c r="C5994" s="3">
        <v>-1.32655721592654</v>
      </c>
      <c r="D5994" s="3">
        <v>0.20638782642224299</v>
      </c>
      <c r="E5994" s="3">
        <v>-6.4274973913072699</v>
      </c>
      <c r="F5994" s="4">
        <v>1.2972182149570799E-10</v>
      </c>
      <c r="G5994" s="4">
        <v>1.9856912754458098E-9</v>
      </c>
      <c r="H5994" s="3" t="str">
        <f>"POLR3H"</f>
        <v>POLR3H</v>
      </c>
      <c r="I5994" s="3" t="str">
        <f>"protein_coding"</f>
        <v>protein_coding</v>
      </c>
    </row>
    <row r="5995" spans="1:9" x14ac:dyDescent="0.2">
      <c r="A5995" s="3" t="str">
        <f>"ENSG00000172346.15"</f>
        <v>ENSG00000172346.15</v>
      </c>
      <c r="B5995" s="3">
        <v>41.9405073352047</v>
      </c>
      <c r="C5995" s="3">
        <v>2.52659178587411</v>
      </c>
      <c r="D5995" s="3">
        <v>0.58394300893163997</v>
      </c>
      <c r="E5995" s="3">
        <v>4.3267780369469104</v>
      </c>
      <c r="F5995" s="4">
        <v>1.51306295618193E-5</v>
      </c>
      <c r="G5995" s="3">
        <v>1.0335027918548301E-4</v>
      </c>
      <c r="H5995" s="3" t="str">
        <f>"CSDC2"</f>
        <v>CSDC2</v>
      </c>
      <c r="I5995" s="3" t="str">
        <f>"protein_coding"</f>
        <v>protein_coding</v>
      </c>
    </row>
    <row r="5996" spans="1:9" x14ac:dyDescent="0.2">
      <c r="A5996" s="3" t="str">
        <f>"ENSG00000198911.12"</f>
        <v>ENSG00000198911.12</v>
      </c>
      <c r="B5996" s="3">
        <v>5343.9110807963498</v>
      </c>
      <c r="C5996" s="3">
        <v>-1.61047005442041</v>
      </c>
      <c r="D5996" s="3">
        <v>0.19932175819728701</v>
      </c>
      <c r="E5996" s="3">
        <v>-8.0797503944671298</v>
      </c>
      <c r="F5996" s="4">
        <v>6.4899473153915396E-16</v>
      </c>
      <c r="G5996" s="4">
        <v>1.7630268644314399E-14</v>
      </c>
      <c r="H5996" s="3" t="str">
        <f>"SREBF2"</f>
        <v>SREBF2</v>
      </c>
      <c r="I5996" s="3" t="str">
        <f>"protein_coding"</f>
        <v>protein_coding</v>
      </c>
    </row>
    <row r="5997" spans="1:9" x14ac:dyDescent="0.2">
      <c r="A5997" s="3" t="str">
        <f>"ENSG00000100162.15"</f>
        <v>ENSG00000100162.15</v>
      </c>
      <c r="B5997" s="3">
        <v>519.08055072888203</v>
      </c>
      <c r="C5997" s="3">
        <v>-1.71693235651875</v>
      </c>
      <c r="D5997" s="3">
        <v>0.25778862557269799</v>
      </c>
      <c r="E5997" s="3">
        <v>-6.6602331763259501</v>
      </c>
      <c r="F5997" s="4">
        <v>2.7339348361572699E-11</v>
      </c>
      <c r="G5997" s="4">
        <v>4.5982421284430299E-10</v>
      </c>
      <c r="H5997" s="3" t="str">
        <f>"CENPM"</f>
        <v>CENPM</v>
      </c>
      <c r="I5997" s="3" t="str">
        <f>"protein_coding"</f>
        <v>protein_coding</v>
      </c>
    </row>
    <row r="5998" spans="1:9" x14ac:dyDescent="0.2">
      <c r="A5998" s="3" t="str">
        <f>"ENSG00000100167.20"</f>
        <v>ENSG00000100167.20</v>
      </c>
      <c r="B5998" s="3">
        <v>33.509206131133197</v>
      </c>
      <c r="C5998" s="3">
        <v>8.4625626989826603</v>
      </c>
      <c r="D5998" s="3">
        <v>1.5507867842646501</v>
      </c>
      <c r="E5998" s="3">
        <v>5.4569479085388499</v>
      </c>
      <c r="F5998" s="4">
        <v>4.8438838242977101E-8</v>
      </c>
      <c r="G5998" s="4">
        <v>5.1961142740409297E-7</v>
      </c>
      <c r="H5998" s="3" t="str">
        <f>"SEPT3"</f>
        <v>SEPT3</v>
      </c>
      <c r="I5998" s="3" t="str">
        <f>"protein_coding"</f>
        <v>protein_coding</v>
      </c>
    </row>
    <row r="5999" spans="1:9" x14ac:dyDescent="0.2">
      <c r="A5999" s="3" t="str">
        <f>"ENSG00000237037.9"</f>
        <v>ENSG00000237037.9</v>
      </c>
      <c r="B5999" s="3">
        <v>109.285148358954</v>
      </c>
      <c r="C5999" s="3">
        <v>1.99133846336137</v>
      </c>
      <c r="D5999" s="3">
        <v>0.37007141593028797</v>
      </c>
      <c r="E5999" s="3">
        <v>5.3809572359311604</v>
      </c>
      <c r="F5999" s="4">
        <v>7.4090795533418703E-8</v>
      </c>
      <c r="G5999" s="4">
        <v>7.7022201674897298E-7</v>
      </c>
      <c r="H5999" s="3" t="str">
        <f>"NDUFA6-DT"</f>
        <v>NDUFA6-DT</v>
      </c>
      <c r="I5999" s="3" t="str">
        <f>"processed_transcript"</f>
        <v>processed_transcript</v>
      </c>
    </row>
    <row r="6000" spans="1:9" x14ac:dyDescent="0.2">
      <c r="A6000" s="3" t="str">
        <f>"ENSG00000100197.22"</f>
        <v>ENSG00000100197.22</v>
      </c>
      <c r="B6000" s="3">
        <v>33.686783501825303</v>
      </c>
      <c r="C6000" s="3">
        <v>1.8691173040717399</v>
      </c>
      <c r="D6000" s="3">
        <v>0.62939499578453995</v>
      </c>
      <c r="E6000" s="3">
        <v>2.9697047427933398</v>
      </c>
      <c r="F6000" s="3">
        <v>2.9808609885632899E-3</v>
      </c>
      <c r="G6000" s="3">
        <v>1.13896395113426E-2</v>
      </c>
      <c r="H6000" s="3" t="str">
        <f>"CYP2D6"</f>
        <v>CYP2D6</v>
      </c>
      <c r="I6000" s="3" t="str">
        <f>"protein_coding"</f>
        <v>protein_coding</v>
      </c>
    </row>
    <row r="6001" spans="1:9" x14ac:dyDescent="0.2">
      <c r="A6001" s="3" t="str">
        <f>"ENSG00000189306.11"</f>
        <v>ENSG00000189306.11</v>
      </c>
      <c r="B6001" s="3">
        <v>1387.7785023168001</v>
      </c>
      <c r="C6001" s="3">
        <v>-1.37524679722448</v>
      </c>
      <c r="D6001" s="3">
        <v>0.20479527238128201</v>
      </c>
      <c r="E6001" s="3">
        <v>-6.7152272668877</v>
      </c>
      <c r="F6001" s="4">
        <v>1.8777332658413401E-11</v>
      </c>
      <c r="G6001" s="4">
        <v>3.2096987637628E-10</v>
      </c>
      <c r="H6001" s="3" t="str">
        <f>"RRP7A"</f>
        <v>RRP7A</v>
      </c>
      <c r="I6001" s="3" t="str">
        <f>"protein_coding"</f>
        <v>protein_coding</v>
      </c>
    </row>
    <row r="6002" spans="1:9" x14ac:dyDescent="0.2">
      <c r="A6002" s="3" t="str">
        <f>"ENSG00000270022.3"</f>
        <v>ENSG00000270022.3</v>
      </c>
      <c r="B6002" s="3">
        <v>35.852441098333998</v>
      </c>
      <c r="C6002" s="3">
        <v>-1.5834134230774399</v>
      </c>
      <c r="D6002" s="3">
        <v>0.58637332145394405</v>
      </c>
      <c r="E6002" s="3">
        <v>-2.7003503828436202</v>
      </c>
      <c r="F6002" s="3">
        <v>6.9266484258633599E-3</v>
      </c>
      <c r="G6002" s="3">
        <v>2.3415681099193401E-2</v>
      </c>
      <c r="H6002" s="3" t="str">
        <f>"Z93241.1"</f>
        <v>Z93241.1</v>
      </c>
      <c r="I6002" s="3" t="str">
        <f>"lincRNA"</f>
        <v>lincRNA</v>
      </c>
    </row>
    <row r="6003" spans="1:9" x14ac:dyDescent="0.2">
      <c r="A6003" s="3" t="str">
        <f>"ENSG00000128274.17"</f>
        <v>ENSG00000128274.17</v>
      </c>
      <c r="B6003" s="3">
        <v>257.98016167222698</v>
      </c>
      <c r="C6003" s="3">
        <v>3.34096503200412</v>
      </c>
      <c r="D6003" s="3">
        <v>0.31657051667686098</v>
      </c>
      <c r="E6003" s="3">
        <v>10.5536203025957</v>
      </c>
      <c r="F6003" s="4">
        <v>4.8876720755228101E-26</v>
      </c>
      <c r="G6003" s="4">
        <v>2.9463363062338501E-24</v>
      </c>
      <c r="H6003" s="3" t="str">
        <f>"A4GALT"</f>
        <v>A4GALT</v>
      </c>
      <c r="I6003" s="3" t="str">
        <f t="shared" ref="I6003:I6011" si="260">"protein_coding"</f>
        <v>protein_coding</v>
      </c>
    </row>
    <row r="6004" spans="1:9" x14ac:dyDescent="0.2">
      <c r="A6004" s="3" t="str">
        <f>"ENSG00000100290.3"</f>
        <v>ENSG00000100290.3</v>
      </c>
      <c r="B6004" s="3">
        <v>130.94108031328699</v>
      </c>
      <c r="C6004" s="3">
        <v>2.3154237565870699</v>
      </c>
      <c r="D6004" s="3">
        <v>0.36390483458213202</v>
      </c>
      <c r="E6004" s="3">
        <v>6.3627177672587196</v>
      </c>
      <c r="F6004" s="4">
        <v>1.9821471503991399E-10</v>
      </c>
      <c r="G6004" s="4">
        <v>2.94319146631745E-9</v>
      </c>
      <c r="H6004" s="3" t="str">
        <f>"BIK"</f>
        <v>BIK</v>
      </c>
      <c r="I6004" s="3" t="str">
        <f t="shared" si="260"/>
        <v>protein_coding</v>
      </c>
    </row>
    <row r="6005" spans="1:9" x14ac:dyDescent="0.2">
      <c r="A6005" s="3" t="str">
        <f>"ENSG00000100300.18"</f>
        <v>ENSG00000100300.18</v>
      </c>
      <c r="B6005" s="3">
        <v>224.13598975210101</v>
      </c>
      <c r="C6005" s="3">
        <v>-1.5240307234217401</v>
      </c>
      <c r="D6005" s="3">
        <v>0.30227264061144898</v>
      </c>
      <c r="E6005" s="3">
        <v>-5.0419075981831298</v>
      </c>
      <c r="F6005" s="4">
        <v>4.60913852800783E-7</v>
      </c>
      <c r="G6005" s="4">
        <v>4.1917622654415702E-6</v>
      </c>
      <c r="H6005" s="3" t="str">
        <f>"TSPO"</f>
        <v>TSPO</v>
      </c>
      <c r="I6005" s="3" t="str">
        <f t="shared" si="260"/>
        <v>protein_coding</v>
      </c>
    </row>
    <row r="6006" spans="1:9" x14ac:dyDescent="0.2">
      <c r="A6006" s="3" t="str">
        <f>"ENSG00000186976.15"</f>
        <v>ENSG00000186976.15</v>
      </c>
      <c r="B6006" s="3">
        <v>3.8530936506741802</v>
      </c>
      <c r="C6006" s="3">
        <v>5.3403250580865702</v>
      </c>
      <c r="D6006" s="3">
        <v>2.1789621139591802</v>
      </c>
      <c r="E6006" s="3">
        <v>2.4508572333014098</v>
      </c>
      <c r="F6006" s="3">
        <v>1.4251646682892799E-2</v>
      </c>
      <c r="G6006" s="3">
        <v>4.2728280938466097E-2</v>
      </c>
      <c r="H6006" s="3" t="str">
        <f>"EFCAB6"</f>
        <v>EFCAB6</v>
      </c>
      <c r="I6006" s="3" t="str">
        <f t="shared" si="260"/>
        <v>protein_coding</v>
      </c>
    </row>
    <row r="6007" spans="1:9" x14ac:dyDescent="0.2">
      <c r="A6007" s="3" t="str">
        <f>"ENSG00000100344.10"</f>
        <v>ENSG00000100344.10</v>
      </c>
      <c r="B6007" s="3">
        <v>732.74377999456499</v>
      </c>
      <c r="C6007" s="3">
        <v>-2.4821649258974401</v>
      </c>
      <c r="D6007" s="3">
        <v>0.22165169524294301</v>
      </c>
      <c r="E6007" s="3">
        <v>-11.198492856898</v>
      </c>
      <c r="F6007" s="4">
        <v>4.1472894147646799E-29</v>
      </c>
      <c r="G6007" s="4">
        <v>3.00535092244929E-27</v>
      </c>
      <c r="H6007" s="3" t="str">
        <f>"PNPLA3"</f>
        <v>PNPLA3</v>
      </c>
      <c r="I6007" s="3" t="str">
        <f t="shared" si="260"/>
        <v>protein_coding</v>
      </c>
    </row>
    <row r="6008" spans="1:9" x14ac:dyDescent="0.2">
      <c r="A6008" s="3" t="str">
        <f>"ENSG00000100373.10"</f>
        <v>ENSG00000100373.10</v>
      </c>
      <c r="B6008" s="3">
        <v>107.129792147633</v>
      </c>
      <c r="C6008" s="3">
        <v>-4.8904704797124703</v>
      </c>
      <c r="D6008" s="3">
        <v>0.53956685400121895</v>
      </c>
      <c r="E6008" s="3">
        <v>-9.0636970070467395</v>
      </c>
      <c r="F6008" s="4">
        <v>1.2610236054152799E-19</v>
      </c>
      <c r="G6008" s="4">
        <v>4.6557059860095202E-18</v>
      </c>
      <c r="H6008" s="3" t="str">
        <f>"UPK3A"</f>
        <v>UPK3A</v>
      </c>
      <c r="I6008" s="3" t="str">
        <f t="shared" si="260"/>
        <v>protein_coding</v>
      </c>
    </row>
    <row r="6009" spans="1:9" x14ac:dyDescent="0.2">
      <c r="A6009" s="3" t="str">
        <f>"ENSG00000100376.12"</f>
        <v>ENSG00000100376.12</v>
      </c>
      <c r="B6009" s="3">
        <v>1380.6435792439499</v>
      </c>
      <c r="C6009" s="3">
        <v>-1.75290035413316</v>
      </c>
      <c r="D6009" s="3">
        <v>0.20373598001020099</v>
      </c>
      <c r="E6009" s="3">
        <v>-8.6037839464850396</v>
      </c>
      <c r="F6009" s="4">
        <v>7.7130109212037099E-18</v>
      </c>
      <c r="G6009" s="4">
        <v>2.4465239647268602E-16</v>
      </c>
      <c r="H6009" s="3" t="str">
        <f>"FAM118A"</f>
        <v>FAM118A</v>
      </c>
      <c r="I6009" s="3" t="str">
        <f t="shared" si="260"/>
        <v>protein_coding</v>
      </c>
    </row>
    <row r="6010" spans="1:9" x14ac:dyDescent="0.2">
      <c r="A6010" s="3" t="str">
        <f>"ENSG00000186951.16"</f>
        <v>ENSG00000186951.16</v>
      </c>
      <c r="B6010" s="3">
        <v>1976.4749255136001</v>
      </c>
      <c r="C6010" s="3">
        <v>-1.35828957652475</v>
      </c>
      <c r="D6010" s="3">
        <v>0.18290355098538</v>
      </c>
      <c r="E6010" s="3">
        <v>-7.4262613776881601</v>
      </c>
      <c r="F6010" s="4">
        <v>1.11710146537632E-13</v>
      </c>
      <c r="G6010" s="4">
        <v>2.4847072348659999E-12</v>
      </c>
      <c r="H6010" s="3" t="str">
        <f>"PPARA"</f>
        <v>PPARA</v>
      </c>
      <c r="I6010" s="3" t="str">
        <f t="shared" si="260"/>
        <v>protein_coding</v>
      </c>
    </row>
    <row r="6011" spans="1:9" x14ac:dyDescent="0.2">
      <c r="A6011" s="3" t="str">
        <f>"ENSG00000075234.17"</f>
        <v>ENSG00000075234.17</v>
      </c>
      <c r="B6011" s="3">
        <v>2140.9157443028398</v>
      </c>
      <c r="C6011" s="3">
        <v>-2.2743807181986702</v>
      </c>
      <c r="D6011" s="3">
        <v>0.21842031987789701</v>
      </c>
      <c r="E6011" s="3">
        <v>-10.4128623173435</v>
      </c>
      <c r="F6011" s="4">
        <v>2.1660910302432499E-25</v>
      </c>
      <c r="G6011" s="4">
        <v>1.25306756477787E-23</v>
      </c>
      <c r="H6011" s="3" t="str">
        <f>"TTC38"</f>
        <v>TTC38</v>
      </c>
      <c r="I6011" s="3" t="str">
        <f t="shared" si="260"/>
        <v>protein_coding</v>
      </c>
    </row>
    <row r="6012" spans="1:9" x14ac:dyDescent="0.2">
      <c r="A6012" s="3" t="str">
        <f>"ENSG00000260708.1"</f>
        <v>ENSG00000260708.1</v>
      </c>
      <c r="B6012" s="3">
        <v>130.80106954820701</v>
      </c>
      <c r="C6012" s="3">
        <v>-1.00567018550872</v>
      </c>
      <c r="D6012" s="3">
        <v>0.34391704806015699</v>
      </c>
      <c r="E6012" s="3">
        <v>-2.9241649728652401</v>
      </c>
      <c r="F6012" s="3">
        <v>3.45381647083742E-3</v>
      </c>
      <c r="G6012" s="3">
        <v>1.29337736917135E-2</v>
      </c>
      <c r="H6012" s="3" t="str">
        <f>"AL118516.1"</f>
        <v>AL118516.1</v>
      </c>
      <c r="I6012" s="3" t="str">
        <f>"antisense"</f>
        <v>antisense</v>
      </c>
    </row>
    <row r="6013" spans="1:9" x14ac:dyDescent="0.2">
      <c r="A6013" s="3" t="str">
        <f>"ENSG00000100426.7"</f>
        <v>ENSG00000100426.7</v>
      </c>
      <c r="B6013" s="3">
        <v>2289.6750787808</v>
      </c>
      <c r="C6013" s="3">
        <v>-1.0845853286557801</v>
      </c>
      <c r="D6013" s="3">
        <v>0.197045280016416</v>
      </c>
      <c r="E6013" s="3">
        <v>-5.5042441441145797</v>
      </c>
      <c r="F6013" s="4">
        <v>3.7075546437486901E-8</v>
      </c>
      <c r="G6013" s="4">
        <v>4.0505108812438098E-7</v>
      </c>
      <c r="H6013" s="3" t="str">
        <f>"ZBED4"</f>
        <v>ZBED4</v>
      </c>
      <c r="I6013" s="3" t="str">
        <f>"protein_coding"</f>
        <v>protein_coding</v>
      </c>
    </row>
    <row r="6014" spans="1:9" x14ac:dyDescent="0.2">
      <c r="A6014" s="3" t="str">
        <f>"ENSG00000273192.1"</f>
        <v>ENSG00000273192.1</v>
      </c>
      <c r="B6014" s="3">
        <v>24.148989669352101</v>
      </c>
      <c r="C6014" s="3">
        <v>-2.41713916382015</v>
      </c>
      <c r="D6014" s="3">
        <v>0.74000227789589301</v>
      </c>
      <c r="E6014" s="3">
        <v>-3.2663942206948202</v>
      </c>
      <c r="F6014" s="3">
        <v>1.0892649432769901E-3</v>
      </c>
      <c r="G6014" s="3">
        <v>4.7479126394926003E-3</v>
      </c>
      <c r="H6014" s="3" t="str">
        <f>"AL671710.1"</f>
        <v>AL671710.1</v>
      </c>
      <c r="I6014" s="3" t="str">
        <f>"lincRNA"</f>
        <v>lincRNA</v>
      </c>
    </row>
    <row r="6015" spans="1:9" x14ac:dyDescent="0.2">
      <c r="A6015" s="3" t="str">
        <f>"ENSG00000073150.13"</f>
        <v>ENSG00000073150.13</v>
      </c>
      <c r="B6015" s="3">
        <v>210.77777930708899</v>
      </c>
      <c r="C6015" s="3">
        <v>-1.0986728125867899</v>
      </c>
      <c r="D6015" s="3">
        <v>0.28765230297174899</v>
      </c>
      <c r="E6015" s="3">
        <v>-3.8194473023033502</v>
      </c>
      <c r="F6015" s="3">
        <v>1.3375102928239599E-4</v>
      </c>
      <c r="G6015" s="3">
        <v>7.4419323970950299E-4</v>
      </c>
      <c r="H6015" s="3" t="str">
        <f>"PANX2"</f>
        <v>PANX2</v>
      </c>
      <c r="I6015" s="3" t="str">
        <f t="shared" ref="I6015:I6029" si="261">"protein_coding"</f>
        <v>protein_coding</v>
      </c>
    </row>
    <row r="6016" spans="1:9" x14ac:dyDescent="0.2">
      <c r="A6016" s="3" t="str">
        <f>"ENSG00000170638.9"</f>
        <v>ENSG00000170638.9</v>
      </c>
      <c r="B6016" s="3">
        <v>1191.49345602269</v>
      </c>
      <c r="C6016" s="3">
        <v>-1.44048543524345</v>
      </c>
      <c r="D6016" s="3">
        <v>0.23862753361487701</v>
      </c>
      <c r="E6016" s="3">
        <v>-6.0365432832585704</v>
      </c>
      <c r="F6016" s="4">
        <v>1.57450533170473E-9</v>
      </c>
      <c r="G6016" s="4">
        <v>2.08255081422129E-8</v>
      </c>
      <c r="H6016" s="3" t="str">
        <f>"TRABD"</f>
        <v>TRABD</v>
      </c>
      <c r="I6016" s="3" t="str">
        <f t="shared" si="261"/>
        <v>protein_coding</v>
      </c>
    </row>
    <row r="6017" spans="1:9" x14ac:dyDescent="0.2">
      <c r="A6017" s="3" t="str">
        <f>"ENSG00000185386.15"</f>
        <v>ENSG00000185386.15</v>
      </c>
      <c r="B6017" s="3">
        <v>136.584977667315</v>
      </c>
      <c r="C6017" s="3">
        <v>5.5572139582071802</v>
      </c>
      <c r="D6017" s="3">
        <v>0.54951596072549902</v>
      </c>
      <c r="E6017" s="3">
        <v>10.112925475122299</v>
      </c>
      <c r="F6017" s="4">
        <v>4.84165208934967E-24</v>
      </c>
      <c r="G6017" s="4">
        <v>2.5032351893455501E-22</v>
      </c>
      <c r="H6017" s="3" t="str">
        <f>"MAPK11"</f>
        <v>MAPK11</v>
      </c>
      <c r="I6017" s="3" t="str">
        <f t="shared" si="261"/>
        <v>protein_coding</v>
      </c>
    </row>
    <row r="6018" spans="1:9" x14ac:dyDescent="0.2">
      <c r="A6018" s="3" t="str">
        <f>"ENSG00000196576.15"</f>
        <v>ENSG00000196576.15</v>
      </c>
      <c r="B6018" s="3">
        <v>17506.232591436401</v>
      </c>
      <c r="C6018" s="3">
        <v>1.3313916729275701</v>
      </c>
      <c r="D6018" s="3">
        <v>0.203373032739118</v>
      </c>
      <c r="E6018" s="3">
        <v>6.5465497317702201</v>
      </c>
      <c r="F6018" s="4">
        <v>5.8881547408659201E-11</v>
      </c>
      <c r="G6018" s="4">
        <v>9.4931687706729994E-10</v>
      </c>
      <c r="H6018" s="3" t="str">
        <f>"PLXNB2"</f>
        <v>PLXNB2</v>
      </c>
      <c r="I6018" s="3" t="str">
        <f t="shared" si="261"/>
        <v>protein_coding</v>
      </c>
    </row>
    <row r="6019" spans="1:9" x14ac:dyDescent="0.2">
      <c r="A6019" s="3" t="str">
        <f>"ENSG00000205593.12"</f>
        <v>ENSG00000205593.12</v>
      </c>
      <c r="B6019" s="3">
        <v>137.70841362265</v>
      </c>
      <c r="C6019" s="3">
        <v>2.5270513619409898</v>
      </c>
      <c r="D6019" s="3">
        <v>0.354488160009714</v>
      </c>
      <c r="E6019" s="3">
        <v>7.1287327674688399</v>
      </c>
      <c r="F6019" s="4">
        <v>1.01297182075901E-12</v>
      </c>
      <c r="G6019" s="4">
        <v>2.0043894844023802E-11</v>
      </c>
      <c r="H6019" s="3" t="str">
        <f>"DENND6B"</f>
        <v>DENND6B</v>
      </c>
      <c r="I6019" s="3" t="str">
        <f t="shared" si="261"/>
        <v>protein_coding</v>
      </c>
    </row>
    <row r="6020" spans="1:9" x14ac:dyDescent="0.2">
      <c r="A6020" s="3" t="str">
        <f>"ENSG00000100239.16"</f>
        <v>ENSG00000100239.16</v>
      </c>
      <c r="B6020" s="3">
        <v>2959.4048845624502</v>
      </c>
      <c r="C6020" s="3">
        <v>-1.0117185085404099</v>
      </c>
      <c r="D6020" s="3">
        <v>0.19332001732364401</v>
      </c>
      <c r="E6020" s="3">
        <v>-5.2333872226312304</v>
      </c>
      <c r="F6020" s="4">
        <v>1.6643156856552E-7</v>
      </c>
      <c r="G6020" s="4">
        <v>1.63003628637841E-6</v>
      </c>
      <c r="H6020" s="3" t="str">
        <f>"PPP6R2"</f>
        <v>PPP6R2</v>
      </c>
      <c r="I6020" s="3" t="str">
        <f t="shared" si="261"/>
        <v>protein_coding</v>
      </c>
    </row>
    <row r="6021" spans="1:9" x14ac:dyDescent="0.2">
      <c r="A6021" s="3" t="str">
        <f>"ENSG00000100253.13"</f>
        <v>ENSG00000100253.13</v>
      </c>
      <c r="B6021" s="3">
        <v>68.725456882097802</v>
      </c>
      <c r="C6021" s="3">
        <v>1.1622891985453401</v>
      </c>
      <c r="D6021" s="3">
        <v>0.46746199781964298</v>
      </c>
      <c r="E6021" s="3">
        <v>2.4863822170926002</v>
      </c>
      <c r="F6021" s="3">
        <v>1.2904928001403301E-2</v>
      </c>
      <c r="G6021" s="3">
        <v>3.9384024782060302E-2</v>
      </c>
      <c r="H6021" s="3" t="str">
        <f>"MIOX"</f>
        <v>MIOX</v>
      </c>
      <c r="I6021" s="3" t="str">
        <f t="shared" si="261"/>
        <v>protein_coding</v>
      </c>
    </row>
    <row r="6022" spans="1:9" x14ac:dyDescent="0.2">
      <c r="A6022" s="3" t="str">
        <f>"ENSG00000100258.18"</f>
        <v>ENSG00000100258.18</v>
      </c>
      <c r="B6022" s="3">
        <v>2983.8341163206601</v>
      </c>
      <c r="C6022" s="3">
        <v>1.13880203841135</v>
      </c>
      <c r="D6022" s="3">
        <v>0.228115130555896</v>
      </c>
      <c r="E6022" s="3">
        <v>4.9922249157090102</v>
      </c>
      <c r="F6022" s="4">
        <v>5.96876898641475E-7</v>
      </c>
      <c r="G6022" s="4">
        <v>5.3060701002558703E-6</v>
      </c>
      <c r="H6022" s="3" t="str">
        <f>"LMF2"</f>
        <v>LMF2</v>
      </c>
      <c r="I6022" s="3" t="str">
        <f t="shared" si="261"/>
        <v>protein_coding</v>
      </c>
    </row>
    <row r="6023" spans="1:9" x14ac:dyDescent="0.2">
      <c r="A6023" s="3" t="str">
        <f>"ENSG00000100299.18"</f>
        <v>ENSG00000100299.18</v>
      </c>
      <c r="B6023" s="3">
        <v>1278.5777778127101</v>
      </c>
      <c r="C6023" s="3">
        <v>1.6493805392898899</v>
      </c>
      <c r="D6023" s="3">
        <v>0.23492732491019899</v>
      </c>
      <c r="E6023" s="3">
        <v>7.02081181880554</v>
      </c>
      <c r="F6023" s="4">
        <v>2.20582783460293E-12</v>
      </c>
      <c r="G6023" s="4">
        <v>4.191226709165E-11</v>
      </c>
      <c r="H6023" s="3" t="str">
        <f>"ARSA"</f>
        <v>ARSA</v>
      </c>
      <c r="I6023" s="3" t="str">
        <f t="shared" si="261"/>
        <v>protein_coding</v>
      </c>
    </row>
    <row r="6024" spans="1:9" x14ac:dyDescent="0.2">
      <c r="A6024" s="3" t="str">
        <f>"ENSG00000251322.7"</f>
        <v>ENSG00000251322.7</v>
      </c>
      <c r="B6024" s="3">
        <v>1319.53360620426</v>
      </c>
      <c r="C6024" s="3">
        <v>-1.03191280807776</v>
      </c>
      <c r="D6024" s="3">
        <v>0.19993792278466199</v>
      </c>
      <c r="E6024" s="3">
        <v>-5.1611659944529604</v>
      </c>
      <c r="F6024" s="4">
        <v>2.4541644391425798E-7</v>
      </c>
      <c r="G6024" s="4">
        <v>2.3316975583782001E-6</v>
      </c>
      <c r="H6024" s="3" t="str">
        <f>"SHANK3"</f>
        <v>SHANK3</v>
      </c>
      <c r="I6024" s="3" t="str">
        <f t="shared" si="261"/>
        <v>protein_coding</v>
      </c>
    </row>
    <row r="6025" spans="1:9" x14ac:dyDescent="0.2">
      <c r="A6025" s="3" t="str">
        <f>"ENSG00000079974.17"</f>
        <v>ENSG00000079974.17</v>
      </c>
      <c r="B6025" s="3">
        <v>1111.81301180075</v>
      </c>
      <c r="C6025" s="3">
        <v>1.5585011848859101</v>
      </c>
      <c r="D6025" s="3">
        <v>0.204111490329864</v>
      </c>
      <c r="E6025" s="3">
        <v>7.6355387066510296</v>
      </c>
      <c r="F6025" s="4">
        <v>2.2487813189442898E-14</v>
      </c>
      <c r="G6025" s="4">
        <v>5.2684905070743903E-13</v>
      </c>
      <c r="H6025" s="3" t="str">
        <f>"RABL2B"</f>
        <v>RABL2B</v>
      </c>
      <c r="I6025" s="3" t="str">
        <f t="shared" si="261"/>
        <v>protein_coding</v>
      </c>
    </row>
    <row r="6026" spans="1:9" x14ac:dyDescent="0.2">
      <c r="A6026" s="3" t="str">
        <f>"ENSG00000124343.13"</f>
        <v>ENSG00000124343.13</v>
      </c>
      <c r="B6026" s="3">
        <v>4.7680636419614002</v>
      </c>
      <c r="C6026" s="3">
        <v>5.6432542798118002</v>
      </c>
      <c r="D6026" s="3">
        <v>2.1311749596215601</v>
      </c>
      <c r="E6026" s="3">
        <v>2.6479544789761902</v>
      </c>
      <c r="F6026" s="3">
        <v>8.0980428629803102E-3</v>
      </c>
      <c r="G6026" s="3">
        <v>2.66482335613073E-2</v>
      </c>
      <c r="H6026" s="3" t="str">
        <f>"XG"</f>
        <v>XG</v>
      </c>
      <c r="I6026" s="3" t="str">
        <f t="shared" si="261"/>
        <v>protein_coding</v>
      </c>
    </row>
    <row r="6027" spans="1:9" x14ac:dyDescent="0.2">
      <c r="A6027" s="3" t="str">
        <f>"ENSG00000056998.20"</f>
        <v>ENSG00000056998.20</v>
      </c>
      <c r="B6027" s="3">
        <v>738.75188881182703</v>
      </c>
      <c r="C6027" s="3">
        <v>-2.03651520283747</v>
      </c>
      <c r="D6027" s="3">
        <v>0.231132555213486</v>
      </c>
      <c r="E6027" s="3">
        <v>-8.8110270790561902</v>
      </c>
      <c r="F6027" s="4">
        <v>1.24004405173473E-18</v>
      </c>
      <c r="G6027" s="4">
        <v>4.2553501609088499E-17</v>
      </c>
      <c r="H6027" s="3" t="str">
        <f>"GYG2"</f>
        <v>GYG2</v>
      </c>
      <c r="I6027" s="3" t="str">
        <f t="shared" si="261"/>
        <v>protein_coding</v>
      </c>
    </row>
    <row r="6028" spans="1:9" x14ac:dyDescent="0.2">
      <c r="A6028" s="3" t="str">
        <f>"ENSG00000157399.14"</f>
        <v>ENSG00000157399.14</v>
      </c>
      <c r="B6028" s="3">
        <v>1315.2677361418</v>
      </c>
      <c r="C6028" s="3">
        <v>-1.87972978091745</v>
      </c>
      <c r="D6028" s="3">
        <v>0.218443221389403</v>
      </c>
      <c r="E6028" s="3">
        <v>-8.6051183871097994</v>
      </c>
      <c r="F6028" s="4">
        <v>7.6238031643700606E-18</v>
      </c>
      <c r="G6028" s="4">
        <v>2.4210462100185398E-16</v>
      </c>
      <c r="H6028" s="3" t="str">
        <f>"ARSE"</f>
        <v>ARSE</v>
      </c>
      <c r="I6028" s="3" t="str">
        <f t="shared" si="261"/>
        <v>protein_coding</v>
      </c>
    </row>
    <row r="6029" spans="1:9" x14ac:dyDescent="0.2">
      <c r="A6029" s="3" t="str">
        <f>"ENSG00000183943.5"</f>
        <v>ENSG00000183943.5</v>
      </c>
      <c r="B6029" s="3">
        <v>321.26983610745998</v>
      </c>
      <c r="C6029" s="3">
        <v>4.0041453384990398</v>
      </c>
      <c r="D6029" s="3">
        <v>0.30457381736689998</v>
      </c>
      <c r="E6029" s="3">
        <v>13.1467155421161</v>
      </c>
      <c r="F6029" s="4">
        <v>1.77728356223885E-39</v>
      </c>
      <c r="G6029" s="4">
        <v>2.3738061382510701E-37</v>
      </c>
      <c r="H6029" s="3" t="str">
        <f>"PRKX"</f>
        <v>PRKX</v>
      </c>
      <c r="I6029" s="3" t="str">
        <f t="shared" si="261"/>
        <v>protein_coding</v>
      </c>
    </row>
    <row r="6030" spans="1:9" x14ac:dyDescent="0.2">
      <c r="A6030" s="3" t="str">
        <f>"ENSG00000285756.1"</f>
        <v>ENSG00000285756.1</v>
      </c>
      <c r="B6030" s="3">
        <v>1082.5039905941801</v>
      </c>
      <c r="C6030" s="3">
        <v>1.0652629235811399</v>
      </c>
      <c r="D6030" s="3">
        <v>0.19316093372690099</v>
      </c>
      <c r="E6030" s="3">
        <v>5.51489839600411</v>
      </c>
      <c r="F6030" s="4">
        <v>3.4898151228485997E-8</v>
      </c>
      <c r="G6030" s="4">
        <v>3.83190866214306E-7</v>
      </c>
      <c r="H6030" s="3" t="str">
        <f>"BX890604.2"</f>
        <v>BX890604.2</v>
      </c>
      <c r="I6030" s="3" t="str">
        <f>"lincRNA"</f>
        <v>lincRNA</v>
      </c>
    </row>
    <row r="6031" spans="1:9" x14ac:dyDescent="0.2">
      <c r="A6031" s="3" t="str">
        <f>"ENSG00000011201.12"</f>
        <v>ENSG00000011201.12</v>
      </c>
      <c r="B6031" s="3">
        <v>19.3431269809032</v>
      </c>
      <c r="C6031" s="3">
        <v>2.68712582967281</v>
      </c>
      <c r="D6031" s="3">
        <v>0.87954492797553796</v>
      </c>
      <c r="E6031" s="3">
        <v>3.0551319713227199</v>
      </c>
      <c r="F6031" s="3">
        <v>2.2496150930305602E-3</v>
      </c>
      <c r="G6031" s="3">
        <v>8.9143778999132804E-3</v>
      </c>
      <c r="H6031" s="3" t="str">
        <f>"ANOS1"</f>
        <v>ANOS1</v>
      </c>
      <c r="I6031" s="3" t="str">
        <f t="shared" ref="I6031:I6036" si="262">"protein_coding"</f>
        <v>protein_coding</v>
      </c>
    </row>
    <row r="6032" spans="1:9" x14ac:dyDescent="0.2">
      <c r="A6032" s="3" t="str">
        <f>"ENSG00000101849.16"</f>
        <v>ENSG00000101849.16</v>
      </c>
      <c r="B6032" s="3">
        <v>2104.1206186773202</v>
      </c>
      <c r="C6032" s="3">
        <v>-2.2289147256918298</v>
      </c>
      <c r="D6032" s="3">
        <v>0.192639230047812</v>
      </c>
      <c r="E6032" s="3">
        <v>-11.5704092314874</v>
      </c>
      <c r="F6032" s="4">
        <v>5.8204387493308397E-31</v>
      </c>
      <c r="G6032" s="4">
        <v>4.8947374877474499E-29</v>
      </c>
      <c r="H6032" s="3" t="str">
        <f>"TBL1X"</f>
        <v>TBL1X</v>
      </c>
      <c r="I6032" s="3" t="str">
        <f t="shared" si="262"/>
        <v>protein_coding</v>
      </c>
    </row>
    <row r="6033" spans="1:9" x14ac:dyDescent="0.2">
      <c r="A6033" s="3" t="str">
        <f>"ENSG00000101850.13"</f>
        <v>ENSG00000101850.13</v>
      </c>
      <c r="B6033" s="3">
        <v>22.242218012983098</v>
      </c>
      <c r="C6033" s="3">
        <v>2.4842743982644802</v>
      </c>
      <c r="D6033" s="3">
        <v>0.791637744659761</v>
      </c>
      <c r="E6033" s="3">
        <v>3.1381454649211999</v>
      </c>
      <c r="F6033" s="3">
        <v>1.70020477294089E-3</v>
      </c>
      <c r="G6033" s="3">
        <v>7.0232685640267403E-3</v>
      </c>
      <c r="H6033" s="3" t="str">
        <f>"GPR143"</f>
        <v>GPR143</v>
      </c>
      <c r="I6033" s="3" t="str">
        <f t="shared" si="262"/>
        <v>protein_coding</v>
      </c>
    </row>
    <row r="6034" spans="1:9" x14ac:dyDescent="0.2">
      <c r="A6034" s="3" t="str">
        <f>"ENSG00000146950.13"</f>
        <v>ENSG00000146950.13</v>
      </c>
      <c r="B6034" s="3">
        <v>620.36203357513205</v>
      </c>
      <c r="C6034" s="3">
        <v>1.55198206948795</v>
      </c>
      <c r="D6034" s="3">
        <v>0.24539945015977699</v>
      </c>
      <c r="E6034" s="3">
        <v>6.3243094818568997</v>
      </c>
      <c r="F6034" s="4">
        <v>2.5436747019272902E-10</v>
      </c>
      <c r="G6034" s="4">
        <v>3.7182137662775199E-9</v>
      </c>
      <c r="H6034" s="3" t="str">
        <f>"SHROOM2"</f>
        <v>SHROOM2</v>
      </c>
      <c r="I6034" s="3" t="str">
        <f t="shared" si="262"/>
        <v>protein_coding</v>
      </c>
    </row>
    <row r="6035" spans="1:9" x14ac:dyDescent="0.2">
      <c r="A6035" s="3" t="str">
        <f>"ENSG00000047644.18"</f>
        <v>ENSG00000047644.18</v>
      </c>
      <c r="B6035" s="3">
        <v>938.66998690155697</v>
      </c>
      <c r="C6035" s="3">
        <v>1.8703976323968301</v>
      </c>
      <c r="D6035" s="3">
        <v>0.20622680439893901</v>
      </c>
      <c r="E6035" s="3">
        <v>9.0696145821015897</v>
      </c>
      <c r="F6035" s="4">
        <v>1.1943874708681701E-19</v>
      </c>
      <c r="G6035" s="4">
        <v>4.4276837304414902E-18</v>
      </c>
      <c r="H6035" s="3" t="str">
        <f>"WWC3"</f>
        <v>WWC3</v>
      </c>
      <c r="I6035" s="3" t="str">
        <f t="shared" si="262"/>
        <v>protein_coding</v>
      </c>
    </row>
    <row r="6036" spans="1:9" x14ac:dyDescent="0.2">
      <c r="A6036" s="3" t="str">
        <f>"ENSG00000101911.12"</f>
        <v>ENSG00000101911.12</v>
      </c>
      <c r="B6036" s="3">
        <v>896.52703194674405</v>
      </c>
      <c r="C6036" s="3">
        <v>-1.23191910961968</v>
      </c>
      <c r="D6036" s="3">
        <v>0.21485170673963699</v>
      </c>
      <c r="E6036" s="3">
        <v>-5.7338111403162104</v>
      </c>
      <c r="F6036" s="4">
        <v>9.8198671907547597E-9</v>
      </c>
      <c r="G6036" s="4">
        <v>1.16584715183658E-7</v>
      </c>
      <c r="H6036" s="3" t="str">
        <f>"PRPS2"</f>
        <v>PRPS2</v>
      </c>
      <c r="I6036" s="3" t="str">
        <f t="shared" si="262"/>
        <v>protein_coding</v>
      </c>
    </row>
    <row r="6037" spans="1:9" x14ac:dyDescent="0.2">
      <c r="A6037" s="3" t="str">
        <f>"ENSG00000197582.5"</f>
        <v>ENSG00000197582.5</v>
      </c>
      <c r="B6037" s="3">
        <v>122.563805544145</v>
      </c>
      <c r="C6037" s="3">
        <v>2.2730285129898302</v>
      </c>
      <c r="D6037" s="3">
        <v>0.43365436839444599</v>
      </c>
      <c r="E6037" s="3">
        <v>5.2415671987934802</v>
      </c>
      <c r="F6037" s="4">
        <v>1.5921847183377E-7</v>
      </c>
      <c r="G6037" s="4">
        <v>1.5633245773170199E-6</v>
      </c>
      <c r="H6037" s="3" t="str">
        <f>"GPX1P1"</f>
        <v>GPX1P1</v>
      </c>
      <c r="I6037" s="3" t="str">
        <f>"processed_pseudogene"</f>
        <v>processed_pseudogene</v>
      </c>
    </row>
    <row r="6038" spans="1:9" x14ac:dyDescent="0.2">
      <c r="A6038" s="3" t="str">
        <f>"ENSG00000101958.14"</f>
        <v>ENSG00000101958.14</v>
      </c>
      <c r="B6038" s="3">
        <v>5.3236583755540998</v>
      </c>
      <c r="C6038" s="3">
        <v>5.81195320853233</v>
      </c>
      <c r="D6038" s="3">
        <v>2.0127172119138601</v>
      </c>
      <c r="E6038" s="3">
        <v>2.88761539580906</v>
      </c>
      <c r="F6038" s="3">
        <v>3.8817418998348101E-3</v>
      </c>
      <c r="G6038" s="3">
        <v>1.4279262470739599E-2</v>
      </c>
      <c r="H6038" s="3" t="str">
        <f>"GLRA2"</f>
        <v>GLRA2</v>
      </c>
      <c r="I6038" s="3" t="str">
        <f t="shared" ref="I6038:I6043" si="263">"protein_coding"</f>
        <v>protein_coding</v>
      </c>
    </row>
    <row r="6039" spans="1:9" x14ac:dyDescent="0.2">
      <c r="A6039" s="3" t="str">
        <f>"ENSG00000102048.15"</f>
        <v>ENSG00000102048.15</v>
      </c>
      <c r="B6039" s="3">
        <v>68.504460279686697</v>
      </c>
      <c r="C6039" s="3">
        <v>-2.05887566225773</v>
      </c>
      <c r="D6039" s="3">
        <v>0.446086595535999</v>
      </c>
      <c r="E6039" s="3">
        <v>-4.6154170128870797</v>
      </c>
      <c r="F6039" s="4">
        <v>3.9230678145078302E-6</v>
      </c>
      <c r="G6039" s="4">
        <v>3.02381410868161E-5</v>
      </c>
      <c r="H6039" s="3" t="str">
        <f>"ASB9"</f>
        <v>ASB9</v>
      </c>
      <c r="I6039" s="3" t="str">
        <f t="shared" si="263"/>
        <v>protein_coding</v>
      </c>
    </row>
    <row r="6040" spans="1:9" x14ac:dyDescent="0.2">
      <c r="A6040" s="3" t="str">
        <f>"ENSG00000087842.11"</f>
        <v>ENSG00000087842.11</v>
      </c>
      <c r="B6040" s="3">
        <v>551.766376733181</v>
      </c>
      <c r="C6040" s="3">
        <v>-1.81007615496778</v>
      </c>
      <c r="D6040" s="3">
        <v>0.21929727156560899</v>
      </c>
      <c r="E6040" s="3">
        <v>-8.2539839280501308</v>
      </c>
      <c r="F6040" s="4">
        <v>1.5319996586741499E-16</v>
      </c>
      <c r="G6040" s="4">
        <v>4.4032061919719897E-15</v>
      </c>
      <c r="H6040" s="3" t="str">
        <f>"PIR"</f>
        <v>PIR</v>
      </c>
      <c r="I6040" s="3" t="str">
        <f t="shared" si="263"/>
        <v>protein_coding</v>
      </c>
    </row>
    <row r="6041" spans="1:9" x14ac:dyDescent="0.2">
      <c r="A6041" s="3" t="str">
        <f>"ENSG00000102010.15"</f>
        <v>ENSG00000102010.15</v>
      </c>
      <c r="B6041" s="3">
        <v>4.9160218515612604</v>
      </c>
      <c r="C6041" s="3">
        <v>5.6893237459326498</v>
      </c>
      <c r="D6041" s="3">
        <v>2.0655895965157098</v>
      </c>
      <c r="E6041" s="3">
        <v>2.7543340436694499</v>
      </c>
      <c r="F6041" s="3">
        <v>5.8811707954730102E-3</v>
      </c>
      <c r="G6041" s="3">
        <v>2.0353646724787601E-2</v>
      </c>
      <c r="H6041" s="3" t="str">
        <f>"BMX"</f>
        <v>BMX</v>
      </c>
      <c r="I6041" s="3" t="str">
        <f t="shared" si="263"/>
        <v>protein_coding</v>
      </c>
    </row>
    <row r="6042" spans="1:9" x14ac:dyDescent="0.2">
      <c r="A6042" s="3" t="str">
        <f>"ENSG00000147003.7"</f>
        <v>ENSG00000147003.7</v>
      </c>
      <c r="B6042" s="3">
        <v>49.8823588435177</v>
      </c>
      <c r="C6042" s="3">
        <v>3.9176182280812801</v>
      </c>
      <c r="D6042" s="3">
        <v>0.62708945643751401</v>
      </c>
      <c r="E6042" s="3">
        <v>6.2473036149215604</v>
      </c>
      <c r="F6042" s="4">
        <v>4.1759883197256602E-10</v>
      </c>
      <c r="G6042" s="4">
        <v>5.9292940983619102E-9</v>
      </c>
      <c r="H6042" s="3" t="str">
        <f>"CLTRN"</f>
        <v>CLTRN</v>
      </c>
      <c r="I6042" s="3" t="str">
        <f t="shared" si="263"/>
        <v>protein_coding</v>
      </c>
    </row>
    <row r="6043" spans="1:9" x14ac:dyDescent="0.2">
      <c r="A6043" s="3" t="str">
        <f>"ENSG00000188158.15"</f>
        <v>ENSG00000188158.15</v>
      </c>
      <c r="B6043" s="3">
        <v>41.798544697687298</v>
      </c>
      <c r="C6043" s="3">
        <v>6.3241333986159303</v>
      </c>
      <c r="D6043" s="3">
        <v>1.1432537788667101</v>
      </c>
      <c r="E6043" s="3">
        <v>5.5316969123731603</v>
      </c>
      <c r="F6043" s="4">
        <v>3.1714756354069498E-8</v>
      </c>
      <c r="G6043" s="4">
        <v>3.5112654571660301E-7</v>
      </c>
      <c r="H6043" s="3" t="str">
        <f>"NHS"</f>
        <v>NHS</v>
      </c>
      <c r="I6043" s="3" t="str">
        <f t="shared" si="263"/>
        <v>protein_coding</v>
      </c>
    </row>
    <row r="6044" spans="1:9" x14ac:dyDescent="0.2">
      <c r="A6044" s="3" t="str">
        <f>"ENSG00000237836.5"</f>
        <v>ENSG00000237836.5</v>
      </c>
      <c r="B6044" s="3">
        <v>12.818179568702799</v>
      </c>
      <c r="C6044" s="3">
        <v>4.5646988855822404</v>
      </c>
      <c r="D6044" s="3">
        <v>1.36177688635681</v>
      </c>
      <c r="E6044" s="3">
        <v>3.3520167153036802</v>
      </c>
      <c r="F6044" s="3">
        <v>8.0225174862961601E-4</v>
      </c>
      <c r="G6044" s="3">
        <v>3.6389135000684399E-3</v>
      </c>
      <c r="H6044" s="3" t="str">
        <f>"PHKA2-AS1"</f>
        <v>PHKA2-AS1</v>
      </c>
      <c r="I6044" s="3" t="str">
        <f>"antisense"</f>
        <v>antisense</v>
      </c>
    </row>
    <row r="6045" spans="1:9" x14ac:dyDescent="0.2">
      <c r="A6045" s="3" t="str">
        <f>"ENSG00000044446.11"</f>
        <v>ENSG00000044446.11</v>
      </c>
      <c r="B6045" s="3">
        <v>2623.3081241744599</v>
      </c>
      <c r="C6045" s="3">
        <v>-1.94713296017337</v>
      </c>
      <c r="D6045" s="3">
        <v>0.18925888492972701</v>
      </c>
      <c r="E6045" s="3">
        <v>-10.288198416134399</v>
      </c>
      <c r="F6045" s="4">
        <v>7.9652711640505503E-25</v>
      </c>
      <c r="G6045" s="4">
        <v>4.3667956419896502E-23</v>
      </c>
      <c r="H6045" s="3" t="str">
        <f>"PHKA2"</f>
        <v>PHKA2</v>
      </c>
      <c r="I6045" s="3" t="str">
        <f>"protein_coding"</f>
        <v>protein_coding</v>
      </c>
    </row>
    <row r="6046" spans="1:9" x14ac:dyDescent="0.2">
      <c r="A6046" s="3" t="str">
        <f>"ENSG00000173698.18"</f>
        <v>ENSG00000173698.18</v>
      </c>
      <c r="B6046" s="3">
        <v>8.8808356070285495</v>
      </c>
      <c r="C6046" s="3">
        <v>6.54545380227019</v>
      </c>
      <c r="D6046" s="3">
        <v>1.8014170173400601</v>
      </c>
      <c r="E6046" s="3">
        <v>3.63350281432063</v>
      </c>
      <c r="F6046" s="3">
        <v>2.7959939591275902E-4</v>
      </c>
      <c r="G6046" s="3">
        <v>1.4314627471692901E-3</v>
      </c>
      <c r="H6046" s="3" t="str">
        <f>"ADGRG2"</f>
        <v>ADGRG2</v>
      </c>
      <c r="I6046" s="3" t="str">
        <f>"protein_coding"</f>
        <v>protein_coding</v>
      </c>
    </row>
    <row r="6047" spans="1:9" x14ac:dyDescent="0.2">
      <c r="A6047" s="3" t="str">
        <f>"ENSG00000173681.16"</f>
        <v>ENSG00000173681.16</v>
      </c>
      <c r="B6047" s="3">
        <v>753.56521124971596</v>
      </c>
      <c r="C6047" s="3">
        <v>1.50792449560965</v>
      </c>
      <c r="D6047" s="3">
        <v>0.25624924362978502</v>
      </c>
      <c r="E6047" s="3">
        <v>5.8846007670103297</v>
      </c>
      <c r="F6047" s="4">
        <v>3.9901597558155704E-9</v>
      </c>
      <c r="G6047" s="4">
        <v>5.0193851739015198E-8</v>
      </c>
      <c r="H6047" s="3" t="str">
        <f>"BCLAF3"</f>
        <v>BCLAF3</v>
      </c>
      <c r="I6047" s="3" t="str">
        <f>"protein_coding"</f>
        <v>protein_coding</v>
      </c>
    </row>
    <row r="6048" spans="1:9" x14ac:dyDescent="0.2">
      <c r="A6048" s="3" t="str">
        <f>"ENSG00000177189.13"</f>
        <v>ENSG00000177189.13</v>
      </c>
      <c r="B6048" s="3">
        <v>19624.242042666901</v>
      </c>
      <c r="C6048" s="3">
        <v>-2.51953368525459</v>
      </c>
      <c r="D6048" s="3">
        <v>0.170184627776992</v>
      </c>
      <c r="E6048" s="3">
        <v>-14.804707793915201</v>
      </c>
      <c r="F6048" s="4">
        <v>1.36579268367125E-49</v>
      </c>
      <c r="G6048" s="4">
        <v>2.69664878637612E-47</v>
      </c>
      <c r="H6048" s="3" t="str">
        <f>"RPS6KA3"</f>
        <v>RPS6KA3</v>
      </c>
      <c r="I6048" s="3" t="str">
        <f>"protein_coding"</f>
        <v>protein_coding</v>
      </c>
    </row>
    <row r="6049" spans="1:9" x14ac:dyDescent="0.2">
      <c r="A6049" s="3" t="str">
        <f>"ENSG00000149970.16"</f>
        <v>ENSG00000149970.16</v>
      </c>
      <c r="B6049" s="3">
        <v>12.0786375808085</v>
      </c>
      <c r="C6049" s="3">
        <v>6.9934005996025999</v>
      </c>
      <c r="D6049" s="3">
        <v>1.72298453302387</v>
      </c>
      <c r="E6049" s="3">
        <v>4.0588876252586203</v>
      </c>
      <c r="F6049" s="4">
        <v>4.9307032981254298E-5</v>
      </c>
      <c r="G6049" s="3">
        <v>3.02719406858998E-4</v>
      </c>
      <c r="H6049" s="3" t="str">
        <f>"CNKSR2"</f>
        <v>CNKSR2</v>
      </c>
      <c r="I6049" s="3" t="str">
        <f>"protein_coding"</f>
        <v>protein_coding</v>
      </c>
    </row>
    <row r="6050" spans="1:9" x14ac:dyDescent="0.2">
      <c r="A6050" s="3" t="str">
        <f>"ENSG00000233785.1"</f>
        <v>ENSG00000233785.1</v>
      </c>
      <c r="B6050" s="3">
        <v>67.673352118404907</v>
      </c>
      <c r="C6050" s="3">
        <v>1.08539848660713</v>
      </c>
      <c r="D6050" s="3">
        <v>0.44298438169128801</v>
      </c>
      <c r="E6050" s="3">
        <v>2.4501958341356098</v>
      </c>
      <c r="F6050" s="3">
        <v>1.4277853671911299E-2</v>
      </c>
      <c r="G6050" s="3">
        <v>4.2802143139901702E-2</v>
      </c>
      <c r="H6050" s="3" t="str">
        <f>"AC131011.1"</f>
        <v>AC131011.1</v>
      </c>
      <c r="I6050" s="3" t="str">
        <f>"antisense"</f>
        <v>antisense</v>
      </c>
    </row>
    <row r="6051" spans="1:9" x14ac:dyDescent="0.2">
      <c r="A6051" s="3" t="str">
        <f>"ENSG00000130066.16"</f>
        <v>ENSG00000130066.16</v>
      </c>
      <c r="B6051" s="3">
        <v>16337.0109478752</v>
      </c>
      <c r="C6051" s="3">
        <v>1.0705490140413401</v>
      </c>
      <c r="D6051" s="3">
        <v>0.16954115222222499</v>
      </c>
      <c r="E6051" s="3">
        <v>6.3143903412790898</v>
      </c>
      <c r="F6051" s="4">
        <v>2.7122856222562999E-10</v>
      </c>
      <c r="G6051" s="4">
        <v>3.94773751867614E-9</v>
      </c>
      <c r="H6051" s="3" t="str">
        <f>"SAT1"</f>
        <v>SAT1</v>
      </c>
      <c r="I6051" s="3" t="str">
        <f t="shared" ref="I6051:I6062" si="264">"protein_coding"</f>
        <v>protein_coding</v>
      </c>
    </row>
    <row r="6052" spans="1:9" x14ac:dyDescent="0.2">
      <c r="A6052" s="3" t="str">
        <f>"ENSG00000184831.13"</f>
        <v>ENSG00000184831.13</v>
      </c>
      <c r="B6052" s="3">
        <v>353.72354396982598</v>
      </c>
      <c r="C6052" s="3">
        <v>1.2839050251600601</v>
      </c>
      <c r="D6052" s="3">
        <v>0.246136765488847</v>
      </c>
      <c r="E6052" s="3">
        <v>5.2162261196945598</v>
      </c>
      <c r="F6052" s="4">
        <v>1.8260524290107801E-7</v>
      </c>
      <c r="G6052" s="4">
        <v>1.7782148153415599E-6</v>
      </c>
      <c r="H6052" s="3" t="str">
        <f>"APOO"</f>
        <v>APOO</v>
      </c>
      <c r="I6052" s="3" t="str">
        <f t="shared" si="264"/>
        <v>protein_coding</v>
      </c>
    </row>
    <row r="6053" spans="1:9" x14ac:dyDescent="0.2">
      <c r="A6053" s="3" t="str">
        <f>"ENSG00000102230.13"</f>
        <v>ENSG00000102230.13</v>
      </c>
      <c r="B6053" s="3">
        <v>519.78542955322405</v>
      </c>
      <c r="C6053" s="3">
        <v>-1.90484981015995</v>
      </c>
      <c r="D6053" s="3">
        <v>0.24665875002474399</v>
      </c>
      <c r="E6053" s="3">
        <v>-7.7226119485680798</v>
      </c>
      <c r="F6053" s="4">
        <v>1.13969744707139E-14</v>
      </c>
      <c r="G6053" s="4">
        <v>2.7265885037253199E-13</v>
      </c>
      <c r="H6053" s="3" t="str">
        <f>"PCYT1B"</f>
        <v>PCYT1B</v>
      </c>
      <c r="I6053" s="3" t="str">
        <f t="shared" si="264"/>
        <v>protein_coding</v>
      </c>
    </row>
    <row r="6054" spans="1:9" x14ac:dyDescent="0.2">
      <c r="A6054" s="3" t="str">
        <f>"ENSG00000101868.10"</f>
        <v>ENSG00000101868.10</v>
      </c>
      <c r="B6054" s="3">
        <v>1432.9447245386</v>
      </c>
      <c r="C6054" s="3">
        <v>-1.18299557698034</v>
      </c>
      <c r="D6054" s="3">
        <v>0.196644544435919</v>
      </c>
      <c r="E6054" s="3">
        <v>-6.0159084523488904</v>
      </c>
      <c r="F6054" s="4">
        <v>1.7888064894074099E-9</v>
      </c>
      <c r="G6054" s="4">
        <v>2.3387528990827099E-8</v>
      </c>
      <c r="H6054" s="3" t="str">
        <f>"POLA1"</f>
        <v>POLA1</v>
      </c>
      <c r="I6054" s="3" t="str">
        <f t="shared" si="264"/>
        <v>protein_coding</v>
      </c>
    </row>
    <row r="6055" spans="1:9" x14ac:dyDescent="0.2">
      <c r="A6055" s="3" t="str">
        <f>"ENSG00000004848.8"</f>
        <v>ENSG00000004848.8</v>
      </c>
      <c r="B6055" s="3">
        <v>5.6890452139944099</v>
      </c>
      <c r="C6055" s="3">
        <v>5.90458838774253</v>
      </c>
      <c r="D6055" s="3">
        <v>1.96865330632059</v>
      </c>
      <c r="E6055" s="3">
        <v>2.9993033150048101</v>
      </c>
      <c r="F6055" s="3">
        <v>2.70597772509573E-3</v>
      </c>
      <c r="G6055" s="3">
        <v>1.04610918098302E-2</v>
      </c>
      <c r="H6055" s="3" t="str">
        <f>"ARX"</f>
        <v>ARX</v>
      </c>
      <c r="I6055" s="3" t="str">
        <f t="shared" si="264"/>
        <v>protein_coding</v>
      </c>
    </row>
    <row r="6056" spans="1:9" x14ac:dyDescent="0.2">
      <c r="A6056" s="3" t="str">
        <f>"ENSG00000176746.6"</f>
        <v>ENSG00000176746.6</v>
      </c>
      <c r="B6056" s="3">
        <v>11.1214179039687</v>
      </c>
      <c r="C6056" s="3">
        <v>6.8719082283289303</v>
      </c>
      <c r="D6056" s="3">
        <v>1.7335391862289</v>
      </c>
      <c r="E6056" s="3">
        <v>3.96409165879771</v>
      </c>
      <c r="F6056" s="4">
        <v>7.3675942358143994E-5</v>
      </c>
      <c r="G6056" s="3">
        <v>4.3441861100029197E-4</v>
      </c>
      <c r="H6056" s="3" t="str">
        <f>"MAGEB6"</f>
        <v>MAGEB6</v>
      </c>
      <c r="I6056" s="3" t="str">
        <f t="shared" si="264"/>
        <v>protein_coding</v>
      </c>
    </row>
    <row r="6057" spans="1:9" x14ac:dyDescent="0.2">
      <c r="A6057" s="3" t="str">
        <f>"ENSG00000169306.9"</f>
        <v>ENSG00000169306.9</v>
      </c>
      <c r="B6057" s="3">
        <v>3.8893317554809199</v>
      </c>
      <c r="C6057" s="3">
        <v>5.35263968609567</v>
      </c>
      <c r="D6057" s="3">
        <v>2.1805139762792298</v>
      </c>
      <c r="E6057" s="3">
        <v>2.4547605492670499</v>
      </c>
      <c r="F6057" s="3">
        <v>1.40978459500909E-2</v>
      </c>
      <c r="G6057" s="3">
        <v>4.2402473628670397E-2</v>
      </c>
      <c r="H6057" s="3" t="str">
        <f>"IL1RAPL1"</f>
        <v>IL1RAPL1</v>
      </c>
      <c r="I6057" s="3" t="str">
        <f t="shared" si="264"/>
        <v>protein_coding</v>
      </c>
    </row>
    <row r="6058" spans="1:9" x14ac:dyDescent="0.2">
      <c r="A6058" s="3" t="str">
        <f>"ENSG00000165164.14"</f>
        <v>ENSG00000165164.14</v>
      </c>
      <c r="B6058" s="3">
        <v>5.8339976332213803</v>
      </c>
      <c r="C6058" s="3">
        <v>5.9376349820635896</v>
      </c>
      <c r="D6058" s="3">
        <v>1.9699676968919899</v>
      </c>
      <c r="E6058" s="3">
        <v>3.0140773330605199</v>
      </c>
      <c r="F6058" s="3">
        <v>2.5776209366505701E-3</v>
      </c>
      <c r="G6058" s="3">
        <v>1.00332053801311E-2</v>
      </c>
      <c r="H6058" s="3" t="str">
        <f>"CFAP47"</f>
        <v>CFAP47</v>
      </c>
      <c r="I6058" s="3" t="str">
        <f t="shared" si="264"/>
        <v>protein_coding</v>
      </c>
    </row>
    <row r="6059" spans="1:9" x14ac:dyDescent="0.2">
      <c r="A6059" s="3" t="str">
        <f>"ENSG00000101955.15"</f>
        <v>ENSG00000101955.15</v>
      </c>
      <c r="B6059" s="3">
        <v>15.7754706155243</v>
      </c>
      <c r="C6059" s="3">
        <v>3.2109942423739999</v>
      </c>
      <c r="D6059" s="3">
        <v>1.01350653253268</v>
      </c>
      <c r="E6059" s="3">
        <v>3.1682028080765798</v>
      </c>
      <c r="F6059" s="3">
        <v>1.5338448015333401E-3</v>
      </c>
      <c r="G6059" s="3">
        <v>6.4020633130176096E-3</v>
      </c>
      <c r="H6059" s="3" t="str">
        <f>"SRPX"</f>
        <v>SRPX</v>
      </c>
      <c r="I6059" s="3" t="str">
        <f t="shared" si="264"/>
        <v>protein_coding</v>
      </c>
    </row>
    <row r="6060" spans="1:9" x14ac:dyDescent="0.2">
      <c r="A6060" s="3" t="str">
        <f>"ENSG00000183337.16"</f>
        <v>ENSG00000183337.16</v>
      </c>
      <c r="B6060" s="3">
        <v>3069.38137240181</v>
      </c>
      <c r="C6060" s="3">
        <v>-1.0771324491611001</v>
      </c>
      <c r="D6060" s="3">
        <v>0.187368460511009</v>
      </c>
      <c r="E6060" s="3">
        <v>-5.7487393888141503</v>
      </c>
      <c r="F6060" s="4">
        <v>8.9911278263070701E-9</v>
      </c>
      <c r="G6060" s="4">
        <v>1.0740081538070499E-7</v>
      </c>
      <c r="H6060" s="3" t="str">
        <f>"BCOR"</f>
        <v>BCOR</v>
      </c>
      <c r="I6060" s="3" t="str">
        <f t="shared" si="264"/>
        <v>protein_coding</v>
      </c>
    </row>
    <row r="6061" spans="1:9" x14ac:dyDescent="0.2">
      <c r="A6061" s="3" t="str">
        <f>"ENSG00000182220.14"</f>
        <v>ENSG00000182220.14</v>
      </c>
      <c r="B6061" s="3">
        <v>3281.3027105096999</v>
      </c>
      <c r="C6061" s="3">
        <v>1.5346496205659499</v>
      </c>
      <c r="D6061" s="3">
        <v>0.18457422744007601</v>
      </c>
      <c r="E6061" s="3">
        <v>8.3145390439962306</v>
      </c>
      <c r="F6061" s="4">
        <v>9.2109575631067003E-17</v>
      </c>
      <c r="G6061" s="4">
        <v>2.6986124808813799E-15</v>
      </c>
      <c r="H6061" s="3" t="str">
        <f>"ATP6AP2"</f>
        <v>ATP6AP2</v>
      </c>
      <c r="I6061" s="3" t="str">
        <f t="shared" si="264"/>
        <v>protein_coding</v>
      </c>
    </row>
    <row r="6062" spans="1:9" x14ac:dyDescent="0.2">
      <c r="A6062" s="3" t="str">
        <f>"ENSG00000171659.15"</f>
        <v>ENSG00000171659.15</v>
      </c>
      <c r="B6062" s="3">
        <v>7.3377946725351499</v>
      </c>
      <c r="C6062" s="3">
        <v>6.2678095163654897</v>
      </c>
      <c r="D6062" s="3">
        <v>1.8845290122337099</v>
      </c>
      <c r="E6062" s="3">
        <v>3.3259289062025901</v>
      </c>
      <c r="F6062" s="3">
        <v>8.8124402618598502E-4</v>
      </c>
      <c r="G6062" s="3">
        <v>3.9485702978933604E-3</v>
      </c>
      <c r="H6062" s="3" t="str">
        <f>"GPR34"</f>
        <v>GPR34</v>
      </c>
      <c r="I6062" s="3" t="str">
        <f t="shared" si="264"/>
        <v>protein_coding</v>
      </c>
    </row>
    <row r="6063" spans="1:9" x14ac:dyDescent="0.2">
      <c r="A6063" s="3" t="str">
        <f>"ENSG00000251807.1"</f>
        <v>ENSG00000251807.1</v>
      </c>
      <c r="B6063" s="3">
        <v>32.577761433858903</v>
      </c>
      <c r="C6063" s="3">
        <v>2.5945065358928101</v>
      </c>
      <c r="D6063" s="3">
        <v>0.67822506159249696</v>
      </c>
      <c r="E6063" s="3">
        <v>3.8254359545499801</v>
      </c>
      <c r="F6063" s="3">
        <v>1.30540869698436E-4</v>
      </c>
      <c r="G6063" s="3">
        <v>7.28414310193175E-4</v>
      </c>
      <c r="H6063" s="3" t="str">
        <f>"RNU6-202P"</f>
        <v>RNU6-202P</v>
      </c>
      <c r="I6063" s="3" t="str">
        <f>"snRNA"</f>
        <v>snRNA</v>
      </c>
    </row>
    <row r="6064" spans="1:9" x14ac:dyDescent="0.2">
      <c r="A6064" s="3" t="str">
        <f>"ENSG00000224294.1"</f>
        <v>ENSG00000224294.1</v>
      </c>
      <c r="B6064" s="3">
        <v>699.50248902697604</v>
      </c>
      <c r="C6064" s="3">
        <v>5.8264975209485597</v>
      </c>
      <c r="D6064" s="3">
        <v>0.33059873524115202</v>
      </c>
      <c r="E6064" s="3">
        <v>17.624076863749899</v>
      </c>
      <c r="F6064" s="4">
        <v>1.6097477065333801E-69</v>
      </c>
      <c r="G6064" s="4">
        <v>6.8532493374867304E-67</v>
      </c>
      <c r="H6064" s="3" t="str">
        <f>"PINCR"</f>
        <v>PINCR</v>
      </c>
      <c r="I6064" s="3" t="str">
        <f>"lincRNA"</f>
        <v>lincRNA</v>
      </c>
    </row>
    <row r="6065" spans="1:9" x14ac:dyDescent="0.2">
      <c r="A6065" s="3" t="str">
        <f>"ENSG00000285899.1"</f>
        <v>ENSG00000285899.1</v>
      </c>
      <c r="B6065" s="3">
        <v>37.233682435282098</v>
      </c>
      <c r="C6065" s="3">
        <v>3.4662941232659299</v>
      </c>
      <c r="D6065" s="3">
        <v>0.71225992372749403</v>
      </c>
      <c r="E6065" s="3">
        <v>4.8666140095678196</v>
      </c>
      <c r="F6065" s="4">
        <v>1.1352644467517201E-6</v>
      </c>
      <c r="G6065" s="4">
        <v>9.6213220468566792E-6</v>
      </c>
      <c r="H6065" s="3" t="str">
        <f>"AL023574.1"</f>
        <v>AL023574.1</v>
      </c>
      <c r="I6065" s="3" t="str">
        <f>"lincRNA"</f>
        <v>lincRNA</v>
      </c>
    </row>
    <row r="6066" spans="1:9" x14ac:dyDescent="0.2">
      <c r="A6066" s="3" t="str">
        <f>"ENSG00000189221.9"</f>
        <v>ENSG00000189221.9</v>
      </c>
      <c r="B6066" s="3">
        <v>1407.0325522569401</v>
      </c>
      <c r="C6066" s="3">
        <v>1.1208019817421</v>
      </c>
      <c r="D6066" s="3">
        <v>0.18754336006112299</v>
      </c>
      <c r="E6066" s="3">
        <v>5.9762285445713497</v>
      </c>
      <c r="F6066" s="4">
        <v>2.2836257345298401E-9</v>
      </c>
      <c r="G6066" s="4">
        <v>2.9461150752241702E-8</v>
      </c>
      <c r="H6066" s="3" t="str">
        <f>"MAOA"</f>
        <v>MAOA</v>
      </c>
      <c r="I6066" s="3" t="str">
        <f>"protein_coding"</f>
        <v>protein_coding</v>
      </c>
    </row>
    <row r="6067" spans="1:9" x14ac:dyDescent="0.2">
      <c r="A6067" s="3" t="str">
        <f>"ENSG00000270069.1"</f>
        <v>ENSG00000270069.1</v>
      </c>
      <c r="B6067" s="3">
        <v>402.75329093108797</v>
      </c>
      <c r="C6067" s="3">
        <v>1.4158636941360501</v>
      </c>
      <c r="D6067" s="3">
        <v>0.29119374053707497</v>
      </c>
      <c r="E6067" s="3">
        <v>4.8622737958743398</v>
      </c>
      <c r="F6067" s="4">
        <v>1.16044956657258E-6</v>
      </c>
      <c r="G6067" s="4">
        <v>9.8177112801024108E-6</v>
      </c>
      <c r="H6067" s="3" t="str">
        <f>"MIR222HG"</f>
        <v>MIR222HG</v>
      </c>
      <c r="I6067" s="3" t="str">
        <f>"lincRNA"</f>
        <v>lincRNA</v>
      </c>
    </row>
    <row r="6068" spans="1:9" x14ac:dyDescent="0.2">
      <c r="A6068" s="3" t="str">
        <f>"ENSG00000269902.1"</f>
        <v>ENSG00000269902.1</v>
      </c>
      <c r="B6068" s="3">
        <v>97.895214925450006</v>
      </c>
      <c r="C6068" s="3">
        <v>1.58186033372514</v>
      </c>
      <c r="D6068" s="3">
        <v>0.42023563122125301</v>
      </c>
      <c r="E6068" s="3">
        <v>3.7642222986377201</v>
      </c>
      <c r="F6068" s="3">
        <v>1.67068214286686E-4</v>
      </c>
      <c r="G6068" s="3">
        <v>9.0842299634191499E-4</v>
      </c>
      <c r="H6068" s="3" t="str">
        <f>"AC234772.2"</f>
        <v>AC234772.2</v>
      </c>
      <c r="I6068" s="3" t="str">
        <f>"lincRNA"</f>
        <v>lincRNA</v>
      </c>
    </row>
    <row r="6069" spans="1:9" x14ac:dyDescent="0.2">
      <c r="A6069" s="3" t="str">
        <f>"ENSG00000102226.9"</f>
        <v>ENSG00000102226.9</v>
      </c>
      <c r="B6069" s="3">
        <v>4891.9155164593003</v>
      </c>
      <c r="C6069" s="3">
        <v>1.54292031274555</v>
      </c>
      <c r="D6069" s="3">
        <v>0.212183791852149</v>
      </c>
      <c r="E6069" s="3">
        <v>7.2716219239812103</v>
      </c>
      <c r="F6069" s="4">
        <v>3.5519657351638299E-13</v>
      </c>
      <c r="G6069" s="4">
        <v>7.4503780127797394E-12</v>
      </c>
      <c r="H6069" s="3" t="str">
        <f>"USP11"</f>
        <v>USP11</v>
      </c>
      <c r="I6069" s="3" t="str">
        <f t="shared" ref="I6069:I6085" si="265">"protein_coding"</f>
        <v>protein_coding</v>
      </c>
    </row>
    <row r="6070" spans="1:9" x14ac:dyDescent="0.2">
      <c r="A6070" s="3" t="str">
        <f>"ENSG00000008056.14"</f>
        <v>ENSG00000008056.14</v>
      </c>
      <c r="B6070" s="3">
        <v>27.482162711349002</v>
      </c>
      <c r="C6070" s="3">
        <v>6.7197600927063901</v>
      </c>
      <c r="D6070" s="3">
        <v>1.5696130448897101</v>
      </c>
      <c r="E6070" s="3">
        <v>4.2811571390696299</v>
      </c>
      <c r="F6070" s="4">
        <v>1.85924008268784E-5</v>
      </c>
      <c r="G6070" s="3">
        <v>1.2431586388465099E-4</v>
      </c>
      <c r="H6070" s="3" t="str">
        <f>"SYN1"</f>
        <v>SYN1</v>
      </c>
      <c r="I6070" s="3" t="str">
        <f t="shared" si="265"/>
        <v>protein_coding</v>
      </c>
    </row>
    <row r="6071" spans="1:9" x14ac:dyDescent="0.2">
      <c r="A6071" s="3" t="str">
        <f>"ENSG00000102265.12"</f>
        <v>ENSG00000102265.12</v>
      </c>
      <c r="B6071" s="3">
        <v>800.87836601985498</v>
      </c>
      <c r="C6071" s="3">
        <v>1.1736130426451701</v>
      </c>
      <c r="D6071" s="3">
        <v>0.21542777603525001</v>
      </c>
      <c r="E6071" s="3">
        <v>5.44782601503129</v>
      </c>
      <c r="F6071" s="4">
        <v>5.0989197971648998E-8</v>
      </c>
      <c r="G6071" s="4">
        <v>5.4461100632438996E-7</v>
      </c>
      <c r="H6071" s="3" t="str">
        <f>"TIMP1"</f>
        <v>TIMP1</v>
      </c>
      <c r="I6071" s="3" t="str">
        <f t="shared" si="265"/>
        <v>protein_coding</v>
      </c>
    </row>
    <row r="6072" spans="1:9" x14ac:dyDescent="0.2">
      <c r="A6072" s="3" t="str">
        <f>"ENSG00000147118.11"</f>
        <v>ENSG00000147118.11</v>
      </c>
      <c r="B6072" s="3">
        <v>313.29937615868801</v>
      </c>
      <c r="C6072" s="3">
        <v>1.00091680183422</v>
      </c>
      <c r="D6072" s="3">
        <v>0.28640106556253397</v>
      </c>
      <c r="E6072" s="3">
        <v>3.4948082328823502</v>
      </c>
      <c r="F6072" s="3">
        <v>4.7440247776700398E-4</v>
      </c>
      <c r="G6072" s="3">
        <v>2.2877954534013399E-3</v>
      </c>
      <c r="H6072" s="3" t="str">
        <f>"ZNF182"</f>
        <v>ZNF182</v>
      </c>
      <c r="I6072" s="3" t="str">
        <f t="shared" si="265"/>
        <v>protein_coding</v>
      </c>
    </row>
    <row r="6073" spans="1:9" x14ac:dyDescent="0.2">
      <c r="A6073" s="3" t="str">
        <f>"ENSG00000017483.15"</f>
        <v>ENSG00000017483.15</v>
      </c>
      <c r="B6073" s="3">
        <v>1255.0107683814799</v>
      </c>
      <c r="C6073" s="3">
        <v>-2.5182593352392399</v>
      </c>
      <c r="D6073" s="3">
        <v>0.235516377833484</v>
      </c>
      <c r="E6073" s="3">
        <v>-10.6925019754665</v>
      </c>
      <c r="F6073" s="4">
        <v>1.10353196713458E-26</v>
      </c>
      <c r="G6073" s="4">
        <v>6.8963154836045504E-25</v>
      </c>
      <c r="H6073" s="3" t="str">
        <f>"SLC38A5"</f>
        <v>SLC38A5</v>
      </c>
      <c r="I6073" s="3" t="str">
        <f t="shared" si="265"/>
        <v>protein_coding</v>
      </c>
    </row>
    <row r="6074" spans="1:9" x14ac:dyDescent="0.2">
      <c r="A6074" s="3" t="str">
        <f>"ENSG00000068438.15"</f>
        <v>ENSG00000068438.15</v>
      </c>
      <c r="B6074" s="3">
        <v>953.19848682455699</v>
      </c>
      <c r="C6074" s="3">
        <v>-1.06156182924942</v>
      </c>
      <c r="D6074" s="3">
        <v>0.20502843815923799</v>
      </c>
      <c r="E6074" s="3">
        <v>-5.1776321313287301</v>
      </c>
      <c r="F6074" s="4">
        <v>2.24719782447976E-7</v>
      </c>
      <c r="G6074" s="4">
        <v>2.1552058825624799E-6</v>
      </c>
      <c r="H6074" s="3" t="str">
        <f>"FTSJ1"</f>
        <v>FTSJ1</v>
      </c>
      <c r="I6074" s="3" t="str">
        <f t="shared" si="265"/>
        <v>protein_coding</v>
      </c>
    </row>
    <row r="6075" spans="1:9" x14ac:dyDescent="0.2">
      <c r="A6075" s="3" t="str">
        <f>"ENSG00000102312.21"</f>
        <v>ENSG00000102312.21</v>
      </c>
      <c r="B6075" s="3">
        <v>270.52160710000101</v>
      </c>
      <c r="C6075" s="3">
        <v>1.8238258429986201</v>
      </c>
      <c r="D6075" s="3">
        <v>0.27308500222131499</v>
      </c>
      <c r="E6075" s="3">
        <v>6.6786012712647604</v>
      </c>
      <c r="F6075" s="4">
        <v>2.4123350186313701E-11</v>
      </c>
      <c r="G6075" s="4">
        <v>4.0749468228548702E-10</v>
      </c>
      <c r="H6075" s="3" t="str">
        <f>"PORCN"</f>
        <v>PORCN</v>
      </c>
      <c r="I6075" s="3" t="str">
        <f t="shared" si="265"/>
        <v>protein_coding</v>
      </c>
    </row>
    <row r="6076" spans="1:9" x14ac:dyDescent="0.2">
      <c r="A6076" s="3" t="str">
        <f>"ENSG00000147155.11"</f>
        <v>ENSG00000147155.11</v>
      </c>
      <c r="B6076" s="3">
        <v>785.78371067678302</v>
      </c>
      <c r="C6076" s="3">
        <v>-1.66279974458948</v>
      </c>
      <c r="D6076" s="3">
        <v>0.241854719289569</v>
      </c>
      <c r="E6076" s="3">
        <v>-6.87520073816974</v>
      </c>
      <c r="F6076" s="4">
        <v>6.1902628143230604E-12</v>
      </c>
      <c r="G6076" s="4">
        <v>1.11257315898325E-10</v>
      </c>
      <c r="H6076" s="3" t="str">
        <f>"EBP"</f>
        <v>EBP</v>
      </c>
      <c r="I6076" s="3" t="str">
        <f t="shared" si="265"/>
        <v>protein_coding</v>
      </c>
    </row>
    <row r="6077" spans="1:9" x14ac:dyDescent="0.2">
      <c r="A6077" s="3" t="str">
        <f>"ENSG00000101945.16"</f>
        <v>ENSG00000101945.16</v>
      </c>
      <c r="B6077" s="3">
        <v>541.05866505709605</v>
      </c>
      <c r="C6077" s="3">
        <v>-1.44237321594137</v>
      </c>
      <c r="D6077" s="3">
        <v>0.27633109185798699</v>
      </c>
      <c r="E6077" s="3">
        <v>-5.2197282840782799</v>
      </c>
      <c r="F6077" s="4">
        <v>1.79185823599853E-7</v>
      </c>
      <c r="G6077" s="4">
        <v>1.74804014880959E-6</v>
      </c>
      <c r="H6077" s="3" t="str">
        <f>"SUV39H1"</f>
        <v>SUV39H1</v>
      </c>
      <c r="I6077" s="3" t="str">
        <f t="shared" si="265"/>
        <v>protein_coding</v>
      </c>
    </row>
    <row r="6078" spans="1:9" x14ac:dyDescent="0.2">
      <c r="A6078" s="3" t="str">
        <f>"ENSG00000126768.12"</f>
        <v>ENSG00000126768.12</v>
      </c>
      <c r="B6078" s="3">
        <v>1061.3499028507799</v>
      </c>
      <c r="C6078" s="3">
        <v>-1.2074937416434</v>
      </c>
      <c r="D6078" s="3">
        <v>0.24878196621453799</v>
      </c>
      <c r="E6078" s="3">
        <v>-4.8536224711807101</v>
      </c>
      <c r="F6078" s="4">
        <v>1.21226417375245E-6</v>
      </c>
      <c r="G6078" s="4">
        <v>1.02230151477044E-5</v>
      </c>
      <c r="H6078" s="3" t="str">
        <f>"TIMM17B"</f>
        <v>TIMM17B</v>
      </c>
      <c r="I6078" s="3" t="str">
        <f t="shared" si="265"/>
        <v>protein_coding</v>
      </c>
    </row>
    <row r="6079" spans="1:9" x14ac:dyDescent="0.2">
      <c r="A6079" s="3" t="str">
        <f>"ENSG00000171365.17"</f>
        <v>ENSG00000171365.17</v>
      </c>
      <c r="B6079" s="3">
        <v>2139.00241168505</v>
      </c>
      <c r="C6079" s="3">
        <v>-1.7775299458115399</v>
      </c>
      <c r="D6079" s="3">
        <v>0.18155139077947699</v>
      </c>
      <c r="E6079" s="3">
        <v>-9.7907812117541599</v>
      </c>
      <c r="F6079" s="4">
        <v>1.2333920601213E-22</v>
      </c>
      <c r="G6079" s="4">
        <v>5.77426691789092E-21</v>
      </c>
      <c r="H6079" s="3" t="str">
        <f>"CLCN5"</f>
        <v>CLCN5</v>
      </c>
      <c r="I6079" s="3" t="str">
        <f t="shared" si="265"/>
        <v>protein_coding</v>
      </c>
    </row>
    <row r="6080" spans="1:9" x14ac:dyDescent="0.2">
      <c r="A6080" s="3" t="str">
        <f>"ENSG00000274588.2"</f>
        <v>ENSG00000274588.2</v>
      </c>
      <c r="B6080" s="3">
        <v>2477.9839028687802</v>
      </c>
      <c r="C6080" s="3">
        <v>-1.7631767506266101</v>
      </c>
      <c r="D6080" s="3">
        <v>0.18387226684022701</v>
      </c>
      <c r="E6080" s="3">
        <v>-9.5891391395021408</v>
      </c>
      <c r="F6080" s="4">
        <v>8.8822997858033993E-22</v>
      </c>
      <c r="G6080" s="4">
        <v>3.9739905133626498E-20</v>
      </c>
      <c r="H6080" s="3" t="str">
        <f>"DGKK"</f>
        <v>DGKK</v>
      </c>
      <c r="I6080" s="3" t="str">
        <f t="shared" si="265"/>
        <v>protein_coding</v>
      </c>
    </row>
    <row r="6081" spans="1:9" x14ac:dyDescent="0.2">
      <c r="A6081" s="3" t="str">
        <f>"ENSG00000179222.17"</f>
        <v>ENSG00000179222.17</v>
      </c>
      <c r="B6081" s="3">
        <v>7319.6804244689401</v>
      </c>
      <c r="C6081" s="3">
        <v>-1.3079464224328301</v>
      </c>
      <c r="D6081" s="3">
        <v>0.223986133814988</v>
      </c>
      <c r="E6081" s="3">
        <v>-5.8394080033239204</v>
      </c>
      <c r="F6081" s="4">
        <v>5.2386634050439596E-9</v>
      </c>
      <c r="G6081" s="4">
        <v>6.4704379781157203E-8</v>
      </c>
      <c r="H6081" s="3" t="str">
        <f>"MAGED1"</f>
        <v>MAGED1</v>
      </c>
      <c r="I6081" s="3" t="str">
        <f t="shared" si="265"/>
        <v>protein_coding</v>
      </c>
    </row>
    <row r="6082" spans="1:9" x14ac:dyDescent="0.2">
      <c r="A6082" s="3" t="str">
        <f>"ENSG00000179304.16"</f>
        <v>ENSG00000179304.16</v>
      </c>
      <c r="B6082" s="3">
        <v>23.142121444234299</v>
      </c>
      <c r="C6082" s="3">
        <v>-1.81166357194845</v>
      </c>
      <c r="D6082" s="3">
        <v>0.73562850288453097</v>
      </c>
      <c r="E6082" s="3">
        <v>-2.4627424914132501</v>
      </c>
      <c r="F6082" s="3">
        <v>1.37878901957622E-2</v>
      </c>
      <c r="G6082" s="3">
        <v>4.1640284212362197E-2</v>
      </c>
      <c r="H6082" s="3" t="str">
        <f>"AC234031.1"</f>
        <v>AC234031.1</v>
      </c>
      <c r="I6082" s="3" t="str">
        <f t="shared" si="265"/>
        <v>protein_coding</v>
      </c>
    </row>
    <row r="6083" spans="1:9" x14ac:dyDescent="0.2">
      <c r="A6083" s="3" t="str">
        <f>"ENSG00000268350.7"</f>
        <v>ENSG00000268350.7</v>
      </c>
      <c r="B6083" s="3">
        <v>163.85028106566199</v>
      </c>
      <c r="C6083" s="3">
        <v>-1.5901740296956599</v>
      </c>
      <c r="D6083" s="3">
        <v>0.312748990971501</v>
      </c>
      <c r="E6083" s="3">
        <v>-5.0845057077756097</v>
      </c>
      <c r="F6083" s="4">
        <v>3.6858468510786698E-7</v>
      </c>
      <c r="G6083" s="4">
        <v>3.4055025144571198E-6</v>
      </c>
      <c r="H6083" s="3" t="str">
        <f>"FAM156A"</f>
        <v>FAM156A</v>
      </c>
      <c r="I6083" s="3" t="str">
        <f t="shared" si="265"/>
        <v>protein_coding</v>
      </c>
    </row>
    <row r="6084" spans="1:9" x14ac:dyDescent="0.2">
      <c r="A6084" s="3" t="str">
        <f>"ENSG00000158423.17"</f>
        <v>ENSG00000158423.17</v>
      </c>
      <c r="B6084" s="3">
        <v>30.2971006022346</v>
      </c>
      <c r="C6084" s="3">
        <v>2.2024545113683298</v>
      </c>
      <c r="D6084" s="3">
        <v>0.66089335742184097</v>
      </c>
      <c r="E6084" s="3">
        <v>3.3325414556444599</v>
      </c>
      <c r="F6084" s="3">
        <v>8.6056648535495295E-4</v>
      </c>
      <c r="G6084" s="3">
        <v>3.8716068786853802E-3</v>
      </c>
      <c r="H6084" s="3" t="str">
        <f>"RIBC1"</f>
        <v>RIBC1</v>
      </c>
      <c r="I6084" s="3" t="str">
        <f t="shared" si="265"/>
        <v>protein_coding</v>
      </c>
    </row>
    <row r="6085" spans="1:9" x14ac:dyDescent="0.2">
      <c r="A6085" s="3" t="str">
        <f>"ENSG00000187601.4"</f>
        <v>ENSG00000187601.4</v>
      </c>
      <c r="B6085" s="3">
        <v>162.00928016393499</v>
      </c>
      <c r="C6085" s="3">
        <v>1.51112372313904</v>
      </c>
      <c r="D6085" s="3">
        <v>0.33026287511819302</v>
      </c>
      <c r="E6085" s="3">
        <v>4.5755179797252401</v>
      </c>
      <c r="F6085" s="4">
        <v>4.7504316437279799E-6</v>
      </c>
      <c r="G6085" s="4">
        <v>3.6004175520627603E-5</v>
      </c>
      <c r="H6085" s="3" t="str">
        <f>"MAGEH1"</f>
        <v>MAGEH1</v>
      </c>
      <c r="I6085" s="3" t="str">
        <f t="shared" si="265"/>
        <v>protein_coding</v>
      </c>
    </row>
    <row r="6086" spans="1:9" x14ac:dyDescent="0.2">
      <c r="A6086" s="3" t="str">
        <f>"ENSG00000227486.1"</f>
        <v>ENSG00000227486.1</v>
      </c>
      <c r="B6086" s="3">
        <v>4.3694444890872397</v>
      </c>
      <c r="C6086" s="3">
        <v>5.5278073040699196</v>
      </c>
      <c r="D6086" s="3">
        <v>2.1223585767351398</v>
      </c>
      <c r="E6086" s="3">
        <v>2.6045586097771598</v>
      </c>
      <c r="F6086" s="3">
        <v>9.1992685622235906E-3</v>
      </c>
      <c r="G6086" s="3">
        <v>2.9634957497624299E-2</v>
      </c>
      <c r="H6086" s="3" t="str">
        <f>"AL445472.1"</f>
        <v>AL445472.1</v>
      </c>
      <c r="I6086" s="3" t="str">
        <f>"lincRNA"</f>
        <v>lincRNA</v>
      </c>
    </row>
    <row r="6087" spans="1:9" x14ac:dyDescent="0.2">
      <c r="A6087" s="3" t="str">
        <f>"ENSG00000226010.1"</f>
        <v>ENSG00000226010.1</v>
      </c>
      <c r="B6087" s="3">
        <v>20.3858107750826</v>
      </c>
      <c r="C6087" s="3">
        <v>2.3377735866092699</v>
      </c>
      <c r="D6087" s="3">
        <v>0.82197603763787896</v>
      </c>
      <c r="E6087" s="3">
        <v>2.84408970525145</v>
      </c>
      <c r="F6087" s="3">
        <v>4.4538506609533204E-3</v>
      </c>
      <c r="G6087" s="3">
        <v>1.6071257973645201E-2</v>
      </c>
      <c r="H6087" s="3" t="str">
        <f>"AL355852.1"</f>
        <v>AL355852.1</v>
      </c>
      <c r="I6087" s="3" t="str">
        <f>"processed_pseudogene"</f>
        <v>processed_pseudogene</v>
      </c>
    </row>
    <row r="6088" spans="1:9" x14ac:dyDescent="0.2">
      <c r="A6088" s="3" t="str">
        <f>"ENSG00000102053.12"</f>
        <v>ENSG00000102053.12</v>
      </c>
      <c r="B6088" s="3">
        <v>86.034995321169902</v>
      </c>
      <c r="C6088" s="3">
        <v>-1.5611178285802401</v>
      </c>
      <c r="D6088" s="3">
        <v>0.39632256627996798</v>
      </c>
      <c r="E6088" s="3">
        <v>-3.9390081751677002</v>
      </c>
      <c r="F6088" s="4">
        <v>8.1819142630646901E-5</v>
      </c>
      <c r="G6088" s="3">
        <v>4.7849885796463499E-4</v>
      </c>
      <c r="H6088" s="3" t="str">
        <f>"ZC3H12B"</f>
        <v>ZC3H12B</v>
      </c>
      <c r="I6088" s="3" t="str">
        <f t="shared" ref="I6088:I6099" si="266">"protein_coding"</f>
        <v>protein_coding</v>
      </c>
    </row>
    <row r="6089" spans="1:9" x14ac:dyDescent="0.2">
      <c r="A6089" s="3" t="str">
        <f>"ENSG00000131080.15"</f>
        <v>ENSG00000131080.15</v>
      </c>
      <c r="B6089" s="3">
        <v>1723.43699972593</v>
      </c>
      <c r="C6089" s="3">
        <v>1.8736009654724399</v>
      </c>
      <c r="D6089" s="3">
        <v>0.18960368110209699</v>
      </c>
      <c r="E6089" s="3">
        <v>9.8816697786766792</v>
      </c>
      <c r="F6089" s="4">
        <v>4.9992823907361998E-23</v>
      </c>
      <c r="G6089" s="4">
        <v>2.4151675053260499E-21</v>
      </c>
      <c r="H6089" s="3" t="str">
        <f>"EDA2R"</f>
        <v>EDA2R</v>
      </c>
      <c r="I6089" s="3" t="str">
        <f t="shared" si="266"/>
        <v>protein_coding</v>
      </c>
    </row>
    <row r="6090" spans="1:9" x14ac:dyDescent="0.2">
      <c r="A6090" s="3" t="str">
        <f>"ENSG00000079482.13"</f>
        <v>ENSG00000079482.13</v>
      </c>
      <c r="B6090" s="3">
        <v>97.551701221700498</v>
      </c>
      <c r="C6090" s="3">
        <v>-1.1773730310132999</v>
      </c>
      <c r="D6090" s="3">
        <v>0.371890158357912</v>
      </c>
      <c r="E6090" s="3">
        <v>-3.1659160764350802</v>
      </c>
      <c r="F6090" s="3">
        <v>1.5459538951122401E-3</v>
      </c>
      <c r="G6090" s="3">
        <v>6.4476665819873102E-3</v>
      </c>
      <c r="H6090" s="3" t="str">
        <f>"OPHN1"</f>
        <v>OPHN1</v>
      </c>
      <c r="I6090" s="3" t="str">
        <f t="shared" si="266"/>
        <v>protein_coding</v>
      </c>
    </row>
    <row r="6091" spans="1:9" x14ac:dyDescent="0.2">
      <c r="A6091" s="3" t="str">
        <f>"ENSG00000130052.13"</f>
        <v>ENSG00000130052.13</v>
      </c>
      <c r="B6091" s="3">
        <v>19.3166975178097</v>
      </c>
      <c r="C6091" s="3">
        <v>3.8016680735993802</v>
      </c>
      <c r="D6091" s="3">
        <v>0.961533405444711</v>
      </c>
      <c r="E6091" s="3">
        <v>3.9537555867246299</v>
      </c>
      <c r="F6091" s="4">
        <v>7.6933999457564701E-5</v>
      </c>
      <c r="G6091" s="3">
        <v>4.5255196097156001E-4</v>
      </c>
      <c r="H6091" s="3" t="str">
        <f>"STARD8"</f>
        <v>STARD8</v>
      </c>
      <c r="I6091" s="3" t="str">
        <f t="shared" si="266"/>
        <v>protein_coding</v>
      </c>
    </row>
    <row r="6092" spans="1:9" x14ac:dyDescent="0.2">
      <c r="A6092" s="3" t="str">
        <f>"ENSG00000090776.6"</f>
        <v>ENSG00000090776.6</v>
      </c>
      <c r="B6092" s="3">
        <v>1792.2890715271401</v>
      </c>
      <c r="C6092" s="3">
        <v>3.1522632173159502</v>
      </c>
      <c r="D6092" s="3">
        <v>0.235150978518672</v>
      </c>
      <c r="E6092" s="3">
        <v>13.4052736551366</v>
      </c>
      <c r="F6092" s="4">
        <v>5.6315176684550704E-41</v>
      </c>
      <c r="G6092" s="4">
        <v>8.2054525086842498E-39</v>
      </c>
      <c r="H6092" s="3" t="str">
        <f>"EFNB1"</f>
        <v>EFNB1</v>
      </c>
      <c r="I6092" s="3" t="str">
        <f t="shared" si="266"/>
        <v>protein_coding</v>
      </c>
    </row>
    <row r="6093" spans="1:9" x14ac:dyDescent="0.2">
      <c r="A6093" s="3" t="str">
        <f>"ENSG00000130054.4"</f>
        <v>ENSG00000130054.4</v>
      </c>
      <c r="B6093" s="3">
        <v>407.18067658414799</v>
      </c>
      <c r="C6093" s="3">
        <v>-1.50775885338599</v>
      </c>
      <c r="D6093" s="3">
        <v>0.23860585009737401</v>
      </c>
      <c r="E6093" s="3">
        <v>-6.3190355675297996</v>
      </c>
      <c r="F6093" s="4">
        <v>2.6320070003503802E-10</v>
      </c>
      <c r="G6093" s="4">
        <v>3.8390950074168498E-9</v>
      </c>
      <c r="H6093" s="3" t="str">
        <f>"FAM155B"</f>
        <v>FAM155B</v>
      </c>
      <c r="I6093" s="3" t="str">
        <f t="shared" si="266"/>
        <v>protein_coding</v>
      </c>
    </row>
    <row r="6094" spans="1:9" x14ac:dyDescent="0.2">
      <c r="A6094" s="3" t="str">
        <f>"ENSG00000120498.13"</f>
        <v>ENSG00000120498.13</v>
      </c>
      <c r="B6094" s="3">
        <v>7.4829149907246402</v>
      </c>
      <c r="C6094" s="3">
        <v>4.8077649120513</v>
      </c>
      <c r="D6094" s="3">
        <v>1.8386900072933801</v>
      </c>
      <c r="E6094" s="3">
        <v>2.6147773104660099</v>
      </c>
      <c r="F6094" s="3">
        <v>8.9285647666265296E-3</v>
      </c>
      <c r="G6094" s="3">
        <v>2.8994717049192601E-2</v>
      </c>
      <c r="H6094" s="3" t="str">
        <f>"TEX11"</f>
        <v>TEX11</v>
      </c>
      <c r="I6094" s="3" t="str">
        <f t="shared" si="266"/>
        <v>protein_coding</v>
      </c>
    </row>
    <row r="6095" spans="1:9" x14ac:dyDescent="0.2">
      <c r="A6095" s="3" t="str">
        <f>"ENSG00000184481.16"</f>
        <v>ENSG00000184481.16</v>
      </c>
      <c r="B6095" s="3">
        <v>278.735608142709</v>
      </c>
      <c r="C6095" s="3">
        <v>-1.4062970781086299</v>
      </c>
      <c r="D6095" s="3">
        <v>0.26694378748497799</v>
      </c>
      <c r="E6095" s="3">
        <v>-5.2681393763013196</v>
      </c>
      <c r="F6095" s="4">
        <v>1.3781345775836401E-7</v>
      </c>
      <c r="G6095" s="4">
        <v>1.3664495209396501E-6</v>
      </c>
      <c r="H6095" s="3" t="str">
        <f>"FOXO4"</f>
        <v>FOXO4</v>
      </c>
      <c r="I6095" s="3" t="str">
        <f t="shared" si="266"/>
        <v>protein_coding</v>
      </c>
    </row>
    <row r="6096" spans="1:9" x14ac:dyDescent="0.2">
      <c r="A6096" s="3" t="str">
        <f>"ENSG00000169562.10"</f>
        <v>ENSG00000169562.10</v>
      </c>
      <c r="B6096" s="3">
        <v>1131.98875444281</v>
      </c>
      <c r="C6096" s="3">
        <v>-1.1238633024879201</v>
      </c>
      <c r="D6096" s="3">
        <v>0.25691212812834502</v>
      </c>
      <c r="E6096" s="3">
        <v>-4.3745046630358901</v>
      </c>
      <c r="F6096" s="4">
        <v>1.21708521734415E-5</v>
      </c>
      <c r="G6096" s="4">
        <v>8.4834793852586499E-5</v>
      </c>
      <c r="H6096" s="3" t="str">
        <f>"GJB1"</f>
        <v>GJB1</v>
      </c>
      <c r="I6096" s="3" t="str">
        <f t="shared" si="266"/>
        <v>protein_coding</v>
      </c>
    </row>
    <row r="6097" spans="1:9" x14ac:dyDescent="0.2">
      <c r="A6097" s="3" t="str">
        <f>"ENSG00000147130.14"</f>
        <v>ENSG00000147130.14</v>
      </c>
      <c r="B6097" s="3">
        <v>2466.0624613916302</v>
      </c>
      <c r="C6097" s="3">
        <v>-1.7060416129421401</v>
      </c>
      <c r="D6097" s="3">
        <v>0.20571594914522401</v>
      </c>
      <c r="E6097" s="3">
        <v>-8.2931907809334202</v>
      </c>
      <c r="F6097" s="4">
        <v>1.10250297446521E-16</v>
      </c>
      <c r="G6097" s="4">
        <v>3.20254781932342E-15</v>
      </c>
      <c r="H6097" s="3" t="str">
        <f>"ZMYM3"</f>
        <v>ZMYM3</v>
      </c>
      <c r="I6097" s="3" t="str">
        <f t="shared" si="266"/>
        <v>protein_coding</v>
      </c>
    </row>
    <row r="6098" spans="1:9" x14ac:dyDescent="0.2">
      <c r="A6098" s="3" t="str">
        <f>"ENSG00000204131.9"</f>
        <v>ENSG00000204131.9</v>
      </c>
      <c r="B6098" s="3">
        <v>8.2587762445681605</v>
      </c>
      <c r="C6098" s="3">
        <v>6.4429411301088502</v>
      </c>
      <c r="D6098" s="3">
        <v>1.8226190975501899</v>
      </c>
      <c r="E6098" s="3">
        <v>3.5349904644195398</v>
      </c>
      <c r="F6098" s="3">
        <v>4.0778987390595399E-4</v>
      </c>
      <c r="G6098" s="3">
        <v>2.00307385871922E-3</v>
      </c>
      <c r="H6098" s="3" t="str">
        <f>"NHSL2"</f>
        <v>NHSL2</v>
      </c>
      <c r="I6098" s="3" t="str">
        <f t="shared" si="266"/>
        <v>protein_coding</v>
      </c>
    </row>
    <row r="6099" spans="1:9" x14ac:dyDescent="0.2">
      <c r="A6099" s="3" t="str">
        <f>"ENSG00000242732.4"</f>
        <v>ENSG00000242732.4</v>
      </c>
      <c r="B6099" s="3">
        <v>275.00410448193099</v>
      </c>
      <c r="C6099" s="3">
        <v>7.0474549422615498</v>
      </c>
      <c r="D6099" s="3">
        <v>0.57339591931935696</v>
      </c>
      <c r="E6099" s="3">
        <v>12.2907308978186</v>
      </c>
      <c r="F6099" s="4">
        <v>1.0158338027087E-34</v>
      </c>
      <c r="G6099" s="4">
        <v>1.04842513721227E-32</v>
      </c>
      <c r="H6099" s="3" t="str">
        <f>"RTL5"</f>
        <v>RTL5</v>
      </c>
      <c r="I6099" s="3" t="str">
        <f t="shared" si="266"/>
        <v>protein_coding</v>
      </c>
    </row>
    <row r="6100" spans="1:9" x14ac:dyDescent="0.2">
      <c r="A6100" s="3" t="str">
        <f>"ENSG00000270641.1"</f>
        <v>ENSG00000270641.1</v>
      </c>
      <c r="B6100" s="3">
        <v>4.5506350131209503</v>
      </c>
      <c r="C6100" s="3">
        <v>5.5810926405007502</v>
      </c>
      <c r="D6100" s="3">
        <v>2.0811975347712699</v>
      </c>
      <c r="E6100" s="3">
        <v>2.6816736745337999</v>
      </c>
      <c r="F6100" s="3">
        <v>7.3254878825888504E-3</v>
      </c>
      <c r="G6100" s="3">
        <v>2.4457489074488199E-2</v>
      </c>
      <c r="H6100" s="3" t="str">
        <f>"TSIX"</f>
        <v>TSIX</v>
      </c>
      <c r="I6100" s="3" t="str">
        <f>"lincRNA"</f>
        <v>lincRNA</v>
      </c>
    </row>
    <row r="6101" spans="1:9" x14ac:dyDescent="0.2">
      <c r="A6101" s="3" t="str">
        <f>"ENSG00000147100.11"</f>
        <v>ENSG00000147100.11</v>
      </c>
      <c r="B6101" s="3">
        <v>14.8878892568876</v>
      </c>
      <c r="C6101" s="3">
        <v>2.86669912004808</v>
      </c>
      <c r="D6101" s="3">
        <v>1.0086971038202901</v>
      </c>
      <c r="E6101" s="3">
        <v>2.8419821066114599</v>
      </c>
      <c r="F6101" s="3">
        <v>4.4834007828842897E-3</v>
      </c>
      <c r="G6101" s="3">
        <v>1.6152217523634601E-2</v>
      </c>
      <c r="H6101" s="3" t="str">
        <f>"SLC16A2"</f>
        <v>SLC16A2</v>
      </c>
      <c r="I6101" s="3" t="str">
        <f t="shared" ref="I6101:I6124" si="267">"protein_coding"</f>
        <v>protein_coding</v>
      </c>
    </row>
    <row r="6102" spans="1:9" x14ac:dyDescent="0.2">
      <c r="A6102" s="3" t="str">
        <f>"ENSG00000102144.15"</f>
        <v>ENSG00000102144.15</v>
      </c>
      <c r="B6102" s="3">
        <v>12741.4382569599</v>
      </c>
      <c r="C6102" s="3">
        <v>-1.06936654791652</v>
      </c>
      <c r="D6102" s="3">
        <v>0.18596859812807501</v>
      </c>
      <c r="E6102" s="3">
        <v>-5.7502533152400996</v>
      </c>
      <c r="F6102" s="4">
        <v>8.9109834307065499E-9</v>
      </c>
      <c r="G6102" s="4">
        <v>1.0653688702784601E-7</v>
      </c>
      <c r="H6102" s="3" t="str">
        <f>"PGK1"</f>
        <v>PGK1</v>
      </c>
      <c r="I6102" s="3" t="str">
        <f t="shared" si="267"/>
        <v>protein_coding</v>
      </c>
    </row>
    <row r="6103" spans="1:9" x14ac:dyDescent="0.2">
      <c r="A6103" s="3" t="str">
        <f>"ENSG00000126733.21"</f>
        <v>ENSG00000126733.21</v>
      </c>
      <c r="B6103" s="3">
        <v>21.300775189692299</v>
      </c>
      <c r="C6103" s="3">
        <v>3.6755347474140398</v>
      </c>
      <c r="D6103" s="3">
        <v>0.91509414982167003</v>
      </c>
      <c r="E6103" s="3">
        <v>4.0165645776779497</v>
      </c>
      <c r="F6103" s="4">
        <v>5.9052687345603302E-5</v>
      </c>
      <c r="G6103" s="3">
        <v>3.55975347810985E-4</v>
      </c>
      <c r="H6103" s="3" t="str">
        <f>"DACH2"</f>
        <v>DACH2</v>
      </c>
      <c r="I6103" s="3" t="str">
        <f t="shared" si="267"/>
        <v>protein_coding</v>
      </c>
    </row>
    <row r="6104" spans="1:9" x14ac:dyDescent="0.2">
      <c r="A6104" s="3" t="str">
        <f>"ENSG00000147202.18"</f>
        <v>ENSG00000147202.18</v>
      </c>
      <c r="B6104" s="3">
        <v>512.01372520774703</v>
      </c>
      <c r="C6104" s="3">
        <v>-1.01490978570499</v>
      </c>
      <c r="D6104" s="3">
        <v>0.23077386949408399</v>
      </c>
      <c r="E6104" s="3">
        <v>-4.3978540028380904</v>
      </c>
      <c r="F6104" s="4">
        <v>1.09326476900958E-5</v>
      </c>
      <c r="G6104" s="4">
        <v>7.7011854087911396E-5</v>
      </c>
      <c r="H6104" s="3" t="str">
        <f>"DIAPH2"</f>
        <v>DIAPH2</v>
      </c>
      <c r="I6104" s="3" t="str">
        <f t="shared" si="267"/>
        <v>protein_coding</v>
      </c>
    </row>
    <row r="6105" spans="1:9" x14ac:dyDescent="0.2">
      <c r="A6105" s="3" t="str">
        <f>"ENSG00000102384.13"</f>
        <v>ENSG00000102384.13</v>
      </c>
      <c r="B6105" s="3">
        <v>384.01244171443301</v>
      </c>
      <c r="C6105" s="3">
        <v>-1.30388185577067</v>
      </c>
      <c r="D6105" s="3">
        <v>0.237378826598455</v>
      </c>
      <c r="E6105" s="3">
        <v>-5.4928313297979301</v>
      </c>
      <c r="F6105" s="4">
        <v>3.9554052591889102E-8</v>
      </c>
      <c r="G6105" s="4">
        <v>4.3091934065222001E-7</v>
      </c>
      <c r="H6105" s="3" t="str">
        <f>"CENPI"</f>
        <v>CENPI</v>
      </c>
      <c r="I6105" s="3" t="str">
        <f t="shared" si="267"/>
        <v>protein_coding</v>
      </c>
    </row>
    <row r="6106" spans="1:9" x14ac:dyDescent="0.2">
      <c r="A6106" s="3" t="str">
        <f>"ENSG00000102387.15"</f>
        <v>ENSG00000102387.15</v>
      </c>
      <c r="B6106" s="3">
        <v>3.8168555458674298</v>
      </c>
      <c r="C6106" s="3">
        <v>5.3279350919035302</v>
      </c>
      <c r="D6106" s="3">
        <v>2.1809774924298599</v>
      </c>
      <c r="E6106" s="3">
        <v>2.4429115432858599</v>
      </c>
      <c r="F6106" s="3">
        <v>1.4569307781241599E-2</v>
      </c>
      <c r="G6106" s="3">
        <v>4.3474967595607303E-2</v>
      </c>
      <c r="H6106" s="3" t="str">
        <f>"TAF7L"</f>
        <v>TAF7L</v>
      </c>
      <c r="I6106" s="3" t="str">
        <f t="shared" si="267"/>
        <v>protein_coding</v>
      </c>
    </row>
    <row r="6107" spans="1:9" x14ac:dyDescent="0.2">
      <c r="A6107" s="3" t="str">
        <f>"ENSG00000133134.11"</f>
        <v>ENSG00000133134.11</v>
      </c>
      <c r="B6107" s="3">
        <v>24.969222629968002</v>
      </c>
      <c r="C6107" s="3">
        <v>1.9380304506927899</v>
      </c>
      <c r="D6107" s="3">
        <v>0.72651175107847499</v>
      </c>
      <c r="E6107" s="3">
        <v>2.6675830746245599</v>
      </c>
      <c r="F6107" s="3">
        <v>7.6398998937992398E-3</v>
      </c>
      <c r="G6107" s="3">
        <v>2.5361154045607699E-2</v>
      </c>
      <c r="H6107" s="3" t="str">
        <f>"BEX2"</f>
        <v>BEX2</v>
      </c>
      <c r="I6107" s="3" t="str">
        <f t="shared" si="267"/>
        <v>protein_coding</v>
      </c>
    </row>
    <row r="6108" spans="1:9" x14ac:dyDescent="0.2">
      <c r="A6108" s="3" t="str">
        <f>"ENSG00000182916.8"</f>
        <v>ENSG00000182916.8</v>
      </c>
      <c r="B6108" s="3">
        <v>44.878322556913297</v>
      </c>
      <c r="C6108" s="3">
        <v>6.4226340130760802</v>
      </c>
      <c r="D6108" s="3">
        <v>1.14783510314611</v>
      </c>
      <c r="E6108" s="3">
        <v>5.5954326501012499</v>
      </c>
      <c r="F6108" s="4">
        <v>2.2007226837492801E-8</v>
      </c>
      <c r="G6108" s="4">
        <v>2.5015891098922201E-7</v>
      </c>
      <c r="H6108" s="3" t="str">
        <f>"TCEAL7"</f>
        <v>TCEAL7</v>
      </c>
      <c r="I6108" s="3" t="str">
        <f t="shared" si="267"/>
        <v>protein_coding</v>
      </c>
    </row>
    <row r="6109" spans="1:9" x14ac:dyDescent="0.2">
      <c r="A6109" s="3" t="str">
        <f>"ENSG00000123572.17"</f>
        <v>ENSG00000123572.17</v>
      </c>
      <c r="B6109" s="3">
        <v>11.6679952664428</v>
      </c>
      <c r="C6109" s="3">
        <v>6.9377323312180303</v>
      </c>
      <c r="D6109" s="3">
        <v>1.7348700899598299</v>
      </c>
      <c r="E6109" s="3">
        <v>3.9989924152641798</v>
      </c>
      <c r="F6109" s="4">
        <v>6.3612718408908805E-5</v>
      </c>
      <c r="G6109" s="3">
        <v>3.8051717639682502E-4</v>
      </c>
      <c r="H6109" s="3" t="str">
        <f>"NRK"</f>
        <v>NRK</v>
      </c>
      <c r="I6109" s="3" t="str">
        <f t="shared" si="267"/>
        <v>protein_coding</v>
      </c>
    </row>
    <row r="6110" spans="1:9" x14ac:dyDescent="0.2">
      <c r="A6110" s="3" t="str">
        <f>"ENSG00000123561.15"</f>
        <v>ENSG00000123561.15</v>
      </c>
      <c r="B6110" s="3">
        <v>3815.16236380183</v>
      </c>
      <c r="C6110" s="3">
        <v>1.6705101170288601</v>
      </c>
      <c r="D6110" s="3">
        <v>0.18216335425353999</v>
      </c>
      <c r="E6110" s="3">
        <v>9.1703961198683199</v>
      </c>
      <c r="F6110" s="4">
        <v>4.7128401587970998E-20</v>
      </c>
      <c r="G6110" s="4">
        <v>1.8227813267169699E-18</v>
      </c>
      <c r="H6110" s="3" t="str">
        <f>"SERPINA7"</f>
        <v>SERPINA7</v>
      </c>
      <c r="I6110" s="3" t="str">
        <f t="shared" si="267"/>
        <v>protein_coding</v>
      </c>
    </row>
    <row r="6111" spans="1:9" x14ac:dyDescent="0.2">
      <c r="A6111" s="3" t="str">
        <f>"ENSG00000133135.14"</f>
        <v>ENSG00000133135.14</v>
      </c>
      <c r="B6111" s="3">
        <v>1397.3329741317</v>
      </c>
      <c r="C6111" s="3">
        <v>-1.4669527316668001</v>
      </c>
      <c r="D6111" s="3">
        <v>0.18758816919413601</v>
      </c>
      <c r="E6111" s="3">
        <v>-7.8200706258220398</v>
      </c>
      <c r="F6111" s="4">
        <v>5.2793708511143996E-15</v>
      </c>
      <c r="G6111" s="4">
        <v>1.30296211576371E-13</v>
      </c>
      <c r="H6111" s="3" t="str">
        <f>"RNF128"</f>
        <v>RNF128</v>
      </c>
      <c r="I6111" s="3" t="str">
        <f t="shared" si="267"/>
        <v>protein_coding</v>
      </c>
    </row>
    <row r="6112" spans="1:9" x14ac:dyDescent="0.2">
      <c r="A6112" s="3" t="str">
        <f>"ENSG00000133131.15"</f>
        <v>ENSG00000133131.15</v>
      </c>
      <c r="B6112" s="3">
        <v>2063.8337792395801</v>
      </c>
      <c r="C6112" s="3">
        <v>2.1618804511822902</v>
      </c>
      <c r="D6112" s="3">
        <v>0.21456190014439</v>
      </c>
      <c r="E6112" s="3">
        <v>10.0757890833715</v>
      </c>
      <c r="F6112" s="4">
        <v>7.0691061083099007E-24</v>
      </c>
      <c r="G6112" s="4">
        <v>3.6273433923374701E-22</v>
      </c>
      <c r="H6112" s="3" t="str">
        <f>"MORC4"</f>
        <v>MORC4</v>
      </c>
      <c r="I6112" s="3" t="str">
        <f t="shared" si="267"/>
        <v>protein_coding</v>
      </c>
    </row>
    <row r="6113" spans="1:9" x14ac:dyDescent="0.2">
      <c r="A6113" s="3" t="str">
        <f>"ENSG00000165376.10"</f>
        <v>ENSG00000165376.10</v>
      </c>
      <c r="B6113" s="3">
        <v>31.0687251328762</v>
      </c>
      <c r="C6113" s="3">
        <v>-3.4479022178066998</v>
      </c>
      <c r="D6113" s="3">
        <v>0.72363688324485598</v>
      </c>
      <c r="E6113" s="3">
        <v>-4.7646855731647904</v>
      </c>
      <c r="F6113" s="4">
        <v>1.89148368502643E-6</v>
      </c>
      <c r="G6113" s="4">
        <v>1.54026467321922E-5</v>
      </c>
      <c r="H6113" s="3" t="str">
        <f>"CLDN2"</f>
        <v>CLDN2</v>
      </c>
      <c r="I6113" s="3" t="str">
        <f t="shared" si="267"/>
        <v>protein_coding</v>
      </c>
    </row>
    <row r="6114" spans="1:9" x14ac:dyDescent="0.2">
      <c r="A6114" s="3" t="str">
        <f>"ENSG00000089682.16"</f>
        <v>ENSG00000089682.16</v>
      </c>
      <c r="B6114" s="3">
        <v>1267.0370566737699</v>
      </c>
      <c r="C6114" s="3">
        <v>1.2861411851531399</v>
      </c>
      <c r="D6114" s="3">
        <v>0.236456021747835</v>
      </c>
      <c r="E6114" s="3">
        <v>5.4392405642547903</v>
      </c>
      <c r="F6114" s="4">
        <v>5.3508164733485697E-8</v>
      </c>
      <c r="G6114" s="4">
        <v>5.6980604753143498E-7</v>
      </c>
      <c r="H6114" s="3" t="str">
        <f>"RBM41"</f>
        <v>RBM41</v>
      </c>
      <c r="I6114" s="3" t="str">
        <f t="shared" si="267"/>
        <v>protein_coding</v>
      </c>
    </row>
    <row r="6115" spans="1:9" x14ac:dyDescent="0.2">
      <c r="A6115" s="3" t="str">
        <f>"ENSG00000198088.10"</f>
        <v>ENSG00000198088.10</v>
      </c>
      <c r="B6115" s="3">
        <v>333.41088083031298</v>
      </c>
      <c r="C6115" s="3">
        <v>2.2053674435501902</v>
      </c>
      <c r="D6115" s="3">
        <v>0.26923771007934499</v>
      </c>
      <c r="E6115" s="3">
        <v>8.19115361997493</v>
      </c>
      <c r="F6115" s="4">
        <v>2.5873409378416899E-16</v>
      </c>
      <c r="G6115" s="4">
        <v>7.2752609425565101E-15</v>
      </c>
      <c r="H6115" s="3" t="str">
        <f>"NUP62CL"</f>
        <v>NUP62CL</v>
      </c>
      <c r="I6115" s="3" t="str">
        <f t="shared" si="267"/>
        <v>protein_coding</v>
      </c>
    </row>
    <row r="6116" spans="1:9" x14ac:dyDescent="0.2">
      <c r="A6116" s="3" t="str">
        <f>"ENSG00000147234.10"</f>
        <v>ENSG00000147234.10</v>
      </c>
      <c r="B6116" s="3">
        <v>7.1205339426572296</v>
      </c>
      <c r="C6116" s="3">
        <v>4.7409078314218203</v>
      </c>
      <c r="D6116" s="3">
        <v>1.8793872636886499</v>
      </c>
      <c r="E6116" s="3">
        <v>2.5225816536166699</v>
      </c>
      <c r="F6116" s="3">
        <v>1.16496900523568E-2</v>
      </c>
      <c r="G6116" s="3">
        <v>3.6123717407142902E-2</v>
      </c>
      <c r="H6116" s="3" t="str">
        <f>"FRMPD3"</f>
        <v>FRMPD3</v>
      </c>
      <c r="I6116" s="3" t="str">
        <f t="shared" si="267"/>
        <v>protein_coding</v>
      </c>
    </row>
    <row r="6117" spans="1:9" x14ac:dyDescent="0.2">
      <c r="A6117" s="3" t="str">
        <f>"ENSG00000147224.11"</f>
        <v>ENSG00000147224.11</v>
      </c>
      <c r="B6117" s="3">
        <v>1249.76516495181</v>
      </c>
      <c r="C6117" s="3">
        <v>-1.1753263072955999</v>
      </c>
      <c r="D6117" s="3">
        <v>0.206123814458198</v>
      </c>
      <c r="E6117" s="3">
        <v>-5.70204035077158</v>
      </c>
      <c r="F6117" s="4">
        <v>1.18381794940287E-8</v>
      </c>
      <c r="G6117" s="4">
        <v>1.3933256011827199E-7</v>
      </c>
      <c r="H6117" s="3" t="str">
        <f>"PRPS1"</f>
        <v>PRPS1</v>
      </c>
      <c r="I6117" s="3" t="str">
        <f t="shared" si="267"/>
        <v>protein_coding</v>
      </c>
    </row>
    <row r="6118" spans="1:9" x14ac:dyDescent="0.2">
      <c r="A6118" s="3" t="str">
        <f>"ENSG00000157514.16"</f>
        <v>ENSG00000157514.16</v>
      </c>
      <c r="B6118" s="3">
        <v>40.967347761161498</v>
      </c>
      <c r="C6118" s="3">
        <v>1.6653399728062701</v>
      </c>
      <c r="D6118" s="3">
        <v>0.56843362889916904</v>
      </c>
      <c r="E6118" s="3">
        <v>2.9296999476110699</v>
      </c>
      <c r="F6118" s="3">
        <v>3.3928945062838599E-3</v>
      </c>
      <c r="G6118" s="3">
        <v>1.27318821942868E-2</v>
      </c>
      <c r="H6118" s="3" t="str">
        <f>"TSC22D3"</f>
        <v>TSC22D3</v>
      </c>
      <c r="I6118" s="3" t="str">
        <f t="shared" si="267"/>
        <v>protein_coding</v>
      </c>
    </row>
    <row r="6119" spans="1:9" x14ac:dyDescent="0.2">
      <c r="A6119" s="3" t="str">
        <f>"ENSG00000170925.3"</f>
        <v>ENSG00000170925.3</v>
      </c>
      <c r="B6119" s="3">
        <v>7.0841279388879599</v>
      </c>
      <c r="C6119" s="3">
        <v>6.2215057564940697</v>
      </c>
      <c r="D6119" s="3">
        <v>1.87753123217466</v>
      </c>
      <c r="E6119" s="3">
        <v>3.3136629899295902</v>
      </c>
      <c r="F6119" s="3">
        <v>9.2082420897765603E-4</v>
      </c>
      <c r="G6119" s="3">
        <v>4.1056614665380799E-3</v>
      </c>
      <c r="H6119" s="3" t="str">
        <f>"TEX13B"</f>
        <v>TEX13B</v>
      </c>
      <c r="I6119" s="3" t="str">
        <f t="shared" si="267"/>
        <v>protein_coding</v>
      </c>
    </row>
    <row r="6120" spans="1:9" x14ac:dyDescent="0.2">
      <c r="A6120" s="3" t="str">
        <f>"ENSG00000101842.13"</f>
        <v>ENSG00000101842.13</v>
      </c>
      <c r="B6120" s="3">
        <v>6.3473426812615497</v>
      </c>
      <c r="C6120" s="3">
        <v>6.0588050892948804</v>
      </c>
      <c r="D6120" s="3">
        <v>1.9387374818076699</v>
      </c>
      <c r="E6120" s="3">
        <v>3.1251291864670998</v>
      </c>
      <c r="F6120" s="3">
        <v>1.7772698861429101E-3</v>
      </c>
      <c r="G6120" s="3">
        <v>7.2830910795211199E-3</v>
      </c>
      <c r="H6120" s="3" t="str">
        <f>"VSIG1"</f>
        <v>VSIG1</v>
      </c>
      <c r="I6120" s="3" t="str">
        <f t="shared" si="267"/>
        <v>protein_coding</v>
      </c>
    </row>
    <row r="6121" spans="1:9" x14ac:dyDescent="0.2">
      <c r="A6121" s="3" t="str">
        <f>"ENSG00000101844.18"</f>
        <v>ENSG00000101844.18</v>
      </c>
      <c r="B6121" s="3">
        <v>237.652984402757</v>
      </c>
      <c r="C6121" s="3">
        <v>2.3176252445642</v>
      </c>
      <c r="D6121" s="3">
        <v>0.28802520882601801</v>
      </c>
      <c r="E6121" s="3">
        <v>8.0466055523777609</v>
      </c>
      <c r="F6121" s="4">
        <v>8.5121974152815601E-16</v>
      </c>
      <c r="G6121" s="4">
        <v>2.2850427879229201E-14</v>
      </c>
      <c r="H6121" s="3" t="str">
        <f>"ATG4A"</f>
        <v>ATG4A</v>
      </c>
      <c r="I6121" s="3" t="str">
        <f t="shared" si="267"/>
        <v>protein_coding</v>
      </c>
    </row>
    <row r="6122" spans="1:9" x14ac:dyDescent="0.2">
      <c r="A6122" s="3" t="str">
        <f>"ENSG00000243978.8"</f>
        <v>ENSG00000243978.8</v>
      </c>
      <c r="B6122" s="3">
        <v>18.746702059292499</v>
      </c>
      <c r="C6122" s="3">
        <v>3.2317473451688499</v>
      </c>
      <c r="D6122" s="3">
        <v>0.92957451346907705</v>
      </c>
      <c r="E6122" s="3">
        <v>3.4765877273337602</v>
      </c>
      <c r="F6122" s="3">
        <v>5.0783805734369504E-4</v>
      </c>
      <c r="G6122" s="3">
        <v>2.4318213617651398E-3</v>
      </c>
      <c r="H6122" s="3" t="str">
        <f>"RTL9"</f>
        <v>RTL9</v>
      </c>
      <c r="I6122" s="3" t="str">
        <f t="shared" si="267"/>
        <v>protein_coding</v>
      </c>
    </row>
    <row r="6123" spans="1:9" x14ac:dyDescent="0.2">
      <c r="A6123" s="3" t="str">
        <f>"ENSG00000077264.15"</f>
        <v>ENSG00000077264.15</v>
      </c>
      <c r="B6123" s="3">
        <v>11.6712123246882</v>
      </c>
      <c r="C6123" s="3">
        <v>3.8181752772899502</v>
      </c>
      <c r="D6123" s="3">
        <v>1.2307184770490101</v>
      </c>
      <c r="E6123" s="3">
        <v>3.1023953475088</v>
      </c>
      <c r="F6123" s="3">
        <v>1.91961407036737E-3</v>
      </c>
      <c r="G6123" s="3">
        <v>7.7728822373754796E-3</v>
      </c>
      <c r="H6123" s="3" t="str">
        <f>"PAK3"</f>
        <v>PAK3</v>
      </c>
      <c r="I6123" s="3" t="str">
        <f t="shared" si="267"/>
        <v>protein_coding</v>
      </c>
    </row>
    <row r="6124" spans="1:9" x14ac:dyDescent="0.2">
      <c r="A6124" s="3" t="str">
        <f>"ENSG00000077279.18"</f>
        <v>ENSG00000077279.18</v>
      </c>
      <c r="B6124" s="3">
        <v>14.023178928496399</v>
      </c>
      <c r="C6124" s="3">
        <v>5.7319310164849799</v>
      </c>
      <c r="D6124" s="3">
        <v>1.6730605782804</v>
      </c>
      <c r="E6124" s="3">
        <v>3.42601522676265</v>
      </c>
      <c r="F6124" s="3">
        <v>6.1250604411913095E-4</v>
      </c>
      <c r="G6124" s="3">
        <v>2.86702494143858E-3</v>
      </c>
      <c r="H6124" s="3" t="str">
        <f>"DCX"</f>
        <v>DCX</v>
      </c>
      <c r="I6124" s="3" t="str">
        <f t="shared" si="267"/>
        <v>protein_coding</v>
      </c>
    </row>
    <row r="6125" spans="1:9" x14ac:dyDescent="0.2">
      <c r="A6125" s="3" t="str">
        <f>"ENSG00000225031.1"</f>
        <v>ENSG00000225031.1</v>
      </c>
      <c r="B6125" s="3">
        <v>359.875475845474</v>
      </c>
      <c r="C6125" s="3">
        <v>-1.1122185803903899</v>
      </c>
      <c r="D6125" s="3">
        <v>0.246685326575974</v>
      </c>
      <c r="E6125" s="3">
        <v>-4.5086531729638297</v>
      </c>
      <c r="F6125" s="4">
        <v>6.5240459142341098E-6</v>
      </c>
      <c r="G6125" s="4">
        <v>4.8121461566090099E-5</v>
      </c>
      <c r="H6125" s="3" t="str">
        <f>"EIF4BP7"</f>
        <v>EIF4BP7</v>
      </c>
      <c r="I6125" s="3" t="str">
        <f>"processed_pseudogene"</f>
        <v>processed_pseudogene</v>
      </c>
    </row>
    <row r="6126" spans="1:9" x14ac:dyDescent="0.2">
      <c r="A6126" s="3" t="str">
        <f>"ENSG00000187823.3"</f>
        <v>ENSG00000187823.3</v>
      </c>
      <c r="B6126" s="3">
        <v>4.5143969083142101</v>
      </c>
      <c r="C6126" s="3">
        <v>5.5706196242912496</v>
      </c>
      <c r="D6126" s="3">
        <v>2.0836382646555101</v>
      </c>
      <c r="E6126" s="3">
        <v>2.6735061064988899</v>
      </c>
      <c r="F6126" s="3">
        <v>7.5062909580529899E-3</v>
      </c>
      <c r="G6126" s="3">
        <v>2.4963250303194202E-2</v>
      </c>
      <c r="H6126" s="3" t="str">
        <f>"RTL4"</f>
        <v>RTL4</v>
      </c>
      <c r="I6126" s="3" t="str">
        <f>"protein_coding"</f>
        <v>protein_coding</v>
      </c>
    </row>
    <row r="6127" spans="1:9" x14ac:dyDescent="0.2">
      <c r="A6127" s="3" t="str">
        <f>"ENSG00000130224.15"</f>
        <v>ENSG00000130224.15</v>
      </c>
      <c r="B6127" s="3">
        <v>10.373113181738301</v>
      </c>
      <c r="C6127" s="3">
        <v>3.6393926418323601</v>
      </c>
      <c r="D6127" s="3">
        <v>1.35275169990944</v>
      </c>
      <c r="E6127" s="3">
        <v>2.6903626453221299</v>
      </c>
      <c r="F6127" s="3">
        <v>7.1374410212302897E-3</v>
      </c>
      <c r="G6127" s="3">
        <v>2.4006154240891399E-2</v>
      </c>
      <c r="H6127" s="3" t="str">
        <f>"LRCH2"</f>
        <v>LRCH2</v>
      </c>
      <c r="I6127" s="3" t="str">
        <f>"protein_coding"</f>
        <v>protein_coding</v>
      </c>
    </row>
    <row r="6128" spans="1:9" x14ac:dyDescent="0.2">
      <c r="A6128" s="3" t="str">
        <f>"ENSG00000271826.5"</f>
        <v>ENSG00000271826.5</v>
      </c>
      <c r="B6128" s="3">
        <v>15.472540077111701</v>
      </c>
      <c r="C6128" s="3">
        <v>2.6958203823339302</v>
      </c>
      <c r="D6128" s="3">
        <v>0.94267710903693802</v>
      </c>
      <c r="E6128" s="3">
        <v>2.8597494905631602</v>
      </c>
      <c r="F6128" s="3">
        <v>4.2397577471172997E-3</v>
      </c>
      <c r="G6128" s="3">
        <v>1.53883947430006E-2</v>
      </c>
      <c r="H6128" s="3" t="str">
        <f>"PLS3-AS1"</f>
        <v>PLS3-AS1</v>
      </c>
      <c r="I6128" s="3" t="str">
        <f>"antisense"</f>
        <v>antisense</v>
      </c>
    </row>
    <row r="6129" spans="1:9" x14ac:dyDescent="0.2">
      <c r="A6129" s="3" t="str">
        <f>"ENSG00000268104.3"</f>
        <v>ENSG00000268104.3</v>
      </c>
      <c r="B6129" s="3">
        <v>165.01303511628601</v>
      </c>
      <c r="C6129" s="3">
        <v>-3.0361618599099498</v>
      </c>
      <c r="D6129" s="3">
        <v>0.34417295670040599</v>
      </c>
      <c r="E6129" s="3">
        <v>-8.8216165762054608</v>
      </c>
      <c r="F6129" s="4">
        <v>1.12818985755136E-18</v>
      </c>
      <c r="G6129" s="4">
        <v>3.8763920616269803E-17</v>
      </c>
      <c r="H6129" s="3" t="str">
        <f>"SLC6A14"</f>
        <v>SLC6A14</v>
      </c>
      <c r="I6129" s="3" t="str">
        <f>"protein_coding"</f>
        <v>protein_coding</v>
      </c>
    </row>
    <row r="6130" spans="1:9" x14ac:dyDescent="0.2">
      <c r="A6130" s="3" t="str">
        <f>"ENSG00000174460.4"</f>
        <v>ENSG00000174460.4</v>
      </c>
      <c r="B6130" s="3">
        <v>12.860429254255299</v>
      </c>
      <c r="C6130" s="3">
        <v>4.5743419009237902</v>
      </c>
      <c r="D6130" s="3">
        <v>1.3639434625296101</v>
      </c>
      <c r="E6130" s="3">
        <v>3.3537621071478099</v>
      </c>
      <c r="F6130" s="3">
        <v>7.9720870090106005E-4</v>
      </c>
      <c r="G6130" s="3">
        <v>3.62025757890853E-3</v>
      </c>
      <c r="H6130" s="3" t="str">
        <f>"ZCCHC12"</f>
        <v>ZCCHC12</v>
      </c>
      <c r="I6130" s="3" t="str">
        <f>"protein_coding"</f>
        <v>protein_coding</v>
      </c>
    </row>
    <row r="6131" spans="1:9" x14ac:dyDescent="0.2">
      <c r="A6131" s="3" t="str">
        <f>"ENSG00000203650.8"</f>
        <v>ENSG00000203650.8</v>
      </c>
      <c r="B6131" s="3">
        <v>22.1491182298269</v>
      </c>
      <c r="C6131" s="3">
        <v>2.6133475738998899</v>
      </c>
      <c r="D6131" s="3">
        <v>0.82052429950099504</v>
      </c>
      <c r="E6131" s="3">
        <v>3.1849727978674198</v>
      </c>
      <c r="F6131" s="3">
        <v>1.44767615521445E-3</v>
      </c>
      <c r="G6131" s="3">
        <v>6.1022327043824603E-3</v>
      </c>
      <c r="H6131" s="3" t="str">
        <f>"LINC01285"</f>
        <v>LINC01285</v>
      </c>
      <c r="I6131" s="3" t="str">
        <f>"lincRNA"</f>
        <v>lincRNA</v>
      </c>
    </row>
    <row r="6132" spans="1:9" x14ac:dyDescent="0.2">
      <c r="A6132" s="3" t="str">
        <f>"ENSG00000250423.2"</f>
        <v>ENSG00000250423.2</v>
      </c>
      <c r="B6132" s="3">
        <v>8.7358831878015906</v>
      </c>
      <c r="C6132" s="3">
        <v>6.5238874426464601</v>
      </c>
      <c r="D6132" s="3">
        <v>1.80401766912149</v>
      </c>
      <c r="E6132" s="3">
        <v>3.6163101694139299</v>
      </c>
      <c r="F6132" s="3">
        <v>2.9883228082835402E-4</v>
      </c>
      <c r="G6132" s="3">
        <v>1.5176669442181099E-3</v>
      </c>
      <c r="H6132" s="3" t="str">
        <f>"KIAA1210"</f>
        <v>KIAA1210</v>
      </c>
      <c r="I6132" s="3" t="str">
        <f>"protein_coding"</f>
        <v>protein_coding</v>
      </c>
    </row>
    <row r="6133" spans="1:9" x14ac:dyDescent="0.2">
      <c r="A6133" s="3" t="str">
        <f>"ENSG00000077713.19"</f>
        <v>ENSG00000077713.19</v>
      </c>
      <c r="B6133" s="3">
        <v>377.53002598481402</v>
      </c>
      <c r="C6133" s="3">
        <v>-1.27867270390814</v>
      </c>
      <c r="D6133" s="3">
        <v>0.238668985153244</v>
      </c>
      <c r="E6133" s="3">
        <v>-5.35751515047982</v>
      </c>
      <c r="F6133" s="4">
        <v>8.4374294671729095E-8</v>
      </c>
      <c r="G6133" s="4">
        <v>8.6426556651150504E-7</v>
      </c>
      <c r="H6133" s="3" t="str">
        <f>"SLC25A43"</f>
        <v>SLC25A43</v>
      </c>
      <c r="I6133" s="3" t="str">
        <f>"protein_coding"</f>
        <v>protein_coding</v>
      </c>
    </row>
    <row r="6134" spans="1:9" x14ac:dyDescent="0.2">
      <c r="A6134" s="3" t="str">
        <f>"ENSG00000224281.4"</f>
        <v>ENSG00000224281.4</v>
      </c>
      <c r="B6134" s="3">
        <v>43.6267124565411</v>
      </c>
      <c r="C6134" s="3">
        <v>1.7762188392199001</v>
      </c>
      <c r="D6134" s="3">
        <v>0.56824106917574502</v>
      </c>
      <c r="E6134" s="3">
        <v>3.1258191911337501</v>
      </c>
      <c r="F6134" s="3">
        <v>1.77310531738933E-3</v>
      </c>
      <c r="G6134" s="3">
        <v>7.2725877740338904E-3</v>
      </c>
      <c r="H6134" s="3" t="str">
        <f>"SLC25A5-AS1"</f>
        <v>SLC25A5-AS1</v>
      </c>
      <c r="I6134" s="3" t="str">
        <f>"processed_transcript"</f>
        <v>processed_transcript</v>
      </c>
    </row>
    <row r="6135" spans="1:9" x14ac:dyDescent="0.2">
      <c r="A6135" s="3" t="str">
        <f>"ENSG00000005893.15"</f>
        <v>ENSG00000005893.15</v>
      </c>
      <c r="B6135" s="3">
        <v>4202.8144905598601</v>
      </c>
      <c r="C6135" s="3">
        <v>-1.0517607074047199</v>
      </c>
      <c r="D6135" s="3">
        <v>0.18049010224439599</v>
      </c>
      <c r="E6135" s="3">
        <v>-5.82724866530668</v>
      </c>
      <c r="F6135" s="4">
        <v>5.6348620230138698E-9</v>
      </c>
      <c r="G6135" s="4">
        <v>6.9221409170901202E-8</v>
      </c>
      <c r="H6135" s="3" t="str">
        <f>"LAMP2"</f>
        <v>LAMP2</v>
      </c>
      <c r="I6135" s="3" t="str">
        <f>"protein_coding"</f>
        <v>protein_coding</v>
      </c>
    </row>
    <row r="6136" spans="1:9" x14ac:dyDescent="0.2">
      <c r="A6136" s="3" t="str">
        <f>"ENSG00000182890.4"</f>
        <v>ENSG00000182890.4</v>
      </c>
      <c r="B6136" s="3">
        <v>37.6299106498833</v>
      </c>
      <c r="C6136" s="3">
        <v>-2.1056278524552798</v>
      </c>
      <c r="D6136" s="3">
        <v>0.59308959638178405</v>
      </c>
      <c r="E6136" s="3">
        <v>-3.55026941173967</v>
      </c>
      <c r="F6136" s="3">
        <v>3.8483710175127501E-4</v>
      </c>
      <c r="G6136" s="3">
        <v>1.90302296032976E-3</v>
      </c>
      <c r="H6136" s="3" t="str">
        <f>"GLUD2"</f>
        <v>GLUD2</v>
      </c>
      <c r="I6136" s="3" t="str">
        <f>"protein_coding"</f>
        <v>protein_coding</v>
      </c>
    </row>
    <row r="6137" spans="1:9" x14ac:dyDescent="0.2">
      <c r="A6137" s="3" t="str">
        <f>"ENSG00000009694.13"</f>
        <v>ENSG00000009694.13</v>
      </c>
      <c r="B6137" s="3">
        <v>8.8448087700943692</v>
      </c>
      <c r="C6137" s="3">
        <v>3.38530563617164</v>
      </c>
      <c r="D6137" s="3">
        <v>1.32454445786402</v>
      </c>
      <c r="E6137" s="3">
        <v>2.5558263568070898</v>
      </c>
      <c r="F6137" s="3">
        <v>1.05935968472526E-2</v>
      </c>
      <c r="G6137" s="3">
        <v>3.3403973301364603E-2</v>
      </c>
      <c r="H6137" s="3" t="str">
        <f>"TENM1"</f>
        <v>TENM1</v>
      </c>
      <c r="I6137" s="3" t="str">
        <f>"protein_coding"</f>
        <v>protein_coding</v>
      </c>
    </row>
    <row r="6138" spans="1:9" x14ac:dyDescent="0.2">
      <c r="A6138" s="3" t="str">
        <f>"ENSG00000234592.1"</f>
        <v>ENSG00000234592.1</v>
      </c>
      <c r="B6138" s="3">
        <v>26.8044705659442</v>
      </c>
      <c r="C6138" s="3">
        <v>-1.7429538541157299</v>
      </c>
      <c r="D6138" s="3">
        <v>0.66910924205085998</v>
      </c>
      <c r="E6138" s="3">
        <v>-2.6048868324901302</v>
      </c>
      <c r="F6138" s="3">
        <v>9.1904609988446399E-3</v>
      </c>
      <c r="G6138" s="3">
        <v>2.96240968692204E-2</v>
      </c>
      <c r="H6138" s="3" t="str">
        <f>"AL359845.1"</f>
        <v>AL359845.1</v>
      </c>
      <c r="I6138" s="3" t="str">
        <f>"processed_pseudogene"</f>
        <v>processed_pseudogene</v>
      </c>
    </row>
    <row r="6139" spans="1:9" x14ac:dyDescent="0.2">
      <c r="A6139" s="3" t="str">
        <f>"ENSG00000156709.14"</f>
        <v>ENSG00000156709.14</v>
      </c>
      <c r="B6139" s="3">
        <v>1660.4046794702499</v>
      </c>
      <c r="C6139" s="3">
        <v>-1.1445888472302901</v>
      </c>
      <c r="D6139" s="3">
        <v>0.194619210365645</v>
      </c>
      <c r="E6139" s="3">
        <v>-5.8811709547062199</v>
      </c>
      <c r="F6139" s="4">
        <v>4.07374136159245E-9</v>
      </c>
      <c r="G6139" s="4">
        <v>5.1174380303969401E-8</v>
      </c>
      <c r="H6139" s="3" t="str">
        <f>"AIFM1"</f>
        <v>AIFM1</v>
      </c>
      <c r="I6139" s="3" t="str">
        <f>"protein_coding"</f>
        <v>protein_coding</v>
      </c>
    </row>
    <row r="6140" spans="1:9" x14ac:dyDescent="0.2">
      <c r="A6140" s="3" t="str">
        <f>"ENSG00000274775.2"</f>
        <v>ENSG00000274775.2</v>
      </c>
      <c r="B6140" s="3">
        <v>3.7443793362539499</v>
      </c>
      <c r="C6140" s="3">
        <v>5.3028405840866704</v>
      </c>
      <c r="D6140" s="3">
        <v>2.1958005004532399</v>
      </c>
      <c r="E6140" s="3">
        <v>2.4149919735386298</v>
      </c>
      <c r="F6140" s="3">
        <v>1.5735556439619401E-2</v>
      </c>
      <c r="G6140" s="3">
        <v>4.6361019280959197E-2</v>
      </c>
      <c r="H6140" s="3" t="str">
        <f>"Z82195.2"</f>
        <v>Z82195.2</v>
      </c>
      <c r="I6140" s="3" t="str">
        <f>"transcribed_unprocessed_pseudogene"</f>
        <v>transcribed_unprocessed_pseudogene</v>
      </c>
    </row>
    <row r="6141" spans="1:9" x14ac:dyDescent="0.2">
      <c r="A6141" s="3" t="str">
        <f>"ENSG00000147255.19"</f>
        <v>ENSG00000147255.19</v>
      </c>
      <c r="B6141" s="3">
        <v>2418.7696668819799</v>
      </c>
      <c r="C6141" s="3">
        <v>-1.41124411825163</v>
      </c>
      <c r="D6141" s="3">
        <v>0.214717916579964</v>
      </c>
      <c r="E6141" s="3">
        <v>-6.5725494207934902</v>
      </c>
      <c r="F6141" s="4">
        <v>4.94609625759826E-11</v>
      </c>
      <c r="G6141" s="4">
        <v>8.0265803889684304E-10</v>
      </c>
      <c r="H6141" s="3" t="str">
        <f>"IGSF1"</f>
        <v>IGSF1</v>
      </c>
      <c r="I6141" s="3" t="str">
        <f>"protein_coding"</f>
        <v>protein_coding</v>
      </c>
    </row>
    <row r="6142" spans="1:9" x14ac:dyDescent="0.2">
      <c r="A6142" s="3" t="str">
        <f>"ENSG00000213468.6"</f>
        <v>ENSG00000213468.6</v>
      </c>
      <c r="B6142" s="3">
        <v>784.11349481382194</v>
      </c>
      <c r="C6142" s="3">
        <v>-1.08924143107199</v>
      </c>
      <c r="D6142" s="3">
        <v>0.20743081123825299</v>
      </c>
      <c r="E6142" s="3">
        <v>-5.2511072225471001</v>
      </c>
      <c r="F6142" s="4">
        <v>1.51187635306012E-7</v>
      </c>
      <c r="G6142" s="4">
        <v>1.4882259751383301E-6</v>
      </c>
      <c r="H6142" s="3" t="str">
        <f>"FIRRE"</f>
        <v>FIRRE</v>
      </c>
      <c r="I6142" s="3" t="str">
        <f>"processed_transcript"</f>
        <v>processed_transcript</v>
      </c>
    </row>
    <row r="6143" spans="1:9" x14ac:dyDescent="0.2">
      <c r="A6143" s="3" t="str">
        <f>"ENSG00000228089.1"</f>
        <v>ENSG00000228089.1</v>
      </c>
      <c r="B6143" s="3">
        <v>11.877066768431099</v>
      </c>
      <c r="C6143" s="3">
        <v>-7.0845269052117397</v>
      </c>
      <c r="D6143" s="3">
        <v>1.7179661312897101</v>
      </c>
      <c r="E6143" s="3">
        <v>-4.1237872948596799</v>
      </c>
      <c r="F6143" s="4">
        <v>3.7269308686356802E-5</v>
      </c>
      <c r="G6143" s="3">
        <v>2.3408871686887101E-4</v>
      </c>
      <c r="H6143" s="3" t="str">
        <f>"PNKDP1"</f>
        <v>PNKDP1</v>
      </c>
      <c r="I6143" s="3" t="str">
        <f>"processed_pseudogene"</f>
        <v>processed_pseudogene</v>
      </c>
    </row>
    <row r="6144" spans="1:9" x14ac:dyDescent="0.2">
      <c r="A6144" s="3" t="str">
        <f>"ENSG00000232160.6"</f>
        <v>ENSG00000232160.6</v>
      </c>
      <c r="B6144" s="3">
        <v>32.717578455726397</v>
      </c>
      <c r="C6144" s="3">
        <v>2.1688716502414098</v>
      </c>
      <c r="D6144" s="3">
        <v>0.63772140995258197</v>
      </c>
      <c r="E6144" s="3">
        <v>3.4009704181057301</v>
      </c>
      <c r="F6144" s="3">
        <v>6.7147093715205905E-4</v>
      </c>
      <c r="G6144" s="3">
        <v>3.1167919292303501E-3</v>
      </c>
      <c r="H6144" s="3" t="str">
        <f>"RAP2C-AS1"</f>
        <v>RAP2C-AS1</v>
      </c>
      <c r="I6144" s="3" t="str">
        <f>"antisense"</f>
        <v>antisense</v>
      </c>
    </row>
    <row r="6145" spans="1:9" x14ac:dyDescent="0.2">
      <c r="A6145" s="3" t="str">
        <f>"ENSG00000171004.18"</f>
        <v>ENSG00000171004.18</v>
      </c>
      <c r="B6145" s="3">
        <v>25.450337902041401</v>
      </c>
      <c r="C6145" s="3">
        <v>2.1651387701639502</v>
      </c>
      <c r="D6145" s="3">
        <v>0.70837119275977201</v>
      </c>
      <c r="E6145" s="3">
        <v>3.05650313323541</v>
      </c>
      <c r="F6145" s="3">
        <v>2.23935140107284E-3</v>
      </c>
      <c r="G6145" s="3">
        <v>8.8788718895564198E-3</v>
      </c>
      <c r="H6145" s="3" t="str">
        <f>"HS6ST2"</f>
        <v>HS6ST2</v>
      </c>
      <c r="I6145" s="3" t="str">
        <f t="shared" ref="I6145:I6152" si="268">"protein_coding"</f>
        <v>protein_coding</v>
      </c>
    </row>
    <row r="6146" spans="1:9" x14ac:dyDescent="0.2">
      <c r="A6146" s="3" t="str">
        <f>"ENSG00000134588.12"</f>
        <v>ENSG00000134588.12</v>
      </c>
      <c r="B6146" s="3">
        <v>3.7443793362539499</v>
      </c>
      <c r="C6146" s="3">
        <v>5.3028405840866704</v>
      </c>
      <c r="D6146" s="3">
        <v>2.1958005004532399</v>
      </c>
      <c r="E6146" s="3">
        <v>2.4149919735386298</v>
      </c>
      <c r="F6146" s="3">
        <v>1.5735556439619401E-2</v>
      </c>
      <c r="G6146" s="3">
        <v>4.6361019280959197E-2</v>
      </c>
      <c r="H6146" s="3" t="str">
        <f>"USP26"</f>
        <v>USP26</v>
      </c>
      <c r="I6146" s="3" t="str">
        <f t="shared" si="268"/>
        <v>protein_coding</v>
      </c>
    </row>
    <row r="6147" spans="1:9" x14ac:dyDescent="0.2">
      <c r="A6147" s="3" t="str">
        <f>"ENSG00000076716.9"</f>
        <v>ENSG00000076716.9</v>
      </c>
      <c r="B6147" s="3">
        <v>186.35632074058501</v>
      </c>
      <c r="C6147" s="3">
        <v>3.2181201342783101</v>
      </c>
      <c r="D6147" s="3">
        <v>0.33082315070868001</v>
      </c>
      <c r="E6147" s="3">
        <v>9.7276146708129403</v>
      </c>
      <c r="F6147" s="4">
        <v>2.29921134212614E-22</v>
      </c>
      <c r="G6147" s="4">
        <v>1.06180697354086E-20</v>
      </c>
      <c r="H6147" s="3" t="str">
        <f>"GPC4"</f>
        <v>GPC4</v>
      </c>
      <c r="I6147" s="3" t="str">
        <f t="shared" si="268"/>
        <v>protein_coding</v>
      </c>
    </row>
    <row r="6148" spans="1:9" x14ac:dyDescent="0.2">
      <c r="A6148" s="3" t="str">
        <f>"ENSG00000170965.10"</f>
        <v>ENSG00000170965.10</v>
      </c>
      <c r="B6148" s="3">
        <v>22.825369278188901</v>
      </c>
      <c r="C6148" s="3">
        <v>2.2874474566746499</v>
      </c>
      <c r="D6148" s="3">
        <v>0.756322694101907</v>
      </c>
      <c r="E6148" s="3">
        <v>3.0244331877292998</v>
      </c>
      <c r="F6148" s="3">
        <v>2.4909948452790502E-3</v>
      </c>
      <c r="G6148" s="3">
        <v>9.7321675579750896E-3</v>
      </c>
      <c r="H6148" s="3" t="str">
        <f>"PLAC1"</f>
        <v>PLAC1</v>
      </c>
      <c r="I6148" s="3" t="str">
        <f t="shared" si="268"/>
        <v>protein_coding</v>
      </c>
    </row>
    <row r="6149" spans="1:9" x14ac:dyDescent="0.2">
      <c r="A6149" s="3" t="str">
        <f>"ENSG00000156504.16"</f>
        <v>ENSG00000156504.16</v>
      </c>
      <c r="B6149" s="3">
        <v>1031.98643312748</v>
      </c>
      <c r="C6149" s="3">
        <v>1.0374899965408899</v>
      </c>
      <c r="D6149" s="3">
        <v>0.20232349659393201</v>
      </c>
      <c r="E6149" s="3">
        <v>5.1278769594574198</v>
      </c>
      <c r="F6149" s="4">
        <v>2.9302784099646398E-7</v>
      </c>
      <c r="G6149" s="4">
        <v>2.7474637245804099E-6</v>
      </c>
      <c r="H6149" s="3" t="str">
        <f>"FAM122B"</f>
        <v>FAM122B</v>
      </c>
      <c r="I6149" s="3" t="str">
        <f t="shared" si="268"/>
        <v>protein_coding</v>
      </c>
    </row>
    <row r="6150" spans="1:9" x14ac:dyDescent="0.2">
      <c r="A6150" s="3" t="str">
        <f>"ENSG00000156500.15"</f>
        <v>ENSG00000156500.15</v>
      </c>
      <c r="B6150" s="3">
        <v>347.45673574224202</v>
      </c>
      <c r="C6150" s="3">
        <v>4.0004927104297803</v>
      </c>
      <c r="D6150" s="3">
        <v>0.29725416547024103</v>
      </c>
      <c r="E6150" s="3">
        <v>13.4581552594938</v>
      </c>
      <c r="F6150" s="4">
        <v>2.7571396184091898E-41</v>
      </c>
      <c r="G6150" s="4">
        <v>4.0828143034127803E-39</v>
      </c>
      <c r="H6150" s="3" t="str">
        <f>"FAM122C"</f>
        <v>FAM122C</v>
      </c>
      <c r="I6150" s="3" t="str">
        <f t="shared" si="268"/>
        <v>protein_coding</v>
      </c>
    </row>
    <row r="6151" spans="1:9" x14ac:dyDescent="0.2">
      <c r="A6151" s="3" t="str">
        <f>"ENSG00000101928.13"</f>
        <v>ENSG00000101928.13</v>
      </c>
      <c r="B6151" s="3">
        <v>1022.92087699247</v>
      </c>
      <c r="C6151" s="3">
        <v>1.7358633827818599</v>
      </c>
      <c r="D6151" s="3">
        <v>0.236725951329047</v>
      </c>
      <c r="E6151" s="3">
        <v>7.33279715652733</v>
      </c>
      <c r="F6151" s="4">
        <v>2.25397964482735E-13</v>
      </c>
      <c r="G6151" s="4">
        <v>4.8357624710717203E-12</v>
      </c>
      <c r="H6151" s="3" t="str">
        <f>"MOSPD1"</f>
        <v>MOSPD1</v>
      </c>
      <c r="I6151" s="3" t="str">
        <f t="shared" si="268"/>
        <v>protein_coding</v>
      </c>
    </row>
    <row r="6152" spans="1:9" x14ac:dyDescent="0.2">
      <c r="A6152" s="3" t="str">
        <f>"ENSG00000134590.13"</f>
        <v>ENSG00000134590.13</v>
      </c>
      <c r="B6152" s="3">
        <v>608.41512278313496</v>
      </c>
      <c r="C6152" s="3">
        <v>1.3138991228568899</v>
      </c>
      <c r="D6152" s="3">
        <v>0.24083833457840501</v>
      </c>
      <c r="E6152" s="3">
        <v>5.4555232046298201</v>
      </c>
      <c r="F6152" s="4">
        <v>4.8828854218853898E-8</v>
      </c>
      <c r="G6152" s="4">
        <v>5.2358905584459302E-7</v>
      </c>
      <c r="H6152" s="3" t="str">
        <f>"RTL8C"</f>
        <v>RTL8C</v>
      </c>
      <c r="I6152" s="3" t="str">
        <f t="shared" si="268"/>
        <v>protein_coding</v>
      </c>
    </row>
    <row r="6153" spans="1:9" x14ac:dyDescent="0.2">
      <c r="A6153" s="3" t="str">
        <f>"ENSG00000236491.1"</f>
        <v>ENSG00000236491.1</v>
      </c>
      <c r="B6153" s="3">
        <v>4.6261170131073301</v>
      </c>
      <c r="C6153" s="3">
        <v>5.6094325569646601</v>
      </c>
      <c r="D6153" s="3">
        <v>2.08410562928304</v>
      </c>
      <c r="E6153" s="3">
        <v>2.6915298716862002</v>
      </c>
      <c r="F6153" s="3">
        <v>7.1125128459038501E-3</v>
      </c>
      <c r="G6153" s="3">
        <v>2.39370846729672E-2</v>
      </c>
      <c r="H6153" s="3" t="str">
        <f>"AC234771.4"</f>
        <v>AC234771.4</v>
      </c>
      <c r="I6153" s="3" t="str">
        <f>"unprocessed_pseudogene"</f>
        <v>unprocessed_pseudogene</v>
      </c>
    </row>
    <row r="6154" spans="1:9" x14ac:dyDescent="0.2">
      <c r="A6154" s="3" t="str">
        <f>"ENSG00000156920.10"</f>
        <v>ENSG00000156920.10</v>
      </c>
      <c r="B6154" s="3">
        <v>9.4000677057620106</v>
      </c>
      <c r="C6154" s="3">
        <v>5.14095968639662</v>
      </c>
      <c r="D6154" s="3">
        <v>1.76625265914754</v>
      </c>
      <c r="E6154" s="3">
        <v>2.9106592761637202</v>
      </c>
      <c r="F6154" s="3">
        <v>3.6066708708441999E-3</v>
      </c>
      <c r="G6154" s="3">
        <v>1.3436007823064301E-2</v>
      </c>
      <c r="H6154" s="3" t="str">
        <f>"ADGRG4"</f>
        <v>ADGRG4</v>
      </c>
      <c r="I6154" s="3" t="str">
        <f>"protein_coding"</f>
        <v>protein_coding</v>
      </c>
    </row>
    <row r="6155" spans="1:9" x14ac:dyDescent="0.2">
      <c r="A6155" s="3" t="str">
        <f>"ENSG00000129675.16"</f>
        <v>ENSG00000129675.16</v>
      </c>
      <c r="B6155" s="3">
        <v>9.5727011866545908</v>
      </c>
      <c r="C6155" s="3">
        <v>4.1411325906978202</v>
      </c>
      <c r="D6155" s="3">
        <v>1.45034563060135</v>
      </c>
      <c r="E6155" s="3">
        <v>2.8552729110376398</v>
      </c>
      <c r="F6155" s="3">
        <v>4.2999861490545599E-3</v>
      </c>
      <c r="G6155" s="3">
        <v>1.55800163036289E-2</v>
      </c>
      <c r="H6155" s="3" t="str">
        <f>"ARHGEF6"</f>
        <v>ARHGEF6</v>
      </c>
      <c r="I6155" s="3" t="str">
        <f>"protein_coding"</f>
        <v>protein_coding</v>
      </c>
    </row>
    <row r="6156" spans="1:9" x14ac:dyDescent="0.2">
      <c r="A6156" s="3" t="str">
        <f>"ENSG00000232611.1"</f>
        <v>ENSG00000232611.1</v>
      </c>
      <c r="B6156" s="3">
        <v>77.855336027666297</v>
      </c>
      <c r="C6156" s="3">
        <v>1.3270256970585601</v>
      </c>
      <c r="D6156" s="3">
        <v>0.41270582286012603</v>
      </c>
      <c r="E6156" s="3">
        <v>3.21542760861001</v>
      </c>
      <c r="F6156" s="3">
        <v>1.3025034189193901E-3</v>
      </c>
      <c r="G6156" s="3">
        <v>5.5530137154274203E-3</v>
      </c>
      <c r="H6156" s="3" t="str">
        <f>"AL683813.1"</f>
        <v>AL683813.1</v>
      </c>
      <c r="I6156" s="3" t="str">
        <f>"lincRNA"</f>
        <v>lincRNA</v>
      </c>
    </row>
    <row r="6157" spans="1:9" x14ac:dyDescent="0.2">
      <c r="A6157" s="3" t="str">
        <f>"ENSG00000101977.21"</f>
        <v>ENSG00000101977.21</v>
      </c>
      <c r="B6157" s="3">
        <v>9.9673120106888007</v>
      </c>
      <c r="C6157" s="3">
        <v>3.0956992092042901</v>
      </c>
      <c r="D6157" s="3">
        <v>1.2817190427751599</v>
      </c>
      <c r="E6157" s="3">
        <v>2.4152712926083502</v>
      </c>
      <c r="F6157" s="3">
        <v>1.57234935591463E-2</v>
      </c>
      <c r="G6157" s="3">
        <v>4.6361019280959197E-2</v>
      </c>
      <c r="H6157" s="3" t="str">
        <f>"MCF2"</f>
        <v>MCF2</v>
      </c>
      <c r="I6157" s="3" t="str">
        <f t="shared" ref="I6157:I6162" si="269">"protein_coding"</f>
        <v>protein_coding</v>
      </c>
    </row>
    <row r="6158" spans="1:9" x14ac:dyDescent="0.2">
      <c r="A6158" s="3" t="str">
        <f>"ENSG00000155966.13"</f>
        <v>ENSG00000155966.13</v>
      </c>
      <c r="B6158" s="3">
        <v>9.1796332865486701</v>
      </c>
      <c r="C6158" s="3">
        <v>5.1053560649760197</v>
      </c>
      <c r="D6158" s="3">
        <v>1.77440025296889</v>
      </c>
      <c r="E6158" s="3">
        <v>2.8772291124473299</v>
      </c>
      <c r="F6158" s="3">
        <v>4.0118419508958E-3</v>
      </c>
      <c r="G6158" s="3">
        <v>1.46883442133913E-2</v>
      </c>
      <c r="H6158" s="3" t="str">
        <f>"AFF2"</f>
        <v>AFF2</v>
      </c>
      <c r="I6158" s="3" t="str">
        <f t="shared" si="269"/>
        <v>protein_coding</v>
      </c>
    </row>
    <row r="6159" spans="1:9" x14ac:dyDescent="0.2">
      <c r="A6159" s="3" t="str">
        <f>"ENSG00000013619.14"</f>
        <v>ENSG00000013619.14</v>
      </c>
      <c r="B6159" s="3">
        <v>12.8848932576755</v>
      </c>
      <c r="C6159" s="3">
        <v>7.0855579538717004</v>
      </c>
      <c r="D6159" s="3">
        <v>1.7009312118156199</v>
      </c>
      <c r="E6159" s="3">
        <v>4.1656934182002496</v>
      </c>
      <c r="F6159" s="4">
        <v>3.1040762038053401E-5</v>
      </c>
      <c r="G6159" s="3">
        <v>1.9820093111137899E-4</v>
      </c>
      <c r="H6159" s="3" t="str">
        <f>"MAMLD1"</f>
        <v>MAMLD1</v>
      </c>
      <c r="I6159" s="3" t="str">
        <f t="shared" si="269"/>
        <v>protein_coding</v>
      </c>
    </row>
    <row r="6160" spans="1:9" x14ac:dyDescent="0.2">
      <c r="A6160" s="3" t="str">
        <f>"ENSG00000102181.21"</f>
        <v>ENSG00000102181.21</v>
      </c>
      <c r="B6160" s="3">
        <v>625.73197293477403</v>
      </c>
      <c r="C6160" s="3">
        <v>1.5956808712367501</v>
      </c>
      <c r="D6160" s="3">
        <v>0.231807429442696</v>
      </c>
      <c r="E6160" s="3">
        <v>6.8836485313392597</v>
      </c>
      <c r="F6160" s="4">
        <v>5.8338708657413498E-12</v>
      </c>
      <c r="G6160" s="4">
        <v>1.0519886133610499E-10</v>
      </c>
      <c r="H6160" s="3" t="str">
        <f>"CD99L2"</f>
        <v>CD99L2</v>
      </c>
      <c r="I6160" s="3" t="str">
        <f t="shared" si="269"/>
        <v>protein_coding</v>
      </c>
    </row>
    <row r="6161" spans="1:9" x14ac:dyDescent="0.2">
      <c r="A6161" s="3" t="str">
        <f>"ENSG00000029993.15"</f>
        <v>ENSG00000029993.15</v>
      </c>
      <c r="B6161" s="3">
        <v>3505.3224293193898</v>
      </c>
      <c r="C6161" s="3">
        <v>1.74564168714199</v>
      </c>
      <c r="D6161" s="3">
        <v>0.17744574249550699</v>
      </c>
      <c r="E6161" s="3">
        <v>9.8376081758410603</v>
      </c>
      <c r="F6161" s="4">
        <v>7.7532121586175897E-23</v>
      </c>
      <c r="G6161" s="4">
        <v>3.6739438554061504E-21</v>
      </c>
      <c r="H6161" s="3" t="str">
        <f>"HMGB3"</f>
        <v>HMGB3</v>
      </c>
      <c r="I6161" s="3" t="str">
        <f t="shared" si="269"/>
        <v>protein_coding</v>
      </c>
    </row>
    <row r="6162" spans="1:9" x14ac:dyDescent="0.2">
      <c r="A6162" s="3" t="str">
        <f>"ENSG00000102195.9"</f>
        <v>ENSG00000102195.9</v>
      </c>
      <c r="B6162" s="3">
        <v>127.01273195333</v>
      </c>
      <c r="C6162" s="3">
        <v>7.93601757188602</v>
      </c>
      <c r="D6162" s="3">
        <v>1.0720726925683599</v>
      </c>
      <c r="E6162" s="3">
        <v>7.4024995011054502</v>
      </c>
      <c r="F6162" s="4">
        <v>1.33644696177262E-13</v>
      </c>
      <c r="G6162" s="4">
        <v>2.9532984888417401E-12</v>
      </c>
      <c r="H6162" s="3" t="str">
        <f>"GPR50"</f>
        <v>GPR50</v>
      </c>
      <c r="I6162" s="3" t="str">
        <f t="shared" si="269"/>
        <v>protein_coding</v>
      </c>
    </row>
    <row r="6163" spans="1:9" x14ac:dyDescent="0.2">
      <c r="A6163" s="3" t="str">
        <f>"ENSG00000269993.1"</f>
        <v>ENSG00000269993.1</v>
      </c>
      <c r="B6163" s="3">
        <v>30.054731633333098</v>
      </c>
      <c r="C6163" s="3">
        <v>8.3041813265428193</v>
      </c>
      <c r="D6163" s="3">
        <v>1.5660993064744</v>
      </c>
      <c r="E6163" s="3">
        <v>5.3024615311510201</v>
      </c>
      <c r="F6163" s="4">
        <v>1.14251547525207E-7</v>
      </c>
      <c r="G6163" s="4">
        <v>1.14998593107474E-6</v>
      </c>
      <c r="H6163" s="3" t="str">
        <f>"KC877982.1"</f>
        <v>KC877982.1</v>
      </c>
      <c r="I6163" s="3" t="str">
        <f>"lincRNA"</f>
        <v>lincRNA</v>
      </c>
    </row>
    <row r="6164" spans="1:9" x14ac:dyDescent="0.2">
      <c r="A6164" s="3" t="str">
        <f>"ENSG00000166049.11"</f>
        <v>ENSG00000166049.11</v>
      </c>
      <c r="B6164" s="3">
        <v>4.6985932227208096</v>
      </c>
      <c r="C6164" s="3">
        <v>5.62982837124685</v>
      </c>
      <c r="D6164" s="3">
        <v>2.0642529017708502</v>
      </c>
      <c r="E6164" s="3">
        <v>2.7272958494655399</v>
      </c>
      <c r="F6164" s="3">
        <v>6.3855757645927104E-3</v>
      </c>
      <c r="G6164" s="3">
        <v>2.1811179999731398E-2</v>
      </c>
      <c r="H6164" s="3" t="str">
        <f>"PASD1"</f>
        <v>PASD1</v>
      </c>
      <c r="I6164" s="3" t="str">
        <f t="shared" ref="I6164:I6174" si="270">"protein_coding"</f>
        <v>protein_coding</v>
      </c>
    </row>
    <row r="6165" spans="1:9" x14ac:dyDescent="0.2">
      <c r="A6165" s="3" t="str">
        <f>"ENSG00000102287.19"</f>
        <v>ENSG00000102287.19</v>
      </c>
      <c r="B6165" s="3">
        <v>4775.9641709790903</v>
      </c>
      <c r="C6165" s="3">
        <v>2.1685100519796801</v>
      </c>
      <c r="D6165" s="3">
        <v>0.177068941078456</v>
      </c>
      <c r="E6165" s="3">
        <v>12.246699160068101</v>
      </c>
      <c r="F6165" s="4">
        <v>1.74973678925088E-34</v>
      </c>
      <c r="G6165" s="4">
        <v>1.7789208319671201E-32</v>
      </c>
      <c r="H6165" s="3" t="str">
        <f>"GABRE"</f>
        <v>GABRE</v>
      </c>
      <c r="I6165" s="3" t="str">
        <f t="shared" si="270"/>
        <v>protein_coding</v>
      </c>
    </row>
    <row r="6166" spans="1:9" x14ac:dyDescent="0.2">
      <c r="A6166" s="3" t="str">
        <f>"ENSG00000011677.13"</f>
        <v>ENSG00000011677.13</v>
      </c>
      <c r="B6166" s="3">
        <v>5.3961345851675802</v>
      </c>
      <c r="C6166" s="3">
        <v>5.8297046186022801</v>
      </c>
      <c r="D6166" s="3">
        <v>1.9957603503939101</v>
      </c>
      <c r="E6166" s="3">
        <v>2.9210444116958398</v>
      </c>
      <c r="F6166" s="3">
        <v>3.4886009310098501E-3</v>
      </c>
      <c r="G6166" s="3">
        <v>1.30478942439568E-2</v>
      </c>
      <c r="H6166" s="3" t="str">
        <f>"GABRA3"</f>
        <v>GABRA3</v>
      </c>
      <c r="I6166" s="3" t="str">
        <f t="shared" si="270"/>
        <v>protein_coding</v>
      </c>
    </row>
    <row r="6167" spans="1:9" x14ac:dyDescent="0.2">
      <c r="A6167" s="3" t="str">
        <f>"ENSG00000147383.11"</f>
        <v>ENSG00000147383.11</v>
      </c>
      <c r="B6167" s="3">
        <v>782.348329312175</v>
      </c>
      <c r="C6167" s="3">
        <v>-1.0641912039608401</v>
      </c>
      <c r="D6167" s="3">
        <v>0.239608820578217</v>
      </c>
      <c r="E6167" s="3">
        <v>-4.4413690672687602</v>
      </c>
      <c r="F6167" s="4">
        <v>8.9388330583581799E-6</v>
      </c>
      <c r="G6167" s="4">
        <v>6.4330793539642202E-5</v>
      </c>
      <c r="H6167" s="3" t="str">
        <f>"NSDHL"</f>
        <v>NSDHL</v>
      </c>
      <c r="I6167" s="3" t="str">
        <f t="shared" si="270"/>
        <v>protein_coding</v>
      </c>
    </row>
    <row r="6168" spans="1:9" x14ac:dyDescent="0.2">
      <c r="A6168" s="3" t="str">
        <f>"ENSG00000182492.16"</f>
        <v>ENSG00000182492.16</v>
      </c>
      <c r="B6168" s="3">
        <v>103.00345369897499</v>
      </c>
      <c r="C6168" s="3">
        <v>2.8752032035671502</v>
      </c>
      <c r="D6168" s="3">
        <v>0.41387114028108901</v>
      </c>
      <c r="E6168" s="3">
        <v>6.9470975956777403</v>
      </c>
      <c r="F6168" s="4">
        <v>3.72877760510893E-12</v>
      </c>
      <c r="G6168" s="4">
        <v>6.87401917499343E-11</v>
      </c>
      <c r="H6168" s="3" t="str">
        <f>"BGN"</f>
        <v>BGN</v>
      </c>
      <c r="I6168" s="3" t="str">
        <f t="shared" si="270"/>
        <v>protein_coding</v>
      </c>
    </row>
    <row r="6169" spans="1:9" x14ac:dyDescent="0.2">
      <c r="A6169" s="3" t="str">
        <f>"ENSG00000198753.12"</f>
        <v>ENSG00000198753.12</v>
      </c>
      <c r="B6169" s="3">
        <v>958.393600928306</v>
      </c>
      <c r="C6169" s="3">
        <v>2.7838573740337602</v>
      </c>
      <c r="D6169" s="3">
        <v>0.21873556767566099</v>
      </c>
      <c r="E6169" s="3">
        <v>12.727044822274401</v>
      </c>
      <c r="F6169" s="4">
        <v>4.1837656161044797E-37</v>
      </c>
      <c r="G6169" s="4">
        <v>5.0890652563392297E-35</v>
      </c>
      <c r="H6169" s="3" t="str">
        <f>"PLXNB3"</f>
        <v>PLXNB3</v>
      </c>
      <c r="I6169" s="3" t="str">
        <f t="shared" si="270"/>
        <v>protein_coding</v>
      </c>
    </row>
    <row r="6170" spans="1:9" x14ac:dyDescent="0.2">
      <c r="A6170" s="3" t="str">
        <f>"ENSG00000067840.12"</f>
        <v>ENSG00000067840.12</v>
      </c>
      <c r="B6170" s="3">
        <v>12.4951291536351</v>
      </c>
      <c r="C6170" s="3">
        <v>2.8153210893375098</v>
      </c>
      <c r="D6170" s="3">
        <v>1.05568390255363</v>
      </c>
      <c r="E6170" s="3">
        <v>2.66682203122302</v>
      </c>
      <c r="F6170" s="3">
        <v>7.6572208040080903E-3</v>
      </c>
      <c r="G6170" s="3">
        <v>2.5406270731467201E-2</v>
      </c>
      <c r="H6170" s="3" t="str">
        <f>"PDZD4"</f>
        <v>PDZD4</v>
      </c>
      <c r="I6170" s="3" t="str">
        <f t="shared" si="270"/>
        <v>protein_coding</v>
      </c>
    </row>
    <row r="6171" spans="1:9" x14ac:dyDescent="0.2">
      <c r="A6171" s="3" t="str">
        <f>"ENSG00000198910.13"</f>
        <v>ENSG00000198910.13</v>
      </c>
      <c r="B6171" s="3">
        <v>731.39488014098197</v>
      </c>
      <c r="C6171" s="3">
        <v>-3.80799868501893</v>
      </c>
      <c r="D6171" s="3">
        <v>0.27312896786422303</v>
      </c>
      <c r="E6171" s="3">
        <v>-13.942126735205701</v>
      </c>
      <c r="F6171" s="4">
        <v>3.5131353127793998E-44</v>
      </c>
      <c r="G6171" s="4">
        <v>5.6640472110828597E-42</v>
      </c>
      <c r="H6171" s="3" t="str">
        <f>"L1CAM"</f>
        <v>L1CAM</v>
      </c>
      <c r="I6171" s="3" t="str">
        <f t="shared" si="270"/>
        <v>protein_coding</v>
      </c>
    </row>
    <row r="6172" spans="1:9" x14ac:dyDescent="0.2">
      <c r="A6172" s="3" t="str">
        <f>"ENSG00000089820.15"</f>
        <v>ENSG00000089820.15</v>
      </c>
      <c r="B6172" s="3">
        <v>40.663790099467697</v>
      </c>
      <c r="C6172" s="3">
        <v>1.91938930061368</v>
      </c>
      <c r="D6172" s="3">
        <v>0.56825851146103501</v>
      </c>
      <c r="E6172" s="3">
        <v>3.3776692507056101</v>
      </c>
      <c r="F6172" s="3">
        <v>7.3102950463444503E-4</v>
      </c>
      <c r="G6172" s="3">
        <v>3.3617486772615601E-3</v>
      </c>
      <c r="H6172" s="3" t="str">
        <f>"ARHGAP4"</f>
        <v>ARHGAP4</v>
      </c>
      <c r="I6172" s="3" t="str">
        <f t="shared" si="270"/>
        <v>protein_coding</v>
      </c>
    </row>
    <row r="6173" spans="1:9" x14ac:dyDescent="0.2">
      <c r="A6173" s="3" t="str">
        <f>"ENSG00000102032.13"</f>
        <v>ENSG00000102032.13</v>
      </c>
      <c r="B6173" s="3">
        <v>122.864599877703</v>
      </c>
      <c r="C6173" s="3">
        <v>1.75365338882816</v>
      </c>
      <c r="D6173" s="3">
        <v>0.35049916146790999</v>
      </c>
      <c r="E6173" s="3">
        <v>5.00330266550072</v>
      </c>
      <c r="F6173" s="4">
        <v>5.63563525116068E-7</v>
      </c>
      <c r="G6173" s="4">
        <v>5.0312632270109802E-6</v>
      </c>
      <c r="H6173" s="3" t="str">
        <f>"RENBP"</f>
        <v>RENBP</v>
      </c>
      <c r="I6173" s="3" t="str">
        <f t="shared" si="270"/>
        <v>protein_coding</v>
      </c>
    </row>
    <row r="6174" spans="1:9" x14ac:dyDescent="0.2">
      <c r="A6174" s="3" t="str">
        <f>"ENSG00000172534.14"</f>
        <v>ENSG00000172534.14</v>
      </c>
      <c r="B6174" s="3">
        <v>10750.696506115801</v>
      </c>
      <c r="C6174" s="3">
        <v>-1.3640138807628199</v>
      </c>
      <c r="D6174" s="3">
        <v>0.21878603277650499</v>
      </c>
      <c r="E6174" s="3">
        <v>-6.2344650773763002</v>
      </c>
      <c r="F6174" s="4">
        <v>4.5332444116559899E-10</v>
      </c>
      <c r="G6174" s="4">
        <v>6.4031783558522996E-9</v>
      </c>
      <c r="H6174" s="3" t="str">
        <f>"HCFC1"</f>
        <v>HCFC1</v>
      </c>
      <c r="I6174" s="3" t="str">
        <f t="shared" si="270"/>
        <v>protein_coding</v>
      </c>
    </row>
    <row r="6175" spans="1:9" x14ac:dyDescent="0.2">
      <c r="A6175" s="3" t="str">
        <f>"ENSG00000285018.1"</f>
        <v>ENSG00000285018.1</v>
      </c>
      <c r="B6175" s="3">
        <v>26.8395335762416</v>
      </c>
      <c r="C6175" s="3">
        <v>2.35868192722429</v>
      </c>
      <c r="D6175" s="3">
        <v>0.70279527218791404</v>
      </c>
      <c r="E6175" s="3">
        <v>3.3561437029610901</v>
      </c>
      <c r="F6175" s="3">
        <v>7.9037488902745695E-4</v>
      </c>
      <c r="G6175" s="3">
        <v>3.5952161271003598E-3</v>
      </c>
      <c r="H6175" s="3" t="str">
        <f>"AC245140.3"</f>
        <v>AC245140.3</v>
      </c>
      <c r="I6175" s="3" t="str">
        <f>"antisense"</f>
        <v>antisense</v>
      </c>
    </row>
    <row r="6176" spans="1:9" x14ac:dyDescent="0.2">
      <c r="A6176" s="3" t="str">
        <f>"ENSG00000013563.14"</f>
        <v>ENSG00000013563.14</v>
      </c>
      <c r="B6176" s="3">
        <v>312.67977499766198</v>
      </c>
      <c r="C6176" s="3">
        <v>1.33445625240565</v>
      </c>
      <c r="D6176" s="3">
        <v>0.25475256293496901</v>
      </c>
      <c r="E6176" s="3">
        <v>5.2382446599616701</v>
      </c>
      <c r="F6176" s="4">
        <v>1.6211106531836701E-7</v>
      </c>
      <c r="G6176" s="4">
        <v>1.59000727024102E-6</v>
      </c>
      <c r="H6176" s="3" t="str">
        <f>"DNASE1L1"</f>
        <v>DNASE1L1</v>
      </c>
      <c r="I6176" s="3" t="str">
        <f>"protein_coding"</f>
        <v>protein_coding</v>
      </c>
    </row>
    <row r="6177" spans="1:9" x14ac:dyDescent="0.2">
      <c r="A6177" s="3" t="str">
        <f>"ENSG00000102178.13"</f>
        <v>ENSG00000102178.13</v>
      </c>
      <c r="B6177" s="3">
        <v>917.59276694992195</v>
      </c>
      <c r="C6177" s="3">
        <v>-1.2852237177269701</v>
      </c>
      <c r="D6177" s="3">
        <v>0.235299824336001</v>
      </c>
      <c r="E6177" s="3">
        <v>-5.4620683264587004</v>
      </c>
      <c r="F6177" s="4">
        <v>4.70618863369934E-8</v>
      </c>
      <c r="G6177" s="4">
        <v>5.0643570972514202E-7</v>
      </c>
      <c r="H6177" s="3" t="str">
        <f>"UBL4A"</f>
        <v>UBL4A</v>
      </c>
      <c r="I6177" s="3" t="str">
        <f>"protein_coding"</f>
        <v>protein_coding</v>
      </c>
    </row>
    <row r="6178" spans="1:9" x14ac:dyDescent="0.2">
      <c r="A6178" s="3" t="str">
        <f>"ENSG00000130826.18"</f>
        <v>ENSG00000130826.18</v>
      </c>
      <c r="B6178" s="3">
        <v>2774.6356068528999</v>
      </c>
      <c r="C6178" s="3">
        <v>-1.36694379189285</v>
      </c>
      <c r="D6178" s="3">
        <v>0.18732447917294101</v>
      </c>
      <c r="E6178" s="3">
        <v>-7.2971978778644804</v>
      </c>
      <c r="F6178" s="4">
        <v>2.9382252350147498E-13</v>
      </c>
      <c r="G6178" s="4">
        <v>6.22533615695545E-12</v>
      </c>
      <c r="H6178" s="3" t="str">
        <f>"DKC1"</f>
        <v>DKC1</v>
      </c>
      <c r="I6178" s="3" t="str">
        <f>"protein_coding"</f>
        <v>protein_coding</v>
      </c>
    </row>
    <row r="6179" spans="1:9" x14ac:dyDescent="0.2">
      <c r="A6179" s="3" t="str">
        <f>"ENSG00000185010.15"</f>
        <v>ENSG00000185010.15</v>
      </c>
      <c r="B6179" s="3">
        <v>24.629091065542301</v>
      </c>
      <c r="C6179" s="3">
        <v>2.6667890607891498</v>
      </c>
      <c r="D6179" s="3">
        <v>0.75473160415955298</v>
      </c>
      <c r="E6179" s="3">
        <v>3.53342704358964</v>
      </c>
      <c r="F6179" s="3">
        <v>4.1020928847755502E-4</v>
      </c>
      <c r="G6179" s="3">
        <v>2.0135061219866599E-3</v>
      </c>
      <c r="H6179" s="3" t="str">
        <f>"F8"</f>
        <v>F8</v>
      </c>
      <c r="I6179" s="3" t="str">
        <f>"protein_coding"</f>
        <v>protein_coding</v>
      </c>
    </row>
    <row r="6180" spans="1:9" x14ac:dyDescent="0.2">
      <c r="A6180" s="3" t="str">
        <f>"ENSG00000155961.5"</f>
        <v>ENSG00000155961.5</v>
      </c>
      <c r="B6180" s="3">
        <v>14.162580094955199</v>
      </c>
      <c r="C6180" s="3">
        <v>4.7321927752860304</v>
      </c>
      <c r="D6180" s="3">
        <v>1.33130568812317</v>
      </c>
      <c r="E6180" s="3">
        <v>3.55455010633758</v>
      </c>
      <c r="F6180" s="3">
        <v>3.7862635874422098E-4</v>
      </c>
      <c r="G6180" s="3">
        <v>1.8774217282445499E-3</v>
      </c>
      <c r="H6180" s="3" t="str">
        <f>"RAB39B"</f>
        <v>RAB39B</v>
      </c>
      <c r="I6180" s="3" t="str">
        <f>"protein_coding"</f>
        <v>protein_coding</v>
      </c>
    </row>
    <row r="6181" spans="1:9" x14ac:dyDescent="0.2">
      <c r="A6181" s="3" t="str">
        <f>"ENSG00000182484.15"</f>
        <v>ENSG00000182484.15</v>
      </c>
      <c r="B6181" s="3">
        <v>71.854878884883803</v>
      </c>
      <c r="C6181" s="3">
        <v>-1.6932298529855101</v>
      </c>
      <c r="D6181" s="3">
        <v>0.48779266830236701</v>
      </c>
      <c r="E6181" s="3">
        <v>-3.4712080828897101</v>
      </c>
      <c r="F6181" s="3">
        <v>5.1812233439036998E-4</v>
      </c>
      <c r="G6181" s="3">
        <v>2.4745450035292601E-3</v>
      </c>
      <c r="H6181" s="3" t="str">
        <f>"WASH6P"</f>
        <v>WASH6P</v>
      </c>
      <c r="I6181" s="3" t="str">
        <f>"transcribed_unprocessed_pseudogene"</f>
        <v>transcribed_unprocessed_pseudogene</v>
      </c>
    </row>
    <row r="6182" spans="1:9" x14ac:dyDescent="0.2">
      <c r="A6182" s="3" t="str">
        <f>"ENSG00000182378.14_PAR_Y"</f>
        <v>ENSG00000182378.14_PAR_Y</v>
      </c>
      <c r="B6182" s="3">
        <v>430.79464066286101</v>
      </c>
      <c r="C6182" s="3">
        <v>-1.1740824788444599</v>
      </c>
      <c r="D6182" s="3">
        <v>0.28222523274476402</v>
      </c>
      <c r="E6182" s="3">
        <v>-4.1600903910185201</v>
      </c>
      <c r="F6182" s="4">
        <v>3.1812166693505299E-5</v>
      </c>
      <c r="G6182" s="3">
        <v>2.0270956639334401E-4</v>
      </c>
      <c r="H6182" s="3" t="str">
        <f>"PLCXD1"</f>
        <v>PLCXD1</v>
      </c>
      <c r="I6182" s="3" t="str">
        <f>"protein_coding"</f>
        <v>protein_coding</v>
      </c>
    </row>
    <row r="6183" spans="1:9" x14ac:dyDescent="0.2">
      <c r="A6183" s="3" t="str">
        <f>"ENSG00000178605.13_PAR_Y"</f>
        <v>ENSG00000178605.13_PAR_Y</v>
      </c>
      <c r="B6183" s="3">
        <v>437.88853355631301</v>
      </c>
      <c r="C6183" s="3">
        <v>-2.89816656424318</v>
      </c>
      <c r="D6183" s="3">
        <v>0.99147686427655601</v>
      </c>
      <c r="E6183" s="3">
        <v>-2.9230803750099201</v>
      </c>
      <c r="F6183" s="3">
        <v>3.4658703774128798E-3</v>
      </c>
      <c r="G6183" s="3">
        <v>1.29700000238111E-2</v>
      </c>
      <c r="H6183" s="3" t="str">
        <f>"GTPBP6"</f>
        <v>GTPBP6</v>
      </c>
      <c r="I6183" s="3" t="str">
        <f>"protein_coding"</f>
        <v>protein_coding</v>
      </c>
    </row>
    <row r="6184" spans="1:9" x14ac:dyDescent="0.2">
      <c r="A6184" s="3" t="str">
        <f>"ENSG00000169084.13_PAR_Y"</f>
        <v>ENSG00000169084.13_PAR_Y</v>
      </c>
      <c r="B6184" s="3">
        <v>95.287600372019696</v>
      </c>
      <c r="C6184" s="3">
        <v>-1.12675767783688</v>
      </c>
      <c r="D6184" s="3">
        <v>0.45992325264635903</v>
      </c>
      <c r="E6184" s="3">
        <v>-2.44988195607336</v>
      </c>
      <c r="F6184" s="3">
        <v>1.4290305506241999E-2</v>
      </c>
      <c r="G6184" s="3">
        <v>4.2830046653676901E-2</v>
      </c>
      <c r="H6184" s="3" t="str">
        <f>"DHRSX"</f>
        <v>DHRSX</v>
      </c>
      <c r="I6184" s="3" t="str">
        <f>"protein_coding"</f>
        <v>protein_coding</v>
      </c>
    </row>
    <row r="6185" spans="1:9" x14ac:dyDescent="0.2">
      <c r="A6185" s="3" t="str">
        <f>"ENSG00000214717.12_PAR_Y"</f>
        <v>ENSG00000214717.12_PAR_Y</v>
      </c>
      <c r="B6185" s="3">
        <v>196.34489536774601</v>
      </c>
      <c r="C6185" s="3">
        <v>-1.4079649862344601</v>
      </c>
      <c r="D6185" s="3">
        <v>0.337993912674315</v>
      </c>
      <c r="E6185" s="3">
        <v>-4.1656519050718801</v>
      </c>
      <c r="F6185" s="4">
        <v>3.1046411494232901E-5</v>
      </c>
      <c r="G6185" s="3">
        <v>1.9820093111137899E-4</v>
      </c>
      <c r="H6185" s="3" t="str">
        <f>"ZBED1"</f>
        <v>ZBED1</v>
      </c>
      <c r="I6185" s="3" t="str">
        <f>"protein_coding"</f>
        <v>protein_coding</v>
      </c>
    </row>
    <row r="6186" spans="1:9" x14ac:dyDescent="0.2">
      <c r="A6186" s="3" t="str">
        <f>"ENSG00000231535.6"</f>
        <v>ENSG00000231535.6</v>
      </c>
      <c r="B6186" s="3">
        <v>35.079890335059702</v>
      </c>
      <c r="C6186" s="3">
        <v>4.4368760265180196</v>
      </c>
      <c r="D6186" s="3">
        <v>0.81757321771590497</v>
      </c>
      <c r="E6186" s="3">
        <v>5.4268852383809003</v>
      </c>
      <c r="F6186" s="4">
        <v>5.7345973460680697E-8</v>
      </c>
      <c r="G6186" s="4">
        <v>6.0821554647067696E-7</v>
      </c>
      <c r="H6186" s="3" t="str">
        <f>"LINC00278"</f>
        <v>LINC00278</v>
      </c>
      <c r="I6186" s="3" t="str">
        <f>"lincRNA"</f>
        <v>lincRNA</v>
      </c>
    </row>
    <row r="6187" spans="1:9" x14ac:dyDescent="0.2">
      <c r="A6187" s="3" t="str">
        <f>"ENSG00000286050.1"</f>
        <v>ENSG00000286050.1</v>
      </c>
      <c r="B6187" s="3">
        <v>624.60409320406404</v>
      </c>
      <c r="C6187" s="3">
        <v>2.6066602614670198</v>
      </c>
      <c r="D6187" s="3">
        <v>0.235129554778406</v>
      </c>
      <c r="E6187" s="3">
        <v>11.086059614767001</v>
      </c>
      <c r="F6187" s="4">
        <v>1.46604237994611E-28</v>
      </c>
      <c r="G6187" s="4">
        <v>1.02687035286354E-26</v>
      </c>
      <c r="H6187" s="3" t="str">
        <f>"AC012078.2"</f>
        <v>AC012078.2</v>
      </c>
      <c r="I6187" s="3" t="str">
        <f>"lincRNA"</f>
        <v>lincRNA</v>
      </c>
    </row>
    <row r="6188" spans="1:9" x14ac:dyDescent="0.2">
      <c r="A6188" s="3" t="str">
        <f>"ENSG00000099725.14"</f>
        <v>ENSG00000099725.14</v>
      </c>
      <c r="B6188" s="3">
        <v>1424.5843446214501</v>
      </c>
      <c r="C6188" s="3">
        <v>1.3953166546717199</v>
      </c>
      <c r="D6188" s="3">
        <v>0.18992538413315399</v>
      </c>
      <c r="E6188" s="3">
        <v>7.3466570097522004</v>
      </c>
      <c r="F6188" s="4">
        <v>2.03225471119246E-13</v>
      </c>
      <c r="G6188" s="4">
        <v>4.3842315214458402E-12</v>
      </c>
      <c r="H6188" s="3" t="str">
        <f>"PRKY"</f>
        <v>PRKY</v>
      </c>
      <c r="I6188" s="3" t="str">
        <f>"protein_coding"</f>
        <v>protein_coding</v>
      </c>
    </row>
    <row r="6189" spans="1:9" x14ac:dyDescent="0.2">
      <c r="A6189" s="3" t="str">
        <f>"ENSG00000274162.1"</f>
        <v>ENSG00000274162.1</v>
      </c>
      <c r="B6189" s="3">
        <v>35.080453409520601</v>
      </c>
      <c r="C6189" s="3">
        <v>1.64253204435086</v>
      </c>
      <c r="D6189" s="3">
        <v>0.59217654880538295</v>
      </c>
      <c r="E6189" s="3">
        <v>2.77372018136212</v>
      </c>
      <c r="F6189" s="3">
        <v>5.5419323576526101E-3</v>
      </c>
      <c r="G6189" s="3">
        <v>1.9401391616209799E-2</v>
      </c>
      <c r="H6189" s="3" t="str">
        <f>"SNX18P1Y"</f>
        <v>SNX18P1Y</v>
      </c>
      <c r="I6189" s="3" t="str">
        <f>"processed_pseudogene"</f>
        <v>processed_pseudogene</v>
      </c>
    </row>
    <row r="6190" spans="1:9" x14ac:dyDescent="0.2">
      <c r="A6190" s="3" t="str">
        <f>"ENSG00000226555.1"</f>
        <v>ENSG00000226555.1</v>
      </c>
      <c r="B6190" s="3">
        <v>69.301813801327896</v>
      </c>
      <c r="C6190" s="3">
        <v>1.1118943854301799</v>
      </c>
      <c r="D6190" s="3">
        <v>0.45057681624823498</v>
      </c>
      <c r="E6190" s="3">
        <v>2.46771326294252</v>
      </c>
      <c r="F6190" s="3">
        <v>1.3597919471832901E-2</v>
      </c>
      <c r="G6190" s="3">
        <v>4.1134951909518103E-2</v>
      </c>
      <c r="H6190" s="3" t="str">
        <f>"AGKP1"</f>
        <v>AGKP1</v>
      </c>
      <c r="I6190" s="3" t="str">
        <f>"processed_pseudogene"</f>
        <v>processed_pseudogene</v>
      </c>
    </row>
    <row r="6191" spans="1:9" x14ac:dyDescent="0.2">
      <c r="A6191" s="3" t="str">
        <f>"ENSG00000185275.6"</f>
        <v>ENSG00000185275.6</v>
      </c>
      <c r="B6191" s="3">
        <v>24.353219122593799</v>
      </c>
      <c r="C6191" s="3">
        <v>-1.75105900551607</v>
      </c>
      <c r="D6191" s="3">
        <v>0.72407440625002994</v>
      </c>
      <c r="E6191" s="3">
        <v>-2.41834125112194</v>
      </c>
      <c r="F6191" s="3">
        <v>1.55914471298937E-2</v>
      </c>
      <c r="G6191" s="3">
        <v>4.6041455193661797E-2</v>
      </c>
      <c r="H6191" s="3" t="str">
        <f>"CD24P4"</f>
        <v>CD24P4</v>
      </c>
      <c r="I6191" s="3" t="str">
        <f>"processed_pseudogene"</f>
        <v>processed_pseudogene</v>
      </c>
    </row>
    <row r="6192" spans="1:9" x14ac:dyDescent="0.2">
      <c r="A6192" s="3" t="str">
        <f>"ENSG00000260197.1"</f>
        <v>ENSG00000260197.1</v>
      </c>
      <c r="B6192" s="3">
        <v>31.599554105706801</v>
      </c>
      <c r="C6192" s="3">
        <v>-1.59764696140472</v>
      </c>
      <c r="D6192" s="3">
        <v>0.61611547760445595</v>
      </c>
      <c r="E6192" s="3">
        <v>-2.5930966182128601</v>
      </c>
      <c r="F6192" s="3">
        <v>9.5116045273032201E-3</v>
      </c>
      <c r="G6192" s="3">
        <v>3.0470329388883902E-2</v>
      </c>
      <c r="H6192" s="3" t="str">
        <f>"AC010889.1"</f>
        <v>AC010889.1</v>
      </c>
      <c r="I6192" s="3" t="str">
        <f>"lincRNA"</f>
        <v>lincRNA</v>
      </c>
    </row>
    <row r="6193" spans="1:9" x14ac:dyDescent="0.2">
      <c r="A6193" s="3" t="str">
        <f>"ENSG00000012817.15"</f>
        <v>ENSG00000012817.15</v>
      </c>
      <c r="B6193" s="3">
        <v>1538.1702133967499</v>
      </c>
      <c r="C6193" s="3">
        <v>-1.1036847591143899</v>
      </c>
      <c r="D6193" s="3">
        <v>0.19007151185614901</v>
      </c>
      <c r="E6193" s="3">
        <v>-5.8066816449047201</v>
      </c>
      <c r="F6193" s="4">
        <v>6.3723134286433502E-9</v>
      </c>
      <c r="G6193" s="4">
        <v>7.7754780112066899E-8</v>
      </c>
      <c r="H6193" s="3" t="str">
        <f>"KDM5D"</f>
        <v>KDM5D</v>
      </c>
      <c r="I6193" s="3" t="str">
        <f>"protein_coding"</f>
        <v>protein_coding</v>
      </c>
    </row>
    <row r="6194" spans="1:9" x14ac:dyDescent="0.2">
      <c r="A6194" s="3" t="str">
        <f>"ENSG00000211459.2"</f>
        <v>ENSG00000211459.2</v>
      </c>
      <c r="B6194" s="3">
        <v>95.606301552652496</v>
      </c>
      <c r="C6194" s="3">
        <v>2.4924316967761202</v>
      </c>
      <c r="D6194" s="3">
        <v>0.54138931900611897</v>
      </c>
      <c r="E6194" s="3">
        <v>4.6037696150927401</v>
      </c>
      <c r="F6194" s="4">
        <v>4.1491144177085404E-6</v>
      </c>
      <c r="G6194" s="4">
        <v>3.1872264037018502E-5</v>
      </c>
      <c r="H6194" s="3" t="str">
        <f>"MT-RNR1"</f>
        <v>MT-RNR1</v>
      </c>
      <c r="I6194" s="3" t="str">
        <f>"Mt_rRNA"</f>
        <v>Mt_rRNA</v>
      </c>
    </row>
    <row r="6195" spans="1:9" x14ac:dyDescent="0.2">
      <c r="A6195" s="3" t="str">
        <f>"ENSG00000210082.2"</f>
        <v>ENSG00000210082.2</v>
      </c>
      <c r="B6195" s="3">
        <v>204.62056110759599</v>
      </c>
      <c r="C6195" s="3">
        <v>2.58751662486937</v>
      </c>
      <c r="D6195" s="3">
        <v>1.0145750411535801</v>
      </c>
      <c r="E6195" s="3">
        <v>2.5503452380686902</v>
      </c>
      <c r="F6195" s="3">
        <v>1.0761629196996201E-2</v>
      </c>
      <c r="G6195" s="3">
        <v>3.3871099772502598E-2</v>
      </c>
      <c r="H6195" s="3" t="str">
        <f>"MT-RNR2"</f>
        <v>MT-RNR2</v>
      </c>
      <c r="I6195" s="3" t="str">
        <f>"Mt_rRNA"</f>
        <v>Mt_rRNA</v>
      </c>
    </row>
    <row r="6196" spans="1:9" x14ac:dyDescent="0.2">
      <c r="A6196" s="3" t="str">
        <f>"ENSG00000210117.1"</f>
        <v>ENSG00000210117.1</v>
      </c>
      <c r="B6196" s="3">
        <v>52.954383996005902</v>
      </c>
      <c r="C6196" s="3">
        <v>-1.4317535819473599</v>
      </c>
      <c r="D6196" s="3">
        <v>0.53089446086514702</v>
      </c>
      <c r="E6196" s="3">
        <v>-2.6968704469324698</v>
      </c>
      <c r="F6196" s="3">
        <v>6.9994495857783204E-3</v>
      </c>
      <c r="G6196" s="3">
        <v>2.36119850023154E-2</v>
      </c>
      <c r="H6196" s="3" t="str">
        <f>"MT-TW"</f>
        <v>MT-TW</v>
      </c>
      <c r="I6196" s="3" t="str">
        <f>"Mt_tRNA"</f>
        <v>Mt_tRNA</v>
      </c>
    </row>
    <row r="6197" spans="1:9" x14ac:dyDescent="0.2">
      <c r="A6197" s="3" t="str">
        <f>"ENSG00000198712.1"</f>
        <v>ENSG00000198712.1</v>
      </c>
      <c r="B6197" s="3">
        <v>125990.87032168799</v>
      </c>
      <c r="C6197" s="3">
        <v>1.5597855674169101</v>
      </c>
      <c r="D6197" s="3">
        <v>0.511822020283076</v>
      </c>
      <c r="E6197" s="3">
        <v>3.0475155534617899</v>
      </c>
      <c r="F6197" s="3">
        <v>2.3074158472399199E-3</v>
      </c>
      <c r="G6197" s="3">
        <v>9.1050194916359392E-3</v>
      </c>
      <c r="H6197" s="3" t="str">
        <f>"MT-CO2"</f>
        <v>MT-CO2</v>
      </c>
      <c r="I6197" s="3" t="str">
        <f>"protein_coding"</f>
        <v>protein_coding</v>
      </c>
    </row>
    <row r="6198" spans="1:9" x14ac:dyDescent="0.2">
      <c r="A6198" s="3" t="str">
        <f>"ENSG00000198899.2"</f>
        <v>ENSG00000198899.2</v>
      </c>
      <c r="B6198" s="3">
        <v>94923.205795669695</v>
      </c>
      <c r="C6198" s="3">
        <v>1.1711218782420101</v>
      </c>
      <c r="D6198" s="3">
        <v>0.21901351538019501</v>
      </c>
      <c r="E6198" s="3">
        <v>5.3472584840666499</v>
      </c>
      <c r="F6198" s="4">
        <v>8.9296447229195695E-8</v>
      </c>
      <c r="G6198" s="4">
        <v>9.1159996165376401E-7</v>
      </c>
      <c r="H6198" s="3" t="str">
        <f>"MT-ATP6"</f>
        <v>MT-ATP6</v>
      </c>
      <c r="I6198" s="3" t="str">
        <f>"protein_coding"</f>
        <v>protein_coding</v>
      </c>
    </row>
    <row r="6199" spans="1:9" x14ac:dyDescent="0.2">
      <c r="A6199" s="3" t="str">
        <f>"ENSG00000210191.1"</f>
        <v>ENSG00000210191.1</v>
      </c>
      <c r="B6199" s="3">
        <v>23.207541085322799</v>
      </c>
      <c r="C6199" s="3">
        <v>2.5700136477775901</v>
      </c>
      <c r="D6199" s="3">
        <v>0.88742885830877605</v>
      </c>
      <c r="E6199" s="3">
        <v>2.8960221697944499</v>
      </c>
      <c r="F6199" s="3">
        <v>3.7792569990214098E-3</v>
      </c>
      <c r="G6199" s="3">
        <v>1.39757621406537E-2</v>
      </c>
      <c r="H6199" s="3" t="str">
        <f>"MT-TL2"</f>
        <v>MT-TL2</v>
      </c>
      <c r="I6199" s="3" t="str">
        <f>"Mt_tRNA"</f>
        <v>Mt_tRNA</v>
      </c>
    </row>
    <row r="6200" spans="1:9" x14ac:dyDescent="0.2">
      <c r="A6200" s="3" t="str">
        <f>"ENSG00000198727.2"</f>
        <v>ENSG00000198727.2</v>
      </c>
      <c r="B6200" s="3">
        <v>81247.474211951194</v>
      </c>
      <c r="C6200" s="3">
        <v>1.2936410775820799</v>
      </c>
      <c r="D6200" s="3">
        <v>0.23910257127993001</v>
      </c>
      <c r="E6200" s="3">
        <v>5.4104021995963496</v>
      </c>
      <c r="F6200" s="4">
        <v>6.2883357921438193E-8</v>
      </c>
      <c r="G6200" s="4">
        <v>6.6167086672626896E-7</v>
      </c>
      <c r="H6200" s="3" t="str">
        <f>"MT-CYB"</f>
        <v>MT-CYB</v>
      </c>
      <c r="I6200" s="3" t="str">
        <f>"protein_coding"</f>
        <v>protein_coding</v>
      </c>
    </row>
  </sheetData>
  <phoneticPr fontId="1" type="noConversion"/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69"/>
  <sheetViews>
    <sheetView workbookViewId="0">
      <selection sqref="A1:XFD1048576"/>
    </sheetView>
  </sheetViews>
  <sheetFormatPr defaultColWidth="9" defaultRowHeight="14.25" x14ac:dyDescent="0.2"/>
  <cols>
    <col min="1" max="1" width="21.375" style="3" customWidth="1"/>
    <col min="2" max="2" width="12.75" style="3" bestFit="1" customWidth="1"/>
    <col min="3" max="3" width="17.375" style="3" bestFit="1" customWidth="1"/>
    <col min="4" max="4" width="12.75" style="3" bestFit="1" customWidth="1"/>
    <col min="5" max="5" width="13.875" style="3" bestFit="1" customWidth="1"/>
    <col min="6" max="6" width="12.75" style="3" bestFit="1" customWidth="1"/>
    <col min="7" max="7" width="9" style="3"/>
    <col min="8" max="8" width="14.375" style="3" bestFit="1" customWidth="1"/>
    <col min="9" max="9" width="35.25" style="3" bestFit="1" customWidth="1"/>
    <col min="10" max="16384" width="9" style="3"/>
  </cols>
  <sheetData>
    <row r="1" spans="1:9" ht="15" x14ac:dyDescent="0.2">
      <c r="A1" s="2" t="str">
        <f>"gene"</f>
        <v>gene</v>
      </c>
      <c r="B1" s="2" t="str">
        <f>"baseMean"</f>
        <v>baseMean</v>
      </c>
      <c r="C1" s="2" t="str">
        <f>"log2FoldChange"</f>
        <v>log2FoldChange</v>
      </c>
      <c r="D1" s="2" t="str">
        <f>"lfcSE"</f>
        <v>lfcSE</v>
      </c>
      <c r="E1" s="2" t="str">
        <f>"stat"</f>
        <v>stat</v>
      </c>
      <c r="F1" s="2" t="str">
        <f>"pvalue"</f>
        <v>pvalue</v>
      </c>
      <c r="G1" s="2" t="str">
        <f>"padj"</f>
        <v>padj</v>
      </c>
      <c r="H1" s="2" t="str">
        <f>"genename"</f>
        <v>genename</v>
      </c>
      <c r="I1" s="2" t="str">
        <f>"genetype"</f>
        <v>genetype</v>
      </c>
    </row>
    <row r="2" spans="1:9" x14ac:dyDescent="0.2">
      <c r="A2" s="3" t="str">
        <f>"ENSG00000187583.10"</f>
        <v>ENSG00000187583.10</v>
      </c>
      <c r="B2" s="3">
        <v>54.940417080135603</v>
      </c>
      <c r="C2" s="3">
        <v>3.0013905800452498</v>
      </c>
      <c r="D2" s="3">
        <v>0.54940105428414798</v>
      </c>
      <c r="E2" s="3">
        <v>5.46302297136282</v>
      </c>
      <c r="F2" s="4">
        <v>4.68093999686735E-8</v>
      </c>
      <c r="G2" s="4">
        <v>7.3870166638142002E-7</v>
      </c>
      <c r="H2" s="3" t="str">
        <f>"PLEKHN1"</f>
        <v>PLEKHN1</v>
      </c>
      <c r="I2" s="3" t="str">
        <f t="shared" ref="I2:I11" si="0">"protein_coding"</f>
        <v>protein_coding</v>
      </c>
    </row>
    <row r="3" spans="1:9" x14ac:dyDescent="0.2">
      <c r="A3" s="3" t="str">
        <f>"ENSG00000187642.9"</f>
        <v>ENSG00000187642.9</v>
      </c>
      <c r="B3" s="3">
        <v>134.21550169847501</v>
      </c>
      <c r="C3" s="3">
        <v>8.1437986421935307</v>
      </c>
      <c r="D3" s="3">
        <v>1.08377804740312</v>
      </c>
      <c r="E3" s="3">
        <v>7.5142679460127297</v>
      </c>
      <c r="F3" s="4">
        <v>5.7230263676839397E-14</v>
      </c>
      <c r="G3" s="4">
        <v>1.8696458218063601E-12</v>
      </c>
      <c r="H3" s="3" t="str">
        <f>"PERM1"</f>
        <v>PERM1</v>
      </c>
      <c r="I3" s="3" t="str">
        <f t="shared" si="0"/>
        <v>protein_coding</v>
      </c>
    </row>
    <row r="4" spans="1:9" x14ac:dyDescent="0.2">
      <c r="A4" s="3" t="str">
        <f>"ENSG00000188157.15"</f>
        <v>ENSG00000188157.15</v>
      </c>
      <c r="B4" s="3">
        <v>12457.909480922601</v>
      </c>
      <c r="C4" s="3">
        <v>1.7781563451337701</v>
      </c>
      <c r="D4" s="3">
        <v>0.30478789057976802</v>
      </c>
      <c r="E4" s="3">
        <v>5.83407805917538</v>
      </c>
      <c r="F4" s="4">
        <v>5.40887967050808E-9</v>
      </c>
      <c r="G4" s="4">
        <v>9.9459333414934701E-8</v>
      </c>
      <c r="H4" s="3" t="str">
        <f>"AGRN"</f>
        <v>AGRN</v>
      </c>
      <c r="I4" s="3" t="str">
        <f t="shared" si="0"/>
        <v>protein_coding</v>
      </c>
    </row>
    <row r="5" spans="1:9" x14ac:dyDescent="0.2">
      <c r="A5" s="3" t="str">
        <f>"ENSG00000078808.16"</f>
        <v>ENSG00000078808.16</v>
      </c>
      <c r="B5" s="3">
        <v>3658.0746171041101</v>
      </c>
      <c r="C5" s="3">
        <v>1.03861125193487</v>
      </c>
      <c r="D5" s="3">
        <v>0.28929878957096899</v>
      </c>
      <c r="E5" s="3">
        <v>3.59009885065585</v>
      </c>
      <c r="F5" s="3">
        <v>3.3055258174720701E-4</v>
      </c>
      <c r="G5" s="3">
        <v>2.3324123965921401E-3</v>
      </c>
      <c r="H5" s="3" t="str">
        <f>"SDF4"</f>
        <v>SDF4</v>
      </c>
      <c r="I5" s="3" t="str">
        <f t="shared" si="0"/>
        <v>protein_coding</v>
      </c>
    </row>
    <row r="6" spans="1:9" x14ac:dyDescent="0.2">
      <c r="A6" s="3" t="str">
        <f>"ENSG00000176022.6"</f>
        <v>ENSG00000176022.6</v>
      </c>
      <c r="B6" s="3">
        <v>430.89064889013002</v>
      </c>
      <c r="C6" s="3">
        <v>2.28333198035928</v>
      </c>
      <c r="D6" s="3">
        <v>0.33164890147834902</v>
      </c>
      <c r="E6" s="3">
        <v>6.8847868036986197</v>
      </c>
      <c r="F6" s="4">
        <v>5.7874143160923298E-12</v>
      </c>
      <c r="G6" s="4">
        <v>1.5340611920052999E-10</v>
      </c>
      <c r="H6" s="3" t="str">
        <f>"B3GALT6"</f>
        <v>B3GALT6</v>
      </c>
      <c r="I6" s="3" t="str">
        <f t="shared" si="0"/>
        <v>protein_coding</v>
      </c>
    </row>
    <row r="7" spans="1:9" x14ac:dyDescent="0.2">
      <c r="A7" s="3" t="str">
        <f>"ENSG00000184163.3"</f>
        <v>ENSG00000184163.3</v>
      </c>
      <c r="B7" s="3">
        <v>17.468636626719999</v>
      </c>
      <c r="C7" s="3">
        <v>2.1036836849620801</v>
      </c>
      <c r="D7" s="3">
        <v>0.836087035394664</v>
      </c>
      <c r="E7" s="3">
        <v>2.5161060941090501</v>
      </c>
      <c r="F7" s="3">
        <v>1.18659457527507E-2</v>
      </c>
      <c r="G7" s="3">
        <v>4.8582009344147699E-2</v>
      </c>
      <c r="H7" s="3" t="str">
        <f>"C1QTNF12"</f>
        <v>C1QTNF12</v>
      </c>
      <c r="I7" s="3" t="str">
        <f t="shared" si="0"/>
        <v>protein_coding</v>
      </c>
    </row>
    <row r="8" spans="1:9" x14ac:dyDescent="0.2">
      <c r="A8" s="3" t="str">
        <f>"ENSG00000162572.20"</f>
        <v>ENSG00000162572.20</v>
      </c>
      <c r="B8" s="3">
        <v>81.504840175626995</v>
      </c>
      <c r="C8" s="3">
        <v>1.7138263378980301</v>
      </c>
      <c r="D8" s="3">
        <v>0.46414068074514397</v>
      </c>
      <c r="E8" s="3">
        <v>3.6924717203124899</v>
      </c>
      <c r="F8" s="3">
        <v>2.22085042829315E-4</v>
      </c>
      <c r="G8" s="3">
        <v>1.6400045115968901E-3</v>
      </c>
      <c r="H8" s="3" t="str">
        <f>"SCNN1D"</f>
        <v>SCNN1D</v>
      </c>
      <c r="I8" s="3" t="str">
        <f t="shared" si="0"/>
        <v>protein_coding</v>
      </c>
    </row>
    <row r="9" spans="1:9" x14ac:dyDescent="0.2">
      <c r="A9" s="3" t="str">
        <f>"ENSG00000107404.20"</f>
        <v>ENSG00000107404.20</v>
      </c>
      <c r="B9" s="3">
        <v>896.94464040681805</v>
      </c>
      <c r="C9" s="3">
        <v>1.1418149296017801</v>
      </c>
      <c r="D9" s="3">
        <v>0.32110419555113301</v>
      </c>
      <c r="E9" s="3">
        <v>3.5559016214098502</v>
      </c>
      <c r="F9" s="3">
        <v>3.7668502432892503E-4</v>
      </c>
      <c r="G9" s="3">
        <v>2.6117728189068599E-3</v>
      </c>
      <c r="H9" s="3" t="str">
        <f>"DVL1"</f>
        <v>DVL1</v>
      </c>
      <c r="I9" s="3" t="str">
        <f t="shared" si="0"/>
        <v>protein_coding</v>
      </c>
    </row>
    <row r="10" spans="1:9" x14ac:dyDescent="0.2">
      <c r="A10" s="3" t="str">
        <f>"ENSG00000162576.16"</f>
        <v>ENSG00000162576.16</v>
      </c>
      <c r="B10" s="3">
        <v>224.93630474794199</v>
      </c>
      <c r="C10" s="3">
        <v>1.3103572225215001</v>
      </c>
      <c r="D10" s="3">
        <v>0.39754333443443302</v>
      </c>
      <c r="E10" s="3">
        <v>3.29613682087184</v>
      </c>
      <c r="F10" s="3">
        <v>9.8024263376319501E-4</v>
      </c>
      <c r="G10" s="3">
        <v>5.9965961703096196E-3</v>
      </c>
      <c r="H10" s="3" t="str">
        <f>"MXRA8"</f>
        <v>MXRA8</v>
      </c>
      <c r="I10" s="3" t="str">
        <f t="shared" si="0"/>
        <v>protein_coding</v>
      </c>
    </row>
    <row r="11" spans="1:9" x14ac:dyDescent="0.2">
      <c r="A11" s="3" t="str">
        <f>"ENSG00000235098.8"</f>
        <v>ENSG00000235098.8</v>
      </c>
      <c r="B11" s="3">
        <v>1022.64520047832</v>
      </c>
      <c r="C11" s="3">
        <v>6.6327796727130197</v>
      </c>
      <c r="D11" s="3">
        <v>0.39017306639240701</v>
      </c>
      <c r="E11" s="3">
        <v>16.999583631029701</v>
      </c>
      <c r="F11" s="4">
        <v>8.2705257978430904E-65</v>
      </c>
      <c r="G11" s="4">
        <v>3.4674179407457099E-62</v>
      </c>
      <c r="H11" s="3" t="str">
        <f>"ANKRD65"</f>
        <v>ANKRD65</v>
      </c>
      <c r="I11" s="3" t="str">
        <f t="shared" si="0"/>
        <v>protein_coding</v>
      </c>
    </row>
    <row r="12" spans="1:9" x14ac:dyDescent="0.2">
      <c r="A12" s="3" t="str">
        <f>"ENSG00000225905.1"</f>
        <v>ENSG00000225905.1</v>
      </c>
      <c r="B12" s="3">
        <v>31.040584148540699</v>
      </c>
      <c r="C12" s="3">
        <v>6.0149279660286403</v>
      </c>
      <c r="D12" s="3">
        <v>1.18914823419992</v>
      </c>
      <c r="E12" s="3">
        <v>5.0581818086587003</v>
      </c>
      <c r="F12" s="4">
        <v>4.2327279153770903E-7</v>
      </c>
      <c r="G12" s="4">
        <v>5.6968577159609797E-6</v>
      </c>
      <c r="H12" s="3" t="str">
        <f>"AL391244.1"</f>
        <v>AL391244.1</v>
      </c>
      <c r="I12" s="3" t="str">
        <f>"antisense"</f>
        <v>antisense</v>
      </c>
    </row>
    <row r="13" spans="1:9" x14ac:dyDescent="0.2">
      <c r="A13" s="3" t="str">
        <f>"ENSG00000205116.3"</f>
        <v>ENSG00000205116.3</v>
      </c>
      <c r="B13" s="3">
        <v>17.863825615127901</v>
      </c>
      <c r="C13" s="3">
        <v>4.1588725555001798</v>
      </c>
      <c r="D13" s="3">
        <v>1.0388426056742499</v>
      </c>
      <c r="E13" s="3">
        <v>4.0033711871115401</v>
      </c>
      <c r="F13" s="4">
        <v>6.2446208509081601E-5</v>
      </c>
      <c r="G13" s="3">
        <v>5.3575524387651703E-4</v>
      </c>
      <c r="H13" s="3" t="str">
        <f>"TMEM88B"</f>
        <v>TMEM88B</v>
      </c>
      <c r="I13" s="3" t="str">
        <f>"protein_coding"</f>
        <v>protein_coding</v>
      </c>
    </row>
    <row r="14" spans="1:9" x14ac:dyDescent="0.2">
      <c r="A14" s="3" t="str">
        <f>"ENSG00000225285.1"</f>
        <v>ENSG00000225285.1</v>
      </c>
      <c r="B14" s="3">
        <v>43.717427926444202</v>
      </c>
      <c r="C14" s="3">
        <v>3.7542892055714399</v>
      </c>
      <c r="D14" s="3">
        <v>0.67261793638053102</v>
      </c>
      <c r="E14" s="3">
        <v>5.5816073323496198</v>
      </c>
      <c r="F14" s="4">
        <v>2.38305917454937E-8</v>
      </c>
      <c r="G14" s="4">
        <v>3.9542119746562902E-7</v>
      </c>
      <c r="H14" s="3" t="str">
        <f>"LINC01770"</f>
        <v>LINC01770</v>
      </c>
      <c r="I14" s="3" t="str">
        <f>"lincRNA"</f>
        <v>lincRNA</v>
      </c>
    </row>
    <row r="15" spans="1:9" x14ac:dyDescent="0.2">
      <c r="A15" s="3" t="str">
        <f>"ENSG00000179403.12"</f>
        <v>ENSG00000179403.12</v>
      </c>
      <c r="B15" s="3">
        <v>504.76762350101302</v>
      </c>
      <c r="C15" s="3">
        <v>2.1397341541160002</v>
      </c>
      <c r="D15" s="3">
        <v>0.38659684763682101</v>
      </c>
      <c r="E15" s="3">
        <v>5.5347946244148503</v>
      </c>
      <c r="F15" s="4">
        <v>3.1159324599740499E-8</v>
      </c>
      <c r="G15" s="4">
        <v>5.0633902474578395E-7</v>
      </c>
      <c r="H15" s="3" t="str">
        <f>"VWA1"</f>
        <v>VWA1</v>
      </c>
      <c r="I15" s="3" t="str">
        <f>"protein_coding"</f>
        <v>protein_coding</v>
      </c>
    </row>
    <row r="16" spans="1:9" x14ac:dyDescent="0.2">
      <c r="A16" s="3" t="str">
        <f>"ENSG00000215915.9"</f>
        <v>ENSG00000215915.9</v>
      </c>
      <c r="B16" s="3">
        <v>143.52772460542701</v>
      </c>
      <c r="C16" s="3">
        <v>2.9556063096958498</v>
      </c>
      <c r="D16" s="3">
        <v>0.44292139246516299</v>
      </c>
      <c r="E16" s="3">
        <v>6.6729816169995102</v>
      </c>
      <c r="F16" s="4">
        <v>2.50657800769062E-11</v>
      </c>
      <c r="G16" s="4">
        <v>6.1635356582069997E-10</v>
      </c>
      <c r="H16" s="3" t="str">
        <f>"ATAD3C"</f>
        <v>ATAD3C</v>
      </c>
      <c r="I16" s="3" t="str">
        <f>"protein_coding"</f>
        <v>protein_coding</v>
      </c>
    </row>
    <row r="17" spans="1:9" x14ac:dyDescent="0.2">
      <c r="A17" s="3" t="str">
        <f>"ENSG00000215014.5"</f>
        <v>ENSG00000215014.5</v>
      </c>
      <c r="B17" s="3">
        <v>43.117664981023403</v>
      </c>
      <c r="C17" s="3">
        <v>-1.45037014620178</v>
      </c>
      <c r="D17" s="3">
        <v>0.55928202014661099</v>
      </c>
      <c r="E17" s="3">
        <v>-2.5932715409331002</v>
      </c>
      <c r="F17" s="3">
        <v>9.5067677381757195E-3</v>
      </c>
      <c r="G17" s="3">
        <v>4.0525799432945299E-2</v>
      </c>
      <c r="H17" s="3" t="str">
        <f>"AL645728.1"</f>
        <v>AL645728.1</v>
      </c>
      <c r="I17" s="3" t="str">
        <f>"processed_transcript"</f>
        <v>processed_transcript</v>
      </c>
    </row>
    <row r="18" spans="1:9" x14ac:dyDescent="0.2">
      <c r="A18" s="3" t="str">
        <f>"ENSG00000197530.12"</f>
        <v>ENSG00000197530.12</v>
      </c>
      <c r="B18" s="3">
        <v>2403.8841977780999</v>
      </c>
      <c r="C18" s="3">
        <v>2.2501032886467902</v>
      </c>
      <c r="D18" s="3">
        <v>0.28156002098559701</v>
      </c>
      <c r="E18" s="3">
        <v>7.9915581792128298</v>
      </c>
      <c r="F18" s="4">
        <v>1.33243810845965E-15</v>
      </c>
      <c r="G18" s="4">
        <v>5.1565354797388503E-14</v>
      </c>
      <c r="H18" s="3" t="str">
        <f>"MIB2"</f>
        <v>MIB2</v>
      </c>
      <c r="I18" s="3" t="str">
        <f t="shared" ref="I18:I25" si="1">"protein_coding"</f>
        <v>protein_coding</v>
      </c>
    </row>
    <row r="19" spans="1:9" x14ac:dyDescent="0.2">
      <c r="A19" s="3" t="str">
        <f>"ENSG00000169885.10"</f>
        <v>ENSG00000169885.10</v>
      </c>
      <c r="B19" s="3">
        <v>21.2840246786565</v>
      </c>
      <c r="C19" s="3">
        <v>4.8459366504379604</v>
      </c>
      <c r="D19" s="3">
        <v>1.08454662466413</v>
      </c>
      <c r="E19" s="3">
        <v>4.4681681176580899</v>
      </c>
      <c r="F19" s="4">
        <v>7.8892294087007899E-6</v>
      </c>
      <c r="G19" s="4">
        <v>8.3104508281351899E-5</v>
      </c>
      <c r="H19" s="3" t="str">
        <f>"CALML6"</f>
        <v>CALML6</v>
      </c>
      <c r="I19" s="3" t="str">
        <f t="shared" si="1"/>
        <v>protein_coding</v>
      </c>
    </row>
    <row r="20" spans="1:9" x14ac:dyDescent="0.2">
      <c r="A20" s="3" t="str">
        <f>"ENSG00000178821.13"</f>
        <v>ENSG00000178821.13</v>
      </c>
      <c r="B20" s="3">
        <v>361.78200491651302</v>
      </c>
      <c r="C20" s="3">
        <v>2.02558412790385</v>
      </c>
      <c r="D20" s="3">
        <v>0.33689098971352699</v>
      </c>
      <c r="E20" s="3">
        <v>6.0125802997173903</v>
      </c>
      <c r="F20" s="4">
        <v>1.8259333381628901E-9</v>
      </c>
      <c r="G20" s="4">
        <v>3.5578120156070897E-8</v>
      </c>
      <c r="H20" s="3" t="str">
        <f>"TMEM52"</f>
        <v>TMEM52</v>
      </c>
      <c r="I20" s="3" t="str">
        <f t="shared" si="1"/>
        <v>protein_coding</v>
      </c>
    </row>
    <row r="21" spans="1:9" x14ac:dyDescent="0.2">
      <c r="A21" s="3" t="str">
        <f>"ENSG00000142609.18"</f>
        <v>ENSG00000142609.18</v>
      </c>
      <c r="B21" s="3">
        <v>60.591675614511402</v>
      </c>
      <c r="C21" s="3">
        <v>3.5636712379889302</v>
      </c>
      <c r="D21" s="3">
        <v>0.55222769347054101</v>
      </c>
      <c r="E21" s="3">
        <v>6.4532642606034702</v>
      </c>
      <c r="F21" s="4">
        <v>1.09466229059207E-10</v>
      </c>
      <c r="G21" s="4">
        <v>2.5062377809930198E-9</v>
      </c>
      <c r="H21" s="3" t="str">
        <f>"CFAP74"</f>
        <v>CFAP74</v>
      </c>
      <c r="I21" s="3" t="str">
        <f t="shared" si="1"/>
        <v>protein_coding</v>
      </c>
    </row>
    <row r="22" spans="1:9" x14ac:dyDescent="0.2">
      <c r="A22" s="3" t="str">
        <f>"ENSG00000067606.17"</f>
        <v>ENSG00000067606.17</v>
      </c>
      <c r="B22" s="3">
        <v>913.41402797531396</v>
      </c>
      <c r="C22" s="3">
        <v>1.5992652175376401</v>
      </c>
      <c r="D22" s="3">
        <v>0.32184133183278502</v>
      </c>
      <c r="E22" s="3">
        <v>4.96911073674202</v>
      </c>
      <c r="F22" s="4">
        <v>6.7260651706514504E-7</v>
      </c>
      <c r="G22" s="4">
        <v>8.7093942314361406E-6</v>
      </c>
      <c r="H22" s="3" t="str">
        <f>"PRKCZ"</f>
        <v>PRKCZ</v>
      </c>
      <c r="I22" s="3" t="str">
        <f t="shared" si="1"/>
        <v>protein_coding</v>
      </c>
    </row>
    <row r="23" spans="1:9" x14ac:dyDescent="0.2">
      <c r="A23" s="3" t="str">
        <f>"ENSG00000162585.17"</f>
        <v>ENSG00000162585.17</v>
      </c>
      <c r="B23" s="3">
        <v>782.85680655930298</v>
      </c>
      <c r="C23" s="3">
        <v>2.2309627843581699</v>
      </c>
      <c r="D23" s="3">
        <v>0.31548327116367098</v>
      </c>
      <c r="E23" s="3">
        <v>7.0715723725355799</v>
      </c>
      <c r="F23" s="4">
        <v>1.53187873192282E-12</v>
      </c>
      <c r="G23" s="4">
        <v>4.3200010651926699E-11</v>
      </c>
      <c r="H23" s="3" t="str">
        <f>"FAAP20"</f>
        <v>FAAP20</v>
      </c>
      <c r="I23" s="3" t="str">
        <f t="shared" si="1"/>
        <v>protein_coding</v>
      </c>
    </row>
    <row r="24" spans="1:9" x14ac:dyDescent="0.2">
      <c r="A24" s="3" t="str">
        <f>"ENSG00000157933.10"</f>
        <v>ENSG00000157933.10</v>
      </c>
      <c r="B24" s="3">
        <v>1885.3899064663599</v>
      </c>
      <c r="C24" s="3">
        <v>2.4209916395114202</v>
      </c>
      <c r="D24" s="3">
        <v>0.28054092374322498</v>
      </c>
      <c r="E24" s="3">
        <v>8.6297271970463605</v>
      </c>
      <c r="F24" s="4">
        <v>6.1498476777937799E-18</v>
      </c>
      <c r="G24" s="4">
        <v>2.8701190785696198E-16</v>
      </c>
      <c r="H24" s="3" t="str">
        <f>"SKI"</f>
        <v>SKI</v>
      </c>
      <c r="I24" s="3" t="str">
        <f t="shared" si="1"/>
        <v>protein_coding</v>
      </c>
    </row>
    <row r="25" spans="1:9" x14ac:dyDescent="0.2">
      <c r="A25" s="3" t="str">
        <f>"ENSG00000116151.14"</f>
        <v>ENSG00000116151.14</v>
      </c>
      <c r="B25" s="3">
        <v>426.87181190989298</v>
      </c>
      <c r="C25" s="3">
        <v>1.1166439997222299</v>
      </c>
      <c r="D25" s="3">
        <v>0.34118339613139098</v>
      </c>
      <c r="E25" s="3">
        <v>3.27285563243588</v>
      </c>
      <c r="F25" s="3">
        <v>1.0646684217155799E-3</v>
      </c>
      <c r="G25" s="3">
        <v>6.4379168625614096E-3</v>
      </c>
      <c r="H25" s="3" t="str">
        <f>"MORN1"</f>
        <v>MORN1</v>
      </c>
      <c r="I25" s="3" t="str">
        <f t="shared" si="1"/>
        <v>protein_coding</v>
      </c>
    </row>
    <row r="26" spans="1:9" x14ac:dyDescent="0.2">
      <c r="A26" s="3" t="str">
        <f>"ENSG00000269896.2"</f>
        <v>ENSG00000269896.2</v>
      </c>
      <c r="B26" s="3">
        <v>61.7354777762637</v>
      </c>
      <c r="C26" s="3">
        <v>3.7718993541784598</v>
      </c>
      <c r="D26" s="3">
        <v>0.57195301009764998</v>
      </c>
      <c r="E26" s="3">
        <v>6.5947714018228103</v>
      </c>
      <c r="F26" s="4">
        <v>4.2591160407618E-11</v>
      </c>
      <c r="G26" s="4">
        <v>1.0213352145411201E-9</v>
      </c>
      <c r="H26" s="3" t="str">
        <f>"AL513477.1"</f>
        <v>AL513477.1</v>
      </c>
      <c r="I26" s="3" t="str">
        <f>"transcribed_processed_pseudogene"</f>
        <v>transcribed_processed_pseudogene</v>
      </c>
    </row>
    <row r="27" spans="1:9" x14ac:dyDescent="0.2">
      <c r="A27" s="3" t="str">
        <f>"ENSG00000149527.18"</f>
        <v>ENSG00000149527.18</v>
      </c>
      <c r="B27" s="3">
        <v>110.51158656782999</v>
      </c>
      <c r="C27" s="3">
        <v>-2.8897148000904398</v>
      </c>
      <c r="D27" s="3">
        <v>0.45589485293354898</v>
      </c>
      <c r="E27" s="3">
        <v>-6.3385554399133497</v>
      </c>
      <c r="F27" s="4">
        <v>2.3192938599908099E-10</v>
      </c>
      <c r="G27" s="4">
        <v>5.1221981604977001E-9</v>
      </c>
      <c r="H27" s="3" t="str">
        <f>"PLCH2"</f>
        <v>PLCH2</v>
      </c>
      <c r="I27" s="3" t="str">
        <f>"protein_coding"</f>
        <v>protein_coding</v>
      </c>
    </row>
    <row r="28" spans="1:9" x14ac:dyDescent="0.2">
      <c r="A28" s="3" t="str">
        <f>"ENSG00000197921.6"</f>
        <v>ENSG00000197921.6</v>
      </c>
      <c r="B28" s="3">
        <v>12.3703394810048</v>
      </c>
      <c r="C28" s="3">
        <v>7.1507354053307797</v>
      </c>
      <c r="D28" s="3">
        <v>1.7233179984917999</v>
      </c>
      <c r="E28" s="3">
        <v>4.1493998273034398</v>
      </c>
      <c r="F28" s="4">
        <v>3.3334812310720699E-5</v>
      </c>
      <c r="G28" s="3">
        <v>3.0514454282248101E-4</v>
      </c>
      <c r="H28" s="3" t="str">
        <f>"HES5"</f>
        <v>HES5</v>
      </c>
      <c r="I28" s="3" t="str">
        <f>"protein_coding"</f>
        <v>protein_coding</v>
      </c>
    </row>
    <row r="29" spans="1:9" x14ac:dyDescent="0.2">
      <c r="A29" s="3" t="str">
        <f>"ENSG00000272449.2"</f>
        <v>ENSG00000272449.2</v>
      </c>
      <c r="B29" s="3">
        <v>22.513946746721</v>
      </c>
      <c r="C29" s="3">
        <v>2.0451868906322401</v>
      </c>
      <c r="D29" s="3">
        <v>0.76747451054694904</v>
      </c>
      <c r="E29" s="3">
        <v>2.6648271213264301</v>
      </c>
      <c r="F29" s="3">
        <v>7.7027909809396899E-3</v>
      </c>
      <c r="G29" s="3">
        <v>3.39222176340227E-2</v>
      </c>
      <c r="H29" s="3" t="str">
        <f>"AL139246.5"</f>
        <v>AL139246.5</v>
      </c>
      <c r="I29" s="3" t="str">
        <f>"lincRNA"</f>
        <v>lincRNA</v>
      </c>
    </row>
    <row r="30" spans="1:9" x14ac:dyDescent="0.2">
      <c r="A30" s="3" t="str">
        <f>"ENSG00000238164.6"</f>
        <v>ENSG00000238164.6</v>
      </c>
      <c r="B30" s="3">
        <v>455.40025275220802</v>
      </c>
      <c r="C30" s="3">
        <v>5.45254780249806</v>
      </c>
      <c r="D30" s="3">
        <v>0.39169478822283099</v>
      </c>
      <c r="E30" s="3">
        <v>13.9203991639433</v>
      </c>
      <c r="F30" s="4">
        <v>4.7623695685857901E-44</v>
      </c>
      <c r="G30" s="4">
        <v>9.58379251982205E-42</v>
      </c>
      <c r="H30" s="3" t="str">
        <f>"TNFRSF14-AS1"</f>
        <v>TNFRSF14-AS1</v>
      </c>
      <c r="I30" s="3" t="str">
        <f>"antisense"</f>
        <v>antisense</v>
      </c>
    </row>
    <row r="31" spans="1:9" x14ac:dyDescent="0.2">
      <c r="A31" s="3" t="str">
        <f>"ENSG00000157873.17"</f>
        <v>ENSG00000157873.17</v>
      </c>
      <c r="B31" s="3">
        <v>1078.07250976468</v>
      </c>
      <c r="C31" s="3">
        <v>4.1286917574329296</v>
      </c>
      <c r="D31" s="3">
        <v>0.32176948433867603</v>
      </c>
      <c r="E31" s="3">
        <v>12.8312097895751</v>
      </c>
      <c r="F31" s="4">
        <v>1.0963867579053601E-37</v>
      </c>
      <c r="G31" s="4">
        <v>1.6230082801335701E-35</v>
      </c>
      <c r="H31" s="3" t="str">
        <f>"TNFRSF14"</f>
        <v>TNFRSF14</v>
      </c>
      <c r="I31" s="3" t="str">
        <f>"protein_coding"</f>
        <v>protein_coding</v>
      </c>
    </row>
    <row r="32" spans="1:9" x14ac:dyDescent="0.2">
      <c r="A32" s="3" t="str">
        <f>"ENSG00000157870.16"</f>
        <v>ENSG00000157870.16</v>
      </c>
      <c r="B32" s="3">
        <v>530.733596103222</v>
      </c>
      <c r="C32" s="3">
        <v>-1.1342957808707701</v>
      </c>
      <c r="D32" s="3">
        <v>0.31858675634210198</v>
      </c>
      <c r="E32" s="3">
        <v>-3.5603984104497699</v>
      </c>
      <c r="F32" s="3">
        <v>3.7029254893973198E-4</v>
      </c>
      <c r="G32" s="3">
        <v>2.5759704282574498E-3</v>
      </c>
      <c r="H32" s="3" t="str">
        <f>"PRXL2B"</f>
        <v>PRXL2B</v>
      </c>
      <c r="I32" s="3" t="str">
        <f>"protein_coding"</f>
        <v>protein_coding</v>
      </c>
    </row>
    <row r="33" spans="1:9" x14ac:dyDescent="0.2">
      <c r="A33" s="3" t="str">
        <f>"ENSG00000177133.10"</f>
        <v>ENSG00000177133.10</v>
      </c>
      <c r="B33" s="3">
        <v>10.1468758654658</v>
      </c>
      <c r="C33" s="3">
        <v>2.9331034978703499</v>
      </c>
      <c r="D33" s="3">
        <v>1.1531682688915299</v>
      </c>
      <c r="E33" s="3">
        <v>2.5435173486778</v>
      </c>
      <c r="F33" s="3">
        <v>1.0974260710371201E-2</v>
      </c>
      <c r="G33" s="3">
        <v>4.5614264403401598E-2</v>
      </c>
      <c r="H33" s="3" t="str">
        <f>"LINC00982"</f>
        <v>LINC00982</v>
      </c>
      <c r="I33" s="3" t="str">
        <f>"antisense"</f>
        <v>antisense</v>
      </c>
    </row>
    <row r="34" spans="1:9" x14ac:dyDescent="0.2">
      <c r="A34" s="3" t="str">
        <f>"ENSG00000272235.1"</f>
        <v>ENSG00000272235.1</v>
      </c>
      <c r="B34" s="3">
        <v>5.5229202982703498</v>
      </c>
      <c r="C34" s="3">
        <v>-5.8587017801118</v>
      </c>
      <c r="D34" s="3">
        <v>1.9815742404099601</v>
      </c>
      <c r="E34" s="3">
        <v>-2.9565895945940999</v>
      </c>
      <c r="F34" s="3">
        <v>3.11061845010688E-3</v>
      </c>
      <c r="G34" s="3">
        <v>1.58910656199103E-2</v>
      </c>
      <c r="H34" s="3" t="str">
        <f>"AL590438.1"</f>
        <v>AL590438.1</v>
      </c>
      <c r="I34" s="3" t="str">
        <f>"lincRNA"</f>
        <v>lincRNA</v>
      </c>
    </row>
    <row r="35" spans="1:9" x14ac:dyDescent="0.2">
      <c r="A35" s="3" t="str">
        <f>"ENSG00000162591.16"</f>
        <v>ENSG00000162591.16</v>
      </c>
      <c r="B35" s="3">
        <v>1359.88121239208</v>
      </c>
      <c r="C35" s="3">
        <v>2.4144919668777698</v>
      </c>
      <c r="D35" s="3">
        <v>0.79119455536031302</v>
      </c>
      <c r="E35" s="3">
        <v>3.0517044771348401</v>
      </c>
      <c r="F35" s="3">
        <v>2.2754600633751901E-3</v>
      </c>
      <c r="G35" s="3">
        <v>1.2233211774781601E-2</v>
      </c>
      <c r="H35" s="3" t="str">
        <f>"MEGF6"</f>
        <v>MEGF6</v>
      </c>
      <c r="I35" s="3" t="str">
        <f>"protein_coding"</f>
        <v>protein_coding</v>
      </c>
    </row>
    <row r="36" spans="1:9" x14ac:dyDescent="0.2">
      <c r="A36" s="3" t="str">
        <f>"ENSG00000116213.16"</f>
        <v>ENSG00000116213.16</v>
      </c>
      <c r="B36" s="3">
        <v>924.08199418271499</v>
      </c>
      <c r="C36" s="3">
        <v>2.59905863729769</v>
      </c>
      <c r="D36" s="3">
        <v>0.309608179812913</v>
      </c>
      <c r="E36" s="3">
        <v>8.3946704472350202</v>
      </c>
      <c r="F36" s="4">
        <v>4.6720280220899601E-17</v>
      </c>
      <c r="G36" s="4">
        <v>2.0654633549327402E-15</v>
      </c>
      <c r="H36" s="3" t="str">
        <f>"WRAP73"</f>
        <v>WRAP73</v>
      </c>
      <c r="I36" s="3" t="str">
        <f>"protein_coding"</f>
        <v>protein_coding</v>
      </c>
    </row>
    <row r="37" spans="1:9" x14ac:dyDescent="0.2">
      <c r="A37" s="3" t="str">
        <f>"ENSG00000078900.15"</f>
        <v>ENSG00000078900.15</v>
      </c>
      <c r="B37" s="3">
        <v>94.348945568027403</v>
      </c>
      <c r="C37" s="3">
        <v>1.2582095160064199</v>
      </c>
      <c r="D37" s="3">
        <v>0.416199932313426</v>
      </c>
      <c r="E37" s="3">
        <v>3.0230891894016501</v>
      </c>
      <c r="F37" s="3">
        <v>2.5020848882297501E-3</v>
      </c>
      <c r="G37" s="3">
        <v>1.3219900307376501E-2</v>
      </c>
      <c r="H37" s="3" t="str">
        <f>"TP73"</f>
        <v>TP73</v>
      </c>
      <c r="I37" s="3" t="str">
        <f>"protein_coding"</f>
        <v>protein_coding</v>
      </c>
    </row>
    <row r="38" spans="1:9" x14ac:dyDescent="0.2">
      <c r="A38" s="3" t="str">
        <f>"ENSG00000227589.1"</f>
        <v>ENSG00000227589.1</v>
      </c>
      <c r="B38" s="3">
        <v>13.5423354489725</v>
      </c>
      <c r="C38" s="3">
        <v>-2.7471662892031099</v>
      </c>
      <c r="D38" s="3">
        <v>1.0911829781340601</v>
      </c>
      <c r="E38" s="3">
        <v>-2.5176036872393501</v>
      </c>
      <c r="F38" s="3">
        <v>1.1815618617790199E-2</v>
      </c>
      <c r="G38" s="3">
        <v>4.8423246388157898E-2</v>
      </c>
      <c r="H38" s="3" t="str">
        <f>"AL136528.1"</f>
        <v>AL136528.1</v>
      </c>
      <c r="I38" s="3" t="str">
        <f>"antisense"</f>
        <v>antisense</v>
      </c>
    </row>
    <row r="39" spans="1:9" x14ac:dyDescent="0.2">
      <c r="A39" s="3" t="str">
        <f>"ENSG00000235169.8"</f>
        <v>ENSG00000235169.8</v>
      </c>
      <c r="B39" s="3">
        <v>124.828852251566</v>
      </c>
      <c r="C39" s="3">
        <v>1.1471746455977001</v>
      </c>
      <c r="D39" s="3">
        <v>0.40430268451891999</v>
      </c>
      <c r="E39" s="3">
        <v>2.8374153561773201</v>
      </c>
      <c r="F39" s="3">
        <v>4.5480404011923299E-3</v>
      </c>
      <c r="G39" s="3">
        <v>2.1925250343425299E-2</v>
      </c>
      <c r="H39" s="3" t="str">
        <f>"SMIM1"</f>
        <v>SMIM1</v>
      </c>
      <c r="I39" s="3" t="str">
        <f>"protein_coding"</f>
        <v>protein_coding</v>
      </c>
    </row>
    <row r="40" spans="1:9" x14ac:dyDescent="0.2">
      <c r="A40" s="3" t="str">
        <f>"ENSG00000236423.5"</f>
        <v>ENSG00000236423.5</v>
      </c>
      <c r="B40" s="3">
        <v>129.28743477753</v>
      </c>
      <c r="C40" s="3">
        <v>-1.63506411161304</v>
      </c>
      <c r="D40" s="3">
        <v>0.43665032277406102</v>
      </c>
      <c r="E40" s="3">
        <v>-3.7445617839588499</v>
      </c>
      <c r="F40" s="3">
        <v>1.80708905378802E-4</v>
      </c>
      <c r="G40" s="3">
        <v>1.3632797493764201E-3</v>
      </c>
      <c r="H40" s="3" t="str">
        <f>"LINC01134"</f>
        <v>LINC01134</v>
      </c>
      <c r="I40" s="3" t="str">
        <f>"lincRNA"</f>
        <v>lincRNA</v>
      </c>
    </row>
    <row r="41" spans="1:9" x14ac:dyDescent="0.2">
      <c r="A41" s="3" t="str">
        <f>"ENSG00000233304.6"</f>
        <v>ENSG00000233304.6</v>
      </c>
      <c r="B41" s="3">
        <v>16.644272456139699</v>
      </c>
      <c r="C41" s="3">
        <v>-4.3867159503315998</v>
      </c>
      <c r="D41" s="3">
        <v>1.16204602694131</v>
      </c>
      <c r="E41" s="3">
        <v>-3.77499328652079</v>
      </c>
      <c r="F41" s="3">
        <v>1.6001197282787199E-4</v>
      </c>
      <c r="G41" s="3">
        <v>1.2267909711932701E-3</v>
      </c>
      <c r="H41" s="3" t="str">
        <f>"LINC01346"</f>
        <v>LINC01346</v>
      </c>
      <c r="I41" s="3" t="str">
        <f>"lincRNA"</f>
        <v>lincRNA</v>
      </c>
    </row>
    <row r="42" spans="1:9" x14ac:dyDescent="0.2">
      <c r="A42" s="3" t="str">
        <f>"ENSG00000069424.14"</f>
        <v>ENSG00000069424.14</v>
      </c>
      <c r="B42" s="3">
        <v>1133.3064489810699</v>
      </c>
      <c r="C42" s="3">
        <v>1.4874148047887299</v>
      </c>
      <c r="D42" s="3">
        <v>0.30676543777683501</v>
      </c>
      <c r="E42" s="3">
        <v>4.8487039986257798</v>
      </c>
      <c r="F42" s="4">
        <v>1.24270691487028E-6</v>
      </c>
      <c r="G42" s="4">
        <v>1.51748992444475E-5</v>
      </c>
      <c r="H42" s="3" t="str">
        <f>"KCNAB2"</f>
        <v>KCNAB2</v>
      </c>
      <c r="I42" s="3" t="str">
        <f t="shared" ref="I42:I50" si="2">"protein_coding"</f>
        <v>protein_coding</v>
      </c>
    </row>
    <row r="43" spans="1:9" x14ac:dyDescent="0.2">
      <c r="A43" s="3" t="str">
        <f>"ENSG00000116254.18"</f>
        <v>ENSG00000116254.18</v>
      </c>
      <c r="B43" s="3">
        <v>252.04788918157101</v>
      </c>
      <c r="C43" s="3">
        <v>2.9700638731085101</v>
      </c>
      <c r="D43" s="3">
        <v>0.33138509962544699</v>
      </c>
      <c r="E43" s="3">
        <v>8.9625751926247403</v>
      </c>
      <c r="F43" s="4">
        <v>3.1718256392025501E-19</v>
      </c>
      <c r="G43" s="4">
        <v>1.6216925600435001E-17</v>
      </c>
      <c r="H43" s="3" t="str">
        <f>"CHD5"</f>
        <v>CHD5</v>
      </c>
      <c r="I43" s="3" t="str">
        <f t="shared" si="2"/>
        <v>protein_coding</v>
      </c>
    </row>
    <row r="44" spans="1:9" x14ac:dyDescent="0.2">
      <c r="A44" s="3" t="str">
        <f>"ENSG00000158286.13"</f>
        <v>ENSG00000158286.13</v>
      </c>
      <c r="B44" s="3">
        <v>304.80965317648798</v>
      </c>
      <c r="C44" s="3">
        <v>-1.07359493356846</v>
      </c>
      <c r="D44" s="3">
        <v>0.36089420728169902</v>
      </c>
      <c r="E44" s="3">
        <v>-2.9748189688466198</v>
      </c>
      <c r="F44" s="3">
        <v>2.93161498230374E-3</v>
      </c>
      <c r="G44" s="3">
        <v>1.5127133308687301E-2</v>
      </c>
      <c r="H44" s="3" t="str">
        <f>"RNF207"</f>
        <v>RNF207</v>
      </c>
      <c r="I44" s="3" t="str">
        <f t="shared" si="2"/>
        <v>protein_coding</v>
      </c>
    </row>
    <row r="45" spans="1:9" x14ac:dyDescent="0.2">
      <c r="A45" s="3" t="str">
        <f>"ENSG00000158292.7"</f>
        <v>ENSG00000158292.7</v>
      </c>
      <c r="B45" s="3">
        <v>219.44237298387901</v>
      </c>
      <c r="C45" s="3">
        <v>2.1529945007612898</v>
      </c>
      <c r="D45" s="3">
        <v>0.37432738771854501</v>
      </c>
      <c r="E45" s="3">
        <v>5.7516349895832901</v>
      </c>
      <c r="F45" s="4">
        <v>8.8384466488389895E-9</v>
      </c>
      <c r="G45" s="4">
        <v>1.5657121510672199E-7</v>
      </c>
      <c r="H45" s="3" t="str">
        <f>"GPR153"</f>
        <v>GPR153</v>
      </c>
      <c r="I45" s="3" t="str">
        <f t="shared" si="2"/>
        <v>protein_coding</v>
      </c>
    </row>
    <row r="46" spans="1:9" x14ac:dyDescent="0.2">
      <c r="A46" s="3" t="str">
        <f>"ENSG00000069812.11"</f>
        <v>ENSG00000069812.11</v>
      </c>
      <c r="B46" s="3">
        <v>177.16194934096899</v>
      </c>
      <c r="C46" s="3">
        <v>6.7189919690583997</v>
      </c>
      <c r="D46" s="3">
        <v>0.64001247741190403</v>
      </c>
      <c r="E46" s="3">
        <v>10.4982202788121</v>
      </c>
      <c r="F46" s="4">
        <v>8.8024015973061402E-26</v>
      </c>
      <c r="G46" s="4">
        <v>7.2836977690867107E-24</v>
      </c>
      <c r="H46" s="3" t="str">
        <f>"HES2"</f>
        <v>HES2</v>
      </c>
      <c r="I46" s="3" t="str">
        <f t="shared" si="2"/>
        <v>protein_coding</v>
      </c>
    </row>
    <row r="47" spans="1:9" x14ac:dyDescent="0.2">
      <c r="A47" s="3" t="str">
        <f>"ENSG00000187017.16"</f>
        <v>ENSG00000187017.16</v>
      </c>
      <c r="B47" s="3">
        <v>627.64119640393199</v>
      </c>
      <c r="C47" s="3">
        <v>1.9032485562121499</v>
      </c>
      <c r="D47" s="3">
        <v>0.32920311593132401</v>
      </c>
      <c r="E47" s="3">
        <v>5.7813807467399396</v>
      </c>
      <c r="F47" s="4">
        <v>7.4089992465689302E-9</v>
      </c>
      <c r="G47" s="4">
        <v>1.3350528370160599E-7</v>
      </c>
      <c r="H47" s="3" t="str">
        <f>"ESPN"</f>
        <v>ESPN</v>
      </c>
      <c r="I47" s="3" t="str">
        <f t="shared" si="2"/>
        <v>protein_coding</v>
      </c>
    </row>
    <row r="48" spans="1:9" x14ac:dyDescent="0.2">
      <c r="A48" s="3" t="str">
        <f>"ENSG00000215788.10"</f>
        <v>ENSG00000215788.10</v>
      </c>
      <c r="B48" s="3">
        <v>66.2542726439723</v>
      </c>
      <c r="C48" s="3">
        <v>1.1919994968195999</v>
      </c>
      <c r="D48" s="3">
        <v>0.47184169315288699</v>
      </c>
      <c r="E48" s="3">
        <v>2.5262699632466998</v>
      </c>
      <c r="F48" s="3">
        <v>1.1528085744081099E-2</v>
      </c>
      <c r="G48" s="3">
        <v>4.74860376154237E-2</v>
      </c>
      <c r="H48" s="3" t="str">
        <f>"TNFRSF25"</f>
        <v>TNFRSF25</v>
      </c>
      <c r="I48" s="3" t="str">
        <f t="shared" si="2"/>
        <v>protein_coding</v>
      </c>
    </row>
    <row r="49" spans="1:9" x14ac:dyDescent="0.2">
      <c r="A49" s="3" t="str">
        <f>"ENSG00000171680.21"</f>
        <v>ENSG00000171680.21</v>
      </c>
      <c r="B49" s="3">
        <v>551.56165591449803</v>
      </c>
      <c r="C49" s="3">
        <v>1.2667230643941201</v>
      </c>
      <c r="D49" s="3">
        <v>0.339697282120834</v>
      </c>
      <c r="E49" s="3">
        <v>3.7289761533727401</v>
      </c>
      <c r="F49" s="3">
        <v>1.92259343160149E-4</v>
      </c>
      <c r="G49" s="3">
        <v>1.4432359824510699E-3</v>
      </c>
      <c r="H49" s="3" t="str">
        <f>"PLEKHG5"</f>
        <v>PLEKHG5</v>
      </c>
      <c r="I49" s="3" t="str">
        <f t="shared" si="2"/>
        <v>protein_coding</v>
      </c>
    </row>
    <row r="50" spans="1:9" x14ac:dyDescent="0.2">
      <c r="A50" s="3" t="str">
        <f>"ENSG00000162413.16"</f>
        <v>ENSG00000162413.16</v>
      </c>
      <c r="B50" s="3">
        <v>1495.56246600486</v>
      </c>
      <c r="C50" s="3">
        <v>1.0356890283298099</v>
      </c>
      <c r="D50" s="3">
        <v>0.269932151953935</v>
      </c>
      <c r="E50" s="3">
        <v>3.83684944839972</v>
      </c>
      <c r="F50" s="3">
        <v>1.24622817989053E-4</v>
      </c>
      <c r="G50" s="3">
        <v>9.8525658284283097E-4</v>
      </c>
      <c r="H50" s="3" t="str">
        <f>"KLHL21"</f>
        <v>KLHL21</v>
      </c>
      <c r="I50" s="3" t="str">
        <f t="shared" si="2"/>
        <v>protein_coding</v>
      </c>
    </row>
    <row r="51" spans="1:9" x14ac:dyDescent="0.2">
      <c r="A51" s="3" t="str">
        <f>"ENSG00000224315.2"</f>
        <v>ENSG00000224315.2</v>
      </c>
      <c r="B51" s="3">
        <v>115.215913671857</v>
      </c>
      <c r="C51" s="3">
        <v>1.1294034355504201</v>
      </c>
      <c r="D51" s="3">
        <v>0.40114205004106201</v>
      </c>
      <c r="E51" s="3">
        <v>2.81547006960455</v>
      </c>
      <c r="F51" s="3">
        <v>4.8705933599969397E-3</v>
      </c>
      <c r="G51" s="3">
        <v>2.32045030247581E-2</v>
      </c>
      <c r="H51" s="3" t="str">
        <f>"RPL7P7"</f>
        <v>RPL7P7</v>
      </c>
      <c r="I51" s="3" t="str">
        <f>"processed_pseudogene"</f>
        <v>processed_pseudogene</v>
      </c>
    </row>
    <row r="52" spans="1:9" x14ac:dyDescent="0.2">
      <c r="A52" s="3" t="str">
        <f>"ENSG00000228423.2"</f>
        <v>ENSG00000228423.2</v>
      </c>
      <c r="B52" s="3">
        <v>130.282759110379</v>
      </c>
      <c r="C52" s="3">
        <v>1.17802584668159</v>
      </c>
      <c r="D52" s="3">
        <v>0.44023854299468601</v>
      </c>
      <c r="E52" s="3">
        <v>2.6758807592542202</v>
      </c>
      <c r="F52" s="3">
        <v>7.4533157457984597E-3</v>
      </c>
      <c r="G52" s="3">
        <v>3.2973647130770403E-2</v>
      </c>
      <c r="H52" s="3" t="str">
        <f>"AL357552.2"</f>
        <v>AL357552.2</v>
      </c>
      <c r="I52" s="3" t="str">
        <f>"lincRNA"</f>
        <v>lincRNA</v>
      </c>
    </row>
    <row r="53" spans="1:9" x14ac:dyDescent="0.2">
      <c r="A53" s="3" t="str">
        <f>"ENSG00000232208.2"</f>
        <v>ENSG00000232208.2</v>
      </c>
      <c r="B53" s="3">
        <v>35.026108495839097</v>
      </c>
      <c r="C53" s="3">
        <v>4.3240332858820496</v>
      </c>
      <c r="D53" s="3">
        <v>0.78049814928449401</v>
      </c>
      <c r="E53" s="3">
        <v>5.5400942203976102</v>
      </c>
      <c r="F53" s="4">
        <v>3.0230895127129002E-8</v>
      </c>
      <c r="G53" s="4">
        <v>4.92843918939034E-7</v>
      </c>
      <c r="H53" s="3" t="str">
        <f>"AL139415.1"</f>
        <v>AL139415.1</v>
      </c>
      <c r="I53" s="3" t="str">
        <f>"processed_pseudogene"</f>
        <v>processed_pseudogene</v>
      </c>
    </row>
    <row r="54" spans="1:9" x14ac:dyDescent="0.2">
      <c r="A54" s="3" t="str">
        <f>"ENSG00000142583.17"</f>
        <v>ENSG00000142583.17</v>
      </c>
      <c r="B54" s="3">
        <v>40.552168378937203</v>
      </c>
      <c r="C54" s="3">
        <v>3.4879975022138598</v>
      </c>
      <c r="D54" s="3">
        <v>0.65350500173369197</v>
      </c>
      <c r="E54" s="3">
        <v>5.3373692518963196</v>
      </c>
      <c r="F54" s="4">
        <v>9.4304860733433406E-8</v>
      </c>
      <c r="G54" s="4">
        <v>1.4169491907444099E-6</v>
      </c>
      <c r="H54" s="3" t="str">
        <f>"SLC2A5"</f>
        <v>SLC2A5</v>
      </c>
      <c r="I54" s="3" t="str">
        <f>"protein_coding"</f>
        <v>protein_coding</v>
      </c>
    </row>
    <row r="55" spans="1:9" x14ac:dyDescent="0.2">
      <c r="A55" s="3" t="str">
        <f>"ENSG00000228526.7"</f>
        <v>ENSG00000228526.7</v>
      </c>
      <c r="B55" s="3">
        <v>2316.54272053248</v>
      </c>
      <c r="C55" s="3">
        <v>3.9901494794368202</v>
      </c>
      <c r="D55" s="3">
        <v>0.26875888876370502</v>
      </c>
      <c r="E55" s="3">
        <v>14.846576787809999</v>
      </c>
      <c r="F55" s="4">
        <v>7.3212888404563901E-50</v>
      </c>
      <c r="G55" s="4">
        <v>1.9386002187545299E-47</v>
      </c>
      <c r="H55" s="3" t="str">
        <f>"MIR34AHG"</f>
        <v>MIR34AHG</v>
      </c>
      <c r="I55" s="3" t="str">
        <f>"lincRNA"</f>
        <v>lincRNA</v>
      </c>
    </row>
    <row r="56" spans="1:9" x14ac:dyDescent="0.2">
      <c r="A56" s="3" t="str">
        <f>"ENSG00000234546.3"</f>
        <v>ENSG00000234546.3</v>
      </c>
      <c r="B56" s="3">
        <v>123.430248352589</v>
      </c>
      <c r="C56" s="3">
        <v>4.3851819738648103</v>
      </c>
      <c r="D56" s="3">
        <v>0.47352842325517402</v>
      </c>
      <c r="E56" s="3">
        <v>9.2606520717801306</v>
      </c>
      <c r="F56" s="4">
        <v>2.0318749621299301E-20</v>
      </c>
      <c r="G56" s="4">
        <v>1.12829612963308E-18</v>
      </c>
      <c r="H56" s="3" t="str">
        <f>"LNCTAM34A"</f>
        <v>LNCTAM34A</v>
      </c>
      <c r="I56" s="3" t="str">
        <f>"lincRNA"</f>
        <v>lincRNA</v>
      </c>
    </row>
    <row r="57" spans="1:9" x14ac:dyDescent="0.2">
      <c r="A57" s="3" t="str">
        <f>"ENSG00000162444.12"</f>
        <v>ENSG00000162444.12</v>
      </c>
      <c r="B57" s="3">
        <v>378.84483088602599</v>
      </c>
      <c r="C57" s="3">
        <v>-1.2424113942998101</v>
      </c>
      <c r="D57" s="3">
        <v>0.29211735973700598</v>
      </c>
      <c r="E57" s="3">
        <v>-4.2531241396209998</v>
      </c>
      <c r="F57" s="4">
        <v>2.1080863351700201E-5</v>
      </c>
      <c r="G57" s="3">
        <v>2.0041160907483701E-4</v>
      </c>
      <c r="H57" s="3" t="str">
        <f>"RBP7"</f>
        <v>RBP7</v>
      </c>
      <c r="I57" s="3" t="str">
        <f>"protein_coding"</f>
        <v>protein_coding</v>
      </c>
    </row>
    <row r="58" spans="1:9" x14ac:dyDescent="0.2">
      <c r="A58" s="3" t="str">
        <f>"ENSG00000116649.10"</f>
        <v>ENSG00000116649.10</v>
      </c>
      <c r="B58" s="3">
        <v>1999.3732636626</v>
      </c>
      <c r="C58" s="3">
        <v>-1.33141619894467</v>
      </c>
      <c r="D58" s="3">
        <v>0.29619730563485602</v>
      </c>
      <c r="E58" s="3">
        <v>-4.4950314321427403</v>
      </c>
      <c r="F58" s="4">
        <v>6.9559671311320697E-6</v>
      </c>
      <c r="G58" s="4">
        <v>7.4237315733401501E-5</v>
      </c>
      <c r="H58" s="3" t="str">
        <f>"SRM"</f>
        <v>SRM</v>
      </c>
      <c r="I58" s="3" t="str">
        <f>"protein_coding"</f>
        <v>protein_coding</v>
      </c>
    </row>
    <row r="59" spans="1:9" x14ac:dyDescent="0.2">
      <c r="A59" s="3" t="str">
        <f>"ENSG00000230337.1"</f>
        <v>ENSG00000230337.1</v>
      </c>
      <c r="B59" s="3">
        <v>40.417257797791898</v>
      </c>
      <c r="C59" s="3">
        <v>-1.7240165903853499</v>
      </c>
      <c r="D59" s="3">
        <v>0.58825629119976997</v>
      </c>
      <c r="E59" s="3">
        <v>-2.9307235913604099</v>
      </c>
      <c r="F59" s="3">
        <v>3.3817353280911999E-3</v>
      </c>
      <c r="G59" s="3">
        <v>1.7109322642424402E-2</v>
      </c>
      <c r="H59" s="3" t="str">
        <f>"EXOSC10-AS1"</f>
        <v>EXOSC10-AS1</v>
      </c>
      <c r="I59" s="3" t="str">
        <f>"antisense"</f>
        <v>antisense</v>
      </c>
    </row>
    <row r="60" spans="1:9" x14ac:dyDescent="0.2">
      <c r="A60" s="3" t="str">
        <f>"ENSG00000132879.14"</f>
        <v>ENSG00000132879.14</v>
      </c>
      <c r="B60" s="3">
        <v>1053.88976478022</v>
      </c>
      <c r="C60" s="3">
        <v>1.8243810788325101</v>
      </c>
      <c r="D60" s="3">
        <v>0.314352677490222</v>
      </c>
      <c r="E60" s="3">
        <v>5.8036123420302701</v>
      </c>
      <c r="F60" s="4">
        <v>6.4901232888852702E-9</v>
      </c>
      <c r="G60" s="4">
        <v>1.17876571358779E-7</v>
      </c>
      <c r="H60" s="3" t="str">
        <f>"FBXO44"</f>
        <v>FBXO44</v>
      </c>
      <c r="I60" s="3" t="str">
        <f t="shared" ref="I60:I68" si="3">"protein_coding"</f>
        <v>protein_coding</v>
      </c>
    </row>
    <row r="61" spans="1:9" x14ac:dyDescent="0.2">
      <c r="A61" s="3" t="str">
        <f>"ENSG00000162490.7"</f>
        <v>ENSG00000162490.7</v>
      </c>
      <c r="B61" s="3">
        <v>402.99478419672897</v>
      </c>
      <c r="C61" s="3">
        <v>9.1534150860101295</v>
      </c>
      <c r="D61" s="3">
        <v>0.88382326702354497</v>
      </c>
      <c r="E61" s="3">
        <v>10.356612489775401</v>
      </c>
      <c r="F61" s="4">
        <v>3.9054943571054798E-25</v>
      </c>
      <c r="G61" s="4">
        <v>3.0797087947645201E-23</v>
      </c>
      <c r="H61" s="3" t="str">
        <f>"DRAXIN"</f>
        <v>DRAXIN</v>
      </c>
      <c r="I61" s="3" t="str">
        <f t="shared" si="3"/>
        <v>protein_coding</v>
      </c>
    </row>
    <row r="62" spans="1:9" x14ac:dyDescent="0.2">
      <c r="A62" s="3" t="str">
        <f>"ENSG00000177674.16"</f>
        <v>ENSG00000177674.16</v>
      </c>
      <c r="B62" s="3">
        <v>1333.1837493236901</v>
      </c>
      <c r="C62" s="3">
        <v>1.0519779241979299</v>
      </c>
      <c r="D62" s="3">
        <v>0.305397324411536</v>
      </c>
      <c r="E62" s="3">
        <v>3.44462063059972</v>
      </c>
      <c r="F62" s="3">
        <v>5.7186139707458904E-4</v>
      </c>
      <c r="G62" s="3">
        <v>3.7627971340338201E-3</v>
      </c>
      <c r="H62" s="3" t="str">
        <f>"AGTRAP"</f>
        <v>AGTRAP</v>
      </c>
      <c r="I62" s="3" t="str">
        <f t="shared" si="3"/>
        <v>protein_coding</v>
      </c>
    </row>
    <row r="63" spans="1:9" x14ac:dyDescent="0.2">
      <c r="A63" s="3" t="str">
        <f>"ENSG00000116691.11"</f>
        <v>ENSG00000116691.11</v>
      </c>
      <c r="B63" s="3">
        <v>342.12624897297201</v>
      </c>
      <c r="C63" s="3">
        <v>-1.00481652400056</v>
      </c>
      <c r="D63" s="3">
        <v>0.31469271083189398</v>
      </c>
      <c r="E63" s="3">
        <v>-3.19300857444177</v>
      </c>
      <c r="F63" s="3">
        <v>1.4079876564108201E-3</v>
      </c>
      <c r="G63" s="3">
        <v>8.1608132481599694E-3</v>
      </c>
      <c r="H63" s="3" t="str">
        <f>"MIIP"</f>
        <v>MIIP</v>
      </c>
      <c r="I63" s="3" t="str">
        <f t="shared" si="3"/>
        <v>protein_coding</v>
      </c>
    </row>
    <row r="64" spans="1:9" x14ac:dyDescent="0.2">
      <c r="A64" s="3" t="str">
        <f>"ENSG00000162494.6"</f>
        <v>ENSG00000162494.6</v>
      </c>
      <c r="B64" s="3">
        <v>22.533806759797301</v>
      </c>
      <c r="C64" s="3">
        <v>8.0095856156654399</v>
      </c>
      <c r="D64" s="3">
        <v>1.61682972946668</v>
      </c>
      <c r="E64" s="3">
        <v>4.9538831886196499</v>
      </c>
      <c r="F64" s="4">
        <v>7.2746887542881295E-7</v>
      </c>
      <c r="G64" s="4">
        <v>9.3651379536396101E-6</v>
      </c>
      <c r="H64" s="3" t="str">
        <f>"LRRC38"</f>
        <v>LRRC38</v>
      </c>
      <c r="I64" s="3" t="str">
        <f t="shared" si="3"/>
        <v>protein_coding</v>
      </c>
    </row>
    <row r="65" spans="1:9" x14ac:dyDescent="0.2">
      <c r="A65" s="3" t="str">
        <f>"ENSG00000189337.17"</f>
        <v>ENSG00000189337.17</v>
      </c>
      <c r="B65" s="3">
        <v>1317.7859051153901</v>
      </c>
      <c r="C65" s="3">
        <v>1.03708388017861</v>
      </c>
      <c r="D65" s="3">
        <v>0.26583729196226602</v>
      </c>
      <c r="E65" s="3">
        <v>3.9011978813183901</v>
      </c>
      <c r="F65" s="4">
        <v>9.5717866776577805E-5</v>
      </c>
      <c r="G65" s="3">
        <v>7.8073376743346805E-4</v>
      </c>
      <c r="H65" s="3" t="str">
        <f>"KAZN"</f>
        <v>KAZN</v>
      </c>
      <c r="I65" s="3" t="str">
        <f t="shared" si="3"/>
        <v>protein_coding</v>
      </c>
    </row>
    <row r="66" spans="1:9" x14ac:dyDescent="0.2">
      <c r="A66" s="3" t="str">
        <f>"ENSG00000171729.14"</f>
        <v>ENSG00000171729.14</v>
      </c>
      <c r="B66" s="3">
        <v>522.36492696801304</v>
      </c>
      <c r="C66" s="3">
        <v>-1.29331561694331</v>
      </c>
      <c r="D66" s="3">
        <v>0.30698545848138797</v>
      </c>
      <c r="E66" s="3">
        <v>-4.2129540055126897</v>
      </c>
      <c r="F66" s="4">
        <v>2.5205240394079199E-5</v>
      </c>
      <c r="G66" s="3">
        <v>2.36876418368673E-4</v>
      </c>
      <c r="H66" s="3" t="str">
        <f>"TMEM51"</f>
        <v>TMEM51</v>
      </c>
      <c r="I66" s="3" t="str">
        <f t="shared" si="3"/>
        <v>protein_coding</v>
      </c>
    </row>
    <row r="67" spans="1:9" x14ac:dyDescent="0.2">
      <c r="A67" s="3" t="str">
        <f>"ENSG00000116771.6"</f>
        <v>ENSG00000116771.6</v>
      </c>
      <c r="B67" s="3">
        <v>2925.8148697220299</v>
      </c>
      <c r="C67" s="3">
        <v>-1.2824243904950099</v>
      </c>
      <c r="D67" s="3">
        <v>0.259648711153525</v>
      </c>
      <c r="E67" s="3">
        <v>-4.9390747398577997</v>
      </c>
      <c r="F67" s="4">
        <v>7.8494125218522898E-7</v>
      </c>
      <c r="G67" s="4">
        <v>1.0038229384199001E-5</v>
      </c>
      <c r="H67" s="3" t="str">
        <f>"AGMAT"</f>
        <v>AGMAT</v>
      </c>
      <c r="I67" s="3" t="str">
        <f t="shared" si="3"/>
        <v>protein_coding</v>
      </c>
    </row>
    <row r="68" spans="1:9" x14ac:dyDescent="0.2">
      <c r="A68" s="3" t="str">
        <f>"ENSG00000187144.11"</f>
        <v>ENSG00000187144.11</v>
      </c>
      <c r="B68" s="3">
        <v>242.00937433407</v>
      </c>
      <c r="C68" s="3">
        <v>-1.0902196844138801</v>
      </c>
      <c r="D68" s="3">
        <v>0.367796003601078</v>
      </c>
      <c r="E68" s="3">
        <v>-2.9641966572218701</v>
      </c>
      <c r="F68" s="3">
        <v>3.03474278424829E-3</v>
      </c>
      <c r="G68" s="3">
        <v>1.55666710313552E-2</v>
      </c>
      <c r="H68" s="3" t="str">
        <f>"SPATA21"</f>
        <v>SPATA21</v>
      </c>
      <c r="I68" s="3" t="str">
        <f t="shared" si="3"/>
        <v>protein_coding</v>
      </c>
    </row>
    <row r="69" spans="1:9" x14ac:dyDescent="0.2">
      <c r="A69" s="3" t="str">
        <f>"ENSG00000080947.14"</f>
        <v>ENSG00000080947.14</v>
      </c>
      <c r="B69" s="3">
        <v>1100.4061993923001</v>
      </c>
      <c r="C69" s="3">
        <v>2.6182935672076999</v>
      </c>
      <c r="D69" s="3">
        <v>0.28674744509305899</v>
      </c>
      <c r="E69" s="3">
        <v>9.1310092278519708</v>
      </c>
      <c r="F69" s="4">
        <v>6.7863657920373705E-20</v>
      </c>
      <c r="G69" s="4">
        <v>3.6167591419216103E-18</v>
      </c>
      <c r="H69" s="3" t="str">
        <f>"CROCCP3"</f>
        <v>CROCCP3</v>
      </c>
      <c r="I69" s="3" t="str">
        <f>"transcribed_unprocessed_pseudogene"</f>
        <v>transcribed_unprocessed_pseudogene</v>
      </c>
    </row>
    <row r="70" spans="1:9" x14ac:dyDescent="0.2">
      <c r="A70" s="3" t="str">
        <f>"ENSG00000206652.1"</f>
        <v>ENSG00000206652.1</v>
      </c>
      <c r="B70" s="3">
        <v>39.326211851055703</v>
      </c>
      <c r="C70" s="3">
        <v>2.7387157491714902</v>
      </c>
      <c r="D70" s="3">
        <v>0.62415315148899897</v>
      </c>
      <c r="E70" s="3">
        <v>4.3878906044741299</v>
      </c>
      <c r="F70" s="4">
        <v>1.14455316199963E-5</v>
      </c>
      <c r="G70" s="3">
        <v>1.15349498357776E-4</v>
      </c>
      <c r="H70" s="3" t="str">
        <f>"RNU1-1"</f>
        <v>RNU1-1</v>
      </c>
      <c r="I70" s="3" t="str">
        <f>"snRNA"</f>
        <v>snRNA</v>
      </c>
    </row>
    <row r="71" spans="1:9" x14ac:dyDescent="0.2">
      <c r="A71" s="3" t="str">
        <f>"ENSG00000219481.10"</f>
        <v>ENSG00000219481.10</v>
      </c>
      <c r="B71" s="3">
        <v>8852.2781685971695</v>
      </c>
      <c r="C71" s="3">
        <v>1.6155628885884501</v>
      </c>
      <c r="D71" s="3">
        <v>0.23690910003198701</v>
      </c>
      <c r="E71" s="3">
        <v>6.8193365656714597</v>
      </c>
      <c r="F71" s="4">
        <v>9.1461897989600301E-12</v>
      </c>
      <c r="G71" s="4">
        <v>2.3597169681316901E-10</v>
      </c>
      <c r="H71" s="3" t="str">
        <f>"NBPF1"</f>
        <v>NBPF1</v>
      </c>
      <c r="I71" s="3" t="str">
        <f>"protein_coding"</f>
        <v>protein_coding</v>
      </c>
    </row>
    <row r="72" spans="1:9" x14ac:dyDescent="0.2">
      <c r="A72" s="3" t="str">
        <f>"ENSG00000186301.8"</f>
        <v>ENSG00000186301.8</v>
      </c>
      <c r="B72" s="3">
        <v>2613.16485455577</v>
      </c>
      <c r="C72" s="3">
        <v>1.43746210120995</v>
      </c>
      <c r="D72" s="3">
        <v>0.31883115105080101</v>
      </c>
      <c r="E72" s="3">
        <v>4.5085371880143104</v>
      </c>
      <c r="F72" s="4">
        <v>6.5276128579373101E-6</v>
      </c>
      <c r="G72" s="4">
        <v>6.9932751891572896E-5</v>
      </c>
      <c r="H72" s="3" t="str">
        <f>"MST1P2"</f>
        <v>MST1P2</v>
      </c>
      <c r="I72" s="3" t="str">
        <f>"unprocessed_pseudogene"</f>
        <v>unprocessed_pseudogene</v>
      </c>
    </row>
    <row r="73" spans="1:9" x14ac:dyDescent="0.2">
      <c r="A73" s="3" t="str">
        <f>"ENSG00000280114.1"</f>
        <v>ENSG00000280114.1</v>
      </c>
      <c r="B73" s="3">
        <v>27.590701684910002</v>
      </c>
      <c r="C73" s="3">
        <v>4.2321868288357098</v>
      </c>
      <c r="D73" s="3">
        <v>0.869792875767604</v>
      </c>
      <c r="E73" s="3">
        <v>4.8657409674696899</v>
      </c>
      <c r="F73" s="4">
        <v>1.1402878455134201E-6</v>
      </c>
      <c r="G73" s="4">
        <v>1.4066595974236299E-5</v>
      </c>
      <c r="H73" s="3" t="str">
        <f>"AL021920.2"</f>
        <v>AL021920.2</v>
      </c>
      <c r="I73" s="3" t="str">
        <f>"unprocessed_pseudogene"</f>
        <v>unprocessed_pseudogene</v>
      </c>
    </row>
    <row r="74" spans="1:9" x14ac:dyDescent="0.2">
      <c r="A74" s="3" t="str">
        <f>"ENSG00000236698.1"</f>
        <v>ENSG00000236698.1</v>
      </c>
      <c r="B74" s="3">
        <v>198.191013859658</v>
      </c>
      <c r="C74" s="3">
        <v>-1.06111151332334</v>
      </c>
      <c r="D74" s="3">
        <v>0.37403669736355799</v>
      </c>
      <c r="E74" s="3">
        <v>-2.8369181976065798</v>
      </c>
      <c r="F74" s="3">
        <v>4.5551280955482398E-3</v>
      </c>
      <c r="G74" s="3">
        <v>2.1951005219064401E-2</v>
      </c>
      <c r="H74" s="3" t="str">
        <f>"EIF1AXP1"</f>
        <v>EIF1AXP1</v>
      </c>
      <c r="I74" s="3" t="str">
        <f>"processed_pseudogene"</f>
        <v>processed_pseudogene</v>
      </c>
    </row>
    <row r="75" spans="1:9" x14ac:dyDescent="0.2">
      <c r="A75" s="3" t="str">
        <f>"ENSG00000268869.5"</f>
        <v>ENSG00000268869.5</v>
      </c>
      <c r="B75" s="3">
        <v>49.265558818835103</v>
      </c>
      <c r="C75" s="3">
        <v>2.7649225350251698</v>
      </c>
      <c r="D75" s="3">
        <v>0.57221882969749405</v>
      </c>
      <c r="E75" s="3">
        <v>4.8319321062658096</v>
      </c>
      <c r="F75" s="4">
        <v>1.35214369741377E-6</v>
      </c>
      <c r="G75" s="4">
        <v>1.63603533951146E-5</v>
      </c>
      <c r="H75" s="3" t="str">
        <f>"ESPNP"</f>
        <v>ESPNP</v>
      </c>
      <c r="I75" s="3" t="str">
        <f>"transcribed_unprocessed_pseudogene"</f>
        <v>transcribed_unprocessed_pseudogene</v>
      </c>
    </row>
    <row r="76" spans="1:9" x14ac:dyDescent="0.2">
      <c r="A76" s="3" t="str">
        <f>"ENSG00000279151.1"</f>
        <v>ENSG00000279151.1</v>
      </c>
      <c r="B76" s="3">
        <v>16.870812869420099</v>
      </c>
      <c r="C76" s="3">
        <v>3.7569395065452098</v>
      </c>
      <c r="D76" s="3">
        <v>1.02078529152971</v>
      </c>
      <c r="E76" s="3">
        <v>3.6804404782471098</v>
      </c>
      <c r="F76" s="3">
        <v>2.3283140553371901E-4</v>
      </c>
      <c r="G76" s="3">
        <v>1.7095370712786699E-3</v>
      </c>
      <c r="H76" s="3" t="str">
        <f>"AL021920.1"</f>
        <v>AL021920.1</v>
      </c>
      <c r="I76" s="3" t="str">
        <f>"lincRNA"</f>
        <v>lincRNA</v>
      </c>
    </row>
    <row r="77" spans="1:9" x14ac:dyDescent="0.2">
      <c r="A77" s="3" t="str">
        <f>"ENSG00000058453.17"</f>
        <v>ENSG00000058453.17</v>
      </c>
      <c r="B77" s="3">
        <v>614.28558192819401</v>
      </c>
      <c r="C77" s="3">
        <v>1.8405387331424701</v>
      </c>
      <c r="D77" s="3">
        <v>0.30082249891083801</v>
      </c>
      <c r="E77" s="3">
        <v>6.1183546437063399</v>
      </c>
      <c r="F77" s="4">
        <v>9.4546467909533399E-10</v>
      </c>
      <c r="G77" s="4">
        <v>1.9304516235911601E-8</v>
      </c>
      <c r="H77" s="3" t="str">
        <f>"CROCC"</f>
        <v>CROCC</v>
      </c>
      <c r="I77" s="3" t="str">
        <f>"protein_coding"</f>
        <v>protein_coding</v>
      </c>
    </row>
    <row r="78" spans="1:9" x14ac:dyDescent="0.2">
      <c r="A78" s="3" t="str">
        <f>"ENSG00000227684.2"</f>
        <v>ENSG00000227684.2</v>
      </c>
      <c r="B78" s="3">
        <v>26.4301410234402</v>
      </c>
      <c r="C78" s="3">
        <v>1.9246208069652599</v>
      </c>
      <c r="D78" s="3">
        <v>0.69882353952602505</v>
      </c>
      <c r="E78" s="3">
        <v>2.7540869734734801</v>
      </c>
      <c r="F78" s="3">
        <v>5.8856125230371398E-3</v>
      </c>
      <c r="G78" s="3">
        <v>2.7101163590732998E-2</v>
      </c>
      <c r="H78" s="3" t="str">
        <f>"CROCCP4"</f>
        <v>CROCCP4</v>
      </c>
      <c r="I78" s="3" t="str">
        <f>"transcribed_unprocessed_pseudogene"</f>
        <v>transcribed_unprocessed_pseudogene</v>
      </c>
    </row>
    <row r="79" spans="1:9" x14ac:dyDescent="0.2">
      <c r="A79" s="3" t="str">
        <f>"ENSG00000186715.11"</f>
        <v>ENSG00000186715.11</v>
      </c>
      <c r="B79" s="3">
        <v>523.57729205514602</v>
      </c>
      <c r="C79" s="3">
        <v>1.6599297252870899</v>
      </c>
      <c r="D79" s="3">
        <v>0.34014150966250301</v>
      </c>
      <c r="E79" s="3">
        <v>4.8801151230677799</v>
      </c>
      <c r="F79" s="4">
        <v>1.0602393225317901E-6</v>
      </c>
      <c r="G79" s="4">
        <v>1.31912502794728E-5</v>
      </c>
      <c r="H79" s="3" t="str">
        <f>"MST1L"</f>
        <v>MST1L</v>
      </c>
      <c r="I79" s="3" t="str">
        <f>"transcribed_unprocessed_pseudogene"</f>
        <v>transcribed_unprocessed_pseudogene</v>
      </c>
    </row>
    <row r="80" spans="1:9" x14ac:dyDescent="0.2">
      <c r="A80" s="3" t="str">
        <f>"ENSG00000117122.13"</f>
        <v>ENSG00000117122.13</v>
      </c>
      <c r="B80" s="3">
        <v>192.87352022827901</v>
      </c>
      <c r="C80" s="3">
        <v>-3.2031659320849801</v>
      </c>
      <c r="D80" s="3">
        <v>0.41173376901296399</v>
      </c>
      <c r="E80" s="3">
        <v>-7.7797017712776597</v>
      </c>
      <c r="F80" s="4">
        <v>7.2695715057087498E-15</v>
      </c>
      <c r="G80" s="4">
        <v>2.6123724460871902E-13</v>
      </c>
      <c r="H80" s="3" t="str">
        <f>"MFAP2"</f>
        <v>MFAP2</v>
      </c>
      <c r="I80" s="3" t="str">
        <f t="shared" ref="I80:I93" si="4">"protein_coding"</f>
        <v>protein_coding</v>
      </c>
    </row>
    <row r="81" spans="1:9" x14ac:dyDescent="0.2">
      <c r="A81" s="3" t="str">
        <f>"ENSG00000142619.4"</f>
        <v>ENSG00000142619.4</v>
      </c>
      <c r="B81" s="3">
        <v>227.51300612535201</v>
      </c>
      <c r="C81" s="3">
        <v>7.5818139286497903</v>
      </c>
      <c r="D81" s="3">
        <v>0.722317721694823</v>
      </c>
      <c r="E81" s="3">
        <v>10.496508255203899</v>
      </c>
      <c r="F81" s="4">
        <v>8.9634624387835898E-26</v>
      </c>
      <c r="G81" s="4">
        <v>7.3926523818885595E-24</v>
      </c>
      <c r="H81" s="3" t="str">
        <f>"PADI3"</f>
        <v>PADI3</v>
      </c>
      <c r="I81" s="3" t="str">
        <f t="shared" si="4"/>
        <v>protein_coding</v>
      </c>
    </row>
    <row r="82" spans="1:9" x14ac:dyDescent="0.2">
      <c r="A82" s="3" t="str">
        <f>"ENSG00000159339.13"</f>
        <v>ENSG00000159339.13</v>
      </c>
      <c r="B82" s="3">
        <v>1962.5444525001301</v>
      </c>
      <c r="C82" s="3">
        <v>10.016524074384501</v>
      </c>
      <c r="D82" s="3">
        <v>0.57168655997611795</v>
      </c>
      <c r="E82" s="3">
        <v>17.521006746779101</v>
      </c>
      <c r="F82" s="4">
        <v>9.9056909692803696E-69</v>
      </c>
      <c r="G82" s="4">
        <v>5.0852582924948499E-66</v>
      </c>
      <c r="H82" s="3" t="str">
        <f>"PADI4"</f>
        <v>PADI4</v>
      </c>
      <c r="I82" s="3" t="str">
        <f t="shared" si="4"/>
        <v>protein_coding</v>
      </c>
    </row>
    <row r="83" spans="1:9" x14ac:dyDescent="0.2">
      <c r="A83" s="3" t="str">
        <f>"ENSG00000074964.17"</f>
        <v>ENSG00000074964.17</v>
      </c>
      <c r="B83" s="3">
        <v>4853.32331446236</v>
      </c>
      <c r="C83" s="3">
        <v>1.24585804115281</v>
      </c>
      <c r="D83" s="3">
        <v>0.28471004924432802</v>
      </c>
      <c r="E83" s="3">
        <v>4.3758836207557303</v>
      </c>
      <c r="F83" s="4">
        <v>1.20941533252325E-5</v>
      </c>
      <c r="G83" s="3">
        <v>1.2135912416498601E-4</v>
      </c>
      <c r="H83" s="3" t="str">
        <f>"ARHGEF10L"</f>
        <v>ARHGEF10L</v>
      </c>
      <c r="I83" s="3" t="str">
        <f t="shared" si="4"/>
        <v>protein_coding</v>
      </c>
    </row>
    <row r="84" spans="1:9" x14ac:dyDescent="0.2">
      <c r="A84" s="3" t="str">
        <f>"ENSG00000117148.8"</f>
        <v>ENSG00000117148.8</v>
      </c>
      <c r="B84" s="3">
        <v>13.184636880460999</v>
      </c>
      <c r="C84" s="3">
        <v>-2.6973413028373399</v>
      </c>
      <c r="D84" s="3">
        <v>1.0477151095719901</v>
      </c>
      <c r="E84" s="3">
        <v>-2.5744988100241</v>
      </c>
      <c r="F84" s="3">
        <v>1.0038543185991599E-2</v>
      </c>
      <c r="G84" s="3">
        <v>4.2426000309747698E-2</v>
      </c>
      <c r="H84" s="3" t="str">
        <f>"ACTL8"</f>
        <v>ACTL8</v>
      </c>
      <c r="I84" s="3" t="str">
        <f t="shared" si="4"/>
        <v>protein_coding</v>
      </c>
    </row>
    <row r="85" spans="1:9" x14ac:dyDescent="0.2">
      <c r="A85" s="3" t="str">
        <f>"ENSG00000179023.8"</f>
        <v>ENSG00000179023.8</v>
      </c>
      <c r="B85" s="3">
        <v>1734.46252523871</v>
      </c>
      <c r="C85" s="3">
        <v>6.5300271842083104</v>
      </c>
      <c r="D85" s="3">
        <v>0.33823338839074801</v>
      </c>
      <c r="E85" s="3">
        <v>19.306276105020199</v>
      </c>
      <c r="F85" s="4">
        <v>4.7565731607850101E-83</v>
      </c>
      <c r="G85" s="4">
        <v>3.8597289632111898E-80</v>
      </c>
      <c r="H85" s="3" t="str">
        <f>"KLHDC7A"</f>
        <v>KLHDC7A</v>
      </c>
      <c r="I85" s="3" t="str">
        <f t="shared" si="4"/>
        <v>protein_coding</v>
      </c>
    </row>
    <row r="86" spans="1:9" x14ac:dyDescent="0.2">
      <c r="A86" s="3" t="str">
        <f>"ENSG00000169991.11"</f>
        <v>ENSG00000169991.11</v>
      </c>
      <c r="B86" s="3">
        <v>1282.9914516640399</v>
      </c>
      <c r="C86" s="3">
        <v>1.25418439443469</v>
      </c>
      <c r="D86" s="3">
        <v>0.28093180781454202</v>
      </c>
      <c r="E86" s="3">
        <v>4.4643730597520701</v>
      </c>
      <c r="F86" s="4">
        <v>8.03035408930322E-6</v>
      </c>
      <c r="G86" s="4">
        <v>8.4343865184309993E-5</v>
      </c>
      <c r="H86" s="3" t="str">
        <f>"IFFO2"</f>
        <v>IFFO2</v>
      </c>
      <c r="I86" s="3" t="str">
        <f t="shared" si="4"/>
        <v>protein_coding</v>
      </c>
    </row>
    <row r="87" spans="1:9" x14ac:dyDescent="0.2">
      <c r="A87" s="3" t="str">
        <f>"ENSG00000053372.5"</f>
        <v>ENSG00000053372.5</v>
      </c>
      <c r="B87" s="3">
        <v>1801.0757185907601</v>
      </c>
      <c r="C87" s="3">
        <v>-1.3211129078708701</v>
      </c>
      <c r="D87" s="3">
        <v>0.26456033297131398</v>
      </c>
      <c r="E87" s="3">
        <v>-4.9936167415321302</v>
      </c>
      <c r="F87" s="4">
        <v>5.9258937912954401E-7</v>
      </c>
      <c r="G87" s="4">
        <v>7.7598052222819793E-6</v>
      </c>
      <c r="H87" s="3" t="str">
        <f>"MRTO4"</f>
        <v>MRTO4</v>
      </c>
      <c r="I87" s="3" t="str">
        <f t="shared" si="4"/>
        <v>protein_coding</v>
      </c>
    </row>
    <row r="88" spans="1:9" x14ac:dyDescent="0.2">
      <c r="A88" s="3" t="str">
        <f>"ENSG00000158747.14"</f>
        <v>ENSG00000158747.14</v>
      </c>
      <c r="B88" s="3">
        <v>361.99672797429599</v>
      </c>
      <c r="C88" s="3">
        <v>-1.41830336520981</v>
      </c>
      <c r="D88" s="3">
        <v>0.372437011473987</v>
      </c>
      <c r="E88" s="3">
        <v>-3.80816976163731</v>
      </c>
      <c r="F88" s="3">
        <v>1.3999915254946801E-4</v>
      </c>
      <c r="G88" s="3">
        <v>1.09058721881149E-3</v>
      </c>
      <c r="H88" s="3" t="str">
        <f>"NBL1"</f>
        <v>NBL1</v>
      </c>
      <c r="I88" s="3" t="str">
        <f t="shared" si="4"/>
        <v>protein_coding</v>
      </c>
    </row>
    <row r="89" spans="1:9" x14ac:dyDescent="0.2">
      <c r="A89" s="3" t="str">
        <f>"ENSG00000169914.6"</f>
        <v>ENSG00000169914.6</v>
      </c>
      <c r="B89" s="3">
        <v>1361.36339743858</v>
      </c>
      <c r="C89" s="3">
        <v>-1.0721845028333401</v>
      </c>
      <c r="D89" s="3">
        <v>0.25549434073052002</v>
      </c>
      <c r="E89" s="3">
        <v>-4.1965097926150001</v>
      </c>
      <c r="F89" s="4">
        <v>2.7105974712308599E-5</v>
      </c>
      <c r="G89" s="3">
        <v>2.5253733106967498E-4</v>
      </c>
      <c r="H89" s="3" t="str">
        <f>"OTUD3"</f>
        <v>OTUD3</v>
      </c>
      <c r="I89" s="3" t="str">
        <f t="shared" si="4"/>
        <v>protein_coding</v>
      </c>
    </row>
    <row r="90" spans="1:9" x14ac:dyDescent="0.2">
      <c r="A90" s="3" t="str">
        <f>"ENSG00000188257.11"</f>
        <v>ENSG00000188257.11</v>
      </c>
      <c r="B90" s="3">
        <v>896.50779128755005</v>
      </c>
      <c r="C90" s="3">
        <v>1.1245009122049801</v>
      </c>
      <c r="D90" s="3">
        <v>0.30235501169275802</v>
      </c>
      <c r="E90" s="3">
        <v>3.71914097242631</v>
      </c>
      <c r="F90" s="3">
        <v>1.9990146698245899E-4</v>
      </c>
      <c r="G90" s="3">
        <v>1.49237840932493E-3</v>
      </c>
      <c r="H90" s="3" t="str">
        <f>"PLA2G2A"</f>
        <v>PLA2G2A</v>
      </c>
      <c r="I90" s="3" t="str">
        <f t="shared" si="4"/>
        <v>protein_coding</v>
      </c>
    </row>
    <row r="91" spans="1:9" x14ac:dyDescent="0.2">
      <c r="A91" s="3" t="str">
        <f>"ENSG00000162543.6"</f>
        <v>ENSG00000162543.6</v>
      </c>
      <c r="B91" s="3">
        <v>117.07356912355201</v>
      </c>
      <c r="C91" s="3">
        <v>-1.93690510472042</v>
      </c>
      <c r="D91" s="3">
        <v>0.40835223734703702</v>
      </c>
      <c r="E91" s="3">
        <v>-4.7432214827669696</v>
      </c>
      <c r="F91" s="4">
        <v>2.1034607427941302E-6</v>
      </c>
      <c r="G91" s="4">
        <v>2.47024066223092E-5</v>
      </c>
      <c r="H91" s="3" t="str">
        <f>"UBXN10"</f>
        <v>UBXN10</v>
      </c>
      <c r="I91" s="3" t="str">
        <f t="shared" si="4"/>
        <v>protein_coding</v>
      </c>
    </row>
    <row r="92" spans="1:9" x14ac:dyDescent="0.2">
      <c r="A92" s="3" t="str">
        <f>"ENSG00000162545.6"</f>
        <v>ENSG00000162545.6</v>
      </c>
      <c r="B92" s="3">
        <v>3066.3039218516701</v>
      </c>
      <c r="C92" s="3">
        <v>-1.33901736443453</v>
      </c>
      <c r="D92" s="3">
        <v>0.24024025813595101</v>
      </c>
      <c r="E92" s="3">
        <v>-5.5736593642718404</v>
      </c>
      <c r="F92" s="4">
        <v>2.4944325240363502E-8</v>
      </c>
      <c r="G92" s="4">
        <v>4.13083937736238E-7</v>
      </c>
      <c r="H92" s="3" t="str">
        <f>"CAMK2N1"</f>
        <v>CAMK2N1</v>
      </c>
      <c r="I92" s="3" t="str">
        <f t="shared" si="4"/>
        <v>protein_coding</v>
      </c>
    </row>
    <row r="93" spans="1:9" x14ac:dyDescent="0.2">
      <c r="A93" s="3" t="str">
        <f>"ENSG00000117245.12"</f>
        <v>ENSG00000117245.12</v>
      </c>
      <c r="B93" s="3">
        <v>149.07613520229501</v>
      </c>
      <c r="C93" s="3">
        <v>2.0882277860387002</v>
      </c>
      <c r="D93" s="3">
        <v>0.36748832456748898</v>
      </c>
      <c r="E93" s="3">
        <v>5.6824330092566004</v>
      </c>
      <c r="F93" s="4">
        <v>1.32791934592933E-8</v>
      </c>
      <c r="G93" s="4">
        <v>2.3021234422365399E-7</v>
      </c>
      <c r="H93" s="3" t="str">
        <f>"KIF17"</f>
        <v>KIF17</v>
      </c>
      <c r="I93" s="3" t="str">
        <f t="shared" si="4"/>
        <v>protein_coding</v>
      </c>
    </row>
    <row r="94" spans="1:9" x14ac:dyDescent="0.2">
      <c r="A94" s="3" t="str">
        <f>"ENSG00000235432.1"</f>
        <v>ENSG00000235432.1</v>
      </c>
      <c r="B94" s="3">
        <v>7.3979985405968103</v>
      </c>
      <c r="C94" s="3">
        <v>4.8950335974079797</v>
      </c>
      <c r="D94" s="3">
        <v>1.8235055439268499</v>
      </c>
      <c r="E94" s="3">
        <v>2.6844083988177498</v>
      </c>
      <c r="F94" s="3">
        <v>7.2658290699814197E-3</v>
      </c>
      <c r="G94" s="3">
        <v>3.22690554829419E-2</v>
      </c>
      <c r="H94" s="3" t="str">
        <f>"AL663074.2"</f>
        <v>AL663074.2</v>
      </c>
      <c r="I94" s="3" t="str">
        <f>"unprocessed_pseudogene"</f>
        <v>unprocessed_pseudogene</v>
      </c>
    </row>
    <row r="95" spans="1:9" x14ac:dyDescent="0.2">
      <c r="A95" s="3" t="str">
        <f>"ENSG00000117298.16"</f>
        <v>ENSG00000117298.16</v>
      </c>
      <c r="B95" s="3">
        <v>3448.7607218391299</v>
      </c>
      <c r="C95" s="3">
        <v>1.04578876420988</v>
      </c>
      <c r="D95" s="3">
        <v>0.29817613057385201</v>
      </c>
      <c r="E95" s="3">
        <v>3.50728531555231</v>
      </c>
      <c r="F95" s="3">
        <v>4.52703475876658E-4</v>
      </c>
      <c r="G95" s="3">
        <v>3.0678221809475499E-3</v>
      </c>
      <c r="H95" s="3" t="str">
        <f>"ECE1"</f>
        <v>ECE1</v>
      </c>
      <c r="I95" s="3" t="str">
        <f>"protein_coding"</f>
        <v>protein_coding</v>
      </c>
    </row>
    <row r="96" spans="1:9" x14ac:dyDescent="0.2">
      <c r="A96" s="3" t="str">
        <f>"ENSG00000162551.14"</f>
        <v>ENSG00000162551.14</v>
      </c>
      <c r="B96" s="3">
        <v>1799.00540910922</v>
      </c>
      <c r="C96" s="3">
        <v>6.5232123831814199</v>
      </c>
      <c r="D96" s="3">
        <v>0.31100703478710801</v>
      </c>
      <c r="E96" s="3">
        <v>20.974484990819299</v>
      </c>
      <c r="F96" s="4">
        <v>1.12174480536602E-97</v>
      </c>
      <c r="G96" s="4">
        <v>1.5676383654990101E-94</v>
      </c>
      <c r="H96" s="3" t="str">
        <f>"ALPL"</f>
        <v>ALPL</v>
      </c>
      <c r="I96" s="3" t="str">
        <f>"protein_coding"</f>
        <v>protein_coding</v>
      </c>
    </row>
    <row r="97" spans="1:9" x14ac:dyDescent="0.2">
      <c r="A97" s="3" t="str">
        <f>"ENSG00000233431.1"</f>
        <v>ENSG00000233431.1</v>
      </c>
      <c r="B97" s="3">
        <v>6.5164081062678596</v>
      </c>
      <c r="C97" s="3">
        <v>6.22154841975129</v>
      </c>
      <c r="D97" s="3">
        <v>1.9008674804769199</v>
      </c>
      <c r="E97" s="3">
        <v>3.2730048168272798</v>
      </c>
      <c r="F97" s="3">
        <v>1.06410664140067E-3</v>
      </c>
      <c r="G97" s="3">
        <v>6.4373642303660102E-3</v>
      </c>
      <c r="H97" s="3" t="str">
        <f>"LINC02596"</f>
        <v>LINC02596</v>
      </c>
      <c r="I97" s="3" t="str">
        <f>"antisense"</f>
        <v>antisense</v>
      </c>
    </row>
    <row r="98" spans="1:9" x14ac:dyDescent="0.2">
      <c r="A98" s="3" t="str">
        <f>"ENSG00000090686.15"</f>
        <v>ENSG00000090686.15</v>
      </c>
      <c r="B98" s="3">
        <v>2953.8530923399499</v>
      </c>
      <c r="C98" s="3">
        <v>1.08546587462628</v>
      </c>
      <c r="D98" s="3">
        <v>0.27631572196072302</v>
      </c>
      <c r="E98" s="3">
        <v>3.9283536489486202</v>
      </c>
      <c r="F98" s="4">
        <v>8.5529374694856401E-5</v>
      </c>
      <c r="G98" s="3">
        <v>7.0633336193339196E-4</v>
      </c>
      <c r="H98" s="3" t="str">
        <f>"USP48"</f>
        <v>USP48</v>
      </c>
      <c r="I98" s="3" t="str">
        <f>"protein_coding"</f>
        <v>protein_coding</v>
      </c>
    </row>
    <row r="99" spans="1:9" x14ac:dyDescent="0.2">
      <c r="A99" s="3" t="str">
        <f>"ENSG00000142798.20"</f>
        <v>ENSG00000142798.20</v>
      </c>
      <c r="B99" s="3">
        <v>18996.007304840601</v>
      </c>
      <c r="C99" s="3">
        <v>3.4052967090442001</v>
      </c>
      <c r="D99" s="3">
        <v>0.33691895455869397</v>
      </c>
      <c r="E99" s="3">
        <v>10.1071686913684</v>
      </c>
      <c r="F99" s="4">
        <v>5.1346728804131699E-24</v>
      </c>
      <c r="G99" s="4">
        <v>3.6798488976294399E-22</v>
      </c>
      <c r="H99" s="3" t="str">
        <f>"HSPG2"</f>
        <v>HSPG2</v>
      </c>
      <c r="I99" s="3" t="str">
        <f>"protein_coding"</f>
        <v>protein_coding</v>
      </c>
    </row>
    <row r="100" spans="1:9" x14ac:dyDescent="0.2">
      <c r="A100" s="3" t="str">
        <f>"ENSG00000283234.1"</f>
        <v>ENSG00000283234.1</v>
      </c>
      <c r="B100" s="3">
        <v>13.5826164804005</v>
      </c>
      <c r="C100" s="3">
        <v>7.2859817391611799</v>
      </c>
      <c r="D100" s="3">
        <v>1.70929804223741</v>
      </c>
      <c r="E100" s="3">
        <v>4.2625578214692599</v>
      </c>
      <c r="F100" s="4">
        <v>2.0210018117524999E-5</v>
      </c>
      <c r="G100" s="3">
        <v>1.93167249700519E-4</v>
      </c>
      <c r="H100" s="3" t="str">
        <f>"AL590556.2"</f>
        <v>AL590556.2</v>
      </c>
      <c r="I100" s="3" t="str">
        <f>"transcribed_unitary_pseudogene"</f>
        <v>transcribed_unitary_pseudogene</v>
      </c>
    </row>
    <row r="101" spans="1:9" x14ac:dyDescent="0.2">
      <c r="A101" s="3" t="str">
        <f>"ENSG00000230068.2"</f>
        <v>ENSG00000230068.2</v>
      </c>
      <c r="B101" s="3">
        <v>95.872288693986604</v>
      </c>
      <c r="C101" s="3">
        <v>1.40599589528421</v>
      </c>
      <c r="D101" s="3">
        <v>0.405490614177272</v>
      </c>
      <c r="E101" s="3">
        <v>3.4673944257302498</v>
      </c>
      <c r="F101" s="3">
        <v>5.2553013536493299E-4</v>
      </c>
      <c r="G101" s="3">
        <v>3.4917354873494201E-3</v>
      </c>
      <c r="H101" s="3" t="str">
        <f>"CDC42-IT1"</f>
        <v>CDC42-IT1</v>
      </c>
      <c r="I101" s="3" t="str">
        <f>"sense_intronic"</f>
        <v>sense_intronic</v>
      </c>
    </row>
    <row r="102" spans="1:9" x14ac:dyDescent="0.2">
      <c r="A102" s="3" t="str">
        <f>"ENSG00000179546.4"</f>
        <v>ENSG00000179546.4</v>
      </c>
      <c r="B102" s="3">
        <v>95.335460499209404</v>
      </c>
      <c r="C102" s="3">
        <v>-4.0560769156019303</v>
      </c>
      <c r="D102" s="3">
        <v>0.50087253303597701</v>
      </c>
      <c r="E102" s="3">
        <v>-8.0980222473301193</v>
      </c>
      <c r="F102" s="4">
        <v>5.5859855523484597E-16</v>
      </c>
      <c r="G102" s="4">
        <v>2.22334599002097E-14</v>
      </c>
      <c r="H102" s="3" t="str">
        <f>"HTR1D"</f>
        <v>HTR1D</v>
      </c>
      <c r="I102" s="3" t="str">
        <f>"protein_coding"</f>
        <v>protein_coding</v>
      </c>
    </row>
    <row r="103" spans="1:9" x14ac:dyDescent="0.2">
      <c r="A103" s="3" t="str">
        <f>"ENSG00000271420.1"</f>
        <v>ENSG00000271420.1</v>
      </c>
      <c r="B103" s="3">
        <v>44.2177445272334</v>
      </c>
      <c r="C103" s="3">
        <v>1.39294956655447</v>
      </c>
      <c r="D103" s="3">
        <v>0.54783581936491998</v>
      </c>
      <c r="E103" s="3">
        <v>2.542640545427</v>
      </c>
      <c r="F103" s="3">
        <v>1.1001834514073199E-2</v>
      </c>
      <c r="G103" s="3">
        <v>4.56986702776606E-2</v>
      </c>
      <c r="H103" s="3" t="str">
        <f>"AL109936.2"</f>
        <v>AL109936.2</v>
      </c>
      <c r="I103" s="3" t="str">
        <f>"lincRNA"</f>
        <v>lincRNA</v>
      </c>
    </row>
    <row r="104" spans="1:9" x14ac:dyDescent="0.2">
      <c r="A104" s="3" t="str">
        <f>"ENSG00000204219.10"</f>
        <v>ENSG00000204219.10</v>
      </c>
      <c r="B104" s="3">
        <v>2879.0300906602902</v>
      </c>
      <c r="C104" s="3">
        <v>1.2069867546945201</v>
      </c>
      <c r="D104" s="3">
        <v>0.27031967127975498</v>
      </c>
      <c r="E104" s="3">
        <v>4.4650348566213101</v>
      </c>
      <c r="F104" s="4">
        <v>8.0055717265827301E-6</v>
      </c>
      <c r="G104" s="4">
        <v>8.4118695397739605E-5</v>
      </c>
      <c r="H104" s="3" t="str">
        <f>"TCEA3"</f>
        <v>TCEA3</v>
      </c>
      <c r="I104" s="3" t="str">
        <f>"protein_coding"</f>
        <v>protein_coding</v>
      </c>
    </row>
    <row r="105" spans="1:9" x14ac:dyDescent="0.2">
      <c r="A105" s="3" t="str">
        <f>"ENSG00000007968.7"</f>
        <v>ENSG00000007968.7</v>
      </c>
      <c r="B105" s="3">
        <v>1265.0029226434101</v>
      </c>
      <c r="C105" s="3">
        <v>-2.8447898341402</v>
      </c>
      <c r="D105" s="3">
        <v>0.28733616606867901</v>
      </c>
      <c r="E105" s="3">
        <v>-9.9005630689045692</v>
      </c>
      <c r="F105" s="4">
        <v>4.1393787231341401E-23</v>
      </c>
      <c r="G105" s="4">
        <v>2.74738975673982E-21</v>
      </c>
      <c r="H105" s="3" t="str">
        <f>"E2F2"</f>
        <v>E2F2</v>
      </c>
      <c r="I105" s="3" t="str">
        <f>"protein_coding"</f>
        <v>protein_coding</v>
      </c>
    </row>
    <row r="106" spans="1:9" x14ac:dyDescent="0.2">
      <c r="A106" s="3" t="str">
        <f>"ENSG00000197880.8"</f>
        <v>ENSG00000197880.8</v>
      </c>
      <c r="B106" s="3">
        <v>22.944191252243499</v>
      </c>
      <c r="C106" s="3">
        <v>2.8635184575477601</v>
      </c>
      <c r="D106" s="3">
        <v>0.83461384396289595</v>
      </c>
      <c r="E106" s="3">
        <v>3.4309501073589499</v>
      </c>
      <c r="F106" s="3">
        <v>6.0147121430586105E-4</v>
      </c>
      <c r="G106" s="3">
        <v>3.9380552826298598E-3</v>
      </c>
      <c r="H106" s="3" t="str">
        <f>"MDS2"</f>
        <v>MDS2</v>
      </c>
      <c r="I106" s="3" t="str">
        <f>"lincRNA"</f>
        <v>lincRNA</v>
      </c>
    </row>
    <row r="107" spans="1:9" x14ac:dyDescent="0.2">
      <c r="A107" s="3" t="str">
        <f>"ENSG00000117305.15"</f>
        <v>ENSG00000117305.15</v>
      </c>
      <c r="B107" s="3">
        <v>821.91281578844701</v>
      </c>
      <c r="C107" s="3">
        <v>1.02412655871928</v>
      </c>
      <c r="D107" s="3">
        <v>0.27117513846104002</v>
      </c>
      <c r="E107" s="3">
        <v>3.7766240833557001</v>
      </c>
      <c r="F107" s="3">
        <v>1.58968380905741E-4</v>
      </c>
      <c r="G107" s="3">
        <v>1.2206500676690899E-3</v>
      </c>
      <c r="H107" s="3" t="str">
        <f>"HMGCL"</f>
        <v>HMGCL</v>
      </c>
      <c r="I107" s="3" t="str">
        <f>"protein_coding"</f>
        <v>protein_coding</v>
      </c>
    </row>
    <row r="108" spans="1:9" x14ac:dyDescent="0.2">
      <c r="A108" s="3" t="str">
        <f>"ENSG00000225315.2"</f>
        <v>ENSG00000225315.2</v>
      </c>
      <c r="B108" s="3">
        <v>53.8447198124518</v>
      </c>
      <c r="C108" s="3">
        <v>-2.93769351593521</v>
      </c>
      <c r="D108" s="3">
        <v>0.57928872325290803</v>
      </c>
      <c r="E108" s="3">
        <v>-5.0712078416424804</v>
      </c>
      <c r="F108" s="4">
        <v>3.9529876278937998E-7</v>
      </c>
      <c r="G108" s="4">
        <v>5.3403546605622198E-6</v>
      </c>
      <c r="H108" s="3" t="str">
        <f>"AL591178.1"</f>
        <v>AL591178.1</v>
      </c>
      <c r="I108" s="3" t="str">
        <f>"antisense"</f>
        <v>antisense</v>
      </c>
    </row>
    <row r="109" spans="1:9" x14ac:dyDescent="0.2">
      <c r="A109" s="3" t="str">
        <f>"ENSG00000142677.4"</f>
        <v>ENSG00000142677.4</v>
      </c>
      <c r="B109" s="3">
        <v>217.85453247896899</v>
      </c>
      <c r="C109" s="3">
        <v>-1.27984076851277</v>
      </c>
      <c r="D109" s="3">
        <v>0.38351151117042198</v>
      </c>
      <c r="E109" s="3">
        <v>-3.3371638953075502</v>
      </c>
      <c r="F109" s="3">
        <v>8.4638021834178799E-4</v>
      </c>
      <c r="G109" s="3">
        <v>5.2948755017129196E-3</v>
      </c>
      <c r="H109" s="3" t="str">
        <f>"IL22RA1"</f>
        <v>IL22RA1</v>
      </c>
      <c r="I109" s="3" t="str">
        <f t="shared" ref="I109:I117" si="5">"protein_coding"</f>
        <v>protein_coding</v>
      </c>
    </row>
    <row r="110" spans="1:9" x14ac:dyDescent="0.2">
      <c r="A110" s="3" t="str">
        <f>"ENSG00000158055.15"</f>
        <v>ENSG00000158055.15</v>
      </c>
      <c r="B110" s="3">
        <v>371.34316474968603</v>
      </c>
      <c r="C110" s="3">
        <v>7.1603557278345402</v>
      </c>
      <c r="D110" s="3">
        <v>0.53215061492849103</v>
      </c>
      <c r="E110" s="3">
        <v>13.455505879283301</v>
      </c>
      <c r="F110" s="4">
        <v>2.8577677012401402E-41</v>
      </c>
      <c r="G110" s="4">
        <v>5.0983791861486398E-39</v>
      </c>
      <c r="H110" s="3" t="str">
        <f>"GRHL3"</f>
        <v>GRHL3</v>
      </c>
      <c r="I110" s="3" t="str">
        <f t="shared" si="5"/>
        <v>protein_coding</v>
      </c>
    </row>
    <row r="111" spans="1:9" x14ac:dyDescent="0.2">
      <c r="A111" s="3" t="str">
        <f>"ENSG00000184454.7"</f>
        <v>ENSG00000184454.7</v>
      </c>
      <c r="B111" s="3">
        <v>17.7305014392822</v>
      </c>
      <c r="C111" s="3">
        <v>-2.3476023648814199</v>
      </c>
      <c r="D111" s="3">
        <v>0.88277019685179403</v>
      </c>
      <c r="E111" s="3">
        <v>-2.6593584301482198</v>
      </c>
      <c r="F111" s="3">
        <v>7.8289624506861204E-3</v>
      </c>
      <c r="G111" s="3">
        <v>3.4357562883288402E-2</v>
      </c>
      <c r="H111" s="3" t="str">
        <f>"NCMAP"</f>
        <v>NCMAP</v>
      </c>
      <c r="I111" s="3" t="str">
        <f t="shared" si="5"/>
        <v>protein_coding</v>
      </c>
    </row>
    <row r="112" spans="1:9" x14ac:dyDescent="0.2">
      <c r="A112" s="3" t="str">
        <f>"ENSG00000169504.15"</f>
        <v>ENSG00000169504.15</v>
      </c>
      <c r="B112" s="3">
        <v>5625.9390024525301</v>
      </c>
      <c r="C112" s="3">
        <v>-1.6000770569104601</v>
      </c>
      <c r="D112" s="3">
        <v>0.25462129472190098</v>
      </c>
      <c r="E112" s="3">
        <v>-6.2841446889116996</v>
      </c>
      <c r="F112" s="4">
        <v>3.2966357243858801E-10</v>
      </c>
      <c r="G112" s="4">
        <v>7.1550363802352697E-9</v>
      </c>
      <c r="H112" s="3" t="str">
        <f>"CLIC4"</f>
        <v>CLIC4</v>
      </c>
      <c r="I112" s="3" t="str">
        <f t="shared" si="5"/>
        <v>protein_coding</v>
      </c>
    </row>
    <row r="113" spans="1:9" x14ac:dyDescent="0.2">
      <c r="A113" s="3" t="str">
        <f>"ENSG00000020633.18"</f>
        <v>ENSG00000020633.18</v>
      </c>
      <c r="B113" s="3">
        <v>27.067198922292999</v>
      </c>
      <c r="C113" s="3">
        <v>-1.81987815359683</v>
      </c>
      <c r="D113" s="3">
        <v>0.70202218967192498</v>
      </c>
      <c r="E113" s="3">
        <v>-2.5923370804665198</v>
      </c>
      <c r="F113" s="3">
        <v>9.5326319719873601E-3</v>
      </c>
      <c r="G113" s="3">
        <v>4.0594781236005101E-2</v>
      </c>
      <c r="H113" s="3" t="str">
        <f>"RUNX3"</f>
        <v>RUNX3</v>
      </c>
      <c r="I113" s="3" t="str">
        <f t="shared" si="5"/>
        <v>protein_coding</v>
      </c>
    </row>
    <row r="114" spans="1:9" x14ac:dyDescent="0.2">
      <c r="A114" s="3" t="str">
        <f>"ENSG00000188672.18"</f>
        <v>ENSG00000188672.18</v>
      </c>
      <c r="B114" s="3">
        <v>19.641556913215201</v>
      </c>
      <c r="C114" s="3">
        <v>2.43000053133848</v>
      </c>
      <c r="D114" s="3">
        <v>0.80915987567944703</v>
      </c>
      <c r="E114" s="3">
        <v>3.0031154588554299</v>
      </c>
      <c r="F114" s="3">
        <v>2.6723102714300302E-3</v>
      </c>
      <c r="G114" s="3">
        <v>1.39725555763506E-2</v>
      </c>
      <c r="H114" s="3" t="str">
        <f>"RHCE"</f>
        <v>RHCE</v>
      </c>
      <c r="I114" s="3" t="str">
        <f t="shared" si="5"/>
        <v>protein_coding</v>
      </c>
    </row>
    <row r="115" spans="1:9" x14ac:dyDescent="0.2">
      <c r="A115" s="3" t="str">
        <f>"ENSG00000117643.14"</f>
        <v>ENSG00000117643.14</v>
      </c>
      <c r="B115" s="3">
        <v>68.375920457481399</v>
      </c>
      <c r="C115" s="3">
        <v>2.4163000559111198</v>
      </c>
      <c r="D115" s="3">
        <v>0.492260611467918</v>
      </c>
      <c r="E115" s="3">
        <v>4.9085789104794104</v>
      </c>
      <c r="F115" s="4">
        <v>9.1738716200343696E-7</v>
      </c>
      <c r="G115" s="4">
        <v>1.1555770686127401E-5</v>
      </c>
      <c r="H115" s="3" t="str">
        <f>"MAN1C1"</f>
        <v>MAN1C1</v>
      </c>
      <c r="I115" s="3" t="str">
        <f t="shared" si="5"/>
        <v>protein_coding</v>
      </c>
    </row>
    <row r="116" spans="1:9" x14ac:dyDescent="0.2">
      <c r="A116" s="3" t="str">
        <f>"ENSG00000117640.18"</f>
        <v>ENSG00000117640.18</v>
      </c>
      <c r="B116" s="3">
        <v>754.13620911425301</v>
      </c>
      <c r="C116" s="3">
        <v>1.0422083901885699</v>
      </c>
      <c r="D116" s="3">
        <v>0.26351133291571899</v>
      </c>
      <c r="E116" s="3">
        <v>3.9550799529442302</v>
      </c>
      <c r="F116" s="4">
        <v>7.6509061002841703E-5</v>
      </c>
      <c r="G116" s="3">
        <v>6.4067424418325005E-4</v>
      </c>
      <c r="H116" s="3" t="str">
        <f>"MTFR1L"</f>
        <v>MTFR1L</v>
      </c>
      <c r="I116" s="3" t="str">
        <f t="shared" si="5"/>
        <v>protein_coding</v>
      </c>
    </row>
    <row r="117" spans="1:9" x14ac:dyDescent="0.2">
      <c r="A117" s="3" t="str">
        <f>"ENSG00000127423.10"</f>
        <v>ENSG00000127423.10</v>
      </c>
      <c r="B117" s="3">
        <v>554.28541933186705</v>
      </c>
      <c r="C117" s="3">
        <v>-2.1537007658711498</v>
      </c>
      <c r="D117" s="3">
        <v>0.30054288877089802</v>
      </c>
      <c r="E117" s="3">
        <v>-7.1660346870256699</v>
      </c>
      <c r="F117" s="4">
        <v>7.7201220657649301E-13</v>
      </c>
      <c r="G117" s="4">
        <v>2.25028586980668E-11</v>
      </c>
      <c r="H117" s="3" t="str">
        <f>"AUNIP"</f>
        <v>AUNIP</v>
      </c>
      <c r="I117" s="3" t="str">
        <f t="shared" si="5"/>
        <v>protein_coding</v>
      </c>
    </row>
    <row r="118" spans="1:9" x14ac:dyDescent="0.2">
      <c r="A118" s="3" t="str">
        <f>"ENSG00000236528.1"</f>
        <v>ENSG00000236528.1</v>
      </c>
      <c r="B118" s="3">
        <v>28.4925284934363</v>
      </c>
      <c r="C118" s="3">
        <v>-2.5336493384355601</v>
      </c>
      <c r="D118" s="3">
        <v>0.71028660387916498</v>
      </c>
      <c r="E118" s="3">
        <v>-3.5670802808306799</v>
      </c>
      <c r="F118" s="3">
        <v>3.6098091503459497E-4</v>
      </c>
      <c r="G118" s="3">
        <v>2.5195546386501799E-3</v>
      </c>
      <c r="H118" s="3" t="str">
        <f>"AL033528.2"</f>
        <v>AL033528.2</v>
      </c>
      <c r="I118" s="3" t="str">
        <f>"antisense"</f>
        <v>antisense</v>
      </c>
    </row>
    <row r="119" spans="1:9" x14ac:dyDescent="0.2">
      <c r="A119" s="3" t="str">
        <f>"ENSG00000182749.5"</f>
        <v>ENSG00000182749.5</v>
      </c>
      <c r="B119" s="3">
        <v>1605.67557530831</v>
      </c>
      <c r="C119" s="3">
        <v>1.0555429726364101</v>
      </c>
      <c r="D119" s="3">
        <v>0.27229311807801498</v>
      </c>
      <c r="E119" s="3">
        <v>3.8764952272278301</v>
      </c>
      <c r="F119" s="3">
        <v>1.05971887678074E-4</v>
      </c>
      <c r="G119" s="3">
        <v>8.5467227782684899E-4</v>
      </c>
      <c r="H119" s="3" t="str">
        <f>"PAQR7"</f>
        <v>PAQR7</v>
      </c>
      <c r="I119" s="3" t="str">
        <f t="shared" ref="I119:I127" si="6">"protein_coding"</f>
        <v>protein_coding</v>
      </c>
    </row>
    <row r="120" spans="1:9" x14ac:dyDescent="0.2">
      <c r="A120" s="3" t="str">
        <f>"ENSG00000117632.23"</f>
        <v>ENSG00000117632.23</v>
      </c>
      <c r="B120" s="3">
        <v>6625.3333947731298</v>
      </c>
      <c r="C120" s="3">
        <v>-2.1384969999389201</v>
      </c>
      <c r="D120" s="3">
        <v>0.29407469161223698</v>
      </c>
      <c r="E120" s="3">
        <v>-7.2719518575869797</v>
      </c>
      <c r="F120" s="4">
        <v>3.5432988543382501E-13</v>
      </c>
      <c r="G120" s="4">
        <v>1.08405964005533E-11</v>
      </c>
      <c r="H120" s="3" t="str">
        <f>"STMN1"</f>
        <v>STMN1</v>
      </c>
      <c r="I120" s="3" t="str">
        <f t="shared" si="6"/>
        <v>protein_coding</v>
      </c>
    </row>
    <row r="121" spans="1:9" x14ac:dyDescent="0.2">
      <c r="A121" s="3" t="str">
        <f>"ENSG00000158022.6"</f>
        <v>ENSG00000158022.6</v>
      </c>
      <c r="B121" s="3">
        <v>23.729438606389401</v>
      </c>
      <c r="C121" s="3">
        <v>5.6398796119623702</v>
      </c>
      <c r="D121" s="3">
        <v>1.22743190859787</v>
      </c>
      <c r="E121" s="3">
        <v>4.5948614928912601</v>
      </c>
      <c r="F121" s="4">
        <v>4.3303680848650196E-6</v>
      </c>
      <c r="G121" s="4">
        <v>4.8241988119920103E-5</v>
      </c>
      <c r="H121" s="3" t="str">
        <f>"TRIM63"</f>
        <v>TRIM63</v>
      </c>
      <c r="I121" s="3" t="str">
        <f t="shared" si="6"/>
        <v>protein_coding</v>
      </c>
    </row>
    <row r="122" spans="1:9" x14ac:dyDescent="0.2">
      <c r="A122" s="3" t="str">
        <f>"ENSG00000176083.17"</f>
        <v>ENSG00000176083.17</v>
      </c>
      <c r="B122" s="3">
        <v>16.993841521878601</v>
      </c>
      <c r="C122" s="3">
        <v>6.1524868283102796</v>
      </c>
      <c r="D122" s="3">
        <v>1.61372442343541</v>
      </c>
      <c r="E122" s="3">
        <v>3.81260067639827</v>
      </c>
      <c r="F122" s="3">
        <v>1.37512187076201E-4</v>
      </c>
      <c r="G122" s="3">
        <v>1.07326064719262E-3</v>
      </c>
      <c r="H122" s="3" t="str">
        <f>"ZNF683"</f>
        <v>ZNF683</v>
      </c>
      <c r="I122" s="3" t="str">
        <f t="shared" si="6"/>
        <v>protein_coding</v>
      </c>
    </row>
    <row r="123" spans="1:9" x14ac:dyDescent="0.2">
      <c r="A123" s="3" t="str">
        <f>"ENSG00000117676.14"</f>
        <v>ENSG00000117676.14</v>
      </c>
      <c r="B123" s="3">
        <v>2529.0295751620401</v>
      </c>
      <c r="C123" s="3">
        <v>2.3632188241784799</v>
      </c>
      <c r="D123" s="3">
        <v>0.28858487371797098</v>
      </c>
      <c r="E123" s="3">
        <v>8.1889906207905199</v>
      </c>
      <c r="F123" s="4">
        <v>2.6342606607297601E-16</v>
      </c>
      <c r="G123" s="4">
        <v>1.09347899209005E-14</v>
      </c>
      <c r="H123" s="3" t="str">
        <f>"RPS6KA1"</f>
        <v>RPS6KA1</v>
      </c>
      <c r="I123" s="3" t="str">
        <f t="shared" si="6"/>
        <v>protein_coding</v>
      </c>
    </row>
    <row r="124" spans="1:9" x14ac:dyDescent="0.2">
      <c r="A124" s="3" t="str">
        <f>"ENSG00000175793.12"</f>
        <v>ENSG00000175793.12</v>
      </c>
      <c r="B124" s="3">
        <v>1792.0255809697901</v>
      </c>
      <c r="C124" s="3">
        <v>1.9437033445415</v>
      </c>
      <c r="D124" s="3">
        <v>0.31121767423326402</v>
      </c>
      <c r="E124" s="3">
        <v>6.2454786648288501</v>
      </c>
      <c r="F124" s="4">
        <v>4.2250420560525199E-10</v>
      </c>
      <c r="G124" s="4">
        <v>9.0528903679728404E-9</v>
      </c>
      <c r="H124" s="3" t="str">
        <f>"SFN"</f>
        <v>SFN</v>
      </c>
      <c r="I124" s="3" t="str">
        <f t="shared" si="6"/>
        <v>protein_coding</v>
      </c>
    </row>
    <row r="125" spans="1:9" x14ac:dyDescent="0.2">
      <c r="A125" s="3" t="str">
        <f>"ENSG00000131910.5"</f>
        <v>ENSG00000131910.5</v>
      </c>
      <c r="B125" s="3">
        <v>4063.7688669714198</v>
      </c>
      <c r="C125" s="3">
        <v>1.5524634708237599</v>
      </c>
      <c r="D125" s="3">
        <v>0.28040434949334397</v>
      </c>
      <c r="E125" s="3">
        <v>5.5365170819528098</v>
      </c>
      <c r="F125" s="4">
        <v>3.0854575943625197E-8</v>
      </c>
      <c r="G125" s="4">
        <v>5.0203548373990497E-7</v>
      </c>
      <c r="H125" s="3" t="str">
        <f>"NR0B2"</f>
        <v>NR0B2</v>
      </c>
      <c r="I125" s="3" t="str">
        <f t="shared" si="6"/>
        <v>protein_coding</v>
      </c>
    </row>
    <row r="126" spans="1:9" x14ac:dyDescent="0.2">
      <c r="A126" s="3" t="str">
        <f>"ENSG00000158246.8"</f>
        <v>ENSG00000158246.8</v>
      </c>
      <c r="B126" s="3">
        <v>67.981245639004896</v>
      </c>
      <c r="C126" s="3">
        <v>-1.2109129477151199</v>
      </c>
      <c r="D126" s="3">
        <v>0.46551713389723598</v>
      </c>
      <c r="E126" s="3">
        <v>-2.60122100679206</v>
      </c>
      <c r="F126" s="3">
        <v>9.2892588553163506E-3</v>
      </c>
      <c r="G126" s="3">
        <v>3.9706254291500903E-2</v>
      </c>
      <c r="H126" s="3" t="str">
        <f>"TENT5B"</f>
        <v>TENT5B</v>
      </c>
      <c r="I126" s="3" t="str">
        <f t="shared" si="6"/>
        <v>protein_coding</v>
      </c>
    </row>
    <row r="127" spans="1:9" x14ac:dyDescent="0.2">
      <c r="A127" s="3" t="str">
        <f>"ENSG00000142765.18"</f>
        <v>ENSG00000142765.18</v>
      </c>
      <c r="B127" s="3">
        <v>2229.0187469351499</v>
      </c>
      <c r="C127" s="3">
        <v>6.6250286445661901</v>
      </c>
      <c r="D127" s="3">
        <v>0.36118710741629301</v>
      </c>
      <c r="E127" s="3">
        <v>18.3423729932043</v>
      </c>
      <c r="F127" s="4">
        <v>3.7984867270456798E-75</v>
      </c>
      <c r="G127" s="4">
        <v>2.5824576653738899E-72</v>
      </c>
      <c r="H127" s="3" t="str">
        <f>"SYTL1"</f>
        <v>SYTL1</v>
      </c>
      <c r="I127" s="3" t="str">
        <f t="shared" si="6"/>
        <v>protein_coding</v>
      </c>
    </row>
    <row r="128" spans="1:9" x14ac:dyDescent="0.2">
      <c r="A128" s="3" t="str">
        <f>"ENSG00000237429.1"</f>
        <v>ENSG00000237429.1</v>
      </c>
      <c r="B128" s="3">
        <v>27.791254472507301</v>
      </c>
      <c r="C128" s="3">
        <v>5.8304139587459103</v>
      </c>
      <c r="D128" s="3">
        <v>1.1953462516561999</v>
      </c>
      <c r="E128" s="3">
        <v>4.8775942122775104</v>
      </c>
      <c r="F128" s="4">
        <v>1.0738756050171301E-6</v>
      </c>
      <c r="G128" s="4">
        <v>1.33333370405754E-5</v>
      </c>
      <c r="H128" s="3" t="str">
        <f>"BX293535.1"</f>
        <v>BX293535.1</v>
      </c>
      <c r="I128" s="3" t="str">
        <f>"antisense"</f>
        <v>antisense</v>
      </c>
    </row>
    <row r="129" spans="1:9" x14ac:dyDescent="0.2">
      <c r="A129" s="3" t="str">
        <f>"ENSG00000126705.14"</f>
        <v>ENSG00000126705.14</v>
      </c>
      <c r="B129" s="3">
        <v>2264.3695922366301</v>
      </c>
      <c r="C129" s="3">
        <v>2.02199402406836</v>
      </c>
      <c r="D129" s="3">
        <v>0.31873877623913799</v>
      </c>
      <c r="E129" s="3">
        <v>6.3437340380303402</v>
      </c>
      <c r="F129" s="4">
        <v>2.24261857121268E-10</v>
      </c>
      <c r="G129" s="4">
        <v>4.9659392745470902E-9</v>
      </c>
      <c r="H129" s="3" t="str">
        <f>"AHDC1"</f>
        <v>AHDC1</v>
      </c>
      <c r="I129" s="3" t="str">
        <f>"protein_coding"</f>
        <v>protein_coding</v>
      </c>
    </row>
    <row r="130" spans="1:9" x14ac:dyDescent="0.2">
      <c r="A130" s="3" t="str">
        <f>"ENSG00000117758.14"</f>
        <v>ENSG00000117758.14</v>
      </c>
      <c r="B130" s="3">
        <v>1394.2752535099501</v>
      </c>
      <c r="C130" s="3">
        <v>1.3118113492096599</v>
      </c>
      <c r="D130" s="3">
        <v>0.27906613962440002</v>
      </c>
      <c r="E130" s="3">
        <v>4.7007184424998796</v>
      </c>
      <c r="F130" s="4">
        <v>2.5924776378698502E-6</v>
      </c>
      <c r="G130" s="4">
        <v>2.9928304259117001E-5</v>
      </c>
      <c r="H130" s="3" t="str">
        <f>"STX12"</f>
        <v>STX12</v>
      </c>
      <c r="I130" s="3" t="str">
        <f>"protein_coding"</f>
        <v>protein_coding</v>
      </c>
    </row>
    <row r="131" spans="1:9" x14ac:dyDescent="0.2">
      <c r="A131" s="3" t="str">
        <f>"ENSG00000269971.1"</f>
        <v>ENSG00000269971.1</v>
      </c>
      <c r="B131" s="3">
        <v>22.487139033642901</v>
      </c>
      <c r="C131" s="3">
        <v>2.0570685297459002</v>
      </c>
      <c r="D131" s="3">
        <v>0.76776984897494005</v>
      </c>
      <c r="E131" s="3">
        <v>2.6792775627908898</v>
      </c>
      <c r="F131" s="3">
        <v>7.3781206010971098E-3</v>
      </c>
      <c r="G131" s="3">
        <v>3.2692729209194603E-2</v>
      </c>
      <c r="H131" s="3" t="str">
        <f>"AL020997.2"</f>
        <v>AL020997.2</v>
      </c>
      <c r="I131" s="3" t="str">
        <f>"sense_intronic"</f>
        <v>sense_intronic</v>
      </c>
    </row>
    <row r="132" spans="1:9" x14ac:dyDescent="0.2">
      <c r="A132" s="3" t="str">
        <f>"ENSG00000169403.12"</f>
        <v>ENSG00000169403.12</v>
      </c>
      <c r="B132" s="3">
        <v>280.09341863406098</v>
      </c>
      <c r="C132" s="3">
        <v>3.9776889685156398</v>
      </c>
      <c r="D132" s="3">
        <v>0.35543634395929202</v>
      </c>
      <c r="E132" s="3">
        <v>11.191002372484499</v>
      </c>
      <c r="F132" s="4">
        <v>4.51302599932198E-29</v>
      </c>
      <c r="G132" s="4">
        <v>4.33302171805131E-27</v>
      </c>
      <c r="H132" s="3" t="str">
        <f>"PTAFR"</f>
        <v>PTAFR</v>
      </c>
      <c r="I132" s="3" t="str">
        <f>"protein_coding"</f>
        <v>protein_coding</v>
      </c>
    </row>
    <row r="133" spans="1:9" x14ac:dyDescent="0.2">
      <c r="A133" s="3" t="str">
        <f>"ENSG00000130766.5"</f>
        <v>ENSG00000130766.5</v>
      </c>
      <c r="B133" s="3">
        <v>3019.4104531492198</v>
      </c>
      <c r="C133" s="3">
        <v>2.32429841205319</v>
      </c>
      <c r="D133" s="3">
        <v>0.29949996201345103</v>
      </c>
      <c r="E133" s="3">
        <v>7.7605966839782203</v>
      </c>
      <c r="F133" s="4">
        <v>8.4530733793375194E-15</v>
      </c>
      <c r="G133" s="4">
        <v>2.9864755738375801E-13</v>
      </c>
      <c r="H133" s="3" t="str">
        <f>"SESN2"</f>
        <v>SESN2</v>
      </c>
      <c r="I133" s="3" t="str">
        <f>"protein_coding"</f>
        <v>protein_coding</v>
      </c>
    </row>
    <row r="134" spans="1:9" x14ac:dyDescent="0.2">
      <c r="A134" s="3" t="str">
        <f>"ENSG00000197989.14"</f>
        <v>ENSG00000197989.14</v>
      </c>
      <c r="B134" s="3">
        <v>1004.74863321311</v>
      </c>
      <c r="C134" s="3">
        <v>-1.06004851180252</v>
      </c>
      <c r="D134" s="3">
        <v>0.25355821492123998</v>
      </c>
      <c r="E134" s="3">
        <v>-4.1806908608020903</v>
      </c>
      <c r="F134" s="4">
        <v>2.9062475392177301E-5</v>
      </c>
      <c r="G134" s="3">
        <v>2.6818289379685299E-4</v>
      </c>
      <c r="H134" s="3" t="str">
        <f>"SNHG12"</f>
        <v>SNHG12</v>
      </c>
      <c r="I134" s="3" t="str">
        <f>"antisense"</f>
        <v>antisense</v>
      </c>
    </row>
    <row r="135" spans="1:9" x14ac:dyDescent="0.2">
      <c r="A135" s="3" t="str">
        <f>"ENSG00000188060.7"</f>
        <v>ENSG00000188060.7</v>
      </c>
      <c r="B135" s="3">
        <v>895.79243677986096</v>
      </c>
      <c r="C135" s="3">
        <v>-1.2840378770830001</v>
      </c>
      <c r="D135" s="3">
        <v>0.27177275887326802</v>
      </c>
      <c r="E135" s="3">
        <v>-4.7246746966342297</v>
      </c>
      <c r="F135" s="4">
        <v>2.3048400657341801E-6</v>
      </c>
      <c r="G135" s="4">
        <v>2.6879115370210101E-5</v>
      </c>
      <c r="H135" s="3" t="str">
        <f>"RAB42"</f>
        <v>RAB42</v>
      </c>
      <c r="I135" s="3" t="str">
        <f>"protein_coding"</f>
        <v>protein_coding</v>
      </c>
    </row>
    <row r="136" spans="1:9" x14ac:dyDescent="0.2">
      <c r="A136" s="3" t="str">
        <f>"ENSG00000116329.11"</f>
        <v>ENSG00000116329.11</v>
      </c>
      <c r="B136" s="3">
        <v>164.74923865194</v>
      </c>
      <c r="C136" s="3">
        <v>-2.7369251286501801</v>
      </c>
      <c r="D136" s="3">
        <v>0.36391900998295801</v>
      </c>
      <c r="E136" s="3">
        <v>-7.5206984344630703</v>
      </c>
      <c r="F136" s="4">
        <v>5.4484390423676603E-14</v>
      </c>
      <c r="G136" s="4">
        <v>1.78225597023093E-12</v>
      </c>
      <c r="H136" s="3" t="str">
        <f>"OPRD1"</f>
        <v>OPRD1</v>
      </c>
      <c r="I136" s="3" t="str">
        <f>"protein_coding"</f>
        <v>protein_coding</v>
      </c>
    </row>
    <row r="137" spans="1:9" x14ac:dyDescent="0.2">
      <c r="A137" s="3" t="str">
        <f>"ENSG00000253304.2"</f>
        <v>ENSG00000253304.2</v>
      </c>
      <c r="B137" s="3">
        <v>170.66711217357101</v>
      </c>
      <c r="C137" s="3">
        <v>-1.6657993372283399</v>
      </c>
      <c r="D137" s="3">
        <v>0.36350197072597301</v>
      </c>
      <c r="E137" s="3">
        <v>-4.5826418324540601</v>
      </c>
      <c r="F137" s="4">
        <v>4.5913808310604403E-6</v>
      </c>
      <c r="G137" s="4">
        <v>5.0834588382625602E-5</v>
      </c>
      <c r="H137" s="3" t="str">
        <f>"TMEM200B"</f>
        <v>TMEM200B</v>
      </c>
      <c r="I137" s="3" t="str">
        <f>"protein_coding"</f>
        <v>protein_coding</v>
      </c>
    </row>
    <row r="138" spans="1:9" x14ac:dyDescent="0.2">
      <c r="A138" s="3" t="str">
        <f>"ENSG00000060656.20"</f>
        <v>ENSG00000060656.20</v>
      </c>
      <c r="B138" s="3">
        <v>6478.2603864783896</v>
      </c>
      <c r="C138" s="3">
        <v>3.16198178148445</v>
      </c>
      <c r="D138" s="3">
        <v>0.30231526705599499</v>
      </c>
      <c r="E138" s="3">
        <v>10.4592196493298</v>
      </c>
      <c r="F138" s="4">
        <v>1.3294604336362599E-25</v>
      </c>
      <c r="G138" s="4">
        <v>1.07532402598457E-23</v>
      </c>
      <c r="H138" s="3" t="str">
        <f>"PTPRU"</f>
        <v>PTPRU</v>
      </c>
      <c r="I138" s="3" t="str">
        <f>"protein_coding"</f>
        <v>protein_coding</v>
      </c>
    </row>
    <row r="139" spans="1:9" x14ac:dyDescent="0.2">
      <c r="A139" s="3" t="str">
        <f>"ENSG00000228176.1"</f>
        <v>ENSG00000228176.1</v>
      </c>
      <c r="B139" s="3">
        <v>18.196940208857299</v>
      </c>
      <c r="C139" s="3">
        <v>7.7035299836903199</v>
      </c>
      <c r="D139" s="3">
        <v>1.6312124947081701</v>
      </c>
      <c r="E139" s="3">
        <v>4.7225790684422702</v>
      </c>
      <c r="F139" s="4">
        <v>2.3287250742624501E-6</v>
      </c>
      <c r="G139" s="4">
        <v>2.71199440940148E-5</v>
      </c>
      <c r="H139" s="3" t="str">
        <f>"AC092265.1"</f>
        <v>AC092265.1</v>
      </c>
      <c r="I139" s="3" t="str">
        <f>"lincRNA"</f>
        <v>lincRNA</v>
      </c>
    </row>
    <row r="140" spans="1:9" x14ac:dyDescent="0.2">
      <c r="A140" s="3" t="str">
        <f>"ENSG00000162511.8"</f>
        <v>ENSG00000162511.8</v>
      </c>
      <c r="B140" s="3">
        <v>1543.5671520864601</v>
      </c>
      <c r="C140" s="3">
        <v>7.6646836920064203</v>
      </c>
      <c r="D140" s="3">
        <v>0.35840418128088197</v>
      </c>
      <c r="E140" s="3">
        <v>21.385586698832601</v>
      </c>
      <c r="F140" s="4">
        <v>1.8198460707792899E-101</v>
      </c>
      <c r="G140" s="4">
        <v>3.2698734221752101E-98</v>
      </c>
      <c r="H140" s="3" t="str">
        <f>"LAPTM5"</f>
        <v>LAPTM5</v>
      </c>
      <c r="I140" s="3" t="str">
        <f>"protein_coding"</f>
        <v>protein_coding</v>
      </c>
    </row>
    <row r="141" spans="1:9" x14ac:dyDescent="0.2">
      <c r="A141" s="3" t="str">
        <f>"ENSG00000162512.16"</f>
        <v>ENSG00000162512.16</v>
      </c>
      <c r="B141" s="3">
        <v>1901.2060401067899</v>
      </c>
      <c r="C141" s="3">
        <v>-1.4693110351923699</v>
      </c>
      <c r="D141" s="3">
        <v>0.26967036590041699</v>
      </c>
      <c r="E141" s="3">
        <v>-5.4485446715155703</v>
      </c>
      <c r="F141" s="4">
        <v>5.07836372382275E-8</v>
      </c>
      <c r="G141" s="4">
        <v>7.9543112996738001E-7</v>
      </c>
      <c r="H141" s="3" t="str">
        <f>"SDC3"</f>
        <v>SDC3</v>
      </c>
      <c r="I141" s="3" t="str">
        <f>"protein_coding"</f>
        <v>protein_coding</v>
      </c>
    </row>
    <row r="142" spans="1:9" x14ac:dyDescent="0.2">
      <c r="A142" s="3" t="str">
        <f>"ENSG00000060688.13"</f>
        <v>ENSG00000060688.13</v>
      </c>
      <c r="B142" s="3">
        <v>1973.8457690555799</v>
      </c>
      <c r="C142" s="3">
        <v>-1.2585681051962501</v>
      </c>
      <c r="D142" s="3">
        <v>0.249944454767312</v>
      </c>
      <c r="E142" s="3">
        <v>-5.0353911886860301</v>
      </c>
      <c r="F142" s="4">
        <v>4.7687395560812096E-7</v>
      </c>
      <c r="G142" s="4">
        <v>6.3671785314874098E-6</v>
      </c>
      <c r="H142" s="3" t="str">
        <f>"SNRNP40"</f>
        <v>SNRNP40</v>
      </c>
      <c r="I142" s="3" t="str">
        <f>"protein_coding"</f>
        <v>protein_coding</v>
      </c>
    </row>
    <row r="143" spans="1:9" x14ac:dyDescent="0.2">
      <c r="A143" s="3" t="str">
        <f>"ENSG00000121766.15"</f>
        <v>ENSG00000121766.15</v>
      </c>
      <c r="B143" s="3">
        <v>1121.5882441424801</v>
      </c>
      <c r="C143" s="3">
        <v>-1.2184708377714</v>
      </c>
      <c r="D143" s="3">
        <v>0.26718482532721599</v>
      </c>
      <c r="E143" s="3">
        <v>-4.5604043428707604</v>
      </c>
      <c r="F143" s="4">
        <v>5.10552159047287E-6</v>
      </c>
      <c r="G143" s="4">
        <v>5.5814600438220402E-5</v>
      </c>
      <c r="H143" s="3" t="str">
        <f>"ZCCHC17"</f>
        <v>ZCCHC17</v>
      </c>
      <c r="I143" s="3" t="str">
        <f>"protein_coding"</f>
        <v>protein_coding</v>
      </c>
    </row>
    <row r="144" spans="1:9" x14ac:dyDescent="0.2">
      <c r="A144" s="3" t="str">
        <f>"ENSG00000229167.1"</f>
        <v>ENSG00000229167.1</v>
      </c>
      <c r="B144" s="3">
        <v>295.985153080636</v>
      </c>
      <c r="C144" s="3">
        <v>2.4935002018107699</v>
      </c>
      <c r="D144" s="3">
        <v>0.34856199011649303</v>
      </c>
      <c r="E144" s="3">
        <v>7.1536778894836299</v>
      </c>
      <c r="F144" s="4">
        <v>8.4483178167923602E-13</v>
      </c>
      <c r="G144" s="4">
        <v>2.4427291342691002E-11</v>
      </c>
      <c r="H144" s="3" t="str">
        <f>"AC114488.1"</f>
        <v>AC114488.1</v>
      </c>
      <c r="I144" s="3" t="str">
        <f>"antisense"</f>
        <v>antisense</v>
      </c>
    </row>
    <row r="145" spans="1:9" x14ac:dyDescent="0.2">
      <c r="A145" s="3" t="str">
        <f>"ENSG00000121775.18"</f>
        <v>ENSG00000121775.18</v>
      </c>
      <c r="B145" s="3">
        <v>286.160949941534</v>
      </c>
      <c r="C145" s="3">
        <v>-1.5447337958257701</v>
      </c>
      <c r="D145" s="3">
        <v>0.34394262228632899</v>
      </c>
      <c r="E145" s="3">
        <v>-4.4912543422425699</v>
      </c>
      <c r="F145" s="4">
        <v>7.0804935576490403E-6</v>
      </c>
      <c r="G145" s="4">
        <v>7.5470260780788803E-5</v>
      </c>
      <c r="H145" s="3" t="str">
        <f>"TMEM39B"</f>
        <v>TMEM39B</v>
      </c>
      <c r="I145" s="3" t="str">
        <f t="shared" ref="I145:I163" si="7">"protein_coding"</f>
        <v>protein_coding</v>
      </c>
    </row>
    <row r="146" spans="1:9" x14ac:dyDescent="0.2">
      <c r="A146" s="3" t="str">
        <f>"ENSG00000160050.14"</f>
        <v>ENSG00000160050.14</v>
      </c>
      <c r="B146" s="3">
        <v>63.608885573970703</v>
      </c>
      <c r="C146" s="3">
        <v>-1.5033787481279299</v>
      </c>
      <c r="D146" s="3">
        <v>0.51221318108079095</v>
      </c>
      <c r="E146" s="3">
        <v>-2.9350645466712502</v>
      </c>
      <c r="F146" s="3">
        <v>3.3347831063210401E-3</v>
      </c>
      <c r="G146" s="3">
        <v>1.68989663657345E-2</v>
      </c>
      <c r="H146" s="3" t="str">
        <f>"CCDC28B"</f>
        <v>CCDC28B</v>
      </c>
      <c r="I146" s="3" t="str">
        <f t="shared" si="7"/>
        <v>protein_coding</v>
      </c>
    </row>
    <row r="147" spans="1:9" x14ac:dyDescent="0.2">
      <c r="A147" s="3" t="str">
        <f>"ENSG00000160051.11"</f>
        <v>ENSG00000160051.11</v>
      </c>
      <c r="B147" s="3">
        <v>147.618510594405</v>
      </c>
      <c r="C147" s="3">
        <v>-1.0453568968356199</v>
      </c>
      <c r="D147" s="3">
        <v>0.39056940937217399</v>
      </c>
      <c r="E147" s="3">
        <v>-2.6764945532114002</v>
      </c>
      <c r="F147" s="3">
        <v>7.4396775024738104E-3</v>
      </c>
      <c r="G147" s="3">
        <v>3.2919100716750901E-2</v>
      </c>
      <c r="H147" s="3" t="str">
        <f>"IQCC"</f>
        <v>IQCC</v>
      </c>
      <c r="I147" s="3" t="str">
        <f t="shared" si="7"/>
        <v>protein_coding</v>
      </c>
    </row>
    <row r="148" spans="1:9" x14ac:dyDescent="0.2">
      <c r="A148" s="3" t="str">
        <f>"ENSG00000182866.17"</f>
        <v>ENSG00000182866.17</v>
      </c>
      <c r="B148" s="3">
        <v>29.4166724826161</v>
      </c>
      <c r="C148" s="3">
        <v>-2.21651087594452</v>
      </c>
      <c r="D148" s="3">
        <v>0.68864559529656399</v>
      </c>
      <c r="E148" s="3">
        <v>-3.2186525131115999</v>
      </c>
      <c r="F148" s="3">
        <v>1.2879445851831401E-3</v>
      </c>
      <c r="G148" s="3">
        <v>7.5732225433104003E-3</v>
      </c>
      <c r="H148" s="3" t="str">
        <f>"LCK"</f>
        <v>LCK</v>
      </c>
      <c r="I148" s="3" t="str">
        <f t="shared" si="7"/>
        <v>protein_coding</v>
      </c>
    </row>
    <row r="149" spans="1:9" x14ac:dyDescent="0.2">
      <c r="A149" s="3" t="str">
        <f>"ENSG00000116478.12"</f>
        <v>ENSG00000116478.12</v>
      </c>
      <c r="B149" s="3">
        <v>3358.34886550383</v>
      </c>
      <c r="C149" s="3">
        <v>-1.0844058222411901</v>
      </c>
      <c r="D149" s="3">
        <v>0.24190287363009899</v>
      </c>
      <c r="E149" s="3">
        <v>-4.4828149660569698</v>
      </c>
      <c r="F149" s="4">
        <v>7.3664799944621401E-6</v>
      </c>
      <c r="G149" s="4">
        <v>7.82863558346832E-5</v>
      </c>
      <c r="H149" s="3" t="str">
        <f>"HDAC1"</f>
        <v>HDAC1</v>
      </c>
      <c r="I149" s="3" t="str">
        <f t="shared" si="7"/>
        <v>protein_coding</v>
      </c>
    </row>
    <row r="150" spans="1:9" x14ac:dyDescent="0.2">
      <c r="A150" s="3" t="str">
        <f>"ENSG00000175130.7"</f>
        <v>ENSG00000175130.7</v>
      </c>
      <c r="B150" s="3">
        <v>7716.2623463945301</v>
      </c>
      <c r="C150" s="3">
        <v>-1.26449968344435</v>
      </c>
      <c r="D150" s="3">
        <v>0.25990288504313802</v>
      </c>
      <c r="E150" s="3">
        <v>-4.8652775948773099</v>
      </c>
      <c r="F150" s="4">
        <v>1.1429627276337701E-6</v>
      </c>
      <c r="G150" s="4">
        <v>1.40860592440886E-5</v>
      </c>
      <c r="H150" s="3" t="str">
        <f>"MARCKSL1"</f>
        <v>MARCKSL1</v>
      </c>
      <c r="I150" s="3" t="str">
        <f t="shared" si="7"/>
        <v>protein_coding</v>
      </c>
    </row>
    <row r="151" spans="1:9" x14ac:dyDescent="0.2">
      <c r="A151" s="3" t="str">
        <f>"ENSG00000134684.10"</f>
        <v>ENSG00000134684.10</v>
      </c>
      <c r="B151" s="3">
        <v>2272.3917365474399</v>
      </c>
      <c r="C151" s="3">
        <v>1.00697448074787</v>
      </c>
      <c r="D151" s="3">
        <v>0.24702703573096399</v>
      </c>
      <c r="E151" s="3">
        <v>4.0763735749335401</v>
      </c>
      <c r="F151" s="4">
        <v>4.5743507712769598E-5</v>
      </c>
      <c r="G151" s="3">
        <v>4.0445621670113201E-4</v>
      </c>
      <c r="H151" s="3" t="str">
        <f>"YARS"</f>
        <v>YARS</v>
      </c>
      <c r="I151" s="3" t="str">
        <f t="shared" si="7"/>
        <v>protein_coding</v>
      </c>
    </row>
    <row r="152" spans="1:9" x14ac:dyDescent="0.2">
      <c r="A152" s="3" t="str">
        <f>"ENSG00000116514.16"</f>
        <v>ENSG00000116514.16</v>
      </c>
      <c r="B152" s="3">
        <v>2058.3861361479699</v>
      </c>
      <c r="C152" s="3">
        <v>2.6546095521278001</v>
      </c>
      <c r="D152" s="3">
        <v>0.247057046690563</v>
      </c>
      <c r="E152" s="3">
        <v>10.7449254643308</v>
      </c>
      <c r="F152" s="4">
        <v>6.2612475011587098E-27</v>
      </c>
      <c r="G152" s="4">
        <v>5.5263747681279801E-25</v>
      </c>
      <c r="H152" s="3" t="str">
        <f>"RNF19B"</f>
        <v>RNF19B</v>
      </c>
      <c r="I152" s="3" t="str">
        <f t="shared" si="7"/>
        <v>protein_coding</v>
      </c>
    </row>
    <row r="153" spans="1:9" x14ac:dyDescent="0.2">
      <c r="A153" s="3" t="str">
        <f>"ENSG00000189280.3"</f>
        <v>ENSG00000189280.3</v>
      </c>
      <c r="B153" s="3">
        <v>7.71045749575124</v>
      </c>
      <c r="C153" s="3">
        <v>4.9561047136097001</v>
      </c>
      <c r="D153" s="3">
        <v>1.81890163236342</v>
      </c>
      <c r="E153" s="3">
        <v>2.7247788585300801</v>
      </c>
      <c r="F153" s="3">
        <v>6.43445682022885E-3</v>
      </c>
      <c r="G153" s="3">
        <v>2.9174254021783901E-2</v>
      </c>
      <c r="H153" s="3" t="str">
        <f>"GJB5"</f>
        <v>GJB5</v>
      </c>
      <c r="I153" s="3" t="str">
        <f t="shared" si="7"/>
        <v>protein_coding</v>
      </c>
    </row>
    <row r="154" spans="1:9" x14ac:dyDescent="0.2">
      <c r="A154" s="3" t="str">
        <f>"ENSG00000020129.16"</f>
        <v>ENSG00000020129.16</v>
      </c>
      <c r="B154" s="3">
        <v>655.035873911056</v>
      </c>
      <c r="C154" s="3">
        <v>-1.1010501938897901</v>
      </c>
      <c r="D154" s="3">
        <v>0.291495299796318</v>
      </c>
      <c r="E154" s="3">
        <v>-3.7772485342272901</v>
      </c>
      <c r="F154" s="3">
        <v>1.58570476074342E-4</v>
      </c>
      <c r="G154" s="3">
        <v>1.21796651164888E-3</v>
      </c>
      <c r="H154" s="3" t="str">
        <f>"NCDN"</f>
        <v>NCDN</v>
      </c>
      <c r="I154" s="3" t="str">
        <f t="shared" si="7"/>
        <v>protein_coding</v>
      </c>
    </row>
    <row r="155" spans="1:9" x14ac:dyDescent="0.2">
      <c r="A155" s="3" t="str">
        <f>"ENSG00000142686.8"</f>
        <v>ENSG00000142686.8</v>
      </c>
      <c r="B155" s="3">
        <v>96.053594369621294</v>
      </c>
      <c r="C155" s="3">
        <v>-1.63464114987973</v>
      </c>
      <c r="D155" s="3">
        <v>0.42970233124864698</v>
      </c>
      <c r="E155" s="3">
        <v>-3.80412446246154</v>
      </c>
      <c r="F155" s="3">
        <v>1.4230662030297099E-4</v>
      </c>
      <c r="G155" s="3">
        <v>1.1072449841389501E-3</v>
      </c>
      <c r="H155" s="3" t="str">
        <f>"C1orf216"</f>
        <v>C1orf216</v>
      </c>
      <c r="I155" s="3" t="str">
        <f t="shared" si="7"/>
        <v>protein_coding</v>
      </c>
    </row>
    <row r="156" spans="1:9" x14ac:dyDescent="0.2">
      <c r="A156" s="3" t="str">
        <f>"ENSG00000092853.14"</f>
        <v>ENSG00000092853.14</v>
      </c>
      <c r="B156" s="3">
        <v>3051.00411021636</v>
      </c>
      <c r="C156" s="3">
        <v>-1.96929977122802</v>
      </c>
      <c r="D156" s="3">
        <v>0.277796215267754</v>
      </c>
      <c r="E156" s="3">
        <v>-7.0890086437279498</v>
      </c>
      <c r="F156" s="4">
        <v>1.3507609058217001E-12</v>
      </c>
      <c r="G156" s="4">
        <v>3.8350327975106999E-11</v>
      </c>
      <c r="H156" s="3" t="str">
        <f>"CLSPN"</f>
        <v>CLSPN</v>
      </c>
      <c r="I156" s="3" t="str">
        <f t="shared" si="7"/>
        <v>protein_coding</v>
      </c>
    </row>
    <row r="157" spans="1:9" x14ac:dyDescent="0.2">
      <c r="A157" s="3" t="str">
        <f>"ENSG00000116885.18"</f>
        <v>ENSG00000116885.18</v>
      </c>
      <c r="B157" s="3">
        <v>60.010037615733197</v>
      </c>
      <c r="C157" s="3">
        <v>2.0997063393859099</v>
      </c>
      <c r="D157" s="3">
        <v>0.49481863909759299</v>
      </c>
      <c r="E157" s="3">
        <v>4.2433857043363803</v>
      </c>
      <c r="F157" s="4">
        <v>2.20172533776195E-5</v>
      </c>
      <c r="G157" s="3">
        <v>2.08840123949479E-4</v>
      </c>
      <c r="H157" s="3" t="str">
        <f>"OSCP1"</f>
        <v>OSCP1</v>
      </c>
      <c r="I157" s="3" t="str">
        <f t="shared" si="7"/>
        <v>protein_coding</v>
      </c>
    </row>
    <row r="158" spans="1:9" x14ac:dyDescent="0.2">
      <c r="A158" s="3" t="str">
        <f>"ENSG00000119535.17"</f>
        <v>ENSG00000119535.17</v>
      </c>
      <c r="B158" s="3">
        <v>336.264223909804</v>
      </c>
      <c r="C158" s="3">
        <v>1.2058844824136099</v>
      </c>
      <c r="D158" s="3">
        <v>0.31992724582034499</v>
      </c>
      <c r="E158" s="3">
        <v>3.76924597128802</v>
      </c>
      <c r="F158" s="3">
        <v>1.6374146365081001E-4</v>
      </c>
      <c r="G158" s="3">
        <v>1.2515698930829901E-3</v>
      </c>
      <c r="H158" s="3" t="str">
        <f>"CSF3R"</f>
        <v>CSF3R</v>
      </c>
      <c r="I158" s="3" t="str">
        <f t="shared" si="7"/>
        <v>protein_coding</v>
      </c>
    </row>
    <row r="159" spans="1:9" x14ac:dyDescent="0.2">
      <c r="A159" s="3" t="str">
        <f>"ENSG00000163879.11"</f>
        <v>ENSG00000163879.11</v>
      </c>
      <c r="B159" s="3">
        <v>59.745222876874799</v>
      </c>
      <c r="C159" s="3">
        <v>-1.39822290358471</v>
      </c>
      <c r="D159" s="3">
        <v>0.499996043815915</v>
      </c>
      <c r="E159" s="3">
        <v>-2.7964679338532799</v>
      </c>
      <c r="F159" s="3">
        <v>5.1664537522425899E-3</v>
      </c>
      <c r="G159" s="3">
        <v>2.43694251148814E-2</v>
      </c>
      <c r="H159" s="3" t="str">
        <f>"DNALI1"</f>
        <v>DNALI1</v>
      </c>
      <c r="I159" s="3" t="str">
        <f t="shared" si="7"/>
        <v>protein_coding</v>
      </c>
    </row>
    <row r="160" spans="1:9" x14ac:dyDescent="0.2">
      <c r="A160" s="3" t="str">
        <f>"ENSG00000183317.17"</f>
        <v>ENSG00000183317.17</v>
      </c>
      <c r="B160" s="3">
        <v>44.346909586187301</v>
      </c>
      <c r="C160" s="3">
        <v>2.1028765865109902</v>
      </c>
      <c r="D160" s="3">
        <v>0.58286636725841501</v>
      </c>
      <c r="E160" s="3">
        <v>3.6078193984705802</v>
      </c>
      <c r="F160" s="3">
        <v>3.0878129943994099E-4</v>
      </c>
      <c r="G160" s="3">
        <v>2.2016421733026402E-3</v>
      </c>
      <c r="H160" s="3" t="str">
        <f>"EPHA10"</f>
        <v>EPHA10</v>
      </c>
      <c r="I160" s="3" t="str">
        <f t="shared" si="7"/>
        <v>protein_coding</v>
      </c>
    </row>
    <row r="161" spans="1:9" x14ac:dyDescent="0.2">
      <c r="A161" s="3" t="str">
        <f>"ENSG00000185090.14"</f>
        <v>ENSG00000185090.14</v>
      </c>
      <c r="B161" s="3">
        <v>711.024663113418</v>
      </c>
      <c r="C161" s="3">
        <v>-2.42626124469313</v>
      </c>
      <c r="D161" s="3">
        <v>0.30222186679758301</v>
      </c>
      <c r="E161" s="3">
        <v>-8.0280797362625798</v>
      </c>
      <c r="F161" s="4">
        <v>9.9010125861179002E-16</v>
      </c>
      <c r="G161" s="4">
        <v>3.86739086341298E-14</v>
      </c>
      <c r="H161" s="3" t="str">
        <f>"MANEAL"</f>
        <v>MANEAL</v>
      </c>
      <c r="I161" s="3" t="str">
        <f t="shared" si="7"/>
        <v>protein_coding</v>
      </c>
    </row>
    <row r="162" spans="1:9" x14ac:dyDescent="0.2">
      <c r="A162" s="3" t="str">
        <f>"ENSG00000204084.13"</f>
        <v>ENSG00000204084.13</v>
      </c>
      <c r="B162" s="3">
        <v>840.50942404563705</v>
      </c>
      <c r="C162" s="3">
        <v>1.24807947117842</v>
      </c>
      <c r="D162" s="3">
        <v>0.26160013682031702</v>
      </c>
      <c r="E162" s="3">
        <v>4.7709434954756</v>
      </c>
      <c r="F162" s="4">
        <v>1.83364978092492E-6</v>
      </c>
      <c r="G162" s="4">
        <v>2.1706098936078299E-5</v>
      </c>
      <c r="H162" s="3" t="str">
        <f>"INPP5B"</f>
        <v>INPP5B</v>
      </c>
      <c r="I162" s="3" t="str">
        <f t="shared" si="7"/>
        <v>protein_coding</v>
      </c>
    </row>
    <row r="163" spans="1:9" x14ac:dyDescent="0.2">
      <c r="A163" s="3" t="str">
        <f>"ENSG00000185668.7"</f>
        <v>ENSG00000185668.7</v>
      </c>
      <c r="B163" s="3">
        <v>189.431347714309</v>
      </c>
      <c r="C163" s="3">
        <v>6.6249897095823096</v>
      </c>
      <c r="D163" s="3">
        <v>0.61234026762115901</v>
      </c>
      <c r="E163" s="3">
        <v>10.8191312247344</v>
      </c>
      <c r="F163" s="4">
        <v>2.7941335681132899E-27</v>
      </c>
      <c r="G163" s="4">
        <v>2.48361943130353E-25</v>
      </c>
      <c r="H163" s="3" t="str">
        <f>"POU3F1"</f>
        <v>POU3F1</v>
      </c>
      <c r="I163" s="3" t="str">
        <f t="shared" si="7"/>
        <v>protein_coding</v>
      </c>
    </row>
    <row r="164" spans="1:9" x14ac:dyDescent="0.2">
      <c r="A164" s="3" t="str">
        <f>"ENSG00000224592.5"</f>
        <v>ENSG00000224592.5</v>
      </c>
      <c r="B164" s="3">
        <v>137.766604835582</v>
      </c>
      <c r="C164" s="3">
        <v>10.624886322558201</v>
      </c>
      <c r="D164" s="3">
        <v>1.4864954063347</v>
      </c>
      <c r="E164" s="3">
        <v>7.147607908696</v>
      </c>
      <c r="F164" s="4">
        <v>8.8303100672451501E-13</v>
      </c>
      <c r="G164" s="4">
        <v>2.55024626568946E-11</v>
      </c>
      <c r="H164" s="3" t="str">
        <f>"AL139158.2"</f>
        <v>AL139158.2</v>
      </c>
      <c r="I164" s="3" t="str">
        <f>"lincRNA"</f>
        <v>lincRNA</v>
      </c>
    </row>
    <row r="165" spans="1:9" x14ac:dyDescent="0.2">
      <c r="A165" s="3" t="str">
        <f>"ENSG00000265596.1"</f>
        <v>ENSG00000265596.1</v>
      </c>
      <c r="B165" s="3">
        <v>22.686981132568299</v>
      </c>
      <c r="C165" s="3">
        <v>5.5551537639950999</v>
      </c>
      <c r="D165" s="3">
        <v>1.2466182130542001</v>
      </c>
      <c r="E165" s="3">
        <v>4.45617888927279</v>
      </c>
      <c r="F165" s="4">
        <v>8.3433418742612693E-6</v>
      </c>
      <c r="G165" s="4">
        <v>8.7303146774976004E-5</v>
      </c>
      <c r="H165" s="3" t="str">
        <f>"MIR3659"</f>
        <v>MIR3659</v>
      </c>
      <c r="I165" s="3" t="str">
        <f>"miRNA"</f>
        <v>miRNA</v>
      </c>
    </row>
    <row r="166" spans="1:9" x14ac:dyDescent="0.2">
      <c r="A166" s="3" t="str">
        <f>"ENSG00000158315.11"</f>
        <v>ENSG00000158315.11</v>
      </c>
      <c r="B166" s="3">
        <v>95.313684585070206</v>
      </c>
      <c r="C166" s="3">
        <v>-2.9740700175578998</v>
      </c>
      <c r="D166" s="3">
        <v>0.45525024200352399</v>
      </c>
      <c r="E166" s="3">
        <v>-6.5328246822433904</v>
      </c>
      <c r="F166" s="4">
        <v>6.4540679319060004E-11</v>
      </c>
      <c r="G166" s="4">
        <v>1.51306690425998E-9</v>
      </c>
      <c r="H166" s="3" t="str">
        <f>"RHBDL2"</f>
        <v>RHBDL2</v>
      </c>
      <c r="I166" s="3" t="str">
        <f t="shared" ref="I166:I171" si="8">"protein_coding"</f>
        <v>protein_coding</v>
      </c>
    </row>
    <row r="167" spans="1:9" x14ac:dyDescent="0.2">
      <c r="A167" s="3" t="str">
        <f>"ENSG00000174574.16"</f>
        <v>ENSG00000174574.16</v>
      </c>
      <c r="B167" s="3">
        <v>6153.9469287245402</v>
      </c>
      <c r="C167" s="3">
        <v>-1.2609615307815201</v>
      </c>
      <c r="D167" s="3">
        <v>0.24027118278484699</v>
      </c>
      <c r="E167" s="3">
        <v>-5.2480764283357999</v>
      </c>
      <c r="F167" s="4">
        <v>1.5369553820217E-7</v>
      </c>
      <c r="G167" s="4">
        <v>2.24518656415539E-6</v>
      </c>
      <c r="H167" s="3" t="str">
        <f>"AKIRIN1"</f>
        <v>AKIRIN1</v>
      </c>
      <c r="I167" s="3" t="str">
        <f t="shared" si="8"/>
        <v>protein_coding</v>
      </c>
    </row>
    <row r="168" spans="1:9" x14ac:dyDescent="0.2">
      <c r="A168" s="3" t="str">
        <f>"ENSG00000183682.8"</f>
        <v>ENSG00000183682.8</v>
      </c>
      <c r="B168" s="3">
        <v>85.944455065398998</v>
      </c>
      <c r="C168" s="3">
        <v>4.6583340508931101</v>
      </c>
      <c r="D168" s="3">
        <v>0.56903174014906199</v>
      </c>
      <c r="E168" s="3">
        <v>8.1864221663150598</v>
      </c>
      <c r="F168" s="4">
        <v>2.6910656772303398E-16</v>
      </c>
      <c r="G168" s="4">
        <v>1.11521840380114E-14</v>
      </c>
      <c r="H168" s="3" t="str">
        <f>"BMP8A"</f>
        <v>BMP8A</v>
      </c>
      <c r="I168" s="3" t="str">
        <f t="shared" si="8"/>
        <v>protein_coding</v>
      </c>
    </row>
    <row r="169" spans="1:9" x14ac:dyDescent="0.2">
      <c r="A169" s="3" t="str">
        <f>"ENSG00000116985.12"</f>
        <v>ENSG00000116985.12</v>
      </c>
      <c r="B169" s="3">
        <v>194.13213069100701</v>
      </c>
      <c r="C169" s="3">
        <v>1.4519651891155101</v>
      </c>
      <c r="D169" s="3">
        <v>0.34267034304688299</v>
      </c>
      <c r="E169" s="3">
        <v>4.23720703754294</v>
      </c>
      <c r="F169" s="4">
        <v>2.2631743022175898E-5</v>
      </c>
      <c r="G169" s="3">
        <v>2.1434544266672999E-4</v>
      </c>
      <c r="H169" s="3" t="str">
        <f>"BMP8B"</f>
        <v>BMP8B</v>
      </c>
      <c r="I169" s="3" t="str">
        <f t="shared" si="8"/>
        <v>protein_coding</v>
      </c>
    </row>
    <row r="170" spans="1:9" x14ac:dyDescent="0.2">
      <c r="A170" s="3" t="str">
        <f>"ENSG00000168389.17"</f>
        <v>ENSG00000168389.17</v>
      </c>
      <c r="B170" s="3">
        <v>27.700439912083201</v>
      </c>
      <c r="C170" s="3">
        <v>-1.88452733436381</v>
      </c>
      <c r="D170" s="3">
        <v>0.68218659136721604</v>
      </c>
      <c r="E170" s="3">
        <v>-2.7624807614393299</v>
      </c>
      <c r="F170" s="3">
        <v>5.7363942307046998E-3</v>
      </c>
      <c r="G170" s="3">
        <v>2.6506061144999399E-2</v>
      </c>
      <c r="H170" s="3" t="str">
        <f>"MFSD2A"</f>
        <v>MFSD2A</v>
      </c>
      <c r="I170" s="3" t="str">
        <f t="shared" si="8"/>
        <v>protein_coding</v>
      </c>
    </row>
    <row r="171" spans="1:9" x14ac:dyDescent="0.2">
      <c r="A171" s="3" t="str">
        <f>"ENSG00000131238.17"</f>
        <v>ENSG00000131238.17</v>
      </c>
      <c r="B171" s="3">
        <v>5205.8379118435696</v>
      </c>
      <c r="C171" s="3">
        <v>-1.25938642003414</v>
      </c>
      <c r="D171" s="3">
        <v>0.28083530163209203</v>
      </c>
      <c r="E171" s="3">
        <v>-4.4844305994123097</v>
      </c>
      <c r="F171" s="4">
        <v>7.3108895288737499E-6</v>
      </c>
      <c r="G171" s="4">
        <v>7.7794173476657797E-5</v>
      </c>
      <c r="H171" s="3" t="str">
        <f>"PPT1"</f>
        <v>PPT1</v>
      </c>
      <c r="I171" s="3" t="str">
        <f t="shared" si="8"/>
        <v>protein_coding</v>
      </c>
    </row>
    <row r="172" spans="1:9" x14ac:dyDescent="0.2">
      <c r="A172" s="3" t="str">
        <f>"ENSG00000259943.1"</f>
        <v>ENSG00000259943.1</v>
      </c>
      <c r="B172" s="3">
        <v>206.61857409650301</v>
      </c>
      <c r="C172" s="3">
        <v>-1.0831903052413101</v>
      </c>
      <c r="D172" s="3">
        <v>0.331003433372005</v>
      </c>
      <c r="E172" s="3">
        <v>-3.2724443194036099</v>
      </c>
      <c r="F172" s="3">
        <v>1.0662187153330899E-3</v>
      </c>
      <c r="G172" s="3">
        <v>6.44574183710737E-3</v>
      </c>
      <c r="H172" s="3" t="str">
        <f>"AL050341.2"</f>
        <v>AL050341.2</v>
      </c>
      <c r="I172" s="3" t="str">
        <f>"antisense"</f>
        <v>antisense</v>
      </c>
    </row>
    <row r="173" spans="1:9" x14ac:dyDescent="0.2">
      <c r="A173" s="3" t="str">
        <f>"ENSG00000049089.15"</f>
        <v>ENSG00000049089.15</v>
      </c>
      <c r="B173" s="3">
        <v>3099.1252808008398</v>
      </c>
      <c r="C173" s="3">
        <v>1.6249611776568</v>
      </c>
      <c r="D173" s="3">
        <v>0.29842023421862901</v>
      </c>
      <c r="E173" s="3">
        <v>5.4452111195192003</v>
      </c>
      <c r="F173" s="4">
        <v>5.1743976630104801E-8</v>
      </c>
      <c r="G173" s="4">
        <v>8.0946500754370997E-7</v>
      </c>
      <c r="H173" s="3" t="str">
        <f>"COL9A2"</f>
        <v>COL9A2</v>
      </c>
      <c r="I173" s="3" t="str">
        <f>"protein_coding"</f>
        <v>protein_coding</v>
      </c>
    </row>
    <row r="174" spans="1:9" x14ac:dyDescent="0.2">
      <c r="A174" s="3" t="str">
        <f>"ENSG00000187801.15"</f>
        <v>ENSG00000187801.15</v>
      </c>
      <c r="B174" s="3">
        <v>119.746404165556</v>
      </c>
      <c r="C174" s="3">
        <v>-1.5700959523384299</v>
      </c>
      <c r="D174" s="3">
        <v>0.402755577467651</v>
      </c>
      <c r="E174" s="3">
        <v>-3.8983841321590198</v>
      </c>
      <c r="F174" s="4">
        <v>9.6836716897080605E-5</v>
      </c>
      <c r="G174" s="3">
        <v>7.8934789810306601E-4</v>
      </c>
      <c r="H174" s="3" t="str">
        <f>"ZFP69B"</f>
        <v>ZFP69B</v>
      </c>
      <c r="I174" s="3" t="str">
        <f>"protein_coding"</f>
        <v>protein_coding</v>
      </c>
    </row>
    <row r="175" spans="1:9" x14ac:dyDescent="0.2">
      <c r="A175" s="3" t="str">
        <f>"ENSG00000260920.2"</f>
        <v>ENSG00000260920.2</v>
      </c>
      <c r="B175" s="3">
        <v>71.183685120578403</v>
      </c>
      <c r="C175" s="3">
        <v>-2.52135612770648</v>
      </c>
      <c r="D175" s="3">
        <v>0.55265130831671105</v>
      </c>
      <c r="E175" s="3">
        <v>-4.5622910680988698</v>
      </c>
      <c r="F175" s="4">
        <v>5.0598435192631802E-6</v>
      </c>
      <c r="G175" s="4">
        <v>5.5363359602899201E-5</v>
      </c>
      <c r="H175" s="3" t="str">
        <f>"AL031985.3"</f>
        <v>AL031985.3</v>
      </c>
      <c r="I175" s="3" t="str">
        <f>"sense_overlapping"</f>
        <v>sense_overlapping</v>
      </c>
    </row>
    <row r="176" spans="1:9" x14ac:dyDescent="0.2">
      <c r="A176" s="3" t="str">
        <f>"ENSG00000179862.6"</f>
        <v>ENSG00000179862.6</v>
      </c>
      <c r="B176" s="3">
        <v>272.05205257034402</v>
      </c>
      <c r="C176" s="3">
        <v>1.73345490663449</v>
      </c>
      <c r="D176" s="3">
        <v>0.32173230169490702</v>
      </c>
      <c r="E176" s="3">
        <v>5.3878796051951703</v>
      </c>
      <c r="F176" s="4">
        <v>7.1293781810209198E-8</v>
      </c>
      <c r="G176" s="4">
        <v>1.0922016330303401E-6</v>
      </c>
      <c r="H176" s="3" t="str">
        <f>"CITED4"</f>
        <v>CITED4</v>
      </c>
      <c r="I176" s="3" t="str">
        <f t="shared" ref="I176:I183" si="9">"protein_coding"</f>
        <v>protein_coding</v>
      </c>
    </row>
    <row r="177" spans="1:9" x14ac:dyDescent="0.2">
      <c r="A177" s="3" t="str">
        <f>"ENSG00000204060.7"</f>
        <v>ENSG00000204060.7</v>
      </c>
      <c r="B177" s="3">
        <v>13.254744988761701</v>
      </c>
      <c r="C177" s="3">
        <v>2.8182625551404401</v>
      </c>
      <c r="D177" s="3">
        <v>1.0305858109602</v>
      </c>
      <c r="E177" s="3">
        <v>2.7346219258682001</v>
      </c>
      <c r="F177" s="3">
        <v>6.2451961565966304E-3</v>
      </c>
      <c r="G177" s="3">
        <v>2.8485568326235399E-2</v>
      </c>
      <c r="H177" s="3" t="str">
        <f>"FOXO6"</f>
        <v>FOXO6</v>
      </c>
      <c r="I177" s="3" t="str">
        <f t="shared" si="9"/>
        <v>protein_coding</v>
      </c>
    </row>
    <row r="178" spans="1:9" x14ac:dyDescent="0.2">
      <c r="A178" s="3" t="str">
        <f>"ENSG00000044012.4"</f>
        <v>ENSG00000044012.4</v>
      </c>
      <c r="B178" s="3">
        <v>255.82621295210799</v>
      </c>
      <c r="C178" s="3">
        <v>6.7514670693475196</v>
      </c>
      <c r="D178" s="3">
        <v>0.55379525791191397</v>
      </c>
      <c r="E178" s="3">
        <v>12.1912691972191</v>
      </c>
      <c r="F178" s="4">
        <v>3.45990374840746E-34</v>
      </c>
      <c r="G178" s="4">
        <v>4.24555506298486E-32</v>
      </c>
      <c r="H178" s="3" t="str">
        <f>"GUCA2B"</f>
        <v>GUCA2B</v>
      </c>
      <c r="I178" s="3" t="str">
        <f t="shared" si="9"/>
        <v>protein_coding</v>
      </c>
    </row>
    <row r="179" spans="1:9" x14ac:dyDescent="0.2">
      <c r="A179" s="3" t="str">
        <f>"ENSG00000177181.15"</f>
        <v>ENSG00000177181.15</v>
      </c>
      <c r="B179" s="3">
        <v>116.670345138031</v>
      </c>
      <c r="C179" s="3">
        <v>-1.44695034587442</v>
      </c>
      <c r="D179" s="3">
        <v>0.39271126063302803</v>
      </c>
      <c r="E179" s="3">
        <v>-3.68451452994247</v>
      </c>
      <c r="F179" s="3">
        <v>2.2913895501178001E-4</v>
      </c>
      <c r="G179" s="3">
        <v>1.68636349131694E-3</v>
      </c>
      <c r="H179" s="3" t="str">
        <f>"RIMKLA"</f>
        <v>RIMKLA</v>
      </c>
      <c r="I179" s="3" t="str">
        <f t="shared" si="9"/>
        <v>protein_coding</v>
      </c>
    </row>
    <row r="180" spans="1:9" x14ac:dyDescent="0.2">
      <c r="A180" s="3" t="str">
        <f>"ENSG00000171960.11"</f>
        <v>ENSG00000171960.11</v>
      </c>
      <c r="B180" s="3">
        <v>556.60809224349896</v>
      </c>
      <c r="C180" s="3">
        <v>-1.08834209534808</v>
      </c>
      <c r="D180" s="3">
        <v>0.28280110309010797</v>
      </c>
      <c r="E180" s="3">
        <v>-3.8484365282030302</v>
      </c>
      <c r="F180" s="3">
        <v>1.1887408757336899E-4</v>
      </c>
      <c r="G180" s="3">
        <v>9.4667174581402203E-4</v>
      </c>
      <c r="H180" s="3" t="str">
        <f>"PPIH"</f>
        <v>PPIH</v>
      </c>
      <c r="I180" s="3" t="str">
        <f t="shared" si="9"/>
        <v>protein_coding</v>
      </c>
    </row>
    <row r="181" spans="1:9" x14ac:dyDescent="0.2">
      <c r="A181" s="3" t="str">
        <f>"ENSG00000065978.19"</f>
        <v>ENSG00000065978.19</v>
      </c>
      <c r="B181" s="3">
        <v>21482.743810984299</v>
      </c>
      <c r="C181" s="3">
        <v>-1.1498069901355299</v>
      </c>
      <c r="D181" s="3">
        <v>0.26803812241742397</v>
      </c>
      <c r="E181" s="3">
        <v>-4.2897143875112498</v>
      </c>
      <c r="F181" s="4">
        <v>1.7890304199101201E-5</v>
      </c>
      <c r="G181" s="3">
        <v>1.73489052478177E-4</v>
      </c>
      <c r="H181" s="3" t="str">
        <f>"YBX1"</f>
        <v>YBX1</v>
      </c>
      <c r="I181" s="3" t="str">
        <f t="shared" si="9"/>
        <v>protein_coding</v>
      </c>
    </row>
    <row r="182" spans="1:9" x14ac:dyDescent="0.2">
      <c r="A182" s="3" t="str">
        <f>"ENSG00000164007.10"</f>
        <v>ENSG00000164007.10</v>
      </c>
      <c r="B182" s="3">
        <v>334.353080554504</v>
      </c>
      <c r="C182" s="3">
        <v>-1.7369579847308101</v>
      </c>
      <c r="D182" s="3">
        <v>0.33907696289654299</v>
      </c>
      <c r="E182" s="3">
        <v>-5.1226068851536297</v>
      </c>
      <c r="F182" s="4">
        <v>3.0134017575451601E-7</v>
      </c>
      <c r="G182" s="4">
        <v>4.1489940454870498E-6</v>
      </c>
      <c r="H182" s="3" t="str">
        <f>"CLDN19"</f>
        <v>CLDN19</v>
      </c>
      <c r="I182" s="3" t="str">
        <f t="shared" si="9"/>
        <v>protein_coding</v>
      </c>
    </row>
    <row r="183" spans="1:9" x14ac:dyDescent="0.2">
      <c r="A183" s="3" t="str">
        <f>"ENSG00000117385.15"</f>
        <v>ENSG00000117385.15</v>
      </c>
      <c r="B183" s="3">
        <v>2479.6986149218701</v>
      </c>
      <c r="C183" s="3">
        <v>-1.19014221901499</v>
      </c>
      <c r="D183" s="3">
        <v>0.27237943700545197</v>
      </c>
      <c r="E183" s="3">
        <v>-4.3694275606832003</v>
      </c>
      <c r="F183" s="4">
        <v>1.2457265370943999E-5</v>
      </c>
      <c r="G183" s="3">
        <v>1.24498414940841E-4</v>
      </c>
      <c r="H183" s="3" t="str">
        <f>"P3H1"</f>
        <v>P3H1</v>
      </c>
      <c r="I183" s="3" t="str">
        <f t="shared" si="9"/>
        <v>protein_coding</v>
      </c>
    </row>
    <row r="184" spans="1:9" x14ac:dyDescent="0.2">
      <c r="A184" s="3" t="str">
        <f>"ENSG00000228192.7"</f>
        <v>ENSG00000228192.7</v>
      </c>
      <c r="B184" s="3">
        <v>96.263179005602495</v>
      </c>
      <c r="C184" s="3">
        <v>-1.1440967294653599</v>
      </c>
      <c r="D184" s="3">
        <v>0.40189682280864503</v>
      </c>
      <c r="E184" s="3">
        <v>-2.8467424088348698</v>
      </c>
      <c r="F184" s="3">
        <v>4.4169086623165703E-3</v>
      </c>
      <c r="G184" s="3">
        <v>2.13955974197137E-2</v>
      </c>
      <c r="H184" s="3" t="str">
        <f>"AL512353.1"</f>
        <v>AL512353.1</v>
      </c>
      <c r="I184" s="3" t="str">
        <f>"antisense"</f>
        <v>antisense</v>
      </c>
    </row>
    <row r="185" spans="1:9" x14ac:dyDescent="0.2">
      <c r="A185" s="3" t="str">
        <f>"ENSG00000227533.5"</f>
        <v>ENSG00000227533.5</v>
      </c>
      <c r="B185" s="3">
        <v>194.909683796021</v>
      </c>
      <c r="C185" s="3">
        <v>-1.32187999441406</v>
      </c>
      <c r="D185" s="3">
        <v>0.345003858304547</v>
      </c>
      <c r="E185" s="3">
        <v>-3.8314933662196702</v>
      </c>
      <c r="F185" s="3">
        <v>1.2736780923013101E-4</v>
      </c>
      <c r="G185" s="3">
        <v>1.0056300192039999E-3</v>
      </c>
      <c r="H185" s="3" t="str">
        <f>"SLC2A1-AS1"</f>
        <v>SLC2A1-AS1</v>
      </c>
      <c r="I185" s="3" t="str">
        <f>"lincRNA"</f>
        <v>lincRNA</v>
      </c>
    </row>
    <row r="186" spans="1:9" x14ac:dyDescent="0.2">
      <c r="A186" s="3" t="str">
        <f>"ENSG00000283973.1"</f>
        <v>ENSG00000283973.1</v>
      </c>
      <c r="B186" s="3">
        <v>14.7330703795077</v>
      </c>
      <c r="C186" s="3">
        <v>-3.72078362271324</v>
      </c>
      <c r="D186" s="3">
        <v>1.0876998303677601</v>
      </c>
      <c r="E186" s="3">
        <v>-3.42078165209902</v>
      </c>
      <c r="F186" s="3">
        <v>6.2441442299276397E-4</v>
      </c>
      <c r="G186" s="3">
        <v>4.0681545740437596E-3</v>
      </c>
      <c r="H186" s="3" t="str">
        <f>"AC099795.1"</f>
        <v>AC099795.1</v>
      </c>
      <c r="I186" s="3" t="str">
        <f>"lincRNA"</f>
        <v>lincRNA</v>
      </c>
    </row>
    <row r="187" spans="1:9" x14ac:dyDescent="0.2">
      <c r="A187" s="3" t="str">
        <f>"ENSG00000253313.5"</f>
        <v>ENSG00000253313.5</v>
      </c>
      <c r="B187" s="3">
        <v>65.583272490784296</v>
      </c>
      <c r="C187" s="3">
        <v>3.6813392218197798</v>
      </c>
      <c r="D187" s="3">
        <v>0.54403358034512606</v>
      </c>
      <c r="E187" s="3">
        <v>6.7667499853306898</v>
      </c>
      <c r="F187" s="4">
        <v>1.31707379077296E-11</v>
      </c>
      <c r="G187" s="4">
        <v>3.3465647683730997E-10</v>
      </c>
      <c r="H187" s="3" t="str">
        <f>"C1orf210"</f>
        <v>C1orf210</v>
      </c>
      <c r="I187" s="3" t="str">
        <f>"protein_coding"</f>
        <v>protein_coding</v>
      </c>
    </row>
    <row r="188" spans="1:9" x14ac:dyDescent="0.2">
      <c r="A188" s="3" t="str">
        <f>"ENSG00000132768.14"</f>
        <v>ENSG00000132768.14</v>
      </c>
      <c r="B188" s="3">
        <v>1267.1210083439501</v>
      </c>
      <c r="C188" s="3">
        <v>-1.0735252832495601</v>
      </c>
      <c r="D188" s="3">
        <v>0.25771721371813999</v>
      </c>
      <c r="E188" s="3">
        <v>-4.1655164114246901</v>
      </c>
      <c r="F188" s="4">
        <v>3.1064857410476297E-5</v>
      </c>
      <c r="G188" s="3">
        <v>2.8540412277594301E-4</v>
      </c>
      <c r="H188" s="3" t="str">
        <f>"DPH2"</f>
        <v>DPH2</v>
      </c>
      <c r="I188" s="3" t="str">
        <f>"protein_coding"</f>
        <v>protein_coding</v>
      </c>
    </row>
    <row r="189" spans="1:9" x14ac:dyDescent="0.2">
      <c r="A189" s="3" t="str">
        <f>"ENSG00000126106.14"</f>
        <v>ENSG00000126106.14</v>
      </c>
      <c r="B189" s="3">
        <v>183.354633565277</v>
      </c>
      <c r="C189" s="3">
        <v>-1.4224260391680801</v>
      </c>
      <c r="D189" s="3">
        <v>0.36491233451627098</v>
      </c>
      <c r="E189" s="3">
        <v>-3.8979938594118799</v>
      </c>
      <c r="F189" s="4">
        <v>9.6992875338089605E-5</v>
      </c>
      <c r="G189" s="3">
        <v>7.90108736764781E-4</v>
      </c>
      <c r="H189" s="3" t="str">
        <f>"TMEM53"</f>
        <v>TMEM53</v>
      </c>
      <c r="I189" s="3" t="str">
        <f>"protein_coding"</f>
        <v>protein_coding</v>
      </c>
    </row>
    <row r="190" spans="1:9" x14ac:dyDescent="0.2">
      <c r="A190" s="3" t="str">
        <f>"ENSG00000200913.1"</f>
        <v>ENSG00000200913.1</v>
      </c>
      <c r="B190" s="3">
        <v>193.79085009776799</v>
      </c>
      <c r="C190" s="3">
        <v>-1.4767126297236399</v>
      </c>
      <c r="D190" s="3">
        <v>0.35253696986144001</v>
      </c>
      <c r="E190" s="3">
        <v>-4.1888163681217501</v>
      </c>
      <c r="F190" s="4">
        <v>2.8041318584972302E-5</v>
      </c>
      <c r="G190" s="3">
        <v>2.5999976741797901E-4</v>
      </c>
      <c r="H190" s="3" t="str">
        <f>"SNORD46"</f>
        <v>SNORD46</v>
      </c>
      <c r="I190" s="3" t="str">
        <f>"snoRNA"</f>
        <v>snoRNA</v>
      </c>
    </row>
    <row r="191" spans="1:9" x14ac:dyDescent="0.2">
      <c r="A191" s="3" t="str">
        <f>"ENSG00000173846.13"</f>
        <v>ENSG00000173846.13</v>
      </c>
      <c r="B191" s="3">
        <v>1949.5665264250799</v>
      </c>
      <c r="C191" s="3">
        <v>3.15057462005913</v>
      </c>
      <c r="D191" s="3">
        <v>0.333903644377466</v>
      </c>
      <c r="E191" s="3">
        <v>9.4355802133669595</v>
      </c>
      <c r="F191" s="4">
        <v>3.88836204022027E-21</v>
      </c>
      <c r="G191" s="4">
        <v>2.2589318041972502E-19</v>
      </c>
      <c r="H191" s="3" t="str">
        <f>"PLK3"</f>
        <v>PLK3</v>
      </c>
      <c r="I191" s="3" t="str">
        <f t="shared" ref="I191:I197" si="10">"protein_coding"</f>
        <v>protein_coding</v>
      </c>
    </row>
    <row r="192" spans="1:9" x14ac:dyDescent="0.2">
      <c r="A192" s="3" t="str">
        <f>"ENSG00000222009.8"</f>
        <v>ENSG00000222009.8</v>
      </c>
      <c r="B192" s="3">
        <v>1374.3686265015101</v>
      </c>
      <c r="C192" s="3">
        <v>1.8487752275443401</v>
      </c>
      <c r="D192" s="3">
        <v>0.26541843765238499</v>
      </c>
      <c r="E192" s="3">
        <v>6.9655116799596799</v>
      </c>
      <c r="F192" s="4">
        <v>3.27212272572953E-12</v>
      </c>
      <c r="G192" s="4">
        <v>8.9176865835023205E-11</v>
      </c>
      <c r="H192" s="3" t="str">
        <f>"BTBD19"</f>
        <v>BTBD19</v>
      </c>
      <c r="I192" s="3" t="str">
        <f t="shared" si="10"/>
        <v>protein_coding</v>
      </c>
    </row>
    <row r="193" spans="1:9" x14ac:dyDescent="0.2">
      <c r="A193" s="3" t="str">
        <f>"ENSG00000132773.12"</f>
        <v>ENSG00000132773.12</v>
      </c>
      <c r="B193" s="3">
        <v>677.54414125819403</v>
      </c>
      <c r="C193" s="3">
        <v>-1.4227602809597</v>
      </c>
      <c r="D193" s="3">
        <v>0.27131467846937501</v>
      </c>
      <c r="E193" s="3">
        <v>-5.2439487940210903</v>
      </c>
      <c r="F193" s="4">
        <v>1.5717583755620601E-7</v>
      </c>
      <c r="G193" s="4">
        <v>2.28805451025831E-6</v>
      </c>
      <c r="H193" s="3" t="str">
        <f>"TOE1"</f>
        <v>TOE1</v>
      </c>
      <c r="I193" s="3" t="str">
        <f t="shared" si="10"/>
        <v>protein_coding</v>
      </c>
    </row>
    <row r="194" spans="1:9" x14ac:dyDescent="0.2">
      <c r="A194" s="3" t="str">
        <f>"ENSG00000159588.15"</f>
        <v>ENSG00000159588.15</v>
      </c>
      <c r="B194" s="3">
        <v>156.18940906100499</v>
      </c>
      <c r="C194" s="3">
        <v>1.43590760743483</v>
      </c>
      <c r="D194" s="3">
        <v>0.39507870804047301</v>
      </c>
      <c r="E194" s="3">
        <v>3.6344849221480402</v>
      </c>
      <c r="F194" s="3">
        <v>2.7853654533076201E-4</v>
      </c>
      <c r="G194" s="3">
        <v>2.00474586489136E-3</v>
      </c>
      <c r="H194" s="3" t="str">
        <f>"CCDC17"</f>
        <v>CCDC17</v>
      </c>
      <c r="I194" s="3" t="str">
        <f t="shared" si="10"/>
        <v>protein_coding</v>
      </c>
    </row>
    <row r="195" spans="1:9" x14ac:dyDescent="0.2">
      <c r="A195" s="3" t="str">
        <f>"ENSG00000117472.10"</f>
        <v>ENSG00000117472.10</v>
      </c>
      <c r="B195" s="3">
        <v>175.90383831238699</v>
      </c>
      <c r="C195" s="3">
        <v>4.7332917688813803</v>
      </c>
      <c r="D195" s="3">
        <v>0.44118635270582002</v>
      </c>
      <c r="E195" s="3">
        <v>10.7285543622368</v>
      </c>
      <c r="F195" s="4">
        <v>7.4756502951480694E-27</v>
      </c>
      <c r="G195" s="4">
        <v>6.57517423686887E-25</v>
      </c>
      <c r="H195" s="3" t="str">
        <f>"TSPAN1"</f>
        <v>TSPAN1</v>
      </c>
      <c r="I195" s="3" t="str">
        <f t="shared" si="10"/>
        <v>protein_coding</v>
      </c>
    </row>
    <row r="196" spans="1:9" x14ac:dyDescent="0.2">
      <c r="A196" s="3" t="str">
        <f>"ENSG00000171357.6"</f>
        <v>ENSG00000171357.6</v>
      </c>
      <c r="B196" s="3">
        <v>45.488129374965503</v>
      </c>
      <c r="C196" s="3">
        <v>3.5629700708606298</v>
      </c>
      <c r="D196" s="3">
        <v>0.62269482203677495</v>
      </c>
      <c r="E196" s="3">
        <v>5.7218559473587698</v>
      </c>
      <c r="F196" s="4">
        <v>1.05366630534869E-8</v>
      </c>
      <c r="G196" s="4">
        <v>1.84832467998928E-7</v>
      </c>
      <c r="H196" s="3" t="str">
        <f>"LURAP1"</f>
        <v>LURAP1</v>
      </c>
      <c r="I196" s="3" t="str">
        <f t="shared" si="10"/>
        <v>protein_coding</v>
      </c>
    </row>
    <row r="197" spans="1:9" x14ac:dyDescent="0.2">
      <c r="A197" s="3" t="str">
        <f>"ENSG00000123473.15"</f>
        <v>ENSG00000123473.15</v>
      </c>
      <c r="B197" s="3">
        <v>1276.95066714174</v>
      </c>
      <c r="C197" s="3">
        <v>-1.27235338453845</v>
      </c>
      <c r="D197" s="3">
        <v>0.29199310580994697</v>
      </c>
      <c r="E197" s="3">
        <v>-4.35747748567257</v>
      </c>
      <c r="F197" s="4">
        <v>1.31570027809906E-5</v>
      </c>
      <c r="G197" s="3">
        <v>1.3066103630312599E-4</v>
      </c>
      <c r="H197" s="3" t="str">
        <f>"STIL"</f>
        <v>STIL</v>
      </c>
      <c r="I197" s="3" t="str">
        <f t="shared" si="10"/>
        <v>protein_coding</v>
      </c>
    </row>
    <row r="198" spans="1:9" x14ac:dyDescent="0.2">
      <c r="A198" s="3" t="str">
        <f>"ENSG00000237424.1"</f>
        <v>ENSG00000237424.1</v>
      </c>
      <c r="B198" s="3">
        <v>127.802200035583</v>
      </c>
      <c r="C198" s="3">
        <v>-1.5148476679403</v>
      </c>
      <c r="D198" s="3">
        <v>0.38068218163317002</v>
      </c>
      <c r="E198" s="3">
        <v>-3.9792975374928998</v>
      </c>
      <c r="F198" s="4">
        <v>6.9119193601258004E-5</v>
      </c>
      <c r="G198" s="3">
        <v>5.8561580163005904E-4</v>
      </c>
      <c r="H198" s="3" t="str">
        <f>"FOXD2-AS1"</f>
        <v>FOXD2-AS1</v>
      </c>
      <c r="I198" s="3" t="str">
        <f>"lincRNA"</f>
        <v>lincRNA</v>
      </c>
    </row>
    <row r="199" spans="1:9" x14ac:dyDescent="0.2">
      <c r="A199" s="3" t="str">
        <f>"ENSG00000269113.4"</f>
        <v>ENSG00000269113.4</v>
      </c>
      <c r="B199" s="3">
        <v>39.5086641539068</v>
      </c>
      <c r="C199" s="3">
        <v>-3.7074476716218601</v>
      </c>
      <c r="D199" s="3">
        <v>0.70104208110440003</v>
      </c>
      <c r="E199" s="3">
        <v>-5.2884809222596996</v>
      </c>
      <c r="F199" s="4">
        <v>1.23336349994407E-7</v>
      </c>
      <c r="G199" s="4">
        <v>1.8260893961797E-6</v>
      </c>
      <c r="H199" s="3" t="str">
        <f>"TRABD2B"</f>
        <v>TRABD2B</v>
      </c>
      <c r="I199" s="3" t="str">
        <f>"protein_coding"</f>
        <v>protein_coding</v>
      </c>
    </row>
    <row r="200" spans="1:9" x14ac:dyDescent="0.2">
      <c r="A200" s="3" t="str">
        <f>"ENSG00000225028.1"</f>
        <v>ENSG00000225028.1</v>
      </c>
      <c r="B200" s="3">
        <v>10.845603526454701</v>
      </c>
      <c r="C200" s="3">
        <v>6.9611207284902799</v>
      </c>
      <c r="D200" s="3">
        <v>1.7563222467310999</v>
      </c>
      <c r="E200" s="3">
        <v>3.9634644163088302</v>
      </c>
      <c r="F200" s="4">
        <v>7.3869878553005404E-5</v>
      </c>
      <c r="G200" s="3">
        <v>6.2167841920403202E-4</v>
      </c>
      <c r="H200" s="3" t="str">
        <f>"AC096541.1"</f>
        <v>AC096541.1</v>
      </c>
      <c r="I200" s="3" t="str">
        <f>"lincRNA"</f>
        <v>lincRNA</v>
      </c>
    </row>
    <row r="201" spans="1:9" x14ac:dyDescent="0.2">
      <c r="A201" s="3" t="str">
        <f>"ENSG00000123080.11"</f>
        <v>ENSG00000123080.11</v>
      </c>
      <c r="B201" s="3">
        <v>291.27790009072697</v>
      </c>
      <c r="C201" s="3">
        <v>-1.94949267611225</v>
      </c>
      <c r="D201" s="3">
        <v>0.34751904192717797</v>
      </c>
      <c r="E201" s="3">
        <v>-5.60974346988663</v>
      </c>
      <c r="F201" s="4">
        <v>2.0262674639696199E-8</v>
      </c>
      <c r="G201" s="4">
        <v>3.3935258359624399E-7</v>
      </c>
      <c r="H201" s="3" t="str">
        <f>"CDKN2C"</f>
        <v>CDKN2C</v>
      </c>
      <c r="I201" s="3" t="str">
        <f t="shared" ref="I201:I213" si="11">"protein_coding"</f>
        <v>protein_coding</v>
      </c>
    </row>
    <row r="202" spans="1:9" x14ac:dyDescent="0.2">
      <c r="A202" s="3" t="str">
        <f>"ENSG00000085831.15"</f>
        <v>ENSG00000085831.15</v>
      </c>
      <c r="B202" s="3">
        <v>166.72607753466301</v>
      </c>
      <c r="C202" s="3">
        <v>-1.3156204320898</v>
      </c>
      <c r="D202" s="3">
        <v>0.38635478699778802</v>
      </c>
      <c r="E202" s="3">
        <v>-3.40521322982167</v>
      </c>
      <c r="F202" s="3">
        <v>6.6112409805740402E-4</v>
      </c>
      <c r="G202" s="3">
        <v>4.2752125158442098E-3</v>
      </c>
      <c r="H202" s="3" t="str">
        <f>"TTC39A"</f>
        <v>TTC39A</v>
      </c>
      <c r="I202" s="3" t="str">
        <f t="shared" si="11"/>
        <v>protein_coding</v>
      </c>
    </row>
    <row r="203" spans="1:9" x14ac:dyDescent="0.2">
      <c r="A203" s="3" t="str">
        <f>"ENSG00000085840.13"</f>
        <v>ENSG00000085840.13</v>
      </c>
      <c r="B203" s="3">
        <v>1207.3913453596199</v>
      </c>
      <c r="C203" s="3">
        <v>-1.8886211335181</v>
      </c>
      <c r="D203" s="3">
        <v>0.24997094700602801</v>
      </c>
      <c r="E203" s="3">
        <v>-7.5553625576838002</v>
      </c>
      <c r="F203" s="4">
        <v>4.1769469078367603E-14</v>
      </c>
      <c r="G203" s="4">
        <v>1.3879933879344E-12</v>
      </c>
      <c r="H203" s="3" t="str">
        <f>"ORC1"</f>
        <v>ORC1</v>
      </c>
      <c r="I203" s="3" t="str">
        <f t="shared" si="11"/>
        <v>protein_coding</v>
      </c>
    </row>
    <row r="204" spans="1:9" x14ac:dyDescent="0.2">
      <c r="A204" s="3" t="str">
        <f>"ENSG00000157193.16"</f>
        <v>ENSG00000157193.16</v>
      </c>
      <c r="B204" s="3">
        <v>582.00972717879404</v>
      </c>
      <c r="C204" s="3">
        <v>-1.9905455899947899</v>
      </c>
      <c r="D204" s="3">
        <v>0.281230638997083</v>
      </c>
      <c r="E204" s="3">
        <v>-7.0779826732016904</v>
      </c>
      <c r="F204" s="4">
        <v>1.4626800770487E-12</v>
      </c>
      <c r="G204" s="4">
        <v>4.1387758535613002E-11</v>
      </c>
      <c r="H204" s="3" t="str">
        <f>"LRP8"</f>
        <v>LRP8</v>
      </c>
      <c r="I204" s="3" t="str">
        <f t="shared" si="11"/>
        <v>protein_coding</v>
      </c>
    </row>
    <row r="205" spans="1:9" x14ac:dyDescent="0.2">
      <c r="A205" s="3" t="str">
        <f>"ENSG00000203985.11"</f>
        <v>ENSG00000203985.11</v>
      </c>
      <c r="B205" s="3">
        <v>977.23578827925303</v>
      </c>
      <c r="C205" s="3">
        <v>3.9549618495108199</v>
      </c>
      <c r="D205" s="3">
        <v>0.31012998078065102</v>
      </c>
      <c r="E205" s="3">
        <v>12.752594378510199</v>
      </c>
      <c r="F205" s="4">
        <v>3.0154029342820098E-37</v>
      </c>
      <c r="G205" s="4">
        <v>4.2613742029136999E-35</v>
      </c>
      <c r="H205" s="3" t="str">
        <f>"LDLRAD1"</f>
        <v>LDLRAD1</v>
      </c>
      <c r="I205" s="3" t="str">
        <f t="shared" si="11"/>
        <v>protein_coding</v>
      </c>
    </row>
    <row r="206" spans="1:9" x14ac:dyDescent="0.2">
      <c r="A206" s="3" t="str">
        <f>"ENSG00000162391.12"</f>
        <v>ENSG00000162391.12</v>
      </c>
      <c r="B206" s="3">
        <v>47.250304489811597</v>
      </c>
      <c r="C206" s="3">
        <v>-4.7275158256046801</v>
      </c>
      <c r="D206" s="3">
        <v>1.7034301051504599</v>
      </c>
      <c r="E206" s="3">
        <v>-2.7752919308580202</v>
      </c>
      <c r="F206" s="3">
        <v>5.5152177100152699E-3</v>
      </c>
      <c r="G206" s="3">
        <v>2.5672705680132201E-2</v>
      </c>
      <c r="H206" s="3" t="str">
        <f>"FAM151A"</f>
        <v>FAM151A</v>
      </c>
      <c r="I206" s="3" t="str">
        <f t="shared" si="11"/>
        <v>protein_coding</v>
      </c>
    </row>
    <row r="207" spans="1:9" x14ac:dyDescent="0.2">
      <c r="A207" s="3" t="str">
        <f>"ENSG00000169174.10"</f>
        <v>ENSG00000169174.10</v>
      </c>
      <c r="B207" s="3">
        <v>1244.10765339307</v>
      </c>
      <c r="C207" s="3">
        <v>-2.8923834364914902</v>
      </c>
      <c r="D207" s="3">
        <v>0.29511032654526698</v>
      </c>
      <c r="E207" s="3">
        <v>-9.8010241469738197</v>
      </c>
      <c r="F207" s="4">
        <v>1.1144984157084299E-22</v>
      </c>
      <c r="G207" s="4">
        <v>7.1155349358237401E-21</v>
      </c>
      <c r="H207" s="3" t="str">
        <f>"PCSK9"</f>
        <v>PCSK9</v>
      </c>
      <c r="I207" s="3" t="str">
        <f t="shared" si="11"/>
        <v>protein_coding</v>
      </c>
    </row>
    <row r="208" spans="1:9" x14ac:dyDescent="0.2">
      <c r="A208" s="3" t="str">
        <f>"ENSG00000162407.9"</f>
        <v>ENSG00000162407.9</v>
      </c>
      <c r="B208" s="3">
        <v>1095.9905812250799</v>
      </c>
      <c r="C208" s="3">
        <v>-1.06621454735806</v>
      </c>
      <c r="D208" s="3">
        <v>0.25368105038329403</v>
      </c>
      <c r="E208" s="3">
        <v>-4.2029727713090397</v>
      </c>
      <c r="F208" s="4">
        <v>2.6343228731784102E-5</v>
      </c>
      <c r="G208" s="3">
        <v>2.4643507577092901E-4</v>
      </c>
      <c r="H208" s="3" t="str">
        <f>"PLPP3"</f>
        <v>PLPP3</v>
      </c>
      <c r="I208" s="3" t="str">
        <f t="shared" si="11"/>
        <v>protein_coding</v>
      </c>
    </row>
    <row r="209" spans="1:9" x14ac:dyDescent="0.2">
      <c r="A209" s="3" t="str">
        <f>"ENSG00000187889.13"</f>
        <v>ENSG00000187889.13</v>
      </c>
      <c r="B209" s="3">
        <v>292.53747605479998</v>
      </c>
      <c r="C209" s="3">
        <v>3.9353681289960298</v>
      </c>
      <c r="D209" s="3">
        <v>0.35634634195134302</v>
      </c>
      <c r="E209" s="3">
        <v>11.0436608032681</v>
      </c>
      <c r="F209" s="4">
        <v>2.3524917804522302E-28</v>
      </c>
      <c r="G209" s="4">
        <v>2.19173817545466E-26</v>
      </c>
      <c r="H209" s="3" t="str">
        <f>"FYB2"</f>
        <v>FYB2</v>
      </c>
      <c r="I209" s="3" t="str">
        <f t="shared" si="11"/>
        <v>protein_coding</v>
      </c>
    </row>
    <row r="210" spans="1:9" x14ac:dyDescent="0.2">
      <c r="A210" s="3" t="str">
        <f>"ENSG00000157131.10"</f>
        <v>ENSG00000157131.10</v>
      </c>
      <c r="B210" s="3">
        <v>123.182171162157</v>
      </c>
      <c r="C210" s="3">
        <v>-2.8593685564262299</v>
      </c>
      <c r="D210" s="3">
        <v>0.41002514975687099</v>
      </c>
      <c r="E210" s="3">
        <v>-6.9736418805571496</v>
      </c>
      <c r="F210" s="4">
        <v>3.08839661164882E-12</v>
      </c>
      <c r="G210" s="4">
        <v>8.4352461200896894E-11</v>
      </c>
      <c r="H210" s="3" t="str">
        <f>"C8A"</f>
        <v>C8A</v>
      </c>
      <c r="I210" s="3" t="str">
        <f t="shared" si="11"/>
        <v>protein_coding</v>
      </c>
    </row>
    <row r="211" spans="1:9" x14ac:dyDescent="0.2">
      <c r="A211" s="3" t="str">
        <f>"ENSG00000134716.11"</f>
        <v>ENSG00000134716.11</v>
      </c>
      <c r="B211" s="3">
        <v>100.011151881864</v>
      </c>
      <c r="C211" s="3">
        <v>-1.32549577787676</v>
      </c>
      <c r="D211" s="3">
        <v>0.40044815329113997</v>
      </c>
      <c r="E211" s="3">
        <v>-3.31003094154133</v>
      </c>
      <c r="F211" s="3">
        <v>9.3285658509747896E-4</v>
      </c>
      <c r="G211" s="3">
        <v>5.7515522382703297E-3</v>
      </c>
      <c r="H211" s="3" t="str">
        <f>"CYP2J2"</f>
        <v>CYP2J2</v>
      </c>
      <c r="I211" s="3" t="str">
        <f t="shared" si="11"/>
        <v>protein_coding</v>
      </c>
    </row>
    <row r="212" spans="1:9" x14ac:dyDescent="0.2">
      <c r="A212" s="3" t="str">
        <f>"ENSG00000132849.20"</f>
        <v>ENSG00000132849.20</v>
      </c>
      <c r="B212" s="3">
        <v>2402.0517260673</v>
      </c>
      <c r="C212" s="3">
        <v>1.3054966392519101</v>
      </c>
      <c r="D212" s="3">
        <v>0.25142397497153801</v>
      </c>
      <c r="E212" s="3">
        <v>5.19241110319608</v>
      </c>
      <c r="F212" s="4">
        <v>2.07587997201502E-7</v>
      </c>
      <c r="G212" s="4">
        <v>2.9502124687026999E-6</v>
      </c>
      <c r="H212" s="3" t="str">
        <f>"PATJ"</f>
        <v>PATJ</v>
      </c>
      <c r="I212" s="3" t="str">
        <f t="shared" si="11"/>
        <v>protein_coding</v>
      </c>
    </row>
    <row r="213" spans="1:9" x14ac:dyDescent="0.2">
      <c r="A213" s="3" t="str">
        <f>"ENSG00000162607.13"</f>
        <v>ENSG00000162607.13</v>
      </c>
      <c r="B213" s="3">
        <v>4042.6629688592002</v>
      </c>
      <c r="C213" s="3">
        <v>-1.8422556247991699</v>
      </c>
      <c r="D213" s="3">
        <v>0.25917806443588498</v>
      </c>
      <c r="E213" s="3">
        <v>-7.1080692295813499</v>
      </c>
      <c r="F213" s="4">
        <v>1.17677533014932E-12</v>
      </c>
      <c r="G213" s="4">
        <v>3.36383902612569E-11</v>
      </c>
      <c r="H213" s="3" t="str">
        <f>"USP1"</f>
        <v>USP1</v>
      </c>
      <c r="I213" s="3" t="str">
        <f t="shared" si="11"/>
        <v>protein_coding</v>
      </c>
    </row>
    <row r="214" spans="1:9" x14ac:dyDescent="0.2">
      <c r="A214" s="3" t="str">
        <f>"ENSG00000235545.1"</f>
        <v>ENSG00000235545.1</v>
      </c>
      <c r="B214" s="3">
        <v>182.169813440425</v>
      </c>
      <c r="C214" s="3">
        <v>-1.3618203991434501</v>
      </c>
      <c r="D214" s="3">
        <v>0.34814528965816799</v>
      </c>
      <c r="E214" s="3">
        <v>-3.9116439015463298</v>
      </c>
      <c r="F214" s="4">
        <v>9.1670009244583595E-5</v>
      </c>
      <c r="G214" s="3">
        <v>7.5223937378483298E-4</v>
      </c>
      <c r="H214" s="3" t="str">
        <f>"AC103923.1"</f>
        <v>AC103923.1</v>
      </c>
      <c r="I214" s="3" t="str">
        <f>"antisense"</f>
        <v>antisense</v>
      </c>
    </row>
    <row r="215" spans="1:9" x14ac:dyDescent="0.2">
      <c r="A215" s="3" t="str">
        <f>"ENSG00000079739.17"</f>
        <v>ENSG00000079739.17</v>
      </c>
      <c r="B215" s="3">
        <v>1876.3979417405999</v>
      </c>
      <c r="C215" s="3">
        <v>-1.4364983286211901</v>
      </c>
      <c r="D215" s="3">
        <v>0.25849915884695102</v>
      </c>
      <c r="E215" s="3">
        <v>-5.5570715782161999</v>
      </c>
      <c r="F215" s="4">
        <v>2.74338281217646E-8</v>
      </c>
      <c r="G215" s="4">
        <v>4.5045557859202899E-7</v>
      </c>
      <c r="H215" s="3" t="str">
        <f>"PGM1"</f>
        <v>PGM1</v>
      </c>
      <c r="I215" s="3" t="str">
        <f t="shared" ref="I215:I221" si="12">"protein_coding"</f>
        <v>protein_coding</v>
      </c>
    </row>
    <row r="216" spans="1:9" x14ac:dyDescent="0.2">
      <c r="A216" s="3" t="str">
        <f>"ENSG00000162437.14"</f>
        <v>ENSG00000162437.14</v>
      </c>
      <c r="B216" s="3">
        <v>642.13550862919305</v>
      </c>
      <c r="C216" s="3">
        <v>-1.3361856262565699</v>
      </c>
      <c r="D216" s="3">
        <v>0.28013648617485798</v>
      </c>
      <c r="E216" s="3">
        <v>-4.76976649668741</v>
      </c>
      <c r="F216" s="4">
        <v>1.8443959020675399E-6</v>
      </c>
      <c r="G216" s="4">
        <v>2.1812778051955299E-5</v>
      </c>
      <c r="H216" s="3" t="str">
        <f>"RAVER2"</f>
        <v>RAVER2</v>
      </c>
      <c r="I216" s="3" t="str">
        <f t="shared" si="12"/>
        <v>protein_coding</v>
      </c>
    </row>
    <row r="217" spans="1:9" x14ac:dyDescent="0.2">
      <c r="A217" s="3" t="str">
        <f>"ENSG00000162433.15"</f>
        <v>ENSG00000162433.15</v>
      </c>
      <c r="B217" s="3">
        <v>3559.7241344935501</v>
      </c>
      <c r="C217" s="3">
        <v>-1.0916083229915901</v>
      </c>
      <c r="D217" s="3">
        <v>0.26968348800926401</v>
      </c>
      <c r="E217" s="3">
        <v>-4.0477388180105702</v>
      </c>
      <c r="F217" s="4">
        <v>5.1714806129945999E-5</v>
      </c>
      <c r="G217" s="3">
        <v>4.5263950876784601E-4</v>
      </c>
      <c r="H217" s="3" t="str">
        <f>"AK4"</f>
        <v>AK4</v>
      </c>
      <c r="I217" s="3" t="str">
        <f t="shared" si="12"/>
        <v>protein_coding</v>
      </c>
    </row>
    <row r="218" spans="1:9" x14ac:dyDescent="0.2">
      <c r="A218" s="3" t="str">
        <f>"ENSG00000116675.16"</f>
        <v>ENSG00000116675.16</v>
      </c>
      <c r="B218" s="3">
        <v>284.52261850056198</v>
      </c>
      <c r="C218" s="3">
        <v>-1.1686541738765399</v>
      </c>
      <c r="D218" s="3">
        <v>0.30543590085276801</v>
      </c>
      <c r="E218" s="3">
        <v>-3.8261847104865399</v>
      </c>
      <c r="F218" s="3">
        <v>1.3014465153682301E-4</v>
      </c>
      <c r="G218" s="3">
        <v>1.0214629358529701E-3</v>
      </c>
      <c r="H218" s="3" t="str">
        <f>"DNAJC6"</f>
        <v>DNAJC6</v>
      </c>
      <c r="I218" s="3" t="str">
        <f t="shared" si="12"/>
        <v>protein_coding</v>
      </c>
    </row>
    <row r="219" spans="1:9" x14ac:dyDescent="0.2">
      <c r="A219" s="3" t="str">
        <f>"ENSG00000116678.19"</f>
        <v>ENSG00000116678.19</v>
      </c>
      <c r="B219" s="3">
        <v>90.739070307773801</v>
      </c>
      <c r="C219" s="3">
        <v>-1.59233590606829</v>
      </c>
      <c r="D219" s="3">
        <v>0.45825507022184198</v>
      </c>
      <c r="E219" s="3">
        <v>-3.4747807706686902</v>
      </c>
      <c r="F219" s="3">
        <v>5.1127100395938695E-4</v>
      </c>
      <c r="G219" s="3">
        <v>3.4068932727412899E-3</v>
      </c>
      <c r="H219" s="3" t="str">
        <f>"LEPR"</f>
        <v>LEPR</v>
      </c>
      <c r="I219" s="3" t="str">
        <f t="shared" si="12"/>
        <v>protein_coding</v>
      </c>
    </row>
    <row r="220" spans="1:9" x14ac:dyDescent="0.2">
      <c r="A220" s="3" t="str">
        <f>"ENSG00000081985.11"</f>
        <v>ENSG00000081985.11</v>
      </c>
      <c r="B220" s="3">
        <v>25.823525998488499</v>
      </c>
      <c r="C220" s="3">
        <v>1.9775307950944701</v>
      </c>
      <c r="D220" s="3">
        <v>0.69917370636692999</v>
      </c>
      <c r="E220" s="3">
        <v>2.8283826709819899</v>
      </c>
      <c r="F220" s="3">
        <v>4.6783846587747802E-3</v>
      </c>
      <c r="G220" s="3">
        <v>2.2441793686399598E-2</v>
      </c>
      <c r="H220" s="3" t="str">
        <f>"IL12RB2"</f>
        <v>IL12RB2</v>
      </c>
      <c r="I220" s="3" t="str">
        <f t="shared" si="12"/>
        <v>protein_coding</v>
      </c>
    </row>
    <row r="221" spans="1:9" x14ac:dyDescent="0.2">
      <c r="A221" s="3" t="str">
        <f>"ENSG00000116717.13"</f>
        <v>ENSG00000116717.13</v>
      </c>
      <c r="B221" s="3">
        <v>1966.5867754605999</v>
      </c>
      <c r="C221" s="3">
        <v>2.3904710206422499</v>
      </c>
      <c r="D221" s="3">
        <v>0.25764250362985303</v>
      </c>
      <c r="E221" s="3">
        <v>9.2782479092679697</v>
      </c>
      <c r="F221" s="4">
        <v>1.7228825856041301E-20</v>
      </c>
      <c r="G221" s="4">
        <v>9.6523633498600899E-19</v>
      </c>
      <c r="H221" s="3" t="str">
        <f>"GADD45A"</f>
        <v>GADD45A</v>
      </c>
      <c r="I221" s="3" t="str">
        <f t="shared" si="12"/>
        <v>protein_coding</v>
      </c>
    </row>
    <row r="222" spans="1:9" x14ac:dyDescent="0.2">
      <c r="A222" s="3" t="str">
        <f>"ENSG00000223883.1"</f>
        <v>ENSG00000223883.1</v>
      </c>
      <c r="B222" s="3">
        <v>42.738940280775999</v>
      </c>
      <c r="C222" s="3">
        <v>6.4608656682374903</v>
      </c>
      <c r="D222" s="3">
        <v>1.17154424052592</v>
      </c>
      <c r="E222" s="3">
        <v>5.5148285867011904</v>
      </c>
      <c r="F222" s="4">
        <v>3.49120059603869E-8</v>
      </c>
      <c r="G222" s="4">
        <v>5.6223528164758799E-7</v>
      </c>
      <c r="H222" s="3" t="str">
        <f>"LINC01707"</f>
        <v>LINC01707</v>
      </c>
      <c r="I222" s="3" t="str">
        <f>"lincRNA"</f>
        <v>lincRNA</v>
      </c>
    </row>
    <row r="223" spans="1:9" x14ac:dyDescent="0.2">
      <c r="A223" s="3" t="str">
        <f>"ENSG00000116761.11"</f>
        <v>ENSG00000116761.11</v>
      </c>
      <c r="B223" s="3">
        <v>92.632393609123895</v>
      </c>
      <c r="C223" s="3">
        <v>-1.43800642739331</v>
      </c>
      <c r="D223" s="3">
        <v>0.41423033076267901</v>
      </c>
      <c r="E223" s="3">
        <v>-3.4715140843155199</v>
      </c>
      <c r="F223" s="3">
        <v>5.1753218255933605E-4</v>
      </c>
      <c r="G223" s="3">
        <v>3.44587666815249E-3</v>
      </c>
      <c r="H223" s="3" t="str">
        <f>"CTH"</f>
        <v>CTH</v>
      </c>
      <c r="I223" s="3" t="str">
        <f>"protein_coding"</f>
        <v>protein_coding</v>
      </c>
    </row>
    <row r="224" spans="1:9" x14ac:dyDescent="0.2">
      <c r="A224" s="3" t="str">
        <f>"ENSG00000229956.10"</f>
        <v>ENSG00000229956.10</v>
      </c>
      <c r="B224" s="3">
        <v>66.6627844459573</v>
      </c>
      <c r="C224" s="3">
        <v>1.2335487526979501</v>
      </c>
      <c r="D224" s="3">
        <v>0.49078150600818699</v>
      </c>
      <c r="E224" s="3">
        <v>2.5134377265580499</v>
      </c>
      <c r="F224" s="3">
        <v>1.19560884109642E-2</v>
      </c>
      <c r="G224" s="3">
        <v>4.8887419372204997E-2</v>
      </c>
      <c r="H224" s="3" t="str">
        <f>"ZRANB2-AS2"</f>
        <v>ZRANB2-AS2</v>
      </c>
      <c r="I224" s="3" t="str">
        <f>"processed_transcript"</f>
        <v>processed_transcript</v>
      </c>
    </row>
    <row r="225" spans="1:9" x14ac:dyDescent="0.2">
      <c r="A225" s="3" t="str">
        <f>"ENSG00000137968.16"</f>
        <v>ENSG00000137968.16</v>
      </c>
      <c r="B225" s="3">
        <v>1440.1188132448201</v>
      </c>
      <c r="C225" s="3">
        <v>2.9791737754175198</v>
      </c>
      <c r="D225" s="3">
        <v>0.25987765739604402</v>
      </c>
      <c r="E225" s="3">
        <v>11.463754927101601</v>
      </c>
      <c r="F225" s="4">
        <v>2.0062411186731001E-30</v>
      </c>
      <c r="G225" s="4">
        <v>2.1027914725092399E-28</v>
      </c>
      <c r="H225" s="3" t="str">
        <f>"SLC44A5"</f>
        <v>SLC44A5</v>
      </c>
      <c r="I225" s="3" t="str">
        <f>"protein_coding"</f>
        <v>protein_coding</v>
      </c>
    </row>
    <row r="226" spans="1:9" x14ac:dyDescent="0.2">
      <c r="A226" s="3" t="str">
        <f>"ENSG00000219201.4"</f>
        <v>ENSG00000219201.4</v>
      </c>
      <c r="B226" s="3">
        <v>307.84247066832</v>
      </c>
      <c r="C226" s="3">
        <v>-1.47412429718469</v>
      </c>
      <c r="D226" s="3">
        <v>0.33291090114723398</v>
      </c>
      <c r="E226" s="3">
        <v>-4.4279844610217198</v>
      </c>
      <c r="F226" s="4">
        <v>9.5117752318588802E-6</v>
      </c>
      <c r="G226" s="4">
        <v>9.7780427444793701E-5</v>
      </c>
      <c r="H226" s="3" t="str">
        <f>"AC138392.1"</f>
        <v>AC138392.1</v>
      </c>
      <c r="I226" s="3" t="str">
        <f>"processed_pseudogene"</f>
        <v>processed_pseudogene</v>
      </c>
    </row>
    <row r="227" spans="1:9" x14ac:dyDescent="0.2">
      <c r="A227" s="3" t="str">
        <f>"ENSG00000117114.19"</f>
        <v>ENSG00000117114.19</v>
      </c>
      <c r="B227" s="3">
        <v>402.86081887836201</v>
      </c>
      <c r="C227" s="3">
        <v>3.97411244145612</v>
      </c>
      <c r="D227" s="3">
        <v>0.32136902929998501</v>
      </c>
      <c r="E227" s="3">
        <v>12.366196114518701</v>
      </c>
      <c r="F227" s="4">
        <v>3.9823872916549198E-35</v>
      </c>
      <c r="G227" s="4">
        <v>5.1110689959989599E-33</v>
      </c>
      <c r="H227" s="3" t="str">
        <f>"ADGRL2"</f>
        <v>ADGRL2</v>
      </c>
      <c r="I227" s="3" t="str">
        <f>"protein_coding"</f>
        <v>protein_coding</v>
      </c>
    </row>
    <row r="228" spans="1:9" x14ac:dyDescent="0.2">
      <c r="A228" s="3" t="str">
        <f>"ENSG00000137941.17"</f>
        <v>ENSG00000137941.17</v>
      </c>
      <c r="B228" s="3">
        <v>56.4163478366698</v>
      </c>
      <c r="C228" s="3">
        <v>-1.8456729717754199</v>
      </c>
      <c r="D228" s="3">
        <v>0.51243839458801399</v>
      </c>
      <c r="E228" s="3">
        <v>-3.6017460660013398</v>
      </c>
      <c r="F228" s="3">
        <v>3.1608704095533201E-4</v>
      </c>
      <c r="G228" s="3">
        <v>2.2467277522552598E-3</v>
      </c>
      <c r="H228" s="3" t="str">
        <f>"TTLL7"</f>
        <v>TTLL7</v>
      </c>
      <c r="I228" s="3" t="str">
        <f>"protein_coding"</f>
        <v>protein_coding</v>
      </c>
    </row>
    <row r="229" spans="1:9" x14ac:dyDescent="0.2">
      <c r="A229" s="3" t="str">
        <f>"ENSG00000142875.19"</f>
        <v>ENSG00000142875.19</v>
      </c>
      <c r="B229" s="3">
        <v>510.62327292811398</v>
      </c>
      <c r="C229" s="3">
        <v>-1.3076309704267599</v>
      </c>
      <c r="D229" s="3">
        <v>0.30729005624877698</v>
      </c>
      <c r="E229" s="3">
        <v>-4.2553637640917499</v>
      </c>
      <c r="F229" s="4">
        <v>2.0870941530220801E-5</v>
      </c>
      <c r="G229" s="3">
        <v>1.98866869012388E-4</v>
      </c>
      <c r="H229" s="3" t="str">
        <f>"PRKACB"</f>
        <v>PRKACB</v>
      </c>
      <c r="I229" s="3" t="str">
        <f>"protein_coding"</f>
        <v>protein_coding</v>
      </c>
    </row>
    <row r="230" spans="1:9" x14ac:dyDescent="0.2">
      <c r="A230" s="3" t="str">
        <f>"ENSG00000285851.1"</f>
        <v>ENSG00000285851.1</v>
      </c>
      <c r="B230" s="3">
        <v>36.411874459679701</v>
      </c>
      <c r="C230" s="3">
        <v>1.62990216001094</v>
      </c>
      <c r="D230" s="3">
        <v>0.61090580795215799</v>
      </c>
      <c r="E230" s="3">
        <v>2.66800894474158</v>
      </c>
      <c r="F230" s="3">
        <v>7.6302226674206499E-3</v>
      </c>
      <c r="G230" s="3">
        <v>3.3649763534180699E-2</v>
      </c>
      <c r="H230" s="3" t="str">
        <f>"AL359762.3"</f>
        <v>AL359762.3</v>
      </c>
      <c r="I230" s="3" t="str">
        <f>"processed_transcript"</f>
        <v>processed_transcript</v>
      </c>
    </row>
    <row r="231" spans="1:9" x14ac:dyDescent="0.2">
      <c r="A231" s="3" t="str">
        <f>"ENSG00000117151.13"</f>
        <v>ENSG00000117151.13</v>
      </c>
      <c r="B231" s="3">
        <v>305.73619827112799</v>
      </c>
      <c r="C231" s="3">
        <v>1.1696239366246499</v>
      </c>
      <c r="D231" s="3">
        <v>0.30057815465135002</v>
      </c>
      <c r="E231" s="3">
        <v>3.89124731297035</v>
      </c>
      <c r="F231" s="4">
        <v>9.9730215694851E-5</v>
      </c>
      <c r="G231" s="3">
        <v>8.0952358044658796E-4</v>
      </c>
      <c r="H231" s="3" t="str">
        <f>"CTBS"</f>
        <v>CTBS</v>
      </c>
      <c r="I231" s="3" t="str">
        <f t="shared" ref="I231:I238" si="13">"protein_coding"</f>
        <v>protein_coding</v>
      </c>
    </row>
    <row r="232" spans="1:9" x14ac:dyDescent="0.2">
      <c r="A232" s="3" t="str">
        <f>"ENSG00000117155.16"</f>
        <v>ENSG00000117155.16</v>
      </c>
      <c r="B232" s="3">
        <v>801.90180952529101</v>
      </c>
      <c r="C232" s="3">
        <v>-2.6388024884510299</v>
      </c>
      <c r="D232" s="3">
        <v>0.30470937641228601</v>
      </c>
      <c r="E232" s="3">
        <v>-8.66006330202522</v>
      </c>
      <c r="F232" s="4">
        <v>4.7150235258393E-18</v>
      </c>
      <c r="G232" s="4">
        <v>2.2210939474248601E-16</v>
      </c>
      <c r="H232" s="3" t="str">
        <f>"SSX2IP"</f>
        <v>SSX2IP</v>
      </c>
      <c r="I232" s="3" t="str">
        <f t="shared" si="13"/>
        <v>protein_coding</v>
      </c>
    </row>
    <row r="233" spans="1:9" x14ac:dyDescent="0.2">
      <c r="A233" s="3" t="str">
        <f>"ENSG00000162643.13"</f>
        <v>ENSG00000162643.13</v>
      </c>
      <c r="B233" s="3">
        <v>147.21291168561299</v>
      </c>
      <c r="C233" s="3">
        <v>4.3343224961951003</v>
      </c>
      <c r="D233" s="3">
        <v>0.46593140522533999</v>
      </c>
      <c r="E233" s="3">
        <v>9.3024905545889993</v>
      </c>
      <c r="F233" s="4">
        <v>1.3719368194207801E-20</v>
      </c>
      <c r="G233" s="4">
        <v>7.7205974703645799E-19</v>
      </c>
      <c r="H233" s="3" t="str">
        <f>"WDR63"</f>
        <v>WDR63</v>
      </c>
      <c r="I233" s="3" t="str">
        <f t="shared" si="13"/>
        <v>protein_coding</v>
      </c>
    </row>
    <row r="234" spans="1:9" x14ac:dyDescent="0.2">
      <c r="A234" s="3" t="str">
        <f>"ENSG00000142871.17"</f>
        <v>ENSG00000142871.17</v>
      </c>
      <c r="B234" s="3">
        <v>2436.0463432749998</v>
      </c>
      <c r="C234" s="3">
        <v>1.1534067957351399</v>
      </c>
      <c r="D234" s="3">
        <v>0.30123744045523698</v>
      </c>
      <c r="E234" s="3">
        <v>3.82889588356641</v>
      </c>
      <c r="F234" s="3">
        <v>1.28719444408629E-4</v>
      </c>
      <c r="G234" s="3">
        <v>1.01407379395524E-3</v>
      </c>
      <c r="H234" s="3" t="str">
        <f>"CCN1"</f>
        <v>CCN1</v>
      </c>
      <c r="I234" s="3" t="str">
        <f t="shared" si="13"/>
        <v>protein_coding</v>
      </c>
    </row>
    <row r="235" spans="1:9" x14ac:dyDescent="0.2">
      <c r="A235" s="3" t="str">
        <f>"ENSG00000137975.8"</f>
        <v>ENSG00000137975.8</v>
      </c>
      <c r="B235" s="3">
        <v>45.914604889059099</v>
      </c>
      <c r="C235" s="3">
        <v>2.6775900561044801</v>
      </c>
      <c r="D235" s="3">
        <v>0.59089025348250301</v>
      </c>
      <c r="E235" s="3">
        <v>4.5314507056491298</v>
      </c>
      <c r="F235" s="4">
        <v>5.8580007464189302E-6</v>
      </c>
      <c r="G235" s="4">
        <v>6.3407060574943293E-5</v>
      </c>
      <c r="H235" s="3" t="str">
        <f>"CLCA2"</f>
        <v>CLCA2</v>
      </c>
      <c r="I235" s="3" t="str">
        <f t="shared" si="13"/>
        <v>protein_coding</v>
      </c>
    </row>
    <row r="236" spans="1:9" x14ac:dyDescent="0.2">
      <c r="A236" s="3" t="str">
        <f>"ENSG00000143013.13"</f>
        <v>ENSG00000143013.13</v>
      </c>
      <c r="B236" s="3">
        <v>1370.97145436815</v>
      </c>
      <c r="C236" s="3">
        <v>-1.29524350656514</v>
      </c>
      <c r="D236" s="3">
        <v>0.24748606413343699</v>
      </c>
      <c r="E236" s="3">
        <v>-5.2336017831969004</v>
      </c>
      <c r="F236" s="4">
        <v>1.6623839695724399E-7</v>
      </c>
      <c r="G236" s="4">
        <v>2.4046733038869801E-6</v>
      </c>
      <c r="H236" s="3" t="str">
        <f>"LMO4"</f>
        <v>LMO4</v>
      </c>
      <c r="I236" s="3" t="str">
        <f t="shared" si="13"/>
        <v>protein_coding</v>
      </c>
    </row>
    <row r="237" spans="1:9" x14ac:dyDescent="0.2">
      <c r="A237" s="3" t="str">
        <f>"ENSG00000117228.10"</f>
        <v>ENSG00000117228.10</v>
      </c>
      <c r="B237" s="3">
        <v>30.157733878747202</v>
      </c>
      <c r="C237" s="3">
        <v>-2.7688801599067099</v>
      </c>
      <c r="D237" s="3">
        <v>0.69786888053473795</v>
      </c>
      <c r="E237" s="3">
        <v>-3.9676223387193699</v>
      </c>
      <c r="F237" s="4">
        <v>7.2593249663910003E-5</v>
      </c>
      <c r="G237" s="3">
        <v>6.1195817536717695E-4</v>
      </c>
      <c r="H237" s="3" t="str">
        <f>"GBP1"</f>
        <v>GBP1</v>
      </c>
      <c r="I237" s="3" t="str">
        <f t="shared" si="13"/>
        <v>protein_coding</v>
      </c>
    </row>
    <row r="238" spans="1:9" x14ac:dyDescent="0.2">
      <c r="A238" s="3" t="str">
        <f>"ENSG00000171488.15"</f>
        <v>ENSG00000171488.15</v>
      </c>
      <c r="B238" s="3">
        <v>69.300660904822607</v>
      </c>
      <c r="C238" s="3">
        <v>-1.42583702093836</v>
      </c>
      <c r="D238" s="3">
        <v>0.46526159204303702</v>
      </c>
      <c r="E238" s="3">
        <v>-3.0645921462747201</v>
      </c>
      <c r="F238" s="3">
        <v>2.1796701728568498E-3</v>
      </c>
      <c r="G238" s="3">
        <v>1.1776117525389601E-2</v>
      </c>
      <c r="H238" s="3" t="str">
        <f>"LRRC8C"</f>
        <v>LRRC8C</v>
      </c>
      <c r="I238" s="3" t="str">
        <f t="shared" si="13"/>
        <v>protein_coding</v>
      </c>
    </row>
    <row r="239" spans="1:9" x14ac:dyDescent="0.2">
      <c r="A239" s="3" t="str">
        <f>"ENSG00000228175.3"</f>
        <v>ENSG00000228175.3</v>
      </c>
      <c r="B239" s="3">
        <v>35.629815614154403</v>
      </c>
      <c r="C239" s="3">
        <v>-1.93665054851949</v>
      </c>
      <c r="D239" s="3">
        <v>0.63309120840777799</v>
      </c>
      <c r="E239" s="3">
        <v>-3.0590387653465601</v>
      </c>
      <c r="F239" s="3">
        <v>2.2204841526058498E-3</v>
      </c>
      <c r="G239" s="3">
        <v>1.1970912742991901E-2</v>
      </c>
      <c r="H239" s="3" t="str">
        <f>"GEMIN8P4"</f>
        <v>GEMIN8P4</v>
      </c>
      <c r="I239" s="3" t="str">
        <f>"processed_pseudogene"</f>
        <v>processed_pseudogene</v>
      </c>
    </row>
    <row r="240" spans="1:9" x14ac:dyDescent="0.2">
      <c r="A240" s="3" t="str">
        <f>"ENSG00000233593.9"</f>
        <v>ENSG00000233593.9</v>
      </c>
      <c r="B240" s="3">
        <v>238.74322198251599</v>
      </c>
      <c r="C240" s="3">
        <v>-1.24871930250531</v>
      </c>
      <c r="D240" s="3">
        <v>0.316112266018585</v>
      </c>
      <c r="E240" s="3">
        <v>-3.9502399518780198</v>
      </c>
      <c r="F240" s="4">
        <v>7.8072882950039506E-5</v>
      </c>
      <c r="G240" s="3">
        <v>6.5181658500107703E-4</v>
      </c>
      <c r="H240" s="3" t="str">
        <f>"LINC02609"</f>
        <v>LINC02609</v>
      </c>
      <c r="I240" s="3" t="str">
        <f>"processed_transcript"</f>
        <v>processed_transcript</v>
      </c>
    </row>
    <row r="241" spans="1:9" x14ac:dyDescent="0.2">
      <c r="A241" s="3" t="str">
        <f>"ENSG00000239794.3"</f>
        <v>ENSG00000239794.3</v>
      </c>
      <c r="B241" s="3">
        <v>55.846129307702299</v>
      </c>
      <c r="C241" s="3">
        <v>1.61876838168777</v>
      </c>
      <c r="D241" s="3">
        <v>0.51616306896159303</v>
      </c>
      <c r="E241" s="3">
        <v>3.1361569221610099</v>
      </c>
      <c r="F241" s="3">
        <v>1.7117758504533601E-3</v>
      </c>
      <c r="G241" s="3">
        <v>9.6244348498333195E-3</v>
      </c>
      <c r="H241" s="3" t="str">
        <f>"RN7SL653P"</f>
        <v>RN7SL653P</v>
      </c>
      <c r="I241" s="3" t="str">
        <f>"misc_RNA"</f>
        <v>misc_RNA</v>
      </c>
    </row>
    <row r="242" spans="1:9" x14ac:dyDescent="0.2">
      <c r="A242" s="3" t="str">
        <f>"ENSG00000189195.13"</f>
        <v>ENSG00000189195.13</v>
      </c>
      <c r="B242" s="3">
        <v>149.56011362001999</v>
      </c>
      <c r="C242" s="3">
        <v>1.8023804519853099</v>
      </c>
      <c r="D242" s="3">
        <v>0.36224117640044001</v>
      </c>
      <c r="E242" s="3">
        <v>4.9756365907802298</v>
      </c>
      <c r="F242" s="4">
        <v>6.5033556550989996E-7</v>
      </c>
      <c r="G242" s="4">
        <v>8.4587337902800096E-6</v>
      </c>
      <c r="H242" s="3" t="str">
        <f>"BTBD8"</f>
        <v>BTBD8</v>
      </c>
      <c r="I242" s="3" t="str">
        <f>"protein_coding"</f>
        <v>protein_coding</v>
      </c>
    </row>
    <row r="243" spans="1:9" x14ac:dyDescent="0.2">
      <c r="A243" s="3" t="str">
        <f>"ENSG00000162676.12"</f>
        <v>ENSG00000162676.12</v>
      </c>
      <c r="B243" s="3">
        <v>438.44533433182301</v>
      </c>
      <c r="C243" s="3">
        <v>-3.2010990717555101</v>
      </c>
      <c r="D243" s="3">
        <v>0.29860323854590698</v>
      </c>
      <c r="E243" s="3">
        <v>-10.720242309975401</v>
      </c>
      <c r="F243" s="4">
        <v>8.17887821961935E-27</v>
      </c>
      <c r="G243" s="4">
        <v>7.1686300214120101E-25</v>
      </c>
      <c r="H243" s="3" t="str">
        <f>"GFI1"</f>
        <v>GFI1</v>
      </c>
      <c r="I243" s="3" t="str">
        <f>"protein_coding"</f>
        <v>protein_coding</v>
      </c>
    </row>
    <row r="244" spans="1:9" x14ac:dyDescent="0.2">
      <c r="A244" s="3" t="str">
        <f>"ENSG00000223745.7"</f>
        <v>ENSG00000223745.7</v>
      </c>
      <c r="B244" s="3">
        <v>339.24853794684799</v>
      </c>
      <c r="C244" s="3">
        <v>1.5316127366262</v>
      </c>
      <c r="D244" s="3">
        <v>0.31525197084812501</v>
      </c>
      <c r="E244" s="3">
        <v>4.85837640445415</v>
      </c>
      <c r="F244" s="4">
        <v>1.18352251681826E-6</v>
      </c>
      <c r="G244" s="4">
        <v>1.45439711336411E-5</v>
      </c>
      <c r="H244" s="3" t="str">
        <f>"CCDC18-AS1"</f>
        <v>CCDC18-AS1</v>
      </c>
      <c r="I244" s="3" t="str">
        <f>"processed_transcript"</f>
        <v>processed_transcript</v>
      </c>
    </row>
    <row r="245" spans="1:9" x14ac:dyDescent="0.2">
      <c r="A245" s="3" t="str">
        <f>"ENSG00000137936.18"</f>
        <v>ENSG00000137936.18</v>
      </c>
      <c r="B245" s="3">
        <v>373.78483773242999</v>
      </c>
      <c r="C245" s="3">
        <v>-1.0434675247587799</v>
      </c>
      <c r="D245" s="3">
        <v>0.30207616942913601</v>
      </c>
      <c r="E245" s="3">
        <v>-3.4543192424967901</v>
      </c>
      <c r="F245" s="3">
        <v>5.5168389970529895E-4</v>
      </c>
      <c r="G245" s="3">
        <v>3.6472032843854899E-3</v>
      </c>
      <c r="H245" s="3" t="str">
        <f>"BCAR3"</f>
        <v>BCAR3</v>
      </c>
      <c r="I245" s="3" t="str">
        <f>"protein_coding"</f>
        <v>protein_coding</v>
      </c>
    </row>
    <row r="246" spans="1:9" x14ac:dyDescent="0.2">
      <c r="A246" s="3" t="str">
        <f>"ENSG00000224093.5"</f>
        <v>ENSG00000224093.5</v>
      </c>
      <c r="B246" s="3">
        <v>1887.1661843552199</v>
      </c>
      <c r="C246" s="3">
        <v>1.0991980714911</v>
      </c>
      <c r="D246" s="3">
        <v>0.25118317366288001</v>
      </c>
      <c r="E246" s="3">
        <v>4.3760816278496799</v>
      </c>
      <c r="F246" s="4">
        <v>1.20831779422968E-5</v>
      </c>
      <c r="G246" s="3">
        <v>1.21338259935519E-4</v>
      </c>
      <c r="H246" s="3" t="str">
        <f>"AL109613.1"</f>
        <v>AL109613.1</v>
      </c>
      <c r="I246" s="3" t="str">
        <f>"antisense"</f>
        <v>antisense</v>
      </c>
    </row>
    <row r="247" spans="1:9" x14ac:dyDescent="0.2">
      <c r="A247" s="3" t="str">
        <f>"ENSG00000137962.13"</f>
        <v>ENSG00000137962.13</v>
      </c>
      <c r="B247" s="3">
        <v>3870.76434818198</v>
      </c>
      <c r="C247" s="3">
        <v>-1.3960458885089799</v>
      </c>
      <c r="D247" s="3">
        <v>0.248682863498596</v>
      </c>
      <c r="E247" s="3">
        <v>-5.6137599063670898</v>
      </c>
      <c r="F247" s="4">
        <v>1.9797686668572402E-8</v>
      </c>
      <c r="G247" s="4">
        <v>3.3267255053302498E-7</v>
      </c>
      <c r="H247" s="3" t="str">
        <f>"ARHGAP29"</f>
        <v>ARHGAP29</v>
      </c>
      <c r="I247" s="3" t="str">
        <f t="shared" ref="I247:I263" si="14">"protein_coding"</f>
        <v>protein_coding</v>
      </c>
    </row>
    <row r="248" spans="1:9" x14ac:dyDescent="0.2">
      <c r="A248" s="3" t="str">
        <f>"ENSG00000117519.16"</f>
        <v>ENSG00000117519.16</v>
      </c>
      <c r="B248" s="3">
        <v>7865.7478651668198</v>
      </c>
      <c r="C248" s="3">
        <v>-1.20748740186662</v>
      </c>
      <c r="D248" s="3">
        <v>0.24521344843345599</v>
      </c>
      <c r="E248" s="3">
        <v>-4.9242299293967804</v>
      </c>
      <c r="F248" s="4">
        <v>8.4693207126899603E-7</v>
      </c>
      <c r="G248" s="4">
        <v>1.07381936757921E-5</v>
      </c>
      <c r="H248" s="3" t="str">
        <f>"CNN3"</f>
        <v>CNN3</v>
      </c>
      <c r="I248" s="3" t="str">
        <f t="shared" si="14"/>
        <v>protein_coding</v>
      </c>
    </row>
    <row r="249" spans="1:9" x14ac:dyDescent="0.2">
      <c r="A249" s="3" t="str">
        <f>"ENSG00000188641.13"</f>
        <v>ENSG00000188641.13</v>
      </c>
      <c r="B249" s="3">
        <v>37.734327683228202</v>
      </c>
      <c r="C249" s="3">
        <v>-1.7442249745713501</v>
      </c>
      <c r="D249" s="3">
        <v>0.61364922364256203</v>
      </c>
      <c r="E249" s="3">
        <v>-2.8423811313860998</v>
      </c>
      <c r="F249" s="3">
        <v>4.4777925592681999E-3</v>
      </c>
      <c r="G249" s="3">
        <v>2.1632201234567199E-2</v>
      </c>
      <c r="H249" s="3" t="str">
        <f>"DPYD"</f>
        <v>DPYD</v>
      </c>
      <c r="I249" s="3" t="str">
        <f t="shared" si="14"/>
        <v>protein_coding</v>
      </c>
    </row>
    <row r="250" spans="1:9" x14ac:dyDescent="0.2">
      <c r="A250" s="3" t="str">
        <f>"ENSG00000099260.11"</f>
        <v>ENSG00000099260.11</v>
      </c>
      <c r="B250" s="3">
        <v>207.54399640862499</v>
      </c>
      <c r="C250" s="3">
        <v>1.0734160041104399</v>
      </c>
      <c r="D250" s="3">
        <v>0.35734611255265603</v>
      </c>
      <c r="E250" s="3">
        <v>3.0038552719732299</v>
      </c>
      <c r="F250" s="3">
        <v>2.66582103889061E-3</v>
      </c>
      <c r="G250" s="3">
        <v>1.3944422589580599E-2</v>
      </c>
      <c r="H250" s="3" t="str">
        <f>"PALMD"</f>
        <v>PALMD</v>
      </c>
      <c r="I250" s="3" t="str">
        <f t="shared" si="14"/>
        <v>protein_coding</v>
      </c>
    </row>
    <row r="251" spans="1:9" x14ac:dyDescent="0.2">
      <c r="A251" s="3" t="str">
        <f>"ENSG00000156876.10"</f>
        <v>ENSG00000156876.10</v>
      </c>
      <c r="B251" s="3">
        <v>941.10861746679302</v>
      </c>
      <c r="C251" s="3">
        <v>-1.06523627558808</v>
      </c>
      <c r="D251" s="3">
        <v>0.27824942004433001</v>
      </c>
      <c r="E251" s="3">
        <v>-3.8283503894396902</v>
      </c>
      <c r="F251" s="3">
        <v>1.29005011950025E-4</v>
      </c>
      <c r="G251" s="3">
        <v>1.0156873476065301E-3</v>
      </c>
      <c r="H251" s="3" t="str">
        <f>"SASS6"</f>
        <v>SASS6</v>
      </c>
      <c r="I251" s="3" t="str">
        <f t="shared" si="14"/>
        <v>protein_coding</v>
      </c>
    </row>
    <row r="252" spans="1:9" x14ac:dyDescent="0.2">
      <c r="A252" s="3" t="str">
        <f>"ENSG00000162694.14"</f>
        <v>ENSG00000162694.14</v>
      </c>
      <c r="B252" s="3">
        <v>667.23674569722095</v>
      </c>
      <c r="C252" s="3">
        <v>-1.0084935608308301</v>
      </c>
      <c r="D252" s="3">
        <v>0.30052089243131502</v>
      </c>
      <c r="E252" s="3">
        <v>-3.3558184679666598</v>
      </c>
      <c r="F252" s="3">
        <v>7.9130491027191703E-4</v>
      </c>
      <c r="G252" s="3">
        <v>4.9887907313007698E-3</v>
      </c>
      <c r="H252" s="3" t="str">
        <f>"EXTL2"</f>
        <v>EXTL2</v>
      </c>
      <c r="I252" s="3" t="str">
        <f t="shared" si="14"/>
        <v>protein_coding</v>
      </c>
    </row>
    <row r="253" spans="1:9" x14ac:dyDescent="0.2">
      <c r="A253" s="3" t="str">
        <f>"ENSG00000134215.16"</f>
        <v>ENSG00000134215.16</v>
      </c>
      <c r="B253" s="3">
        <v>422.840713534587</v>
      </c>
      <c r="C253" s="3">
        <v>-1.2035357784479499</v>
      </c>
      <c r="D253" s="3">
        <v>0.31520870115931399</v>
      </c>
      <c r="E253" s="3">
        <v>-3.8182187675068402</v>
      </c>
      <c r="F253" s="3">
        <v>1.3441870287632301E-4</v>
      </c>
      <c r="G253" s="3">
        <v>1.05172705158753E-3</v>
      </c>
      <c r="H253" s="3" t="str">
        <f>"VAV3"</f>
        <v>VAV3</v>
      </c>
      <c r="I253" s="3" t="str">
        <f t="shared" si="14"/>
        <v>protein_coding</v>
      </c>
    </row>
    <row r="254" spans="1:9" x14ac:dyDescent="0.2">
      <c r="A254" s="3" t="str">
        <f>"ENSG00000085491.17"</f>
        <v>ENSG00000085491.17</v>
      </c>
      <c r="B254" s="3">
        <v>556.46683508659896</v>
      </c>
      <c r="C254" s="3">
        <v>-1.0732168351796301</v>
      </c>
      <c r="D254" s="3">
        <v>0.27248368817502</v>
      </c>
      <c r="E254" s="3">
        <v>-3.9386461713270999</v>
      </c>
      <c r="F254" s="4">
        <v>8.1942667076226894E-5</v>
      </c>
      <c r="G254" s="3">
        <v>6.7983766170926396E-4</v>
      </c>
      <c r="H254" s="3" t="str">
        <f>"SLC25A24"</f>
        <v>SLC25A24</v>
      </c>
      <c r="I254" s="3" t="str">
        <f t="shared" si="14"/>
        <v>protein_coding</v>
      </c>
    </row>
    <row r="255" spans="1:9" x14ac:dyDescent="0.2">
      <c r="A255" s="3" t="str">
        <f>"ENSG00000162636.16"</f>
        <v>ENSG00000162636.16</v>
      </c>
      <c r="B255" s="3">
        <v>324.71780971331799</v>
      </c>
      <c r="C255" s="3">
        <v>-1.0506400891333201</v>
      </c>
      <c r="D255" s="3">
        <v>0.30082634937279601</v>
      </c>
      <c r="E255" s="3">
        <v>-3.4925135092848199</v>
      </c>
      <c r="F255" s="3">
        <v>4.7849739146992298E-4</v>
      </c>
      <c r="G255" s="3">
        <v>3.2174824598839701E-3</v>
      </c>
      <c r="H255" s="3" t="str">
        <f>"FAM102B"</f>
        <v>FAM102B</v>
      </c>
      <c r="I255" s="3" t="str">
        <f t="shared" si="14"/>
        <v>protein_coding</v>
      </c>
    </row>
    <row r="256" spans="1:9" x14ac:dyDescent="0.2">
      <c r="A256" s="3" t="str">
        <f>"ENSG00000116266.11"</f>
        <v>ENSG00000116266.11</v>
      </c>
      <c r="B256" s="3">
        <v>1903.5519298604599</v>
      </c>
      <c r="C256" s="3">
        <v>1.0049573888052801</v>
      </c>
      <c r="D256" s="3">
        <v>0.26230172183939898</v>
      </c>
      <c r="E256" s="3">
        <v>3.8313030572501998</v>
      </c>
      <c r="F256" s="3">
        <v>1.27466383150274E-4</v>
      </c>
      <c r="G256" s="3">
        <v>1.0060925221666601E-3</v>
      </c>
      <c r="H256" s="3" t="str">
        <f>"STXBP3"</f>
        <v>STXBP3</v>
      </c>
      <c r="I256" s="3" t="str">
        <f t="shared" si="14"/>
        <v>protein_coding</v>
      </c>
    </row>
    <row r="257" spans="1:9" x14ac:dyDescent="0.2">
      <c r="A257" s="3" t="str">
        <f>"ENSG00000031698.13"</f>
        <v>ENSG00000031698.13</v>
      </c>
      <c r="B257" s="3">
        <v>4669.5706269234397</v>
      </c>
      <c r="C257" s="3">
        <v>1.93460003667036</v>
      </c>
      <c r="D257" s="3">
        <v>0.25622149318450799</v>
      </c>
      <c r="E257" s="3">
        <v>7.5504986432860797</v>
      </c>
      <c r="F257" s="4">
        <v>4.33594916742863E-14</v>
      </c>
      <c r="G257" s="4">
        <v>1.43892877713281E-12</v>
      </c>
      <c r="H257" s="3" t="str">
        <f>"SARS"</f>
        <v>SARS</v>
      </c>
      <c r="I257" s="3" t="str">
        <f t="shared" si="14"/>
        <v>protein_coding</v>
      </c>
    </row>
    <row r="258" spans="1:9" x14ac:dyDescent="0.2">
      <c r="A258" s="3" t="str">
        <f>"ENSG00000162650.16"</f>
        <v>ENSG00000162650.16</v>
      </c>
      <c r="B258" s="3">
        <v>205.128489415486</v>
      </c>
      <c r="C258" s="3">
        <v>-1.1519989649536699</v>
      </c>
      <c r="D258" s="3">
        <v>0.36592679775761</v>
      </c>
      <c r="E258" s="3">
        <v>-3.1481678084608502</v>
      </c>
      <c r="F258" s="3">
        <v>1.64297345745336E-3</v>
      </c>
      <c r="G258" s="3">
        <v>9.2957708776966602E-3</v>
      </c>
      <c r="H258" s="3" t="str">
        <f>"ATXN7L2"</f>
        <v>ATXN7L2</v>
      </c>
      <c r="I258" s="3" t="str">
        <f t="shared" si="14"/>
        <v>protein_coding</v>
      </c>
    </row>
    <row r="259" spans="1:9" x14ac:dyDescent="0.2">
      <c r="A259" s="3" t="str">
        <f>"ENSG00000116337.16"</f>
        <v>ENSG00000116337.16</v>
      </c>
      <c r="B259" s="3">
        <v>1554.9589893915299</v>
      </c>
      <c r="C259" s="3">
        <v>-1.13583874152301</v>
      </c>
      <c r="D259" s="3">
        <v>0.323462285561604</v>
      </c>
      <c r="E259" s="3">
        <v>-3.5115028620753601</v>
      </c>
      <c r="F259" s="3">
        <v>4.4558066492471799E-4</v>
      </c>
      <c r="G259" s="3">
        <v>3.0252581986994001E-3</v>
      </c>
      <c r="H259" s="3" t="str">
        <f>"AMPD2"</f>
        <v>AMPD2</v>
      </c>
      <c r="I259" s="3" t="str">
        <f t="shared" si="14"/>
        <v>protein_coding</v>
      </c>
    </row>
    <row r="260" spans="1:9" x14ac:dyDescent="0.2">
      <c r="A260" s="3" t="str">
        <f>"ENSG00000168765.17"</f>
        <v>ENSG00000168765.17</v>
      </c>
      <c r="B260" s="3">
        <v>386.95999052167599</v>
      </c>
      <c r="C260" s="3">
        <v>-1.6099169312513399</v>
      </c>
      <c r="D260" s="3">
        <v>0.30644191805288301</v>
      </c>
      <c r="E260" s="3">
        <v>-5.2535793454129198</v>
      </c>
      <c r="F260" s="4">
        <v>1.4917136740162601E-7</v>
      </c>
      <c r="G260" s="4">
        <v>2.18417098194872E-6</v>
      </c>
      <c r="H260" s="3" t="str">
        <f>"GSTM4"</f>
        <v>GSTM4</v>
      </c>
      <c r="I260" s="3" t="str">
        <f t="shared" si="14"/>
        <v>protein_coding</v>
      </c>
    </row>
    <row r="261" spans="1:9" x14ac:dyDescent="0.2">
      <c r="A261" s="3" t="str">
        <f>"ENSG00000134202.10"</f>
        <v>ENSG00000134202.10</v>
      </c>
      <c r="B261" s="3">
        <v>821.34093827419599</v>
      </c>
      <c r="C261" s="3">
        <v>-1.6108427280308699</v>
      </c>
      <c r="D261" s="3">
        <v>0.26915606748091903</v>
      </c>
      <c r="E261" s="3">
        <v>-5.9847906945106102</v>
      </c>
      <c r="F261" s="4">
        <v>2.1666830025816199E-9</v>
      </c>
      <c r="G261" s="4">
        <v>4.1860914692734798E-8</v>
      </c>
      <c r="H261" s="3" t="str">
        <f>"GSTM3"</f>
        <v>GSTM3</v>
      </c>
      <c r="I261" s="3" t="str">
        <f t="shared" si="14"/>
        <v>protein_coding</v>
      </c>
    </row>
    <row r="262" spans="1:9" x14ac:dyDescent="0.2">
      <c r="A262" s="3" t="str">
        <f>"ENSG00000198758.10"</f>
        <v>ENSG00000198758.10</v>
      </c>
      <c r="B262" s="3">
        <v>1218.4818425882199</v>
      </c>
      <c r="C262" s="3">
        <v>-1.9247560609955101</v>
      </c>
      <c r="D262" s="3">
        <v>0.31262179161877601</v>
      </c>
      <c r="E262" s="3">
        <v>-6.1568198781953098</v>
      </c>
      <c r="F262" s="4">
        <v>7.4220180274179202E-10</v>
      </c>
      <c r="G262" s="4">
        <v>1.5455369493352501E-8</v>
      </c>
      <c r="H262" s="3" t="str">
        <f>"EPS8L3"</f>
        <v>EPS8L3</v>
      </c>
      <c r="I262" s="3" t="str">
        <f t="shared" si="14"/>
        <v>protein_coding</v>
      </c>
    </row>
    <row r="263" spans="1:9" x14ac:dyDescent="0.2">
      <c r="A263" s="3" t="str">
        <f>"ENSG00000116396.14"</f>
        <v>ENSG00000116396.14</v>
      </c>
      <c r="B263" s="3">
        <v>1910.8021248738801</v>
      </c>
      <c r="C263" s="3">
        <v>1.42683278986189</v>
      </c>
      <c r="D263" s="3">
        <v>0.27982683741726899</v>
      </c>
      <c r="E263" s="3">
        <v>5.0989847972810596</v>
      </c>
      <c r="F263" s="4">
        <v>3.4147997351276401E-7</v>
      </c>
      <c r="G263" s="4">
        <v>4.6507464719618804E-6</v>
      </c>
      <c r="H263" s="3" t="str">
        <f>"KCNC4"</f>
        <v>KCNC4</v>
      </c>
      <c r="I263" s="3" t="str">
        <f t="shared" si="14"/>
        <v>protein_coding</v>
      </c>
    </row>
    <row r="264" spans="1:9" x14ac:dyDescent="0.2">
      <c r="A264" s="3" t="str">
        <f>"ENSG00000227963.1"</f>
        <v>ENSG00000227963.1</v>
      </c>
      <c r="B264" s="3">
        <v>72.977626223086503</v>
      </c>
      <c r="C264" s="3">
        <v>-1.8774495216216001</v>
      </c>
      <c r="D264" s="3">
        <v>0.52546713862666194</v>
      </c>
      <c r="E264" s="3">
        <v>-3.5729151903360101</v>
      </c>
      <c r="F264" s="3">
        <v>3.5302912211215501E-4</v>
      </c>
      <c r="G264" s="3">
        <v>2.47504112785152E-3</v>
      </c>
      <c r="H264" s="3" t="str">
        <f>"RBM15-AS1"</f>
        <v>RBM15-AS1</v>
      </c>
      <c r="I264" s="3" t="str">
        <f>"antisense"</f>
        <v>antisense</v>
      </c>
    </row>
    <row r="265" spans="1:9" x14ac:dyDescent="0.2">
      <c r="A265" s="3" t="str">
        <f>"ENSG00000197852.11"</f>
        <v>ENSG00000197852.11</v>
      </c>
      <c r="B265" s="3">
        <v>1751.0542334522299</v>
      </c>
      <c r="C265" s="3">
        <v>2.3293893620602302</v>
      </c>
      <c r="D265" s="3">
        <v>0.24545333178755399</v>
      </c>
      <c r="E265" s="3">
        <v>9.4901517331056997</v>
      </c>
      <c r="F265" s="4">
        <v>2.30698215839645E-21</v>
      </c>
      <c r="G265" s="4">
        <v>1.36225671817988E-19</v>
      </c>
      <c r="H265" s="3" t="str">
        <f>"INKA2"</f>
        <v>INKA2</v>
      </c>
      <c r="I265" s="3" t="str">
        <f>"protein_coding"</f>
        <v>protein_coding</v>
      </c>
    </row>
    <row r="266" spans="1:9" x14ac:dyDescent="0.2">
      <c r="A266" s="3" t="str">
        <f>"ENSG00000227811.2"</f>
        <v>ENSG00000227811.2</v>
      </c>
      <c r="B266" s="3">
        <v>81.487195245623894</v>
      </c>
      <c r="C266" s="3">
        <v>1.3052596134656</v>
      </c>
      <c r="D266" s="3">
        <v>0.448448987924772</v>
      </c>
      <c r="E266" s="3">
        <v>2.9106088955753502</v>
      </c>
      <c r="F266" s="3">
        <v>3.6072524077786598E-3</v>
      </c>
      <c r="G266" s="3">
        <v>1.8068585089142199E-2</v>
      </c>
      <c r="H266" s="3" t="str">
        <f>"INKA2-AS1"</f>
        <v>INKA2-AS1</v>
      </c>
      <c r="I266" s="3" t="str">
        <f>"bidirectional_promoter_lncRNA"</f>
        <v>bidirectional_promoter_lncRNA</v>
      </c>
    </row>
    <row r="267" spans="1:9" x14ac:dyDescent="0.2">
      <c r="A267" s="3" t="str">
        <f>"ENSG00000155366.16"</f>
        <v>ENSG00000155366.16</v>
      </c>
      <c r="B267" s="3">
        <v>3311.3139394856298</v>
      </c>
      <c r="C267" s="3">
        <v>1.1192272635506</v>
      </c>
      <c r="D267" s="3">
        <v>0.28849761077581698</v>
      </c>
      <c r="E267" s="3">
        <v>3.87950271248629</v>
      </c>
      <c r="F267" s="3">
        <v>1.04670234047867E-4</v>
      </c>
      <c r="G267" s="3">
        <v>8.4634514222889498E-4</v>
      </c>
      <c r="H267" s="3" t="str">
        <f>"RHOC"</f>
        <v>RHOC</v>
      </c>
      <c r="I267" s="3" t="str">
        <f t="shared" ref="I267:I272" si="15">"protein_coding"</f>
        <v>protein_coding</v>
      </c>
    </row>
    <row r="268" spans="1:9" x14ac:dyDescent="0.2">
      <c r="A268" s="3" t="str">
        <f>"ENSG00000118655.6"</f>
        <v>ENSG00000118655.6</v>
      </c>
      <c r="B268" s="3">
        <v>555.18400851226397</v>
      </c>
      <c r="C268" s="3">
        <v>-1.10855228181995</v>
      </c>
      <c r="D268" s="3">
        <v>0.27943982128206202</v>
      </c>
      <c r="E268" s="3">
        <v>-3.9670519281537602</v>
      </c>
      <c r="F268" s="4">
        <v>7.2767142383170293E-5</v>
      </c>
      <c r="G268" s="3">
        <v>6.1301321722995595E-4</v>
      </c>
      <c r="H268" s="3" t="str">
        <f>"DCLRE1B"</f>
        <v>DCLRE1B</v>
      </c>
      <c r="I268" s="3" t="str">
        <f t="shared" si="15"/>
        <v>protein_coding</v>
      </c>
    </row>
    <row r="269" spans="1:9" x14ac:dyDescent="0.2">
      <c r="A269" s="3" t="str">
        <f>"ENSG00000116774.12"</f>
        <v>ENSG00000116774.12</v>
      </c>
      <c r="B269" s="3">
        <v>125.09519691290799</v>
      </c>
      <c r="C269" s="3">
        <v>-1.8574675696546601</v>
      </c>
      <c r="D269" s="3">
        <v>0.442434123888094</v>
      </c>
      <c r="E269" s="3">
        <v>-4.1982918345703197</v>
      </c>
      <c r="F269" s="4">
        <v>2.6893591025572099E-5</v>
      </c>
      <c r="G269" s="3">
        <v>2.50930371753807E-4</v>
      </c>
      <c r="H269" s="3" t="str">
        <f>"OLFML3"</f>
        <v>OLFML3</v>
      </c>
      <c r="I269" s="3" t="str">
        <f t="shared" si="15"/>
        <v>protein_coding</v>
      </c>
    </row>
    <row r="270" spans="1:9" x14ac:dyDescent="0.2">
      <c r="A270" s="3" t="str">
        <f>"ENSG00000173218.15"</f>
        <v>ENSG00000173218.15</v>
      </c>
      <c r="B270" s="3">
        <v>942.26032885247196</v>
      </c>
      <c r="C270" s="3">
        <v>-1.15037654134858</v>
      </c>
      <c r="D270" s="3">
        <v>0.26091105178567803</v>
      </c>
      <c r="E270" s="3">
        <v>-4.4090755584149699</v>
      </c>
      <c r="F270" s="4">
        <v>1.03812803914445E-5</v>
      </c>
      <c r="G270" s="3">
        <v>1.05810821817984E-4</v>
      </c>
      <c r="H270" s="3" t="str">
        <f>"VANGL1"</f>
        <v>VANGL1</v>
      </c>
      <c r="I270" s="3" t="str">
        <f t="shared" si="15"/>
        <v>protein_coding</v>
      </c>
    </row>
    <row r="271" spans="1:9" x14ac:dyDescent="0.2">
      <c r="A271" s="3" t="str">
        <f>"ENSG00000163393.13"</f>
        <v>ENSG00000163393.13</v>
      </c>
      <c r="B271" s="3">
        <v>125.633566099798</v>
      </c>
      <c r="C271" s="3">
        <v>-1.0353646321859</v>
      </c>
      <c r="D271" s="3">
        <v>0.38495544580387903</v>
      </c>
      <c r="E271" s="3">
        <v>-2.6895700358876802</v>
      </c>
      <c r="F271" s="3">
        <v>7.1544132759870501E-3</v>
      </c>
      <c r="G271" s="3">
        <v>3.1830432606553598E-2</v>
      </c>
      <c r="H271" s="3" t="str">
        <f>"SLC22A15"</f>
        <v>SLC22A15</v>
      </c>
      <c r="I271" s="3" t="str">
        <f t="shared" si="15"/>
        <v>protein_coding</v>
      </c>
    </row>
    <row r="272" spans="1:9" x14ac:dyDescent="0.2">
      <c r="A272" s="3" t="str">
        <f>"ENSG00000092607.15"</f>
        <v>ENSG00000092607.15</v>
      </c>
      <c r="B272" s="3">
        <v>168.54260796798101</v>
      </c>
      <c r="C272" s="3">
        <v>5.2626242563471104</v>
      </c>
      <c r="D272" s="3">
        <v>0.47843733972050401</v>
      </c>
      <c r="E272" s="3">
        <v>10.999610229881799</v>
      </c>
      <c r="F272" s="4">
        <v>3.8378716560384E-28</v>
      </c>
      <c r="G272" s="4">
        <v>3.5493257907222802E-26</v>
      </c>
      <c r="H272" s="3" t="str">
        <f>"TBX15"</f>
        <v>TBX15</v>
      </c>
      <c r="I272" s="3" t="str">
        <f t="shared" si="15"/>
        <v>protein_coding</v>
      </c>
    </row>
    <row r="273" spans="1:9" x14ac:dyDescent="0.2">
      <c r="A273" s="3" t="str">
        <f>"ENSG00000227712.1"</f>
        <v>ENSG00000227712.1</v>
      </c>
      <c r="B273" s="3">
        <v>18.461391342584299</v>
      </c>
      <c r="C273" s="3">
        <v>3.3117521918252</v>
      </c>
      <c r="D273" s="3">
        <v>0.92363916332347096</v>
      </c>
      <c r="E273" s="3">
        <v>3.5855476070424901</v>
      </c>
      <c r="F273" s="3">
        <v>3.3637163123205498E-4</v>
      </c>
      <c r="G273" s="3">
        <v>2.3708120996476199E-3</v>
      </c>
      <c r="H273" s="3" t="str">
        <f>"AL359915.1"</f>
        <v>AL359915.1</v>
      </c>
      <c r="I273" s="3" t="str">
        <f>"lincRNA"</f>
        <v>lincRNA</v>
      </c>
    </row>
    <row r="274" spans="1:9" x14ac:dyDescent="0.2">
      <c r="A274" s="3" t="str">
        <f>"ENSG00000232650.5"</f>
        <v>ENSG00000232650.5</v>
      </c>
      <c r="B274" s="3">
        <v>53.035259599052999</v>
      </c>
      <c r="C274" s="3">
        <v>3.9110548784333798</v>
      </c>
      <c r="D274" s="3">
        <v>0.61983571131993298</v>
      </c>
      <c r="E274" s="3">
        <v>6.3098250181565501</v>
      </c>
      <c r="F274" s="4">
        <v>2.7935112591741503E-10</v>
      </c>
      <c r="G274" s="4">
        <v>6.1051933731125797E-9</v>
      </c>
      <c r="H274" s="3" t="str">
        <f>"LINC01780"</f>
        <v>LINC01780</v>
      </c>
      <c r="I274" s="3" t="str">
        <f>"lincRNA"</f>
        <v>lincRNA</v>
      </c>
    </row>
    <row r="275" spans="1:9" x14ac:dyDescent="0.2">
      <c r="A275" s="3" t="str">
        <f>"ENSG00000226443.3"</f>
        <v>ENSG00000226443.3</v>
      </c>
      <c r="B275" s="3">
        <v>32.050575352340601</v>
      </c>
      <c r="C275" s="3">
        <v>4.6980499080277003</v>
      </c>
      <c r="D275" s="3">
        <v>0.87982837541007897</v>
      </c>
      <c r="E275" s="3">
        <v>5.3397344747354696</v>
      </c>
      <c r="F275" s="4">
        <v>9.3082810633713602E-8</v>
      </c>
      <c r="G275" s="4">
        <v>1.4012555963441401E-6</v>
      </c>
      <c r="H275" s="3" t="str">
        <f>"GAPDHP32"</f>
        <v>GAPDHP32</v>
      </c>
      <c r="I275" s="3" t="str">
        <f>"processed_pseudogene"</f>
        <v>processed_pseudogene</v>
      </c>
    </row>
    <row r="276" spans="1:9" x14ac:dyDescent="0.2">
      <c r="A276" s="3" t="str">
        <f>"ENSG00000239873.2"</f>
        <v>ENSG00000239873.2</v>
      </c>
      <c r="B276" s="3">
        <v>37.291345708738099</v>
      </c>
      <c r="C276" s="3">
        <v>5.7095113913324198</v>
      </c>
      <c r="D276" s="3">
        <v>1.0097225160208401</v>
      </c>
      <c r="E276" s="3">
        <v>5.6545350833937098</v>
      </c>
      <c r="F276" s="4">
        <v>1.5626867767849802E-8</v>
      </c>
      <c r="G276" s="4">
        <v>2.6759282416627802E-7</v>
      </c>
      <c r="H276" s="3" t="str">
        <f>"GAPDHP27"</f>
        <v>GAPDHP27</v>
      </c>
      <c r="I276" s="3" t="str">
        <f>"processed_pseudogene"</f>
        <v>processed_pseudogene</v>
      </c>
    </row>
    <row r="277" spans="1:9" x14ac:dyDescent="0.2">
      <c r="A277" s="3" t="str">
        <f>"ENSG00000240244.3"</f>
        <v>ENSG00000240244.3</v>
      </c>
      <c r="B277" s="3">
        <v>113.37449020776199</v>
      </c>
      <c r="C277" s="3">
        <v>7.8898349049838803</v>
      </c>
      <c r="D277" s="3">
        <v>1.0893195838052401</v>
      </c>
      <c r="E277" s="3">
        <v>7.2429019199516</v>
      </c>
      <c r="F277" s="4">
        <v>4.3918452691501E-13</v>
      </c>
      <c r="G277" s="4">
        <v>1.3278469680946E-11</v>
      </c>
      <c r="H277" s="3" t="str">
        <f>"GAPDHP33"</f>
        <v>GAPDHP33</v>
      </c>
      <c r="I277" s="3" t="str">
        <f>"processed_pseudogene"</f>
        <v>processed_pseudogene</v>
      </c>
    </row>
    <row r="278" spans="1:9" x14ac:dyDescent="0.2">
      <c r="A278" s="3" t="str">
        <f>"ENSG00000260941.1"</f>
        <v>ENSG00000260941.1</v>
      </c>
      <c r="B278" s="3">
        <v>170.80334017138901</v>
      </c>
      <c r="C278" s="3">
        <v>9.4893241075917505</v>
      </c>
      <c r="D278" s="3">
        <v>1.4600344275136099</v>
      </c>
      <c r="E278" s="3">
        <v>6.4993838013475997</v>
      </c>
      <c r="F278" s="4">
        <v>8.0649666835803494E-11</v>
      </c>
      <c r="G278" s="4">
        <v>1.8749929475551201E-9</v>
      </c>
      <c r="H278" s="3" t="str">
        <f>"LINC00622"</f>
        <v>LINC00622</v>
      </c>
      <c r="I278" s="3" t="str">
        <f>"sense_overlapping"</f>
        <v>sense_overlapping</v>
      </c>
    </row>
    <row r="279" spans="1:9" x14ac:dyDescent="0.2">
      <c r="A279" s="3" t="str">
        <f>"ENSG00000198857.3"</f>
        <v>ENSG00000198857.3</v>
      </c>
      <c r="B279" s="3">
        <v>354.10055953546203</v>
      </c>
      <c r="C279" s="3">
        <v>8.9528020903488503</v>
      </c>
      <c r="D279" s="3">
        <v>0.882828185835552</v>
      </c>
      <c r="E279" s="3">
        <v>10.141046960202701</v>
      </c>
      <c r="F279" s="4">
        <v>3.6318599934235402E-24</v>
      </c>
      <c r="G279" s="4">
        <v>2.6480996560744698E-22</v>
      </c>
      <c r="H279" s="3" t="str">
        <f>"HSD3BP5"</f>
        <v>HSD3BP5</v>
      </c>
      <c r="I279" s="3" t="str">
        <f>"transcribed_unprocessed_pseudogene"</f>
        <v>transcribed_unprocessed_pseudogene</v>
      </c>
    </row>
    <row r="280" spans="1:9" x14ac:dyDescent="0.2">
      <c r="A280" s="3" t="str">
        <f>"ENSG00000092621.12"</f>
        <v>ENSG00000092621.12</v>
      </c>
      <c r="B280" s="3">
        <v>1304.4167683479</v>
      </c>
      <c r="C280" s="3">
        <v>-2.8950797548859502</v>
      </c>
      <c r="D280" s="3">
        <v>0.30414615776185699</v>
      </c>
      <c r="E280" s="3">
        <v>-9.5187122408192906</v>
      </c>
      <c r="F280" s="4">
        <v>1.7533828760197899E-21</v>
      </c>
      <c r="G280" s="4">
        <v>1.0402440152424E-19</v>
      </c>
      <c r="H280" s="3" t="str">
        <f>"PHGDH"</f>
        <v>PHGDH</v>
      </c>
      <c r="I280" s="3" t="str">
        <f>"protein_coding"</f>
        <v>protein_coding</v>
      </c>
    </row>
    <row r="281" spans="1:9" x14ac:dyDescent="0.2">
      <c r="A281" s="3" t="str">
        <f>"ENSG00000223804.5"</f>
        <v>ENSG00000223804.5</v>
      </c>
      <c r="B281" s="3">
        <v>9.2696068187354204</v>
      </c>
      <c r="C281" s="3">
        <v>-4.1139798434843797</v>
      </c>
      <c r="D281" s="3">
        <v>1.4568416124233301</v>
      </c>
      <c r="E281" s="3">
        <v>-2.82390330451992</v>
      </c>
      <c r="F281" s="3">
        <v>4.7442695598052002E-3</v>
      </c>
      <c r="G281" s="3">
        <v>2.2710199957545099E-2</v>
      </c>
      <c r="H281" s="3" t="str">
        <f>"AC244669.1"</f>
        <v>AC244669.1</v>
      </c>
      <c r="I281" s="3" t="str">
        <f>"transcribed_unprocessed_pseudogene"</f>
        <v>transcribed_unprocessed_pseudogene</v>
      </c>
    </row>
    <row r="282" spans="1:9" x14ac:dyDescent="0.2">
      <c r="A282" s="3" t="str">
        <f>"ENSG00000226067.6"</f>
        <v>ENSG00000226067.6</v>
      </c>
      <c r="B282" s="3">
        <v>29.430390221236799</v>
      </c>
      <c r="C282" s="3">
        <v>-3.7564184260057401</v>
      </c>
      <c r="D282" s="3">
        <v>0.81993324045726901</v>
      </c>
      <c r="E282" s="3">
        <v>-4.5813710685894602</v>
      </c>
      <c r="F282" s="4">
        <v>4.6193736268044602E-6</v>
      </c>
      <c r="G282" s="4">
        <v>5.1122016534213E-5</v>
      </c>
      <c r="H282" s="3" t="str">
        <f>"LINC00623"</f>
        <v>LINC00623</v>
      </c>
      <c r="I282" s="3" t="str">
        <f>"lincRNA"</f>
        <v>lincRNA</v>
      </c>
    </row>
    <row r="283" spans="1:9" x14ac:dyDescent="0.2">
      <c r="A283" s="3" t="str">
        <f>"ENSG00000188610.12"</f>
        <v>ENSG00000188610.12</v>
      </c>
      <c r="B283" s="3">
        <v>360.17296495265902</v>
      </c>
      <c r="C283" s="3">
        <v>1.0204951863015299</v>
      </c>
      <c r="D283" s="3">
        <v>0.294593923705323</v>
      </c>
      <c r="E283" s="3">
        <v>3.4640741175718102</v>
      </c>
      <c r="F283" s="3">
        <v>5.3205989126300696E-4</v>
      </c>
      <c r="G283" s="3">
        <v>3.5313895949131801E-3</v>
      </c>
      <c r="H283" s="3" t="str">
        <f>"FAM72B"</f>
        <v>FAM72B</v>
      </c>
      <c r="I283" s="3" t="str">
        <f>"protein_coding"</f>
        <v>protein_coding</v>
      </c>
    </row>
    <row r="284" spans="1:9" x14ac:dyDescent="0.2">
      <c r="A284" s="3" t="str">
        <f>"ENSG00000272419.6"</f>
        <v>ENSG00000272419.6</v>
      </c>
      <c r="B284" s="3">
        <v>157.32876625061201</v>
      </c>
      <c r="C284" s="3">
        <v>-2.07519109835266</v>
      </c>
      <c r="D284" s="3">
        <v>0.35740595412224802</v>
      </c>
      <c r="E284" s="3">
        <v>-5.8062577705206699</v>
      </c>
      <c r="F284" s="4">
        <v>6.3884584441430604E-9</v>
      </c>
      <c r="G284" s="4">
        <v>1.1619788298077999E-7</v>
      </c>
      <c r="H284" s="3" t="str">
        <f>"LINC01145"</f>
        <v>LINC01145</v>
      </c>
      <c r="I284" s="3" t="str">
        <f>"transcribed_unprocessed_pseudogene"</f>
        <v>transcribed_unprocessed_pseudogene</v>
      </c>
    </row>
    <row r="285" spans="1:9" x14ac:dyDescent="0.2">
      <c r="A285" s="3" t="str">
        <f>"ENSG00000281571.2"</f>
        <v>ENSG00000281571.2</v>
      </c>
      <c r="B285" s="3">
        <v>82.228347476555498</v>
      </c>
      <c r="C285" s="3">
        <v>-1.6327152927901101</v>
      </c>
      <c r="D285" s="3">
        <v>0.47973895744203798</v>
      </c>
      <c r="E285" s="3">
        <v>-3.40334106176351</v>
      </c>
      <c r="F285" s="3">
        <v>6.6567129587416301E-4</v>
      </c>
      <c r="G285" s="3">
        <v>4.3013001406921603E-3</v>
      </c>
      <c r="H285" s="3" t="str">
        <f>"AC241585.2"</f>
        <v>AC241585.2</v>
      </c>
      <c r="I285" s="3" t="str">
        <f>"TEC"</f>
        <v>TEC</v>
      </c>
    </row>
    <row r="286" spans="1:9" x14ac:dyDescent="0.2">
      <c r="A286" s="3" t="str">
        <f>"ENSG00000271601.4"</f>
        <v>ENSG00000271601.4</v>
      </c>
      <c r="B286" s="3">
        <v>631.69588399958695</v>
      </c>
      <c r="C286" s="3">
        <v>-1.1985292791200299</v>
      </c>
      <c r="D286" s="3">
        <v>0.27065523024164301</v>
      </c>
      <c r="E286" s="3">
        <v>-4.4282509451229597</v>
      </c>
      <c r="F286" s="4">
        <v>9.5000333115652208E-6</v>
      </c>
      <c r="G286" s="4">
        <v>9.7699647568447705E-5</v>
      </c>
      <c r="H286" s="3" t="str">
        <f>"LIX1L"</f>
        <v>LIX1L</v>
      </c>
      <c r="I286" s="3" t="str">
        <f>"protein_coding"</f>
        <v>protein_coding</v>
      </c>
    </row>
    <row r="287" spans="1:9" x14ac:dyDescent="0.2">
      <c r="A287" s="3" t="str">
        <f>"ENSG00000131781.13"</f>
        <v>ENSG00000131781.13</v>
      </c>
      <c r="B287" s="3">
        <v>935.87532808281105</v>
      </c>
      <c r="C287" s="3">
        <v>-1.6525305980371401</v>
      </c>
      <c r="D287" s="3">
        <v>0.27194938407252101</v>
      </c>
      <c r="E287" s="3">
        <v>-6.0766109240256903</v>
      </c>
      <c r="F287" s="4">
        <v>1.22749104495195E-9</v>
      </c>
      <c r="G287" s="4">
        <v>2.4662569677129701E-8</v>
      </c>
      <c r="H287" s="3" t="str">
        <f>"FMO5"</f>
        <v>FMO5</v>
      </c>
      <c r="I287" s="3" t="str">
        <f>"protein_coding"</f>
        <v>protein_coding</v>
      </c>
    </row>
    <row r="288" spans="1:9" x14ac:dyDescent="0.2">
      <c r="A288" s="3" t="str">
        <f>"ENSG00000226015.2"</f>
        <v>ENSG00000226015.2</v>
      </c>
      <c r="B288" s="3">
        <v>121.73685459143699</v>
      </c>
      <c r="C288" s="3">
        <v>-1.2308110454296399</v>
      </c>
      <c r="D288" s="3">
        <v>0.39317265190066603</v>
      </c>
      <c r="E288" s="3">
        <v>-3.1304594545925002</v>
      </c>
      <c r="F288" s="3">
        <v>1.7453309060588399E-3</v>
      </c>
      <c r="G288" s="3">
        <v>9.7716000315847297E-3</v>
      </c>
      <c r="H288" s="3" t="str">
        <f>"CCT8P1"</f>
        <v>CCT8P1</v>
      </c>
      <c r="I288" s="3" t="str">
        <f>"processed_pseudogene"</f>
        <v>processed_pseudogene</v>
      </c>
    </row>
    <row r="289" spans="1:9" x14ac:dyDescent="0.2">
      <c r="A289" s="3" t="str">
        <f>"ENSG00000116128.11"</f>
        <v>ENSG00000116128.11</v>
      </c>
      <c r="B289" s="3">
        <v>521.21794142066994</v>
      </c>
      <c r="C289" s="3">
        <v>-1.5922316456588701</v>
      </c>
      <c r="D289" s="3">
        <v>0.29253945906194401</v>
      </c>
      <c r="E289" s="3">
        <v>-5.4427927458556002</v>
      </c>
      <c r="F289" s="4">
        <v>5.2451661018859202E-8</v>
      </c>
      <c r="G289" s="4">
        <v>8.20025812883407E-7</v>
      </c>
      <c r="H289" s="3" t="str">
        <f>"BCL9"</f>
        <v>BCL9</v>
      </c>
      <c r="I289" s="3" t="str">
        <f>"protein_coding"</f>
        <v>protein_coding</v>
      </c>
    </row>
    <row r="290" spans="1:9" x14ac:dyDescent="0.2">
      <c r="A290" s="3" t="str">
        <f>"ENSG00000274020.3"</f>
        <v>ENSG00000274020.3</v>
      </c>
      <c r="B290" s="3">
        <v>178.83723511540299</v>
      </c>
      <c r="C290" s="3">
        <v>-1.4267577887838001</v>
      </c>
      <c r="D290" s="3">
        <v>0.367990183888324</v>
      </c>
      <c r="E290" s="3">
        <v>-3.87716262892706</v>
      </c>
      <c r="F290" s="3">
        <v>1.0568172113915601E-4</v>
      </c>
      <c r="G290" s="3">
        <v>8.5342654743353601E-4</v>
      </c>
      <c r="H290" s="3" t="str">
        <f>"LINC01138"</f>
        <v>LINC01138</v>
      </c>
      <c r="I290" s="3" t="str">
        <f>"processed_transcript"</f>
        <v>processed_transcript</v>
      </c>
    </row>
    <row r="291" spans="1:9" x14ac:dyDescent="0.2">
      <c r="A291" s="3" t="str">
        <f>"ENSG00000280649.2"</f>
        <v>ENSG00000280649.2</v>
      </c>
      <c r="B291" s="3">
        <v>151.66408301433401</v>
      </c>
      <c r="C291" s="3">
        <v>-1.12599012116065</v>
      </c>
      <c r="D291" s="3">
        <v>0.396448246415259</v>
      </c>
      <c r="E291" s="3">
        <v>-2.8401944802178201</v>
      </c>
      <c r="F291" s="3">
        <v>4.5086037624754499E-3</v>
      </c>
      <c r="G291" s="3">
        <v>2.1764330770498899E-2</v>
      </c>
      <c r="H291" s="3" t="str">
        <f>"AC245100.8"</f>
        <v>AC245100.8</v>
      </c>
      <c r="I291" s="3" t="str">
        <f>"TEC"</f>
        <v>TEC</v>
      </c>
    </row>
    <row r="292" spans="1:9" x14ac:dyDescent="0.2">
      <c r="A292" s="3" t="str">
        <f>"ENSG00000274265.4"</f>
        <v>ENSG00000274265.4</v>
      </c>
      <c r="B292" s="3">
        <v>42.912368615521501</v>
      </c>
      <c r="C292" s="3">
        <v>-2.62183959101788</v>
      </c>
      <c r="D292" s="3">
        <v>0.60334395633819504</v>
      </c>
      <c r="E292" s="3">
        <v>-4.3455139700583096</v>
      </c>
      <c r="F292" s="4">
        <v>1.38949927852585E-5</v>
      </c>
      <c r="G292" s="3">
        <v>1.37407431796654E-4</v>
      </c>
      <c r="H292" s="3" t="str">
        <f>"AC245297.3"</f>
        <v>AC245297.3</v>
      </c>
      <c r="I292" s="3" t="str">
        <f>"lincRNA"</f>
        <v>lincRNA</v>
      </c>
    </row>
    <row r="293" spans="1:9" x14ac:dyDescent="0.2">
      <c r="A293" s="3" t="str">
        <f>"ENSG00000183598.3"</f>
        <v>ENSG00000183598.3</v>
      </c>
      <c r="B293" s="3">
        <v>653.34639351691703</v>
      </c>
      <c r="C293" s="3">
        <v>-1.35311056372482</v>
      </c>
      <c r="D293" s="3">
        <v>0.316052844606171</v>
      </c>
      <c r="E293" s="3">
        <v>-4.2812794974552899</v>
      </c>
      <c r="F293" s="4">
        <v>1.8582179226976999E-5</v>
      </c>
      <c r="G293" s="3">
        <v>1.79299853645802E-4</v>
      </c>
      <c r="H293" s="3" t="str">
        <f>"HIST2H3D"</f>
        <v>HIST2H3D</v>
      </c>
      <c r="I293" s="3" t="str">
        <f>"protein_coding"</f>
        <v>protein_coding</v>
      </c>
    </row>
    <row r="294" spans="1:9" x14ac:dyDescent="0.2">
      <c r="A294" s="3" t="str">
        <f>"ENSG00000014914.21"</f>
        <v>ENSG00000014914.21</v>
      </c>
      <c r="B294" s="3">
        <v>40.191092709459902</v>
      </c>
      <c r="C294" s="3">
        <v>-1.54803886021318</v>
      </c>
      <c r="D294" s="3">
        <v>0.579728593147811</v>
      </c>
      <c r="E294" s="3">
        <v>-2.67028205700126</v>
      </c>
      <c r="F294" s="3">
        <v>7.5787553844104101E-3</v>
      </c>
      <c r="G294" s="3">
        <v>3.3446244156990199E-2</v>
      </c>
      <c r="H294" s="3" t="str">
        <f>"MTMR11"</f>
        <v>MTMR11</v>
      </c>
      <c r="I294" s="3" t="str">
        <f>"protein_coding"</f>
        <v>protein_coding</v>
      </c>
    </row>
    <row r="295" spans="1:9" x14ac:dyDescent="0.2">
      <c r="A295" s="3" t="str">
        <f>"ENSG00000285184.2"</f>
        <v>ENSG00000285184.2</v>
      </c>
      <c r="B295" s="3">
        <v>201.04656761224899</v>
      </c>
      <c r="C295" s="3">
        <v>-1.4009889712610999</v>
      </c>
      <c r="D295" s="3">
        <v>0.33483457610655898</v>
      </c>
      <c r="E295" s="3">
        <v>-4.1841227616088297</v>
      </c>
      <c r="F295" s="4">
        <v>2.8626939063772299E-5</v>
      </c>
      <c r="G295" s="3">
        <v>2.6474656329014402E-4</v>
      </c>
      <c r="H295" s="3" t="str">
        <f>"AC244033.2"</f>
        <v>AC244033.2</v>
      </c>
      <c r="I295" s="3" t="str">
        <f>"bidirectional_promoter_lncRNA"</f>
        <v>bidirectional_promoter_lncRNA</v>
      </c>
    </row>
    <row r="296" spans="1:9" x14ac:dyDescent="0.2">
      <c r="A296" s="3" t="str">
        <f>"ENSG00000023902.14"</f>
        <v>ENSG00000023902.14</v>
      </c>
      <c r="B296" s="3">
        <v>388.55672184428801</v>
      </c>
      <c r="C296" s="3">
        <v>-1.60203812306256</v>
      </c>
      <c r="D296" s="3">
        <v>0.308510579862804</v>
      </c>
      <c r="E296" s="3">
        <v>-5.19281421005073</v>
      </c>
      <c r="F296" s="4">
        <v>2.07138869188025E-7</v>
      </c>
      <c r="G296" s="4">
        <v>2.9454936429761199E-6</v>
      </c>
      <c r="H296" s="3" t="str">
        <f>"PLEKHO1"</f>
        <v>PLEKHO1</v>
      </c>
      <c r="I296" s="3" t="str">
        <f>"protein_coding"</f>
        <v>protein_coding</v>
      </c>
    </row>
    <row r="297" spans="1:9" x14ac:dyDescent="0.2">
      <c r="A297" s="3" t="str">
        <f>"ENSG00000143401.15"</f>
        <v>ENSG00000143401.15</v>
      </c>
      <c r="B297" s="3">
        <v>2107.2103993904302</v>
      </c>
      <c r="C297" s="3">
        <v>-1.62769583909809</v>
      </c>
      <c r="D297" s="3">
        <v>0.24796088188714199</v>
      </c>
      <c r="E297" s="3">
        <v>-6.5643250931771</v>
      </c>
      <c r="F297" s="4">
        <v>5.2269056129122198E-11</v>
      </c>
      <c r="G297" s="4">
        <v>1.24392441525834E-9</v>
      </c>
      <c r="H297" s="3" t="str">
        <f>"ANP32E"</f>
        <v>ANP32E</v>
      </c>
      <c r="I297" s="3" t="str">
        <f>"protein_coding"</f>
        <v>protein_coding</v>
      </c>
    </row>
    <row r="298" spans="1:9" x14ac:dyDescent="0.2">
      <c r="A298" s="3" t="str">
        <f>"ENSG00000118298.12"</f>
        <v>ENSG00000118298.12</v>
      </c>
      <c r="B298" s="3">
        <v>36.871684202706298</v>
      </c>
      <c r="C298" s="3">
        <v>-2.1460508257228099</v>
      </c>
      <c r="D298" s="3">
        <v>0.61737208738058602</v>
      </c>
      <c r="E298" s="3">
        <v>-3.4761060138435602</v>
      </c>
      <c r="F298" s="3">
        <v>5.0875113393777905E-4</v>
      </c>
      <c r="G298" s="3">
        <v>3.39369789822457E-3</v>
      </c>
      <c r="H298" s="3" t="str">
        <f>"CA14"</f>
        <v>CA14</v>
      </c>
      <c r="I298" s="3" t="str">
        <f>"protein_coding"</f>
        <v>protein_coding</v>
      </c>
    </row>
    <row r="299" spans="1:9" x14ac:dyDescent="0.2">
      <c r="A299" s="3" t="str">
        <f>"ENSG00000143374.17"</f>
        <v>ENSG00000143374.17</v>
      </c>
      <c r="B299" s="3">
        <v>1206.6286976086701</v>
      </c>
      <c r="C299" s="3">
        <v>1.34926460335803</v>
      </c>
      <c r="D299" s="3">
        <v>0.286932114841215</v>
      </c>
      <c r="E299" s="3">
        <v>4.7023826667318103</v>
      </c>
      <c r="F299" s="4">
        <v>2.57142992461807E-6</v>
      </c>
      <c r="G299" s="4">
        <v>2.9726249886841701E-5</v>
      </c>
      <c r="H299" s="3" t="str">
        <f>"TARS2"</f>
        <v>TARS2</v>
      </c>
      <c r="I299" s="3" t="str">
        <f>"protein_coding"</f>
        <v>protein_coding</v>
      </c>
    </row>
    <row r="300" spans="1:9" x14ac:dyDescent="0.2">
      <c r="A300" s="3" t="str">
        <f>"ENSG00000143369.15"</f>
        <v>ENSG00000143369.15</v>
      </c>
      <c r="B300" s="3">
        <v>103.802819678497</v>
      </c>
      <c r="C300" s="3">
        <v>2.40556841069965</v>
      </c>
      <c r="D300" s="3">
        <v>0.41680156759248299</v>
      </c>
      <c r="E300" s="3">
        <v>5.7714955934417898</v>
      </c>
      <c r="F300" s="4">
        <v>7.8571014154479997E-9</v>
      </c>
      <c r="G300" s="4">
        <v>1.40547627011365E-7</v>
      </c>
      <c r="H300" s="3" t="str">
        <f>"ECM1"</f>
        <v>ECM1</v>
      </c>
      <c r="I300" s="3" t="str">
        <f>"protein_coding"</f>
        <v>protein_coding</v>
      </c>
    </row>
    <row r="301" spans="1:9" x14ac:dyDescent="0.2">
      <c r="A301" s="3" t="str">
        <f>"ENSG00000228126.1"</f>
        <v>ENSG00000228126.1</v>
      </c>
      <c r="B301" s="3">
        <v>57.6308747873477</v>
      </c>
      <c r="C301" s="3">
        <v>1.7043552547507299</v>
      </c>
      <c r="D301" s="3">
        <v>0.49211939522036902</v>
      </c>
      <c r="E301" s="3">
        <v>3.4632962474228899</v>
      </c>
      <c r="F301" s="3">
        <v>5.3360055143770796E-4</v>
      </c>
      <c r="G301" s="3">
        <v>3.5406810528661502E-3</v>
      </c>
      <c r="H301" s="3" t="str">
        <f>"FALEC"</f>
        <v>FALEC</v>
      </c>
      <c r="I301" s="3" t="str">
        <f>"lincRNA"</f>
        <v>lincRNA</v>
      </c>
    </row>
    <row r="302" spans="1:9" x14ac:dyDescent="0.2">
      <c r="A302" s="3" t="str">
        <f>"ENSG00000143382.14"</f>
        <v>ENSG00000143382.14</v>
      </c>
      <c r="B302" s="3">
        <v>1958.7845075058699</v>
      </c>
      <c r="C302" s="3">
        <v>2.6464727513978401</v>
      </c>
      <c r="D302" s="3">
        <v>0.33890403288001197</v>
      </c>
      <c r="E302" s="3">
        <v>7.8089148981440797</v>
      </c>
      <c r="F302" s="4">
        <v>5.7682429925841603E-15</v>
      </c>
      <c r="G302" s="4">
        <v>2.08777197810726E-13</v>
      </c>
      <c r="H302" s="3" t="str">
        <f>"ADAMTSL4"</f>
        <v>ADAMTSL4</v>
      </c>
      <c r="I302" s="3" t="str">
        <f>"protein_coding"</f>
        <v>protein_coding</v>
      </c>
    </row>
    <row r="303" spans="1:9" x14ac:dyDescent="0.2">
      <c r="A303" s="3" t="str">
        <f>"ENSG00000163131.11"</f>
        <v>ENSG00000163131.11</v>
      </c>
      <c r="B303" s="3">
        <v>60.614349956084801</v>
      </c>
      <c r="C303" s="3">
        <v>-1.3280054313906999</v>
      </c>
      <c r="D303" s="3">
        <v>0.50329461807437903</v>
      </c>
      <c r="E303" s="3">
        <v>-2.6386243438717698</v>
      </c>
      <c r="F303" s="3">
        <v>8.3243166427232704E-3</v>
      </c>
      <c r="G303" s="3">
        <v>3.6228059714135598E-2</v>
      </c>
      <c r="H303" s="3" t="str">
        <f>"CTSS"</f>
        <v>CTSS</v>
      </c>
      <c r="I303" s="3" t="str">
        <f>"protein_coding"</f>
        <v>protein_coding</v>
      </c>
    </row>
    <row r="304" spans="1:9" x14ac:dyDescent="0.2">
      <c r="A304" s="3" t="str">
        <f>"ENSG00000143412.10"</f>
        <v>ENSG00000143412.10</v>
      </c>
      <c r="B304" s="3">
        <v>370.94580989323998</v>
      </c>
      <c r="C304" s="3">
        <v>1.2446504166000301</v>
      </c>
      <c r="D304" s="3">
        <v>0.32269436880334401</v>
      </c>
      <c r="E304" s="3">
        <v>3.8570565120661899</v>
      </c>
      <c r="F304" s="3">
        <v>1.1476063744245701E-4</v>
      </c>
      <c r="G304" s="3">
        <v>9.1790265019554905E-4</v>
      </c>
      <c r="H304" s="3" t="str">
        <f>"ANXA9"</f>
        <v>ANXA9</v>
      </c>
      <c r="I304" s="3" t="str">
        <f>"protein_coding"</f>
        <v>protein_coding</v>
      </c>
    </row>
    <row r="305" spans="1:9" x14ac:dyDescent="0.2">
      <c r="A305" s="3" t="str">
        <f>"ENSG00000237976.1"</f>
        <v>ENSG00000237976.1</v>
      </c>
      <c r="B305" s="3">
        <v>90.955129501236598</v>
      </c>
      <c r="C305" s="3">
        <v>-2.9727481788085499</v>
      </c>
      <c r="D305" s="3">
        <v>0.47506368889546902</v>
      </c>
      <c r="E305" s="3">
        <v>-6.2575781906637502</v>
      </c>
      <c r="F305" s="4">
        <v>3.9100163369535801E-10</v>
      </c>
      <c r="G305" s="4">
        <v>8.4209298763756197E-9</v>
      </c>
      <c r="H305" s="3" t="str">
        <f>"AL391069.2"</f>
        <v>AL391069.2</v>
      </c>
      <c r="I305" s="3" t="str">
        <f>"antisense"</f>
        <v>antisense</v>
      </c>
    </row>
    <row r="306" spans="1:9" x14ac:dyDescent="0.2">
      <c r="A306" s="3" t="str">
        <f>"ENSG00000143416.21"</f>
        <v>ENSG00000143416.21</v>
      </c>
      <c r="B306" s="3">
        <v>570.94475655059898</v>
      </c>
      <c r="C306" s="3">
        <v>-1.4902843575954701</v>
      </c>
      <c r="D306" s="3">
        <v>0.313690836633992</v>
      </c>
      <c r="E306" s="3">
        <v>-4.7508061554705296</v>
      </c>
      <c r="F306" s="4">
        <v>2.0260728624807801E-6</v>
      </c>
      <c r="G306" s="4">
        <v>2.3871598527261799E-5</v>
      </c>
      <c r="H306" s="3" t="str">
        <f>"SELENBP1"</f>
        <v>SELENBP1</v>
      </c>
      <c r="I306" s="3" t="str">
        <f t="shared" ref="I306:I311" si="16">"protein_coding"</f>
        <v>protein_coding</v>
      </c>
    </row>
    <row r="307" spans="1:9" x14ac:dyDescent="0.2">
      <c r="A307" s="3" t="str">
        <f>"ENSG00000143375.15"</f>
        <v>ENSG00000143375.15</v>
      </c>
      <c r="B307" s="3">
        <v>368.93580643244798</v>
      </c>
      <c r="C307" s="3">
        <v>-1.6141878162340999</v>
      </c>
      <c r="D307" s="3">
        <v>0.28886474767293402</v>
      </c>
      <c r="E307" s="3">
        <v>-5.58804017879591</v>
      </c>
      <c r="F307" s="4">
        <v>2.29646518766494E-8</v>
      </c>
      <c r="G307" s="4">
        <v>3.8180820750635498E-7</v>
      </c>
      <c r="H307" s="3" t="str">
        <f>"CGN"</f>
        <v>CGN</v>
      </c>
      <c r="I307" s="3" t="str">
        <f t="shared" si="16"/>
        <v>protein_coding</v>
      </c>
    </row>
    <row r="308" spans="1:9" x14ac:dyDescent="0.2">
      <c r="A308" s="3" t="str">
        <f>"ENSG00000159409.14"</f>
        <v>ENSG00000159409.14</v>
      </c>
      <c r="B308" s="3">
        <v>139.49287195762699</v>
      </c>
      <c r="C308" s="3">
        <v>5.0797762003572</v>
      </c>
      <c r="D308" s="3">
        <v>0.50450993840189196</v>
      </c>
      <c r="E308" s="3">
        <v>10.068733663499501</v>
      </c>
      <c r="F308" s="4">
        <v>7.5949638519545901E-24</v>
      </c>
      <c r="G308" s="4">
        <v>5.3506443183328704E-22</v>
      </c>
      <c r="H308" s="3" t="str">
        <f>"CELF3"</f>
        <v>CELF3</v>
      </c>
      <c r="I308" s="3" t="str">
        <f t="shared" si="16"/>
        <v>protein_coding</v>
      </c>
    </row>
    <row r="309" spans="1:9" x14ac:dyDescent="0.2">
      <c r="A309" s="3" t="str">
        <f>"ENSG00000178796.12"</f>
        <v>ENSG00000178796.12</v>
      </c>
      <c r="B309" s="3">
        <v>52.073125665790798</v>
      </c>
      <c r="C309" s="3">
        <v>5.7653449507028602</v>
      </c>
      <c r="D309" s="3">
        <v>0.87157940864511696</v>
      </c>
      <c r="E309" s="3">
        <v>6.61482464307546</v>
      </c>
      <c r="F309" s="4">
        <v>3.7199243922554699E-11</v>
      </c>
      <c r="G309" s="4">
        <v>8.9630936865121104E-10</v>
      </c>
      <c r="H309" s="3" t="str">
        <f>"RIIAD1"</f>
        <v>RIIAD1</v>
      </c>
      <c r="I309" s="3" t="str">
        <f t="shared" si="16"/>
        <v>protein_coding</v>
      </c>
    </row>
    <row r="310" spans="1:9" x14ac:dyDescent="0.2">
      <c r="A310" s="3" t="str">
        <f>"ENSG00000143450.16"</f>
        <v>ENSG00000143450.16</v>
      </c>
      <c r="B310" s="3">
        <v>46.942420106401499</v>
      </c>
      <c r="C310" s="3">
        <v>-1.42401223929012</v>
      </c>
      <c r="D310" s="3">
        <v>0.53193770825372699</v>
      </c>
      <c r="E310" s="3">
        <v>-2.6770281880653699</v>
      </c>
      <c r="F310" s="3">
        <v>7.4278385540039798E-3</v>
      </c>
      <c r="G310" s="3">
        <v>3.2884068783169698E-2</v>
      </c>
      <c r="H310" s="3" t="str">
        <f>"OAZ3"</f>
        <v>OAZ3</v>
      </c>
      <c r="I310" s="3" t="str">
        <f t="shared" si="16"/>
        <v>protein_coding</v>
      </c>
    </row>
    <row r="311" spans="1:9" x14ac:dyDescent="0.2">
      <c r="A311" s="3" t="str">
        <f>"ENSG00000163191.6"</f>
        <v>ENSG00000163191.6</v>
      </c>
      <c r="B311" s="3">
        <v>1399.75569700915</v>
      </c>
      <c r="C311" s="3">
        <v>1.59333855211066</v>
      </c>
      <c r="D311" s="3">
        <v>0.271678716997238</v>
      </c>
      <c r="E311" s="3">
        <v>5.8647897403272298</v>
      </c>
      <c r="F311" s="4">
        <v>4.4970218518211597E-9</v>
      </c>
      <c r="G311" s="4">
        <v>8.3794507172267697E-8</v>
      </c>
      <c r="H311" s="3" t="str">
        <f>"S100A11"</f>
        <v>S100A11</v>
      </c>
      <c r="I311" s="3" t="str">
        <f t="shared" si="16"/>
        <v>protein_coding</v>
      </c>
    </row>
    <row r="312" spans="1:9" x14ac:dyDescent="0.2">
      <c r="A312" s="3" t="str">
        <f>"ENSG00000237975.6"</f>
        <v>ENSG00000237975.6</v>
      </c>
      <c r="B312" s="3">
        <v>197.954554430456</v>
      </c>
      <c r="C312" s="3">
        <v>5.1997646342760699</v>
      </c>
      <c r="D312" s="3">
        <v>0.44988417182701701</v>
      </c>
      <c r="E312" s="3">
        <v>11.558007504819299</v>
      </c>
      <c r="F312" s="4">
        <v>6.7251131474045396E-31</v>
      </c>
      <c r="G312" s="4">
        <v>7.1079924883597105E-29</v>
      </c>
      <c r="H312" s="3" t="str">
        <f>"FLG-AS1"</f>
        <v>FLG-AS1</v>
      </c>
      <c r="I312" s="3" t="str">
        <f>"antisense"</f>
        <v>antisense</v>
      </c>
    </row>
    <row r="313" spans="1:9" x14ac:dyDescent="0.2">
      <c r="A313" s="3" t="str">
        <f>"ENSG00000236427.1"</f>
        <v>ENSG00000236427.1</v>
      </c>
      <c r="B313" s="3">
        <v>26.1499283799326</v>
      </c>
      <c r="C313" s="3">
        <v>6.7765234199487798</v>
      </c>
      <c r="D313" s="3">
        <v>1.5687509000540101</v>
      </c>
      <c r="E313" s="3">
        <v>4.3196937255720202</v>
      </c>
      <c r="F313" s="4">
        <v>1.5624589604762899E-5</v>
      </c>
      <c r="G313" s="3">
        <v>1.5317090861567101E-4</v>
      </c>
      <c r="H313" s="3" t="str">
        <f>"AL589986.2"</f>
        <v>AL589986.2</v>
      </c>
      <c r="I313" s="3" t="str">
        <f>"lincRNA"</f>
        <v>lincRNA</v>
      </c>
    </row>
    <row r="314" spans="1:9" x14ac:dyDescent="0.2">
      <c r="A314" s="3" t="str">
        <f>"ENSG00000240386.3"</f>
        <v>ENSG00000240386.3</v>
      </c>
      <c r="B314" s="3">
        <v>359.05389756938098</v>
      </c>
      <c r="C314" s="3">
        <v>12.006823938576201</v>
      </c>
      <c r="D314" s="3">
        <v>1.4728665003988699</v>
      </c>
      <c r="E314" s="3">
        <v>8.1520110175121996</v>
      </c>
      <c r="F314" s="4">
        <v>3.5792168004299499E-16</v>
      </c>
      <c r="G314" s="4">
        <v>1.4616103671236301E-14</v>
      </c>
      <c r="H314" s="3" t="str">
        <f>"LCE1F"</f>
        <v>LCE1F</v>
      </c>
      <c r="I314" s="3" t="str">
        <f t="shared" ref="I314:I319" si="17">"protein_coding"</f>
        <v>protein_coding</v>
      </c>
    </row>
    <row r="315" spans="1:9" x14ac:dyDescent="0.2">
      <c r="A315" s="3" t="str">
        <f>"ENSG00000186226.9"</f>
        <v>ENSG00000186226.9</v>
      </c>
      <c r="B315" s="3">
        <v>151.885908061104</v>
      </c>
      <c r="C315" s="3">
        <v>9.321077114006</v>
      </c>
      <c r="D315" s="3">
        <v>1.45648121692822</v>
      </c>
      <c r="E315" s="3">
        <v>6.3997235293322596</v>
      </c>
      <c r="F315" s="4">
        <v>1.55658544992762E-10</v>
      </c>
      <c r="G315" s="4">
        <v>3.4960631243687001E-9</v>
      </c>
      <c r="H315" s="3" t="str">
        <f>"LCE1E"</f>
        <v>LCE1E</v>
      </c>
      <c r="I315" s="3" t="str">
        <f t="shared" si="17"/>
        <v>protein_coding</v>
      </c>
    </row>
    <row r="316" spans="1:9" x14ac:dyDescent="0.2">
      <c r="A316" s="3" t="str">
        <f>"ENSG00000172155.9"</f>
        <v>ENSG00000172155.9</v>
      </c>
      <c r="B316" s="3">
        <v>8.9059603274215799</v>
      </c>
      <c r="C316" s="3">
        <v>6.6757516571230697</v>
      </c>
      <c r="D316" s="3">
        <v>1.7997326077253999</v>
      </c>
      <c r="E316" s="3">
        <v>3.7093019421147599</v>
      </c>
      <c r="F316" s="3">
        <v>2.0783146020597601E-4</v>
      </c>
      <c r="G316" s="3">
        <v>1.5449173704141E-3</v>
      </c>
      <c r="H316" s="3" t="str">
        <f>"LCE1D"</f>
        <v>LCE1D</v>
      </c>
      <c r="I316" s="3" t="str">
        <f t="shared" si="17"/>
        <v>protein_coding</v>
      </c>
    </row>
    <row r="317" spans="1:9" x14ac:dyDescent="0.2">
      <c r="A317" s="3" t="str">
        <f>"ENSG00000197084.5"</f>
        <v>ENSG00000197084.5</v>
      </c>
      <c r="B317" s="3">
        <v>262.46539168099002</v>
      </c>
      <c r="C317" s="3">
        <v>11.554746790478299</v>
      </c>
      <c r="D317" s="3">
        <v>1.4757982769373399</v>
      </c>
      <c r="E317" s="3">
        <v>7.8294892811891303</v>
      </c>
      <c r="F317" s="4">
        <v>4.8985575146916297E-15</v>
      </c>
      <c r="G317" s="4">
        <v>1.7832592515494599E-13</v>
      </c>
      <c r="H317" s="3" t="str">
        <f>"LCE1C"</f>
        <v>LCE1C</v>
      </c>
      <c r="I317" s="3" t="str">
        <f t="shared" si="17"/>
        <v>protein_coding</v>
      </c>
    </row>
    <row r="318" spans="1:9" x14ac:dyDescent="0.2">
      <c r="A318" s="3" t="str">
        <f>"ENSG00000196734.8"</f>
        <v>ENSG00000196734.8</v>
      </c>
      <c r="B318" s="3">
        <v>250.57484891257499</v>
      </c>
      <c r="C318" s="3">
        <v>11.487936281168</v>
      </c>
      <c r="D318" s="3">
        <v>1.47671935807947</v>
      </c>
      <c r="E318" s="3">
        <v>7.7793632339921599</v>
      </c>
      <c r="F318" s="4">
        <v>7.2890498111200299E-15</v>
      </c>
      <c r="G318" s="4">
        <v>2.6156354921358699E-13</v>
      </c>
      <c r="H318" s="3" t="str">
        <f>"LCE1B"</f>
        <v>LCE1B</v>
      </c>
      <c r="I318" s="3" t="str">
        <f t="shared" si="17"/>
        <v>protein_coding</v>
      </c>
    </row>
    <row r="319" spans="1:9" x14ac:dyDescent="0.2">
      <c r="A319" s="3" t="str">
        <f>"ENSG00000197956.10"</f>
        <v>ENSG00000197956.10</v>
      </c>
      <c r="B319" s="3">
        <v>1564.97218726595</v>
      </c>
      <c r="C319" s="3">
        <v>2.1638639173697101</v>
      </c>
      <c r="D319" s="3">
        <v>0.30335548955293801</v>
      </c>
      <c r="E319" s="3">
        <v>7.1330962909510802</v>
      </c>
      <c r="F319" s="4">
        <v>9.8135851283023199E-13</v>
      </c>
      <c r="G319" s="4">
        <v>2.8212655303136501E-11</v>
      </c>
      <c r="H319" s="3" t="str">
        <f>"S100A6"</f>
        <v>S100A6</v>
      </c>
      <c r="I319" s="3" t="str">
        <f t="shared" si="17"/>
        <v>protein_coding</v>
      </c>
    </row>
    <row r="320" spans="1:9" x14ac:dyDescent="0.2">
      <c r="A320" s="3" t="str">
        <f>"ENSG00000231827.3"</f>
        <v>ENSG00000231827.3</v>
      </c>
      <c r="B320" s="3">
        <v>12.7347786718889</v>
      </c>
      <c r="C320" s="3">
        <v>3.6609847939079301</v>
      </c>
      <c r="D320" s="3">
        <v>1.1429531765787</v>
      </c>
      <c r="E320" s="3">
        <v>3.2030925403844499</v>
      </c>
      <c r="F320" s="3">
        <v>1.3596028440490599E-3</v>
      </c>
      <c r="G320" s="3">
        <v>7.9260277038363993E-3</v>
      </c>
      <c r="H320" s="3" t="str">
        <f>"AL513523.2"</f>
        <v>AL513523.2</v>
      </c>
      <c r="I320" s="3" t="str">
        <f>"transcribed_unprocessed_pseudogene"</f>
        <v>transcribed_unprocessed_pseudogene</v>
      </c>
    </row>
    <row r="321" spans="1:9" x14ac:dyDescent="0.2">
      <c r="A321" s="3" t="str">
        <f>"ENSG00000223599.1"</f>
        <v>ENSG00000223599.1</v>
      </c>
      <c r="B321" s="3">
        <v>84.718645278882207</v>
      </c>
      <c r="C321" s="3">
        <v>1.0887599551048099</v>
      </c>
      <c r="D321" s="3">
        <v>0.41903987711763202</v>
      </c>
      <c r="E321" s="3">
        <v>2.59822516795739</v>
      </c>
      <c r="F321" s="3">
        <v>9.3707024169444805E-3</v>
      </c>
      <c r="G321" s="3">
        <v>4.00135833132301E-2</v>
      </c>
      <c r="H321" s="3" t="str">
        <f>"AL513523.1"</f>
        <v>AL513523.1</v>
      </c>
      <c r="I321" s="3" t="str">
        <f>"processed_pseudogene"</f>
        <v>processed_pseudogene</v>
      </c>
    </row>
    <row r="322" spans="1:9" x14ac:dyDescent="0.2">
      <c r="A322" s="3" t="str">
        <f>"ENSG00000143570.18"</f>
        <v>ENSG00000143570.18</v>
      </c>
      <c r="B322" s="3">
        <v>103.358973875876</v>
      </c>
      <c r="C322" s="3">
        <v>-1.19719317819673</v>
      </c>
      <c r="D322" s="3">
        <v>0.42281641261339298</v>
      </c>
      <c r="E322" s="3">
        <v>-2.8314728153455202</v>
      </c>
      <c r="F322" s="3">
        <v>4.6334172036586897E-3</v>
      </c>
      <c r="G322" s="3">
        <v>2.2272809049882301E-2</v>
      </c>
      <c r="H322" s="3" t="str">
        <f>"SLC39A1"</f>
        <v>SLC39A1</v>
      </c>
      <c r="I322" s="3" t="str">
        <f>"protein_coding"</f>
        <v>protein_coding</v>
      </c>
    </row>
    <row r="323" spans="1:9" x14ac:dyDescent="0.2">
      <c r="A323" s="3" t="str">
        <f>"ENSG00000163344.6"</f>
        <v>ENSG00000163344.6</v>
      </c>
      <c r="B323" s="3">
        <v>333.38027167464702</v>
      </c>
      <c r="C323" s="3">
        <v>1.3677758890723499</v>
      </c>
      <c r="D323" s="3">
        <v>0.32458054887683702</v>
      </c>
      <c r="E323" s="3">
        <v>4.2139798389193102</v>
      </c>
      <c r="F323" s="4">
        <v>2.50909693107611E-5</v>
      </c>
      <c r="G323" s="3">
        <v>2.36037147723334E-4</v>
      </c>
      <c r="H323" s="3" t="str">
        <f>"PMVK"</f>
        <v>PMVK</v>
      </c>
      <c r="I323" s="3" t="str">
        <f>"protein_coding"</f>
        <v>protein_coding</v>
      </c>
    </row>
    <row r="324" spans="1:9" x14ac:dyDescent="0.2">
      <c r="A324" s="3" t="str">
        <f>"ENSG00000270361.1"</f>
        <v>ENSG00000270361.1</v>
      </c>
      <c r="B324" s="3">
        <v>15.862032745971399</v>
      </c>
      <c r="C324" s="3">
        <v>2.5059761291111098</v>
      </c>
      <c r="D324" s="3">
        <v>0.898487964824353</v>
      </c>
      <c r="E324" s="3">
        <v>2.78910372450121</v>
      </c>
      <c r="F324" s="3">
        <v>5.2854134354748204E-3</v>
      </c>
      <c r="G324" s="3">
        <v>2.48142170528871E-2</v>
      </c>
      <c r="H324" s="3" t="str">
        <f>"AL451085.1"</f>
        <v>AL451085.1</v>
      </c>
      <c r="I324" s="3" t="str">
        <f>"lincRNA"</f>
        <v>lincRNA</v>
      </c>
    </row>
    <row r="325" spans="1:9" x14ac:dyDescent="0.2">
      <c r="A325" s="3" t="str">
        <f>"ENSG00000163346.17"</f>
        <v>ENSG00000163346.17</v>
      </c>
      <c r="B325" s="3">
        <v>1037.9558160885199</v>
      </c>
      <c r="C325" s="3">
        <v>1.2664612549624199</v>
      </c>
      <c r="D325" s="3">
        <v>0.28980942500052698</v>
      </c>
      <c r="E325" s="3">
        <v>4.3699795303762796</v>
      </c>
      <c r="F325" s="4">
        <v>1.2425818397045799E-5</v>
      </c>
      <c r="G325" s="3">
        <v>1.24282887386754E-4</v>
      </c>
      <c r="H325" s="3" t="str">
        <f>"PBXIP1"</f>
        <v>PBXIP1</v>
      </c>
      <c r="I325" s="3" t="str">
        <f t="shared" ref="I325:I330" si="18">"protein_coding"</f>
        <v>protein_coding</v>
      </c>
    </row>
    <row r="326" spans="1:9" x14ac:dyDescent="0.2">
      <c r="A326" s="3" t="str">
        <f>"ENSG00000160685.13"</f>
        <v>ENSG00000160685.13</v>
      </c>
      <c r="B326" s="3">
        <v>1013.76295117222</v>
      </c>
      <c r="C326" s="3">
        <v>1.3685924764334301</v>
      </c>
      <c r="D326" s="3">
        <v>0.28915205024530599</v>
      </c>
      <c r="E326" s="3">
        <v>4.7331238885298204</v>
      </c>
      <c r="F326" s="4">
        <v>2.2109044798146502E-6</v>
      </c>
      <c r="G326" s="4">
        <v>2.5855556573564599E-5</v>
      </c>
      <c r="H326" s="3" t="str">
        <f>"ZBTB7B"</f>
        <v>ZBTB7B</v>
      </c>
      <c r="I326" s="3" t="str">
        <f t="shared" si="18"/>
        <v>protein_coding</v>
      </c>
    </row>
    <row r="327" spans="1:9" x14ac:dyDescent="0.2">
      <c r="A327" s="3" t="str">
        <f>"ENSG00000163354.15"</f>
        <v>ENSG00000163354.15</v>
      </c>
      <c r="B327" s="3">
        <v>27.5910506582062</v>
      </c>
      <c r="C327" s="3">
        <v>1.67032078996238</v>
      </c>
      <c r="D327" s="3">
        <v>0.66601317596854104</v>
      </c>
      <c r="E327" s="3">
        <v>2.5079395577021999</v>
      </c>
      <c r="F327" s="3">
        <v>1.2143743750362101E-2</v>
      </c>
      <c r="G327" s="3">
        <v>4.94938227544326E-2</v>
      </c>
      <c r="H327" s="3" t="str">
        <f>"DCST2"</f>
        <v>DCST2</v>
      </c>
      <c r="I327" s="3" t="str">
        <f t="shared" si="18"/>
        <v>protein_coding</v>
      </c>
    </row>
    <row r="328" spans="1:9" x14ac:dyDescent="0.2">
      <c r="A328" s="3" t="str">
        <f>"ENSG00000169242.12"</f>
        <v>ENSG00000169242.12</v>
      </c>
      <c r="B328" s="3">
        <v>1164.4917938666399</v>
      </c>
      <c r="C328" s="3">
        <v>-1.09831413199948</v>
      </c>
      <c r="D328" s="3">
        <v>0.31324384672998301</v>
      </c>
      <c r="E328" s="3">
        <v>-3.5062592400936499</v>
      </c>
      <c r="F328" s="3">
        <v>4.5445236326592601E-4</v>
      </c>
      <c r="G328" s="3">
        <v>3.07718686351396E-3</v>
      </c>
      <c r="H328" s="3" t="str">
        <f>"EFNA1"</f>
        <v>EFNA1</v>
      </c>
      <c r="I328" s="3" t="str">
        <f t="shared" si="18"/>
        <v>protein_coding</v>
      </c>
    </row>
    <row r="329" spans="1:9" x14ac:dyDescent="0.2">
      <c r="A329" s="3" t="str">
        <f>"ENSG00000179085.7"</f>
        <v>ENSG00000179085.7</v>
      </c>
      <c r="B329" s="3">
        <v>369.61603170636101</v>
      </c>
      <c r="C329" s="3">
        <v>-1.0170360994135099</v>
      </c>
      <c r="D329" s="3">
        <v>0.377917612568405</v>
      </c>
      <c r="E329" s="3">
        <v>-2.6911582461095702</v>
      </c>
      <c r="F329" s="3">
        <v>7.1204410702498302E-3</v>
      </c>
      <c r="G329" s="3">
        <v>3.17410411345267E-2</v>
      </c>
      <c r="H329" s="3" t="str">
        <f>"DPM3"</f>
        <v>DPM3</v>
      </c>
      <c r="I329" s="3" t="str">
        <f t="shared" si="18"/>
        <v>protein_coding</v>
      </c>
    </row>
    <row r="330" spans="1:9" x14ac:dyDescent="0.2">
      <c r="A330" s="3" t="str">
        <f>"ENSG00000163462.18"</f>
        <v>ENSG00000163462.18</v>
      </c>
      <c r="B330" s="3">
        <v>20.384368905121999</v>
      </c>
      <c r="C330" s="3">
        <v>-3.3496224085057298</v>
      </c>
      <c r="D330" s="3">
        <v>0.898973597952335</v>
      </c>
      <c r="E330" s="3">
        <v>-3.7260520399436001</v>
      </c>
      <c r="F330" s="3">
        <v>1.94502264494682E-4</v>
      </c>
      <c r="G330" s="3">
        <v>1.4583321798401501E-3</v>
      </c>
      <c r="H330" s="3" t="str">
        <f>"TRIM46"</f>
        <v>TRIM46</v>
      </c>
      <c r="I330" s="3" t="str">
        <f t="shared" si="18"/>
        <v>protein_coding</v>
      </c>
    </row>
    <row r="331" spans="1:9" x14ac:dyDescent="0.2">
      <c r="A331" s="3" t="str">
        <f>"ENSG00000231064.7"</f>
        <v>ENSG00000231064.7</v>
      </c>
      <c r="B331" s="3">
        <v>18.118056500912701</v>
      </c>
      <c r="C331" s="3">
        <v>-2.5950550445929599</v>
      </c>
      <c r="D331" s="3">
        <v>0.86174279133192799</v>
      </c>
      <c r="E331" s="3">
        <v>-3.0114032524507501</v>
      </c>
      <c r="F331" s="3">
        <v>2.6004325535861602E-3</v>
      </c>
      <c r="G331" s="3">
        <v>1.36506429226753E-2</v>
      </c>
      <c r="H331" s="3" t="str">
        <f>"AC234582.1"</f>
        <v>AC234582.1</v>
      </c>
      <c r="I331" s="3" t="str">
        <f>"antisense"</f>
        <v>antisense</v>
      </c>
    </row>
    <row r="332" spans="1:9" x14ac:dyDescent="0.2">
      <c r="A332" s="3" t="str">
        <f>"ENSG00000236675.1"</f>
        <v>ENSG00000236675.1</v>
      </c>
      <c r="B332" s="3">
        <v>331.31642936264399</v>
      </c>
      <c r="C332" s="3">
        <v>-2.4721487974143699</v>
      </c>
      <c r="D332" s="3">
        <v>0.88050143513574097</v>
      </c>
      <c r="E332" s="3">
        <v>-2.8076601567756199</v>
      </c>
      <c r="F332" s="3">
        <v>4.9902858755764097E-3</v>
      </c>
      <c r="G332" s="3">
        <v>2.3667164630491101E-2</v>
      </c>
      <c r="H332" s="3" t="str">
        <f>"MTX1P1"</f>
        <v>MTX1P1</v>
      </c>
      <c r="I332" s="3" t="str">
        <f>"unprocessed_pseudogene"</f>
        <v>unprocessed_pseudogene</v>
      </c>
    </row>
    <row r="333" spans="1:9" x14ac:dyDescent="0.2">
      <c r="A333" s="3" t="str">
        <f>"ENSG00000143630.10"</f>
        <v>ENSG00000143630.10</v>
      </c>
      <c r="B333" s="3">
        <v>251.562220809172</v>
      </c>
      <c r="C333" s="3">
        <v>-1.2571180009559</v>
      </c>
      <c r="D333" s="3">
        <v>0.38045883872334002</v>
      </c>
      <c r="E333" s="3">
        <v>-3.3042155234828101</v>
      </c>
      <c r="F333" s="3">
        <v>9.5242581770370002E-4</v>
      </c>
      <c r="G333" s="3">
        <v>5.8563362122553402E-3</v>
      </c>
      <c r="H333" s="3" t="str">
        <f>"HCN3"</f>
        <v>HCN3</v>
      </c>
      <c r="I333" s="3" t="str">
        <f>"protein_coding"</f>
        <v>protein_coding</v>
      </c>
    </row>
    <row r="334" spans="1:9" x14ac:dyDescent="0.2">
      <c r="A334" s="3" t="str">
        <f>"ENSG00000143627.19"</f>
        <v>ENSG00000143627.19</v>
      </c>
      <c r="B334" s="3">
        <v>170.79905793535599</v>
      </c>
      <c r="C334" s="3">
        <v>-2.2403430418725399</v>
      </c>
      <c r="D334" s="3">
        <v>0.40066088766417302</v>
      </c>
      <c r="E334" s="3">
        <v>-5.5916190245910702</v>
      </c>
      <c r="F334" s="4">
        <v>2.2496199951194298E-8</v>
      </c>
      <c r="G334" s="4">
        <v>3.74426048036557E-7</v>
      </c>
      <c r="H334" s="3" t="str">
        <f>"PKLR"</f>
        <v>PKLR</v>
      </c>
      <c r="I334" s="3" t="str">
        <f>"protein_coding"</f>
        <v>protein_coding</v>
      </c>
    </row>
    <row r="335" spans="1:9" x14ac:dyDescent="0.2">
      <c r="A335" s="3" t="str">
        <f>"ENSG00000160752.14"</f>
        <v>ENSG00000160752.14</v>
      </c>
      <c r="B335" s="3">
        <v>3336.9744430098299</v>
      </c>
      <c r="C335" s="3">
        <v>-1.6035366580124699</v>
      </c>
      <c r="D335" s="3">
        <v>0.28446007967477099</v>
      </c>
      <c r="E335" s="3">
        <v>-5.6371237041268696</v>
      </c>
      <c r="F335" s="4">
        <v>1.7291390397063801E-8</v>
      </c>
      <c r="G335" s="4">
        <v>2.9458846979423002E-7</v>
      </c>
      <c r="H335" s="3" t="str">
        <f>"FDPS"</f>
        <v>FDPS</v>
      </c>
      <c r="I335" s="3" t="str">
        <f>"protein_coding"</f>
        <v>protein_coding</v>
      </c>
    </row>
    <row r="336" spans="1:9" x14ac:dyDescent="0.2">
      <c r="A336" s="3" t="str">
        <f>"ENSG00000225855.6"</f>
        <v>ENSG00000225855.6</v>
      </c>
      <c r="B336" s="3">
        <v>167.71214635988099</v>
      </c>
      <c r="C336" s="3">
        <v>1.1753416782097299</v>
      </c>
      <c r="D336" s="3">
        <v>0.36503224545025398</v>
      </c>
      <c r="E336" s="3">
        <v>3.2198297352059599</v>
      </c>
      <c r="F336" s="3">
        <v>1.28266754554942E-3</v>
      </c>
      <c r="G336" s="3">
        <v>7.5474858732855303E-3</v>
      </c>
      <c r="H336" s="3" t="str">
        <f>"RUSC1-AS1"</f>
        <v>RUSC1-AS1</v>
      </c>
      <c r="I336" s="3" t="str">
        <f>"antisense"</f>
        <v>antisense</v>
      </c>
    </row>
    <row r="337" spans="1:9" x14ac:dyDescent="0.2">
      <c r="A337" s="3" t="str">
        <f>"ENSG00000254726.3"</f>
        <v>ENSG00000254726.3</v>
      </c>
      <c r="B337" s="3">
        <v>1330.1646478176301</v>
      </c>
      <c r="C337" s="3">
        <v>-1.27290718472918</v>
      </c>
      <c r="D337" s="3">
        <v>0.327586652882286</v>
      </c>
      <c r="E337" s="3">
        <v>-3.8857113790487201</v>
      </c>
      <c r="F337" s="3">
        <v>1.02030669538825E-4</v>
      </c>
      <c r="G337" s="3">
        <v>8.2633016492245298E-4</v>
      </c>
      <c r="H337" s="3" t="str">
        <f>"MEX3A"</f>
        <v>MEX3A</v>
      </c>
      <c r="I337" s="3" t="str">
        <f>"protein_coding"</f>
        <v>protein_coding</v>
      </c>
    </row>
    <row r="338" spans="1:9" x14ac:dyDescent="0.2">
      <c r="A338" s="3" t="str">
        <f>"ENSG00000160789.20"</f>
        <v>ENSG00000160789.20</v>
      </c>
      <c r="B338" s="3">
        <v>9414.8562287201294</v>
      </c>
      <c r="C338" s="3">
        <v>1.2077836178533099</v>
      </c>
      <c r="D338" s="3">
        <v>0.29168436015996202</v>
      </c>
      <c r="E338" s="3">
        <v>4.1407212138180904</v>
      </c>
      <c r="F338" s="4">
        <v>3.46215539052099E-5</v>
      </c>
      <c r="G338" s="3">
        <v>3.1588871544633798E-4</v>
      </c>
      <c r="H338" s="3" t="str">
        <f>"LMNA"</f>
        <v>LMNA</v>
      </c>
      <c r="I338" s="3" t="str">
        <f>"protein_coding"</f>
        <v>protein_coding</v>
      </c>
    </row>
    <row r="339" spans="1:9" x14ac:dyDescent="0.2">
      <c r="A339" s="3" t="str">
        <f>"ENSG00000237390.1"</f>
        <v>ENSG00000237390.1</v>
      </c>
      <c r="B339" s="3">
        <v>46.516077416754698</v>
      </c>
      <c r="C339" s="3">
        <v>1.86033547653106</v>
      </c>
      <c r="D339" s="3">
        <v>0.56086593486710201</v>
      </c>
      <c r="E339" s="3">
        <v>3.3168986755665002</v>
      </c>
      <c r="F339" s="3">
        <v>9.1022620548415799E-4</v>
      </c>
      <c r="G339" s="3">
        <v>5.6368144261334302E-3</v>
      </c>
      <c r="H339" s="3" t="str">
        <f>"AL139130.1"</f>
        <v>AL139130.1</v>
      </c>
      <c r="I339" s="3" t="str">
        <f>"lincRNA"</f>
        <v>lincRNA</v>
      </c>
    </row>
    <row r="340" spans="1:9" x14ac:dyDescent="0.2">
      <c r="A340" s="3" t="str">
        <f>"ENSG00000132688.11"</f>
        <v>ENSG00000132688.11</v>
      </c>
      <c r="B340" s="3">
        <v>10055.1297172628</v>
      </c>
      <c r="C340" s="3">
        <v>-1.4145232795153699</v>
      </c>
      <c r="D340" s="3">
        <v>0.23998192143394301</v>
      </c>
      <c r="E340" s="3">
        <v>-5.8942909993523296</v>
      </c>
      <c r="F340" s="4">
        <v>3.7629353108114297E-9</v>
      </c>
      <c r="G340" s="4">
        <v>7.0744871258192501E-8</v>
      </c>
      <c r="H340" s="3" t="str">
        <f>"NES"</f>
        <v>NES</v>
      </c>
      <c r="I340" s="3" t="str">
        <f t="shared" ref="I340:I345" si="19">"protein_coding"</f>
        <v>protein_coding</v>
      </c>
    </row>
    <row r="341" spans="1:9" x14ac:dyDescent="0.2">
      <c r="A341" s="3" t="str">
        <f>"ENSG00000027869.11"</f>
        <v>ENSG00000027869.11</v>
      </c>
      <c r="B341" s="3">
        <v>610.07530963047498</v>
      </c>
      <c r="C341" s="3">
        <v>3.0026944048657001</v>
      </c>
      <c r="D341" s="3">
        <v>0.35416350672640401</v>
      </c>
      <c r="E341" s="3">
        <v>8.4782716113812295</v>
      </c>
      <c r="F341" s="4">
        <v>2.2856388623159699E-17</v>
      </c>
      <c r="G341" s="4">
        <v>1.03223062085383E-15</v>
      </c>
      <c r="H341" s="3" t="str">
        <f>"SH2D2A"</f>
        <v>SH2D2A</v>
      </c>
      <c r="I341" s="3" t="str">
        <f t="shared" si="19"/>
        <v>protein_coding</v>
      </c>
    </row>
    <row r="342" spans="1:9" x14ac:dyDescent="0.2">
      <c r="A342" s="3" t="str">
        <f>"ENSG00000187800.13"</f>
        <v>ENSG00000187800.13</v>
      </c>
      <c r="B342" s="3">
        <v>416.32595351265297</v>
      </c>
      <c r="C342" s="3">
        <v>5.8684885091725496</v>
      </c>
      <c r="D342" s="3">
        <v>0.40167355755801398</v>
      </c>
      <c r="E342" s="3">
        <v>14.610094189047899</v>
      </c>
      <c r="F342" s="4">
        <v>2.4218292482422699E-48</v>
      </c>
      <c r="G342" s="4">
        <v>6.0317935385677401E-46</v>
      </c>
      <c r="H342" s="3" t="str">
        <f>"PEAR1"</f>
        <v>PEAR1</v>
      </c>
      <c r="I342" s="3" t="str">
        <f t="shared" si="19"/>
        <v>protein_coding</v>
      </c>
    </row>
    <row r="343" spans="1:9" x14ac:dyDescent="0.2">
      <c r="A343" s="3" t="str">
        <f>"ENSG00000163564.14"</f>
        <v>ENSG00000163564.14</v>
      </c>
      <c r="B343" s="3">
        <v>28.430669072768598</v>
      </c>
      <c r="C343" s="3">
        <v>4.2599999794314298</v>
      </c>
      <c r="D343" s="3">
        <v>0.87989207500433297</v>
      </c>
      <c r="E343" s="3">
        <v>4.8415028393231703</v>
      </c>
      <c r="F343" s="4">
        <v>1.2886083426752801E-6</v>
      </c>
      <c r="G343" s="4">
        <v>1.56745371663427E-5</v>
      </c>
      <c r="H343" s="3" t="str">
        <f>"PYHIN1"</f>
        <v>PYHIN1</v>
      </c>
      <c r="I343" s="3" t="str">
        <f t="shared" si="19"/>
        <v>protein_coding</v>
      </c>
    </row>
    <row r="344" spans="1:9" x14ac:dyDescent="0.2">
      <c r="A344" s="3" t="str">
        <f>"ENSG00000162729.14"</f>
        <v>ENSG00000162729.14</v>
      </c>
      <c r="B344" s="3">
        <v>649.051138866374</v>
      </c>
      <c r="C344" s="3">
        <v>-1.61717209840335</v>
      </c>
      <c r="D344" s="3">
        <v>0.30850426856275198</v>
      </c>
      <c r="E344" s="3">
        <v>-5.2419764106907598</v>
      </c>
      <c r="F344" s="4">
        <v>1.5886568405893799E-7</v>
      </c>
      <c r="G344" s="4">
        <v>2.3113165312334301E-6</v>
      </c>
      <c r="H344" s="3" t="str">
        <f>"IGSF8"</f>
        <v>IGSF8</v>
      </c>
      <c r="I344" s="3" t="str">
        <f t="shared" si="19"/>
        <v>protein_coding</v>
      </c>
    </row>
    <row r="345" spans="1:9" x14ac:dyDescent="0.2">
      <c r="A345" s="3" t="str">
        <f>"ENSG00000018625.14"</f>
        <v>ENSG00000018625.14</v>
      </c>
      <c r="B345" s="3">
        <v>75.110469768520403</v>
      </c>
      <c r="C345" s="3">
        <v>-3.6856821587435098</v>
      </c>
      <c r="D345" s="3">
        <v>0.52965861605603104</v>
      </c>
      <c r="E345" s="3">
        <v>-6.9585994582472903</v>
      </c>
      <c r="F345" s="4">
        <v>3.4367207850662601E-12</v>
      </c>
      <c r="G345" s="4">
        <v>9.35613759181187E-11</v>
      </c>
      <c r="H345" s="3" t="str">
        <f>"ATP1A2"</f>
        <v>ATP1A2</v>
      </c>
      <c r="I345" s="3" t="str">
        <f t="shared" si="19"/>
        <v>protein_coding</v>
      </c>
    </row>
    <row r="346" spans="1:9" x14ac:dyDescent="0.2">
      <c r="A346" s="3" t="str">
        <f>"ENSG00000228606.2"</f>
        <v>ENSG00000228606.2</v>
      </c>
      <c r="B346" s="3">
        <v>28.751251662735498</v>
      </c>
      <c r="C346" s="3">
        <v>-1.72923410278829</v>
      </c>
      <c r="D346" s="3">
        <v>0.67644178986877801</v>
      </c>
      <c r="E346" s="3">
        <v>-2.5563679368829999</v>
      </c>
      <c r="F346" s="3">
        <v>1.05771212004976E-2</v>
      </c>
      <c r="G346" s="3">
        <v>4.4256068496093898E-2</v>
      </c>
      <c r="H346" s="3" t="str">
        <f>"AL139011.1"</f>
        <v>AL139011.1</v>
      </c>
      <c r="I346" s="3" t="str">
        <f>"antisense"</f>
        <v>antisense</v>
      </c>
    </row>
    <row r="347" spans="1:9" x14ac:dyDescent="0.2">
      <c r="A347" s="3" t="str">
        <f>"ENSG00000162738.6"</f>
        <v>ENSG00000162738.6</v>
      </c>
      <c r="B347" s="3">
        <v>149.145388415019</v>
      </c>
      <c r="C347" s="3">
        <v>-1.87949843872662</v>
      </c>
      <c r="D347" s="3">
        <v>0.35895910549612298</v>
      </c>
      <c r="E347" s="3">
        <v>-5.2359681366180704</v>
      </c>
      <c r="F347" s="4">
        <v>1.6412226746947199E-7</v>
      </c>
      <c r="G347" s="4">
        <v>2.3794893475844098E-6</v>
      </c>
      <c r="H347" s="3" t="str">
        <f>"VANGL2"</f>
        <v>VANGL2</v>
      </c>
      <c r="I347" s="3" t="str">
        <f>"protein_coding"</f>
        <v>protein_coding</v>
      </c>
    </row>
    <row r="348" spans="1:9" x14ac:dyDescent="0.2">
      <c r="A348" s="3" t="str">
        <f>"ENSG00000213080.3"</f>
        <v>ENSG00000213080.3</v>
      </c>
      <c r="B348" s="3">
        <v>32.959786851689302</v>
      </c>
      <c r="C348" s="3">
        <v>-1.9653606328525901</v>
      </c>
      <c r="D348" s="3">
        <v>0.63345555872112902</v>
      </c>
      <c r="E348" s="3">
        <v>-3.1026022359333498</v>
      </c>
      <c r="F348" s="3">
        <v>1.91827277086414E-3</v>
      </c>
      <c r="G348" s="3">
        <v>1.0576956238674299E-2</v>
      </c>
      <c r="H348" s="3" t="str">
        <f>"AL354714.2"</f>
        <v>AL354714.2</v>
      </c>
      <c r="I348" s="3" t="str">
        <f>"processed_pseudogene"</f>
        <v>processed_pseudogene</v>
      </c>
    </row>
    <row r="349" spans="1:9" x14ac:dyDescent="0.2">
      <c r="A349" s="3" t="str">
        <f>"ENSG00000158764.7"</f>
        <v>ENSG00000158764.7</v>
      </c>
      <c r="B349" s="3">
        <v>10.9065577842347</v>
      </c>
      <c r="C349" s="3">
        <v>4.4632696628485</v>
      </c>
      <c r="D349" s="3">
        <v>1.3893328506140901</v>
      </c>
      <c r="E349" s="3">
        <v>3.2125272650651699</v>
      </c>
      <c r="F349" s="3">
        <v>1.3157265930708901E-3</v>
      </c>
      <c r="G349" s="3">
        <v>7.7077555772469301E-3</v>
      </c>
      <c r="H349" s="3" t="str">
        <f>"ITLN2"</f>
        <v>ITLN2</v>
      </c>
      <c r="I349" s="3" t="str">
        <f>"protein_coding"</f>
        <v>protein_coding</v>
      </c>
    </row>
    <row r="350" spans="1:9" x14ac:dyDescent="0.2">
      <c r="A350" s="3" t="str">
        <f>"ENSG00000158769.18"</f>
        <v>ENSG00000158769.18</v>
      </c>
      <c r="B350" s="3">
        <v>1553.7139741348701</v>
      </c>
      <c r="C350" s="3">
        <v>1.50706253025029</v>
      </c>
      <c r="D350" s="3">
        <v>0.26305383609590599</v>
      </c>
      <c r="E350" s="3">
        <v>5.7291030331176396</v>
      </c>
      <c r="F350" s="4">
        <v>1.00963060549049E-8</v>
      </c>
      <c r="G350" s="4">
        <v>1.7760320196582701E-7</v>
      </c>
      <c r="H350" s="3" t="str">
        <f>"F11R"</f>
        <v>F11R</v>
      </c>
      <c r="I350" s="3" t="str">
        <f>"protein_coding"</f>
        <v>protein_coding</v>
      </c>
    </row>
    <row r="351" spans="1:9" x14ac:dyDescent="0.2">
      <c r="A351" s="3" t="str">
        <f>"ENSG00000186517.14"</f>
        <v>ENSG00000186517.14</v>
      </c>
      <c r="B351" s="3">
        <v>72.021360836414701</v>
      </c>
      <c r="C351" s="3">
        <v>5.8147191802707203</v>
      </c>
      <c r="D351" s="3">
        <v>1.6146230553770999</v>
      </c>
      <c r="E351" s="3">
        <v>3.60128586105979</v>
      </c>
      <c r="F351" s="3">
        <v>3.1664717567720101E-4</v>
      </c>
      <c r="G351" s="3">
        <v>2.2500733627570601E-3</v>
      </c>
      <c r="H351" s="3" t="str">
        <f>"ARHGAP30"</f>
        <v>ARHGAP30</v>
      </c>
      <c r="I351" s="3" t="str">
        <f>"protein_coding"</f>
        <v>protein_coding</v>
      </c>
    </row>
    <row r="352" spans="1:9" x14ac:dyDescent="0.2">
      <c r="A352" s="3" t="str">
        <f>"ENSG00000143217.9"</f>
        <v>ENSG00000143217.9</v>
      </c>
      <c r="B352" s="3">
        <v>2912.0675580145999</v>
      </c>
      <c r="C352" s="3">
        <v>8.6749608427282006</v>
      </c>
      <c r="D352" s="3">
        <v>0.366399498513582</v>
      </c>
      <c r="E352" s="3">
        <v>23.6762355787084</v>
      </c>
      <c r="F352" s="4">
        <v>6.3372614807667199E-124</v>
      </c>
      <c r="G352" s="4">
        <v>2.6568968758114499E-120</v>
      </c>
      <c r="H352" s="3" t="str">
        <f>"NECTIN4"</f>
        <v>NECTIN4</v>
      </c>
      <c r="I352" s="3" t="str">
        <f>"protein_coding"</f>
        <v>protein_coding</v>
      </c>
    </row>
    <row r="353" spans="1:9" x14ac:dyDescent="0.2">
      <c r="A353" s="3" t="str">
        <f>"ENSG00000228917.1"</f>
        <v>ENSG00000228917.1</v>
      </c>
      <c r="B353" s="3">
        <v>7.77542223930263</v>
      </c>
      <c r="C353" s="3">
        <v>5.0047149156747599</v>
      </c>
      <c r="D353" s="3">
        <v>1.7992164464623399</v>
      </c>
      <c r="E353" s="3">
        <v>2.7816080302706898</v>
      </c>
      <c r="F353" s="3">
        <v>5.4090325051901903E-3</v>
      </c>
      <c r="G353" s="3">
        <v>2.5304856363782598E-2</v>
      </c>
      <c r="H353" s="3" t="str">
        <f>"AL591806.1"</f>
        <v>AL591806.1</v>
      </c>
      <c r="I353" s="3" t="str">
        <f>"antisense"</f>
        <v>antisense</v>
      </c>
    </row>
    <row r="354" spans="1:9" x14ac:dyDescent="0.2">
      <c r="A354" s="3" t="str">
        <f>"ENSG00000158859.10"</f>
        <v>ENSG00000158859.10</v>
      </c>
      <c r="B354" s="3">
        <v>366.95169199937499</v>
      </c>
      <c r="C354" s="3">
        <v>-2.1522976105346099</v>
      </c>
      <c r="D354" s="3">
        <v>0.33482300246179603</v>
      </c>
      <c r="E354" s="3">
        <v>-6.4281653133440102</v>
      </c>
      <c r="F354" s="4">
        <v>1.29153243362052E-10</v>
      </c>
      <c r="G354" s="4">
        <v>2.9242572788230501E-9</v>
      </c>
      <c r="H354" s="3" t="str">
        <f>"ADAMTS4"</f>
        <v>ADAMTS4</v>
      </c>
      <c r="I354" s="3" t="str">
        <f>"protein_coding"</f>
        <v>protein_coding</v>
      </c>
    </row>
    <row r="355" spans="1:9" x14ac:dyDescent="0.2">
      <c r="A355" s="3" t="str">
        <f>"ENSG00000158869.11"</f>
        <v>ENSG00000158869.11</v>
      </c>
      <c r="B355" s="3">
        <v>24.040916378280599</v>
      </c>
      <c r="C355" s="3">
        <v>-2.17318731111463</v>
      </c>
      <c r="D355" s="3">
        <v>0.809470228036965</v>
      </c>
      <c r="E355" s="3">
        <v>-2.6847031995046899</v>
      </c>
      <c r="F355" s="3">
        <v>7.2594240103789499E-3</v>
      </c>
      <c r="G355" s="3">
        <v>3.2251997700650403E-2</v>
      </c>
      <c r="H355" s="3" t="str">
        <f>"FCER1G"</f>
        <v>FCER1G</v>
      </c>
      <c r="I355" s="3" t="str">
        <f>"protein_coding"</f>
        <v>protein_coding</v>
      </c>
    </row>
    <row r="356" spans="1:9" x14ac:dyDescent="0.2">
      <c r="A356" s="3" t="str">
        <f>"ENSG00000158874.11"</f>
        <v>ENSG00000158874.11</v>
      </c>
      <c r="B356" s="3">
        <v>41879.540224566103</v>
      </c>
      <c r="C356" s="3">
        <v>-1.8491343610520401</v>
      </c>
      <c r="D356" s="3">
        <v>0.28281348729216899</v>
      </c>
      <c r="E356" s="3">
        <v>-6.5383528160442204</v>
      </c>
      <c r="F356" s="4">
        <v>6.2200054895973703E-11</v>
      </c>
      <c r="G356" s="4">
        <v>1.46365049664005E-9</v>
      </c>
      <c r="H356" s="3" t="str">
        <f>"APOA2"</f>
        <v>APOA2</v>
      </c>
      <c r="I356" s="3" t="str">
        <f>"protein_coding"</f>
        <v>protein_coding</v>
      </c>
    </row>
    <row r="357" spans="1:9" x14ac:dyDescent="0.2">
      <c r="A357" s="3" t="str">
        <f>"ENSG00000158887.16"</f>
        <v>ENSG00000158887.16</v>
      </c>
      <c r="B357" s="3">
        <v>370.61645301462602</v>
      </c>
      <c r="C357" s="3">
        <v>-1.68047327982136</v>
      </c>
      <c r="D357" s="3">
        <v>0.31665622700068102</v>
      </c>
      <c r="E357" s="3">
        <v>-5.3069326813451196</v>
      </c>
      <c r="F357" s="4">
        <v>1.1148532741582701E-7</v>
      </c>
      <c r="G357" s="4">
        <v>1.6633531501453899E-6</v>
      </c>
      <c r="H357" s="3" t="str">
        <f>"MPZ"</f>
        <v>MPZ</v>
      </c>
      <c r="I357" s="3" t="str">
        <f>"protein_coding"</f>
        <v>protein_coding</v>
      </c>
    </row>
    <row r="358" spans="1:9" x14ac:dyDescent="0.2">
      <c r="A358" s="3" t="str">
        <f>"ENSG00000283317.1"</f>
        <v>ENSG00000283317.1</v>
      </c>
      <c r="B358" s="3">
        <v>4.3343095073556199</v>
      </c>
      <c r="C358" s="3">
        <v>5.6282391793016</v>
      </c>
      <c r="D358" s="3">
        <v>2.1479745836466702</v>
      </c>
      <c r="E358" s="3">
        <v>2.62025408594286</v>
      </c>
      <c r="F358" s="3">
        <v>8.7864274604497906E-3</v>
      </c>
      <c r="G358" s="3">
        <v>3.7969864759940603E-2</v>
      </c>
      <c r="H358" s="3" t="str">
        <f>"AL831711.1"</f>
        <v>AL831711.1</v>
      </c>
      <c r="I358" s="3" t="str">
        <f>"lincRNA"</f>
        <v>lincRNA</v>
      </c>
    </row>
    <row r="359" spans="1:9" x14ac:dyDescent="0.2">
      <c r="A359" s="3" t="str">
        <f>"ENSG00000132185.16"</f>
        <v>ENSG00000132185.16</v>
      </c>
      <c r="B359" s="3">
        <v>160.80498191126901</v>
      </c>
      <c r="C359" s="3">
        <v>10.848386546088101</v>
      </c>
      <c r="D359" s="3">
        <v>1.4856622009663201</v>
      </c>
      <c r="E359" s="3">
        <v>7.3020546252250096</v>
      </c>
      <c r="F359" s="4">
        <v>2.8340615576268102E-13</v>
      </c>
      <c r="G359" s="4">
        <v>8.8340543348330194E-12</v>
      </c>
      <c r="H359" s="3" t="str">
        <f>"FCRLA"</f>
        <v>FCRLA</v>
      </c>
      <c r="I359" s="3" t="str">
        <f>"protein_coding"</f>
        <v>protein_coding</v>
      </c>
    </row>
    <row r="360" spans="1:9" x14ac:dyDescent="0.2">
      <c r="A360" s="3" t="str">
        <f>"ENSG00000198929.13"</f>
        <v>ENSG00000198929.13</v>
      </c>
      <c r="B360" s="3">
        <v>759.07578025454404</v>
      </c>
      <c r="C360" s="3">
        <v>1.3031030392612699</v>
      </c>
      <c r="D360" s="3">
        <v>0.28214358967257802</v>
      </c>
      <c r="E360" s="3">
        <v>4.6185810592879104</v>
      </c>
      <c r="F360" s="4">
        <v>3.8637304413948602E-6</v>
      </c>
      <c r="G360" s="4">
        <v>4.3350641950619002E-5</v>
      </c>
      <c r="H360" s="3" t="str">
        <f>"NOS1AP"</f>
        <v>NOS1AP</v>
      </c>
      <c r="I360" s="3" t="str">
        <f>"protein_coding"</f>
        <v>protein_coding</v>
      </c>
    </row>
    <row r="361" spans="1:9" x14ac:dyDescent="0.2">
      <c r="A361" s="3" t="str">
        <f>"ENSG00000132196.14"</f>
        <v>ENSG00000132196.14</v>
      </c>
      <c r="B361" s="3">
        <v>895.63081216321996</v>
      </c>
      <c r="C361" s="3">
        <v>1.2195117985285899</v>
      </c>
      <c r="D361" s="3">
        <v>0.26931135107110599</v>
      </c>
      <c r="E361" s="3">
        <v>4.5282599254667399</v>
      </c>
      <c r="F361" s="4">
        <v>5.9471398716433102E-6</v>
      </c>
      <c r="G361" s="4">
        <v>6.4261298741919101E-5</v>
      </c>
      <c r="H361" s="3" t="str">
        <f>"HSD17B7"</f>
        <v>HSD17B7</v>
      </c>
      <c r="I361" s="3" t="str">
        <f>"protein_coding"</f>
        <v>protein_coding</v>
      </c>
    </row>
    <row r="362" spans="1:9" x14ac:dyDescent="0.2">
      <c r="A362" s="3" t="str">
        <f>"ENSG00000143149.12"</f>
        <v>ENSG00000143149.12</v>
      </c>
      <c r="B362" s="3">
        <v>1349.9691191818299</v>
      </c>
      <c r="C362" s="3">
        <v>-1.2019682512318699</v>
      </c>
      <c r="D362" s="3">
        <v>0.25869662686314499</v>
      </c>
      <c r="E362" s="3">
        <v>-4.6462463225998203</v>
      </c>
      <c r="F362" s="4">
        <v>3.3802935227253101E-6</v>
      </c>
      <c r="G362" s="4">
        <v>3.8302379983853702E-5</v>
      </c>
      <c r="H362" s="3" t="str">
        <f>"ALDH9A1"</f>
        <v>ALDH9A1</v>
      </c>
      <c r="I362" s="3" t="str">
        <f>"protein_coding"</f>
        <v>protein_coding</v>
      </c>
    </row>
    <row r="363" spans="1:9" x14ac:dyDescent="0.2">
      <c r="A363" s="3" t="str">
        <f>"ENSG00000143179.16"</f>
        <v>ENSG00000143179.16</v>
      </c>
      <c r="B363" s="3">
        <v>1390.5721994713499</v>
      </c>
      <c r="C363" s="3">
        <v>-1.0345668870592599</v>
      </c>
      <c r="D363" s="3">
        <v>0.25834950602972601</v>
      </c>
      <c r="E363" s="3">
        <v>-4.0045243474946899</v>
      </c>
      <c r="F363" s="4">
        <v>6.2142390912863903E-5</v>
      </c>
      <c r="G363" s="3">
        <v>5.3369472291331203E-4</v>
      </c>
      <c r="H363" s="3" t="str">
        <f>"UCK2"</f>
        <v>UCK2</v>
      </c>
      <c r="I363" s="3" t="str">
        <f>"protein_coding"</f>
        <v>protein_coding</v>
      </c>
    </row>
    <row r="364" spans="1:9" x14ac:dyDescent="0.2">
      <c r="A364" s="3" t="str">
        <f>"ENSG00000232223.1"</f>
        <v>ENSG00000232223.1</v>
      </c>
      <c r="B364" s="3">
        <v>16.958839744241001</v>
      </c>
      <c r="C364" s="3">
        <v>6.1498021908823501</v>
      </c>
      <c r="D364" s="3">
        <v>1.6145308397312299</v>
      </c>
      <c r="E364" s="3">
        <v>3.8090335839643101</v>
      </c>
      <c r="F364" s="3">
        <v>1.3951100969244499E-4</v>
      </c>
      <c r="G364" s="3">
        <v>1.08717455043788E-3</v>
      </c>
      <c r="H364" s="3" t="str">
        <f>"CNN2P10"</f>
        <v>CNN2P10</v>
      </c>
      <c r="I364" s="3" t="str">
        <f>"processed_pseudogene"</f>
        <v>processed_pseudogene</v>
      </c>
    </row>
    <row r="365" spans="1:9" x14ac:dyDescent="0.2">
      <c r="A365" s="3" t="str">
        <f>"ENSG00000143194.13"</f>
        <v>ENSG00000143194.13</v>
      </c>
      <c r="B365" s="3">
        <v>18.885423160007502</v>
      </c>
      <c r="C365" s="3">
        <v>3.8896165775907998</v>
      </c>
      <c r="D365" s="3">
        <v>0.97103828039179296</v>
      </c>
      <c r="E365" s="3">
        <v>4.0056264064290303</v>
      </c>
      <c r="F365" s="4">
        <v>6.1853344935227698E-5</v>
      </c>
      <c r="G365" s="3">
        <v>5.3157529615498905E-4</v>
      </c>
      <c r="H365" s="3" t="str">
        <f>"MAEL"</f>
        <v>MAEL</v>
      </c>
      <c r="I365" s="3" t="str">
        <f>"protein_coding"</f>
        <v>protein_coding</v>
      </c>
    </row>
    <row r="366" spans="1:9" x14ac:dyDescent="0.2">
      <c r="A366" s="3" t="str">
        <f>"ENSG00000143158.11"</f>
        <v>ENSG00000143158.11</v>
      </c>
      <c r="B366" s="3">
        <v>994.22375904800197</v>
      </c>
      <c r="C366" s="3">
        <v>-1.72049823202276</v>
      </c>
      <c r="D366" s="3">
        <v>0.256206486956152</v>
      </c>
      <c r="E366" s="3">
        <v>-6.7152797435500098</v>
      </c>
      <c r="F366" s="4">
        <v>1.8770576001602701E-11</v>
      </c>
      <c r="G366" s="4">
        <v>4.6796217970298798E-10</v>
      </c>
      <c r="H366" s="3" t="str">
        <f>"MPC2"</f>
        <v>MPC2</v>
      </c>
      <c r="I366" s="3" t="str">
        <f>"protein_coding"</f>
        <v>protein_coding</v>
      </c>
    </row>
    <row r="367" spans="1:9" x14ac:dyDescent="0.2">
      <c r="A367" s="3" t="str">
        <f>"ENSG00000143147.14"</f>
        <v>ENSG00000143147.14</v>
      </c>
      <c r="B367" s="3">
        <v>404.78496338685301</v>
      </c>
      <c r="C367" s="3">
        <v>-2.6359459834026602</v>
      </c>
      <c r="D367" s="3">
        <v>0.29723050054771799</v>
      </c>
      <c r="E367" s="3">
        <v>-8.8683563044347906</v>
      </c>
      <c r="F367" s="4">
        <v>7.4233477879364402E-19</v>
      </c>
      <c r="G367" s="4">
        <v>3.6904014546549597E-17</v>
      </c>
      <c r="H367" s="3" t="str">
        <f>"GPR161"</f>
        <v>GPR161</v>
      </c>
      <c r="I367" s="3" t="str">
        <f>"protein_coding"</f>
        <v>protein_coding</v>
      </c>
    </row>
    <row r="368" spans="1:9" x14ac:dyDescent="0.2">
      <c r="A368" s="3" t="str">
        <f>"ENSG00000228697.3"</f>
        <v>ENSG00000228697.3</v>
      </c>
      <c r="B368" s="3">
        <v>20.921729134939401</v>
      </c>
      <c r="C368" s="3">
        <v>-3.1550827332868501</v>
      </c>
      <c r="D368" s="3">
        <v>0.87746424470819595</v>
      </c>
      <c r="E368" s="3">
        <v>-3.5956823908375699</v>
      </c>
      <c r="F368" s="3">
        <v>3.2354234897729299E-4</v>
      </c>
      <c r="G368" s="3">
        <v>2.2906579759425301E-3</v>
      </c>
      <c r="H368" s="3" t="str">
        <f>"AL023755.1"</f>
        <v>AL023755.1</v>
      </c>
      <c r="I368" s="3" t="str">
        <f>"lincRNA"</f>
        <v>lincRNA</v>
      </c>
    </row>
    <row r="369" spans="1:9" x14ac:dyDescent="0.2">
      <c r="A369" s="3" t="str">
        <f>"ENSG00000117479.14"</f>
        <v>ENSG00000117479.14</v>
      </c>
      <c r="B369" s="3">
        <v>1879.05411406608</v>
      </c>
      <c r="C369" s="3">
        <v>-1.2803782366935701</v>
      </c>
      <c r="D369" s="3">
        <v>0.24991030203585099</v>
      </c>
      <c r="E369" s="3">
        <v>-5.12335116345022</v>
      </c>
      <c r="F369" s="4">
        <v>3.0015258997849502E-7</v>
      </c>
      <c r="G369" s="4">
        <v>4.1349060245942197E-6</v>
      </c>
      <c r="H369" s="3" t="str">
        <f>"SLC19A2"</f>
        <v>SLC19A2</v>
      </c>
      <c r="I369" s="3" t="str">
        <f>"protein_coding"</f>
        <v>protein_coding</v>
      </c>
    </row>
    <row r="370" spans="1:9" x14ac:dyDescent="0.2">
      <c r="A370" s="3" t="str">
        <f>"ENSG00000000460.17"</f>
        <v>ENSG00000000460.17</v>
      </c>
      <c r="B370" s="3">
        <v>1422.3143458204099</v>
      </c>
      <c r="C370" s="3">
        <v>-1.0038530798331</v>
      </c>
      <c r="D370" s="3">
        <v>0.26808611093915902</v>
      </c>
      <c r="E370" s="3">
        <v>-3.74451729825316</v>
      </c>
      <c r="F370" s="3">
        <v>1.8074092483285001E-4</v>
      </c>
      <c r="G370" s="3">
        <v>1.3632797493764201E-3</v>
      </c>
      <c r="H370" s="3" t="str">
        <f>"C1orf112"</f>
        <v>C1orf112</v>
      </c>
      <c r="I370" s="3" t="str">
        <f>"protein_coding"</f>
        <v>protein_coding</v>
      </c>
    </row>
    <row r="371" spans="1:9" x14ac:dyDescent="0.2">
      <c r="A371" s="3" t="str">
        <f>"ENSG00000117586.11"</f>
        <v>ENSG00000117586.11</v>
      </c>
      <c r="B371" s="3">
        <v>807.58406243916102</v>
      </c>
      <c r="C371" s="3">
        <v>2.3191818535610702</v>
      </c>
      <c r="D371" s="3">
        <v>0.29503834057580902</v>
      </c>
      <c r="E371" s="3">
        <v>7.8606117734897003</v>
      </c>
      <c r="F371" s="4">
        <v>3.8226184189182201E-15</v>
      </c>
      <c r="G371" s="4">
        <v>1.4037659317939801E-13</v>
      </c>
      <c r="H371" s="3" t="str">
        <f>"TNFSF4"</f>
        <v>TNFSF4</v>
      </c>
      <c r="I371" s="3" t="str">
        <f>"protein_coding"</f>
        <v>protein_coding</v>
      </c>
    </row>
    <row r="372" spans="1:9" x14ac:dyDescent="0.2">
      <c r="A372" s="3" t="str">
        <f>"ENSG00000117601.13"</f>
        <v>ENSG00000117601.13</v>
      </c>
      <c r="B372" s="3">
        <v>548.83719340642199</v>
      </c>
      <c r="C372" s="3">
        <v>-1.9300109326651</v>
      </c>
      <c r="D372" s="3">
        <v>0.287368257774403</v>
      </c>
      <c r="E372" s="3">
        <v>-6.7161590762061403</v>
      </c>
      <c r="F372" s="4">
        <v>1.8657710643903299E-11</v>
      </c>
      <c r="G372" s="4">
        <v>4.6560983258669498E-10</v>
      </c>
      <c r="H372" s="3" t="str">
        <f>"SERPINC1"</f>
        <v>SERPINC1</v>
      </c>
      <c r="I372" s="3" t="str">
        <f>"protein_coding"</f>
        <v>protein_coding</v>
      </c>
    </row>
    <row r="373" spans="1:9" x14ac:dyDescent="0.2">
      <c r="A373" s="3" t="str">
        <f>"ENSG00000116161.17"</f>
        <v>ENSG00000116161.17</v>
      </c>
      <c r="B373" s="3">
        <v>2341.6121409709699</v>
      </c>
      <c r="C373" s="3">
        <v>-1.25634348253461</v>
      </c>
      <c r="D373" s="3">
        <v>0.2562397860499</v>
      </c>
      <c r="E373" s="3">
        <v>-4.9029992644855902</v>
      </c>
      <c r="F373" s="4">
        <v>9.4384337889772997E-7</v>
      </c>
      <c r="G373" s="4">
        <v>1.18652574693515E-5</v>
      </c>
      <c r="H373" s="3" t="str">
        <f>"CACYBP"</f>
        <v>CACYBP</v>
      </c>
      <c r="I373" s="3" t="str">
        <f>"protein_coding"</f>
        <v>protein_coding</v>
      </c>
    </row>
    <row r="374" spans="1:9" x14ac:dyDescent="0.2">
      <c r="A374" s="3" t="str">
        <f>"ENSG00000213057.5"</f>
        <v>ENSG00000213057.5</v>
      </c>
      <c r="B374" s="3">
        <v>127.433296832606</v>
      </c>
      <c r="C374" s="3">
        <v>-1.79048581590295</v>
      </c>
      <c r="D374" s="3">
        <v>0.38142814519412599</v>
      </c>
      <c r="E374" s="3">
        <v>-4.6941628153624801</v>
      </c>
      <c r="F374" s="4">
        <v>2.6770076362576099E-6</v>
      </c>
      <c r="G374" s="4">
        <v>3.0791096063127698E-5</v>
      </c>
      <c r="H374" s="3" t="str">
        <f>"C1orf220"</f>
        <v>C1orf220</v>
      </c>
      <c r="I374" s="3" t="str">
        <f>"lincRNA"</f>
        <v>lincRNA</v>
      </c>
    </row>
    <row r="375" spans="1:9" x14ac:dyDescent="0.2">
      <c r="A375" s="3" t="str">
        <f>"ENSG00000273062.1"</f>
        <v>ENSG00000273062.1</v>
      </c>
      <c r="B375" s="3">
        <v>23.8157588548776</v>
      </c>
      <c r="C375" s="3">
        <v>-2.1042631129642699</v>
      </c>
      <c r="D375" s="3">
        <v>0.80228923330236002</v>
      </c>
      <c r="E375" s="3">
        <v>-2.6228235723702298</v>
      </c>
      <c r="F375" s="3">
        <v>8.7204417196195799E-3</v>
      </c>
      <c r="G375" s="3">
        <v>3.7717109947907598E-2</v>
      </c>
      <c r="H375" s="3" t="str">
        <f>"AL449106.1"</f>
        <v>AL449106.1</v>
      </c>
      <c r="I375" s="3" t="str">
        <f>"antisense"</f>
        <v>antisense</v>
      </c>
    </row>
    <row r="376" spans="1:9" x14ac:dyDescent="0.2">
      <c r="A376" s="3" t="str">
        <f>"ENSG00000116191.17"</f>
        <v>ENSG00000116191.17</v>
      </c>
      <c r="B376" s="3">
        <v>1660.35761562069</v>
      </c>
      <c r="C376" s="3">
        <v>-1.2925120892367099</v>
      </c>
      <c r="D376" s="3">
        <v>0.265972153646097</v>
      </c>
      <c r="E376" s="3">
        <v>-4.8595767320684597</v>
      </c>
      <c r="F376" s="4">
        <v>1.1763698272551901E-6</v>
      </c>
      <c r="G376" s="4">
        <v>1.44631392984381E-5</v>
      </c>
      <c r="H376" s="3" t="str">
        <f>"RALGPS2"</f>
        <v>RALGPS2</v>
      </c>
      <c r="I376" s="3" t="str">
        <f>"protein_coding"</f>
        <v>protein_coding</v>
      </c>
    </row>
    <row r="377" spans="1:9" x14ac:dyDescent="0.2">
      <c r="A377" s="3" t="str">
        <f>"ENSG00000116194.13"</f>
        <v>ENSG00000116194.13</v>
      </c>
      <c r="B377" s="3">
        <v>261.70227321184302</v>
      </c>
      <c r="C377" s="3">
        <v>-3.4834739650209401</v>
      </c>
      <c r="D377" s="3">
        <v>0.44218342455787202</v>
      </c>
      <c r="E377" s="3">
        <v>-7.8778935879470797</v>
      </c>
      <c r="F377" s="4">
        <v>3.3294607362706902E-15</v>
      </c>
      <c r="G377" s="4">
        <v>1.2298470605123201E-13</v>
      </c>
      <c r="H377" s="3" t="str">
        <f>"ANGPTL1"</f>
        <v>ANGPTL1</v>
      </c>
      <c r="I377" s="3" t="str">
        <f>"protein_coding"</f>
        <v>protein_coding</v>
      </c>
    </row>
    <row r="378" spans="1:9" x14ac:dyDescent="0.2">
      <c r="A378" s="3" t="str">
        <f>"ENSG00000057252.13"</f>
        <v>ENSG00000057252.13</v>
      </c>
      <c r="B378" s="3">
        <v>2429.8135116511799</v>
      </c>
      <c r="C378" s="3">
        <v>-1.03543487210666</v>
      </c>
      <c r="D378" s="3">
        <v>0.28353845841953701</v>
      </c>
      <c r="E378" s="3">
        <v>-3.6518321989836799</v>
      </c>
      <c r="F378" s="3">
        <v>2.6037600381393201E-4</v>
      </c>
      <c r="G378" s="3">
        <v>1.8869946343818601E-3</v>
      </c>
      <c r="H378" s="3" t="str">
        <f>"SOAT1"</f>
        <v>SOAT1</v>
      </c>
      <c r="I378" s="3" t="str">
        <f>"protein_coding"</f>
        <v>protein_coding</v>
      </c>
    </row>
    <row r="379" spans="1:9" x14ac:dyDescent="0.2">
      <c r="A379" s="3" t="str">
        <f>"ENSG00000230124.8"</f>
        <v>ENSG00000230124.8</v>
      </c>
      <c r="B379" s="3">
        <v>1271.7608716576999</v>
      </c>
      <c r="C379" s="3">
        <v>1.80992785793778</v>
      </c>
      <c r="D379" s="3">
        <v>0.27526060654316198</v>
      </c>
      <c r="E379" s="3">
        <v>6.5753246738340403</v>
      </c>
      <c r="F379" s="4">
        <v>4.8547117469708998E-11</v>
      </c>
      <c r="G379" s="4">
        <v>1.1564419885895199E-9</v>
      </c>
      <c r="H379" s="3" t="str">
        <f>"ACBD6"</f>
        <v>ACBD6</v>
      </c>
      <c r="I379" s="3" t="str">
        <f>"protein_coding"</f>
        <v>protein_coding</v>
      </c>
    </row>
    <row r="380" spans="1:9" x14ac:dyDescent="0.2">
      <c r="A380" s="3" t="str">
        <f>"ENSG00000243155.1"</f>
        <v>ENSG00000243155.1</v>
      </c>
      <c r="B380" s="3">
        <v>60.948127957131</v>
      </c>
      <c r="C380" s="3">
        <v>1.30210627350002</v>
      </c>
      <c r="D380" s="3">
        <v>0.50677445389021203</v>
      </c>
      <c r="E380" s="3">
        <v>2.5693999835715999</v>
      </c>
      <c r="F380" s="3">
        <v>1.0187479466182E-2</v>
      </c>
      <c r="G380" s="3">
        <v>4.29400211078768E-2</v>
      </c>
      <c r="H380" s="3" t="str">
        <f>"AL162431.2"</f>
        <v>AL162431.2</v>
      </c>
      <c r="I380" s="3" t="str">
        <f>"antisense"</f>
        <v>antisense</v>
      </c>
    </row>
    <row r="381" spans="1:9" x14ac:dyDescent="0.2">
      <c r="A381" s="3" t="str">
        <f>"ENSG00000135823.14"</f>
        <v>ENSG00000135823.14</v>
      </c>
      <c r="B381" s="3">
        <v>2836.15790359021</v>
      </c>
      <c r="C381" s="3">
        <v>1.20692502932135</v>
      </c>
      <c r="D381" s="3">
        <v>0.24290048103718201</v>
      </c>
      <c r="E381" s="3">
        <v>4.9688046074169998</v>
      </c>
      <c r="F381" s="4">
        <v>6.7366909873948997E-7</v>
      </c>
      <c r="G381" s="4">
        <v>8.7171533841521894E-6</v>
      </c>
      <c r="H381" s="3" t="str">
        <f>"STX6"</f>
        <v>STX6</v>
      </c>
      <c r="I381" s="3" t="str">
        <f t="shared" ref="I381:I388" si="20">"protein_coding"</f>
        <v>protein_coding</v>
      </c>
    </row>
    <row r="382" spans="1:9" x14ac:dyDescent="0.2">
      <c r="A382" s="3" t="str">
        <f>"ENSG00000153029.14"</f>
        <v>ENSG00000153029.14</v>
      </c>
      <c r="B382" s="3">
        <v>3217.92789115095</v>
      </c>
      <c r="C382" s="3">
        <v>4.6591743507040402</v>
      </c>
      <c r="D382" s="3">
        <v>0.248132925740642</v>
      </c>
      <c r="E382" s="3">
        <v>18.776929086686302</v>
      </c>
      <c r="F382" s="4">
        <v>1.16633638558268E-78</v>
      </c>
      <c r="G382" s="4">
        <v>8.6291740527447704E-76</v>
      </c>
      <c r="H382" s="3" t="str">
        <f>"MR1"</f>
        <v>MR1</v>
      </c>
      <c r="I382" s="3" t="str">
        <f t="shared" si="20"/>
        <v>protein_coding</v>
      </c>
    </row>
    <row r="383" spans="1:9" x14ac:dyDescent="0.2">
      <c r="A383" s="3" t="str">
        <f>"ENSG00000162783.10"</f>
        <v>ENSG00000162783.10</v>
      </c>
      <c r="B383" s="3">
        <v>597.05406008903606</v>
      </c>
      <c r="C383" s="3">
        <v>1.14191872211756</v>
      </c>
      <c r="D383" s="3">
        <v>0.29140092674245799</v>
      </c>
      <c r="E383" s="3">
        <v>3.9187202830236498</v>
      </c>
      <c r="F383" s="4">
        <v>8.9020349851766994E-5</v>
      </c>
      <c r="G383" s="3">
        <v>7.3251779539457E-4</v>
      </c>
      <c r="H383" s="3" t="str">
        <f>"IER5"</f>
        <v>IER5</v>
      </c>
      <c r="I383" s="3" t="str">
        <f t="shared" si="20"/>
        <v>protein_coding</v>
      </c>
    </row>
    <row r="384" spans="1:9" x14ac:dyDescent="0.2">
      <c r="A384" s="3" t="str">
        <f>"ENSG00000116701.14"</f>
        <v>ENSG00000116701.14</v>
      </c>
      <c r="B384" s="3">
        <v>44.1720405652446</v>
      </c>
      <c r="C384" s="3">
        <v>-1.5915590456967801</v>
      </c>
      <c r="D384" s="3">
        <v>0.56221638496967696</v>
      </c>
      <c r="E384" s="3">
        <v>-2.83086563865018</v>
      </c>
      <c r="F384" s="3">
        <v>4.6422217569222204E-3</v>
      </c>
      <c r="G384" s="3">
        <v>2.2298088274847899E-2</v>
      </c>
      <c r="H384" s="3" t="str">
        <f>"NCF2"</f>
        <v>NCF2</v>
      </c>
      <c r="I384" s="3" t="str">
        <f t="shared" si="20"/>
        <v>protein_coding</v>
      </c>
    </row>
    <row r="385" spans="1:9" x14ac:dyDescent="0.2">
      <c r="A385" s="3" t="str">
        <f>"ENSG00000143344.15"</f>
        <v>ENSG00000143344.15</v>
      </c>
      <c r="B385" s="3">
        <v>2229.5100297843201</v>
      </c>
      <c r="C385" s="3">
        <v>2.2417235927424</v>
      </c>
      <c r="D385" s="3">
        <v>0.244847641203362</v>
      </c>
      <c r="E385" s="3">
        <v>9.1555858235959295</v>
      </c>
      <c r="F385" s="4">
        <v>5.4063666571971303E-20</v>
      </c>
      <c r="G385" s="4">
        <v>2.91839384681961E-18</v>
      </c>
      <c r="H385" s="3" t="str">
        <f>"RGL1"</f>
        <v>RGL1</v>
      </c>
      <c r="I385" s="3" t="str">
        <f t="shared" si="20"/>
        <v>protein_coding</v>
      </c>
    </row>
    <row r="386" spans="1:9" x14ac:dyDescent="0.2">
      <c r="A386" s="3" t="str">
        <f>"ENSG00000198756.12"</f>
        <v>ENSG00000198756.12</v>
      </c>
      <c r="B386" s="3">
        <v>1213.22394661884</v>
      </c>
      <c r="C386" s="3">
        <v>-2.3801174798292299</v>
      </c>
      <c r="D386" s="3">
        <v>0.26658408336646799</v>
      </c>
      <c r="E386" s="3">
        <v>-8.9282055018916093</v>
      </c>
      <c r="F386" s="4">
        <v>4.3297477260679399E-19</v>
      </c>
      <c r="G386" s="4">
        <v>2.1914447494816699E-17</v>
      </c>
      <c r="H386" s="3" t="str">
        <f>"COLGALT2"</f>
        <v>COLGALT2</v>
      </c>
      <c r="I386" s="3" t="str">
        <f t="shared" si="20"/>
        <v>protein_coding</v>
      </c>
    </row>
    <row r="387" spans="1:9" x14ac:dyDescent="0.2">
      <c r="A387" s="3" t="str">
        <f>"ENSG00000198860.12"</f>
        <v>ENSG00000198860.12</v>
      </c>
      <c r="B387" s="3">
        <v>662.88615851174598</v>
      </c>
      <c r="C387" s="3">
        <v>-1.30723635765489</v>
      </c>
      <c r="D387" s="3">
        <v>0.30582983331914398</v>
      </c>
      <c r="E387" s="3">
        <v>-4.2743912307951204</v>
      </c>
      <c r="F387" s="4">
        <v>1.91660240221617E-5</v>
      </c>
      <c r="G387" s="3">
        <v>1.84156353811107E-4</v>
      </c>
      <c r="H387" s="3" t="str">
        <f>"TSEN15"</f>
        <v>TSEN15</v>
      </c>
      <c r="I387" s="3" t="str">
        <f t="shared" si="20"/>
        <v>protein_coding</v>
      </c>
    </row>
    <row r="388" spans="1:9" x14ac:dyDescent="0.2">
      <c r="A388" s="3" t="str">
        <f>"ENSG00000121481.11"</f>
        <v>ENSG00000121481.11</v>
      </c>
      <c r="B388" s="3">
        <v>1098.4734362244601</v>
      </c>
      <c r="C388" s="3">
        <v>-1.1515172183097999</v>
      </c>
      <c r="D388" s="3">
        <v>0.26837621331586298</v>
      </c>
      <c r="E388" s="3">
        <v>-4.2906828592686601</v>
      </c>
      <c r="F388" s="4">
        <v>1.7812454361381999E-5</v>
      </c>
      <c r="G388" s="3">
        <v>1.7293411403340999E-4</v>
      </c>
      <c r="H388" s="3" t="str">
        <f>"RNF2"</f>
        <v>RNF2</v>
      </c>
      <c r="I388" s="3" t="str">
        <f t="shared" si="20"/>
        <v>protein_coding</v>
      </c>
    </row>
    <row r="389" spans="1:9" x14ac:dyDescent="0.2">
      <c r="A389" s="3" t="str">
        <f>"ENSG00000273004.1"</f>
        <v>ENSG00000273004.1</v>
      </c>
      <c r="B389" s="3">
        <v>62.690356063639001</v>
      </c>
      <c r="C389" s="3">
        <v>-1.45981620976896</v>
      </c>
      <c r="D389" s="3">
        <v>0.52962741923194101</v>
      </c>
      <c r="E389" s="3">
        <v>-2.75630784351379</v>
      </c>
      <c r="F389" s="3">
        <v>5.8457949666552104E-3</v>
      </c>
      <c r="G389" s="3">
        <v>2.69373461048199E-2</v>
      </c>
      <c r="H389" s="3" t="str">
        <f>"AL078644.2"</f>
        <v>AL078644.2</v>
      </c>
      <c r="I389" s="3" t="str">
        <f>"lincRNA"</f>
        <v>lincRNA</v>
      </c>
    </row>
    <row r="390" spans="1:9" x14ac:dyDescent="0.2">
      <c r="A390" s="3" t="str">
        <f>"ENSG00000230426.3"</f>
        <v>ENSG00000230426.3</v>
      </c>
      <c r="B390" s="3">
        <v>315.53443437438301</v>
      </c>
      <c r="C390" s="3">
        <v>4.0138745958261204</v>
      </c>
      <c r="D390" s="3">
        <v>0.34525261826835901</v>
      </c>
      <c r="E390" s="3">
        <v>11.625906317403199</v>
      </c>
      <c r="F390" s="4">
        <v>3.0434608999340901E-31</v>
      </c>
      <c r="G390" s="4">
        <v>3.2577982526741302E-29</v>
      </c>
      <c r="H390" s="3" t="str">
        <f>"ERVMER61-1"</f>
        <v>ERVMER61-1</v>
      </c>
      <c r="I390" s="3" t="str">
        <f>"lincRNA"</f>
        <v>lincRNA</v>
      </c>
    </row>
    <row r="391" spans="1:9" x14ac:dyDescent="0.2">
      <c r="A391" s="3" t="str">
        <f>"ENSG00000274702.1"</f>
        <v>ENSG00000274702.1</v>
      </c>
      <c r="B391" s="3">
        <v>11.505523214401199</v>
      </c>
      <c r="C391" s="3">
        <v>7.0445353132247002</v>
      </c>
      <c r="D391" s="3">
        <v>1.72618505261496</v>
      </c>
      <c r="E391" s="3">
        <v>4.0809850036374202</v>
      </c>
      <c r="F391" s="4">
        <v>4.4845248744676199E-5</v>
      </c>
      <c r="G391" s="3">
        <v>3.97351966245977E-4</v>
      </c>
      <c r="H391" s="3" t="str">
        <f>"AL357559.1"</f>
        <v>AL357559.1</v>
      </c>
      <c r="I391" s="3" t="str">
        <f>"processed_pseudogene"</f>
        <v>processed_pseudogene</v>
      </c>
    </row>
    <row r="392" spans="1:9" x14ac:dyDescent="0.2">
      <c r="A392" s="3" t="str">
        <f>"ENSG00000285280.1"</f>
        <v>ENSG00000285280.1</v>
      </c>
      <c r="B392" s="3">
        <v>118.42066973884501</v>
      </c>
      <c r="C392" s="3">
        <v>-1.5455542264084401</v>
      </c>
      <c r="D392" s="3">
        <v>0.399028416714303</v>
      </c>
      <c r="E392" s="3">
        <v>-3.8732936344105702</v>
      </c>
      <c r="F392" s="3">
        <v>1.0737432957353701E-4</v>
      </c>
      <c r="G392" s="3">
        <v>8.6509663711940496E-4</v>
      </c>
      <c r="H392" s="3" t="str">
        <f>"AL390957.1"</f>
        <v>AL390957.1</v>
      </c>
      <c r="I392" s="3" t="str">
        <f>"lincRNA"</f>
        <v>lincRNA</v>
      </c>
    </row>
    <row r="393" spans="1:9" x14ac:dyDescent="0.2">
      <c r="A393" s="3" t="str">
        <f>"ENSG00000116833.14"</f>
        <v>ENSG00000116833.14</v>
      </c>
      <c r="B393" s="3">
        <v>49.038263048626099</v>
      </c>
      <c r="C393" s="3">
        <v>-2.19079465881814</v>
      </c>
      <c r="D393" s="3">
        <v>0.54943629292864804</v>
      </c>
      <c r="E393" s="3">
        <v>-3.9873497382937599</v>
      </c>
      <c r="F393" s="4">
        <v>6.6815494966712395E-5</v>
      </c>
      <c r="G393" s="3">
        <v>5.6858720429216897E-4</v>
      </c>
      <c r="H393" s="3" t="str">
        <f>"NR5A2"</f>
        <v>NR5A2</v>
      </c>
      <c r="I393" s="3" t="str">
        <f>"protein_coding"</f>
        <v>protein_coding</v>
      </c>
    </row>
    <row r="394" spans="1:9" x14ac:dyDescent="0.2">
      <c r="A394" s="3" t="str">
        <f>"ENSG00000229191.1"</f>
        <v>ENSG00000229191.1</v>
      </c>
      <c r="B394" s="3">
        <v>4.8710656599615998</v>
      </c>
      <c r="C394" s="3">
        <v>-5.6699190408059801</v>
      </c>
      <c r="D394" s="3">
        <v>2.0416308405918699</v>
      </c>
      <c r="E394" s="3">
        <v>-2.7771519356370402</v>
      </c>
      <c r="F394" s="3">
        <v>5.4837538420425998E-3</v>
      </c>
      <c r="G394" s="3">
        <v>2.55735683901709E-2</v>
      </c>
      <c r="H394" s="3" t="str">
        <f>"AL358473.1"</f>
        <v>AL358473.1</v>
      </c>
      <c r="I394" s="3" t="str">
        <f>"antisense"</f>
        <v>antisense</v>
      </c>
    </row>
    <row r="395" spans="1:9" x14ac:dyDescent="0.2">
      <c r="A395" s="3" t="str">
        <f>"ENSG00000174307.6"</f>
        <v>ENSG00000174307.6</v>
      </c>
      <c r="B395" s="3">
        <v>1537.7257635553101</v>
      </c>
      <c r="C395" s="3">
        <v>8.7695906458398003</v>
      </c>
      <c r="D395" s="3">
        <v>0.46457157222308498</v>
      </c>
      <c r="E395" s="3">
        <v>18.876726795561801</v>
      </c>
      <c r="F395" s="4">
        <v>1.77235115482513E-79</v>
      </c>
      <c r="G395" s="4">
        <v>1.3932341656133099E-76</v>
      </c>
      <c r="H395" s="3" t="str">
        <f>"PHLDA3"</f>
        <v>PHLDA3</v>
      </c>
      <c r="I395" s="3" t="str">
        <f>"protein_coding"</f>
        <v>protein_coding</v>
      </c>
    </row>
    <row r="396" spans="1:9" x14ac:dyDescent="0.2">
      <c r="A396" s="3" t="str">
        <f>"ENSG00000143862.8"</f>
        <v>ENSG00000143862.8</v>
      </c>
      <c r="B396" s="3">
        <v>1137.3039077594699</v>
      </c>
      <c r="C396" s="3">
        <v>1.93606661995423</v>
      </c>
      <c r="D396" s="3">
        <v>0.31774597838820201</v>
      </c>
      <c r="E396" s="3">
        <v>6.0931270626149798</v>
      </c>
      <c r="F396" s="4">
        <v>1.10726104471613E-9</v>
      </c>
      <c r="G396" s="4">
        <v>2.2426047970881E-8</v>
      </c>
      <c r="H396" s="3" t="str">
        <f>"ARL8A"</f>
        <v>ARL8A</v>
      </c>
      <c r="I396" s="3" t="str">
        <f>"protein_coding"</f>
        <v>protein_coding</v>
      </c>
    </row>
    <row r="397" spans="1:9" x14ac:dyDescent="0.2">
      <c r="A397" s="3" t="str">
        <f>"ENSG00000243323.7"</f>
        <v>ENSG00000243323.7</v>
      </c>
      <c r="B397" s="3">
        <v>20.993765747716601</v>
      </c>
      <c r="C397" s="3">
        <v>2.5321385624032899</v>
      </c>
      <c r="D397" s="3">
        <v>0.80288034532948505</v>
      </c>
      <c r="E397" s="3">
        <v>3.1538180964738398</v>
      </c>
      <c r="F397" s="3">
        <v>1.6114949808442699E-3</v>
      </c>
      <c r="G397" s="3">
        <v>9.1464702714660496E-3</v>
      </c>
      <c r="H397" s="3" t="str">
        <f>"PTPRVP"</f>
        <v>PTPRVP</v>
      </c>
      <c r="I397" s="3" t="str">
        <f>"transcribed_unitary_pseudogene"</f>
        <v>transcribed_unitary_pseudogene</v>
      </c>
    </row>
    <row r="398" spans="1:9" x14ac:dyDescent="0.2">
      <c r="A398" s="3" t="str">
        <f>"ENSG00000077152.10"</f>
        <v>ENSG00000077152.10</v>
      </c>
      <c r="B398" s="3">
        <v>642.60964754070403</v>
      </c>
      <c r="C398" s="3">
        <v>-1.2785549595984</v>
      </c>
      <c r="D398" s="3">
        <v>0.30919478013207702</v>
      </c>
      <c r="E398" s="3">
        <v>-4.13511172165407</v>
      </c>
      <c r="F398" s="4">
        <v>3.5478199411701502E-5</v>
      </c>
      <c r="G398" s="3">
        <v>3.2241839096869599E-4</v>
      </c>
      <c r="H398" s="3" t="str">
        <f>"UBE2T"</f>
        <v>UBE2T</v>
      </c>
      <c r="I398" s="3" t="str">
        <f>"protein_coding"</f>
        <v>protein_coding</v>
      </c>
    </row>
    <row r="399" spans="1:9" x14ac:dyDescent="0.2">
      <c r="A399" s="3" t="str">
        <f>"ENSG00000214796.8"</f>
        <v>ENSG00000214796.8</v>
      </c>
      <c r="B399" s="3">
        <v>249.46591299068899</v>
      </c>
      <c r="C399" s="3">
        <v>-1.06454849263444</v>
      </c>
      <c r="D399" s="3">
        <v>0.344395659200121</v>
      </c>
      <c r="E399" s="3">
        <v>-3.0910624573692802</v>
      </c>
      <c r="F399" s="3">
        <v>1.9944167774459099E-3</v>
      </c>
      <c r="G399" s="3">
        <v>1.09254255306298E-2</v>
      </c>
      <c r="H399" s="3" t="str">
        <f>"AC098934.1"</f>
        <v>AC098934.1</v>
      </c>
      <c r="I399" s="3" t="str">
        <f>"transcribed_unprocessed_pseudogene"</f>
        <v>transcribed_unprocessed_pseudogene</v>
      </c>
    </row>
    <row r="400" spans="1:9" x14ac:dyDescent="0.2">
      <c r="A400" s="3" t="str">
        <f>"ENSG00000234996.4"</f>
        <v>ENSG00000234996.4</v>
      </c>
      <c r="B400" s="3">
        <v>81.216101337109905</v>
      </c>
      <c r="C400" s="3">
        <v>-1.8103867127298701</v>
      </c>
      <c r="D400" s="3">
        <v>0.478139083226441</v>
      </c>
      <c r="E400" s="3">
        <v>-3.78631819953628</v>
      </c>
      <c r="F400" s="3">
        <v>1.52895864234051E-4</v>
      </c>
      <c r="G400" s="3">
        <v>1.1790605348888899E-3</v>
      </c>
      <c r="H400" s="3" t="str">
        <f>"AC098934.2"</f>
        <v>AC098934.2</v>
      </c>
      <c r="I400" s="3" t="str">
        <f>"transcribed_processed_pseudogene"</f>
        <v>transcribed_processed_pseudogene</v>
      </c>
    </row>
    <row r="401" spans="1:9" x14ac:dyDescent="0.2">
      <c r="A401" s="3" t="str">
        <f>"ENSG00000117153.16"</f>
        <v>ENSG00000117153.16</v>
      </c>
      <c r="B401" s="3">
        <v>1693.91607791501</v>
      </c>
      <c r="C401" s="3">
        <v>1.3994000007927001</v>
      </c>
      <c r="D401" s="3">
        <v>0.25211518936334099</v>
      </c>
      <c r="E401" s="3">
        <v>5.5506374063639896</v>
      </c>
      <c r="F401" s="4">
        <v>2.8462989179963401E-8</v>
      </c>
      <c r="G401" s="4">
        <v>4.6613703959764302E-7</v>
      </c>
      <c r="H401" s="3" t="str">
        <f>"KLHL12"</f>
        <v>KLHL12</v>
      </c>
      <c r="I401" s="3" t="str">
        <f>"protein_coding"</f>
        <v>protein_coding</v>
      </c>
    </row>
    <row r="402" spans="1:9" x14ac:dyDescent="0.2">
      <c r="A402" s="3" t="str">
        <f>"ENSG00000199471.1"</f>
        <v>ENSG00000199471.1</v>
      </c>
      <c r="B402" s="3">
        <v>13.381359010757199</v>
      </c>
      <c r="C402" s="3">
        <v>3.2904059124872398</v>
      </c>
      <c r="D402" s="3">
        <v>1.14334814273338</v>
      </c>
      <c r="E402" s="3">
        <v>2.8778687693679399</v>
      </c>
      <c r="F402" s="3">
        <v>4.0037165360172697E-3</v>
      </c>
      <c r="G402" s="3">
        <v>1.9724537693598599E-2</v>
      </c>
      <c r="H402" s="3" t="str">
        <f>"RF00019"</f>
        <v>RF00019</v>
      </c>
      <c r="I402" s="3" t="str">
        <f>"misc_RNA"</f>
        <v>misc_RNA</v>
      </c>
    </row>
    <row r="403" spans="1:9" x14ac:dyDescent="0.2">
      <c r="A403" s="3" t="str">
        <f>"ENSG00000233791.5"</f>
        <v>ENSG00000233791.5</v>
      </c>
      <c r="B403" s="3">
        <v>16.2249060152478</v>
      </c>
      <c r="C403" s="3">
        <v>4.4354405905361203</v>
      </c>
      <c r="D403" s="3">
        <v>1.13982250757239</v>
      </c>
      <c r="E403" s="3">
        <v>3.89134322323814</v>
      </c>
      <c r="F403" s="4">
        <v>9.9690795133422201E-5</v>
      </c>
      <c r="G403" s="3">
        <v>8.09464800381289E-4</v>
      </c>
      <c r="H403" s="3" t="str">
        <f>"LINC01136"</f>
        <v>LINC01136</v>
      </c>
      <c r="I403" s="3" t="str">
        <f>"lincRNA"</f>
        <v>lincRNA</v>
      </c>
    </row>
    <row r="404" spans="1:9" x14ac:dyDescent="0.2">
      <c r="A404" s="3" t="str">
        <f>"ENSG00000159388.6"</f>
        <v>ENSG00000159388.6</v>
      </c>
      <c r="B404" s="3">
        <v>4125.5526359483902</v>
      </c>
      <c r="C404" s="3">
        <v>4.7203729799518799</v>
      </c>
      <c r="D404" s="3">
        <v>0.24388299651140899</v>
      </c>
      <c r="E404" s="3">
        <v>19.355072093888499</v>
      </c>
      <c r="F404" s="4">
        <v>1.8473592388977799E-83</v>
      </c>
      <c r="G404" s="4">
        <v>1.60242488463703E-80</v>
      </c>
      <c r="H404" s="3" t="str">
        <f>"BTG2"</f>
        <v>BTG2</v>
      </c>
      <c r="I404" s="3" t="str">
        <f>"protein_coding"</f>
        <v>protein_coding</v>
      </c>
    </row>
    <row r="405" spans="1:9" x14ac:dyDescent="0.2">
      <c r="A405" s="3" t="str">
        <f>"ENSG00000058668.14"</f>
        <v>ENSG00000058668.14</v>
      </c>
      <c r="B405" s="3">
        <v>920.94384421776499</v>
      </c>
      <c r="C405" s="3">
        <v>-1.7551571584132399</v>
      </c>
      <c r="D405" s="3">
        <v>0.25555095336857597</v>
      </c>
      <c r="E405" s="3">
        <v>-6.8681299571667704</v>
      </c>
      <c r="F405" s="4">
        <v>6.5048951158956797E-12</v>
      </c>
      <c r="G405" s="4">
        <v>1.7098290140058101E-10</v>
      </c>
      <c r="H405" s="3" t="str">
        <f>"ATP2B4"</f>
        <v>ATP2B4</v>
      </c>
      <c r="I405" s="3" t="str">
        <f>"protein_coding"</f>
        <v>protein_coding</v>
      </c>
    </row>
    <row r="406" spans="1:9" x14ac:dyDescent="0.2">
      <c r="A406" s="3" t="str">
        <f>"ENSG00000143842.15"</f>
        <v>ENSG00000143842.15</v>
      </c>
      <c r="B406" s="3">
        <v>752.06483826644603</v>
      </c>
      <c r="C406" s="3">
        <v>-1.35422583328462</v>
      </c>
      <c r="D406" s="3">
        <v>0.32612094048804402</v>
      </c>
      <c r="E406" s="3">
        <v>-4.1525264561607296</v>
      </c>
      <c r="F406" s="4">
        <v>3.2882472497689E-5</v>
      </c>
      <c r="G406" s="3">
        <v>3.0133282174111701E-4</v>
      </c>
      <c r="H406" s="3" t="str">
        <f>"SOX13"</f>
        <v>SOX13</v>
      </c>
      <c r="I406" s="3" t="str">
        <f>"protein_coding"</f>
        <v>protein_coding</v>
      </c>
    </row>
    <row r="407" spans="1:9" x14ac:dyDescent="0.2">
      <c r="A407" s="3" t="str">
        <f>"ENSG00000219133.2"</f>
        <v>ENSG00000219133.2</v>
      </c>
      <c r="B407" s="3">
        <v>77.481187346608394</v>
      </c>
      <c r="C407" s="3">
        <v>1.29684487021071</v>
      </c>
      <c r="D407" s="3">
        <v>0.43963018764754103</v>
      </c>
      <c r="E407" s="3">
        <v>2.9498540060456699</v>
      </c>
      <c r="F407" s="3">
        <v>3.1792412070927099E-3</v>
      </c>
      <c r="G407" s="3">
        <v>1.6192308678764301E-2</v>
      </c>
      <c r="H407" s="3" t="str">
        <f>"AL592114.1"</f>
        <v>AL592114.1</v>
      </c>
      <c r="I407" s="3" t="str">
        <f>"processed_pseudogene"</f>
        <v>processed_pseudogene</v>
      </c>
    </row>
    <row r="408" spans="1:9" x14ac:dyDescent="0.2">
      <c r="A408" s="3" t="str">
        <f>"ENSG00000198625.13"</f>
        <v>ENSG00000198625.13</v>
      </c>
      <c r="B408" s="3">
        <v>2431.9855572843699</v>
      </c>
      <c r="C408" s="3">
        <v>1.2158837321347</v>
      </c>
      <c r="D408" s="3">
        <v>0.26380669276917201</v>
      </c>
      <c r="E408" s="3">
        <v>4.6089950159019999</v>
      </c>
      <c r="F408" s="4">
        <v>4.0462003141134003E-6</v>
      </c>
      <c r="G408" s="4">
        <v>4.5256633571152798E-5</v>
      </c>
      <c r="H408" s="3" t="str">
        <f>"MDM4"</f>
        <v>MDM4</v>
      </c>
      <c r="I408" s="3" t="str">
        <f>"protein_coding"</f>
        <v>protein_coding</v>
      </c>
    </row>
    <row r="409" spans="1:9" x14ac:dyDescent="0.2">
      <c r="A409" s="3" t="str">
        <f>"ENSG00000133069.17"</f>
        <v>ENSG00000133069.17</v>
      </c>
      <c r="B409" s="3">
        <v>96.572998767608397</v>
      </c>
      <c r="C409" s="3">
        <v>-1.3233557248960699</v>
      </c>
      <c r="D409" s="3">
        <v>0.42428725929064998</v>
      </c>
      <c r="E409" s="3">
        <v>-3.1190088693884901</v>
      </c>
      <c r="F409" s="3">
        <v>1.8146049888927099E-3</v>
      </c>
      <c r="G409" s="3">
        <v>1.0098758516724799E-2</v>
      </c>
      <c r="H409" s="3" t="str">
        <f>"TMCC2"</f>
        <v>TMCC2</v>
      </c>
      <c r="I409" s="3" t="str">
        <f>"protein_coding"</f>
        <v>protein_coding</v>
      </c>
    </row>
    <row r="410" spans="1:9" x14ac:dyDescent="0.2">
      <c r="A410" s="3" t="str">
        <f>"ENSG00000163545.8"</f>
        <v>ENSG00000163545.8</v>
      </c>
      <c r="B410" s="3">
        <v>739.99561250116199</v>
      </c>
      <c r="C410" s="3">
        <v>1.33316856006341</v>
      </c>
      <c r="D410" s="3">
        <v>0.27521821358874698</v>
      </c>
      <c r="E410" s="3">
        <v>4.8440419065270897</v>
      </c>
      <c r="F410" s="4">
        <v>1.2722408063691099E-6</v>
      </c>
      <c r="G410" s="4">
        <v>1.5505434827623501E-5</v>
      </c>
      <c r="H410" s="3" t="str">
        <f>"NUAK2"</f>
        <v>NUAK2</v>
      </c>
      <c r="I410" s="3" t="str">
        <f>"protein_coding"</f>
        <v>protein_coding</v>
      </c>
    </row>
    <row r="411" spans="1:9" x14ac:dyDescent="0.2">
      <c r="A411" s="3" t="str">
        <f>"ENSG00000174514.13"</f>
        <v>ENSG00000174514.13</v>
      </c>
      <c r="B411" s="3">
        <v>81.950380944791405</v>
      </c>
      <c r="C411" s="3">
        <v>3.26873815663944</v>
      </c>
      <c r="D411" s="3">
        <v>0.49030845860012201</v>
      </c>
      <c r="E411" s="3">
        <v>6.6666974621894104</v>
      </c>
      <c r="F411" s="4">
        <v>2.6162361618865301E-11</v>
      </c>
      <c r="G411" s="4">
        <v>6.4206264050981005E-10</v>
      </c>
      <c r="H411" s="3" t="str">
        <f>"MFSD4A"</f>
        <v>MFSD4A</v>
      </c>
      <c r="I411" s="3" t="str">
        <f>"protein_coding"</f>
        <v>protein_coding</v>
      </c>
    </row>
    <row r="412" spans="1:9" x14ac:dyDescent="0.2">
      <c r="A412" s="3" t="str">
        <f>"ENSG00000196188.11"</f>
        <v>ENSG00000196188.11</v>
      </c>
      <c r="B412" s="3">
        <v>109.46438181523099</v>
      </c>
      <c r="C412" s="3">
        <v>-2.3236075011752</v>
      </c>
      <c r="D412" s="3">
        <v>0.45624265434996097</v>
      </c>
      <c r="E412" s="3">
        <v>-5.0929203550373803</v>
      </c>
      <c r="F412" s="4">
        <v>3.5258984140519601E-7</v>
      </c>
      <c r="G412" s="4">
        <v>4.7942688975933501E-6</v>
      </c>
      <c r="H412" s="3" t="str">
        <f>"CTSE"</f>
        <v>CTSE</v>
      </c>
      <c r="I412" s="3" t="str">
        <f>"protein_coding"</f>
        <v>protein_coding</v>
      </c>
    </row>
    <row r="413" spans="1:9" x14ac:dyDescent="0.2">
      <c r="A413" s="3" t="str">
        <f>"ENSG00000285417.1"</f>
        <v>ENSG00000285417.1</v>
      </c>
      <c r="B413" s="3">
        <v>258.79549651087598</v>
      </c>
      <c r="C413" s="3">
        <v>1.79145872179999</v>
      </c>
      <c r="D413" s="3">
        <v>0.308939770399699</v>
      </c>
      <c r="E413" s="3">
        <v>5.7987313173769799</v>
      </c>
      <c r="F413" s="4">
        <v>6.6818488092217003E-9</v>
      </c>
      <c r="G413" s="4">
        <v>1.2118378283775901E-7</v>
      </c>
      <c r="H413" s="3" t="str">
        <f>"BX571818.1"</f>
        <v>BX571818.1</v>
      </c>
      <c r="I413" s="3" t="str">
        <f>"transcribed_unitary_pseudogene"</f>
        <v>transcribed_unitary_pseudogene</v>
      </c>
    </row>
    <row r="414" spans="1:9" x14ac:dyDescent="0.2">
      <c r="A414" s="3" t="str">
        <f>"ENSG00000263528.8"</f>
        <v>ENSG00000263528.8</v>
      </c>
      <c r="B414" s="3">
        <v>515.41802515028098</v>
      </c>
      <c r="C414" s="3">
        <v>-2.1150910599122499</v>
      </c>
      <c r="D414" s="3">
        <v>0.30028461754998298</v>
      </c>
      <c r="E414" s="3">
        <v>-7.0436210724653101</v>
      </c>
      <c r="F414" s="4">
        <v>1.8730709704044099E-12</v>
      </c>
      <c r="G414" s="4">
        <v>5.2178405604122899E-11</v>
      </c>
      <c r="H414" s="3" t="str">
        <f>"IKBKE"</f>
        <v>IKBKE</v>
      </c>
      <c r="I414" s="3" t="str">
        <f>"protein_coding"</f>
        <v>protein_coding</v>
      </c>
    </row>
    <row r="415" spans="1:9" x14ac:dyDescent="0.2">
      <c r="A415" s="3" t="str">
        <f>"ENSG00000266094.7"</f>
        <v>ENSG00000266094.7</v>
      </c>
      <c r="B415" s="3">
        <v>109.28467706807901</v>
      </c>
      <c r="C415" s="3">
        <v>1.76061033702765</v>
      </c>
      <c r="D415" s="3">
        <v>0.39295184917331999</v>
      </c>
      <c r="E415" s="3">
        <v>4.4804734746294503</v>
      </c>
      <c r="F415" s="4">
        <v>7.4477635880093103E-6</v>
      </c>
      <c r="G415" s="4">
        <v>7.8950060285029106E-5</v>
      </c>
      <c r="H415" s="3" t="str">
        <f>"RASSF5"</f>
        <v>RASSF5</v>
      </c>
      <c r="I415" s="3" t="str">
        <f>"protein_coding"</f>
        <v>protein_coding</v>
      </c>
    </row>
    <row r="416" spans="1:9" x14ac:dyDescent="0.2">
      <c r="A416" s="3" t="str">
        <f>"ENSG00000234981.1"</f>
        <v>ENSG00000234981.1</v>
      </c>
      <c r="B416" s="3">
        <v>6.3439562616640099</v>
      </c>
      <c r="C416" s="3">
        <v>6.1808710572548504</v>
      </c>
      <c r="D416" s="3">
        <v>1.9221784537139801</v>
      </c>
      <c r="E416" s="3">
        <v>3.2155552702780201</v>
      </c>
      <c r="F416" s="3">
        <v>1.30192421484249E-3</v>
      </c>
      <c r="G416" s="3">
        <v>7.6393523733059802E-3</v>
      </c>
      <c r="H416" s="3" t="str">
        <f>"AC244034.1"</f>
        <v>AC244034.1</v>
      </c>
      <c r="I416" s="3" t="str">
        <f>"processed_pseudogene"</f>
        <v>processed_pseudogene</v>
      </c>
    </row>
    <row r="417" spans="1:9" x14ac:dyDescent="0.2">
      <c r="A417" s="3" t="str">
        <f>"ENSG00000279946.1"</f>
        <v>ENSG00000279946.1</v>
      </c>
      <c r="B417" s="3">
        <v>20.501484918984701</v>
      </c>
      <c r="C417" s="3">
        <v>2.5426888558574601</v>
      </c>
      <c r="D417" s="3">
        <v>0.83387553251532098</v>
      </c>
      <c r="E417" s="3">
        <v>3.0492426707708198</v>
      </c>
      <c r="F417" s="3">
        <v>2.2941908195068098E-3</v>
      </c>
      <c r="G417" s="3">
        <v>1.23076071795039E-2</v>
      </c>
      <c r="H417" s="3" t="str">
        <f>"AC244034.3"</f>
        <v>AC244034.3</v>
      </c>
      <c r="I417" s="3" t="str">
        <f>"TEC"</f>
        <v>TEC</v>
      </c>
    </row>
    <row r="418" spans="1:9" x14ac:dyDescent="0.2">
      <c r="A418" s="3" t="str">
        <f>"ENSG00000234219.1"</f>
        <v>ENSG00000234219.1</v>
      </c>
      <c r="B418" s="3">
        <v>92.607147562117405</v>
      </c>
      <c r="C418" s="3">
        <v>1.2804511176066899</v>
      </c>
      <c r="D418" s="3">
        <v>0.42974395898780299</v>
      </c>
      <c r="E418" s="3">
        <v>2.9795674629670201</v>
      </c>
      <c r="F418" s="3">
        <v>2.8865565955408698E-3</v>
      </c>
      <c r="G418" s="3">
        <v>1.49221806742356E-2</v>
      </c>
      <c r="H418" s="3" t="str">
        <f>"CDCA4P4"</f>
        <v>CDCA4P4</v>
      </c>
      <c r="I418" s="3" t="str">
        <f>"unprocessed_pseudogene"</f>
        <v>unprocessed_pseudogene</v>
      </c>
    </row>
    <row r="419" spans="1:9" x14ac:dyDescent="0.2">
      <c r="A419" s="3" t="str">
        <f>"ENSG00000076356.7"</f>
        <v>ENSG00000076356.7</v>
      </c>
      <c r="B419" s="3">
        <v>1627.7128342736501</v>
      </c>
      <c r="C419" s="3">
        <v>1.09451622207059</v>
      </c>
      <c r="D419" s="3">
        <v>0.29049737300363798</v>
      </c>
      <c r="E419" s="3">
        <v>3.7677319101157201</v>
      </c>
      <c r="F419" s="3">
        <v>1.6473747791285299E-4</v>
      </c>
      <c r="G419" s="3">
        <v>1.2580362042798499E-3</v>
      </c>
      <c r="H419" s="3" t="str">
        <f>"PLXNA2"</f>
        <v>PLXNA2</v>
      </c>
      <c r="I419" s="3" t="str">
        <f>"protein_coding"</f>
        <v>protein_coding</v>
      </c>
    </row>
    <row r="420" spans="1:9" x14ac:dyDescent="0.2">
      <c r="A420" s="3" t="str">
        <f>"ENSG00000008118.10"</f>
        <v>ENSG00000008118.10</v>
      </c>
      <c r="B420" s="3">
        <v>58.750121245739301</v>
      </c>
      <c r="C420" s="3">
        <v>9.3945398439111507</v>
      </c>
      <c r="D420" s="3">
        <v>1.51726530390106</v>
      </c>
      <c r="E420" s="3">
        <v>6.1917581715977503</v>
      </c>
      <c r="F420" s="4">
        <v>5.9496786733396099E-10</v>
      </c>
      <c r="G420" s="4">
        <v>1.25032720992362E-8</v>
      </c>
      <c r="H420" s="3" t="str">
        <f>"CAMK1G"</f>
        <v>CAMK1G</v>
      </c>
      <c r="I420" s="3" t="str">
        <f>"protein_coding"</f>
        <v>protein_coding</v>
      </c>
    </row>
    <row r="421" spans="1:9" x14ac:dyDescent="0.2">
      <c r="A421" s="3" t="str">
        <f>"ENSG00000196878.15"</f>
        <v>ENSG00000196878.15</v>
      </c>
      <c r="B421" s="3">
        <v>40.093414349687997</v>
      </c>
      <c r="C421" s="3">
        <v>2.9926522941549099</v>
      </c>
      <c r="D421" s="3">
        <v>0.61980579144029102</v>
      </c>
      <c r="E421" s="3">
        <v>4.8283709760127502</v>
      </c>
      <c r="F421" s="4">
        <v>1.3765447685607299E-6</v>
      </c>
      <c r="G421" s="4">
        <v>1.6631596375189799E-5</v>
      </c>
      <c r="H421" s="3" t="str">
        <f>"LAMB3"</f>
        <v>LAMB3</v>
      </c>
      <c r="I421" s="3" t="str">
        <f>"protein_coding"</f>
        <v>protein_coding</v>
      </c>
    </row>
    <row r="422" spans="1:9" x14ac:dyDescent="0.2">
      <c r="A422" s="3" t="str">
        <f>"ENSG00000054392.13"</f>
        <v>ENSG00000054392.13</v>
      </c>
      <c r="B422" s="3">
        <v>1208.0514269625301</v>
      </c>
      <c r="C422" s="3">
        <v>4.2911579909351296</v>
      </c>
      <c r="D422" s="3">
        <v>0.26517808890411299</v>
      </c>
      <c r="E422" s="3">
        <v>16.182174057701999</v>
      </c>
      <c r="F422" s="4">
        <v>6.7372864669757204E-59</v>
      </c>
      <c r="G422" s="4">
        <v>2.2299531720628199E-56</v>
      </c>
      <c r="H422" s="3" t="str">
        <f>"HHAT"</f>
        <v>HHAT</v>
      </c>
      <c r="I422" s="3" t="str">
        <f>"protein_coding"</f>
        <v>protein_coding</v>
      </c>
    </row>
    <row r="423" spans="1:9" x14ac:dyDescent="0.2">
      <c r="A423" s="3" t="str">
        <f>"ENSG00000279333.1"</f>
        <v>ENSG00000279333.1</v>
      </c>
      <c r="B423" s="3">
        <v>104.39273288523999</v>
      </c>
      <c r="C423" s="3">
        <v>4.2536261807770801</v>
      </c>
      <c r="D423" s="3">
        <v>0.485599894400708</v>
      </c>
      <c r="E423" s="3">
        <v>8.7595286362790308</v>
      </c>
      <c r="F423" s="4">
        <v>1.96068528921581E-18</v>
      </c>
      <c r="G423" s="4">
        <v>9.5030902601587299E-17</v>
      </c>
      <c r="H423" s="3" t="str">
        <f>"AC096636.1"</f>
        <v>AC096636.1</v>
      </c>
      <c r="I423" s="3" t="str">
        <f>"TEC"</f>
        <v>TEC</v>
      </c>
    </row>
    <row r="424" spans="1:9" x14ac:dyDescent="0.2">
      <c r="A424" s="3" t="str">
        <f>"ENSG00000226986.4"</f>
        <v>ENSG00000226986.4</v>
      </c>
      <c r="B424" s="3">
        <v>93.917960212655899</v>
      </c>
      <c r="C424" s="3">
        <v>-1.5064657461514199</v>
      </c>
      <c r="D424" s="3">
        <v>0.44268479168310898</v>
      </c>
      <c r="E424" s="3">
        <v>-3.40302123419186</v>
      </c>
      <c r="F424" s="3">
        <v>6.66451008185827E-4</v>
      </c>
      <c r="G424" s="3">
        <v>4.3032933782411204E-3</v>
      </c>
      <c r="H424" s="3" t="str">
        <f>"AC092017.1"</f>
        <v>AC092017.1</v>
      </c>
      <c r="I424" s="3" t="str">
        <f>"processed_pseudogene"</f>
        <v>processed_pseudogene</v>
      </c>
    </row>
    <row r="425" spans="1:9" x14ac:dyDescent="0.2">
      <c r="A425" s="3" t="str">
        <f>"ENSG00000170385.10"</f>
        <v>ENSG00000170385.10</v>
      </c>
      <c r="B425" s="3">
        <v>4577.1100319197603</v>
      </c>
      <c r="C425" s="3">
        <v>2.1103359717297101</v>
      </c>
      <c r="D425" s="3">
        <v>0.29570208839525403</v>
      </c>
      <c r="E425" s="3">
        <v>7.1366962038797102</v>
      </c>
      <c r="F425" s="4">
        <v>9.5600812219865694E-13</v>
      </c>
      <c r="G425" s="4">
        <v>2.7515313860305701E-11</v>
      </c>
      <c r="H425" s="3" t="str">
        <f>"SLC30A1"</f>
        <v>SLC30A1</v>
      </c>
      <c r="I425" s="3" t="str">
        <f>"protein_coding"</f>
        <v>protein_coding</v>
      </c>
    </row>
    <row r="426" spans="1:9" x14ac:dyDescent="0.2">
      <c r="A426" s="3" t="str">
        <f>"ENSG00000228792.2"</f>
        <v>ENSG00000228792.2</v>
      </c>
      <c r="B426" s="3">
        <v>16.084898904697202</v>
      </c>
      <c r="C426" s="3">
        <v>4.4234763979293996</v>
      </c>
      <c r="D426" s="3">
        <v>1.1467392433181101</v>
      </c>
      <c r="E426" s="3">
        <v>3.85743875401874</v>
      </c>
      <c r="F426" s="3">
        <v>1.1458137728374899E-4</v>
      </c>
      <c r="G426" s="3">
        <v>9.1676035164526496E-4</v>
      </c>
      <c r="H426" s="3" t="str">
        <f>"AL356310.1"</f>
        <v>AL356310.1</v>
      </c>
      <c r="I426" s="3" t="str">
        <f>"lincRNA"</f>
        <v>lincRNA</v>
      </c>
    </row>
    <row r="427" spans="1:9" x14ac:dyDescent="0.2">
      <c r="A427" s="3" t="str">
        <f>"ENSG00000227764.1"</f>
        <v>ENSG00000227764.1</v>
      </c>
      <c r="B427" s="3">
        <v>9.7201042500596309</v>
      </c>
      <c r="C427" s="3">
        <v>5.30550000646471</v>
      </c>
      <c r="D427" s="3">
        <v>1.7363958510858599</v>
      </c>
      <c r="E427" s="3">
        <v>3.0554668759124799</v>
      </c>
      <c r="F427" s="3">
        <v>2.2471042286040101E-3</v>
      </c>
      <c r="G427" s="3">
        <v>1.20988670527684E-2</v>
      </c>
      <c r="H427" s="3" t="str">
        <f>"LINC01693"</f>
        <v>LINC01693</v>
      </c>
      <c r="I427" s="3" t="str">
        <f>"lincRNA"</f>
        <v>lincRNA</v>
      </c>
    </row>
    <row r="428" spans="1:9" x14ac:dyDescent="0.2">
      <c r="A428" s="3" t="str">
        <f>"ENSG00000117650.13"</f>
        <v>ENSG00000117650.13</v>
      </c>
      <c r="B428" s="3">
        <v>1384.8418138034799</v>
      </c>
      <c r="C428" s="3">
        <v>-1.22757207919972</v>
      </c>
      <c r="D428" s="3">
        <v>0.26750307615890601</v>
      </c>
      <c r="E428" s="3">
        <v>-4.5890017297240302</v>
      </c>
      <c r="F428" s="4">
        <v>4.4537073939811702E-6</v>
      </c>
      <c r="G428" s="4">
        <v>4.9462697349049099E-5</v>
      </c>
      <c r="H428" s="3" t="str">
        <f>"NEK2"</f>
        <v>NEK2</v>
      </c>
      <c r="I428" s="3" t="str">
        <f>"protein_coding"</f>
        <v>protein_coding</v>
      </c>
    </row>
    <row r="429" spans="1:9" x14ac:dyDescent="0.2">
      <c r="A429" s="3" t="str">
        <f>"ENSG00000143493.13"</f>
        <v>ENSG00000143493.13</v>
      </c>
      <c r="B429" s="3">
        <v>1022.48027754324</v>
      </c>
      <c r="C429" s="3">
        <v>-1.27821645954864</v>
      </c>
      <c r="D429" s="3">
        <v>0.27186099374115602</v>
      </c>
      <c r="E429" s="3">
        <v>-4.7017280484366104</v>
      </c>
      <c r="F429" s="4">
        <v>2.57968934423444E-6</v>
      </c>
      <c r="G429" s="4">
        <v>2.9805339128151701E-5</v>
      </c>
      <c r="H429" s="3" t="str">
        <f>"INTS7"</f>
        <v>INTS7</v>
      </c>
      <c r="I429" s="3" t="str">
        <f>"protein_coding"</f>
        <v>protein_coding</v>
      </c>
    </row>
    <row r="430" spans="1:9" x14ac:dyDescent="0.2">
      <c r="A430" s="3" t="str">
        <f>"ENSG00000143476.18"</f>
        <v>ENSG00000143476.18</v>
      </c>
      <c r="B430" s="3">
        <v>2301.0075050527998</v>
      </c>
      <c r="C430" s="3">
        <v>-2.1155855754286699</v>
      </c>
      <c r="D430" s="3">
        <v>0.26091053187499202</v>
      </c>
      <c r="E430" s="3">
        <v>-8.1084713607586298</v>
      </c>
      <c r="F430" s="4">
        <v>5.1260542940530202E-16</v>
      </c>
      <c r="G430" s="4">
        <v>2.05001424112724E-14</v>
      </c>
      <c r="H430" s="3" t="str">
        <f>"DTL"</f>
        <v>DTL</v>
      </c>
      <c r="I430" s="3" t="str">
        <f>"protein_coding"</f>
        <v>protein_coding</v>
      </c>
    </row>
    <row r="431" spans="1:9" x14ac:dyDescent="0.2">
      <c r="A431" s="3" t="str">
        <f>"ENSG00000143494.15"</f>
        <v>ENSG00000143494.15</v>
      </c>
      <c r="B431" s="3">
        <v>109.435042542728</v>
      </c>
      <c r="C431" s="3">
        <v>-1.22623607815797</v>
      </c>
      <c r="D431" s="3">
        <v>0.405774550695299</v>
      </c>
      <c r="E431" s="3">
        <v>-3.0219639848206299</v>
      </c>
      <c r="F431" s="3">
        <v>2.51140426484369E-3</v>
      </c>
      <c r="G431" s="3">
        <v>1.3258000898665899E-2</v>
      </c>
      <c r="H431" s="3" t="str">
        <f>"VASH2"</f>
        <v>VASH2</v>
      </c>
      <c r="I431" s="3" t="str">
        <f>"protein_coding"</f>
        <v>protein_coding</v>
      </c>
    </row>
    <row r="432" spans="1:9" x14ac:dyDescent="0.2">
      <c r="A432" s="3" t="str">
        <f>"ENSG00000225233.1"</f>
        <v>ENSG00000225233.1</v>
      </c>
      <c r="B432" s="3">
        <v>26.3521507585663</v>
      </c>
      <c r="C432" s="3">
        <v>-5.04688319671122</v>
      </c>
      <c r="D432" s="3">
        <v>1.05030637740991</v>
      </c>
      <c r="E432" s="3">
        <v>-4.8051533393113504</v>
      </c>
      <c r="F432" s="4">
        <v>1.5463294660093001E-6</v>
      </c>
      <c r="G432" s="4">
        <v>1.8565031776828099E-5</v>
      </c>
      <c r="H432" s="3" t="str">
        <f>"AL592402.1"</f>
        <v>AL592402.1</v>
      </c>
      <c r="I432" s="3" t="str">
        <f>"lincRNA"</f>
        <v>lincRNA</v>
      </c>
    </row>
    <row r="433" spans="1:9" x14ac:dyDescent="0.2">
      <c r="A433" s="3" t="str">
        <f>"ENSG00000136636.13"</f>
        <v>ENSG00000136636.13</v>
      </c>
      <c r="B433" s="3">
        <v>1756.7683332315601</v>
      </c>
      <c r="C433" s="3">
        <v>-1.19642732893032</v>
      </c>
      <c r="D433" s="3">
        <v>0.26121408798852003</v>
      </c>
      <c r="E433" s="3">
        <v>-4.5802557516840201</v>
      </c>
      <c r="F433" s="4">
        <v>4.6440768338844204E-6</v>
      </c>
      <c r="G433" s="4">
        <v>5.1372802443431298E-5</v>
      </c>
      <c r="H433" s="3" t="str">
        <f>"KCTD3"</f>
        <v>KCTD3</v>
      </c>
      <c r="I433" s="3" t="str">
        <f>"protein_coding"</f>
        <v>protein_coding</v>
      </c>
    </row>
    <row r="434" spans="1:9" x14ac:dyDescent="0.2">
      <c r="A434" s="3" t="str">
        <f>"ENSG00000196660.10"</f>
        <v>ENSG00000196660.10</v>
      </c>
      <c r="B434" s="3">
        <v>121.997819086809</v>
      </c>
      <c r="C434" s="3">
        <v>-1.82644517656286</v>
      </c>
      <c r="D434" s="3">
        <v>0.38799075419899998</v>
      </c>
      <c r="E434" s="3">
        <v>-4.7074451048028898</v>
      </c>
      <c r="F434" s="4">
        <v>2.5084080023337699E-6</v>
      </c>
      <c r="G434" s="4">
        <v>2.9077881704472799E-5</v>
      </c>
      <c r="H434" s="3" t="str">
        <f>"SLC30A10"</f>
        <v>SLC30A10</v>
      </c>
      <c r="I434" s="3" t="str">
        <f>"protein_coding"</f>
        <v>protein_coding</v>
      </c>
    </row>
    <row r="435" spans="1:9" x14ac:dyDescent="0.2">
      <c r="A435" s="3" t="str">
        <f>"ENSG00000162817.7"</f>
        <v>ENSG00000162817.7</v>
      </c>
      <c r="B435" s="3">
        <v>2063.7735360864099</v>
      </c>
      <c r="C435" s="3">
        <v>1.76586146682569</v>
      </c>
      <c r="D435" s="3">
        <v>0.25524269622293899</v>
      </c>
      <c r="E435" s="3">
        <v>6.9183623780690597</v>
      </c>
      <c r="F435" s="4">
        <v>4.5689434281078097E-12</v>
      </c>
      <c r="G435" s="4">
        <v>1.23449808736898E-10</v>
      </c>
      <c r="H435" s="3" t="str">
        <f>"C1orf115"</f>
        <v>C1orf115</v>
      </c>
      <c r="I435" s="3" t="str">
        <f>"protein_coding"</f>
        <v>protein_coding</v>
      </c>
    </row>
    <row r="436" spans="1:9" x14ac:dyDescent="0.2">
      <c r="A436" s="3" t="str">
        <f>"ENSG00000117791.16"</f>
        <v>ENSG00000117791.16</v>
      </c>
      <c r="B436" s="3">
        <v>279.01155042349097</v>
      </c>
      <c r="C436" s="3">
        <v>1.2704241263707801</v>
      </c>
      <c r="D436" s="3">
        <v>0.32023751648669602</v>
      </c>
      <c r="E436" s="3">
        <v>3.9671308356013699</v>
      </c>
      <c r="F436" s="4">
        <v>7.2743063565225503E-5</v>
      </c>
      <c r="G436" s="3">
        <v>6.1301321722995595E-4</v>
      </c>
      <c r="H436" s="3" t="str">
        <f>"MARC2"</f>
        <v>MARC2</v>
      </c>
      <c r="I436" s="3" t="str">
        <f>"protein_coding"</f>
        <v>protein_coding</v>
      </c>
    </row>
    <row r="437" spans="1:9" x14ac:dyDescent="0.2">
      <c r="A437" s="3" t="str">
        <f>"ENSG00000186205.13"</f>
        <v>ENSG00000186205.13</v>
      </c>
      <c r="B437" s="3">
        <v>455.06479149095901</v>
      </c>
      <c r="C437" s="3">
        <v>-1.40705276573424</v>
      </c>
      <c r="D437" s="3">
        <v>0.29625008900845101</v>
      </c>
      <c r="E437" s="3">
        <v>-4.7495437737880497</v>
      </c>
      <c r="F437" s="4">
        <v>2.0387606472425101E-6</v>
      </c>
      <c r="G437" s="4">
        <v>2.40098427347309E-5</v>
      </c>
      <c r="H437" s="3" t="str">
        <f>"MARC1"</f>
        <v>MARC1</v>
      </c>
      <c r="I437" s="3" t="str">
        <f>"protein_coding"</f>
        <v>protein_coding</v>
      </c>
    </row>
    <row r="438" spans="1:9" x14ac:dyDescent="0.2">
      <c r="A438" s="3" t="str">
        <f>"ENSG00000234754.1"</f>
        <v>ENSG00000234754.1</v>
      </c>
      <c r="B438" s="3">
        <v>28.903349976703002</v>
      </c>
      <c r="C438" s="3">
        <v>-2.59345128166522</v>
      </c>
      <c r="D438" s="3">
        <v>0.70034562683286805</v>
      </c>
      <c r="E438" s="3">
        <v>-3.7031019860771202</v>
      </c>
      <c r="F438" s="3">
        <v>2.1297921175352199E-4</v>
      </c>
      <c r="G438" s="3">
        <v>1.57898381127611E-3</v>
      </c>
      <c r="H438" s="3" t="str">
        <f>"AL445470.1"</f>
        <v>AL445470.1</v>
      </c>
      <c r="I438" s="3" t="str">
        <f>"lincRNA"</f>
        <v>lincRNA</v>
      </c>
    </row>
    <row r="439" spans="1:9" x14ac:dyDescent="0.2">
      <c r="A439" s="3" t="str">
        <f>"ENSG00000143507.18"</f>
        <v>ENSG00000143507.18</v>
      </c>
      <c r="B439" s="3">
        <v>746.808523443647</v>
      </c>
      <c r="C439" s="3">
        <v>-1.65529102575694</v>
      </c>
      <c r="D439" s="3">
        <v>0.30107518623642399</v>
      </c>
      <c r="E439" s="3">
        <v>-5.4979324149851996</v>
      </c>
      <c r="F439" s="4">
        <v>3.8427014312287298E-8</v>
      </c>
      <c r="G439" s="4">
        <v>6.1608129064728301E-7</v>
      </c>
      <c r="H439" s="3" t="str">
        <f>"DUSP10"</f>
        <v>DUSP10</v>
      </c>
      <c r="I439" s="3" t="str">
        <f>"protein_coding"</f>
        <v>protein_coding</v>
      </c>
    </row>
    <row r="440" spans="1:9" x14ac:dyDescent="0.2">
      <c r="A440" s="3" t="str">
        <f>"ENSG00000186063.13"</f>
        <v>ENSG00000186063.13</v>
      </c>
      <c r="B440" s="3">
        <v>1500.43549718074</v>
      </c>
      <c r="C440" s="3">
        <v>-1.55307390097988</v>
      </c>
      <c r="D440" s="3">
        <v>0.30220841959686201</v>
      </c>
      <c r="E440" s="3">
        <v>-5.13908217068089</v>
      </c>
      <c r="F440" s="4">
        <v>2.7608365833079702E-7</v>
      </c>
      <c r="G440" s="4">
        <v>3.8306036543360198E-6</v>
      </c>
      <c r="H440" s="3" t="str">
        <f>"AIDA"</f>
        <v>AIDA</v>
      </c>
      <c r="I440" s="3" t="str">
        <f>"protein_coding"</f>
        <v>protein_coding</v>
      </c>
    </row>
    <row r="441" spans="1:9" x14ac:dyDescent="0.2">
      <c r="A441" s="3" t="str">
        <f>"ENSG00000162909.18"</f>
        <v>ENSG00000162909.18</v>
      </c>
      <c r="B441" s="3">
        <v>587.00509966957202</v>
      </c>
      <c r="C441" s="3">
        <v>2.3743139995076299</v>
      </c>
      <c r="D441" s="3">
        <v>0.34764395045001301</v>
      </c>
      <c r="E441" s="3">
        <v>6.8297290846976102</v>
      </c>
      <c r="F441" s="4">
        <v>8.5075140258955703E-12</v>
      </c>
      <c r="G441" s="4">
        <v>2.20306273250918E-10</v>
      </c>
      <c r="H441" s="3" t="str">
        <f>"CAPN2"</f>
        <v>CAPN2</v>
      </c>
      <c r="I441" s="3" t="str">
        <f>"protein_coding"</f>
        <v>protein_coding</v>
      </c>
    </row>
    <row r="442" spans="1:9" x14ac:dyDescent="0.2">
      <c r="A442" s="3" t="str">
        <f>"ENSG00000143753.13"</f>
        <v>ENSG00000143753.13</v>
      </c>
      <c r="B442" s="3">
        <v>661.84985052934303</v>
      </c>
      <c r="C442" s="3">
        <v>-1.22591212380291</v>
      </c>
      <c r="D442" s="3">
        <v>0.26294991225789099</v>
      </c>
      <c r="E442" s="3">
        <v>-4.6621507239773496</v>
      </c>
      <c r="F442" s="4">
        <v>3.1292187240819799E-6</v>
      </c>
      <c r="G442" s="4">
        <v>3.56003724493662E-5</v>
      </c>
      <c r="H442" s="3" t="str">
        <f>"DEGS1"</f>
        <v>DEGS1</v>
      </c>
      <c r="I442" s="3" t="str">
        <f>"protein_coding"</f>
        <v>protein_coding</v>
      </c>
    </row>
    <row r="443" spans="1:9" x14ac:dyDescent="0.2">
      <c r="A443" s="3" t="str">
        <f>"ENSG00000237101.1"</f>
        <v>ENSG00000237101.1</v>
      </c>
      <c r="B443" s="3">
        <v>11.487370879933801</v>
      </c>
      <c r="C443" s="3">
        <v>5.5760567206546803</v>
      </c>
      <c r="D443" s="3">
        <v>1.7285789397506099</v>
      </c>
      <c r="E443" s="3">
        <v>3.22580392044993</v>
      </c>
      <c r="F443" s="3">
        <v>1.2561938542153799E-3</v>
      </c>
      <c r="G443" s="3">
        <v>7.4229636839999802E-3</v>
      </c>
      <c r="H443" s="3" t="str">
        <f>"AC092809.4"</f>
        <v>AC092809.4</v>
      </c>
      <c r="I443" s="3" t="str">
        <f>"antisense"</f>
        <v>antisense</v>
      </c>
    </row>
    <row r="444" spans="1:9" x14ac:dyDescent="0.2">
      <c r="A444" s="3" t="str">
        <f>"ENSG00000143815.15"</f>
        <v>ENSG00000143815.15</v>
      </c>
      <c r="B444" s="3">
        <v>4620.7368953967298</v>
      </c>
      <c r="C444" s="3">
        <v>-1.0216327229553801</v>
      </c>
      <c r="D444" s="3">
        <v>0.23629789273573101</v>
      </c>
      <c r="E444" s="3">
        <v>-4.3234948527363697</v>
      </c>
      <c r="F444" s="4">
        <v>1.5357672299667199E-5</v>
      </c>
      <c r="G444" s="3">
        <v>1.5084820253734099E-4</v>
      </c>
      <c r="H444" s="3" t="str">
        <f>"LBR"</f>
        <v>LBR</v>
      </c>
      <c r="I444" s="3" t="str">
        <f>"protein_coding"</f>
        <v>protein_coding</v>
      </c>
    </row>
    <row r="445" spans="1:9" x14ac:dyDescent="0.2">
      <c r="A445" s="3" t="str">
        <f>"ENSG00000234476.2"</f>
        <v>ENSG00000234476.2</v>
      </c>
      <c r="B445" s="3">
        <v>31.375189388432801</v>
      </c>
      <c r="C445" s="3">
        <v>3.78237663304802</v>
      </c>
      <c r="D445" s="3">
        <v>0.75404213728690705</v>
      </c>
      <c r="E445" s="3">
        <v>5.0161343060445702</v>
      </c>
      <c r="F445" s="4">
        <v>5.2721480832948199E-7</v>
      </c>
      <c r="G445" s="4">
        <v>6.9727068893417999E-6</v>
      </c>
      <c r="H445" s="3" t="str">
        <f>"AC092811.1"</f>
        <v>AC092811.1</v>
      </c>
      <c r="I445" s="3" t="str">
        <f>"lincRNA"</f>
        <v>lincRNA</v>
      </c>
    </row>
    <row r="446" spans="1:9" x14ac:dyDescent="0.2">
      <c r="A446" s="3" t="str">
        <f>"ENSG00000282418.1"</f>
        <v>ENSG00000282418.1</v>
      </c>
      <c r="B446" s="3">
        <v>23.2537061190482</v>
      </c>
      <c r="C446" s="3">
        <v>5.0201804397443901</v>
      </c>
      <c r="D446" s="3">
        <v>1.08842342890402</v>
      </c>
      <c r="E446" s="3">
        <v>4.61234139805262</v>
      </c>
      <c r="F446" s="4">
        <v>3.9815832964443303E-6</v>
      </c>
      <c r="G446" s="4">
        <v>4.4593378371352199E-5</v>
      </c>
      <c r="H446" s="3" t="str">
        <f>"AC092811.2"</f>
        <v>AC092811.2</v>
      </c>
      <c r="I446" s="3" t="str">
        <f>"lincRNA"</f>
        <v>lincRNA</v>
      </c>
    </row>
    <row r="447" spans="1:9" x14ac:dyDescent="0.2">
      <c r="A447" s="3" t="str">
        <f>"ENSG00000203685.10"</f>
        <v>ENSG00000203685.10</v>
      </c>
      <c r="B447" s="3">
        <v>30.2997583787919</v>
      </c>
      <c r="C447" s="3">
        <v>1.79393086484288</v>
      </c>
      <c r="D447" s="3">
        <v>0.65612258773474696</v>
      </c>
      <c r="E447" s="3">
        <v>2.7341397756727202</v>
      </c>
      <c r="F447" s="3">
        <v>6.2543488213426899E-3</v>
      </c>
      <c r="G447" s="3">
        <v>2.8522143691239201E-2</v>
      </c>
      <c r="H447" s="3" t="str">
        <f>"STUM"</f>
        <v>STUM</v>
      </c>
      <c r="I447" s="3" t="str">
        <f t="shared" ref="I447:I456" si="21">"protein_coding"</f>
        <v>protein_coding</v>
      </c>
    </row>
    <row r="448" spans="1:9" x14ac:dyDescent="0.2">
      <c r="A448" s="3" t="str">
        <f>"ENSG00000143772.9"</f>
        <v>ENSG00000143772.9</v>
      </c>
      <c r="B448" s="3">
        <v>26.1908183342697</v>
      </c>
      <c r="C448" s="3">
        <v>2.2992674002864302</v>
      </c>
      <c r="D448" s="3">
        <v>0.71776928495565895</v>
      </c>
      <c r="E448" s="3">
        <v>3.2033516179624</v>
      </c>
      <c r="F448" s="3">
        <v>1.35838019436643E-3</v>
      </c>
      <c r="G448" s="3">
        <v>7.9233166915232307E-3</v>
      </c>
      <c r="H448" s="3" t="str">
        <f>"ITPKB"</f>
        <v>ITPKB</v>
      </c>
      <c r="I448" s="3" t="str">
        <f t="shared" si="21"/>
        <v>protein_coding</v>
      </c>
    </row>
    <row r="449" spans="1:9" x14ac:dyDescent="0.2">
      <c r="A449" s="3" t="str">
        <f>"ENSG00000163050.17"</f>
        <v>ENSG00000163050.17</v>
      </c>
      <c r="B449" s="3">
        <v>2976.9889321870601</v>
      </c>
      <c r="C449" s="3">
        <v>1.19724589016336</v>
      </c>
      <c r="D449" s="3">
        <v>0.27416977703880702</v>
      </c>
      <c r="E449" s="3">
        <v>4.3668047700016803</v>
      </c>
      <c r="F449" s="4">
        <v>1.26077323824038E-5</v>
      </c>
      <c r="G449" s="3">
        <v>1.2575238226779099E-4</v>
      </c>
      <c r="H449" s="3" t="str">
        <f>"COQ8A"</f>
        <v>COQ8A</v>
      </c>
      <c r="I449" s="3" t="str">
        <f t="shared" si="21"/>
        <v>protein_coding</v>
      </c>
    </row>
    <row r="450" spans="1:9" x14ac:dyDescent="0.2">
      <c r="A450" s="3" t="str">
        <f>"ENSG00000143816.8"</f>
        <v>ENSG00000143816.8</v>
      </c>
      <c r="B450" s="3">
        <v>129.185591372879</v>
      </c>
      <c r="C450" s="3">
        <v>4.5818501614207197</v>
      </c>
      <c r="D450" s="3">
        <v>0.49504533025665098</v>
      </c>
      <c r="E450" s="3">
        <v>9.2554153758915501</v>
      </c>
      <c r="F450" s="4">
        <v>2.1339903907195399E-20</v>
      </c>
      <c r="G450" s="4">
        <v>1.1823904907169601E-18</v>
      </c>
      <c r="H450" s="3" t="str">
        <f>"WNT9A"</f>
        <v>WNT9A</v>
      </c>
      <c r="I450" s="3" t="str">
        <f t="shared" si="21"/>
        <v>protein_coding</v>
      </c>
    </row>
    <row r="451" spans="1:9" x14ac:dyDescent="0.2">
      <c r="A451" s="3" t="str">
        <f>"ENSG00000154429.11"</f>
        <v>ENSG00000154429.11</v>
      </c>
      <c r="B451" s="3">
        <v>1464.8157270249999</v>
      </c>
      <c r="C451" s="3">
        <v>-1.4184481218389899</v>
      </c>
      <c r="D451" s="3">
        <v>0.26006595486312001</v>
      </c>
      <c r="E451" s="3">
        <v>-5.4541861220764298</v>
      </c>
      <c r="F451" s="4">
        <v>4.91976514443621E-8</v>
      </c>
      <c r="G451" s="4">
        <v>7.7251368419658396E-7</v>
      </c>
      <c r="H451" s="3" t="str">
        <f>"CCSAP"</f>
        <v>CCSAP</v>
      </c>
      <c r="I451" s="3" t="str">
        <f t="shared" si="21"/>
        <v>protein_coding</v>
      </c>
    </row>
    <row r="452" spans="1:9" x14ac:dyDescent="0.2">
      <c r="A452" s="3" t="str">
        <f>"ENSG00000135744.8"</f>
        <v>ENSG00000135744.8</v>
      </c>
      <c r="B452" s="3">
        <v>12055.7503788493</v>
      </c>
      <c r="C452" s="3">
        <v>-1.6725044219629399</v>
      </c>
      <c r="D452" s="3">
        <v>0.28959724334513398</v>
      </c>
      <c r="E452" s="3">
        <v>-5.77527742544736</v>
      </c>
      <c r="F452" s="4">
        <v>7.6826395105464396E-9</v>
      </c>
      <c r="G452" s="4">
        <v>1.3754932162832399E-7</v>
      </c>
      <c r="H452" s="3" t="str">
        <f>"AGT"</f>
        <v>AGT</v>
      </c>
      <c r="I452" s="3" t="str">
        <f t="shared" si="21"/>
        <v>protein_coding</v>
      </c>
    </row>
    <row r="453" spans="1:9" x14ac:dyDescent="0.2">
      <c r="A453" s="3" t="str">
        <f>"ENSG00000135773.13"</f>
        <v>ENSG00000135773.13</v>
      </c>
      <c r="B453" s="3">
        <v>96.890039913557302</v>
      </c>
      <c r="C453" s="3">
        <v>2.6516415015135602</v>
      </c>
      <c r="D453" s="3">
        <v>0.42805137048609199</v>
      </c>
      <c r="E453" s="3">
        <v>6.1946805555192297</v>
      </c>
      <c r="F453" s="4">
        <v>5.8403356960931803E-10</v>
      </c>
      <c r="G453" s="4">
        <v>1.2294028823031301E-8</v>
      </c>
      <c r="H453" s="3" t="str">
        <f>"CAPN9"</f>
        <v>CAPN9</v>
      </c>
      <c r="I453" s="3" t="str">
        <f t="shared" si="21"/>
        <v>protein_coding</v>
      </c>
    </row>
    <row r="454" spans="1:9" x14ac:dyDescent="0.2">
      <c r="A454" s="3" t="str">
        <f>"ENSG00000182118.8"</f>
        <v>ENSG00000182118.8</v>
      </c>
      <c r="B454" s="3">
        <v>201.40051194372899</v>
      </c>
      <c r="C454" s="3">
        <v>-1.4303985435333699</v>
      </c>
      <c r="D454" s="3">
        <v>0.33290033471093999</v>
      </c>
      <c r="E454" s="3">
        <v>-4.2967771263294097</v>
      </c>
      <c r="F454" s="4">
        <v>1.7329927753461301E-5</v>
      </c>
      <c r="G454" s="3">
        <v>1.6863997394132201E-4</v>
      </c>
      <c r="H454" s="3" t="str">
        <f>"FAM89A"</f>
        <v>FAM89A</v>
      </c>
      <c r="I454" s="3" t="str">
        <f t="shared" si="21"/>
        <v>protein_coding</v>
      </c>
    </row>
    <row r="455" spans="1:9" x14ac:dyDescent="0.2">
      <c r="A455" s="3" t="str">
        <f>"ENSG00000116991.10"</f>
        <v>ENSG00000116991.10</v>
      </c>
      <c r="B455" s="3">
        <v>105.606034401063</v>
      </c>
      <c r="C455" s="3">
        <v>1.4778950728142299</v>
      </c>
      <c r="D455" s="3">
        <v>0.39919602193116899</v>
      </c>
      <c r="E455" s="3">
        <v>3.7021788585584998</v>
      </c>
      <c r="F455" s="3">
        <v>2.1375583760965599E-4</v>
      </c>
      <c r="G455" s="3">
        <v>1.5833416063224101E-3</v>
      </c>
      <c r="H455" s="3" t="str">
        <f>"SIPA1L2"</f>
        <v>SIPA1L2</v>
      </c>
      <c r="I455" s="3" t="str">
        <f t="shared" si="21"/>
        <v>protein_coding</v>
      </c>
    </row>
    <row r="456" spans="1:9" x14ac:dyDescent="0.2">
      <c r="A456" s="3" t="str">
        <f>"ENSG00000135778.12"</f>
        <v>ENSG00000135778.12</v>
      </c>
      <c r="B456" s="3">
        <v>2884.51783410078</v>
      </c>
      <c r="C456" s="3">
        <v>2.5146854678743198</v>
      </c>
      <c r="D456" s="3">
        <v>0.246786897004588</v>
      </c>
      <c r="E456" s="3">
        <v>10.1897041471678</v>
      </c>
      <c r="F456" s="4">
        <v>2.2043401614723502E-24</v>
      </c>
      <c r="G456" s="4">
        <v>1.64540583863018E-22</v>
      </c>
      <c r="H456" s="3" t="str">
        <f>"NTPCR"</f>
        <v>NTPCR</v>
      </c>
      <c r="I456" s="3" t="str">
        <f t="shared" si="21"/>
        <v>protein_coding</v>
      </c>
    </row>
    <row r="457" spans="1:9" x14ac:dyDescent="0.2">
      <c r="A457" s="3" t="str">
        <f>"ENSG00000236358.1"</f>
        <v>ENSG00000236358.1</v>
      </c>
      <c r="B457" s="3">
        <v>22.794634452518299</v>
      </c>
      <c r="C457" s="3">
        <v>2.1030370681554298</v>
      </c>
      <c r="D457" s="3">
        <v>0.74703569726605201</v>
      </c>
      <c r="E457" s="3">
        <v>2.8151761366317198</v>
      </c>
      <c r="F457" s="3">
        <v>4.8750506383391104E-3</v>
      </c>
      <c r="G457" s="3">
        <v>2.3216944113483601E-2</v>
      </c>
      <c r="H457" s="3" t="str">
        <f>"AL355472.2"</f>
        <v>AL355472.2</v>
      </c>
      <c r="I457" s="3" t="str">
        <f>"antisense"</f>
        <v>antisense</v>
      </c>
    </row>
    <row r="458" spans="1:9" x14ac:dyDescent="0.2">
      <c r="A458" s="3" t="str">
        <f>"ENSG00000227630.3"</f>
        <v>ENSG00000227630.3</v>
      </c>
      <c r="B458" s="3">
        <v>96.812736911631603</v>
      </c>
      <c r="C458" s="3">
        <v>-1.2922212107931099</v>
      </c>
      <c r="D458" s="3">
        <v>0.40624434091024098</v>
      </c>
      <c r="E458" s="3">
        <v>-3.1808965212850202</v>
      </c>
      <c r="F458" s="3">
        <v>1.4682006223629199E-3</v>
      </c>
      <c r="G458" s="3">
        <v>8.4533272271776604E-3</v>
      </c>
      <c r="H458" s="3" t="str">
        <f>"LINC01132"</f>
        <v>LINC01132</v>
      </c>
      <c r="I458" s="3" t="str">
        <f>"lincRNA"</f>
        <v>lincRNA</v>
      </c>
    </row>
    <row r="459" spans="1:9" x14ac:dyDescent="0.2">
      <c r="A459" s="3" t="str">
        <f>"ENSG00000207181.1"</f>
        <v>ENSG00000207181.1</v>
      </c>
      <c r="B459" s="3">
        <v>76.665982010912202</v>
      </c>
      <c r="C459" s="3">
        <v>-1.21180680757491</v>
      </c>
      <c r="D459" s="3">
        <v>0.44231136679856098</v>
      </c>
      <c r="E459" s="3">
        <v>-2.7397143698701201</v>
      </c>
      <c r="F459" s="3">
        <v>6.1492598901988701E-3</v>
      </c>
      <c r="G459" s="3">
        <v>2.8144947696134001E-2</v>
      </c>
      <c r="H459" s="3" t="str">
        <f>"SNORA14B"</f>
        <v>SNORA14B</v>
      </c>
      <c r="I459" s="3" t="str">
        <f>"snoRNA"</f>
        <v>snoRNA</v>
      </c>
    </row>
    <row r="460" spans="1:9" x14ac:dyDescent="0.2">
      <c r="A460" s="3" t="str">
        <f>"ENSG00000168243.11"</f>
        <v>ENSG00000168243.11</v>
      </c>
      <c r="B460" s="3">
        <v>782.85104635708501</v>
      </c>
      <c r="C460" s="3">
        <v>-3.1423019707444602</v>
      </c>
      <c r="D460" s="3">
        <v>0.29701507394322901</v>
      </c>
      <c r="E460" s="3">
        <v>-10.579604358212</v>
      </c>
      <c r="F460" s="4">
        <v>3.7051947194618102E-26</v>
      </c>
      <c r="G460" s="4">
        <v>3.1381876487562899E-24</v>
      </c>
      <c r="H460" s="3" t="str">
        <f>"GNG4"</f>
        <v>GNG4</v>
      </c>
      <c r="I460" s="3" t="str">
        <f t="shared" ref="I460:I465" si="22">"protein_coding"</f>
        <v>protein_coding</v>
      </c>
    </row>
    <row r="461" spans="1:9" x14ac:dyDescent="0.2">
      <c r="A461" s="3" t="str">
        <f>"ENSG00000116962.15"</f>
        <v>ENSG00000116962.15</v>
      </c>
      <c r="B461" s="3">
        <v>12494.461098346699</v>
      </c>
      <c r="C461" s="3">
        <v>-2.2167122173737499</v>
      </c>
      <c r="D461" s="3">
        <v>0.24943440279485901</v>
      </c>
      <c r="E461" s="3">
        <v>-8.8869546162676993</v>
      </c>
      <c r="F461" s="4">
        <v>6.2806648972764303E-19</v>
      </c>
      <c r="G461" s="4">
        <v>3.14095676920455E-17</v>
      </c>
      <c r="H461" s="3" t="str">
        <f>"NID1"</f>
        <v>NID1</v>
      </c>
      <c r="I461" s="3" t="str">
        <f t="shared" si="22"/>
        <v>protein_coding</v>
      </c>
    </row>
    <row r="462" spans="1:9" x14ac:dyDescent="0.2">
      <c r="A462" s="3" t="str">
        <f>"ENSG00000077585.14"</f>
        <v>ENSG00000077585.14</v>
      </c>
      <c r="B462" s="3">
        <v>126.205332962596</v>
      </c>
      <c r="C462" s="3">
        <v>-2.23979126835536</v>
      </c>
      <c r="D462" s="3">
        <v>0.40222352609829598</v>
      </c>
      <c r="E462" s="3">
        <v>-5.5685237760259598</v>
      </c>
      <c r="F462" s="4">
        <v>2.569065776479E-8</v>
      </c>
      <c r="G462" s="4">
        <v>4.24325998734926E-7</v>
      </c>
      <c r="H462" s="3" t="str">
        <f>"GPR137B"</f>
        <v>GPR137B</v>
      </c>
      <c r="I462" s="3" t="str">
        <f t="shared" si="22"/>
        <v>protein_coding</v>
      </c>
    </row>
    <row r="463" spans="1:9" x14ac:dyDescent="0.2">
      <c r="A463" s="3" t="str">
        <f>"ENSG00000203668.2"</f>
        <v>ENSG00000203668.2</v>
      </c>
      <c r="B463" s="3">
        <v>2220.21886281652</v>
      </c>
      <c r="C463" s="3">
        <v>-1.75947889209807</v>
      </c>
      <c r="D463" s="3">
        <v>0.26375231522429499</v>
      </c>
      <c r="E463" s="3">
        <v>-6.6709514591438301</v>
      </c>
      <c r="F463" s="4">
        <v>2.5415027997793399E-11</v>
      </c>
      <c r="G463" s="4">
        <v>6.2433108328563895E-10</v>
      </c>
      <c r="H463" s="3" t="str">
        <f>"CHML"</f>
        <v>CHML</v>
      </c>
      <c r="I463" s="3" t="str">
        <f t="shared" si="22"/>
        <v>protein_coding</v>
      </c>
    </row>
    <row r="464" spans="1:9" x14ac:dyDescent="0.2">
      <c r="A464" s="3" t="str">
        <f>"ENSG00000174371.17"</f>
        <v>ENSG00000174371.17</v>
      </c>
      <c r="B464" s="3">
        <v>1125.4078096363401</v>
      </c>
      <c r="C464" s="3">
        <v>-2.2968492702855601</v>
      </c>
      <c r="D464" s="3">
        <v>0.26794611668934598</v>
      </c>
      <c r="E464" s="3">
        <v>-8.5720565711668897</v>
      </c>
      <c r="F464" s="4">
        <v>1.0165312884907299E-17</v>
      </c>
      <c r="G464" s="4">
        <v>4.6662125113109997E-16</v>
      </c>
      <c r="H464" s="3" t="str">
        <f>"EXO1"</f>
        <v>EXO1</v>
      </c>
      <c r="I464" s="3" t="str">
        <f t="shared" si="22"/>
        <v>protein_coding</v>
      </c>
    </row>
    <row r="465" spans="1:9" x14ac:dyDescent="0.2">
      <c r="A465" s="3" t="str">
        <f>"ENSG00000180287.16"</f>
        <v>ENSG00000180287.16</v>
      </c>
      <c r="B465" s="3">
        <v>76.333507523531594</v>
      </c>
      <c r="C465" s="3">
        <v>5.2680326130717097</v>
      </c>
      <c r="D465" s="3">
        <v>0.68523204767199897</v>
      </c>
      <c r="E465" s="3">
        <v>7.6879542207187699</v>
      </c>
      <c r="F465" s="4">
        <v>1.49506281766078E-14</v>
      </c>
      <c r="G465" s="4">
        <v>5.1730818677107102E-13</v>
      </c>
      <c r="H465" s="3" t="str">
        <f>"PLD5"</f>
        <v>PLD5</v>
      </c>
      <c r="I465" s="3" t="str">
        <f t="shared" si="22"/>
        <v>protein_coding</v>
      </c>
    </row>
    <row r="466" spans="1:9" x14ac:dyDescent="0.2">
      <c r="A466" s="3" t="str">
        <f>"ENSG00000213690.3"</f>
        <v>ENSG00000213690.3</v>
      </c>
      <c r="B466" s="3">
        <v>9.0927045716112591</v>
      </c>
      <c r="C466" s="3">
        <v>5.2353403702235903</v>
      </c>
      <c r="D466" s="3">
        <v>1.7529329677755101</v>
      </c>
      <c r="E466" s="3">
        <v>2.98661755267646</v>
      </c>
      <c r="F466" s="3">
        <v>2.8208236554535201E-3</v>
      </c>
      <c r="G466" s="3">
        <v>1.4621309372714299E-2</v>
      </c>
      <c r="H466" s="3" t="str">
        <f>"AL360271.1"</f>
        <v>AL360271.1</v>
      </c>
      <c r="I466" s="3" t="str">
        <f>"processed_pseudogene"</f>
        <v>processed_pseudogene</v>
      </c>
    </row>
    <row r="467" spans="1:9" x14ac:dyDescent="0.2">
      <c r="A467" s="3" t="str">
        <f>"ENSG00000253326.2"</f>
        <v>ENSG00000253326.2</v>
      </c>
      <c r="B467" s="3">
        <v>13.9302815035592</v>
      </c>
      <c r="C467" s="3">
        <v>4.2637667812920297</v>
      </c>
      <c r="D467" s="3">
        <v>1.2173809293545399</v>
      </c>
      <c r="E467" s="3">
        <v>3.5024097047032798</v>
      </c>
      <c r="F467" s="3">
        <v>4.6107003302212399E-4</v>
      </c>
      <c r="G467" s="3">
        <v>3.11947732132101E-3</v>
      </c>
      <c r="H467" s="3" t="str">
        <f>"AL606534.4"</f>
        <v>AL606534.4</v>
      </c>
      <c r="I467" s="3" t="str">
        <f>"processed_pseudogene"</f>
        <v>processed_pseudogene</v>
      </c>
    </row>
    <row r="468" spans="1:9" x14ac:dyDescent="0.2">
      <c r="A468" s="3" t="str">
        <f>"ENSG00000214837.8"</f>
        <v>ENSG00000214837.8</v>
      </c>
      <c r="B468" s="3">
        <v>49.873346852669002</v>
      </c>
      <c r="C468" s="3">
        <v>1.70869175360906</v>
      </c>
      <c r="D468" s="3">
        <v>0.52559617974988004</v>
      </c>
      <c r="E468" s="3">
        <v>3.2509592334217299</v>
      </c>
      <c r="F468" s="3">
        <v>1.1501634853576801E-3</v>
      </c>
      <c r="G468" s="3">
        <v>6.8722951245065401E-3</v>
      </c>
      <c r="H468" s="3" t="str">
        <f>"LINC01347"</f>
        <v>LINC01347</v>
      </c>
      <c r="I468" s="3" t="str">
        <f>"transcribed_unprocessed_pseudogene"</f>
        <v>transcribed_unprocessed_pseudogene</v>
      </c>
    </row>
    <row r="469" spans="1:9" x14ac:dyDescent="0.2">
      <c r="A469" s="3" t="str">
        <f>"ENSG00000117020.17"</f>
        <v>ENSG00000117020.17</v>
      </c>
      <c r="B469" s="3">
        <v>98.880652003879604</v>
      </c>
      <c r="C469" s="3">
        <v>-1.79383111800353</v>
      </c>
      <c r="D469" s="3">
        <v>0.41947720957864798</v>
      </c>
      <c r="E469" s="3">
        <v>-4.2763494107472004</v>
      </c>
      <c r="F469" s="4">
        <v>1.8998296340455799E-5</v>
      </c>
      <c r="G469" s="3">
        <v>1.8272390450380801E-4</v>
      </c>
      <c r="H469" s="3" t="str">
        <f>"AKT3"</f>
        <v>AKT3</v>
      </c>
      <c r="I469" s="3" t="str">
        <f>"protein_coding"</f>
        <v>protein_coding</v>
      </c>
    </row>
    <row r="470" spans="1:9" x14ac:dyDescent="0.2">
      <c r="A470" s="3" t="str">
        <f>"ENSG00000162849.16"</f>
        <v>ENSG00000162849.16</v>
      </c>
      <c r="B470" s="3">
        <v>133.74076431131499</v>
      </c>
      <c r="C470" s="3">
        <v>2.1133967966884999</v>
      </c>
      <c r="D470" s="3">
        <v>0.402205353911534</v>
      </c>
      <c r="E470" s="3">
        <v>5.2545217912572904</v>
      </c>
      <c r="F470" s="4">
        <v>1.4840957432887799E-7</v>
      </c>
      <c r="G470" s="4">
        <v>2.1755494418665099E-6</v>
      </c>
      <c r="H470" s="3" t="str">
        <f>"KIF26B"</f>
        <v>KIF26B</v>
      </c>
      <c r="I470" s="3" t="str">
        <f>"protein_coding"</f>
        <v>protein_coding</v>
      </c>
    </row>
    <row r="471" spans="1:9" x14ac:dyDescent="0.2">
      <c r="A471" s="3" t="str">
        <f>"ENSG00000197472.15"</f>
        <v>ENSG00000197472.15</v>
      </c>
      <c r="B471" s="3">
        <v>418.91723887275299</v>
      </c>
      <c r="C471" s="3">
        <v>-1.44185441599829</v>
      </c>
      <c r="D471" s="3">
        <v>0.28663937085114799</v>
      </c>
      <c r="E471" s="3">
        <v>-5.0302036727084696</v>
      </c>
      <c r="F471" s="4">
        <v>4.8995908547440896E-7</v>
      </c>
      <c r="G471" s="4">
        <v>6.5176736092590004E-6</v>
      </c>
      <c r="H471" s="3" t="str">
        <f>"ZNF695"</f>
        <v>ZNF695</v>
      </c>
      <c r="I471" s="3" t="str">
        <f>"protein_coding"</f>
        <v>protein_coding</v>
      </c>
    </row>
    <row r="472" spans="1:9" x14ac:dyDescent="0.2">
      <c r="A472" s="3" t="str">
        <f>"ENSG00000184731.6"</f>
        <v>ENSG00000184731.6</v>
      </c>
      <c r="B472" s="3">
        <v>248.39865547187401</v>
      </c>
      <c r="C472" s="3">
        <v>1.4334361300289</v>
      </c>
      <c r="D472" s="3">
        <v>0.33103877968794998</v>
      </c>
      <c r="E472" s="3">
        <v>4.3301154365664196</v>
      </c>
      <c r="F472" s="4">
        <v>1.49031196498683E-5</v>
      </c>
      <c r="G472" s="3">
        <v>1.46669786695007E-4</v>
      </c>
      <c r="H472" s="3" t="str">
        <f>"FAM110C"</f>
        <v>FAM110C</v>
      </c>
      <c r="I472" s="3" t="str">
        <f>"protein_coding"</f>
        <v>protein_coding</v>
      </c>
    </row>
    <row r="473" spans="1:9" x14ac:dyDescent="0.2">
      <c r="A473" s="3" t="str">
        <f>"ENSG00000130508.11"</f>
        <v>ENSG00000130508.11</v>
      </c>
      <c r="B473" s="3">
        <v>568.58914092908503</v>
      </c>
      <c r="C473" s="3">
        <v>6.6988133165752997</v>
      </c>
      <c r="D473" s="3">
        <v>0.410273729000668</v>
      </c>
      <c r="E473" s="3">
        <v>16.327668195797099</v>
      </c>
      <c r="F473" s="4">
        <v>6.2736747581903497E-60</v>
      </c>
      <c r="G473" s="4">
        <v>2.2871636020620001E-57</v>
      </c>
      <c r="H473" s="3" t="str">
        <f>"PXDN"</f>
        <v>PXDN</v>
      </c>
      <c r="I473" s="3" t="str">
        <f>"protein_coding"</f>
        <v>protein_coding</v>
      </c>
    </row>
    <row r="474" spans="1:9" x14ac:dyDescent="0.2">
      <c r="A474" s="3" t="str">
        <f>"ENSG00000224885.1"</f>
        <v>ENSG00000224885.1</v>
      </c>
      <c r="B474" s="3">
        <v>96.493687854980706</v>
      </c>
      <c r="C474" s="3">
        <v>1.3530606881013401</v>
      </c>
      <c r="D474" s="3">
        <v>0.45305032337694401</v>
      </c>
      <c r="E474" s="3">
        <v>2.9865571621622502</v>
      </c>
      <c r="F474" s="3">
        <v>2.8213808664343098E-3</v>
      </c>
      <c r="G474" s="3">
        <v>1.4621309372714299E-2</v>
      </c>
      <c r="H474" s="3" t="str">
        <f>"EIPR1-IT1"</f>
        <v>EIPR1-IT1</v>
      </c>
      <c r="I474" s="3" t="str">
        <f>"sense_intronic"</f>
        <v>sense_intronic</v>
      </c>
    </row>
    <row r="475" spans="1:9" x14ac:dyDescent="0.2">
      <c r="A475" s="3" t="str">
        <f>"ENSG00000236008.2"</f>
        <v>ENSG00000236008.2</v>
      </c>
      <c r="B475" s="3">
        <v>113.700580803782</v>
      </c>
      <c r="C475" s="3">
        <v>2.17845961460189</v>
      </c>
      <c r="D475" s="3">
        <v>0.393279285011918</v>
      </c>
      <c r="E475" s="3">
        <v>5.5392177966756497</v>
      </c>
      <c r="F475" s="4">
        <v>3.03825603307645E-8</v>
      </c>
      <c r="G475" s="4">
        <v>4.94746646983811E-7</v>
      </c>
      <c r="H475" s="3" t="str">
        <f>"LINC01814"</f>
        <v>LINC01814</v>
      </c>
      <c r="I475" s="3" t="str">
        <f>"lincRNA"</f>
        <v>lincRNA</v>
      </c>
    </row>
    <row r="476" spans="1:9" x14ac:dyDescent="0.2">
      <c r="A476" s="3" t="str">
        <f>"ENSG00000115738.10"</f>
        <v>ENSG00000115738.10</v>
      </c>
      <c r="B476" s="3">
        <v>12705.6849817046</v>
      </c>
      <c r="C476" s="3">
        <v>1.36438936536399</v>
      </c>
      <c r="D476" s="3">
        <v>0.23142664502925001</v>
      </c>
      <c r="E476" s="3">
        <v>5.89555867774666</v>
      </c>
      <c r="F476" s="4">
        <v>3.7341577913033998E-9</v>
      </c>
      <c r="G476" s="4">
        <v>7.0256349469137601E-8</v>
      </c>
      <c r="H476" s="3" t="str">
        <f>"ID2"</f>
        <v>ID2</v>
      </c>
      <c r="I476" s="3" t="str">
        <f>"protein_coding"</f>
        <v>protein_coding</v>
      </c>
    </row>
    <row r="477" spans="1:9" x14ac:dyDescent="0.2">
      <c r="A477" s="3" t="str">
        <f>"ENSG00000171848.15"</f>
        <v>ENSG00000171848.15</v>
      </c>
      <c r="B477" s="3">
        <v>11322.236729836601</v>
      </c>
      <c r="C477" s="3">
        <v>-1.34532825926666</v>
      </c>
      <c r="D477" s="3">
        <v>0.23588605950691599</v>
      </c>
      <c r="E477" s="3">
        <v>-5.7032970158510299</v>
      </c>
      <c r="F477" s="4">
        <v>1.17511956020104E-8</v>
      </c>
      <c r="G477" s="4">
        <v>2.0542135188921E-7</v>
      </c>
      <c r="H477" s="3" t="str">
        <f>"RRM2"</f>
        <v>RRM2</v>
      </c>
      <c r="I477" s="3" t="str">
        <f>"protein_coding"</f>
        <v>protein_coding</v>
      </c>
    </row>
    <row r="478" spans="1:9" x14ac:dyDescent="0.2">
      <c r="A478" s="3" t="str">
        <f>"ENSG00000285872.1"</f>
        <v>ENSG00000285872.1</v>
      </c>
      <c r="B478" s="3">
        <v>74.078678327350701</v>
      </c>
      <c r="C478" s="3">
        <v>-2.2659607820494401</v>
      </c>
      <c r="D478" s="3">
        <v>0.47367404689852299</v>
      </c>
      <c r="E478" s="3">
        <v>-4.7837976281079397</v>
      </c>
      <c r="F478" s="4">
        <v>1.7201387449534601E-6</v>
      </c>
      <c r="G478" s="4">
        <v>2.0438720580673201E-5</v>
      </c>
      <c r="H478" s="3" t="str">
        <f>"AC007240.1"</f>
        <v>AC007240.1</v>
      </c>
      <c r="I478" s="3" t="str">
        <f>"bidirectional_promoter_lncRNA"</f>
        <v>bidirectional_promoter_lncRNA</v>
      </c>
    </row>
    <row r="479" spans="1:9" x14ac:dyDescent="0.2">
      <c r="A479" s="3" t="str">
        <f>"ENSG00000115758.13"</f>
        <v>ENSG00000115758.13</v>
      </c>
      <c r="B479" s="3">
        <v>9326.9567493712402</v>
      </c>
      <c r="C479" s="3">
        <v>-1.41043836501396</v>
      </c>
      <c r="D479" s="3">
        <v>0.241111655605692</v>
      </c>
      <c r="E479" s="3">
        <v>-5.8497311607388998</v>
      </c>
      <c r="F479" s="4">
        <v>4.9236816929509697E-9</v>
      </c>
      <c r="G479" s="4">
        <v>9.1338652644676806E-8</v>
      </c>
      <c r="H479" s="3" t="str">
        <f>"ODC1"</f>
        <v>ODC1</v>
      </c>
      <c r="I479" s="3" t="str">
        <f>"protein_coding"</f>
        <v>protein_coding</v>
      </c>
    </row>
    <row r="480" spans="1:9" x14ac:dyDescent="0.2">
      <c r="A480" s="3" t="str">
        <f>"ENSG00000257135.6"</f>
        <v>ENSG00000257135.6</v>
      </c>
      <c r="B480" s="3">
        <v>141.32190255637701</v>
      </c>
      <c r="C480" s="3">
        <v>-1.29774062856637</v>
      </c>
      <c r="D480" s="3">
        <v>0.36405957955294299</v>
      </c>
      <c r="E480" s="3">
        <v>-3.56463804677237</v>
      </c>
      <c r="F480" s="3">
        <v>3.64358646323681E-4</v>
      </c>
      <c r="G480" s="3">
        <v>2.5396070236276499E-3</v>
      </c>
      <c r="H480" s="3" t="str">
        <f>"ODC1-DT"</f>
        <v>ODC1-DT</v>
      </c>
      <c r="I480" s="3" t="str">
        <f>"lincRNA"</f>
        <v>lincRNA</v>
      </c>
    </row>
    <row r="481" spans="1:9" x14ac:dyDescent="0.2">
      <c r="A481" s="3" t="str">
        <f>"ENSG00000150873.11"</f>
        <v>ENSG00000150873.11</v>
      </c>
      <c r="B481" s="3">
        <v>76.178173988161902</v>
      </c>
      <c r="C481" s="3">
        <v>-1.3700311035906001</v>
      </c>
      <c r="D481" s="3">
        <v>0.45076219458681499</v>
      </c>
      <c r="E481" s="3">
        <v>-3.0393655902008798</v>
      </c>
      <c r="F481" s="3">
        <v>2.3707696514479E-3</v>
      </c>
      <c r="G481" s="3">
        <v>1.26542285724143E-2</v>
      </c>
      <c r="H481" s="3" t="str">
        <f>"C2orf50"</f>
        <v>C2orf50</v>
      </c>
      <c r="I481" s="3" t="str">
        <f>"protein_coding"</f>
        <v>protein_coding</v>
      </c>
    </row>
    <row r="482" spans="1:9" x14ac:dyDescent="0.2">
      <c r="A482" s="3" t="str">
        <f>"ENSG00000230952.1"</f>
        <v>ENSG00000230952.1</v>
      </c>
      <c r="B482" s="3">
        <v>1528.79663589713</v>
      </c>
      <c r="C482" s="3">
        <v>1.79122853955261</v>
      </c>
      <c r="D482" s="3">
        <v>0.25627934409900899</v>
      </c>
      <c r="E482" s="3">
        <v>6.9893597779015897</v>
      </c>
      <c r="F482" s="4">
        <v>2.7614345129491401E-12</v>
      </c>
      <c r="G482" s="4">
        <v>7.58136023695682E-11</v>
      </c>
      <c r="H482" s="3" t="str">
        <f>"AC099344.1"</f>
        <v>AC099344.1</v>
      </c>
      <c r="I482" s="3" t="str">
        <f>"lincRNA"</f>
        <v>lincRNA</v>
      </c>
    </row>
    <row r="483" spans="1:9" x14ac:dyDescent="0.2">
      <c r="A483" s="3" t="str">
        <f>"ENSG00000196208.14"</f>
        <v>ENSG00000196208.14</v>
      </c>
      <c r="B483" s="3">
        <v>3284.6433774460502</v>
      </c>
      <c r="C483" s="3">
        <v>-1.0515326318456699</v>
      </c>
      <c r="D483" s="3">
        <v>0.27478659673730998</v>
      </c>
      <c r="E483" s="3">
        <v>-3.82672460859113</v>
      </c>
      <c r="F483" s="3">
        <v>1.2985965789010401E-4</v>
      </c>
      <c r="G483" s="3">
        <v>1.0201952292704099E-3</v>
      </c>
      <c r="H483" s="3" t="str">
        <f>"GREB1"</f>
        <v>GREB1</v>
      </c>
      <c r="I483" s="3" t="str">
        <f>"protein_coding"</f>
        <v>protein_coding</v>
      </c>
    </row>
    <row r="484" spans="1:9" x14ac:dyDescent="0.2">
      <c r="A484" s="3" t="str">
        <f>"ENSG00000239899.3"</f>
        <v>ENSG00000239899.3</v>
      </c>
      <c r="B484" s="3">
        <v>33.113602505647499</v>
      </c>
      <c r="C484" s="3">
        <v>-1.6615926663038101</v>
      </c>
      <c r="D484" s="3">
        <v>0.62411145720186001</v>
      </c>
      <c r="E484" s="3">
        <v>-2.66233322130216</v>
      </c>
      <c r="F484" s="3">
        <v>7.7601014665084796E-3</v>
      </c>
      <c r="G484" s="3">
        <v>3.4094712981702101E-2</v>
      </c>
      <c r="H484" s="3" t="str">
        <f>"RN7SL674P"</f>
        <v>RN7SL674P</v>
      </c>
      <c r="I484" s="3" t="str">
        <f>"misc_RNA"</f>
        <v>misc_RNA</v>
      </c>
    </row>
    <row r="485" spans="1:9" x14ac:dyDescent="0.2">
      <c r="A485" s="3" t="str">
        <f>"ENSG00000265172.1"</f>
        <v>ENSG00000265172.1</v>
      </c>
      <c r="B485" s="3">
        <v>19.297644345984299</v>
      </c>
      <c r="C485" s="3">
        <v>5.2877805972649803</v>
      </c>
      <c r="D485" s="3">
        <v>1.2560565070061001</v>
      </c>
      <c r="E485" s="3">
        <v>4.2098270004338998</v>
      </c>
      <c r="F485" s="4">
        <v>2.5556630402687101E-5</v>
      </c>
      <c r="G485" s="3">
        <v>2.3970061065607499E-4</v>
      </c>
      <c r="H485" s="3" t="str">
        <f>"MIR4262"</f>
        <v>MIR4262</v>
      </c>
      <c r="I485" s="3" t="str">
        <f>"miRNA"</f>
        <v>miRNA</v>
      </c>
    </row>
    <row r="486" spans="1:9" x14ac:dyDescent="0.2">
      <c r="A486" s="3" t="str">
        <f>"ENSG00000071575.11"</f>
        <v>ENSG00000071575.11</v>
      </c>
      <c r="B486" s="3">
        <v>84.366705902161996</v>
      </c>
      <c r="C486" s="3">
        <v>-2.4159772821483601</v>
      </c>
      <c r="D486" s="3">
        <v>0.46320782593293502</v>
      </c>
      <c r="E486" s="3">
        <v>-5.2157522971085504</v>
      </c>
      <c r="F486" s="4">
        <v>1.83072687436043E-7</v>
      </c>
      <c r="G486" s="4">
        <v>2.6315391156878101E-6</v>
      </c>
      <c r="H486" s="3" t="str">
        <f>"TRIB2"</f>
        <v>TRIB2</v>
      </c>
      <c r="I486" s="3" t="str">
        <f>"protein_coding"</f>
        <v>protein_coding</v>
      </c>
    </row>
    <row r="487" spans="1:9" x14ac:dyDescent="0.2">
      <c r="A487" s="3" t="str">
        <f>"ENSG00000229370.1"</f>
        <v>ENSG00000229370.1</v>
      </c>
      <c r="B487" s="3">
        <v>28.0302907217471</v>
      </c>
      <c r="C487" s="3">
        <v>2.6843634839000399</v>
      </c>
      <c r="D487" s="3">
        <v>0.70433883104783701</v>
      </c>
      <c r="E487" s="3">
        <v>3.8111820129333802</v>
      </c>
      <c r="F487" s="3">
        <v>1.3830388327803201E-4</v>
      </c>
      <c r="G487" s="3">
        <v>1.0791048957378699E-3</v>
      </c>
      <c r="H487" s="3" t="str">
        <f>"AC073062.1"</f>
        <v>AC073062.1</v>
      </c>
      <c r="I487" s="3" t="str">
        <f>"lincRNA"</f>
        <v>lincRNA</v>
      </c>
    </row>
    <row r="488" spans="1:9" x14ac:dyDescent="0.2">
      <c r="A488" s="3" t="str">
        <f>"ENSG00000227718.1"</f>
        <v>ENSG00000227718.1</v>
      </c>
      <c r="B488" s="3">
        <v>55.8813949831437</v>
      </c>
      <c r="C488" s="3">
        <v>2.1129893172365901</v>
      </c>
      <c r="D488" s="3">
        <v>0.52488893356492095</v>
      </c>
      <c r="E488" s="3">
        <v>4.0255931914694196</v>
      </c>
      <c r="F488" s="4">
        <v>5.6831867131484799E-5</v>
      </c>
      <c r="G488" s="3">
        <v>4.92627711127671E-4</v>
      </c>
      <c r="H488" s="3" t="str">
        <f>"AC016730.1"</f>
        <v>AC016730.1</v>
      </c>
      <c r="I488" s="3" t="str">
        <f>"lincRNA"</f>
        <v>lincRNA</v>
      </c>
    </row>
    <row r="489" spans="1:9" x14ac:dyDescent="0.2">
      <c r="A489" s="3" t="str">
        <f>"ENSG00000162981.14"</f>
        <v>ENSG00000162981.14</v>
      </c>
      <c r="B489" s="3">
        <v>210.093977503611</v>
      </c>
      <c r="C489" s="3">
        <v>3.4374524458451399</v>
      </c>
      <c r="D489" s="3">
        <v>0.36481344692409301</v>
      </c>
      <c r="E489" s="3">
        <v>9.4224938110912895</v>
      </c>
      <c r="F489" s="4">
        <v>4.4049920601921801E-21</v>
      </c>
      <c r="G489" s="4">
        <v>2.5531699371920299E-19</v>
      </c>
      <c r="H489" s="3" t="str">
        <f>"FAM84A"</f>
        <v>FAM84A</v>
      </c>
      <c r="I489" s="3" t="str">
        <f>"protein_coding"</f>
        <v>protein_coding</v>
      </c>
    </row>
    <row r="490" spans="1:9" x14ac:dyDescent="0.2">
      <c r="A490" s="3" t="str">
        <f>"ENSG00000233718.7"</f>
        <v>ENSG00000233718.7</v>
      </c>
      <c r="B490" s="3">
        <v>5.6353709356018298</v>
      </c>
      <c r="C490" s="3">
        <v>-5.8850805872398997</v>
      </c>
      <c r="D490" s="3">
        <v>1.9583671868447601</v>
      </c>
      <c r="E490" s="3">
        <v>-3.0050955851245198</v>
      </c>
      <c r="F490" s="3">
        <v>2.6549740010831501E-3</v>
      </c>
      <c r="G490" s="3">
        <v>1.3896352683571899E-2</v>
      </c>
      <c r="H490" s="3" t="str">
        <f>"MYCNOS"</f>
        <v>MYCNOS</v>
      </c>
      <c r="I490" s="3" t="str">
        <f>"antisense"</f>
        <v>antisense</v>
      </c>
    </row>
    <row r="491" spans="1:9" x14ac:dyDescent="0.2">
      <c r="A491" s="3" t="str">
        <f>"ENSG00000134323.12"</f>
        <v>ENSG00000134323.12</v>
      </c>
      <c r="B491" s="3">
        <v>238.567443105564</v>
      </c>
      <c r="C491" s="3">
        <v>-4.1828942825412598</v>
      </c>
      <c r="D491" s="3">
        <v>0.37052192972818798</v>
      </c>
      <c r="E491" s="3">
        <v>-11.289194908408801</v>
      </c>
      <c r="F491" s="4">
        <v>1.4838962725604399E-29</v>
      </c>
      <c r="G491" s="4">
        <v>1.46382002887285E-27</v>
      </c>
      <c r="H491" s="3" t="str">
        <f>"MYCN"</f>
        <v>MYCN</v>
      </c>
      <c r="I491" s="3" t="str">
        <f>"protein_coding"</f>
        <v>protein_coding</v>
      </c>
    </row>
    <row r="492" spans="1:9" x14ac:dyDescent="0.2">
      <c r="A492" s="3" t="str">
        <f>"ENSG00000236289.3"</f>
        <v>ENSG00000236289.3</v>
      </c>
      <c r="B492" s="3">
        <v>30.202011786373799</v>
      </c>
      <c r="C492" s="3">
        <v>-3.4214989193107099</v>
      </c>
      <c r="D492" s="3">
        <v>0.74784619241499695</v>
      </c>
      <c r="E492" s="3">
        <v>-4.5751371792931996</v>
      </c>
      <c r="F492" s="4">
        <v>4.75908051007607E-6</v>
      </c>
      <c r="G492" s="4">
        <v>5.2391540582478602E-5</v>
      </c>
      <c r="H492" s="3" t="str">
        <f>"GACAT3"</f>
        <v>GACAT3</v>
      </c>
      <c r="I492" s="3" t="str">
        <f>"lincRNA"</f>
        <v>lincRNA</v>
      </c>
    </row>
    <row r="493" spans="1:9" x14ac:dyDescent="0.2">
      <c r="A493" s="3" t="str">
        <f>"ENSG00000197872.11"</f>
        <v>ENSG00000197872.11</v>
      </c>
      <c r="B493" s="3">
        <v>63.889358291846797</v>
      </c>
      <c r="C493" s="3">
        <v>4.27791892892352</v>
      </c>
      <c r="D493" s="3">
        <v>0.64981191255272597</v>
      </c>
      <c r="E493" s="3">
        <v>6.5833187208250896</v>
      </c>
      <c r="F493" s="4">
        <v>4.6006144109452398E-11</v>
      </c>
      <c r="G493" s="4">
        <v>1.0990356648369201E-9</v>
      </c>
      <c r="H493" s="3" t="str">
        <f>"FAM49A"</f>
        <v>FAM49A</v>
      </c>
      <c r="I493" s="3" t="str">
        <f t="shared" ref="I493:I498" si="23">"protein_coding"</f>
        <v>protein_coding</v>
      </c>
    </row>
    <row r="494" spans="1:9" x14ac:dyDescent="0.2">
      <c r="A494" s="3" t="str">
        <f>"ENSG00000132031.13"</f>
        <v>ENSG00000132031.13</v>
      </c>
      <c r="B494" s="3">
        <v>3032.4648684594299</v>
      </c>
      <c r="C494" s="3">
        <v>1.1391434204267701</v>
      </c>
      <c r="D494" s="3">
        <v>0.23855037568533199</v>
      </c>
      <c r="E494" s="3">
        <v>4.7752740575407797</v>
      </c>
      <c r="F494" s="4">
        <v>1.7946268334105501E-6</v>
      </c>
      <c r="G494" s="4">
        <v>2.1274193211329999E-5</v>
      </c>
      <c r="H494" s="3" t="str">
        <f>"MATN3"</f>
        <v>MATN3</v>
      </c>
      <c r="I494" s="3" t="str">
        <f t="shared" si="23"/>
        <v>protein_coding</v>
      </c>
    </row>
    <row r="495" spans="1:9" x14ac:dyDescent="0.2">
      <c r="A495" s="3" t="str">
        <f>"ENSG00000115884.11"</f>
        <v>ENSG00000115884.11</v>
      </c>
      <c r="B495" s="3">
        <v>11832.437717217201</v>
      </c>
      <c r="C495" s="3">
        <v>1.84576509348125</v>
      </c>
      <c r="D495" s="3">
        <v>0.285191886798561</v>
      </c>
      <c r="E495" s="3">
        <v>6.4720112279525104</v>
      </c>
      <c r="F495" s="4">
        <v>9.67069336974728E-11</v>
      </c>
      <c r="G495" s="4">
        <v>2.2256751300639801E-9</v>
      </c>
      <c r="H495" s="3" t="str">
        <f>"SDC1"</f>
        <v>SDC1</v>
      </c>
      <c r="I495" s="3" t="str">
        <f t="shared" si="23"/>
        <v>protein_coding</v>
      </c>
    </row>
    <row r="496" spans="1:9" x14ac:dyDescent="0.2">
      <c r="A496" s="3" t="str">
        <f>"ENSG00000118960.13"</f>
        <v>ENSG00000118960.13</v>
      </c>
      <c r="B496" s="3">
        <v>2651.4724672550601</v>
      </c>
      <c r="C496" s="3">
        <v>1.1746846063979699</v>
      </c>
      <c r="D496" s="3">
        <v>0.27764853882132101</v>
      </c>
      <c r="E496" s="3">
        <v>4.2308330214333498</v>
      </c>
      <c r="F496" s="4">
        <v>2.3282746378569699E-5</v>
      </c>
      <c r="G496" s="3">
        <v>2.2001408157510099E-4</v>
      </c>
      <c r="H496" s="3" t="str">
        <f>"HS1BP3"</f>
        <v>HS1BP3</v>
      </c>
      <c r="I496" s="3" t="str">
        <f t="shared" si="23"/>
        <v>protein_coding</v>
      </c>
    </row>
    <row r="497" spans="1:9" x14ac:dyDescent="0.2">
      <c r="A497" s="3" t="str">
        <f>"ENSG00000143869.7"</f>
        <v>ENSG00000143869.7</v>
      </c>
      <c r="B497" s="3">
        <v>1510.0856884064699</v>
      </c>
      <c r="C497" s="3">
        <v>-1.24628886423619</v>
      </c>
      <c r="D497" s="3">
        <v>0.26864774093551302</v>
      </c>
      <c r="E497" s="3">
        <v>-4.6391190928918</v>
      </c>
      <c r="F497" s="4">
        <v>3.49897389899932E-6</v>
      </c>
      <c r="G497" s="4">
        <v>3.9540291297990901E-5</v>
      </c>
      <c r="H497" s="3" t="str">
        <f>"GDF7"</f>
        <v>GDF7</v>
      </c>
      <c r="I497" s="3" t="str">
        <f t="shared" si="23"/>
        <v>protein_coding</v>
      </c>
    </row>
    <row r="498" spans="1:9" x14ac:dyDescent="0.2">
      <c r="A498" s="3" t="str">
        <f>"ENSG00000218819.4"</f>
        <v>ENSG00000218819.4</v>
      </c>
      <c r="B498" s="3">
        <v>264.62015861918098</v>
      </c>
      <c r="C498" s="3">
        <v>-1.33718341344165</v>
      </c>
      <c r="D498" s="3">
        <v>0.31225790413357701</v>
      </c>
      <c r="E498" s="3">
        <v>-4.28230445327537</v>
      </c>
      <c r="F498" s="4">
        <v>1.8496766235589301E-5</v>
      </c>
      <c r="G498" s="3">
        <v>1.7874996337159001E-4</v>
      </c>
      <c r="H498" s="3" t="str">
        <f>"TDRD15"</f>
        <v>TDRD15</v>
      </c>
      <c r="I498" s="3" t="str">
        <f t="shared" si="23"/>
        <v>protein_coding</v>
      </c>
    </row>
    <row r="499" spans="1:9" x14ac:dyDescent="0.2">
      <c r="A499" s="3" t="str">
        <f>"ENSG00000234946.1"</f>
        <v>ENSG00000234946.1</v>
      </c>
      <c r="B499" s="3">
        <v>34.279259666508899</v>
      </c>
      <c r="C499" s="3">
        <v>1.7819362577575799</v>
      </c>
      <c r="D499" s="3">
        <v>0.63168631935625696</v>
      </c>
      <c r="E499" s="3">
        <v>2.8209195025365199</v>
      </c>
      <c r="F499" s="3">
        <v>4.7886217355367199E-3</v>
      </c>
      <c r="G499" s="3">
        <v>2.2883316823219299E-2</v>
      </c>
      <c r="H499" s="3" t="str">
        <f>"SDHCP3"</f>
        <v>SDHCP3</v>
      </c>
      <c r="I499" s="3" t="str">
        <f>"processed_pseudogene"</f>
        <v>processed_pseudogene</v>
      </c>
    </row>
    <row r="500" spans="1:9" x14ac:dyDescent="0.2">
      <c r="A500" s="3" t="str">
        <f>"ENSG00000115129.14"</f>
        <v>ENSG00000115129.14</v>
      </c>
      <c r="B500" s="3">
        <v>16537.072363832998</v>
      </c>
      <c r="C500" s="3">
        <v>5.2853006624399397</v>
      </c>
      <c r="D500" s="3">
        <v>0.25888294202302597</v>
      </c>
      <c r="E500" s="3">
        <v>20.4157934127999</v>
      </c>
      <c r="F500" s="4">
        <v>1.21049951275178E-92</v>
      </c>
      <c r="G500" s="4">
        <v>1.21800460973084E-89</v>
      </c>
      <c r="H500" s="3" t="str">
        <f>"TP53I3"</f>
        <v>TP53I3</v>
      </c>
      <c r="I500" s="3" t="str">
        <f t="shared" ref="I500:I508" si="24">"protein_coding"</f>
        <v>protein_coding</v>
      </c>
    </row>
    <row r="501" spans="1:9" x14ac:dyDescent="0.2">
      <c r="A501" s="3" t="str">
        <f>"ENSG00000184924.5"</f>
        <v>ENSG00000184924.5</v>
      </c>
      <c r="B501" s="3">
        <v>743.70728215595796</v>
      </c>
      <c r="C501" s="3">
        <v>-1.0954772729794</v>
      </c>
      <c r="D501" s="3">
        <v>0.311629199742959</v>
      </c>
      <c r="E501" s="3">
        <v>-3.5153229347024699</v>
      </c>
      <c r="F501" s="3">
        <v>4.3921954047844002E-4</v>
      </c>
      <c r="G501" s="3">
        <v>2.9893310445712E-3</v>
      </c>
      <c r="H501" s="3" t="str">
        <f>"PTRHD1"</f>
        <v>PTRHD1</v>
      </c>
      <c r="I501" s="3" t="str">
        <f t="shared" si="24"/>
        <v>protein_coding</v>
      </c>
    </row>
    <row r="502" spans="1:9" x14ac:dyDescent="0.2">
      <c r="A502" s="3" t="str">
        <f>"ENSG00000138092.11"</f>
        <v>ENSG00000138092.11</v>
      </c>
      <c r="B502" s="3">
        <v>2685.85820963584</v>
      </c>
      <c r="C502" s="3">
        <v>-1.3792630047910099</v>
      </c>
      <c r="D502" s="3">
        <v>0.256741603018594</v>
      </c>
      <c r="E502" s="3">
        <v>-5.3721835050282802</v>
      </c>
      <c r="F502" s="4">
        <v>7.7788885173665804E-8</v>
      </c>
      <c r="G502" s="4">
        <v>1.1844911661885999E-6</v>
      </c>
      <c r="H502" s="3" t="str">
        <f>"CENPO"</f>
        <v>CENPO</v>
      </c>
      <c r="I502" s="3" t="str">
        <f t="shared" si="24"/>
        <v>protein_coding</v>
      </c>
    </row>
    <row r="503" spans="1:9" x14ac:dyDescent="0.2">
      <c r="A503" s="3" t="str">
        <f>"ENSG00000138031.14"</f>
        <v>ENSG00000138031.14</v>
      </c>
      <c r="B503" s="3">
        <v>134.97730987532699</v>
      </c>
      <c r="C503" s="3">
        <v>-1.27502415786625</v>
      </c>
      <c r="D503" s="3">
        <v>0.37417479990924701</v>
      </c>
      <c r="E503" s="3">
        <v>-3.4075628774986901</v>
      </c>
      <c r="F503" s="3">
        <v>6.5545804949797E-4</v>
      </c>
      <c r="G503" s="3">
        <v>4.24402760234786E-3</v>
      </c>
      <c r="H503" s="3" t="str">
        <f>"ADCY3"</f>
        <v>ADCY3</v>
      </c>
      <c r="I503" s="3" t="str">
        <f t="shared" si="24"/>
        <v>protein_coding</v>
      </c>
    </row>
    <row r="504" spans="1:9" x14ac:dyDescent="0.2">
      <c r="A504" s="3" t="str">
        <f>"ENSG00000084731.15"</f>
        <v>ENSG00000084731.15</v>
      </c>
      <c r="B504" s="3">
        <v>791.511146926077</v>
      </c>
      <c r="C504" s="3">
        <v>-1.20805537239036</v>
      </c>
      <c r="D504" s="3">
        <v>0.29579880409555898</v>
      </c>
      <c r="E504" s="3">
        <v>-4.0840441396784399</v>
      </c>
      <c r="F504" s="4">
        <v>4.4258618193500597E-5</v>
      </c>
      <c r="G504" s="3">
        <v>3.9243057478234301E-4</v>
      </c>
      <c r="H504" s="3" t="str">
        <f>"KIF3C"</f>
        <v>KIF3C</v>
      </c>
      <c r="I504" s="3" t="str">
        <f t="shared" si="24"/>
        <v>protein_coding</v>
      </c>
    </row>
    <row r="505" spans="1:9" x14ac:dyDescent="0.2">
      <c r="A505" s="3" t="str">
        <f>"ENSG00000157833.13"</f>
        <v>ENSG00000157833.13</v>
      </c>
      <c r="B505" s="3">
        <v>485.01852610073098</v>
      </c>
      <c r="C505" s="3">
        <v>1.0167871575414</v>
      </c>
      <c r="D505" s="3">
        <v>0.33896828137006901</v>
      </c>
      <c r="E505" s="3">
        <v>2.99965280949493</v>
      </c>
      <c r="F505" s="3">
        <v>2.7028750577935698E-3</v>
      </c>
      <c r="G505" s="3">
        <v>1.41176956143682E-2</v>
      </c>
      <c r="H505" s="3" t="str">
        <f>"GAREM2"</f>
        <v>GAREM2</v>
      </c>
      <c r="I505" s="3" t="str">
        <f t="shared" si="24"/>
        <v>protein_coding</v>
      </c>
    </row>
    <row r="506" spans="1:9" x14ac:dyDescent="0.2">
      <c r="A506" s="3" t="str">
        <f>"ENSG00000173567.15"</f>
        <v>ENSG00000173567.15</v>
      </c>
      <c r="B506" s="3">
        <v>83.706814485636997</v>
      </c>
      <c r="C506" s="3">
        <v>-1.2920651435733299</v>
      </c>
      <c r="D506" s="3">
        <v>0.44943959083526602</v>
      </c>
      <c r="E506" s="3">
        <v>-2.87483606233282</v>
      </c>
      <c r="F506" s="3">
        <v>4.0423732601614602E-3</v>
      </c>
      <c r="G506" s="3">
        <v>1.98760553868963E-2</v>
      </c>
      <c r="H506" s="3" t="str">
        <f>"ADGRF3"</f>
        <v>ADGRF3</v>
      </c>
      <c r="I506" s="3" t="str">
        <f t="shared" si="24"/>
        <v>protein_coding</v>
      </c>
    </row>
    <row r="507" spans="1:9" x14ac:dyDescent="0.2">
      <c r="A507" s="3" t="str">
        <f>"ENSG00000115155.17"</f>
        <v>ENSG00000115155.17</v>
      </c>
      <c r="B507" s="3">
        <v>219.19351142784399</v>
      </c>
      <c r="C507" s="3">
        <v>3.0288624822833801</v>
      </c>
      <c r="D507" s="3">
        <v>0.34549603749966501</v>
      </c>
      <c r="E507" s="3">
        <v>8.7667068606722207</v>
      </c>
      <c r="F507" s="4">
        <v>1.8396794557795799E-18</v>
      </c>
      <c r="G507" s="4">
        <v>8.9338101757017997E-17</v>
      </c>
      <c r="H507" s="3" t="str">
        <f>"OTOF"</f>
        <v>OTOF</v>
      </c>
      <c r="I507" s="3" t="str">
        <f t="shared" si="24"/>
        <v>protein_coding</v>
      </c>
    </row>
    <row r="508" spans="1:9" x14ac:dyDescent="0.2">
      <c r="A508" s="3" t="str">
        <f>"ENSG00000084764.11"</f>
        <v>ENSG00000084764.11</v>
      </c>
      <c r="B508" s="3">
        <v>199.73366874098301</v>
      </c>
      <c r="C508" s="3">
        <v>2.63491113787958</v>
      </c>
      <c r="D508" s="3">
        <v>0.36469366441108803</v>
      </c>
      <c r="E508" s="3">
        <v>7.2249983890848997</v>
      </c>
      <c r="F508" s="4">
        <v>5.0110777818181495E-13</v>
      </c>
      <c r="G508" s="4">
        <v>1.49885447802182E-11</v>
      </c>
      <c r="H508" s="3" t="str">
        <f>"MAPRE3"</f>
        <v>MAPRE3</v>
      </c>
      <c r="I508" s="3" t="str">
        <f t="shared" si="24"/>
        <v>protein_coding</v>
      </c>
    </row>
    <row r="509" spans="1:9" x14ac:dyDescent="0.2">
      <c r="A509" s="3" t="str">
        <f>"ENSG00000231636.1"</f>
        <v>ENSG00000231636.1</v>
      </c>
      <c r="B509" s="3">
        <v>10.5149922368328</v>
      </c>
      <c r="C509" s="3">
        <v>5.4475388905328401</v>
      </c>
      <c r="D509" s="3">
        <v>1.72327050607886</v>
      </c>
      <c r="E509" s="3">
        <v>3.16116295805945</v>
      </c>
      <c r="F509" s="3">
        <v>1.5714055857372099E-3</v>
      </c>
      <c r="G509" s="3">
        <v>8.9654587228894106E-3</v>
      </c>
      <c r="H509" s="3" t="str">
        <f>"AGBL5-AS1"</f>
        <v>AGBL5-AS1</v>
      </c>
      <c r="I509" s="3" t="str">
        <f>"antisense"</f>
        <v>antisense</v>
      </c>
    </row>
    <row r="510" spans="1:9" x14ac:dyDescent="0.2">
      <c r="A510" s="3" t="str">
        <f>"ENSG00000143994.14"</f>
        <v>ENSG00000143994.14</v>
      </c>
      <c r="B510" s="3">
        <v>32.775437380377198</v>
      </c>
      <c r="C510" s="3">
        <v>1.5911261969908199</v>
      </c>
      <c r="D510" s="3">
        <v>0.62888859775140304</v>
      </c>
      <c r="E510" s="3">
        <v>2.5300604951018499</v>
      </c>
      <c r="F510" s="3">
        <v>1.14042861871215E-2</v>
      </c>
      <c r="G510" s="3">
        <v>4.7105881615277803E-2</v>
      </c>
      <c r="H510" s="3" t="str">
        <f>"ABHD1"</f>
        <v>ABHD1</v>
      </c>
      <c r="I510" s="3" t="str">
        <f>"protein_coding"</f>
        <v>protein_coding</v>
      </c>
    </row>
    <row r="511" spans="1:9" x14ac:dyDescent="0.2">
      <c r="A511" s="3" t="str">
        <f>"ENSG00000115194.10"</f>
        <v>ENSG00000115194.10</v>
      </c>
      <c r="B511" s="3">
        <v>910.945209304321</v>
      </c>
      <c r="C511" s="3">
        <v>-3.05124267954763</v>
      </c>
      <c r="D511" s="3">
        <v>0.30870234226745602</v>
      </c>
      <c r="E511" s="3">
        <v>-9.8840930623845793</v>
      </c>
      <c r="F511" s="4">
        <v>4.87980342010058E-23</v>
      </c>
      <c r="G511" s="4">
        <v>3.21338887519974E-21</v>
      </c>
      <c r="H511" s="3" t="str">
        <f>"SLC30A3"</f>
        <v>SLC30A3</v>
      </c>
      <c r="I511" s="3" t="str">
        <f>"protein_coding"</f>
        <v>protein_coding</v>
      </c>
    </row>
    <row r="512" spans="1:9" x14ac:dyDescent="0.2">
      <c r="A512" s="3" t="str">
        <f>"ENSG00000163794.6"</f>
        <v>ENSG00000163794.6</v>
      </c>
      <c r="B512" s="3">
        <v>38.429950766264199</v>
      </c>
      <c r="C512" s="3">
        <v>1.6667470728078699</v>
      </c>
      <c r="D512" s="3">
        <v>0.62092149962932197</v>
      </c>
      <c r="E512" s="3">
        <v>2.6843120648952898</v>
      </c>
      <c r="F512" s="3">
        <v>7.2679231916988702E-3</v>
      </c>
      <c r="G512" s="3">
        <v>3.2272658055990298E-2</v>
      </c>
      <c r="H512" s="3" t="str">
        <f>"UCN"</f>
        <v>UCN</v>
      </c>
      <c r="I512" s="3" t="str">
        <f>"protein_coding"</f>
        <v>protein_coding</v>
      </c>
    </row>
    <row r="513" spans="1:9" x14ac:dyDescent="0.2">
      <c r="A513" s="3" t="str">
        <f>"ENSG00000084734.9"</f>
        <v>ENSG00000084734.9</v>
      </c>
      <c r="B513" s="3">
        <v>249.66771102803199</v>
      </c>
      <c r="C513" s="3">
        <v>-1.81989161711901</v>
      </c>
      <c r="D513" s="3">
        <v>0.34008881456277201</v>
      </c>
      <c r="E513" s="3">
        <v>-5.3512245601453197</v>
      </c>
      <c r="F513" s="4">
        <v>8.7361031625653201E-8</v>
      </c>
      <c r="G513" s="4">
        <v>1.3190676773969399E-6</v>
      </c>
      <c r="H513" s="3" t="str">
        <f>"GCKR"</f>
        <v>GCKR</v>
      </c>
      <c r="I513" s="3" t="str">
        <f>"protein_coding"</f>
        <v>protein_coding</v>
      </c>
    </row>
    <row r="514" spans="1:9" x14ac:dyDescent="0.2">
      <c r="A514" s="3" t="str">
        <f>"ENSG00000205334.2"</f>
        <v>ENSG00000205334.2</v>
      </c>
      <c r="B514" s="3">
        <v>74.150230047777001</v>
      </c>
      <c r="C514" s="3">
        <v>5.58045352086772</v>
      </c>
      <c r="D514" s="3">
        <v>1.7845170646845401</v>
      </c>
      <c r="E514" s="3">
        <v>3.1271505503110499</v>
      </c>
      <c r="F514" s="3">
        <v>1.7650951543991601E-3</v>
      </c>
      <c r="G514" s="3">
        <v>9.8603083741751699E-3</v>
      </c>
      <c r="H514" s="3" t="str">
        <f>"LINC01460"</f>
        <v>LINC01460</v>
      </c>
      <c r="I514" s="3" t="str">
        <f>"lincRNA"</f>
        <v>lincRNA</v>
      </c>
    </row>
    <row r="515" spans="1:9" x14ac:dyDescent="0.2">
      <c r="A515" s="3" t="str">
        <f>"ENSG00000171174.15"</f>
        <v>ENSG00000171174.15</v>
      </c>
      <c r="B515" s="3">
        <v>287.02735165590298</v>
      </c>
      <c r="C515" s="3">
        <v>1.2997657924036099</v>
      </c>
      <c r="D515" s="3">
        <v>0.30176744998948901</v>
      </c>
      <c r="E515" s="3">
        <v>4.3071769087384499</v>
      </c>
      <c r="F515" s="4">
        <v>1.6535136224454199E-5</v>
      </c>
      <c r="G515" s="3">
        <v>1.6134265001014201E-4</v>
      </c>
      <c r="H515" s="3" t="str">
        <f>"RBKS"</f>
        <v>RBKS</v>
      </c>
      <c r="I515" s="3" t="str">
        <f>"protein_coding"</f>
        <v>protein_coding</v>
      </c>
    </row>
    <row r="516" spans="1:9" x14ac:dyDescent="0.2">
      <c r="A516" s="3" t="str">
        <f>"ENSG00000158019.20"</f>
        <v>ENSG00000158019.20</v>
      </c>
      <c r="B516" s="3">
        <v>680.21252508648797</v>
      </c>
      <c r="C516" s="3">
        <v>1.45201139894904</v>
      </c>
      <c r="D516" s="3">
        <v>0.26524685744398802</v>
      </c>
      <c r="E516" s="3">
        <v>5.4741888855578997</v>
      </c>
      <c r="F516" s="4">
        <v>4.3952006816698802E-8</v>
      </c>
      <c r="G516" s="4">
        <v>6.9710764910091897E-7</v>
      </c>
      <c r="H516" s="3" t="str">
        <f>"BABAM2"</f>
        <v>BABAM2</v>
      </c>
      <c r="I516" s="3" t="str">
        <f>"protein_coding"</f>
        <v>protein_coding</v>
      </c>
    </row>
    <row r="517" spans="1:9" x14ac:dyDescent="0.2">
      <c r="A517" s="3" t="str">
        <f>"ENSG00000225991.1"</f>
        <v>ENSG00000225991.1</v>
      </c>
      <c r="B517" s="3">
        <v>38.873170118226497</v>
      </c>
      <c r="C517" s="3">
        <v>2.39762591246651</v>
      </c>
      <c r="D517" s="3">
        <v>0.601825797987663</v>
      </c>
      <c r="E517" s="3">
        <v>3.9839201318446298</v>
      </c>
      <c r="F517" s="4">
        <v>6.7787663423960102E-5</v>
      </c>
      <c r="G517" s="3">
        <v>5.7647013976663895E-4</v>
      </c>
      <c r="H517" s="3" t="str">
        <f>"RPL23AP34"</f>
        <v>RPL23AP34</v>
      </c>
      <c r="I517" s="3" t="str">
        <f>"processed_pseudogene"</f>
        <v>processed_pseudogene</v>
      </c>
    </row>
    <row r="518" spans="1:9" x14ac:dyDescent="0.2">
      <c r="A518" s="3" t="str">
        <f>"ENSG00000075426.12"</f>
        <v>ENSG00000075426.12</v>
      </c>
      <c r="B518" s="3">
        <v>2380.9372713866001</v>
      </c>
      <c r="C518" s="3">
        <v>1.8846638577905199</v>
      </c>
      <c r="D518" s="3">
        <v>0.29277537249337199</v>
      </c>
      <c r="E518" s="3">
        <v>6.4372349413821901</v>
      </c>
      <c r="F518" s="4">
        <v>1.2166953329831601E-10</v>
      </c>
      <c r="G518" s="4">
        <v>2.7647670371446699E-9</v>
      </c>
      <c r="H518" s="3" t="str">
        <f>"FOSL2"</f>
        <v>FOSL2</v>
      </c>
      <c r="I518" s="3" t="str">
        <f>"protein_coding"</f>
        <v>protein_coding</v>
      </c>
    </row>
    <row r="519" spans="1:9" x14ac:dyDescent="0.2">
      <c r="A519" s="3" t="str">
        <f>"ENSG00000270640.1"</f>
        <v>ENSG00000270640.1</v>
      </c>
      <c r="B519" s="3">
        <v>30.543022146249101</v>
      </c>
      <c r="C519" s="3">
        <v>3.3042506927765301</v>
      </c>
      <c r="D519" s="3">
        <v>0.725465687038923</v>
      </c>
      <c r="E519" s="3">
        <v>4.55466158056797</v>
      </c>
      <c r="F519" s="4">
        <v>5.2469980524473402E-6</v>
      </c>
      <c r="G519" s="4">
        <v>5.7286560767930897E-5</v>
      </c>
      <c r="H519" s="3" t="str">
        <f>"AC104695.4"</f>
        <v>AC104695.4</v>
      </c>
      <c r="I519" s="3" t="str">
        <f>"sense_intronic"</f>
        <v>sense_intronic</v>
      </c>
    </row>
    <row r="520" spans="1:9" x14ac:dyDescent="0.2">
      <c r="A520" s="3" t="str">
        <f>"ENSG00000163803.13"</f>
        <v>ENSG00000163803.13</v>
      </c>
      <c r="B520" s="3">
        <v>305.70583537970401</v>
      </c>
      <c r="C520" s="3">
        <v>1.2316401836856199</v>
      </c>
      <c r="D520" s="3">
        <v>0.30530724920957902</v>
      </c>
      <c r="E520" s="3">
        <v>4.0341006866828701</v>
      </c>
      <c r="F520" s="4">
        <v>5.4811813072339099E-5</v>
      </c>
      <c r="G520" s="3">
        <v>4.7692533996357298E-4</v>
      </c>
      <c r="H520" s="3" t="str">
        <f>"PLB1"</f>
        <v>PLB1</v>
      </c>
      <c r="I520" s="3" t="str">
        <f>"protein_coding"</f>
        <v>protein_coding</v>
      </c>
    </row>
    <row r="521" spans="1:9" x14ac:dyDescent="0.2">
      <c r="A521" s="3" t="str">
        <f>"ENSG00000265145.1"</f>
        <v>ENSG00000265145.1</v>
      </c>
      <c r="B521" s="3">
        <v>57.056984062260902</v>
      </c>
      <c r="C521" s="3">
        <v>1.6356134578727499</v>
      </c>
      <c r="D521" s="3">
        <v>0.49533784646487899</v>
      </c>
      <c r="E521" s="3">
        <v>3.30201592619215</v>
      </c>
      <c r="F521" s="3">
        <v>9.5992619610149295E-4</v>
      </c>
      <c r="G521" s="3">
        <v>5.8894984055934303E-3</v>
      </c>
      <c r="H521" s="3" t="str">
        <f>"SNORD53"</f>
        <v>SNORD53</v>
      </c>
      <c r="I521" s="3" t="str">
        <f>"snoRNA"</f>
        <v>snoRNA</v>
      </c>
    </row>
    <row r="522" spans="1:9" x14ac:dyDescent="0.2">
      <c r="A522" s="3" t="str">
        <f>"ENSG00000172954.13"</f>
        <v>ENSG00000172954.13</v>
      </c>
      <c r="B522" s="3">
        <v>2207.43177097024</v>
      </c>
      <c r="C522" s="3">
        <v>-1.0663486395022801</v>
      </c>
      <c r="D522" s="3">
        <v>0.25430530018584302</v>
      </c>
      <c r="E522" s="3">
        <v>-4.1931829133054297</v>
      </c>
      <c r="F522" s="4">
        <v>2.7506747085048898E-5</v>
      </c>
      <c r="G522" s="3">
        <v>2.5570296486489502E-4</v>
      </c>
      <c r="H522" s="3" t="str">
        <f>"LCLAT1"</f>
        <v>LCLAT1</v>
      </c>
      <c r="I522" s="3" t="str">
        <f>"protein_coding"</f>
        <v>protein_coding</v>
      </c>
    </row>
    <row r="523" spans="1:9" x14ac:dyDescent="0.2">
      <c r="A523" s="3" t="str">
        <f>"ENSG00000272754.1"</f>
        <v>ENSG00000272754.1</v>
      </c>
      <c r="B523" s="3">
        <v>19.364099735698399</v>
      </c>
      <c r="C523" s="3">
        <v>2.4058386873484401</v>
      </c>
      <c r="D523" s="3">
        <v>0.81297624589058504</v>
      </c>
      <c r="E523" s="3">
        <v>2.95929764185537</v>
      </c>
      <c r="F523" s="3">
        <v>3.0834113253840798E-3</v>
      </c>
      <c r="G523" s="3">
        <v>1.5777707870227101E-2</v>
      </c>
      <c r="H523" s="3" t="str">
        <f>"AL133245.1"</f>
        <v>AL133245.1</v>
      </c>
      <c r="I523" s="3" t="str">
        <f>"lincRNA"</f>
        <v>lincRNA</v>
      </c>
    </row>
    <row r="524" spans="1:9" x14ac:dyDescent="0.2">
      <c r="A524" s="3" t="str">
        <f>"ENSG00000276334.1"</f>
        <v>ENSG00000276334.1</v>
      </c>
      <c r="B524" s="3">
        <v>144.47487831600699</v>
      </c>
      <c r="C524" s="3">
        <v>1.0714555396926999</v>
      </c>
      <c r="D524" s="3">
        <v>0.36267787991788403</v>
      </c>
      <c r="E524" s="3">
        <v>2.9542897403483499</v>
      </c>
      <c r="F524" s="3">
        <v>3.1338962372986002E-3</v>
      </c>
      <c r="G524" s="3">
        <v>1.5996988605772401E-2</v>
      </c>
      <c r="H524" s="3" t="str">
        <f>"AL133243.2"</f>
        <v>AL133243.2</v>
      </c>
      <c r="I524" s="3" t="str">
        <f>"sense_intronic"</f>
        <v>sense_intronic</v>
      </c>
    </row>
    <row r="525" spans="1:9" x14ac:dyDescent="0.2">
      <c r="A525" s="3" t="str">
        <f>"ENSG00000279544.1"</f>
        <v>ENSG00000279544.1</v>
      </c>
      <c r="B525" s="3">
        <v>130.65128814933601</v>
      </c>
      <c r="C525" s="3">
        <v>1.4825671037114101</v>
      </c>
      <c r="D525" s="3">
        <v>0.39009175062743701</v>
      </c>
      <c r="E525" s="3">
        <v>3.8005599998636099</v>
      </c>
      <c r="F525" s="3">
        <v>1.44369455050545E-4</v>
      </c>
      <c r="G525" s="3">
        <v>1.1215607293997699E-3</v>
      </c>
      <c r="H525" s="3" t="str">
        <f>"AL133243.4"</f>
        <v>AL133243.4</v>
      </c>
      <c r="I525" s="3" t="str">
        <f>"TEC"</f>
        <v>TEC</v>
      </c>
    </row>
    <row r="526" spans="1:9" x14ac:dyDescent="0.2">
      <c r="A526" s="3" t="str">
        <f>"ENSG00000260025.1"</f>
        <v>ENSG00000260025.1</v>
      </c>
      <c r="B526" s="3">
        <v>42.131715310652801</v>
      </c>
      <c r="C526" s="3">
        <v>1.77953350304234</v>
      </c>
      <c r="D526" s="3">
        <v>0.55953581380823303</v>
      </c>
      <c r="E526" s="3">
        <v>3.1803746232626802</v>
      </c>
      <c r="F526" s="3">
        <v>1.4708477089610901E-3</v>
      </c>
      <c r="G526" s="3">
        <v>8.4657645607902603E-3</v>
      </c>
      <c r="H526" s="3" t="str">
        <f>"CRIM1-DT"</f>
        <v>CRIM1-DT</v>
      </c>
      <c r="I526" s="3" t="str">
        <f>"lincRNA"</f>
        <v>lincRNA</v>
      </c>
    </row>
    <row r="527" spans="1:9" x14ac:dyDescent="0.2">
      <c r="A527" s="3" t="str">
        <f>"ENSG00000150938.10"</f>
        <v>ENSG00000150938.10</v>
      </c>
      <c r="B527" s="3">
        <v>6791.1869254794701</v>
      </c>
      <c r="C527" s="3">
        <v>1.15713234480742</v>
      </c>
      <c r="D527" s="3">
        <v>0.24189021012467199</v>
      </c>
      <c r="E527" s="3">
        <v>4.7837088744146401</v>
      </c>
      <c r="F527" s="4">
        <v>1.72089883481875E-6</v>
      </c>
      <c r="G527" s="4">
        <v>2.0438720580673201E-5</v>
      </c>
      <c r="H527" s="3" t="str">
        <f>"CRIM1"</f>
        <v>CRIM1</v>
      </c>
      <c r="I527" s="3" t="str">
        <f>"protein_coding"</f>
        <v>protein_coding</v>
      </c>
    </row>
    <row r="528" spans="1:9" x14ac:dyDescent="0.2">
      <c r="A528" s="3" t="str">
        <f>"ENSG00000218739.10"</f>
        <v>ENSG00000218739.10</v>
      </c>
      <c r="B528" s="3">
        <v>2420.2211424868601</v>
      </c>
      <c r="C528" s="3">
        <v>1.57168690863668</v>
      </c>
      <c r="D528" s="3">
        <v>0.27210248854091401</v>
      </c>
      <c r="E528" s="3">
        <v>5.77608428744802</v>
      </c>
      <c r="F528" s="4">
        <v>7.6459082544975505E-9</v>
      </c>
      <c r="G528" s="4">
        <v>1.3708682975187899E-7</v>
      </c>
      <c r="H528" s="3" t="str">
        <f>"CEBPZOS"</f>
        <v>CEBPZOS</v>
      </c>
      <c r="I528" s="3" t="str">
        <f>"protein_coding"</f>
        <v>protein_coding</v>
      </c>
    </row>
    <row r="529" spans="1:9" x14ac:dyDescent="0.2">
      <c r="A529" s="3" t="str">
        <f>"ENSG00000272054.1"</f>
        <v>ENSG00000272054.1</v>
      </c>
      <c r="B529" s="3">
        <v>72.069716763645104</v>
      </c>
      <c r="C529" s="3">
        <v>2.4688897017442399</v>
      </c>
      <c r="D529" s="3">
        <v>0.51492376250090699</v>
      </c>
      <c r="E529" s="3">
        <v>4.79467036004168</v>
      </c>
      <c r="F529" s="4">
        <v>1.6294254318405299E-6</v>
      </c>
      <c r="G529" s="4">
        <v>1.9444116099596099E-5</v>
      </c>
      <c r="H529" s="3" t="str">
        <f>"AC007390.2"</f>
        <v>AC007390.2</v>
      </c>
      <c r="I529" s="3" t="str">
        <f>"sense_intronic"</f>
        <v>sense_intronic</v>
      </c>
    </row>
    <row r="530" spans="1:9" x14ac:dyDescent="0.2">
      <c r="A530" s="3" t="str">
        <f>"ENSG00000236213.1"</f>
        <v>ENSG00000236213.1</v>
      </c>
      <c r="B530" s="3">
        <v>13.6230656504954</v>
      </c>
      <c r="C530" s="3">
        <v>3.14491820442124</v>
      </c>
      <c r="D530" s="3">
        <v>1.0520111790408999</v>
      </c>
      <c r="E530" s="3">
        <v>2.9894342066672701</v>
      </c>
      <c r="F530" s="3">
        <v>2.7949463364540599E-3</v>
      </c>
      <c r="G530" s="3">
        <v>1.4517215588168901E-2</v>
      </c>
      <c r="H530" s="3" t="str">
        <f>"AC006369.1"</f>
        <v>AC006369.1</v>
      </c>
      <c r="I530" s="3" t="str">
        <f>"antisense"</f>
        <v>antisense</v>
      </c>
    </row>
    <row r="531" spans="1:9" x14ac:dyDescent="0.2">
      <c r="A531" s="3" t="str">
        <f>"ENSG00000163171.7"</f>
        <v>ENSG00000163171.7</v>
      </c>
      <c r="B531" s="3">
        <v>107.35173055198899</v>
      </c>
      <c r="C531" s="3">
        <v>1.1586623301318699</v>
      </c>
      <c r="D531" s="3">
        <v>0.41266846086652698</v>
      </c>
      <c r="E531" s="3">
        <v>2.8077317265751098</v>
      </c>
      <c r="F531" s="3">
        <v>4.9891770475908497E-3</v>
      </c>
      <c r="G531" s="3">
        <v>2.36663678355927E-2</v>
      </c>
      <c r="H531" s="3" t="str">
        <f>"CDC42EP3"</f>
        <v>CDC42EP3</v>
      </c>
      <c r="I531" s="3" t="str">
        <f>"protein_coding"</f>
        <v>protein_coding</v>
      </c>
    </row>
    <row r="532" spans="1:9" x14ac:dyDescent="0.2">
      <c r="A532" s="3" t="str">
        <f>"ENSG00000188010.14"</f>
        <v>ENSG00000188010.14</v>
      </c>
      <c r="B532" s="3">
        <v>281.15576625835399</v>
      </c>
      <c r="C532" s="3">
        <v>-1.0104188550587501</v>
      </c>
      <c r="D532" s="3">
        <v>0.32160028935118601</v>
      </c>
      <c r="E532" s="3">
        <v>-3.14184684689564</v>
      </c>
      <c r="F532" s="3">
        <v>1.67885828321062E-3</v>
      </c>
      <c r="G532" s="3">
        <v>9.4753601333100995E-3</v>
      </c>
      <c r="H532" s="3" t="str">
        <f>"MORN2"</f>
        <v>MORN2</v>
      </c>
      <c r="I532" s="3" t="str">
        <f>"protein_coding"</f>
        <v>protein_coding</v>
      </c>
    </row>
    <row r="533" spans="1:9" x14ac:dyDescent="0.2">
      <c r="A533" s="3" t="str">
        <f>"ENSG00000252473.1"</f>
        <v>ENSG00000252473.1</v>
      </c>
      <c r="B533" s="3">
        <v>73.034184701419704</v>
      </c>
      <c r="C533" s="3">
        <v>1.7525960672224701</v>
      </c>
      <c r="D533" s="3">
        <v>0.47506759640060697</v>
      </c>
      <c r="E533" s="3">
        <v>3.6891509345221101</v>
      </c>
      <c r="F533" s="3">
        <v>2.25003709923448E-4</v>
      </c>
      <c r="G533" s="3">
        <v>1.6593281510185701E-3</v>
      </c>
      <c r="H533" s="3" t="str">
        <f>"RF00272"</f>
        <v>RF00272</v>
      </c>
      <c r="I533" s="3" t="str">
        <f>"snoRNA"</f>
        <v>snoRNA</v>
      </c>
    </row>
    <row r="534" spans="1:9" x14ac:dyDescent="0.2">
      <c r="A534" s="3" t="str">
        <f>"ENSG00000273035.1"</f>
        <v>ENSG00000273035.1</v>
      </c>
      <c r="B534" s="3">
        <v>81.397397152669598</v>
      </c>
      <c r="C534" s="3">
        <v>1.6825183448383201</v>
      </c>
      <c r="D534" s="3">
        <v>0.431701863372497</v>
      </c>
      <c r="E534" s="3">
        <v>3.89740811330838</v>
      </c>
      <c r="F534" s="4">
        <v>9.7227694117427404E-5</v>
      </c>
      <c r="G534" s="3">
        <v>7.9176518145804005E-4</v>
      </c>
      <c r="H534" s="3" t="str">
        <f>"AC007684.1"</f>
        <v>AC007684.1</v>
      </c>
      <c r="I534" s="3" t="str">
        <f>"sense_intronic"</f>
        <v>sense_intronic</v>
      </c>
    </row>
    <row r="535" spans="1:9" x14ac:dyDescent="0.2">
      <c r="A535" s="3" t="str">
        <f>"ENSG00000162878.13"</f>
        <v>ENSG00000162878.13</v>
      </c>
      <c r="B535" s="3">
        <v>1360.8333285640999</v>
      </c>
      <c r="C535" s="3">
        <v>-1.28110647083127</v>
      </c>
      <c r="D535" s="3">
        <v>0.29456873325472599</v>
      </c>
      <c r="E535" s="3">
        <v>-4.3490918288447196</v>
      </c>
      <c r="F535" s="4">
        <v>1.36702465281619E-5</v>
      </c>
      <c r="G535" s="3">
        <v>1.3549056399366101E-4</v>
      </c>
      <c r="H535" s="3" t="str">
        <f>"PKDCC"</f>
        <v>PKDCC</v>
      </c>
      <c r="I535" s="3" t="str">
        <f>"protein_coding"</f>
        <v>protein_coding</v>
      </c>
    </row>
    <row r="536" spans="1:9" x14ac:dyDescent="0.2">
      <c r="A536" s="3" t="str">
        <f>"ENSG00000224875.2"</f>
        <v>ENSG00000224875.2</v>
      </c>
      <c r="B536" s="3">
        <v>111.12345780683199</v>
      </c>
      <c r="C536" s="3">
        <v>-3.43209070534451</v>
      </c>
      <c r="D536" s="3">
        <v>0.47017112823604401</v>
      </c>
      <c r="E536" s="3">
        <v>-7.2996628232379797</v>
      </c>
      <c r="F536" s="4">
        <v>2.8848975857874498E-13</v>
      </c>
      <c r="G536" s="4">
        <v>8.9481626104171794E-12</v>
      </c>
      <c r="H536" s="3" t="str">
        <f>"AC083949.1"</f>
        <v>AC083949.1</v>
      </c>
      <c r="I536" s="3" t="str">
        <f>"antisense"</f>
        <v>antisense</v>
      </c>
    </row>
    <row r="537" spans="1:9" x14ac:dyDescent="0.2">
      <c r="A537" s="3" t="str">
        <f>"ENSG00000057935.13"</f>
        <v>ENSG00000057935.13</v>
      </c>
      <c r="B537" s="3">
        <v>2921.6456181295698</v>
      </c>
      <c r="C537" s="3">
        <v>1.2245021628394499</v>
      </c>
      <c r="D537" s="3">
        <v>0.24258062975438099</v>
      </c>
      <c r="E537" s="3">
        <v>5.0478150876238201</v>
      </c>
      <c r="F537" s="4">
        <v>4.4689135933012702E-7</v>
      </c>
      <c r="G537" s="4">
        <v>5.9891060969362603E-6</v>
      </c>
      <c r="H537" s="3" t="str">
        <f>"MTA3"</f>
        <v>MTA3</v>
      </c>
      <c r="I537" s="3" t="str">
        <f>"protein_coding"</f>
        <v>protein_coding</v>
      </c>
    </row>
    <row r="538" spans="1:9" x14ac:dyDescent="0.2">
      <c r="A538" s="3" t="str">
        <f>"ENSG00000200550.1"</f>
        <v>ENSG00000200550.1</v>
      </c>
      <c r="B538" s="3">
        <v>14.6237495269564</v>
      </c>
      <c r="C538" s="3">
        <v>3.50949028125833</v>
      </c>
      <c r="D538" s="3">
        <v>1.1013366154439099</v>
      </c>
      <c r="E538" s="3">
        <v>3.1865736887752201</v>
      </c>
      <c r="F538" s="3">
        <v>1.43968808172045E-3</v>
      </c>
      <c r="G538" s="3">
        <v>8.3177201873399099E-3</v>
      </c>
      <c r="H538" s="3" t="str">
        <f>"RNU6-137P"</f>
        <v>RNU6-137P</v>
      </c>
      <c r="I538" s="3" t="str">
        <f>"snRNA"</f>
        <v>snRNA</v>
      </c>
    </row>
    <row r="539" spans="1:9" x14ac:dyDescent="0.2">
      <c r="A539" s="3" t="str">
        <f>"ENSG00000152527.14"</f>
        <v>ENSG00000152527.14</v>
      </c>
      <c r="B539" s="3">
        <v>574.78789116340999</v>
      </c>
      <c r="C539" s="3">
        <v>-1.48454697396991</v>
      </c>
      <c r="D539" s="3">
        <v>0.29372285220429001</v>
      </c>
      <c r="E539" s="3">
        <v>-5.05424403593008</v>
      </c>
      <c r="F539" s="4">
        <v>4.3209882573026198E-7</v>
      </c>
      <c r="G539" s="4">
        <v>5.80013124933017E-6</v>
      </c>
      <c r="H539" s="3" t="str">
        <f>"PLEKHH2"</f>
        <v>PLEKHH2</v>
      </c>
      <c r="I539" s="3" t="str">
        <f>"protein_coding"</f>
        <v>protein_coding</v>
      </c>
    </row>
    <row r="540" spans="1:9" x14ac:dyDescent="0.2">
      <c r="A540" s="3" t="str">
        <f>"ENSG00000223658.8"</f>
        <v>ENSG00000223658.8</v>
      </c>
      <c r="B540" s="3">
        <v>47.868539604081398</v>
      </c>
      <c r="C540" s="3">
        <v>-2.31935370251961</v>
      </c>
      <c r="D540" s="3">
        <v>0.55254329708733496</v>
      </c>
      <c r="E540" s="3">
        <v>-4.1975963055670098</v>
      </c>
      <c r="F540" s="4">
        <v>2.6976295174199201E-5</v>
      </c>
      <c r="G540" s="3">
        <v>2.51515457786131E-4</v>
      </c>
      <c r="H540" s="3" t="str">
        <f>"C1GALT1C1L"</f>
        <v>C1GALT1C1L</v>
      </c>
      <c r="I540" s="3" t="str">
        <f>"protein_coding"</f>
        <v>protein_coding</v>
      </c>
    </row>
    <row r="541" spans="1:9" x14ac:dyDescent="0.2">
      <c r="A541" s="3" t="str">
        <f>"ENSG00000143921.8"</f>
        <v>ENSG00000143921.8</v>
      </c>
      <c r="B541" s="3">
        <v>811.12563654648204</v>
      </c>
      <c r="C541" s="3">
        <v>-1.12009779601172</v>
      </c>
      <c r="D541" s="3">
        <v>0.28874094683065099</v>
      </c>
      <c r="E541" s="3">
        <v>-3.8792481922166302</v>
      </c>
      <c r="F541" s="3">
        <v>1.04779804472732E-4</v>
      </c>
      <c r="G541" s="3">
        <v>8.46958862953593E-4</v>
      </c>
      <c r="H541" s="3" t="str">
        <f>"ABCG8"</f>
        <v>ABCG8</v>
      </c>
      <c r="I541" s="3" t="str">
        <f>"protein_coding"</f>
        <v>protein_coding</v>
      </c>
    </row>
    <row r="542" spans="1:9" x14ac:dyDescent="0.2">
      <c r="A542" s="3" t="str">
        <f>"ENSG00000231336.1"</f>
        <v>ENSG00000231336.1</v>
      </c>
      <c r="B542" s="3">
        <v>7.4979650617858402</v>
      </c>
      <c r="C542" s="3">
        <v>4.9513325202612402</v>
      </c>
      <c r="D542" s="3">
        <v>1.8102976350386699</v>
      </c>
      <c r="E542" s="3">
        <v>2.7350930722259199</v>
      </c>
      <c r="F542" s="3">
        <v>6.2362640280887397E-3</v>
      </c>
      <c r="G542" s="3">
        <v>2.8460308713093699E-2</v>
      </c>
      <c r="H542" s="3" t="str">
        <f>"AC017006.1"</f>
        <v>AC017006.1</v>
      </c>
      <c r="I542" s="3" t="str">
        <f>"antisense"</f>
        <v>antisense</v>
      </c>
    </row>
    <row r="543" spans="1:9" x14ac:dyDescent="0.2">
      <c r="A543" s="3" t="str">
        <f>"ENSG00000228100.1"</f>
        <v>ENSG00000228100.1</v>
      </c>
      <c r="B543" s="3">
        <v>615.35928093818904</v>
      </c>
      <c r="C543" s="3">
        <v>4.0108115170931899</v>
      </c>
      <c r="D543" s="3">
        <v>0.292179283828637</v>
      </c>
      <c r="E543" s="3">
        <v>13.7272275588351</v>
      </c>
      <c r="F543" s="4">
        <v>6.9751927107731897E-43</v>
      </c>
      <c r="G543" s="4">
        <v>1.36016257860077E-40</v>
      </c>
      <c r="H543" s="3" t="str">
        <f>"LINC01820"</f>
        <v>LINC01820</v>
      </c>
      <c r="I543" s="3" t="str">
        <f>"lincRNA"</f>
        <v>lincRNA</v>
      </c>
    </row>
    <row r="544" spans="1:9" x14ac:dyDescent="0.2">
      <c r="A544" s="3" t="str">
        <f>"ENSG00000151665.12"</f>
        <v>ENSG00000151665.12</v>
      </c>
      <c r="B544" s="3">
        <v>1296.84087479596</v>
      </c>
      <c r="C544" s="3">
        <v>1.1022916144392401</v>
      </c>
      <c r="D544" s="3">
        <v>0.25448095763394102</v>
      </c>
      <c r="E544" s="3">
        <v>4.3315288683597304</v>
      </c>
      <c r="F544" s="4">
        <v>1.48077527965633E-5</v>
      </c>
      <c r="G544" s="3">
        <v>1.45788266770078E-4</v>
      </c>
      <c r="H544" s="3" t="str">
        <f>"PIGF"</f>
        <v>PIGF</v>
      </c>
      <c r="I544" s="3" t="str">
        <f>"protein_coding"</f>
        <v>protein_coding</v>
      </c>
    </row>
    <row r="545" spans="1:9" x14ac:dyDescent="0.2">
      <c r="A545" s="3" t="str">
        <f>"ENSG00000095002.14"</f>
        <v>ENSG00000095002.14</v>
      </c>
      <c r="B545" s="3">
        <v>2963.2412645271502</v>
      </c>
      <c r="C545" s="3">
        <v>-1.6951514979411499</v>
      </c>
      <c r="D545" s="3">
        <v>0.24677662262215699</v>
      </c>
      <c r="E545" s="3">
        <v>-6.8691737488304101</v>
      </c>
      <c r="F545" s="4">
        <v>6.45748182280261E-12</v>
      </c>
      <c r="G545" s="4">
        <v>1.6999132433284299E-10</v>
      </c>
      <c r="H545" s="3" t="str">
        <f>"MSH2"</f>
        <v>MSH2</v>
      </c>
      <c r="I545" s="3" t="str">
        <f>"protein_coding"</f>
        <v>protein_coding</v>
      </c>
    </row>
    <row r="546" spans="1:9" x14ac:dyDescent="0.2">
      <c r="A546" s="3" t="str">
        <f>"ENSG00000116062.15"</f>
        <v>ENSG00000116062.15</v>
      </c>
      <c r="B546" s="3">
        <v>4351.1586372612501</v>
      </c>
      <c r="C546" s="3">
        <v>-2.6341838378176901</v>
      </c>
      <c r="D546" s="3">
        <v>0.26599107549416201</v>
      </c>
      <c r="E546" s="3">
        <v>-9.9032790213877497</v>
      </c>
      <c r="F546" s="4">
        <v>4.0284577342524999E-23</v>
      </c>
      <c r="G546" s="4">
        <v>2.6808427064847002E-21</v>
      </c>
      <c r="H546" s="3" t="str">
        <f>"MSH6"</f>
        <v>MSH6</v>
      </c>
      <c r="I546" s="3" t="str">
        <f>"protein_coding"</f>
        <v>protein_coding</v>
      </c>
    </row>
    <row r="547" spans="1:9" x14ac:dyDescent="0.2">
      <c r="A547" s="3" t="str">
        <f>"ENSG00000230773.8"</f>
        <v>ENSG00000230773.8</v>
      </c>
      <c r="B547" s="3">
        <v>98.527243348285197</v>
      </c>
      <c r="C547" s="3">
        <v>-1.17493461163403</v>
      </c>
      <c r="D547" s="3">
        <v>0.40259946441154199</v>
      </c>
      <c r="E547" s="3">
        <v>-2.9183710250369299</v>
      </c>
      <c r="F547" s="3">
        <v>3.5186540265007E-3</v>
      </c>
      <c r="G547" s="3">
        <v>1.7702348407325E-2</v>
      </c>
      <c r="H547" s="3" t="str">
        <f>"AC092650.1"</f>
        <v>AC092650.1</v>
      </c>
      <c r="I547" s="3" t="str">
        <f>"lincRNA"</f>
        <v>lincRNA</v>
      </c>
    </row>
    <row r="548" spans="1:9" x14ac:dyDescent="0.2">
      <c r="A548" s="3" t="str">
        <f>"ENSG00000243244.6"</f>
        <v>ENSG00000243244.6</v>
      </c>
      <c r="B548" s="3">
        <v>49.197541624383597</v>
      </c>
      <c r="C548" s="3">
        <v>-1.4834798824742901</v>
      </c>
      <c r="D548" s="3">
        <v>0.52065183013687699</v>
      </c>
      <c r="E548" s="3">
        <v>-2.8492743069476698</v>
      </c>
      <c r="F548" s="3">
        <v>4.3819082694526203E-3</v>
      </c>
      <c r="G548" s="3">
        <v>2.1238324184601299E-2</v>
      </c>
      <c r="H548" s="3" t="str">
        <f>"STON1"</f>
        <v>STON1</v>
      </c>
      <c r="I548" s="3" t="str">
        <f>"protein_coding"</f>
        <v>protein_coding</v>
      </c>
    </row>
    <row r="549" spans="1:9" x14ac:dyDescent="0.2">
      <c r="A549" s="3" t="str">
        <f>"ENSG00000204993.3"</f>
        <v>ENSG00000204993.3</v>
      </c>
      <c r="B549" s="3">
        <v>34.580156220012903</v>
      </c>
      <c r="C549" s="3">
        <v>6.1867150074638504</v>
      </c>
      <c r="D549" s="3">
        <v>1.1768334595669001</v>
      </c>
      <c r="E549" s="3">
        <v>5.2570862573373098</v>
      </c>
      <c r="F549" s="4">
        <v>1.46355677602875E-7</v>
      </c>
      <c r="G549" s="4">
        <v>2.1466921691547101E-6</v>
      </c>
      <c r="H549" s="3" t="str">
        <f>"AC139712.1"</f>
        <v>AC139712.1</v>
      </c>
      <c r="I549" s="3" t="str">
        <f>"processed_pseudogene"</f>
        <v>processed_pseudogene</v>
      </c>
    </row>
    <row r="550" spans="1:9" x14ac:dyDescent="0.2">
      <c r="A550" s="3" t="str">
        <f>"ENSG00000162924.14"</f>
        <v>ENSG00000162924.14</v>
      </c>
      <c r="B550" s="3">
        <v>579.41844734706694</v>
      </c>
      <c r="C550" s="3">
        <v>-1.0034525036811901</v>
      </c>
      <c r="D550" s="3">
        <v>0.28789570008950499</v>
      </c>
      <c r="E550" s="3">
        <v>-3.4854723546382398</v>
      </c>
      <c r="F550" s="3">
        <v>4.9126898355672998E-4</v>
      </c>
      <c r="G550" s="3">
        <v>3.2901680727820898E-3</v>
      </c>
      <c r="H550" s="3" t="str">
        <f>"REL"</f>
        <v>REL</v>
      </c>
      <c r="I550" s="3" t="str">
        <f>"protein_coding"</f>
        <v>protein_coding</v>
      </c>
    </row>
    <row r="551" spans="1:9" x14ac:dyDescent="0.2">
      <c r="A551" s="3" t="str">
        <f>"ENSG00000170264.13"</f>
        <v>ENSG00000170264.13</v>
      </c>
      <c r="B551" s="3">
        <v>337.12424375104803</v>
      </c>
      <c r="C551" s="3">
        <v>-1.22832864677989</v>
      </c>
      <c r="D551" s="3">
        <v>0.29837555851620701</v>
      </c>
      <c r="E551" s="3">
        <v>-4.1167200587348596</v>
      </c>
      <c r="F551" s="4">
        <v>3.84302387550355E-5</v>
      </c>
      <c r="G551" s="3">
        <v>3.4574844631005602E-4</v>
      </c>
      <c r="H551" s="3" t="str">
        <f>"FAM161A"</f>
        <v>FAM161A</v>
      </c>
      <c r="I551" s="3" t="str">
        <f>"protein_coding"</f>
        <v>protein_coding</v>
      </c>
    </row>
    <row r="552" spans="1:9" x14ac:dyDescent="0.2">
      <c r="A552" s="3" t="str">
        <f>"ENSG00000229503.1"</f>
        <v>ENSG00000229503.1</v>
      </c>
      <c r="B552" s="3">
        <v>14.474488828543899</v>
      </c>
      <c r="C552" s="3">
        <v>3.80410747942642</v>
      </c>
      <c r="D552" s="3">
        <v>1.1150274917851299</v>
      </c>
      <c r="E552" s="3">
        <v>3.4116714677017801</v>
      </c>
      <c r="F552" s="3">
        <v>6.4565879098033897E-4</v>
      </c>
      <c r="G552" s="3">
        <v>4.19353134188237E-3</v>
      </c>
      <c r="H552" s="3" t="str">
        <f>"AC092155.2"</f>
        <v>AC092155.2</v>
      </c>
      <c r="I552" s="3" t="str">
        <f>"processed_pseudogene"</f>
        <v>processed_pseudogene</v>
      </c>
    </row>
    <row r="553" spans="1:9" x14ac:dyDescent="0.2">
      <c r="A553" s="3" t="str">
        <f>"ENSG00000237162.1"</f>
        <v>ENSG00000237162.1</v>
      </c>
      <c r="B553" s="3">
        <v>49.653634940619703</v>
      </c>
      <c r="C553" s="3">
        <v>1.7309663069707599</v>
      </c>
      <c r="D553" s="3">
        <v>0.55166673441279901</v>
      </c>
      <c r="E553" s="3">
        <v>3.1377028901574602</v>
      </c>
      <c r="F553" s="3">
        <v>1.70277381748061E-3</v>
      </c>
      <c r="G553" s="3">
        <v>9.5823882279026107E-3</v>
      </c>
      <c r="H553" s="3" t="str">
        <f>"AC007098.2"</f>
        <v>AC007098.2</v>
      </c>
      <c r="I553" s="3" t="str">
        <f>"processed_pseudogene"</f>
        <v>processed_pseudogene</v>
      </c>
    </row>
    <row r="554" spans="1:9" x14ac:dyDescent="0.2">
      <c r="A554" s="3" t="str">
        <f>"ENSG00000115507.10"</f>
        <v>ENSG00000115507.10</v>
      </c>
      <c r="B554" s="3">
        <v>1201.9880488420099</v>
      </c>
      <c r="C554" s="3">
        <v>-2.2884673124442099</v>
      </c>
      <c r="D554" s="3">
        <v>0.28191459137510899</v>
      </c>
      <c r="E554" s="3">
        <v>-8.1175908677931297</v>
      </c>
      <c r="F554" s="4">
        <v>4.7552873940231302E-16</v>
      </c>
      <c r="G554" s="4">
        <v>1.9078031004250702E-14</v>
      </c>
      <c r="H554" s="3" t="str">
        <f>"OTX1"</f>
        <v>OTX1</v>
      </c>
      <c r="I554" s="3" t="str">
        <f>"protein_coding"</f>
        <v>protein_coding</v>
      </c>
    </row>
    <row r="555" spans="1:9" x14ac:dyDescent="0.2">
      <c r="A555" s="3" t="str">
        <f>"ENSG00000228305.2"</f>
        <v>ENSG00000228305.2</v>
      </c>
      <c r="B555" s="3">
        <v>478.88074081481102</v>
      </c>
      <c r="C555" s="3">
        <v>-1.19292123940021</v>
      </c>
      <c r="D555" s="3">
        <v>0.315990287138947</v>
      </c>
      <c r="E555" s="3">
        <v>-3.7751832507296599</v>
      </c>
      <c r="F555" s="3">
        <v>1.5989007857265599E-4</v>
      </c>
      <c r="G555" s="3">
        <v>1.22660412518913E-3</v>
      </c>
      <c r="H555" s="3" t="str">
        <f>"AC016734.1"</f>
        <v>AC016734.1</v>
      </c>
      <c r="I555" s="3" t="str">
        <f>"processed_pseudogene"</f>
        <v>processed_pseudogene</v>
      </c>
    </row>
    <row r="556" spans="1:9" x14ac:dyDescent="0.2">
      <c r="A556" s="3" t="str">
        <f>"ENSG00000225889.7"</f>
        <v>ENSG00000225889.7</v>
      </c>
      <c r="B556" s="3">
        <v>41.963607257108698</v>
      </c>
      <c r="C556" s="3">
        <v>1.60910533442875</v>
      </c>
      <c r="D556" s="3">
        <v>0.55962759173163301</v>
      </c>
      <c r="E556" s="3">
        <v>2.8753145095111501</v>
      </c>
      <c r="F556" s="3">
        <v>4.0362522595517097E-3</v>
      </c>
      <c r="G556" s="3">
        <v>1.9853720295076899E-2</v>
      </c>
      <c r="H556" s="3" t="str">
        <f>"AC012368.1"</f>
        <v>AC012368.1</v>
      </c>
      <c r="I556" s="3" t="str">
        <f>"antisense"</f>
        <v>antisense</v>
      </c>
    </row>
    <row r="557" spans="1:9" x14ac:dyDescent="0.2">
      <c r="A557" s="3" t="str">
        <f>"ENSG00000179833.4"</f>
        <v>ENSG00000179833.4</v>
      </c>
      <c r="B557" s="3">
        <v>7719.4893219436899</v>
      </c>
      <c r="C557" s="3">
        <v>1.68204207304621</v>
      </c>
      <c r="D557" s="3">
        <v>0.24519344404438601</v>
      </c>
      <c r="E557" s="3">
        <v>6.8600613674716202</v>
      </c>
      <c r="F557" s="4">
        <v>6.8830972996559301E-12</v>
      </c>
      <c r="G557" s="4">
        <v>1.8054672843883701E-10</v>
      </c>
      <c r="H557" s="3" t="str">
        <f>"SERTAD2"</f>
        <v>SERTAD2</v>
      </c>
      <c r="I557" s="3" t="str">
        <f>"protein_coding"</f>
        <v>protein_coding</v>
      </c>
    </row>
    <row r="558" spans="1:9" x14ac:dyDescent="0.2">
      <c r="A558" s="3" t="str">
        <f>"ENSG00000204929.12"</f>
        <v>ENSG00000204929.12</v>
      </c>
      <c r="B558" s="3">
        <v>134.99094718545999</v>
      </c>
      <c r="C558" s="3">
        <v>2.4511486020145501</v>
      </c>
      <c r="D558" s="3">
        <v>0.38387902994526002</v>
      </c>
      <c r="E558" s="3">
        <v>6.3852109930674601</v>
      </c>
      <c r="F558" s="4">
        <v>1.7116130829225099E-10</v>
      </c>
      <c r="G558" s="4">
        <v>3.8203750755027203E-9</v>
      </c>
      <c r="H558" s="3" t="str">
        <f>"AC007389.1"</f>
        <v>AC007389.1</v>
      </c>
      <c r="I558" s="3" t="str">
        <f>"processed_transcript"</f>
        <v>processed_transcript</v>
      </c>
    </row>
    <row r="559" spans="1:9" x14ac:dyDescent="0.2">
      <c r="A559" s="3" t="str">
        <f>"ENSG00000281920.1"</f>
        <v>ENSG00000281920.1</v>
      </c>
      <c r="B559" s="3">
        <v>22.1634666501343</v>
      </c>
      <c r="C559" s="3">
        <v>3.0894527713176001</v>
      </c>
      <c r="D559" s="3">
        <v>0.82176646928620301</v>
      </c>
      <c r="E559" s="3">
        <v>3.7595264430795599</v>
      </c>
      <c r="F559" s="3">
        <v>1.70235284515527E-4</v>
      </c>
      <c r="G559" s="3">
        <v>1.2929554897306999E-3</v>
      </c>
      <c r="H559" s="3" t="str">
        <f>"AC007389.5"</f>
        <v>AC007389.5</v>
      </c>
      <c r="I559" s="3" t="str">
        <f>"lincRNA"</f>
        <v>lincRNA</v>
      </c>
    </row>
    <row r="560" spans="1:9" x14ac:dyDescent="0.2">
      <c r="A560" s="3" t="str">
        <f>"ENSG00000196975.16"</f>
        <v>ENSG00000196975.16</v>
      </c>
      <c r="B560" s="3">
        <v>6911.5683048556502</v>
      </c>
      <c r="C560" s="3">
        <v>1.5315155413346599</v>
      </c>
      <c r="D560" s="3">
        <v>0.23262514529853201</v>
      </c>
      <c r="E560" s="3">
        <v>6.58361992367265</v>
      </c>
      <c r="F560" s="4">
        <v>4.5912992866938701E-11</v>
      </c>
      <c r="G560" s="4">
        <v>1.0978529805778001E-9</v>
      </c>
      <c r="H560" s="3" t="str">
        <f>"ANXA4"</f>
        <v>ANXA4</v>
      </c>
      <c r="I560" s="3" t="str">
        <f t="shared" ref="I560:I569" si="25">"protein_coding"</f>
        <v>protein_coding</v>
      </c>
    </row>
    <row r="561" spans="1:9" x14ac:dyDescent="0.2">
      <c r="A561" s="3" t="str">
        <f>"ENSG00000116035.4"</f>
        <v>ENSG00000116035.4</v>
      </c>
      <c r="B561" s="3">
        <v>87.880857082521004</v>
      </c>
      <c r="C561" s="3">
        <v>-1.86885508151891</v>
      </c>
      <c r="D561" s="3">
        <v>0.51622564195564402</v>
      </c>
      <c r="E561" s="3">
        <v>-3.6202290812967601</v>
      </c>
      <c r="F561" s="3">
        <v>2.9434230123192201E-4</v>
      </c>
      <c r="G561" s="3">
        <v>2.1070519600139498E-3</v>
      </c>
      <c r="H561" s="3" t="str">
        <f>"VAX2"</f>
        <v>VAX2</v>
      </c>
      <c r="I561" s="3" t="str">
        <f t="shared" si="25"/>
        <v>protein_coding</v>
      </c>
    </row>
    <row r="562" spans="1:9" x14ac:dyDescent="0.2">
      <c r="A562" s="3" t="str">
        <f>"ENSG00000124374.9"</f>
        <v>ENSG00000124374.9</v>
      </c>
      <c r="B562" s="3">
        <v>88.308320156384198</v>
      </c>
      <c r="C562" s="3">
        <v>-1.6348654456115801</v>
      </c>
      <c r="D562" s="3">
        <v>0.44019462272167398</v>
      </c>
      <c r="E562" s="3">
        <v>-3.71396051024746</v>
      </c>
      <c r="F562" s="3">
        <v>2.0404064749015099E-4</v>
      </c>
      <c r="G562" s="3">
        <v>1.5198822883076E-3</v>
      </c>
      <c r="H562" s="3" t="str">
        <f>"PAIP2B"</f>
        <v>PAIP2B</v>
      </c>
      <c r="I562" s="3" t="str">
        <f t="shared" si="25"/>
        <v>protein_coding</v>
      </c>
    </row>
    <row r="563" spans="1:9" x14ac:dyDescent="0.2">
      <c r="A563" s="3" t="str">
        <f>"ENSG00000135636.14"</f>
        <v>ENSG00000135636.14</v>
      </c>
      <c r="B563" s="3">
        <v>83.759045847077303</v>
      </c>
      <c r="C563" s="3">
        <v>1.34732611817919</v>
      </c>
      <c r="D563" s="3">
        <v>0.45504088640947199</v>
      </c>
      <c r="E563" s="3">
        <v>2.9608902373813999</v>
      </c>
      <c r="F563" s="3">
        <v>3.0675123960006E-3</v>
      </c>
      <c r="G563" s="3">
        <v>1.5712334416899801E-2</v>
      </c>
      <c r="H563" s="3" t="str">
        <f>"DYSF"</f>
        <v>DYSF</v>
      </c>
      <c r="I563" s="3" t="str">
        <f t="shared" si="25"/>
        <v>protein_coding</v>
      </c>
    </row>
    <row r="564" spans="1:9" x14ac:dyDescent="0.2">
      <c r="A564" s="3" t="str">
        <f>"ENSG00000003137.8"</f>
        <v>ENSG00000003137.8</v>
      </c>
      <c r="B564" s="3">
        <v>134.762764767661</v>
      </c>
      <c r="C564" s="3">
        <v>-3.15584211265532</v>
      </c>
      <c r="D564" s="3">
        <v>0.422956054956731</v>
      </c>
      <c r="E564" s="3">
        <v>-7.4613948084468502</v>
      </c>
      <c r="F564" s="4">
        <v>8.5611297175938096E-14</v>
      </c>
      <c r="G564" s="4">
        <v>2.7645085756877101E-12</v>
      </c>
      <c r="H564" s="3" t="str">
        <f>"CYP26B1"</f>
        <v>CYP26B1</v>
      </c>
      <c r="I564" s="3" t="str">
        <f t="shared" si="25"/>
        <v>protein_coding</v>
      </c>
    </row>
    <row r="565" spans="1:9" x14ac:dyDescent="0.2">
      <c r="A565" s="3" t="str">
        <f>"ENSG00000135638.13"</f>
        <v>ENSG00000135638.13</v>
      </c>
      <c r="B565" s="3">
        <v>204.38491101563301</v>
      </c>
      <c r="C565" s="3">
        <v>2.48050837315443</v>
      </c>
      <c r="D565" s="3">
        <v>0.34511199357368499</v>
      </c>
      <c r="E565" s="3">
        <v>7.1875461280508004</v>
      </c>
      <c r="F565" s="4">
        <v>6.5966119338691398E-13</v>
      </c>
      <c r="G565" s="4">
        <v>1.9430652599119201E-11</v>
      </c>
      <c r="H565" s="3" t="str">
        <f>"EMX1"</f>
        <v>EMX1</v>
      </c>
      <c r="I565" s="3" t="str">
        <f t="shared" si="25"/>
        <v>protein_coding</v>
      </c>
    </row>
    <row r="566" spans="1:9" x14ac:dyDescent="0.2">
      <c r="A566" s="3" t="str">
        <f>"ENSG00000144040.12"</f>
        <v>ENSG00000144040.12</v>
      </c>
      <c r="B566" s="3">
        <v>3056.6395014868599</v>
      </c>
      <c r="C566" s="3">
        <v>1.29968252109501</v>
      </c>
      <c r="D566" s="3">
        <v>0.26780912441875099</v>
      </c>
      <c r="E566" s="3">
        <v>4.8530180736590802</v>
      </c>
      <c r="F566" s="4">
        <v>1.2159660417858101E-6</v>
      </c>
      <c r="G566" s="4">
        <v>1.48772498935419E-5</v>
      </c>
      <c r="H566" s="3" t="str">
        <f>"SFXN5"</f>
        <v>SFXN5</v>
      </c>
      <c r="I566" s="3" t="str">
        <f t="shared" si="25"/>
        <v>protein_coding</v>
      </c>
    </row>
    <row r="567" spans="1:9" x14ac:dyDescent="0.2">
      <c r="A567" s="3" t="str">
        <f>"ENSG00000135617.4"</f>
        <v>ENSG00000135617.4</v>
      </c>
      <c r="B567" s="3">
        <v>299.335358894975</v>
      </c>
      <c r="C567" s="3">
        <v>-1.00930127344608</v>
      </c>
      <c r="D567" s="3">
        <v>0.32868181874612501</v>
      </c>
      <c r="E567" s="3">
        <v>-3.0707548026125302</v>
      </c>
      <c r="F567" s="3">
        <v>2.1351841578237602E-3</v>
      </c>
      <c r="G567" s="3">
        <v>1.15727306147768E-2</v>
      </c>
      <c r="H567" s="3" t="str">
        <f>"PRADC1"</f>
        <v>PRADC1</v>
      </c>
      <c r="I567" s="3" t="str">
        <f t="shared" si="25"/>
        <v>protein_coding</v>
      </c>
    </row>
    <row r="568" spans="1:9" x14ac:dyDescent="0.2">
      <c r="A568" s="3" t="str">
        <f>"ENSG00000163013.11"</f>
        <v>ENSG00000163013.11</v>
      </c>
      <c r="B568" s="3">
        <v>1080.07316679512</v>
      </c>
      <c r="C568" s="3">
        <v>-1.4197809277169</v>
      </c>
      <c r="D568" s="3">
        <v>0.31859332947636498</v>
      </c>
      <c r="E568" s="3">
        <v>-4.4564050667678101</v>
      </c>
      <c r="F568" s="4">
        <v>8.3345483555760093E-6</v>
      </c>
      <c r="G568" s="4">
        <v>8.7280479364230796E-5</v>
      </c>
      <c r="H568" s="3" t="str">
        <f>"FBXO41"</f>
        <v>FBXO41</v>
      </c>
      <c r="I568" s="3" t="str">
        <f t="shared" si="25"/>
        <v>protein_coding</v>
      </c>
    </row>
    <row r="569" spans="1:9" x14ac:dyDescent="0.2">
      <c r="A569" s="3" t="str">
        <f>"ENSG00000144035.3"</f>
        <v>ENSG00000144035.3</v>
      </c>
      <c r="B569" s="3">
        <v>388.89624786605401</v>
      </c>
      <c r="C569" s="3">
        <v>3.4232972036680298</v>
      </c>
      <c r="D569" s="3">
        <v>0.319637713109307</v>
      </c>
      <c r="E569" s="3">
        <v>10.7099289704196</v>
      </c>
      <c r="F569" s="4">
        <v>9.1431937273022807E-27</v>
      </c>
      <c r="G569" s="4">
        <v>7.9860082711905904E-25</v>
      </c>
      <c r="H569" s="3" t="str">
        <f>"NAT8"</f>
        <v>NAT8</v>
      </c>
      <c r="I569" s="3" t="str">
        <f t="shared" si="25"/>
        <v>protein_coding</v>
      </c>
    </row>
    <row r="570" spans="1:9" x14ac:dyDescent="0.2">
      <c r="A570" s="3" t="str">
        <f>"ENSG00000163016.10"</f>
        <v>ENSG00000163016.10</v>
      </c>
      <c r="B570" s="3">
        <v>249.902701403343</v>
      </c>
      <c r="C570" s="3">
        <v>4.1028932233825497</v>
      </c>
      <c r="D570" s="3">
        <v>0.35677251578171199</v>
      </c>
      <c r="E570" s="3">
        <v>11.5000260443068</v>
      </c>
      <c r="F570" s="4">
        <v>1.31875630558981E-30</v>
      </c>
      <c r="G570" s="4">
        <v>1.3880048061553E-28</v>
      </c>
      <c r="H570" s="3" t="str">
        <f>"ALMS1P1"</f>
        <v>ALMS1P1</v>
      </c>
      <c r="I570" s="3" t="str">
        <f>"transcribed_unprocessed_pseudogene"</f>
        <v>transcribed_unprocessed_pseudogene</v>
      </c>
    </row>
    <row r="571" spans="1:9" x14ac:dyDescent="0.2">
      <c r="A571" s="3" t="str">
        <f>"ENSG00000273245.1"</f>
        <v>ENSG00000273245.1</v>
      </c>
      <c r="B571" s="3">
        <v>48.952274960601599</v>
      </c>
      <c r="C571" s="3">
        <v>1.51461796149662</v>
      </c>
      <c r="D571" s="3">
        <v>0.529037970267216</v>
      </c>
      <c r="E571" s="3">
        <v>2.8629664534883701</v>
      </c>
      <c r="F571" s="3">
        <v>4.1969499600420096E-3</v>
      </c>
      <c r="G571" s="3">
        <v>2.0499859465020701E-2</v>
      </c>
      <c r="H571" s="3" t="str">
        <f>"AC092653.1"</f>
        <v>AC092653.1</v>
      </c>
      <c r="I571" s="3" t="str">
        <f>"lincRNA"</f>
        <v>lincRNA</v>
      </c>
    </row>
    <row r="572" spans="1:9" x14ac:dyDescent="0.2">
      <c r="A572" s="3" t="str">
        <f>"ENSG00000187605.15"</f>
        <v>ENSG00000187605.15</v>
      </c>
      <c r="B572" s="3">
        <v>2524.53555337836</v>
      </c>
      <c r="C572" s="3">
        <v>-1.03381702445614</v>
      </c>
      <c r="D572" s="3">
        <v>0.26832929624726698</v>
      </c>
      <c r="E572" s="3">
        <v>-3.8527922180493799</v>
      </c>
      <c r="F572" s="3">
        <v>1.1677848249365E-4</v>
      </c>
      <c r="G572" s="3">
        <v>9.3053357035097401E-4</v>
      </c>
      <c r="H572" s="3" t="str">
        <f>"TET3"</f>
        <v>TET3</v>
      </c>
      <c r="I572" s="3" t="str">
        <f>"protein_coding"</f>
        <v>protein_coding</v>
      </c>
    </row>
    <row r="573" spans="1:9" x14ac:dyDescent="0.2">
      <c r="A573" s="3" t="str">
        <f>"ENSG00000163170.12"</f>
        <v>ENSG00000163170.12</v>
      </c>
      <c r="B573" s="3">
        <v>949.30158658209598</v>
      </c>
      <c r="C573" s="3">
        <v>-1.20809906930245</v>
      </c>
      <c r="D573" s="3">
        <v>0.26625224873333497</v>
      </c>
      <c r="E573" s="3">
        <v>-4.5374229703217202</v>
      </c>
      <c r="F573" s="4">
        <v>5.6945820242025498E-6</v>
      </c>
      <c r="G573" s="4">
        <v>6.1824432809156295E-5</v>
      </c>
      <c r="H573" s="3" t="str">
        <f>"BOLA3"</f>
        <v>BOLA3</v>
      </c>
      <c r="I573" s="3" t="str">
        <f>"protein_coding"</f>
        <v>protein_coding</v>
      </c>
    </row>
    <row r="574" spans="1:9" x14ac:dyDescent="0.2">
      <c r="A574" s="3" t="str">
        <f>"ENSG00000225439.2"</f>
        <v>ENSG00000225439.2</v>
      </c>
      <c r="B574" s="3">
        <v>324.62604182505498</v>
      </c>
      <c r="C574" s="3">
        <v>-1.1398636498764301</v>
      </c>
      <c r="D574" s="3">
        <v>0.29403476989768801</v>
      </c>
      <c r="E574" s="3">
        <v>-3.8766287751378998</v>
      </c>
      <c r="F574" s="3">
        <v>1.0591376489325E-4</v>
      </c>
      <c r="G574" s="3">
        <v>8.5467227782684899E-4</v>
      </c>
      <c r="H574" s="3" t="str">
        <f>"BOLA3-AS1"</f>
        <v>BOLA3-AS1</v>
      </c>
      <c r="I574" s="3" t="str">
        <f>"antisense"</f>
        <v>antisense</v>
      </c>
    </row>
    <row r="575" spans="1:9" x14ac:dyDescent="0.2">
      <c r="A575" s="3" t="str">
        <f>"ENSG00000114993.16"</f>
        <v>ENSG00000114993.16</v>
      </c>
      <c r="B575" s="3">
        <v>3634.24800371122</v>
      </c>
      <c r="C575" s="3">
        <v>-1.1066367051314201</v>
      </c>
      <c r="D575" s="3">
        <v>0.29049281318672199</v>
      </c>
      <c r="E575" s="3">
        <v>-3.8095149170527098</v>
      </c>
      <c r="F575" s="3">
        <v>1.39239706110931E-4</v>
      </c>
      <c r="G575" s="3">
        <v>1.0857330462555701E-3</v>
      </c>
      <c r="H575" s="3" t="str">
        <f>"RTKN"</f>
        <v>RTKN</v>
      </c>
      <c r="I575" s="3" t="str">
        <f>"protein_coding"</f>
        <v>protein_coding</v>
      </c>
    </row>
    <row r="576" spans="1:9" x14ac:dyDescent="0.2">
      <c r="A576" s="3" t="str">
        <f>"ENSG00000115297.11"</f>
        <v>ENSG00000115297.11</v>
      </c>
      <c r="B576" s="3">
        <v>24.737776923333399</v>
      </c>
      <c r="C576" s="3">
        <v>-2.8107805738195801</v>
      </c>
      <c r="D576" s="3">
        <v>0.79112180224881801</v>
      </c>
      <c r="E576" s="3">
        <v>-3.5529049582880199</v>
      </c>
      <c r="F576" s="3">
        <v>3.81002091528613E-4</v>
      </c>
      <c r="G576" s="3">
        <v>2.6380698079830102E-3</v>
      </c>
      <c r="H576" s="3" t="str">
        <f>"TLX2"</f>
        <v>TLX2</v>
      </c>
      <c r="I576" s="3" t="str">
        <f>"protein_coding"</f>
        <v>protein_coding</v>
      </c>
    </row>
    <row r="577" spans="1:9" x14ac:dyDescent="0.2">
      <c r="A577" s="3" t="str">
        <f>"ENSG00000144045.14"</f>
        <v>ENSG00000144045.14</v>
      </c>
      <c r="B577" s="3">
        <v>1511.86235285618</v>
      </c>
      <c r="C577" s="3">
        <v>3.8519051427708701</v>
      </c>
      <c r="D577" s="3">
        <v>0.27164632501154001</v>
      </c>
      <c r="E577" s="3">
        <v>14.1798536851446</v>
      </c>
      <c r="F577" s="4">
        <v>1.22100867486534E-45</v>
      </c>
      <c r="G577" s="4">
        <v>2.6708237579337001E-43</v>
      </c>
      <c r="H577" s="3" t="str">
        <f>"DQX1"</f>
        <v>DQX1</v>
      </c>
      <c r="I577" s="3" t="str">
        <f>"protein_coding"</f>
        <v>protein_coding</v>
      </c>
    </row>
    <row r="578" spans="1:9" x14ac:dyDescent="0.2">
      <c r="A578" s="3" t="str">
        <f>"ENSG00000115318.12"</f>
        <v>ENSG00000115318.12</v>
      </c>
      <c r="B578" s="3">
        <v>77.247054917558401</v>
      </c>
      <c r="C578" s="3">
        <v>-1.3892142532921501</v>
      </c>
      <c r="D578" s="3">
        <v>0.46609978694861398</v>
      </c>
      <c r="E578" s="3">
        <v>-2.9805082349143102</v>
      </c>
      <c r="F578" s="3">
        <v>2.8777050072910002E-3</v>
      </c>
      <c r="G578" s="3">
        <v>1.48877026282528E-2</v>
      </c>
      <c r="H578" s="3" t="str">
        <f>"LOXL3"</f>
        <v>LOXL3</v>
      </c>
      <c r="I578" s="3" t="str">
        <f>"protein_coding"</f>
        <v>protein_coding</v>
      </c>
    </row>
    <row r="579" spans="1:9" x14ac:dyDescent="0.2">
      <c r="A579" s="3" t="str">
        <f>"ENSG00000115325.13"</f>
        <v>ENSG00000115325.13</v>
      </c>
      <c r="B579" s="3">
        <v>77.822762719977305</v>
      </c>
      <c r="C579" s="3">
        <v>-2.0035806028797301</v>
      </c>
      <c r="D579" s="3">
        <v>0.479734048364168</v>
      </c>
      <c r="E579" s="3">
        <v>-4.1764402791748596</v>
      </c>
      <c r="F579" s="4">
        <v>2.9610643668029402E-5</v>
      </c>
      <c r="G579" s="3">
        <v>2.7274102580347102E-4</v>
      </c>
      <c r="H579" s="3" t="str">
        <f>"DOK1"</f>
        <v>DOK1</v>
      </c>
      <c r="I579" s="3" t="str">
        <f>"protein_coding"</f>
        <v>protein_coding</v>
      </c>
    </row>
    <row r="580" spans="1:9" x14ac:dyDescent="0.2">
      <c r="A580" s="3" t="str">
        <f>"ENSG00000272711.1"</f>
        <v>ENSG00000272711.1</v>
      </c>
      <c r="B580" s="3">
        <v>172.451802132636</v>
      </c>
      <c r="C580" s="3">
        <v>-1.5124913529195101</v>
      </c>
      <c r="D580" s="3">
        <v>0.34129757465828098</v>
      </c>
      <c r="E580" s="3">
        <v>-4.4315912717336801</v>
      </c>
      <c r="F580" s="4">
        <v>9.3540202704786403E-6</v>
      </c>
      <c r="G580" s="4">
        <v>9.6395075749238101E-5</v>
      </c>
      <c r="H580" s="3" t="str">
        <f>"AC019069.1"</f>
        <v>AC019069.1</v>
      </c>
      <c r="I580" s="3" t="str">
        <f>"lincRNA"</f>
        <v>lincRNA</v>
      </c>
    </row>
    <row r="581" spans="1:9" x14ac:dyDescent="0.2">
      <c r="A581" s="3" t="str">
        <f>"ENSG00000159399.9"</f>
        <v>ENSG00000159399.9</v>
      </c>
      <c r="B581" s="3">
        <v>8549.4143675400792</v>
      </c>
      <c r="C581" s="3">
        <v>-1.36382852661454</v>
      </c>
      <c r="D581" s="3">
        <v>0.25552869710566201</v>
      </c>
      <c r="E581" s="3">
        <v>-5.3372812606272397</v>
      </c>
      <c r="F581" s="4">
        <v>9.4350621923947202E-8</v>
      </c>
      <c r="G581" s="4">
        <v>1.4169491907444099E-6</v>
      </c>
      <c r="H581" s="3" t="str">
        <f>"HK2"</f>
        <v>HK2</v>
      </c>
      <c r="I581" s="3" t="str">
        <f>"protein_coding"</f>
        <v>protein_coding</v>
      </c>
    </row>
    <row r="582" spans="1:9" x14ac:dyDescent="0.2">
      <c r="A582" s="3" t="str">
        <f>"ENSG00000236209.1"</f>
        <v>ENSG00000236209.1</v>
      </c>
      <c r="B582" s="3">
        <v>81.049481003800196</v>
      </c>
      <c r="C582" s="3">
        <v>-1.11819628250229</v>
      </c>
      <c r="D582" s="3">
        <v>0.44252102765302298</v>
      </c>
      <c r="E582" s="3">
        <v>-2.5268771710867899</v>
      </c>
      <c r="F582" s="3">
        <v>1.15081743353053E-2</v>
      </c>
      <c r="G582" s="3">
        <v>4.7418202359476497E-2</v>
      </c>
      <c r="H582" s="3" t="str">
        <f>"AC104135.1"</f>
        <v>AC104135.1</v>
      </c>
      <c r="I582" s="3" t="str">
        <f>"lincRNA"</f>
        <v>lincRNA</v>
      </c>
    </row>
    <row r="583" spans="1:9" x14ac:dyDescent="0.2">
      <c r="A583" s="3" t="str">
        <f>"ENSG00000230836.1"</f>
        <v>ENSG00000230836.1</v>
      </c>
      <c r="B583" s="3">
        <v>53.7486504301202</v>
      </c>
      <c r="C583" s="3">
        <v>-3.8951459348888</v>
      </c>
      <c r="D583" s="3">
        <v>0.64574591543097404</v>
      </c>
      <c r="E583" s="3">
        <v>-6.0320101789403697</v>
      </c>
      <c r="F583" s="4">
        <v>1.6193257569251899E-9</v>
      </c>
      <c r="G583" s="4">
        <v>3.19483446395711E-8</v>
      </c>
      <c r="H583" s="3" t="str">
        <f>"LINC01293"</f>
        <v>LINC01293</v>
      </c>
      <c r="I583" s="3" t="str">
        <f>"lincRNA"</f>
        <v>lincRNA</v>
      </c>
    </row>
    <row r="584" spans="1:9" x14ac:dyDescent="0.2">
      <c r="A584" s="3" t="str">
        <f>"ENSG00000186854.11"</f>
        <v>ENSG00000186854.11</v>
      </c>
      <c r="B584" s="3">
        <v>70.353985759630007</v>
      </c>
      <c r="C584" s="3">
        <v>-2.3181218387298701</v>
      </c>
      <c r="D584" s="3">
        <v>0.48260962570389299</v>
      </c>
      <c r="E584" s="3">
        <v>-4.8033062650767802</v>
      </c>
      <c r="F584" s="4">
        <v>1.56066889823136E-6</v>
      </c>
      <c r="G584" s="4">
        <v>1.87124052121114E-5</v>
      </c>
      <c r="H584" s="3" t="str">
        <f>"TRABD2A"</f>
        <v>TRABD2A</v>
      </c>
      <c r="I584" s="3" t="str">
        <f t="shared" ref="I584:I594" si="26">"protein_coding"</f>
        <v>protein_coding</v>
      </c>
    </row>
    <row r="585" spans="1:9" x14ac:dyDescent="0.2">
      <c r="A585" s="3" t="str">
        <f>"ENSG00000034510.6"</f>
        <v>ENSG00000034510.6</v>
      </c>
      <c r="B585" s="3">
        <v>14947.343391100099</v>
      </c>
      <c r="C585" s="3">
        <v>-1.1623608639454499</v>
      </c>
      <c r="D585" s="3">
        <v>0.29853376558598799</v>
      </c>
      <c r="E585" s="3">
        <v>-3.8935658137827902</v>
      </c>
      <c r="F585" s="4">
        <v>9.87813865714721E-5</v>
      </c>
      <c r="G585" s="3">
        <v>8.0311757569663305E-4</v>
      </c>
      <c r="H585" s="3" t="str">
        <f>"TMSB10"</f>
        <v>TMSB10</v>
      </c>
      <c r="I585" s="3" t="str">
        <f t="shared" si="26"/>
        <v>protein_coding</v>
      </c>
    </row>
    <row r="586" spans="1:9" x14ac:dyDescent="0.2">
      <c r="A586" s="3" t="str">
        <f>"ENSG00000042445.14"</f>
        <v>ENSG00000042445.14</v>
      </c>
      <c r="B586" s="3">
        <v>8329.14974565579</v>
      </c>
      <c r="C586" s="3">
        <v>2.98938343990796</v>
      </c>
      <c r="D586" s="3">
        <v>0.26398802601454102</v>
      </c>
      <c r="E586" s="3">
        <v>11.323935729355</v>
      </c>
      <c r="F586" s="4">
        <v>9.98846215701361E-30</v>
      </c>
      <c r="G586" s="4">
        <v>1.0010349225485199E-27</v>
      </c>
      <c r="H586" s="3" t="str">
        <f>"RETSAT"</f>
        <v>RETSAT</v>
      </c>
      <c r="I586" s="3" t="str">
        <f t="shared" si="26"/>
        <v>protein_coding</v>
      </c>
    </row>
    <row r="587" spans="1:9" x14ac:dyDescent="0.2">
      <c r="A587" s="3" t="str">
        <f>"ENSG00000152292.17"</f>
        <v>ENSG00000152292.17</v>
      </c>
      <c r="B587" s="3">
        <v>19.802348677262501</v>
      </c>
      <c r="C587" s="3">
        <v>2.58565583094272</v>
      </c>
      <c r="D587" s="3">
        <v>0.82183702953118798</v>
      </c>
      <c r="E587" s="3">
        <v>3.1461904708987101</v>
      </c>
      <c r="F587" s="3">
        <v>1.6541224415644799E-3</v>
      </c>
      <c r="G587" s="3">
        <v>9.3483374562018506E-3</v>
      </c>
      <c r="H587" s="3" t="str">
        <f>"SH2D6"</f>
        <v>SH2D6</v>
      </c>
      <c r="I587" s="3" t="str">
        <f t="shared" si="26"/>
        <v>protein_coding</v>
      </c>
    </row>
    <row r="588" spans="1:9" x14ac:dyDescent="0.2">
      <c r="A588" s="3" t="str">
        <f>"ENSG00000118640.11"</f>
        <v>ENSG00000118640.11</v>
      </c>
      <c r="B588" s="3">
        <v>1611.2124173168199</v>
      </c>
      <c r="C588" s="3">
        <v>2.2654146907742101</v>
      </c>
      <c r="D588" s="3">
        <v>0.25624867501938903</v>
      </c>
      <c r="E588" s="3">
        <v>8.8406884078631904</v>
      </c>
      <c r="F588" s="4">
        <v>9.5130621271034695E-19</v>
      </c>
      <c r="G588" s="4">
        <v>4.6738491759235898E-17</v>
      </c>
      <c r="H588" s="3" t="str">
        <f>"VAMP8"</f>
        <v>VAMP8</v>
      </c>
      <c r="I588" s="3" t="str">
        <f t="shared" si="26"/>
        <v>protein_coding</v>
      </c>
    </row>
    <row r="589" spans="1:9" x14ac:dyDescent="0.2">
      <c r="A589" s="3" t="str">
        <f>"ENSG00000168899.5"</f>
        <v>ENSG00000168899.5</v>
      </c>
      <c r="B589" s="3">
        <v>367.55659800470801</v>
      </c>
      <c r="C589" s="3">
        <v>1.9445180640928099</v>
      </c>
      <c r="D589" s="3">
        <v>0.34126181786881199</v>
      </c>
      <c r="E589" s="3">
        <v>5.6980241042972999</v>
      </c>
      <c r="F589" s="4">
        <v>1.2120391816660899E-8</v>
      </c>
      <c r="G589" s="4">
        <v>2.1143443560894901E-7</v>
      </c>
      <c r="H589" s="3" t="str">
        <f>"VAMP5"</f>
        <v>VAMP5</v>
      </c>
      <c r="I589" s="3" t="str">
        <f t="shared" si="26"/>
        <v>protein_coding</v>
      </c>
    </row>
    <row r="590" spans="1:9" x14ac:dyDescent="0.2">
      <c r="A590" s="3" t="str">
        <f>"ENSG00000168874.13"</f>
        <v>ENSG00000168874.13</v>
      </c>
      <c r="B590" s="3">
        <v>443.83883201907997</v>
      </c>
      <c r="C590" s="3">
        <v>4.0131401360850898</v>
      </c>
      <c r="D590" s="3">
        <v>0.31276476115956803</v>
      </c>
      <c r="E590" s="3">
        <v>12.8311774037665</v>
      </c>
      <c r="F590" s="4">
        <v>1.0968451903109E-37</v>
      </c>
      <c r="G590" s="4">
        <v>1.6230082801335701E-35</v>
      </c>
      <c r="H590" s="3" t="str">
        <f>"ATOH8"</f>
        <v>ATOH8</v>
      </c>
      <c r="I590" s="3" t="str">
        <f t="shared" si="26"/>
        <v>protein_coding</v>
      </c>
    </row>
    <row r="591" spans="1:9" x14ac:dyDescent="0.2">
      <c r="A591" s="3" t="str">
        <f>"ENSG00000115561.16"</f>
        <v>ENSG00000115561.16</v>
      </c>
      <c r="B591" s="3">
        <v>2017.44607507821</v>
      </c>
      <c r="C591" s="3">
        <v>1.11440442574957</v>
      </c>
      <c r="D591" s="3">
        <v>0.27205676927626199</v>
      </c>
      <c r="E591" s="3">
        <v>4.09622017020257</v>
      </c>
      <c r="F591" s="4">
        <v>4.1995055752612698E-5</v>
      </c>
      <c r="G591" s="3">
        <v>3.7473771814720499E-4</v>
      </c>
      <c r="H591" s="3" t="str">
        <f>"CHMP3"</f>
        <v>CHMP3</v>
      </c>
      <c r="I591" s="3" t="str">
        <f t="shared" si="26"/>
        <v>protein_coding</v>
      </c>
    </row>
    <row r="592" spans="1:9" x14ac:dyDescent="0.2">
      <c r="A592" s="3" t="str">
        <f>"ENSG00000153561.13"</f>
        <v>ENSG00000153561.13</v>
      </c>
      <c r="B592" s="3">
        <v>4817.7902818308503</v>
      </c>
      <c r="C592" s="3">
        <v>-1.03229275749694</v>
      </c>
      <c r="D592" s="3">
        <v>0.24052034535696701</v>
      </c>
      <c r="E592" s="3">
        <v>-4.2919144988124396</v>
      </c>
      <c r="F592" s="4">
        <v>1.771391615314E-5</v>
      </c>
      <c r="G592" s="3">
        <v>1.7211029773357901E-4</v>
      </c>
      <c r="H592" s="3" t="str">
        <f>"RMND5A"</f>
        <v>RMND5A</v>
      </c>
      <c r="I592" s="3" t="str">
        <f t="shared" si="26"/>
        <v>protein_coding</v>
      </c>
    </row>
    <row r="593" spans="1:9" x14ac:dyDescent="0.2">
      <c r="A593" s="3" t="str">
        <f>"ENSG00000163586.9"</f>
        <v>ENSG00000163586.9</v>
      </c>
      <c r="B593" s="3">
        <v>2797.28320962099</v>
      </c>
      <c r="C593" s="3">
        <v>-5.1034910174191799</v>
      </c>
      <c r="D593" s="3">
        <v>0.29586264750297703</v>
      </c>
      <c r="E593" s="3">
        <v>-17.249527983649301</v>
      </c>
      <c r="F593" s="4">
        <v>1.12817257555418E-66</v>
      </c>
      <c r="G593" s="4">
        <v>5.3545624788802799E-64</v>
      </c>
      <c r="H593" s="3" t="str">
        <f>"FABP1"</f>
        <v>FABP1</v>
      </c>
      <c r="I593" s="3" t="str">
        <f t="shared" si="26"/>
        <v>protein_coding</v>
      </c>
    </row>
    <row r="594" spans="1:9" x14ac:dyDescent="0.2">
      <c r="A594" s="3" t="str">
        <f>"ENSG00000172073.4"</f>
        <v>ENSG00000172073.4</v>
      </c>
      <c r="B594" s="3">
        <v>372.38107414208099</v>
      </c>
      <c r="C594" s="3">
        <v>8.6168297178208597</v>
      </c>
      <c r="D594" s="3">
        <v>0.77817072973123602</v>
      </c>
      <c r="E594" s="3">
        <v>11.073186626791999</v>
      </c>
      <c r="F594" s="4">
        <v>1.6927222418641199E-28</v>
      </c>
      <c r="G594" s="4">
        <v>1.5829155388138301E-26</v>
      </c>
      <c r="H594" s="3" t="str">
        <f>"TEX37"</f>
        <v>TEX37</v>
      </c>
      <c r="I594" s="3" t="str">
        <f t="shared" si="26"/>
        <v>protein_coding</v>
      </c>
    </row>
    <row r="595" spans="1:9" x14ac:dyDescent="0.2">
      <c r="A595" s="3" t="str">
        <f>"ENSG00000225420.1"</f>
        <v>ENSG00000225420.1</v>
      </c>
      <c r="B595" s="3">
        <v>281.190895184939</v>
      </c>
      <c r="C595" s="3">
        <v>7.6217841207440502</v>
      </c>
      <c r="D595" s="3">
        <v>0.66973698931486703</v>
      </c>
      <c r="E595" s="3">
        <v>11.380264555107001</v>
      </c>
      <c r="F595" s="4">
        <v>5.2440409136507803E-30</v>
      </c>
      <c r="G595" s="4">
        <v>5.4509855034250197E-28</v>
      </c>
      <c r="H595" s="3" t="str">
        <f>"AC104134.1"</f>
        <v>AC104134.1</v>
      </c>
      <c r="I595" s="3" t="str">
        <f>"antisense"</f>
        <v>antisense</v>
      </c>
    </row>
    <row r="596" spans="1:9" x14ac:dyDescent="0.2">
      <c r="A596" s="3" t="str">
        <f>"ENSG00000230964.1"</f>
        <v>ENSG00000230964.1</v>
      </c>
      <c r="B596" s="3">
        <v>24.447233580884301</v>
      </c>
      <c r="C596" s="3">
        <v>2.9989095334882201</v>
      </c>
      <c r="D596" s="3">
        <v>0.85912636036170498</v>
      </c>
      <c r="E596" s="3">
        <v>3.4906501206942799</v>
      </c>
      <c r="F596" s="3">
        <v>4.8184682224372501E-4</v>
      </c>
      <c r="G596" s="3">
        <v>3.2348163366802498E-3</v>
      </c>
      <c r="H596" s="3" t="str">
        <f>"AC233266.1"</f>
        <v>AC233266.1</v>
      </c>
      <c r="I596" s="3" t="str">
        <f>"processed_pseudogene"</f>
        <v>processed_pseudogene</v>
      </c>
    </row>
    <row r="597" spans="1:9" x14ac:dyDescent="0.2">
      <c r="A597" s="3" t="str">
        <f>"ENSG00000261600.1"</f>
        <v>ENSG00000261600.1</v>
      </c>
      <c r="B597" s="3">
        <v>63.582954599782703</v>
      </c>
      <c r="C597" s="3">
        <v>3.5712710043440099</v>
      </c>
      <c r="D597" s="3">
        <v>0.54572550422711696</v>
      </c>
      <c r="E597" s="3">
        <v>6.5440793524975902</v>
      </c>
      <c r="F597" s="4">
        <v>5.9863007022521696E-11</v>
      </c>
      <c r="G597" s="4">
        <v>1.4139473630530801E-9</v>
      </c>
      <c r="H597" s="3" t="str">
        <f>"AC233266.2"</f>
        <v>AC233266.2</v>
      </c>
      <c r="I597" s="3" t="str">
        <f>"lincRNA"</f>
        <v>lincRNA</v>
      </c>
    </row>
    <row r="598" spans="1:9" x14ac:dyDescent="0.2">
      <c r="A598" s="3" t="str">
        <f>"ENSG00000155066.16"</f>
        <v>ENSG00000155066.16</v>
      </c>
      <c r="B598" s="3">
        <v>17.808114459438499</v>
      </c>
      <c r="C598" s="3">
        <v>3.8193468493090901</v>
      </c>
      <c r="D598" s="3">
        <v>0.98499384692291603</v>
      </c>
      <c r="E598" s="3">
        <v>3.87753371377962</v>
      </c>
      <c r="F598" s="3">
        <v>1.05520708907441E-4</v>
      </c>
      <c r="G598" s="3">
        <v>8.5267376568155795E-4</v>
      </c>
      <c r="H598" s="3" t="str">
        <f>"PROM2"</f>
        <v>PROM2</v>
      </c>
      <c r="I598" s="3" t="str">
        <f>"protein_coding"</f>
        <v>protein_coding</v>
      </c>
    </row>
    <row r="599" spans="1:9" x14ac:dyDescent="0.2">
      <c r="A599" s="3" t="str">
        <f>"ENSG00000230747.1"</f>
        <v>ENSG00000230747.1</v>
      </c>
      <c r="B599" s="3">
        <v>11.6530000912667</v>
      </c>
      <c r="C599" s="3">
        <v>-3.3556572984472699</v>
      </c>
      <c r="D599" s="3">
        <v>1.14747111578578</v>
      </c>
      <c r="E599" s="3">
        <v>-2.92439369695972</v>
      </c>
      <c r="F599" s="3">
        <v>3.4512793743827499E-3</v>
      </c>
      <c r="G599" s="3">
        <v>1.7408649019971498E-2</v>
      </c>
      <c r="H599" s="3" t="str">
        <f>"AC021188.1"</f>
        <v>AC021188.1</v>
      </c>
      <c r="I599" s="3" t="str">
        <f>"antisense"</f>
        <v>antisense</v>
      </c>
    </row>
    <row r="600" spans="1:9" x14ac:dyDescent="0.2">
      <c r="A600" s="3" t="str">
        <f>"ENSG00000198885.9"</f>
        <v>ENSG00000198885.9</v>
      </c>
      <c r="B600" s="3">
        <v>644.97316733520597</v>
      </c>
      <c r="C600" s="3">
        <v>-2.4808481873973398</v>
      </c>
      <c r="D600" s="3">
        <v>0.31116735330446099</v>
      </c>
      <c r="E600" s="3">
        <v>-7.9727135930290203</v>
      </c>
      <c r="F600" s="4">
        <v>1.55227631041927E-15</v>
      </c>
      <c r="G600" s="4">
        <v>5.9433045035915695E-14</v>
      </c>
      <c r="H600" s="3" t="str">
        <f>"ITPRIPL1"</f>
        <v>ITPRIPL1</v>
      </c>
      <c r="I600" s="3" t="str">
        <f>"protein_coding"</f>
        <v>protein_coding</v>
      </c>
    </row>
    <row r="601" spans="1:9" x14ac:dyDescent="0.2">
      <c r="A601" s="3" t="str">
        <f>"ENSG00000115085.13"</f>
        <v>ENSG00000115085.13</v>
      </c>
      <c r="B601" s="3">
        <v>595.26764412084697</v>
      </c>
      <c r="C601" s="3">
        <v>1.90311708911771</v>
      </c>
      <c r="D601" s="3">
        <v>0.27716210806991398</v>
      </c>
      <c r="E601" s="3">
        <v>6.8664403744455802</v>
      </c>
      <c r="F601" s="4">
        <v>6.5823669211817401E-12</v>
      </c>
      <c r="G601" s="4">
        <v>1.7283866378113401E-10</v>
      </c>
      <c r="H601" s="3" t="str">
        <f>"ZAP70"</f>
        <v>ZAP70</v>
      </c>
      <c r="I601" s="3" t="str">
        <f>"protein_coding"</f>
        <v>protein_coding</v>
      </c>
    </row>
    <row r="602" spans="1:9" x14ac:dyDescent="0.2">
      <c r="A602" s="3" t="str">
        <f>"ENSG00000075568.17"</f>
        <v>ENSG00000075568.17</v>
      </c>
      <c r="B602" s="3">
        <v>5376.23896490066</v>
      </c>
      <c r="C602" s="3">
        <v>1.44683833863989</v>
      </c>
      <c r="D602" s="3">
        <v>0.241216547812733</v>
      </c>
      <c r="E602" s="3">
        <v>5.9980890687612796</v>
      </c>
      <c r="F602" s="4">
        <v>1.9965300970231101E-9</v>
      </c>
      <c r="G602" s="4">
        <v>3.8752094591525001E-8</v>
      </c>
      <c r="H602" s="3" t="str">
        <f>"TMEM131"</f>
        <v>TMEM131</v>
      </c>
      <c r="I602" s="3" t="str">
        <f>"protein_coding"</f>
        <v>protein_coding</v>
      </c>
    </row>
    <row r="603" spans="1:9" x14ac:dyDescent="0.2">
      <c r="A603" s="3" t="str">
        <f>"ENSG00000238719.1"</f>
        <v>ENSG00000238719.1</v>
      </c>
      <c r="B603" s="3">
        <v>21.372013482008299</v>
      </c>
      <c r="C603" s="3">
        <v>2.6585328247269802</v>
      </c>
      <c r="D603" s="3">
        <v>0.83047516647691899</v>
      </c>
      <c r="E603" s="3">
        <v>3.2012189310911401</v>
      </c>
      <c r="F603" s="3">
        <v>1.36847511931459E-3</v>
      </c>
      <c r="G603" s="3">
        <v>7.9611451494816105E-3</v>
      </c>
      <c r="H603" s="3" t="str">
        <f>"RNU7-96P"</f>
        <v>RNU7-96P</v>
      </c>
      <c r="I603" s="3" t="str">
        <f>"snRNA"</f>
        <v>snRNA</v>
      </c>
    </row>
    <row r="604" spans="1:9" x14ac:dyDescent="0.2">
      <c r="A604" s="3" t="str">
        <f>"ENSG00000232034.1"</f>
        <v>ENSG00000232034.1</v>
      </c>
      <c r="B604" s="3">
        <v>422.20335125973401</v>
      </c>
      <c r="C604" s="3">
        <v>1.1056384647861699</v>
      </c>
      <c r="D604" s="3">
        <v>0.28121804598829703</v>
      </c>
      <c r="E604" s="3">
        <v>3.9316056723905501</v>
      </c>
      <c r="F604" s="4">
        <v>8.43803912104008E-5</v>
      </c>
      <c r="G604" s="3">
        <v>6.9753162697917597E-4</v>
      </c>
      <c r="H604" s="3" t="str">
        <f>"AC092168.2"</f>
        <v>AC092168.2</v>
      </c>
      <c r="I604" s="3" t="str">
        <f>"sense_intronic"</f>
        <v>sense_intronic</v>
      </c>
    </row>
    <row r="605" spans="1:9" x14ac:dyDescent="0.2">
      <c r="A605" s="3" t="str">
        <f>"ENSG00000286101.1"</f>
        <v>ENSG00000286101.1</v>
      </c>
      <c r="B605" s="3">
        <v>314.17854232056601</v>
      </c>
      <c r="C605" s="3">
        <v>1.77168668582948</v>
      </c>
      <c r="D605" s="3">
        <v>0.32592678407925402</v>
      </c>
      <c r="E605" s="3">
        <v>5.4358425645640303</v>
      </c>
      <c r="F605" s="4">
        <v>5.4538094640717802E-8</v>
      </c>
      <c r="G605" s="4">
        <v>8.5053054599333999E-7</v>
      </c>
      <c r="H605" s="3" t="str">
        <f>"AC093894.2"</f>
        <v>AC093894.2</v>
      </c>
      <c r="I605" s="3" t="str">
        <f>"lincRNA"</f>
        <v>lincRNA</v>
      </c>
    </row>
    <row r="606" spans="1:9" x14ac:dyDescent="0.2">
      <c r="A606" s="3" t="str">
        <f>"ENSG00000115590.14"</f>
        <v>ENSG00000115590.14</v>
      </c>
      <c r="B606" s="3">
        <v>46.928991733639897</v>
      </c>
      <c r="C606" s="3">
        <v>-2.5368311758278499</v>
      </c>
      <c r="D606" s="3">
        <v>0.57976230970261</v>
      </c>
      <c r="E606" s="3">
        <v>-4.3756400396726596</v>
      </c>
      <c r="F606" s="4">
        <v>1.21076678910186E-5</v>
      </c>
      <c r="G606" s="3">
        <v>1.2143875031841E-4</v>
      </c>
      <c r="H606" s="3" t="str">
        <f>"IL1R2"</f>
        <v>IL1R2</v>
      </c>
      <c r="I606" s="3" t="str">
        <f>"protein_coding"</f>
        <v>protein_coding</v>
      </c>
    </row>
    <row r="607" spans="1:9" x14ac:dyDescent="0.2">
      <c r="A607" s="3" t="str">
        <f>"ENSG00000115594.12"</f>
        <v>ENSG00000115594.12</v>
      </c>
      <c r="B607" s="3">
        <v>1681.7219428154599</v>
      </c>
      <c r="C607" s="3">
        <v>-1.4411469491775299</v>
      </c>
      <c r="D607" s="3">
        <v>0.248285933479646</v>
      </c>
      <c r="E607" s="3">
        <v>-5.8043841992187204</v>
      </c>
      <c r="F607" s="4">
        <v>6.4602990455397096E-9</v>
      </c>
      <c r="G607" s="4">
        <v>1.17419669429589E-7</v>
      </c>
      <c r="H607" s="3" t="str">
        <f>"IL1R1"</f>
        <v>IL1R1</v>
      </c>
      <c r="I607" s="3" t="str">
        <f>"protein_coding"</f>
        <v>protein_coding</v>
      </c>
    </row>
    <row r="608" spans="1:9" x14ac:dyDescent="0.2">
      <c r="A608" s="3" t="str">
        <f>"ENSG00000115604.10"</f>
        <v>ENSG00000115604.10</v>
      </c>
      <c r="B608" s="3">
        <v>75.284750657591204</v>
      </c>
      <c r="C608" s="3">
        <v>-3.6664969301688202</v>
      </c>
      <c r="D608" s="3">
        <v>0.53616812394490099</v>
      </c>
      <c r="E608" s="3">
        <v>-6.8383344074844796</v>
      </c>
      <c r="F608" s="4">
        <v>8.0119201638125302E-12</v>
      </c>
      <c r="G608" s="4">
        <v>2.0841763363051099E-10</v>
      </c>
      <c r="H608" s="3" t="str">
        <f>"IL18R1"</f>
        <v>IL18R1</v>
      </c>
      <c r="I608" s="3" t="str">
        <f>"protein_coding"</f>
        <v>protein_coding</v>
      </c>
    </row>
    <row r="609" spans="1:9" x14ac:dyDescent="0.2">
      <c r="A609" s="3" t="str">
        <f>"ENSG00000228528.1"</f>
        <v>ENSG00000228528.1</v>
      </c>
      <c r="B609" s="3">
        <v>7.4746986401496303</v>
      </c>
      <c r="C609" s="3">
        <v>3.93286271662849</v>
      </c>
      <c r="D609" s="3">
        <v>1.5416876384499401</v>
      </c>
      <c r="E609" s="3">
        <v>2.5510113842403901</v>
      </c>
      <c r="F609" s="3">
        <v>1.0741081724321999E-2</v>
      </c>
      <c r="G609" s="3">
        <v>4.4807945402208997E-2</v>
      </c>
      <c r="H609" s="3" t="str">
        <f>"AC068057.1"</f>
        <v>AC068057.1</v>
      </c>
      <c r="I609" s="3" t="str">
        <f>"lincRNA"</f>
        <v>lincRNA</v>
      </c>
    </row>
    <row r="610" spans="1:9" x14ac:dyDescent="0.2">
      <c r="A610" s="3" t="str">
        <f>"ENSG00000224509.2"</f>
        <v>ENSG00000224509.2</v>
      </c>
      <c r="B610" s="3">
        <v>4.5394260443871897</v>
      </c>
      <c r="C610" s="3">
        <v>-5.5706893392666901</v>
      </c>
      <c r="D610" s="3">
        <v>2.0624729499187202</v>
      </c>
      <c r="E610" s="3">
        <v>-2.70097570951717</v>
      </c>
      <c r="F610" s="3">
        <v>6.9136387614684297E-3</v>
      </c>
      <c r="G610" s="3">
        <v>3.09728553953229E-2</v>
      </c>
      <c r="H610" s="3" t="str">
        <f>"AC010884.1"</f>
        <v>AC010884.1</v>
      </c>
      <c r="I610" s="3" t="str">
        <f>"antisense"</f>
        <v>antisense</v>
      </c>
    </row>
    <row r="611" spans="1:9" x14ac:dyDescent="0.2">
      <c r="A611" s="3" t="str">
        <f>"ENSG00000135966.13"</f>
        <v>ENSG00000135966.13</v>
      </c>
      <c r="B611" s="3">
        <v>3238.1557603516599</v>
      </c>
      <c r="C611" s="3">
        <v>1.0764511440814</v>
      </c>
      <c r="D611" s="3">
        <v>0.26980082082024298</v>
      </c>
      <c r="E611" s="3">
        <v>3.9897993668395699</v>
      </c>
      <c r="F611" s="4">
        <v>6.6129208005313701E-5</v>
      </c>
      <c r="G611" s="3">
        <v>5.6331873598837402E-4</v>
      </c>
      <c r="H611" s="3" t="str">
        <f>"TGFBRAP1"</f>
        <v>TGFBRAP1</v>
      </c>
      <c r="I611" s="3" t="str">
        <f>"protein_coding"</f>
        <v>protein_coding</v>
      </c>
    </row>
    <row r="612" spans="1:9" x14ac:dyDescent="0.2">
      <c r="A612" s="3" t="str">
        <f>"ENSG00000115641.19"</f>
        <v>ENSG00000115641.19</v>
      </c>
      <c r="B612" s="3">
        <v>404.43017471496</v>
      </c>
      <c r="C612" s="3">
        <v>1.7335697195122199</v>
      </c>
      <c r="D612" s="3">
        <v>0.30177962503573103</v>
      </c>
      <c r="E612" s="3">
        <v>5.7444889439005999</v>
      </c>
      <c r="F612" s="4">
        <v>9.2199019288225503E-9</v>
      </c>
      <c r="G612" s="4">
        <v>1.6309889804467699E-7</v>
      </c>
      <c r="H612" s="3" t="str">
        <f>"FHL2"</f>
        <v>FHL2</v>
      </c>
      <c r="I612" s="3" t="str">
        <f>"protein_coding"</f>
        <v>protein_coding</v>
      </c>
    </row>
    <row r="613" spans="1:9" x14ac:dyDescent="0.2">
      <c r="A613" s="3" t="str">
        <f>"ENSG00000225328.1"</f>
        <v>ENSG00000225328.1</v>
      </c>
      <c r="B613" s="3">
        <v>16.0903462971545</v>
      </c>
      <c r="C613" s="3">
        <v>2.7313385057967499</v>
      </c>
      <c r="D613" s="3">
        <v>0.93529660135702097</v>
      </c>
      <c r="E613" s="3">
        <v>2.92029127640778</v>
      </c>
      <c r="F613" s="3">
        <v>3.4970436412433701E-3</v>
      </c>
      <c r="G613" s="3">
        <v>1.7604189072538901E-2</v>
      </c>
      <c r="H613" s="3" t="str">
        <f>"LINC01594"</f>
        <v>LINC01594</v>
      </c>
      <c r="I613" s="3" t="str">
        <f>"antisense"</f>
        <v>antisense</v>
      </c>
    </row>
    <row r="614" spans="1:9" x14ac:dyDescent="0.2">
      <c r="A614" s="3" t="str">
        <f>"ENSG00000236877.2"</f>
        <v>ENSG00000236877.2</v>
      </c>
      <c r="B614" s="3">
        <v>16.689107436954298</v>
      </c>
      <c r="C614" s="3">
        <v>4.0512281122264397</v>
      </c>
      <c r="D614" s="3">
        <v>1.0582117614470401</v>
      </c>
      <c r="E614" s="3">
        <v>3.82837184372874</v>
      </c>
      <c r="F614" s="3">
        <v>1.2899376930557399E-4</v>
      </c>
      <c r="G614" s="3">
        <v>1.0156873476065301E-3</v>
      </c>
      <c r="H614" s="3" t="str">
        <f>"SETD6P1"</f>
        <v>SETD6P1</v>
      </c>
      <c r="I614" s="3" t="str">
        <f>"processed_pseudogene"</f>
        <v>processed_pseudogene</v>
      </c>
    </row>
    <row r="615" spans="1:9" x14ac:dyDescent="0.2">
      <c r="A615" s="3" t="str">
        <f>"ENSG00000198203.10"</f>
        <v>ENSG00000198203.10</v>
      </c>
      <c r="B615" s="3">
        <v>59.192759092630901</v>
      </c>
      <c r="C615" s="3">
        <v>-1.5092171106554599</v>
      </c>
      <c r="D615" s="3">
        <v>0.49227976610458901</v>
      </c>
      <c r="E615" s="3">
        <v>-3.06577116219482</v>
      </c>
      <c r="F615" s="3">
        <v>2.1710941072840498E-3</v>
      </c>
      <c r="G615" s="3">
        <v>1.17406780389819E-2</v>
      </c>
      <c r="H615" s="3" t="str">
        <f>"SULT1C2"</f>
        <v>SULT1C2</v>
      </c>
      <c r="I615" s="3" t="str">
        <f>"protein_coding"</f>
        <v>protein_coding</v>
      </c>
    </row>
    <row r="616" spans="1:9" x14ac:dyDescent="0.2">
      <c r="A616" s="3" t="str">
        <f>"ENSG00000198075.10"</f>
        <v>ENSG00000198075.10</v>
      </c>
      <c r="B616" s="3">
        <v>433.27134133036202</v>
      </c>
      <c r="C616" s="3">
        <v>1.62515850278322</v>
      </c>
      <c r="D616" s="3">
        <v>0.30378957344973301</v>
      </c>
      <c r="E616" s="3">
        <v>5.3496190943239599</v>
      </c>
      <c r="F616" s="4">
        <v>8.8139543724608301E-8</v>
      </c>
      <c r="G616" s="4">
        <v>1.32922675203389E-6</v>
      </c>
      <c r="H616" s="3" t="str">
        <f>"SULT1C4"</f>
        <v>SULT1C4</v>
      </c>
      <c r="I616" s="3" t="str">
        <f>"protein_coding"</f>
        <v>protein_coding</v>
      </c>
    </row>
    <row r="617" spans="1:9" x14ac:dyDescent="0.2">
      <c r="A617" s="3" t="str">
        <f>"ENSG00000214184.3"</f>
        <v>ENSG00000214184.3</v>
      </c>
      <c r="B617" s="3">
        <v>132.48062330592799</v>
      </c>
      <c r="C617" s="3">
        <v>1.3343305014143301</v>
      </c>
      <c r="D617" s="3">
        <v>0.36723694080393599</v>
      </c>
      <c r="E617" s="3">
        <v>3.6334321337425401</v>
      </c>
      <c r="F617" s="3">
        <v>2.7967603381892701E-4</v>
      </c>
      <c r="G617" s="3">
        <v>2.0123714618750302E-3</v>
      </c>
      <c r="H617" s="3" t="str">
        <f>"GCC2-AS1"</f>
        <v>GCC2-AS1</v>
      </c>
      <c r="I617" s="3" t="str">
        <f>"antisense"</f>
        <v>antisense</v>
      </c>
    </row>
    <row r="618" spans="1:9" x14ac:dyDescent="0.2">
      <c r="A618" s="3" t="str">
        <f>"ENSG00000163006.12"</f>
        <v>ENSG00000163006.12</v>
      </c>
      <c r="B618" s="3">
        <v>861.20130978378802</v>
      </c>
      <c r="C618" s="3">
        <v>-1.0998857943775999</v>
      </c>
      <c r="D618" s="3">
        <v>0.26320338642008201</v>
      </c>
      <c r="E618" s="3">
        <v>-4.1788436286383703</v>
      </c>
      <c r="F618" s="4">
        <v>2.92995044707684E-5</v>
      </c>
      <c r="G618" s="3">
        <v>2.7010759985138802E-4</v>
      </c>
      <c r="H618" s="3" t="str">
        <f>"CCDC138"</f>
        <v>CCDC138</v>
      </c>
      <c r="I618" s="3" t="str">
        <f>"protein_coding"</f>
        <v>protein_coding</v>
      </c>
    </row>
    <row r="619" spans="1:9" x14ac:dyDescent="0.2">
      <c r="A619" s="3" t="str">
        <f>"ENSG00000172985.10"</f>
        <v>ENSG00000172985.10</v>
      </c>
      <c r="B619" s="3">
        <v>69.777115661986898</v>
      </c>
      <c r="C619" s="3">
        <v>-3.22935679421653</v>
      </c>
      <c r="D619" s="3">
        <v>0.51179552258780003</v>
      </c>
      <c r="E619" s="3">
        <v>-6.3098574561338001</v>
      </c>
      <c r="F619" s="4">
        <v>2.7929258323273799E-10</v>
      </c>
      <c r="G619" s="4">
        <v>6.1051933731125797E-9</v>
      </c>
      <c r="H619" s="3" t="str">
        <f>"SH3RF3"</f>
        <v>SH3RF3</v>
      </c>
      <c r="I619" s="3" t="str">
        <f>"protein_coding"</f>
        <v>protein_coding</v>
      </c>
    </row>
    <row r="620" spans="1:9" x14ac:dyDescent="0.2">
      <c r="A620" s="3" t="str">
        <f>"ENSG00000224959.1"</f>
        <v>ENSG00000224959.1</v>
      </c>
      <c r="B620" s="3">
        <v>793.72404909921204</v>
      </c>
      <c r="C620" s="3">
        <v>1.2145560158158599</v>
      </c>
      <c r="D620" s="3">
        <v>0.26881133085144399</v>
      </c>
      <c r="E620" s="3">
        <v>4.5182470990669596</v>
      </c>
      <c r="F620" s="4">
        <v>6.23536914091049E-6</v>
      </c>
      <c r="G620" s="4">
        <v>6.7116264758067303E-5</v>
      </c>
      <c r="H620" s="3" t="str">
        <f>"AC017002.1"</f>
        <v>AC017002.1</v>
      </c>
      <c r="I620" s="3" t="str">
        <f>"lincRNA"</f>
        <v>lincRNA</v>
      </c>
    </row>
    <row r="621" spans="1:9" x14ac:dyDescent="0.2">
      <c r="A621" s="3" t="str">
        <f>"ENSG00000188177.14"</f>
        <v>ENSG00000188177.14</v>
      </c>
      <c r="B621" s="3">
        <v>292.57560877595301</v>
      </c>
      <c r="C621" s="3">
        <v>1.3171235647098201</v>
      </c>
      <c r="D621" s="3">
        <v>0.29965140963956299</v>
      </c>
      <c r="E621" s="3">
        <v>4.39551933459658</v>
      </c>
      <c r="F621" s="4">
        <v>1.1050822661810401E-5</v>
      </c>
      <c r="G621" s="3">
        <v>1.11729680087556E-4</v>
      </c>
      <c r="H621" s="3" t="str">
        <f>"ZC3H6"</f>
        <v>ZC3H6</v>
      </c>
      <c r="I621" s="3" t="str">
        <f>"protein_coding"</f>
        <v>protein_coding</v>
      </c>
    </row>
    <row r="622" spans="1:9" x14ac:dyDescent="0.2">
      <c r="A622" s="3" t="str">
        <f>"ENSG00000144130.11"</f>
        <v>ENSG00000144130.11</v>
      </c>
      <c r="B622" s="3">
        <v>253.418497712842</v>
      </c>
      <c r="C622" s="3">
        <v>3.0383863155561799</v>
      </c>
      <c r="D622" s="3">
        <v>0.33064960456667902</v>
      </c>
      <c r="E622" s="3">
        <v>9.1891424444255208</v>
      </c>
      <c r="F622" s="4">
        <v>3.9598552909941801E-20</v>
      </c>
      <c r="G622" s="4">
        <v>2.1560640659081999E-18</v>
      </c>
      <c r="H622" s="3" t="str">
        <f>"NT5DC4"</f>
        <v>NT5DC4</v>
      </c>
      <c r="I622" s="3" t="str">
        <f>"protein_coding"</f>
        <v>protein_coding</v>
      </c>
    </row>
    <row r="623" spans="1:9" x14ac:dyDescent="0.2">
      <c r="A623" s="3" t="str">
        <f>"ENSG00000280228.1"</f>
        <v>ENSG00000280228.1</v>
      </c>
      <c r="B623" s="3">
        <v>139.41595601656999</v>
      </c>
      <c r="C623" s="3">
        <v>1.61462743678333</v>
      </c>
      <c r="D623" s="3">
        <v>0.36140030405546802</v>
      </c>
      <c r="E623" s="3">
        <v>4.4676980585371</v>
      </c>
      <c r="F623" s="4">
        <v>7.9065797041876905E-6</v>
      </c>
      <c r="G623" s="4">
        <v>8.32524120798833E-5</v>
      </c>
      <c r="H623" s="3" t="str">
        <f>"AC079753.1"</f>
        <v>AC079753.1</v>
      </c>
      <c r="I623" s="3" t="str">
        <f>"TEC"</f>
        <v>TEC</v>
      </c>
    </row>
    <row r="624" spans="1:9" x14ac:dyDescent="0.2">
      <c r="A624" s="3" t="str">
        <f>"ENSG00000236397.3"</f>
        <v>ENSG00000236397.3</v>
      </c>
      <c r="B624" s="3">
        <v>75.732459089807904</v>
      </c>
      <c r="C624" s="3">
        <v>1.24601553468825</v>
      </c>
      <c r="D624" s="3">
        <v>0.44705806470350401</v>
      </c>
      <c r="E624" s="3">
        <v>2.78714474262895</v>
      </c>
      <c r="F624" s="3">
        <v>5.3174722292949703E-3</v>
      </c>
      <c r="G624" s="3">
        <v>2.4950758054078499E-2</v>
      </c>
      <c r="H624" s="3" t="str">
        <f>"DDX11L2"</f>
        <v>DDX11L2</v>
      </c>
      <c r="I624" s="3" t="str">
        <f>"unprocessed_pseudogene"</f>
        <v>unprocessed_pseudogene</v>
      </c>
    </row>
    <row r="625" spans="1:9" x14ac:dyDescent="0.2">
      <c r="A625" s="3" t="str">
        <f>"ENSG00000240356.6"</f>
        <v>ENSG00000240356.6</v>
      </c>
      <c r="B625" s="3">
        <v>388.53554301318599</v>
      </c>
      <c r="C625" s="3">
        <v>1.1367282921930399</v>
      </c>
      <c r="D625" s="3">
        <v>0.28829428827575398</v>
      </c>
      <c r="E625" s="3">
        <v>3.9429442011898699</v>
      </c>
      <c r="F625" s="4">
        <v>8.0487386807925402E-5</v>
      </c>
      <c r="G625" s="3">
        <v>6.6997359866094095E-4</v>
      </c>
      <c r="H625" s="3" t="str">
        <f>"RPL23AP7"</f>
        <v>RPL23AP7</v>
      </c>
      <c r="I625" s="3" t="str">
        <f>"transcribed_processed_pseudogene"</f>
        <v>transcribed_processed_pseudogene</v>
      </c>
    </row>
    <row r="626" spans="1:9" x14ac:dyDescent="0.2">
      <c r="A626" s="3" t="str">
        <f>"ENSG00000144134.18"</f>
        <v>ENSG00000144134.18</v>
      </c>
      <c r="B626" s="3">
        <v>712.370805423717</v>
      </c>
      <c r="C626" s="3">
        <v>1.38248508283714</v>
      </c>
      <c r="D626" s="3">
        <v>0.26989709743303802</v>
      </c>
      <c r="E626" s="3">
        <v>5.1222673233088001</v>
      </c>
      <c r="F626" s="4">
        <v>3.0188349358835E-7</v>
      </c>
      <c r="G626" s="4">
        <v>4.1542009197018299E-6</v>
      </c>
      <c r="H626" s="3" t="str">
        <f>"RABL2A"</f>
        <v>RABL2A</v>
      </c>
      <c r="I626" s="3" t="str">
        <f>"protein_coding"</f>
        <v>protein_coding</v>
      </c>
    </row>
    <row r="627" spans="1:9" x14ac:dyDescent="0.2">
      <c r="A627" s="3" t="str">
        <f>"ENSG00000144158.4"</f>
        <v>ENSG00000144158.4</v>
      </c>
      <c r="B627" s="3">
        <v>101.092264996734</v>
      </c>
      <c r="C627" s="3">
        <v>-1.1118961406179699</v>
      </c>
      <c r="D627" s="3">
        <v>0.43579800832100601</v>
      </c>
      <c r="E627" s="3">
        <v>-2.55140252912528</v>
      </c>
      <c r="F627" s="3">
        <v>1.07290330064275E-2</v>
      </c>
      <c r="G627" s="3">
        <v>4.4771392988455998E-2</v>
      </c>
      <c r="H627" s="3" t="str">
        <f>"AL078621.1"</f>
        <v>AL078621.1</v>
      </c>
      <c r="I627" s="3" t="str">
        <f>"processed_pseudogene"</f>
        <v>processed_pseudogene</v>
      </c>
    </row>
    <row r="628" spans="1:9" x14ac:dyDescent="0.2">
      <c r="A628" s="3" t="str">
        <f>"ENSG00000279227.1"</f>
        <v>ENSG00000279227.1</v>
      </c>
      <c r="B628" s="3">
        <v>160.03149293127601</v>
      </c>
      <c r="C628" s="3">
        <v>-1.1338012749281401</v>
      </c>
      <c r="D628" s="3">
        <v>0.351910476868811</v>
      </c>
      <c r="E628" s="3">
        <v>-3.2218457518410601</v>
      </c>
      <c r="F628" s="3">
        <v>1.27367684086819E-3</v>
      </c>
      <c r="G628" s="3">
        <v>7.5068746326239898E-3</v>
      </c>
      <c r="H628" s="3" t="str">
        <f>"AC009303.4"</f>
        <v>AC009303.4</v>
      </c>
      <c r="I628" s="3" t="str">
        <f>"TEC"</f>
        <v>TEC</v>
      </c>
    </row>
    <row r="629" spans="1:9" x14ac:dyDescent="0.2">
      <c r="A629" s="3" t="str">
        <f>"ENSG00000155368.16"</f>
        <v>ENSG00000155368.16</v>
      </c>
      <c r="B629" s="3">
        <v>4382.84783232682</v>
      </c>
      <c r="C629" s="3">
        <v>-1.54007554105169</v>
      </c>
      <c r="D629" s="3">
        <v>0.26991807840842202</v>
      </c>
      <c r="E629" s="3">
        <v>-5.7057146751072496</v>
      </c>
      <c r="F629" s="4">
        <v>1.1585593403471999E-8</v>
      </c>
      <c r="G629" s="4">
        <v>2.0266731715183501E-7</v>
      </c>
      <c r="H629" s="3" t="str">
        <f>"DBI"</f>
        <v>DBI</v>
      </c>
      <c r="I629" s="3" t="str">
        <f>"protein_coding"</f>
        <v>protein_coding</v>
      </c>
    </row>
    <row r="630" spans="1:9" x14ac:dyDescent="0.2">
      <c r="A630" s="3" t="str">
        <f>"ENSG00000280409.1"</f>
        <v>ENSG00000280409.1</v>
      </c>
      <c r="B630" s="3">
        <v>141.69717091811199</v>
      </c>
      <c r="C630" s="3">
        <v>-1.4889741242743799</v>
      </c>
      <c r="D630" s="3">
        <v>0.371029666081169</v>
      </c>
      <c r="E630" s="3">
        <v>-4.0130864467010996</v>
      </c>
      <c r="F630" s="4">
        <v>5.9929953082585701E-5</v>
      </c>
      <c r="G630" s="3">
        <v>5.1592675215347101E-4</v>
      </c>
      <c r="H630" s="3" t="str">
        <f>"LINC01101"</f>
        <v>LINC01101</v>
      </c>
      <c r="I630" s="3" t="str">
        <f>"TEC"</f>
        <v>TEC</v>
      </c>
    </row>
    <row r="631" spans="1:9" x14ac:dyDescent="0.2">
      <c r="A631" s="3" t="str">
        <f>"ENSG00000265451.1"</f>
        <v>ENSG00000265451.1</v>
      </c>
      <c r="B631" s="3">
        <v>34.6759198235467</v>
      </c>
      <c r="C631" s="3">
        <v>-1.6577143265695999</v>
      </c>
      <c r="D631" s="3">
        <v>0.61626661776895897</v>
      </c>
      <c r="E631" s="3">
        <v>-2.6899304274681399</v>
      </c>
      <c r="F631" s="3">
        <v>7.1466916752608899E-3</v>
      </c>
      <c r="G631" s="3">
        <v>3.1804564580641903E-2</v>
      </c>
      <c r="H631" s="3" t="str">
        <f>"AC012447.1"</f>
        <v>AC012447.1</v>
      </c>
      <c r="I631" s="3" t="str">
        <f>"antisense"</f>
        <v>antisense</v>
      </c>
    </row>
    <row r="632" spans="1:9" x14ac:dyDescent="0.2">
      <c r="A632" s="3" t="str">
        <f>"ENSG00000136717.15"</f>
        <v>ENSG00000136717.15</v>
      </c>
      <c r="B632" s="3">
        <v>784.58522462501901</v>
      </c>
      <c r="C632" s="3">
        <v>-2.0832212367268301</v>
      </c>
      <c r="D632" s="3">
        <v>0.33688092702530997</v>
      </c>
      <c r="E632" s="3">
        <v>-6.1838503447549602</v>
      </c>
      <c r="F632" s="4">
        <v>6.2556676183619598E-10</v>
      </c>
      <c r="G632" s="4">
        <v>1.31025244745958E-8</v>
      </c>
      <c r="H632" s="3" t="str">
        <f>"BIN1"</f>
        <v>BIN1</v>
      </c>
      <c r="I632" s="3" t="str">
        <f>"protein_coding"</f>
        <v>protein_coding</v>
      </c>
    </row>
    <row r="633" spans="1:9" x14ac:dyDescent="0.2">
      <c r="A633" s="3" t="str">
        <f>"ENSG00000236682.1"</f>
        <v>ENSG00000236682.1</v>
      </c>
      <c r="B633" s="3">
        <v>218.771077466631</v>
      </c>
      <c r="C633" s="3">
        <v>-2.05638399686829</v>
      </c>
      <c r="D633" s="3">
        <v>0.32585715433337098</v>
      </c>
      <c r="E633" s="3">
        <v>-6.3106915699769903</v>
      </c>
      <c r="F633" s="4">
        <v>2.7779131834496402E-10</v>
      </c>
      <c r="G633" s="4">
        <v>6.0816715517559397E-9</v>
      </c>
      <c r="H633" s="3" t="str">
        <f>"MAP3K2-DT"</f>
        <v>MAP3K2-DT</v>
      </c>
      <c r="I633" s="3" t="str">
        <f>"lincRNA"</f>
        <v>lincRNA</v>
      </c>
    </row>
    <row r="634" spans="1:9" x14ac:dyDescent="0.2">
      <c r="A634" s="3" t="str">
        <f>"ENSG00000231731.7"</f>
        <v>ENSG00000231731.7</v>
      </c>
      <c r="B634" s="3">
        <v>48.8961445405345</v>
      </c>
      <c r="C634" s="3">
        <v>-1.5641244902081399</v>
      </c>
      <c r="D634" s="3">
        <v>0.54671037923686905</v>
      </c>
      <c r="E634" s="3">
        <v>-2.86097456644492</v>
      </c>
      <c r="F634" s="3">
        <v>4.2234093199539097E-3</v>
      </c>
      <c r="G634" s="3">
        <v>2.0609090483693599E-2</v>
      </c>
      <c r="H634" s="3" t="str">
        <f>"AC010976.1"</f>
        <v>AC010976.1</v>
      </c>
      <c r="I634" s="3" t="str">
        <f>"antisense"</f>
        <v>antisense</v>
      </c>
    </row>
    <row r="635" spans="1:9" x14ac:dyDescent="0.2">
      <c r="A635" s="3" t="str">
        <f>"ENSG00000169994.18"</f>
        <v>ENSG00000169994.18</v>
      </c>
      <c r="B635" s="3">
        <v>101.905238436524</v>
      </c>
      <c r="C635" s="3">
        <v>1.7037371169214801</v>
      </c>
      <c r="D635" s="3">
        <v>0.42564011155207199</v>
      </c>
      <c r="E635" s="3">
        <v>4.0027644732750902</v>
      </c>
      <c r="F635" s="4">
        <v>6.2606620487488094E-5</v>
      </c>
      <c r="G635" s="3">
        <v>5.36582466222407E-4</v>
      </c>
      <c r="H635" s="3" t="str">
        <f>"MYO7B"</f>
        <v>MYO7B</v>
      </c>
      <c r="I635" s="3" t="str">
        <f>"protein_coding"</f>
        <v>protein_coding</v>
      </c>
    </row>
    <row r="636" spans="1:9" x14ac:dyDescent="0.2">
      <c r="A636" s="3" t="str">
        <f>"ENSG00000136720.7"</f>
        <v>ENSG00000136720.7</v>
      </c>
      <c r="B636" s="3">
        <v>6756.2895825567302</v>
      </c>
      <c r="C636" s="3">
        <v>1.5028549878023101</v>
      </c>
      <c r="D636" s="3">
        <v>0.27689590932387298</v>
      </c>
      <c r="E636" s="3">
        <v>5.4275088117841799</v>
      </c>
      <c r="F636" s="4">
        <v>5.7146046445114797E-8</v>
      </c>
      <c r="G636" s="4">
        <v>8.8789919600176802E-7</v>
      </c>
      <c r="H636" s="3" t="str">
        <f>"HS6ST1"</f>
        <v>HS6ST1</v>
      </c>
      <c r="I636" s="3" t="str">
        <f>"protein_coding"</f>
        <v>protein_coding</v>
      </c>
    </row>
    <row r="637" spans="1:9" x14ac:dyDescent="0.2">
      <c r="A637" s="3" t="str">
        <f>"ENSG00000180178.11"</f>
        <v>ENSG00000180178.11</v>
      </c>
      <c r="B637" s="3">
        <v>331.38472021321599</v>
      </c>
      <c r="C637" s="3">
        <v>2.43205995421101</v>
      </c>
      <c r="D637" s="3">
        <v>0.31534592904905001</v>
      </c>
      <c r="E637" s="3">
        <v>7.7123556392342598</v>
      </c>
      <c r="F637" s="4">
        <v>1.2351635849473101E-14</v>
      </c>
      <c r="G637" s="4">
        <v>4.3213546563768602E-13</v>
      </c>
      <c r="H637" s="3" t="str">
        <f>"FAR2P1"</f>
        <v>FAR2P1</v>
      </c>
      <c r="I637" s="3" t="str">
        <f>"transcribed_unprocessed_pseudogene"</f>
        <v>transcribed_unprocessed_pseudogene</v>
      </c>
    </row>
    <row r="638" spans="1:9" x14ac:dyDescent="0.2">
      <c r="A638" s="3" t="str">
        <f>"ENSG00000286058.1"</f>
        <v>ENSG00000286058.1</v>
      </c>
      <c r="B638" s="3">
        <v>849.63373105071298</v>
      </c>
      <c r="C638" s="3">
        <v>2.0184801056556498</v>
      </c>
      <c r="D638" s="3">
        <v>0.27767479144713098</v>
      </c>
      <c r="E638" s="3">
        <v>7.2692234506997302</v>
      </c>
      <c r="F638" s="4">
        <v>3.6155990188910999E-13</v>
      </c>
      <c r="G638" s="4">
        <v>1.10242900994189E-11</v>
      </c>
      <c r="H638" s="3" t="str">
        <f>"AC018865.3"</f>
        <v>AC018865.3</v>
      </c>
      <c r="I638" s="3" t="str">
        <f>"processed_transcript"</f>
        <v>processed_transcript</v>
      </c>
    </row>
    <row r="639" spans="1:9" x14ac:dyDescent="0.2">
      <c r="A639" s="3" t="str">
        <f>"ENSG00000196604.12"</f>
        <v>ENSG00000196604.12</v>
      </c>
      <c r="B639" s="3">
        <v>1675.5132567958699</v>
      </c>
      <c r="C639" s="3">
        <v>1.7990010470122999</v>
      </c>
      <c r="D639" s="3">
        <v>0.26653299350648801</v>
      </c>
      <c r="E639" s="3">
        <v>6.7496373463741799</v>
      </c>
      <c r="F639" s="4">
        <v>1.4821514776649001E-11</v>
      </c>
      <c r="G639" s="4">
        <v>3.7296033381569601E-10</v>
      </c>
      <c r="H639" s="3" t="str">
        <f>"POTEF"</f>
        <v>POTEF</v>
      </c>
      <c r="I639" s="3" t="str">
        <f>"protein_coding"</f>
        <v>protein_coding</v>
      </c>
    </row>
    <row r="640" spans="1:9" x14ac:dyDescent="0.2">
      <c r="A640" s="3" t="str">
        <f>"ENSG00000223760.4"</f>
        <v>ENSG00000223760.4</v>
      </c>
      <c r="B640" s="3">
        <v>42.2557946925252</v>
      </c>
      <c r="C640" s="3">
        <v>4.23928286209678</v>
      </c>
      <c r="D640" s="3">
        <v>0.70809925301432897</v>
      </c>
      <c r="E640" s="3">
        <v>5.9868483747870798</v>
      </c>
      <c r="F640" s="4">
        <v>2.13946054858911E-9</v>
      </c>
      <c r="G640" s="4">
        <v>4.13667410451646E-8</v>
      </c>
      <c r="H640" s="3" t="str">
        <f>"MED15P9"</f>
        <v>MED15P9</v>
      </c>
      <c r="I640" s="3" t="str">
        <f>"transcribed_unprocessed_pseudogene"</f>
        <v>transcribed_unprocessed_pseudogene</v>
      </c>
    </row>
    <row r="641" spans="1:9" x14ac:dyDescent="0.2">
      <c r="A641" s="3" t="str">
        <f>"ENSG00000178162.8"</f>
        <v>ENSG00000178162.8</v>
      </c>
      <c r="B641" s="3">
        <v>31.123571344144501</v>
      </c>
      <c r="C641" s="3">
        <v>2.13876064644634</v>
      </c>
      <c r="D641" s="3">
        <v>0.66235282012659702</v>
      </c>
      <c r="E641" s="3">
        <v>3.2290353138944199</v>
      </c>
      <c r="F641" s="3">
        <v>1.2420855611992799E-3</v>
      </c>
      <c r="G641" s="3">
        <v>7.3510329954602398E-3</v>
      </c>
      <c r="H641" s="3" t="str">
        <f>"FAR2P2"</f>
        <v>FAR2P2</v>
      </c>
      <c r="I641" s="3" t="str">
        <f>"transcribed_unprocessed_pseudogene"</f>
        <v>transcribed_unprocessed_pseudogene</v>
      </c>
    </row>
    <row r="642" spans="1:9" x14ac:dyDescent="0.2">
      <c r="A642" s="3" t="str">
        <f>"ENSG00000196834.12"</f>
        <v>ENSG00000196834.12</v>
      </c>
      <c r="B642" s="3">
        <v>103.319588285926</v>
      </c>
      <c r="C642" s="3">
        <v>1.72809896424557</v>
      </c>
      <c r="D642" s="3">
        <v>0.41217797637845499</v>
      </c>
      <c r="E642" s="3">
        <v>4.1926038344631404</v>
      </c>
      <c r="F642" s="4">
        <v>2.7577078978593299E-5</v>
      </c>
      <c r="G642" s="3">
        <v>2.5613400618401601E-4</v>
      </c>
      <c r="H642" s="3" t="str">
        <f>"POTEI"</f>
        <v>POTEI</v>
      </c>
      <c r="I642" s="3" t="str">
        <f>"protein_coding"</f>
        <v>protein_coding</v>
      </c>
    </row>
    <row r="643" spans="1:9" x14ac:dyDescent="0.2">
      <c r="A643" s="3" t="str">
        <f>"ENSG00000282944.1"</f>
        <v>ENSG00000282944.1</v>
      </c>
      <c r="B643" s="3">
        <v>15.441957674842699</v>
      </c>
      <c r="C643" s="3">
        <v>3.0617133945758801</v>
      </c>
      <c r="D643" s="3">
        <v>0.95842095666989102</v>
      </c>
      <c r="E643" s="3">
        <v>3.1945392817933</v>
      </c>
      <c r="F643" s="3">
        <v>1.40054223831575E-3</v>
      </c>
      <c r="G643" s="3">
        <v>8.1266883953513402E-3</v>
      </c>
      <c r="H643" s="3" t="str">
        <f>"AC140481.3"</f>
        <v>AC140481.3</v>
      </c>
      <c r="I643" s="3" t="str">
        <f>"processed_transcript"</f>
        <v>processed_transcript</v>
      </c>
    </row>
    <row r="644" spans="1:9" x14ac:dyDescent="0.2">
      <c r="A644" s="3" t="str">
        <f>"ENSG00000136002.18"</f>
        <v>ENSG00000136002.18</v>
      </c>
      <c r="B644" s="3">
        <v>129.694998314678</v>
      </c>
      <c r="C644" s="3">
        <v>1.38764253746129</v>
      </c>
      <c r="D644" s="3">
        <v>0.410742638326971</v>
      </c>
      <c r="E644" s="3">
        <v>3.3783746998203301</v>
      </c>
      <c r="F644" s="3">
        <v>7.2915653113861801E-4</v>
      </c>
      <c r="G644" s="3">
        <v>4.6624129488540798E-3</v>
      </c>
      <c r="H644" s="3" t="str">
        <f>"ARHGEF4"</f>
        <v>ARHGEF4</v>
      </c>
      <c r="I644" s="3" t="str">
        <f>"protein_coding"</f>
        <v>protein_coding</v>
      </c>
    </row>
    <row r="645" spans="1:9" x14ac:dyDescent="0.2">
      <c r="A645" s="3" t="str">
        <f>"ENSG00000188219.14"</f>
        <v>ENSG00000188219.14</v>
      </c>
      <c r="B645" s="3">
        <v>341.91245444126503</v>
      </c>
      <c r="C645" s="3">
        <v>1.89033478143495</v>
      </c>
      <c r="D645" s="3">
        <v>0.29298840348536997</v>
      </c>
      <c r="E645" s="3">
        <v>6.4519099013737797</v>
      </c>
      <c r="F645" s="4">
        <v>1.10449241031509E-10</v>
      </c>
      <c r="G645" s="4">
        <v>2.5257733255887399E-9</v>
      </c>
      <c r="H645" s="3" t="str">
        <f>"POTEE"</f>
        <v>POTEE</v>
      </c>
      <c r="I645" s="3" t="str">
        <f>"protein_coding"</f>
        <v>protein_coding</v>
      </c>
    </row>
    <row r="646" spans="1:9" x14ac:dyDescent="0.2">
      <c r="A646" s="3" t="str">
        <f>"ENSG00000231431.7"</f>
        <v>ENSG00000231431.7</v>
      </c>
      <c r="B646" s="3">
        <v>80.698025284565105</v>
      </c>
      <c r="C646" s="3">
        <v>2.6952993613437202</v>
      </c>
      <c r="D646" s="3">
        <v>0.46114031145928702</v>
      </c>
      <c r="E646" s="3">
        <v>5.8448573988563099</v>
      </c>
      <c r="F646" s="4">
        <v>5.0700239692481002E-9</v>
      </c>
      <c r="G646" s="4">
        <v>9.3707900768872905E-8</v>
      </c>
      <c r="H646" s="3" t="str">
        <f>"FAR2P4"</f>
        <v>FAR2P4</v>
      </c>
      <c r="I646" s="3" t="str">
        <f>"transcribed_unprocessed_pseudogene"</f>
        <v>transcribed_unprocessed_pseudogene</v>
      </c>
    </row>
    <row r="647" spans="1:9" x14ac:dyDescent="0.2">
      <c r="A647" s="3" t="str">
        <f>"ENSG00000163040.14"</f>
        <v>ENSG00000163040.14</v>
      </c>
      <c r="B647" s="3">
        <v>83.456951822794693</v>
      </c>
      <c r="C647" s="3">
        <v>2.1529856545272699</v>
      </c>
      <c r="D647" s="3">
        <v>0.46860982058004902</v>
      </c>
      <c r="E647" s="3">
        <v>4.5944100186852497</v>
      </c>
      <c r="F647" s="4">
        <v>4.3397533739704801E-6</v>
      </c>
      <c r="G647" s="4">
        <v>4.83251421523805E-5</v>
      </c>
      <c r="H647" s="3" t="str">
        <f>"CCDC74A"</f>
        <v>CCDC74A</v>
      </c>
      <c r="I647" s="3" t="str">
        <f>"protein_coding"</f>
        <v>protein_coding</v>
      </c>
    </row>
    <row r="648" spans="1:9" x14ac:dyDescent="0.2">
      <c r="A648" s="3" t="str">
        <f>"ENSG00000224679.1"</f>
        <v>ENSG00000224679.1</v>
      </c>
      <c r="B648" s="3">
        <v>7.8221593729417096</v>
      </c>
      <c r="C648" s="3">
        <v>4.0001505260833499</v>
      </c>
      <c r="D648" s="3">
        <v>1.53320353613393</v>
      </c>
      <c r="E648" s="3">
        <v>2.6090146753574301</v>
      </c>
      <c r="F648" s="3">
        <v>9.0803348091773803E-3</v>
      </c>
      <c r="G648" s="3">
        <v>3.9005434106020698E-2</v>
      </c>
      <c r="H648" s="3" t="str">
        <f>"MED15P4"</f>
        <v>MED15P4</v>
      </c>
      <c r="I648" s="3" t="str">
        <f>"unprocessed_pseudogene"</f>
        <v>unprocessed_pseudogene</v>
      </c>
    </row>
    <row r="649" spans="1:9" x14ac:dyDescent="0.2">
      <c r="A649" s="3" t="str">
        <f>"ENSG00000286208.1"</f>
        <v>ENSG00000286208.1</v>
      </c>
      <c r="B649" s="3">
        <v>84.837786608634403</v>
      </c>
      <c r="C649" s="3">
        <v>4.0644285781398697</v>
      </c>
      <c r="D649" s="3">
        <v>0.53642831495195298</v>
      </c>
      <c r="E649" s="3">
        <v>7.57683452728239</v>
      </c>
      <c r="F649" s="4">
        <v>3.54087923979892E-14</v>
      </c>
      <c r="G649" s="4">
        <v>1.1844523574088001E-12</v>
      </c>
      <c r="H649" s="3" t="str">
        <f>"AC093838.2"</f>
        <v>AC093838.2</v>
      </c>
      <c r="I649" s="3" t="str">
        <f>"lincRNA"</f>
        <v>lincRNA</v>
      </c>
    </row>
    <row r="650" spans="1:9" x14ac:dyDescent="0.2">
      <c r="A650" s="3" t="str">
        <f>"ENSG00000204434.5"</f>
        <v>ENSG00000204434.5</v>
      </c>
      <c r="B650" s="3">
        <v>42.7052501883242</v>
      </c>
      <c r="C650" s="3">
        <v>2.4148158880512698</v>
      </c>
      <c r="D650" s="3">
        <v>0.59222784653178495</v>
      </c>
      <c r="E650" s="3">
        <v>4.0775115560555903</v>
      </c>
      <c r="F650" s="4">
        <v>4.5520268152998597E-5</v>
      </c>
      <c r="G650" s="3">
        <v>4.03190966686155E-4</v>
      </c>
      <c r="H650" s="3" t="str">
        <f>"POTEKP"</f>
        <v>POTEKP</v>
      </c>
      <c r="I650" s="3" t="str">
        <f>"unprocessed_pseudogene"</f>
        <v>unprocessed_pseudogene</v>
      </c>
    </row>
    <row r="651" spans="1:9" x14ac:dyDescent="0.2">
      <c r="A651" s="3" t="str">
        <f>"ENSG00000273588.1"</f>
        <v>ENSG00000273588.1</v>
      </c>
      <c r="B651" s="3">
        <v>9.2844123520799506</v>
      </c>
      <c r="C651" s="3">
        <v>4.16679070889397</v>
      </c>
      <c r="D651" s="3">
        <v>1.4714994686192699</v>
      </c>
      <c r="E651" s="3">
        <v>2.8316630741319502</v>
      </c>
      <c r="F651" s="3">
        <v>4.6306614104301702E-3</v>
      </c>
      <c r="G651" s="3">
        <v>2.2263816471592299E-2</v>
      </c>
      <c r="H651" s="3" t="str">
        <f>"AC093838.1"</f>
        <v>AC093838.1</v>
      </c>
      <c r="I651" s="3" t="str">
        <f>"unprocessed_pseudogene"</f>
        <v>unprocessed_pseudogene</v>
      </c>
    </row>
    <row r="652" spans="1:9" x14ac:dyDescent="0.2">
      <c r="A652" s="3" t="str">
        <f>"ENSG00000224559.2"</f>
        <v>ENSG00000224559.2</v>
      </c>
      <c r="B652" s="3">
        <v>35.425345173994103</v>
      </c>
      <c r="C652" s="3">
        <v>4.1303577656636801</v>
      </c>
      <c r="D652" s="3">
        <v>0.76329573508819304</v>
      </c>
      <c r="E652" s="3">
        <v>5.4112155692661403</v>
      </c>
      <c r="F652" s="4">
        <v>6.2598360738026105E-8</v>
      </c>
      <c r="G652" s="4">
        <v>9.6486627718446496E-7</v>
      </c>
      <c r="H652" s="3" t="str">
        <f>"LINC01087"</f>
        <v>LINC01087</v>
      </c>
      <c r="I652" s="3" t="str">
        <f>"lincRNA"</f>
        <v>lincRNA</v>
      </c>
    </row>
    <row r="653" spans="1:9" x14ac:dyDescent="0.2">
      <c r="A653" s="3" t="str">
        <f>"ENSG00000076003.5"</f>
        <v>ENSG00000076003.5</v>
      </c>
      <c r="B653" s="3">
        <v>1184.9615673748899</v>
      </c>
      <c r="C653" s="3">
        <v>-2.6687979748209201</v>
      </c>
      <c r="D653" s="3">
        <v>0.25765682354984198</v>
      </c>
      <c r="E653" s="3">
        <v>-10.357955741485201</v>
      </c>
      <c r="F653" s="4">
        <v>3.8510450480693899E-25</v>
      </c>
      <c r="G653" s="4">
        <v>3.0463219554775299E-23</v>
      </c>
      <c r="H653" s="3" t="str">
        <f>"MCM6"</f>
        <v>MCM6</v>
      </c>
      <c r="I653" s="3" t="str">
        <f>"protein_coding"</f>
        <v>protein_coding</v>
      </c>
    </row>
    <row r="654" spans="1:9" x14ac:dyDescent="0.2">
      <c r="A654" s="3" t="str">
        <f>"ENSG00000231890.7"</f>
        <v>ENSG00000231890.7</v>
      </c>
      <c r="B654" s="3">
        <v>182.21231132211901</v>
      </c>
      <c r="C654" s="3">
        <v>1.2986659370542799</v>
      </c>
      <c r="D654" s="3">
        <v>0.35380305229404002</v>
      </c>
      <c r="E654" s="3">
        <v>3.67058997550699</v>
      </c>
      <c r="F654" s="3">
        <v>2.4199126561243401E-4</v>
      </c>
      <c r="G654" s="3">
        <v>1.7675058903834999E-3</v>
      </c>
      <c r="H654" s="3" t="str">
        <f>"DARS-AS1"</f>
        <v>DARS-AS1</v>
      </c>
      <c r="I654" s="3" t="str">
        <f>"antisense"</f>
        <v>antisense</v>
      </c>
    </row>
    <row r="655" spans="1:9" x14ac:dyDescent="0.2">
      <c r="A655" s="3" t="str">
        <f>"ENSG00000121966.6"</f>
        <v>ENSG00000121966.6</v>
      </c>
      <c r="B655" s="3">
        <v>38.071264140370097</v>
      </c>
      <c r="C655" s="3">
        <v>-2.0805448493359</v>
      </c>
      <c r="D655" s="3">
        <v>0.61188174792050598</v>
      </c>
      <c r="E655" s="3">
        <v>-3.40024008953803</v>
      </c>
      <c r="F655" s="3">
        <v>6.7326708692982799E-4</v>
      </c>
      <c r="G655" s="3">
        <v>4.3425727106973901E-3</v>
      </c>
      <c r="H655" s="3" t="str">
        <f>"CXCR4"</f>
        <v>CXCR4</v>
      </c>
      <c r="I655" s="3" t="str">
        <f>"protein_coding"</f>
        <v>protein_coding</v>
      </c>
    </row>
    <row r="656" spans="1:9" x14ac:dyDescent="0.2">
      <c r="A656" s="3" t="str">
        <f>"ENSG00000281469.1"</f>
        <v>ENSG00000281469.1</v>
      </c>
      <c r="B656" s="3">
        <v>105.99014776992701</v>
      </c>
      <c r="C656" s="3">
        <v>1.2850062726018601</v>
      </c>
      <c r="D656" s="3">
        <v>0.39146074060443298</v>
      </c>
      <c r="E656" s="3">
        <v>3.28259296351851</v>
      </c>
      <c r="F656" s="3">
        <v>1.0285706479066601E-3</v>
      </c>
      <c r="G656" s="3">
        <v>6.2542167387217703E-3</v>
      </c>
      <c r="H656" s="3" t="str">
        <f>"AC019226.1"</f>
        <v>AC019226.1</v>
      </c>
      <c r="I656" s="3" t="str">
        <f>"TEC"</f>
        <v>TEC</v>
      </c>
    </row>
    <row r="657" spans="1:9" x14ac:dyDescent="0.2">
      <c r="A657" s="3" t="str">
        <f>"ENSG00000231969.1"</f>
        <v>ENSG00000231969.1</v>
      </c>
      <c r="B657" s="3">
        <v>242.01064630534901</v>
      </c>
      <c r="C657" s="3">
        <v>-1.5665762527043201</v>
      </c>
      <c r="D657" s="3">
        <v>0.35707127478209699</v>
      </c>
      <c r="E657" s="3">
        <v>-4.3872928553559101</v>
      </c>
      <c r="F657" s="4">
        <v>1.14770211381999E-5</v>
      </c>
      <c r="G657" s="3">
        <v>1.15620531330164E-4</v>
      </c>
      <c r="H657" s="3" t="str">
        <f>"AC007364.1"</f>
        <v>AC007364.1</v>
      </c>
      <c r="I657" s="3" t="str">
        <f>"antisense"</f>
        <v>antisense</v>
      </c>
    </row>
    <row r="658" spans="1:9" x14ac:dyDescent="0.2">
      <c r="A658" s="3" t="str">
        <f>"ENSG00000123609.10"</f>
        <v>ENSG00000123609.10</v>
      </c>
      <c r="B658" s="3">
        <v>87.287768386568601</v>
      </c>
      <c r="C658" s="3">
        <v>-2.2588868052820001</v>
      </c>
      <c r="D658" s="3">
        <v>0.43726056808336899</v>
      </c>
      <c r="E658" s="3">
        <v>-5.1659970511023001</v>
      </c>
      <c r="F658" s="4">
        <v>2.3916056091066301E-7</v>
      </c>
      <c r="G658" s="4">
        <v>3.3609407316802999E-6</v>
      </c>
      <c r="H658" s="3" t="str">
        <f>"NMI"</f>
        <v>NMI</v>
      </c>
      <c r="I658" s="3" t="str">
        <f>"protein_coding"</f>
        <v>protein_coding</v>
      </c>
    </row>
    <row r="659" spans="1:9" x14ac:dyDescent="0.2">
      <c r="A659" s="3" t="str">
        <f>"ENSG00000177917.10"</f>
        <v>ENSG00000177917.10</v>
      </c>
      <c r="B659" s="3">
        <v>995.34061951349395</v>
      </c>
      <c r="C659" s="3">
        <v>-1.28449474700592</v>
      </c>
      <c r="D659" s="3">
        <v>0.25374614329009798</v>
      </c>
      <c r="E659" s="3">
        <v>-5.0621252025785903</v>
      </c>
      <c r="F659" s="4">
        <v>4.14608586707051E-7</v>
      </c>
      <c r="G659" s="4">
        <v>5.5862233522313103E-6</v>
      </c>
      <c r="H659" s="3" t="str">
        <f>"ARL6IP6"</f>
        <v>ARL6IP6</v>
      </c>
      <c r="I659" s="3" t="str">
        <f>"protein_coding"</f>
        <v>protein_coding</v>
      </c>
    </row>
    <row r="660" spans="1:9" x14ac:dyDescent="0.2">
      <c r="A660" s="3" t="str">
        <f>"ENSG00000226383.6"</f>
        <v>ENSG00000226383.6</v>
      </c>
      <c r="B660" s="3">
        <v>252.904917484431</v>
      </c>
      <c r="C660" s="3">
        <v>1.0099663333386999</v>
      </c>
      <c r="D660" s="3">
        <v>0.31189316421243402</v>
      </c>
      <c r="E660" s="3">
        <v>3.2381804067074902</v>
      </c>
      <c r="F660" s="3">
        <v>1.20294714830165E-3</v>
      </c>
      <c r="G660" s="3">
        <v>7.14862639157288E-3</v>
      </c>
      <c r="H660" s="3" t="str">
        <f>"LINC01876"</f>
        <v>LINC01876</v>
      </c>
      <c r="I660" s="3" t="str">
        <f>"lincRNA"</f>
        <v>lincRNA</v>
      </c>
    </row>
    <row r="661" spans="1:9" x14ac:dyDescent="0.2">
      <c r="A661" s="3" t="str">
        <f>"ENSG00000283436.1"</f>
        <v>ENSG00000283436.1</v>
      </c>
      <c r="B661" s="3">
        <v>8.10209831859801</v>
      </c>
      <c r="C661" s="3">
        <v>4.0055822996635602</v>
      </c>
      <c r="D661" s="3">
        <v>1.48003803623789</v>
      </c>
      <c r="E661" s="3">
        <v>2.7064049717568999</v>
      </c>
      <c r="F661" s="3">
        <v>6.80160455893464E-3</v>
      </c>
      <c r="G661" s="3">
        <v>3.0541657029632401E-2</v>
      </c>
      <c r="H661" s="3" t="str">
        <f>"LINC01958"</f>
        <v>LINC01958</v>
      </c>
      <c r="I661" s="3" t="str">
        <f>"lincRNA"</f>
        <v>lincRNA</v>
      </c>
    </row>
    <row r="662" spans="1:9" x14ac:dyDescent="0.2">
      <c r="A662" s="3" t="str">
        <f>"ENSG00000153237.17"</f>
        <v>ENSG00000153237.17</v>
      </c>
      <c r="B662" s="3">
        <v>59.282730278602003</v>
      </c>
      <c r="C662" s="3">
        <v>-2.2671154614014499</v>
      </c>
      <c r="D662" s="3">
        <v>0.51982512990913798</v>
      </c>
      <c r="E662" s="3">
        <v>-4.3613040827743896</v>
      </c>
      <c r="F662" s="4">
        <v>1.29289534183472E-5</v>
      </c>
      <c r="G662" s="3">
        <v>1.28701156801949E-4</v>
      </c>
      <c r="H662" s="3" t="str">
        <f>"CCDC148"</f>
        <v>CCDC148</v>
      </c>
      <c r="I662" s="3" t="str">
        <f>"protein_coding"</f>
        <v>protein_coding</v>
      </c>
    </row>
    <row r="663" spans="1:9" x14ac:dyDescent="0.2">
      <c r="A663" s="3" t="str">
        <f>"ENSG00000204380.4"</f>
        <v>ENSG00000204380.4</v>
      </c>
      <c r="B663" s="3">
        <v>28.057325267318902</v>
      </c>
      <c r="C663" s="3">
        <v>2.0347020829911902</v>
      </c>
      <c r="D663" s="3">
        <v>0.67960614098421801</v>
      </c>
      <c r="E663" s="3">
        <v>2.99394305066828</v>
      </c>
      <c r="F663" s="3">
        <v>2.7539734297228101E-3</v>
      </c>
      <c r="G663" s="3">
        <v>1.4348840435931501E-2</v>
      </c>
      <c r="H663" s="3" t="str">
        <f>"PKP4-AS1"</f>
        <v>PKP4-AS1</v>
      </c>
      <c r="I663" s="3" t="str">
        <f>"antisense"</f>
        <v>antisense</v>
      </c>
    </row>
    <row r="664" spans="1:9" x14ac:dyDescent="0.2">
      <c r="A664" s="3" t="str">
        <f>"ENSG00000228586.1"</f>
        <v>ENSG00000228586.1</v>
      </c>
      <c r="B664" s="3">
        <v>25.907397704608499</v>
      </c>
      <c r="C664" s="3">
        <v>6.7518504110064601</v>
      </c>
      <c r="D664" s="3">
        <v>1.5569398662340499</v>
      </c>
      <c r="E664" s="3">
        <v>4.3366160488509697</v>
      </c>
      <c r="F664" s="4">
        <v>1.4469304922369701E-5</v>
      </c>
      <c r="G664" s="3">
        <v>1.4273543738125901E-4</v>
      </c>
      <c r="H664" s="3" t="str">
        <f>"AC005042.2"</f>
        <v>AC005042.2</v>
      </c>
      <c r="I664" s="3" t="str">
        <f>"lincRNA"</f>
        <v>lincRNA</v>
      </c>
    </row>
    <row r="665" spans="1:9" x14ac:dyDescent="0.2">
      <c r="A665" s="3" t="str">
        <f>"ENSG00000231675.1"</f>
        <v>ENSG00000231675.1</v>
      </c>
      <c r="B665" s="3">
        <v>10.941634837317199</v>
      </c>
      <c r="C665" s="3">
        <v>4.5019081074705003</v>
      </c>
      <c r="D665" s="3">
        <v>1.4123565800415701</v>
      </c>
      <c r="E665" s="3">
        <v>3.18751522886522</v>
      </c>
      <c r="F665" s="3">
        <v>1.4350090100814399E-3</v>
      </c>
      <c r="G665" s="3">
        <v>8.2983107238157501E-3</v>
      </c>
      <c r="H665" s="3" t="str">
        <f>"AC005042.3"</f>
        <v>AC005042.3</v>
      </c>
      <c r="I665" s="3" t="str">
        <f>"processed_pseudogene"</f>
        <v>processed_pseudogene</v>
      </c>
    </row>
    <row r="666" spans="1:9" x14ac:dyDescent="0.2">
      <c r="A666" s="3" t="str">
        <f>"ENSG00000196151.10"</f>
        <v>ENSG00000196151.10</v>
      </c>
      <c r="B666" s="3">
        <v>643.43733025383403</v>
      </c>
      <c r="C666" s="3">
        <v>1.0719709523154699</v>
      </c>
      <c r="D666" s="3">
        <v>0.27097095230430501</v>
      </c>
      <c r="E666" s="3">
        <v>3.95603640611498</v>
      </c>
      <c r="F666" s="4">
        <v>7.6203552974534396E-5</v>
      </c>
      <c r="G666" s="3">
        <v>6.3854109762638697E-4</v>
      </c>
      <c r="H666" s="3" t="str">
        <f>"WDSUB1"</f>
        <v>WDSUB1</v>
      </c>
      <c r="I666" s="3" t="str">
        <f>"protein_coding"</f>
        <v>protein_coding</v>
      </c>
    </row>
    <row r="667" spans="1:9" x14ac:dyDescent="0.2">
      <c r="A667" s="3" t="str">
        <f>"ENSG00000241399.7"</f>
        <v>ENSG00000241399.7</v>
      </c>
      <c r="B667" s="3">
        <v>623.474574600908</v>
      </c>
      <c r="C667" s="3">
        <v>-1.4366864309273999</v>
      </c>
      <c r="D667" s="3">
        <v>0.29726340871119</v>
      </c>
      <c r="E667" s="3">
        <v>-4.8330416352159702</v>
      </c>
      <c r="F667" s="4">
        <v>1.3446265161934399E-6</v>
      </c>
      <c r="G667" s="4">
        <v>1.62850650047405E-5</v>
      </c>
      <c r="H667" s="3" t="str">
        <f>"CD302"</f>
        <v>CD302</v>
      </c>
      <c r="I667" s="3" t="str">
        <f>"protein_coding"</f>
        <v>protein_coding</v>
      </c>
    </row>
    <row r="668" spans="1:9" x14ac:dyDescent="0.2">
      <c r="A668" s="3" t="str">
        <f>"ENSG00000115267.7"</f>
        <v>ENSG00000115267.7</v>
      </c>
      <c r="B668" s="3">
        <v>296.92748675535</v>
      </c>
      <c r="C668" s="3">
        <v>-1.51069192508749</v>
      </c>
      <c r="D668" s="3">
        <v>0.30296739974148601</v>
      </c>
      <c r="E668" s="3">
        <v>-4.9863184170195396</v>
      </c>
      <c r="F668" s="4">
        <v>6.1540690295523803E-7</v>
      </c>
      <c r="G668" s="4">
        <v>8.0376742699060304E-6</v>
      </c>
      <c r="H668" s="3" t="str">
        <f>"IFIH1"</f>
        <v>IFIH1</v>
      </c>
      <c r="I668" s="3" t="str">
        <f>"protein_coding"</f>
        <v>protein_coding</v>
      </c>
    </row>
    <row r="669" spans="1:9" x14ac:dyDescent="0.2">
      <c r="A669" s="3" t="str">
        <f>"ENSG00000212312.1"</f>
        <v>ENSG00000212312.1</v>
      </c>
      <c r="B669" s="3">
        <v>20.559161783126601</v>
      </c>
      <c r="C669" s="3">
        <v>7.8765816859145499</v>
      </c>
      <c r="D669" s="3">
        <v>1.64145619030005</v>
      </c>
      <c r="E669" s="3">
        <v>4.7985329931192</v>
      </c>
      <c r="F669" s="4">
        <v>1.5983198227373201E-6</v>
      </c>
      <c r="G669" s="4">
        <v>1.9091042327140301E-5</v>
      </c>
      <c r="H669" s="3" t="str">
        <f>"RNA5SP109"</f>
        <v>RNA5SP109</v>
      </c>
      <c r="I669" s="3" t="str">
        <f>"rRNA_pseudogene"</f>
        <v>rRNA_pseudogene</v>
      </c>
    </row>
    <row r="670" spans="1:9" x14ac:dyDescent="0.2">
      <c r="A670" s="3" t="str">
        <f>"ENSG00000182263.14"</f>
        <v>ENSG00000182263.14</v>
      </c>
      <c r="B670" s="3">
        <v>749.871563138282</v>
      </c>
      <c r="C670" s="3">
        <v>-1.8245281653727401</v>
      </c>
      <c r="D670" s="3">
        <v>0.27909098534299698</v>
      </c>
      <c r="E670" s="3">
        <v>-6.5373955490910198</v>
      </c>
      <c r="F670" s="4">
        <v>6.2599333314814606E-11</v>
      </c>
      <c r="G670" s="4">
        <v>1.47166937339641E-9</v>
      </c>
      <c r="H670" s="3" t="str">
        <f>"FIGN"</f>
        <v>FIGN</v>
      </c>
      <c r="I670" s="3" t="str">
        <f>"protein_coding"</f>
        <v>protein_coding</v>
      </c>
    </row>
    <row r="671" spans="1:9" x14ac:dyDescent="0.2">
      <c r="A671" s="3" t="str">
        <f>"ENSG00000236283.4"</f>
        <v>ENSG00000236283.4</v>
      </c>
      <c r="B671" s="3">
        <v>481.19286372072497</v>
      </c>
      <c r="C671" s="3">
        <v>2.3751720766991302</v>
      </c>
      <c r="D671" s="3">
        <v>0.30052632822681702</v>
      </c>
      <c r="E671" s="3">
        <v>7.9033743589563601</v>
      </c>
      <c r="F671" s="4">
        <v>2.7145275663878398E-15</v>
      </c>
      <c r="G671" s="4">
        <v>1.01462022187944E-13</v>
      </c>
      <c r="H671" s="3" t="str">
        <f>"AC019197.1"</f>
        <v>AC019197.1</v>
      </c>
      <c r="I671" s="3" t="str">
        <f>"antisense"</f>
        <v>antisense</v>
      </c>
    </row>
    <row r="672" spans="1:9" x14ac:dyDescent="0.2">
      <c r="A672" s="3" t="str">
        <f>"ENSG00000199508.1"</f>
        <v>ENSG00000199508.1</v>
      </c>
      <c r="B672" s="3">
        <v>26.8063536417948</v>
      </c>
      <c r="C672" s="3">
        <v>2.7214063966361999</v>
      </c>
      <c r="D672" s="3">
        <v>0.729318731945652</v>
      </c>
      <c r="E672" s="3">
        <v>3.73143630820522</v>
      </c>
      <c r="F672" s="3">
        <v>1.9039114912240099E-4</v>
      </c>
      <c r="G672" s="3">
        <v>1.43177559227922E-3</v>
      </c>
      <c r="H672" s="3" t="str">
        <f>"RNA5SP110"</f>
        <v>RNA5SP110</v>
      </c>
      <c r="I672" s="3" t="str">
        <f>"rRNA_pseudogene"</f>
        <v>rRNA_pseudogene</v>
      </c>
    </row>
    <row r="673" spans="1:9" x14ac:dyDescent="0.2">
      <c r="A673" s="3" t="str">
        <f>"ENSG00000169507.9"</f>
        <v>ENSG00000169507.9</v>
      </c>
      <c r="B673" s="3">
        <v>543.23212082749501</v>
      </c>
      <c r="C673" s="3">
        <v>-2.4053496824048901</v>
      </c>
      <c r="D673" s="3">
        <v>0.30520048762840002</v>
      </c>
      <c r="E673" s="3">
        <v>-7.8812117932575196</v>
      </c>
      <c r="F673" s="4">
        <v>3.2422121085534799E-15</v>
      </c>
      <c r="G673" s="4">
        <v>1.2011464740892899E-13</v>
      </c>
      <c r="H673" s="3" t="str">
        <f>"SLC38A11"</f>
        <v>SLC38A11</v>
      </c>
      <c r="I673" s="3" t="str">
        <f>"protein_coding"</f>
        <v>protein_coding</v>
      </c>
    </row>
    <row r="674" spans="1:9" x14ac:dyDescent="0.2">
      <c r="A674" s="3" t="str">
        <f>"ENSG00000228222.1"</f>
        <v>ENSG00000228222.1</v>
      </c>
      <c r="B674" s="3">
        <v>14.8704979043469</v>
      </c>
      <c r="C674" s="3">
        <v>-2.4350298477336998</v>
      </c>
      <c r="D674" s="3">
        <v>0.93934172246940095</v>
      </c>
      <c r="E674" s="3">
        <v>-2.59227264102817</v>
      </c>
      <c r="F674" s="3">
        <v>9.5344178536917509E-3</v>
      </c>
      <c r="G674" s="3">
        <v>4.0595511359109E-2</v>
      </c>
      <c r="H674" s="3" t="str">
        <f>"AC073050.1"</f>
        <v>AC073050.1</v>
      </c>
      <c r="I674" s="3" t="str">
        <f>"lincRNA"</f>
        <v>lincRNA</v>
      </c>
    </row>
    <row r="675" spans="1:9" x14ac:dyDescent="0.2">
      <c r="A675" s="3" t="str">
        <f>"ENSG00000172318.5"</f>
        <v>ENSG00000172318.5</v>
      </c>
      <c r="B675" s="3">
        <v>45.527759493837998</v>
      </c>
      <c r="C675" s="3">
        <v>-1.53271215717638</v>
      </c>
      <c r="D675" s="3">
        <v>0.54271231353551197</v>
      </c>
      <c r="E675" s="3">
        <v>-2.8241705945300799</v>
      </c>
      <c r="F675" s="3">
        <v>4.7403146785718704E-3</v>
      </c>
      <c r="G675" s="3">
        <v>2.26999078125786E-2</v>
      </c>
      <c r="H675" s="3" t="str">
        <f>"B3GALT1"</f>
        <v>B3GALT1</v>
      </c>
      <c r="I675" s="3" t="str">
        <f>"protein_coding"</f>
        <v>protein_coding</v>
      </c>
    </row>
    <row r="676" spans="1:9" x14ac:dyDescent="0.2">
      <c r="A676" s="3" t="str">
        <f>"ENSG00000152253.9"</f>
        <v>ENSG00000152253.9</v>
      </c>
      <c r="B676" s="3">
        <v>919.95996660090896</v>
      </c>
      <c r="C676" s="3">
        <v>-1.78521489898393</v>
      </c>
      <c r="D676" s="3">
        <v>0.25947654881062998</v>
      </c>
      <c r="E676" s="3">
        <v>-6.8800625997488796</v>
      </c>
      <c r="F676" s="4">
        <v>5.9826264950594101E-12</v>
      </c>
      <c r="G676" s="4">
        <v>1.5797806014995701E-10</v>
      </c>
      <c r="H676" s="3" t="str">
        <f>"SPC25"</f>
        <v>SPC25</v>
      </c>
      <c r="I676" s="3" t="str">
        <f>"protein_coding"</f>
        <v>protein_coding</v>
      </c>
    </row>
    <row r="677" spans="1:9" x14ac:dyDescent="0.2">
      <c r="A677" s="3" t="str">
        <f>"ENSG00000213160.10"</f>
        <v>ENSG00000213160.10</v>
      </c>
      <c r="B677" s="3">
        <v>2518.1430602749101</v>
      </c>
      <c r="C677" s="3">
        <v>-1.07856446054079</v>
      </c>
      <c r="D677" s="3">
        <v>0.24702596792654199</v>
      </c>
      <c r="E677" s="3">
        <v>-4.3661987020794601</v>
      </c>
      <c r="F677" s="4">
        <v>1.2642747768234901E-5</v>
      </c>
      <c r="G677" s="3">
        <v>1.2605165283787199E-4</v>
      </c>
      <c r="H677" s="3" t="str">
        <f>"KLHL23"</f>
        <v>KLHL23</v>
      </c>
      <c r="I677" s="3" t="str">
        <f>"protein_coding"</f>
        <v>protein_coding</v>
      </c>
    </row>
    <row r="678" spans="1:9" x14ac:dyDescent="0.2">
      <c r="A678" s="3" t="str">
        <f>"ENSG00000138382.15"</f>
        <v>ENSG00000138382.15</v>
      </c>
      <c r="B678" s="3">
        <v>1533.44462738523</v>
      </c>
      <c r="C678" s="3">
        <v>1.07174025576385</v>
      </c>
      <c r="D678" s="3">
        <v>0.24376421015691399</v>
      </c>
      <c r="E678" s="3">
        <v>4.3966267856710797</v>
      </c>
      <c r="F678" s="4">
        <v>1.0994615059948E-5</v>
      </c>
      <c r="G678" s="3">
        <v>1.1129559027484599E-4</v>
      </c>
      <c r="H678" s="3" t="str">
        <f>"METTL5"</f>
        <v>METTL5</v>
      </c>
      <c r="I678" s="3" t="str">
        <f>"protein_coding"</f>
        <v>protein_coding</v>
      </c>
    </row>
    <row r="679" spans="1:9" x14ac:dyDescent="0.2">
      <c r="A679" s="3" t="str">
        <f>"ENSG00000239467.5"</f>
        <v>ENSG00000239467.5</v>
      </c>
      <c r="B679" s="3">
        <v>46.622442491153002</v>
      </c>
      <c r="C679" s="3">
        <v>-3.79908903108447</v>
      </c>
      <c r="D679" s="3">
        <v>0.65648965874422804</v>
      </c>
      <c r="E679" s="3">
        <v>-5.7869746773339799</v>
      </c>
      <c r="F679" s="4">
        <v>7.1665377095963899E-9</v>
      </c>
      <c r="G679" s="4">
        <v>1.2948648109546299E-7</v>
      </c>
      <c r="H679" s="3" t="str">
        <f>"AC007405.3"</f>
        <v>AC007405.3</v>
      </c>
      <c r="I679" s="3" t="str">
        <f>"lincRNA"</f>
        <v>lincRNA</v>
      </c>
    </row>
    <row r="680" spans="1:9" x14ac:dyDescent="0.2">
      <c r="A680" s="3" t="str">
        <f>"ENSG00000128683.14"</f>
        <v>ENSG00000128683.14</v>
      </c>
      <c r="B680" s="3">
        <v>254.36833248146201</v>
      </c>
      <c r="C680" s="3">
        <v>1.7993087099651901</v>
      </c>
      <c r="D680" s="3">
        <v>0.31233046492180699</v>
      </c>
      <c r="E680" s="3">
        <v>5.76091323789261</v>
      </c>
      <c r="F680" s="4">
        <v>8.3660038502483997E-9</v>
      </c>
      <c r="G680" s="4">
        <v>1.4914729046987901E-7</v>
      </c>
      <c r="H680" s="3" t="str">
        <f>"GAD1"</f>
        <v>GAD1</v>
      </c>
      <c r="I680" s="3" t="str">
        <f>"protein_coding"</f>
        <v>protein_coding</v>
      </c>
    </row>
    <row r="681" spans="1:9" x14ac:dyDescent="0.2">
      <c r="A681" s="3" t="str">
        <f>"ENSG00000123600.19"</f>
        <v>ENSG00000123600.19</v>
      </c>
      <c r="B681" s="3">
        <v>3591.8252062148599</v>
      </c>
      <c r="C681" s="3">
        <v>2.2704309793520299</v>
      </c>
      <c r="D681" s="3">
        <v>0.25201126475013402</v>
      </c>
      <c r="E681" s="3">
        <v>9.0092440177352202</v>
      </c>
      <c r="F681" s="4">
        <v>2.0748176093773901E-19</v>
      </c>
      <c r="G681" s="4">
        <v>1.07170507112707E-17</v>
      </c>
      <c r="H681" s="3" t="str">
        <f>"METTL8"</f>
        <v>METTL8</v>
      </c>
      <c r="I681" s="3" t="str">
        <f>"protein_coding"</f>
        <v>protein_coding</v>
      </c>
    </row>
    <row r="682" spans="1:9" x14ac:dyDescent="0.2">
      <c r="A682" s="3" t="str">
        <f>"ENSG00000224553.1"</f>
        <v>ENSG00000224553.1</v>
      </c>
      <c r="B682" s="3">
        <v>75.057244160481801</v>
      </c>
      <c r="C682" s="3">
        <v>3.31066268570317</v>
      </c>
      <c r="D682" s="3">
        <v>0.49407562350353901</v>
      </c>
      <c r="E682" s="3">
        <v>6.7007205541267796</v>
      </c>
      <c r="F682" s="4">
        <v>2.07394315002785E-11</v>
      </c>
      <c r="G682" s="4">
        <v>5.1399054127044802E-10</v>
      </c>
      <c r="H682" s="3" t="str">
        <f>"AC008065.1"</f>
        <v>AC008065.1</v>
      </c>
      <c r="I682" s="3" t="str">
        <f>"processed_pseudogene"</f>
        <v>processed_pseudogene</v>
      </c>
    </row>
    <row r="683" spans="1:9" x14ac:dyDescent="0.2">
      <c r="A683" s="3" t="str">
        <f>"ENSG00000115827.14"</f>
        <v>ENSG00000115827.14</v>
      </c>
      <c r="B683" s="3">
        <v>1699.34420703976</v>
      </c>
      <c r="C683" s="3">
        <v>1.14430886544719</v>
      </c>
      <c r="D683" s="3">
        <v>0.26411802195238898</v>
      </c>
      <c r="E683" s="3">
        <v>4.3325663920558402</v>
      </c>
      <c r="F683" s="4">
        <v>1.4738119804460899E-5</v>
      </c>
      <c r="G683" s="3">
        <v>1.4515951592843201E-4</v>
      </c>
      <c r="H683" s="3" t="str">
        <f>"DCAF17"</f>
        <v>DCAF17</v>
      </c>
      <c r="I683" s="3" t="str">
        <f>"protein_coding"</f>
        <v>protein_coding</v>
      </c>
    </row>
    <row r="684" spans="1:9" x14ac:dyDescent="0.2">
      <c r="A684" s="3" t="str">
        <f>"ENSG00000071967.12"</f>
        <v>ENSG00000071967.12</v>
      </c>
      <c r="B684" s="3">
        <v>132.77568980030799</v>
      </c>
      <c r="C684" s="3">
        <v>-1.9481402299469801</v>
      </c>
      <c r="D684" s="3">
        <v>0.38212829206656501</v>
      </c>
      <c r="E684" s="3">
        <v>-5.0981313616203598</v>
      </c>
      <c r="F684" s="4">
        <v>3.4302275600097001E-7</v>
      </c>
      <c r="G684" s="4">
        <v>4.6692302095261903E-6</v>
      </c>
      <c r="H684" s="3" t="str">
        <f>"CYBRD1"</f>
        <v>CYBRD1</v>
      </c>
      <c r="I684" s="3" t="str">
        <f>"protein_coding"</f>
        <v>protein_coding</v>
      </c>
    </row>
    <row r="685" spans="1:9" x14ac:dyDescent="0.2">
      <c r="A685" s="3" t="str">
        <f>"ENSG00000115840.14"</f>
        <v>ENSG00000115840.14</v>
      </c>
      <c r="B685" s="3">
        <v>260.319470234378</v>
      </c>
      <c r="C685" s="3">
        <v>1.1753673919471801</v>
      </c>
      <c r="D685" s="3">
        <v>0.31320873177533698</v>
      </c>
      <c r="E685" s="3">
        <v>3.7526648292496101</v>
      </c>
      <c r="F685" s="3">
        <v>1.7496471643340601E-4</v>
      </c>
      <c r="G685" s="3">
        <v>1.32447711161069E-3</v>
      </c>
      <c r="H685" s="3" t="str">
        <f>"SLC25A12"</f>
        <v>SLC25A12</v>
      </c>
      <c r="I685" s="3" t="str">
        <f>"protein_coding"</f>
        <v>protein_coding</v>
      </c>
    </row>
    <row r="686" spans="1:9" x14ac:dyDescent="0.2">
      <c r="A686" s="3" t="str">
        <f>"ENSG00000128708.13"</f>
        <v>ENSG00000128708.13</v>
      </c>
      <c r="B686" s="3">
        <v>2734.7552883543199</v>
      </c>
      <c r="C686" s="3">
        <v>-1.15371609831851</v>
      </c>
      <c r="D686" s="3">
        <v>0.26406030044058199</v>
      </c>
      <c r="E686" s="3">
        <v>-4.36913877774714</v>
      </c>
      <c r="F686" s="4">
        <v>1.24737482399979E-5</v>
      </c>
      <c r="G686" s="3">
        <v>1.24600718305508E-4</v>
      </c>
      <c r="H686" s="3" t="str">
        <f>"HAT1"</f>
        <v>HAT1</v>
      </c>
      <c r="I686" s="3" t="str">
        <f>"protein_coding"</f>
        <v>protein_coding</v>
      </c>
    </row>
    <row r="687" spans="1:9" x14ac:dyDescent="0.2">
      <c r="A687" s="3" t="str">
        <f>"ENSG00000144355.15"</f>
        <v>ENSG00000144355.15</v>
      </c>
      <c r="B687" s="3">
        <v>99.191632668967003</v>
      </c>
      <c r="C687" s="3">
        <v>-2.3662306676729701</v>
      </c>
      <c r="D687" s="3">
        <v>0.46284155746441502</v>
      </c>
      <c r="E687" s="3">
        <v>-5.1123988965811398</v>
      </c>
      <c r="F687" s="4">
        <v>3.1809324123310999E-7</v>
      </c>
      <c r="G687" s="4">
        <v>4.36056429603208E-6</v>
      </c>
      <c r="H687" s="3" t="str">
        <f>"DLX1"</f>
        <v>DLX1</v>
      </c>
      <c r="I687" s="3" t="str">
        <f>"protein_coding"</f>
        <v>protein_coding</v>
      </c>
    </row>
    <row r="688" spans="1:9" x14ac:dyDescent="0.2">
      <c r="A688" s="3" t="str">
        <f>"ENSG00000260868.1"</f>
        <v>ENSG00000260868.1</v>
      </c>
      <c r="B688" s="3">
        <v>18.405060441675701</v>
      </c>
      <c r="C688" s="3">
        <v>2.5107262277173699</v>
      </c>
      <c r="D688" s="3">
        <v>0.88446557509055901</v>
      </c>
      <c r="E688" s="3">
        <v>2.8386929897868498</v>
      </c>
      <c r="F688" s="3">
        <v>4.5298717383879797E-3</v>
      </c>
      <c r="G688" s="3">
        <v>2.1854415722890201E-2</v>
      </c>
      <c r="H688" s="3" t="str">
        <f>"LINC01960"</f>
        <v>LINC01960</v>
      </c>
      <c r="I688" s="3" t="str">
        <f>"lincRNA"</f>
        <v>lincRNA</v>
      </c>
    </row>
    <row r="689" spans="1:9" x14ac:dyDescent="0.2">
      <c r="A689" s="3" t="str">
        <f>"ENSG00000237380.7"</f>
        <v>ENSG00000237380.7</v>
      </c>
      <c r="B689" s="3">
        <v>19.245332863401298</v>
      </c>
      <c r="C689" s="3">
        <v>-2.2008252573112199</v>
      </c>
      <c r="D689" s="3">
        <v>0.83994844517163603</v>
      </c>
      <c r="E689" s="3">
        <v>-2.6201908819076398</v>
      </c>
      <c r="F689" s="3">
        <v>8.7880561795262609E-3</v>
      </c>
      <c r="G689" s="3">
        <v>3.7970380143590401E-2</v>
      </c>
      <c r="H689" s="3" t="str">
        <f>"HOXD-AS2"</f>
        <v>HOXD-AS2</v>
      </c>
      <c r="I689" s="3" t="str">
        <f>"antisense"</f>
        <v>antisense</v>
      </c>
    </row>
    <row r="690" spans="1:9" x14ac:dyDescent="0.2">
      <c r="A690" s="3" t="str">
        <f>"ENSG00000128652.11"</f>
        <v>ENSG00000128652.11</v>
      </c>
      <c r="B690" s="3">
        <v>30.051335717243401</v>
      </c>
      <c r="C690" s="3">
        <v>-2.2261477477126599</v>
      </c>
      <c r="D690" s="3">
        <v>0.72149848524464399</v>
      </c>
      <c r="E690" s="3">
        <v>-3.0854503415316601</v>
      </c>
      <c r="F690" s="3">
        <v>2.0324415987525699E-3</v>
      </c>
      <c r="G690" s="3">
        <v>1.1099884588931999E-2</v>
      </c>
      <c r="H690" s="3" t="str">
        <f>"HOXD3"</f>
        <v>HOXD3</v>
      </c>
      <c r="I690" s="3" t="str">
        <f>"protein_coding"</f>
        <v>protein_coding</v>
      </c>
    </row>
    <row r="691" spans="1:9" x14ac:dyDescent="0.2">
      <c r="A691" s="3" t="str">
        <f>"ENSG00000225808.1"</f>
        <v>ENSG00000225808.1</v>
      </c>
      <c r="B691" s="3">
        <v>76.347676760052494</v>
      </c>
      <c r="C691" s="3">
        <v>1.1175164992539099</v>
      </c>
      <c r="D691" s="3">
        <v>0.43386797143393901</v>
      </c>
      <c r="E691" s="3">
        <v>2.5757063734400698</v>
      </c>
      <c r="F691" s="3">
        <v>1.0003555638470401E-2</v>
      </c>
      <c r="G691" s="3">
        <v>4.2299452359341502E-2</v>
      </c>
      <c r="H691" s="3" t="str">
        <f>"DNAJC19P5"</f>
        <v>DNAJC19P5</v>
      </c>
      <c r="I691" s="3" t="str">
        <f>"processed_pseudogene"</f>
        <v>processed_pseudogene</v>
      </c>
    </row>
    <row r="692" spans="1:9" x14ac:dyDescent="0.2">
      <c r="A692" s="3" t="str">
        <f>"ENSG00000213963.6"</f>
        <v>ENSG00000213963.6</v>
      </c>
      <c r="B692" s="3">
        <v>209.43646342476299</v>
      </c>
      <c r="C692" s="3">
        <v>1.62551018636179</v>
      </c>
      <c r="D692" s="3">
        <v>0.32618344273639499</v>
      </c>
      <c r="E692" s="3">
        <v>4.9834233544326301</v>
      </c>
      <c r="F692" s="4">
        <v>6.2469065137711399E-7</v>
      </c>
      <c r="G692" s="4">
        <v>8.1546929607635307E-6</v>
      </c>
      <c r="H692" s="3" t="str">
        <f>"AC019080.1"</f>
        <v>AC019080.1</v>
      </c>
      <c r="I692" s="3" t="str">
        <f>"sense_overlapping"</f>
        <v>sense_overlapping</v>
      </c>
    </row>
    <row r="693" spans="1:9" x14ac:dyDescent="0.2">
      <c r="A693" s="3" t="str">
        <f>"ENSG00000128655.18"</f>
        <v>ENSG00000128655.18</v>
      </c>
      <c r="B693" s="3">
        <v>119.975438841738</v>
      </c>
      <c r="C693" s="3">
        <v>-1.7235296648523799</v>
      </c>
      <c r="D693" s="3">
        <v>0.38899643137914602</v>
      </c>
      <c r="E693" s="3">
        <v>-4.4307081654754201</v>
      </c>
      <c r="F693" s="4">
        <v>9.3924129248422404E-6</v>
      </c>
      <c r="G693" s="4">
        <v>9.6751083998528506E-5</v>
      </c>
      <c r="H693" s="3" t="str">
        <f>"PDE11A"</f>
        <v>PDE11A</v>
      </c>
      <c r="I693" s="3" t="str">
        <f>"protein_coding"</f>
        <v>protein_coding</v>
      </c>
    </row>
    <row r="694" spans="1:9" x14ac:dyDescent="0.2">
      <c r="A694" s="3" t="str">
        <f>"ENSG00000234663.6"</f>
        <v>ENSG00000234663.6</v>
      </c>
      <c r="B694" s="3">
        <v>182.69890900944901</v>
      </c>
      <c r="C694" s="3">
        <v>4.4972086779401499</v>
      </c>
      <c r="D694" s="3">
        <v>0.43198707622752403</v>
      </c>
      <c r="E694" s="3">
        <v>10.4105167154851</v>
      </c>
      <c r="F694" s="4">
        <v>2.2201331277085202E-25</v>
      </c>
      <c r="G694" s="4">
        <v>1.77293488341295E-23</v>
      </c>
      <c r="H694" s="3" t="str">
        <f>"LINC01934"</f>
        <v>LINC01934</v>
      </c>
      <c r="I694" s="3" t="str">
        <f>"lincRNA"</f>
        <v>lincRNA</v>
      </c>
    </row>
    <row r="695" spans="1:9" x14ac:dyDescent="0.2">
      <c r="A695" s="3" t="str">
        <f>"ENSG00000260742.1"</f>
        <v>ENSG00000260742.1</v>
      </c>
      <c r="B695" s="3">
        <v>106.186176331729</v>
      </c>
      <c r="C695" s="3">
        <v>-2.3571426644956501</v>
      </c>
      <c r="D695" s="3">
        <v>0.44603972769519501</v>
      </c>
      <c r="E695" s="3">
        <v>-5.2846025099056204</v>
      </c>
      <c r="F695" s="4">
        <v>1.25977991006566E-7</v>
      </c>
      <c r="G695" s="4">
        <v>1.86410374339421E-6</v>
      </c>
      <c r="H695" s="3" t="str">
        <f>"AC009962.1"</f>
        <v>AC009962.1</v>
      </c>
      <c r="I695" s="3" t="str">
        <f>"antisense"</f>
        <v>antisense</v>
      </c>
    </row>
    <row r="696" spans="1:9" x14ac:dyDescent="0.2">
      <c r="A696" s="3" t="str">
        <f>"ENSG00000150722.10"</f>
        <v>ENSG00000150722.10</v>
      </c>
      <c r="B696" s="3">
        <v>45.5591448432547</v>
      </c>
      <c r="C696" s="3">
        <v>-3.5117224452295699</v>
      </c>
      <c r="D696" s="3">
        <v>0.65372839650269399</v>
      </c>
      <c r="E696" s="3">
        <v>-5.3718370871091601</v>
      </c>
      <c r="F696" s="4">
        <v>7.7938508045282999E-8</v>
      </c>
      <c r="G696" s="4">
        <v>1.18605152442776E-6</v>
      </c>
      <c r="H696" s="3" t="str">
        <f>"PPP1R1C"</f>
        <v>PPP1R1C</v>
      </c>
      <c r="I696" s="3" t="str">
        <f t="shared" ref="I696:I702" si="27">"protein_coding"</f>
        <v>protein_coding</v>
      </c>
    </row>
    <row r="697" spans="1:9" x14ac:dyDescent="0.2">
      <c r="A697" s="3" t="str">
        <f>"ENSG00000204262.13"</f>
        <v>ENSG00000204262.13</v>
      </c>
      <c r="B697" s="3">
        <v>208.42275096238501</v>
      </c>
      <c r="C697" s="3">
        <v>1.58633859542276</v>
      </c>
      <c r="D697" s="3">
        <v>0.32457798614943401</v>
      </c>
      <c r="E697" s="3">
        <v>4.8873881258614302</v>
      </c>
      <c r="F697" s="4">
        <v>1.0218252505838399E-6</v>
      </c>
      <c r="G697" s="4">
        <v>1.2775354959461399E-5</v>
      </c>
      <c r="H697" s="3" t="str">
        <f>"COL5A2"</f>
        <v>COL5A2</v>
      </c>
      <c r="I697" s="3" t="str">
        <f t="shared" si="27"/>
        <v>protein_coding</v>
      </c>
    </row>
    <row r="698" spans="1:9" x14ac:dyDescent="0.2">
      <c r="A698" s="3" t="str">
        <f>"ENSG00000138449.10"</f>
        <v>ENSG00000138449.10</v>
      </c>
      <c r="B698" s="3">
        <v>5065.3009835177099</v>
      </c>
      <c r="C698" s="3">
        <v>3.3007771155407002</v>
      </c>
      <c r="D698" s="3">
        <v>0.252277223083262</v>
      </c>
      <c r="E698" s="3">
        <v>13.083928367371101</v>
      </c>
      <c r="F698" s="4">
        <v>4.0685771107507298E-39</v>
      </c>
      <c r="G698" s="4">
        <v>6.4367960516311102E-37</v>
      </c>
      <c r="H698" s="3" t="str">
        <f>"SLC40A1"</f>
        <v>SLC40A1</v>
      </c>
      <c r="I698" s="3" t="str">
        <f t="shared" si="27"/>
        <v>protein_coding</v>
      </c>
    </row>
    <row r="699" spans="1:9" x14ac:dyDescent="0.2">
      <c r="A699" s="3" t="str">
        <f>"ENSG00000151687.14"</f>
        <v>ENSG00000151687.14</v>
      </c>
      <c r="B699" s="3">
        <v>332.24680665056297</v>
      </c>
      <c r="C699" s="3">
        <v>1.05321919300266</v>
      </c>
      <c r="D699" s="3">
        <v>0.31292869934001399</v>
      </c>
      <c r="E699" s="3">
        <v>3.3656842444427899</v>
      </c>
      <c r="F699" s="3">
        <v>7.6354056415332697E-4</v>
      </c>
      <c r="G699" s="3">
        <v>4.8526687446379304E-3</v>
      </c>
      <c r="H699" s="3" t="str">
        <f>"ANKAR"</f>
        <v>ANKAR</v>
      </c>
      <c r="I699" s="3" t="str">
        <f t="shared" si="27"/>
        <v>protein_coding</v>
      </c>
    </row>
    <row r="700" spans="1:9" x14ac:dyDescent="0.2">
      <c r="A700" s="3" t="str">
        <f>"ENSG00000151689.13"</f>
        <v>ENSG00000151689.13</v>
      </c>
      <c r="B700" s="3">
        <v>1809.76915018311</v>
      </c>
      <c r="C700" s="3">
        <v>1.32646440245922</v>
      </c>
      <c r="D700" s="3">
        <v>0.25024133955691302</v>
      </c>
      <c r="E700" s="3">
        <v>5.3007404963860498</v>
      </c>
      <c r="F700" s="4">
        <v>1.1533392676035001E-7</v>
      </c>
      <c r="G700" s="4">
        <v>1.71568594184306E-6</v>
      </c>
      <c r="H700" s="3" t="str">
        <f>"INPP1"</f>
        <v>INPP1</v>
      </c>
      <c r="I700" s="3" t="str">
        <f t="shared" si="27"/>
        <v>protein_coding</v>
      </c>
    </row>
    <row r="701" spans="1:9" x14ac:dyDescent="0.2">
      <c r="A701" s="3" t="str">
        <f>"ENSG00000138386.17"</f>
        <v>ENSG00000138386.17</v>
      </c>
      <c r="B701" s="3">
        <v>1792.25441813612</v>
      </c>
      <c r="C701" s="3">
        <v>-2.04374151319599</v>
      </c>
      <c r="D701" s="3">
        <v>0.24440380265425499</v>
      </c>
      <c r="E701" s="3">
        <v>-8.3621510426626493</v>
      </c>
      <c r="F701" s="4">
        <v>6.1584927867547103E-17</v>
      </c>
      <c r="G701" s="4">
        <v>2.6942067139272102E-15</v>
      </c>
      <c r="H701" s="3" t="str">
        <f>"NAB1"</f>
        <v>NAB1</v>
      </c>
      <c r="I701" s="3" t="str">
        <f t="shared" si="27"/>
        <v>protein_coding</v>
      </c>
    </row>
    <row r="702" spans="1:9" x14ac:dyDescent="0.2">
      <c r="A702" s="3" t="str">
        <f>"ENSG00000115415.18"</f>
        <v>ENSG00000115415.18</v>
      </c>
      <c r="B702" s="3">
        <v>11561.9676117582</v>
      </c>
      <c r="C702" s="3">
        <v>1.0448248187425</v>
      </c>
      <c r="D702" s="3">
        <v>0.233806099270465</v>
      </c>
      <c r="E702" s="3">
        <v>4.4687663067927996</v>
      </c>
      <c r="F702" s="4">
        <v>7.8672023513230003E-6</v>
      </c>
      <c r="G702" s="4">
        <v>8.2914558651298005E-5</v>
      </c>
      <c r="H702" s="3" t="str">
        <f>"STAT1"</f>
        <v>STAT1</v>
      </c>
      <c r="I702" s="3" t="str">
        <f t="shared" si="27"/>
        <v>protein_coding</v>
      </c>
    </row>
    <row r="703" spans="1:9" x14ac:dyDescent="0.2">
      <c r="A703" s="3" t="str">
        <f>"ENSG00000229023.1"</f>
        <v>ENSG00000229023.1</v>
      </c>
      <c r="B703" s="3">
        <v>60.845972981852498</v>
      </c>
      <c r="C703" s="3">
        <v>1.9308676784489001</v>
      </c>
      <c r="D703" s="3">
        <v>0.49361328087948703</v>
      </c>
      <c r="E703" s="3">
        <v>3.9117012309891801</v>
      </c>
      <c r="F703" s="4">
        <v>9.1648246770286199E-5</v>
      </c>
      <c r="G703" s="3">
        <v>7.5223937378483298E-4</v>
      </c>
      <c r="H703" s="3" t="str">
        <f>"AC067945.1"</f>
        <v>AC067945.1</v>
      </c>
      <c r="I703" s="3" t="str">
        <f>"processed_pseudogene"</f>
        <v>processed_pseudogene</v>
      </c>
    </row>
    <row r="704" spans="1:9" x14ac:dyDescent="0.2">
      <c r="A704" s="3" t="str">
        <f>"ENSG00000227542.1"</f>
        <v>ENSG00000227542.1</v>
      </c>
      <c r="B704" s="3">
        <v>108.409390433982</v>
      </c>
      <c r="C704" s="3">
        <v>-1.2594468814044799</v>
      </c>
      <c r="D704" s="3">
        <v>0.39011877296300501</v>
      </c>
      <c r="E704" s="3">
        <v>-3.22836779127242</v>
      </c>
      <c r="F704" s="3">
        <v>1.24498792423428E-3</v>
      </c>
      <c r="G704" s="3">
        <v>7.3653977502618198E-3</v>
      </c>
      <c r="H704" s="3" t="str">
        <f>"AC092614.1"</f>
        <v>AC092614.1</v>
      </c>
      <c r="I704" s="3" t="str">
        <f>"lincRNA"</f>
        <v>lincRNA</v>
      </c>
    </row>
    <row r="705" spans="1:9" x14ac:dyDescent="0.2">
      <c r="A705" s="3" t="str">
        <f>"ENSG00000173559.12"</f>
        <v>ENSG00000173559.12</v>
      </c>
      <c r="B705" s="3">
        <v>5077.83062436005</v>
      </c>
      <c r="C705" s="3">
        <v>1.03051024124118</v>
      </c>
      <c r="D705" s="3">
        <v>0.26842893670616103</v>
      </c>
      <c r="E705" s="3">
        <v>3.8390430401668501</v>
      </c>
      <c r="F705" s="3">
        <v>1.2351477956246501E-4</v>
      </c>
      <c r="G705" s="3">
        <v>9.7827905538218395E-4</v>
      </c>
      <c r="H705" s="3" t="str">
        <f>"NABP1"</f>
        <v>NABP1</v>
      </c>
      <c r="I705" s="3" t="str">
        <f>"protein_coding"</f>
        <v>protein_coding</v>
      </c>
    </row>
    <row r="706" spans="1:9" x14ac:dyDescent="0.2">
      <c r="A706" s="3" t="str">
        <f>"ENSG00000168497.5"</f>
        <v>ENSG00000168497.5</v>
      </c>
      <c r="B706" s="3">
        <v>4242.0977100362297</v>
      </c>
      <c r="C706" s="3">
        <v>2.8341696952766302</v>
      </c>
      <c r="D706" s="3">
        <v>0.272937892660437</v>
      </c>
      <c r="E706" s="3">
        <v>10.383936314781399</v>
      </c>
      <c r="F706" s="4">
        <v>2.93421762816113E-25</v>
      </c>
      <c r="G706" s="4">
        <v>2.3283988781196599E-23</v>
      </c>
      <c r="H706" s="3" t="str">
        <f>"CAVIN2"</f>
        <v>CAVIN2</v>
      </c>
      <c r="I706" s="3" t="str">
        <f>"protein_coding"</f>
        <v>protein_coding</v>
      </c>
    </row>
    <row r="707" spans="1:9" x14ac:dyDescent="0.2">
      <c r="A707" s="3" t="str">
        <f>"ENSG00000233766.7"</f>
        <v>ENSG00000233766.7</v>
      </c>
      <c r="B707" s="3">
        <v>221.788723649644</v>
      </c>
      <c r="C707" s="3">
        <v>2.9208521135196199</v>
      </c>
      <c r="D707" s="3">
        <v>0.35694811894786399</v>
      </c>
      <c r="E707" s="3">
        <v>8.1828477542593205</v>
      </c>
      <c r="F707" s="4">
        <v>2.7721331050015602E-16</v>
      </c>
      <c r="G707" s="4">
        <v>1.14504118647478E-14</v>
      </c>
      <c r="H707" s="3" t="str">
        <f>"AC098617.1"</f>
        <v>AC098617.1</v>
      </c>
      <c r="I707" s="3" t="str">
        <f>"antisense"</f>
        <v>antisense</v>
      </c>
    </row>
    <row r="708" spans="1:9" x14ac:dyDescent="0.2">
      <c r="A708" s="3" t="str">
        <f>"ENSG00000196950.14"</f>
        <v>ENSG00000196950.14</v>
      </c>
      <c r="B708" s="3">
        <v>2710.8778098853199</v>
      </c>
      <c r="C708" s="3">
        <v>1.54822278300849</v>
      </c>
      <c r="D708" s="3">
        <v>0.27399267854193199</v>
      </c>
      <c r="E708" s="3">
        <v>5.6505991008498802</v>
      </c>
      <c r="F708" s="4">
        <v>1.5988959521222199E-8</v>
      </c>
      <c r="G708" s="4">
        <v>2.7342099031702602E-7</v>
      </c>
      <c r="H708" s="3" t="str">
        <f>"SLC39A10"</f>
        <v>SLC39A10</v>
      </c>
      <c r="I708" s="3" t="str">
        <f>"protein_coding"</f>
        <v>protein_coding</v>
      </c>
    </row>
    <row r="709" spans="1:9" x14ac:dyDescent="0.2">
      <c r="A709" s="3" t="str">
        <f>"ENSG00000119041.11"</f>
        <v>ENSG00000119041.11</v>
      </c>
      <c r="B709" s="3">
        <v>3269.8837632941299</v>
      </c>
      <c r="C709" s="3">
        <v>1.1875327245648399</v>
      </c>
      <c r="D709" s="3">
        <v>0.28728495836117601</v>
      </c>
      <c r="E709" s="3">
        <v>4.1336404500226802</v>
      </c>
      <c r="F709" s="4">
        <v>3.5706192412320201E-5</v>
      </c>
      <c r="G709" s="3">
        <v>3.2402210322219098E-4</v>
      </c>
      <c r="H709" s="3" t="str">
        <f>"GTF3C3"</f>
        <v>GTF3C3</v>
      </c>
      <c r="I709" s="3" t="str">
        <f>"protein_coding"</f>
        <v>protein_coding</v>
      </c>
    </row>
    <row r="710" spans="1:9" x14ac:dyDescent="0.2">
      <c r="A710" s="3" t="str">
        <f>"ENSG00000197121.15"</f>
        <v>ENSG00000197121.15</v>
      </c>
      <c r="B710" s="3">
        <v>3851.6733256737198</v>
      </c>
      <c r="C710" s="3">
        <v>2.5677310589234601</v>
      </c>
      <c r="D710" s="3">
        <v>0.25808344779435599</v>
      </c>
      <c r="E710" s="3">
        <v>9.9492279759431099</v>
      </c>
      <c r="F710" s="4">
        <v>2.5414711735594499E-23</v>
      </c>
      <c r="G710" s="4">
        <v>1.7185674024432202E-21</v>
      </c>
      <c r="H710" s="3" t="str">
        <f>"PGAP1"</f>
        <v>PGAP1</v>
      </c>
      <c r="I710" s="3" t="str">
        <f>"protein_coding"</f>
        <v>protein_coding</v>
      </c>
    </row>
    <row r="711" spans="1:9" x14ac:dyDescent="0.2">
      <c r="A711" s="3" t="str">
        <f>"ENSG00000119042.17"</f>
        <v>ENSG00000119042.17</v>
      </c>
      <c r="B711" s="3">
        <v>1242.2053541469299</v>
      </c>
      <c r="C711" s="3">
        <v>-2.50426452475859</v>
      </c>
      <c r="D711" s="3">
        <v>0.25586232765266997</v>
      </c>
      <c r="E711" s="3">
        <v>-9.7875468723089902</v>
      </c>
      <c r="F711" s="4">
        <v>1.2734801957871801E-22</v>
      </c>
      <c r="G711" s="4">
        <v>8.1099732468421305E-21</v>
      </c>
      <c r="H711" s="3" t="str">
        <f>"SATB2"</f>
        <v>SATB2</v>
      </c>
      <c r="I711" s="3" t="str">
        <f>"protein_coding"</f>
        <v>protein_coding</v>
      </c>
    </row>
    <row r="712" spans="1:9" x14ac:dyDescent="0.2">
      <c r="A712" s="3" t="str">
        <f>"ENSG00000225953.2"</f>
        <v>ENSG00000225953.2</v>
      </c>
      <c r="B712" s="3">
        <v>31.942683648759299</v>
      </c>
      <c r="C712" s="3">
        <v>-2.36787980679521</v>
      </c>
      <c r="D712" s="3">
        <v>0.66876245944709201</v>
      </c>
      <c r="E712" s="3">
        <v>-3.5406888848887901</v>
      </c>
      <c r="F712" s="3">
        <v>3.9908386251240801E-4</v>
      </c>
      <c r="G712" s="3">
        <v>2.7490663321742301E-3</v>
      </c>
      <c r="H712" s="3" t="str">
        <f>"SATB2-AS1"</f>
        <v>SATB2-AS1</v>
      </c>
      <c r="I712" s="3" t="str">
        <f>"antisense"</f>
        <v>antisense</v>
      </c>
    </row>
    <row r="713" spans="1:9" x14ac:dyDescent="0.2">
      <c r="A713" s="3" t="str">
        <f>"ENSG00000138356.14"</f>
        <v>ENSG00000138356.14</v>
      </c>
      <c r="B713" s="3">
        <v>1533.8180533782499</v>
      </c>
      <c r="C713" s="3">
        <v>2.0172254410741002</v>
      </c>
      <c r="D713" s="3">
        <v>0.25308672307514302</v>
      </c>
      <c r="E713" s="3">
        <v>7.9704909706985001</v>
      </c>
      <c r="F713" s="4">
        <v>1.5804521307522799E-15</v>
      </c>
      <c r="G713" s="4">
        <v>6.0419868311662E-14</v>
      </c>
      <c r="H713" s="3" t="str">
        <f>"AOX1"</f>
        <v>AOX1</v>
      </c>
      <c r="I713" s="3" t="str">
        <f>"protein_coding"</f>
        <v>protein_coding</v>
      </c>
    </row>
    <row r="714" spans="1:9" x14ac:dyDescent="0.2">
      <c r="A714" s="3" t="str">
        <f>"ENSG00000196290.15"</f>
        <v>ENSG00000196290.15</v>
      </c>
      <c r="B714" s="3">
        <v>921.38951218775696</v>
      </c>
      <c r="C714" s="3">
        <v>-1.08148906431183</v>
      </c>
      <c r="D714" s="3">
        <v>0.27527823295834702</v>
      </c>
      <c r="E714" s="3">
        <v>-3.9287126072022902</v>
      </c>
      <c r="F714" s="4">
        <v>8.5401827834238E-5</v>
      </c>
      <c r="G714" s="3">
        <v>7.0574342285488099E-4</v>
      </c>
      <c r="H714" s="3" t="str">
        <f>"NIF3L1"</f>
        <v>NIF3L1</v>
      </c>
      <c r="I714" s="3" t="str">
        <f>"protein_coding"</f>
        <v>protein_coding</v>
      </c>
    </row>
    <row r="715" spans="1:9" x14ac:dyDescent="0.2">
      <c r="A715" s="3" t="str">
        <f>"ENSG00000226312.7"</f>
        <v>ENSG00000226312.7</v>
      </c>
      <c r="B715" s="3">
        <v>48.330908419113797</v>
      </c>
      <c r="C715" s="3">
        <v>-1.8358378612864501</v>
      </c>
      <c r="D715" s="3">
        <v>0.60601319773075901</v>
      </c>
      <c r="E715" s="3">
        <v>-3.02936943974293</v>
      </c>
      <c r="F715" s="3">
        <v>2.45064801753605E-3</v>
      </c>
      <c r="G715" s="3">
        <v>1.30026687033186E-2</v>
      </c>
      <c r="H715" s="3" t="str">
        <f>"CFLAR-AS1"</f>
        <v>CFLAR-AS1</v>
      </c>
      <c r="I715" s="3" t="str">
        <f>"antisense"</f>
        <v>antisense</v>
      </c>
    </row>
    <row r="716" spans="1:9" x14ac:dyDescent="0.2">
      <c r="A716" s="3" t="str">
        <f>"ENSG00000003400.14"</f>
        <v>ENSG00000003400.14</v>
      </c>
      <c r="B716" s="3">
        <v>1950.5631661345401</v>
      </c>
      <c r="C716" s="3">
        <v>1.3585238157942501</v>
      </c>
      <c r="D716" s="3">
        <v>0.25801400600955399</v>
      </c>
      <c r="E716" s="3">
        <v>5.2653103480899697</v>
      </c>
      <c r="F716" s="4">
        <v>1.39952730646328E-7</v>
      </c>
      <c r="G716" s="4">
        <v>2.0599829955578601E-6</v>
      </c>
      <c r="H716" s="3" t="str">
        <f>"CASP10"</f>
        <v>CASP10</v>
      </c>
      <c r="I716" s="3" t="str">
        <f>"protein_coding"</f>
        <v>protein_coding</v>
      </c>
    </row>
    <row r="717" spans="1:9" x14ac:dyDescent="0.2">
      <c r="A717" s="3" t="str">
        <f>"ENSG00000155760.2"</f>
        <v>ENSG00000155760.2</v>
      </c>
      <c r="B717" s="3">
        <v>104.506469024784</v>
      </c>
      <c r="C717" s="3">
        <v>-1.8280380956064699</v>
      </c>
      <c r="D717" s="3">
        <v>0.42613257544136202</v>
      </c>
      <c r="E717" s="3">
        <v>-4.2898341993993299</v>
      </c>
      <c r="F717" s="4">
        <v>1.7880655673601E-5</v>
      </c>
      <c r="G717" s="3">
        <v>1.73489052478177E-4</v>
      </c>
      <c r="H717" s="3" t="str">
        <f>"FZD7"</f>
        <v>FZD7</v>
      </c>
      <c r="I717" s="3" t="str">
        <f>"protein_coding"</f>
        <v>protein_coding</v>
      </c>
    </row>
    <row r="718" spans="1:9" x14ac:dyDescent="0.2">
      <c r="A718" s="3" t="str">
        <f>"ENSG00000273456.1"</f>
        <v>ENSG00000273456.1</v>
      </c>
      <c r="B718" s="3">
        <v>54.076567642291799</v>
      </c>
      <c r="C718" s="3">
        <v>-1.8151807886158999</v>
      </c>
      <c r="D718" s="3">
        <v>0.51341896384914099</v>
      </c>
      <c r="E718" s="3">
        <v>-3.5354767089383601</v>
      </c>
      <c r="F718" s="3">
        <v>4.0704012571412499E-4</v>
      </c>
      <c r="G718" s="3">
        <v>2.7945671206642598E-3</v>
      </c>
      <c r="H718" s="3" t="str">
        <f>"AC064836.3"</f>
        <v>AC064836.3</v>
      </c>
      <c r="I718" s="3" t="str">
        <f>"lincRNA"</f>
        <v>lincRNA</v>
      </c>
    </row>
    <row r="719" spans="1:9" x14ac:dyDescent="0.2">
      <c r="A719" s="3" t="str">
        <f>"ENSG00000138380.18"</f>
        <v>ENSG00000138380.18</v>
      </c>
      <c r="B719" s="3">
        <v>233.04141333971901</v>
      </c>
      <c r="C719" s="3">
        <v>1.15571550582986</v>
      </c>
      <c r="D719" s="3">
        <v>0.35515111541849798</v>
      </c>
      <c r="E719" s="3">
        <v>3.2541514179619</v>
      </c>
      <c r="F719" s="3">
        <v>1.1373164199619101E-3</v>
      </c>
      <c r="G719" s="3">
        <v>6.8052318135446797E-3</v>
      </c>
      <c r="H719" s="3" t="str">
        <f>"CARF"</f>
        <v>CARF</v>
      </c>
      <c r="I719" s="3" t="str">
        <f t="shared" ref="I719:I725" si="28">"protein_coding"</f>
        <v>protein_coding</v>
      </c>
    </row>
    <row r="720" spans="1:9" x14ac:dyDescent="0.2">
      <c r="A720" s="3" t="str">
        <f>"ENSG00000116117.18"</f>
        <v>ENSG00000116117.18</v>
      </c>
      <c r="B720" s="3">
        <v>1501.50369212123</v>
      </c>
      <c r="C720" s="3">
        <v>1.52527091782627</v>
      </c>
      <c r="D720" s="3">
        <v>0.24499418058276201</v>
      </c>
      <c r="E720" s="3">
        <v>6.2257434613268803</v>
      </c>
      <c r="F720" s="4">
        <v>4.7927775429043201E-10</v>
      </c>
      <c r="G720" s="4">
        <v>1.02171456857422E-8</v>
      </c>
      <c r="H720" s="3" t="str">
        <f>"PARD3B"</f>
        <v>PARD3B</v>
      </c>
      <c r="I720" s="3" t="str">
        <f t="shared" si="28"/>
        <v>protein_coding</v>
      </c>
    </row>
    <row r="721" spans="1:9" x14ac:dyDescent="0.2">
      <c r="A721" s="3" t="str">
        <f>"ENSG00000118257.16"</f>
        <v>ENSG00000118257.16</v>
      </c>
      <c r="B721" s="3">
        <v>5217.3785190788703</v>
      </c>
      <c r="C721" s="3">
        <v>3.1791111820393998</v>
      </c>
      <c r="D721" s="3">
        <v>0.25776504783446302</v>
      </c>
      <c r="E721" s="3">
        <v>12.3333679594956</v>
      </c>
      <c r="F721" s="4">
        <v>5.9890119710546196E-35</v>
      </c>
      <c r="G721" s="4">
        <v>7.5326798065939397E-33</v>
      </c>
      <c r="H721" s="3" t="str">
        <f>"NRP2"</f>
        <v>NRP2</v>
      </c>
      <c r="I721" s="3" t="str">
        <f t="shared" si="28"/>
        <v>protein_coding</v>
      </c>
    </row>
    <row r="722" spans="1:9" x14ac:dyDescent="0.2">
      <c r="A722" s="3" t="str">
        <f>"ENSG00000204186.9"</f>
        <v>ENSG00000204186.9</v>
      </c>
      <c r="B722" s="3">
        <v>549.088533061931</v>
      </c>
      <c r="C722" s="3">
        <v>-1.2474625722468</v>
      </c>
      <c r="D722" s="3">
        <v>0.29158724738881098</v>
      </c>
      <c r="E722" s="3">
        <v>-4.2781794588684603</v>
      </c>
      <c r="F722" s="4">
        <v>1.8842808371528499E-5</v>
      </c>
      <c r="G722" s="3">
        <v>1.81605687580766E-4</v>
      </c>
      <c r="H722" s="3" t="str">
        <f>"ZDBF2"</f>
        <v>ZDBF2</v>
      </c>
      <c r="I722" s="3" t="str">
        <f t="shared" si="28"/>
        <v>protein_coding</v>
      </c>
    </row>
    <row r="723" spans="1:9" x14ac:dyDescent="0.2">
      <c r="A723" s="3" t="str">
        <f>"ENSG00000114948.13"</f>
        <v>ENSG00000114948.13</v>
      </c>
      <c r="B723" s="3">
        <v>215.18793479035401</v>
      </c>
      <c r="C723" s="3">
        <v>2.4494203533500198</v>
      </c>
      <c r="D723" s="3">
        <v>0.35032388324293001</v>
      </c>
      <c r="E723" s="3">
        <v>6.9918737217567397</v>
      </c>
      <c r="F723" s="4">
        <v>2.7123897272735602E-12</v>
      </c>
      <c r="G723" s="4">
        <v>7.4568484797340199E-11</v>
      </c>
      <c r="H723" s="3" t="str">
        <f>"ADAM23"</f>
        <v>ADAM23</v>
      </c>
      <c r="I723" s="3" t="str">
        <f t="shared" si="28"/>
        <v>protein_coding</v>
      </c>
    </row>
    <row r="724" spans="1:9" x14ac:dyDescent="0.2">
      <c r="A724" s="3" t="str">
        <f>"ENSG00000138400.13"</f>
        <v>ENSG00000138400.13</v>
      </c>
      <c r="B724" s="3">
        <v>38.6675209699034</v>
      </c>
      <c r="C724" s="3">
        <v>-1.48591113446912</v>
      </c>
      <c r="D724" s="3">
        <v>0.57959646487638194</v>
      </c>
      <c r="E724" s="3">
        <v>-2.56369944351892</v>
      </c>
      <c r="F724" s="3">
        <v>1.0356318144315001E-2</v>
      </c>
      <c r="G724" s="3">
        <v>4.3483167605706301E-2</v>
      </c>
      <c r="H724" s="3" t="str">
        <f>"MDH1B"</f>
        <v>MDH1B</v>
      </c>
      <c r="I724" s="3" t="str">
        <f t="shared" si="28"/>
        <v>protein_coding</v>
      </c>
    </row>
    <row r="725" spans="1:9" x14ac:dyDescent="0.2">
      <c r="A725" s="3" t="str">
        <f>"ENSG00000178385.15"</f>
        <v>ENSG00000178385.15</v>
      </c>
      <c r="B725" s="3">
        <v>1818.57374732419</v>
      </c>
      <c r="C725" s="3">
        <v>1.2899068325791001</v>
      </c>
      <c r="D725" s="3">
        <v>0.24336525757506899</v>
      </c>
      <c r="E725" s="3">
        <v>5.3002916087199097</v>
      </c>
      <c r="F725" s="4">
        <v>1.15617865040404E-7</v>
      </c>
      <c r="G725" s="4">
        <v>1.7178779652045899E-6</v>
      </c>
      <c r="H725" s="3" t="str">
        <f>"PLEKHM3"</f>
        <v>PLEKHM3</v>
      </c>
      <c r="I725" s="3" t="str">
        <f t="shared" si="28"/>
        <v>protein_coding</v>
      </c>
    </row>
    <row r="726" spans="1:9" x14ac:dyDescent="0.2">
      <c r="A726" s="3" t="str">
        <f>"ENSG00000225111.1"</f>
        <v>ENSG00000225111.1</v>
      </c>
      <c r="B726" s="3">
        <v>174.657509983382</v>
      </c>
      <c r="C726" s="3">
        <v>2.5369245751087401</v>
      </c>
      <c r="D726" s="3">
        <v>0.39346716132521398</v>
      </c>
      <c r="E726" s="3">
        <v>6.4476145012058197</v>
      </c>
      <c r="F726" s="4">
        <v>1.13624325355818E-10</v>
      </c>
      <c r="G726" s="4">
        <v>2.5913145098146998E-9</v>
      </c>
      <c r="H726" s="3" t="str">
        <f>"AC083900.1"</f>
        <v>AC083900.1</v>
      </c>
      <c r="I726" s="3" t="str">
        <f>"sense_intronic"</f>
        <v>sense_intronic</v>
      </c>
    </row>
    <row r="727" spans="1:9" x14ac:dyDescent="0.2">
      <c r="A727" s="3" t="str">
        <f>"ENSG00000115365.11"</f>
        <v>ENSG00000115365.11</v>
      </c>
      <c r="B727" s="3">
        <v>3564.5548014033402</v>
      </c>
      <c r="C727" s="3">
        <v>-1.03427071500376</v>
      </c>
      <c r="D727" s="3">
        <v>0.244150807293705</v>
      </c>
      <c r="E727" s="3">
        <v>-4.2361961709983902</v>
      </c>
      <c r="F727" s="4">
        <v>2.2733817999298499E-5</v>
      </c>
      <c r="G727" s="3">
        <v>2.15150185015934E-4</v>
      </c>
      <c r="H727" s="3" t="str">
        <f>"LANCL1"</f>
        <v>LANCL1</v>
      </c>
      <c r="I727" s="3" t="str">
        <f>"protein_coding"</f>
        <v>protein_coding</v>
      </c>
    </row>
    <row r="728" spans="1:9" x14ac:dyDescent="0.2">
      <c r="A728" s="3" t="str">
        <f>"ENSG00000197585.9"</f>
        <v>ENSG00000197585.9</v>
      </c>
      <c r="B728" s="3">
        <v>11.749211230599499</v>
      </c>
      <c r="C728" s="3">
        <v>3.1334470706434598</v>
      </c>
      <c r="D728" s="3">
        <v>1.1805257277827701</v>
      </c>
      <c r="E728" s="3">
        <v>2.65428105199249</v>
      </c>
      <c r="F728" s="3">
        <v>7.9477598937086405E-3</v>
      </c>
      <c r="G728" s="3">
        <v>3.48121017109944E-2</v>
      </c>
      <c r="H728" s="3" t="str">
        <f>"AC068051.1"</f>
        <v>AC068051.1</v>
      </c>
      <c r="I728" s="3" t="str">
        <f>"antisense"</f>
        <v>antisense</v>
      </c>
    </row>
    <row r="729" spans="1:9" x14ac:dyDescent="0.2">
      <c r="A729" s="3" t="str">
        <f>"ENSG00000138376.11"</f>
        <v>ENSG00000138376.11</v>
      </c>
      <c r="B729" s="3">
        <v>1032.28282781494</v>
      </c>
      <c r="C729" s="3">
        <v>-1.4261845789290899</v>
      </c>
      <c r="D729" s="3">
        <v>0.274263961171892</v>
      </c>
      <c r="E729" s="3">
        <v>-5.2000436835930097</v>
      </c>
      <c r="F729" s="4">
        <v>1.9924169380077799E-7</v>
      </c>
      <c r="G729" s="4">
        <v>2.8444522176836401E-6</v>
      </c>
      <c r="H729" s="3" t="str">
        <f>"BARD1"</f>
        <v>BARD1</v>
      </c>
      <c r="I729" s="3" t="str">
        <f>"protein_coding"</f>
        <v>protein_coding</v>
      </c>
    </row>
    <row r="730" spans="1:9" x14ac:dyDescent="0.2">
      <c r="A730" s="3" t="str">
        <f>"ENSG00000229267.2"</f>
        <v>ENSG00000229267.2</v>
      </c>
      <c r="B730" s="3">
        <v>37.780111766359703</v>
      </c>
      <c r="C730" s="3">
        <v>-1.6539604114326301</v>
      </c>
      <c r="D730" s="3">
        <v>0.59152337173798097</v>
      </c>
      <c r="E730" s="3">
        <v>-2.79610323185211</v>
      </c>
      <c r="F730" s="3">
        <v>5.1722876347949902E-3</v>
      </c>
      <c r="G730" s="3">
        <v>2.43877967110156E-2</v>
      </c>
      <c r="H730" s="3" t="str">
        <f>"AC016708.1"</f>
        <v>AC016708.1</v>
      </c>
      <c r="I730" s="3" t="str">
        <f>"antisense"</f>
        <v>antisense</v>
      </c>
    </row>
    <row r="731" spans="1:9" x14ac:dyDescent="0.2">
      <c r="A731" s="3" t="str">
        <f>"ENSG00000144452.15"</f>
        <v>ENSG00000144452.15</v>
      </c>
      <c r="B731" s="3">
        <v>5430.6313809959001</v>
      </c>
      <c r="C731" s="3">
        <v>7.1047878062911201</v>
      </c>
      <c r="D731" s="3">
        <v>0.34714446740710098</v>
      </c>
      <c r="E731" s="3">
        <v>20.466371995954201</v>
      </c>
      <c r="F731" s="4">
        <v>4.2942397446635603E-93</v>
      </c>
      <c r="G731" s="4">
        <v>4.5009000323755003E-90</v>
      </c>
      <c r="H731" s="3" t="str">
        <f>"ABCA12"</f>
        <v>ABCA12</v>
      </c>
      <c r="I731" s="3" t="str">
        <f t="shared" ref="I731:I755" si="29">"protein_coding"</f>
        <v>protein_coding</v>
      </c>
    </row>
    <row r="732" spans="1:9" x14ac:dyDescent="0.2">
      <c r="A732" s="3" t="str">
        <f>"ENSG00000115425.14"</f>
        <v>ENSG00000115425.14</v>
      </c>
      <c r="B732" s="3">
        <v>1051.8759047133101</v>
      </c>
      <c r="C732" s="3">
        <v>-1.14201641053429</v>
      </c>
      <c r="D732" s="3">
        <v>0.25762537273700198</v>
      </c>
      <c r="E732" s="3">
        <v>-4.4328568976011704</v>
      </c>
      <c r="F732" s="4">
        <v>9.2992590636830392E-6</v>
      </c>
      <c r="G732" s="4">
        <v>9.6066883674310902E-5</v>
      </c>
      <c r="H732" s="3" t="str">
        <f>"PECR"</f>
        <v>PECR</v>
      </c>
      <c r="I732" s="3" t="str">
        <f t="shared" si="29"/>
        <v>protein_coding</v>
      </c>
    </row>
    <row r="733" spans="1:9" x14ac:dyDescent="0.2">
      <c r="A733" s="3" t="str">
        <f>"ENSG00000163449.11"</f>
        <v>ENSG00000163449.11</v>
      </c>
      <c r="B733" s="3">
        <v>168.942012192448</v>
      </c>
      <c r="C733" s="3">
        <v>-2.0251100682983201</v>
      </c>
      <c r="D733" s="3">
        <v>0.348101984176174</v>
      </c>
      <c r="E733" s="3">
        <v>-5.8175769181293102</v>
      </c>
      <c r="F733" s="4">
        <v>5.9706790095045199E-9</v>
      </c>
      <c r="G733" s="4">
        <v>1.09310356975317E-7</v>
      </c>
      <c r="H733" s="3" t="str">
        <f>"TMEM169"</f>
        <v>TMEM169</v>
      </c>
      <c r="I733" s="3" t="str">
        <f t="shared" si="29"/>
        <v>protein_coding</v>
      </c>
    </row>
    <row r="734" spans="1:9" x14ac:dyDescent="0.2">
      <c r="A734" s="3" t="str">
        <f>"ENSG00000115457.10"</f>
        <v>ENSG00000115457.10</v>
      </c>
      <c r="B734" s="3">
        <v>98.210417752598701</v>
      </c>
      <c r="C734" s="3">
        <v>3.2872763121989301</v>
      </c>
      <c r="D734" s="3">
        <v>0.45846628772263098</v>
      </c>
      <c r="E734" s="3">
        <v>7.17015929028942</v>
      </c>
      <c r="F734" s="4">
        <v>7.4910553752353898E-13</v>
      </c>
      <c r="G734" s="4">
        <v>2.1885888265278298E-11</v>
      </c>
      <c r="H734" s="3" t="str">
        <f>"IGFBP2"</f>
        <v>IGFBP2</v>
      </c>
      <c r="I734" s="3" t="str">
        <f t="shared" si="29"/>
        <v>protein_coding</v>
      </c>
    </row>
    <row r="735" spans="1:9" x14ac:dyDescent="0.2">
      <c r="A735" s="3" t="str">
        <f>"ENSG00000180871.8"</f>
        <v>ENSG00000180871.8</v>
      </c>
      <c r="B735" s="3">
        <v>118.272961790053</v>
      </c>
      <c r="C735" s="3">
        <v>4.4226022217457599</v>
      </c>
      <c r="D735" s="3">
        <v>0.48862569659906502</v>
      </c>
      <c r="E735" s="3">
        <v>9.0511044599741304</v>
      </c>
      <c r="F735" s="4">
        <v>1.4152947738969601E-19</v>
      </c>
      <c r="G735" s="4">
        <v>7.4325135777407106E-18</v>
      </c>
      <c r="H735" s="3" t="str">
        <f>"CXCR2"</f>
        <v>CXCR2</v>
      </c>
      <c r="I735" s="3" t="str">
        <f t="shared" si="29"/>
        <v>protein_coding</v>
      </c>
    </row>
    <row r="736" spans="1:9" x14ac:dyDescent="0.2">
      <c r="A736" s="3" t="str">
        <f>"ENSG00000135926.15"</f>
        <v>ENSG00000135926.15</v>
      </c>
      <c r="B736" s="3">
        <v>8721.9111354728902</v>
      </c>
      <c r="C736" s="3">
        <v>1.9843039598159899</v>
      </c>
      <c r="D736" s="3">
        <v>0.25561402851394999</v>
      </c>
      <c r="E736" s="3">
        <v>7.7628914631643404</v>
      </c>
      <c r="F736" s="4">
        <v>8.3014652442336E-15</v>
      </c>
      <c r="G736" s="4">
        <v>2.9411740594182598E-13</v>
      </c>
      <c r="H736" s="3" t="str">
        <f>"TMBIM1"</f>
        <v>TMBIM1</v>
      </c>
      <c r="I736" s="3" t="str">
        <f t="shared" si="29"/>
        <v>protein_coding</v>
      </c>
    </row>
    <row r="737" spans="1:9" x14ac:dyDescent="0.2">
      <c r="A737" s="3" t="str">
        <f>"ENSG00000158428.4"</f>
        <v>ENSG00000158428.4</v>
      </c>
      <c r="B737" s="3">
        <v>243.74995426545499</v>
      </c>
      <c r="C737" s="3">
        <v>6.5309036987772799</v>
      </c>
      <c r="D737" s="3">
        <v>0.53549412769149596</v>
      </c>
      <c r="E737" s="3">
        <v>12.196032339200199</v>
      </c>
      <c r="F737" s="4">
        <v>3.2634180954237599E-34</v>
      </c>
      <c r="G737" s="4">
        <v>4.0240824603129699E-32</v>
      </c>
      <c r="H737" s="3" t="str">
        <f>"CATIP"</f>
        <v>CATIP</v>
      </c>
      <c r="I737" s="3" t="str">
        <f t="shared" si="29"/>
        <v>protein_coding</v>
      </c>
    </row>
    <row r="738" spans="1:9" x14ac:dyDescent="0.2">
      <c r="A738" s="3" t="str">
        <f>"ENSG00000127831.10"</f>
        <v>ENSG00000127831.10</v>
      </c>
      <c r="B738" s="3">
        <v>4274.5239558886797</v>
      </c>
      <c r="C738" s="3">
        <v>-1.0523587966408301</v>
      </c>
      <c r="D738" s="3">
        <v>0.25828792294505099</v>
      </c>
      <c r="E738" s="3">
        <v>-4.0743631550465897</v>
      </c>
      <c r="F738" s="4">
        <v>4.6140434471953601E-5</v>
      </c>
      <c r="G738" s="3">
        <v>4.0767918129328901E-4</v>
      </c>
      <c r="H738" s="3" t="str">
        <f>"VIL1"</f>
        <v>VIL1</v>
      </c>
      <c r="I738" s="3" t="str">
        <f t="shared" si="29"/>
        <v>protein_coding</v>
      </c>
    </row>
    <row r="739" spans="1:9" x14ac:dyDescent="0.2">
      <c r="A739" s="3" t="str">
        <f>"ENSG00000144580.13"</f>
        <v>ENSG00000144580.13</v>
      </c>
      <c r="B739" s="3">
        <v>4169.1374889496001</v>
      </c>
      <c r="C739" s="3">
        <v>-1.45687301726801</v>
      </c>
      <c r="D739" s="3">
        <v>0.24134021850370699</v>
      </c>
      <c r="E739" s="3">
        <v>-6.0365944238408398</v>
      </c>
      <c r="F739" s="4">
        <v>1.5740066484760101E-9</v>
      </c>
      <c r="G739" s="4">
        <v>3.1103014330254502E-8</v>
      </c>
      <c r="H739" s="3" t="str">
        <f>"CNOT9"</f>
        <v>CNOT9</v>
      </c>
      <c r="I739" s="3" t="str">
        <f t="shared" si="29"/>
        <v>protein_coding</v>
      </c>
    </row>
    <row r="740" spans="1:9" x14ac:dyDescent="0.2">
      <c r="A740" s="3" t="str">
        <f>"ENSG00000115596.4"</f>
        <v>ENSG00000115596.4</v>
      </c>
      <c r="B740" s="3">
        <v>24.659268540337202</v>
      </c>
      <c r="C740" s="3">
        <v>-2.6982844208121199</v>
      </c>
      <c r="D740" s="3">
        <v>0.79088860457367705</v>
      </c>
      <c r="E740" s="3">
        <v>-3.4117123514083301</v>
      </c>
      <c r="F740" s="3">
        <v>6.4556196893638795E-4</v>
      </c>
      <c r="G740" s="3">
        <v>4.19353134188237E-3</v>
      </c>
      <c r="H740" s="3" t="str">
        <f>"WNT6"</f>
        <v>WNT6</v>
      </c>
      <c r="I740" s="3" t="str">
        <f t="shared" si="29"/>
        <v>protein_coding</v>
      </c>
    </row>
    <row r="741" spans="1:9" x14ac:dyDescent="0.2">
      <c r="A741" s="3" t="str">
        <f>"ENSG00000171450.5"</f>
        <v>ENSG00000171450.5</v>
      </c>
      <c r="B741" s="3">
        <v>4.7960985684072801</v>
      </c>
      <c r="C741" s="3">
        <v>-5.6495419353949101</v>
      </c>
      <c r="D741" s="3">
        <v>2.0362999726328699</v>
      </c>
      <c r="E741" s="3">
        <v>-2.7744153667547402</v>
      </c>
      <c r="F741" s="3">
        <v>5.5301020895980602E-3</v>
      </c>
      <c r="G741" s="3">
        <v>2.5727708167900699E-2</v>
      </c>
      <c r="H741" s="3" t="str">
        <f>"CDK5R2"</f>
        <v>CDK5R2</v>
      </c>
      <c r="I741" s="3" t="str">
        <f t="shared" si="29"/>
        <v>protein_coding</v>
      </c>
    </row>
    <row r="742" spans="1:9" x14ac:dyDescent="0.2">
      <c r="A742" s="3" t="str">
        <f>"ENSG00000127824.14"</f>
        <v>ENSG00000127824.14</v>
      </c>
      <c r="B742" s="3">
        <v>712.52692443229205</v>
      </c>
      <c r="C742" s="3">
        <v>-2.1888265560596198</v>
      </c>
      <c r="D742" s="3">
        <v>0.30875757305759599</v>
      </c>
      <c r="E742" s="3">
        <v>-7.0891428973996797</v>
      </c>
      <c r="F742" s="4">
        <v>1.34945132387207E-12</v>
      </c>
      <c r="G742" s="4">
        <v>3.8350327975106999E-11</v>
      </c>
      <c r="H742" s="3" t="str">
        <f>"TUBA4A"</f>
        <v>TUBA4A</v>
      </c>
      <c r="I742" s="3" t="str">
        <f t="shared" si="29"/>
        <v>protein_coding</v>
      </c>
    </row>
    <row r="743" spans="1:9" x14ac:dyDescent="0.2">
      <c r="A743" s="3" t="str">
        <f>"ENSG00000243910.7"</f>
        <v>ENSG00000243910.7</v>
      </c>
      <c r="B743" s="3">
        <v>142.28446026235599</v>
      </c>
      <c r="C743" s="3">
        <v>6.3062583810915704</v>
      </c>
      <c r="D743" s="3">
        <v>1.7817040826080801</v>
      </c>
      <c r="E743" s="3">
        <v>3.5394532923000401</v>
      </c>
      <c r="F743" s="3">
        <v>4.00956716919021E-4</v>
      </c>
      <c r="G743" s="3">
        <v>2.7602808467701101E-3</v>
      </c>
      <c r="H743" s="3" t="str">
        <f>"TUBA4B"</f>
        <v>TUBA4B</v>
      </c>
      <c r="I743" s="3" t="str">
        <f t="shared" si="29"/>
        <v>protein_coding</v>
      </c>
    </row>
    <row r="744" spans="1:9" x14ac:dyDescent="0.2">
      <c r="A744" s="3" t="str">
        <f>"ENSG00000123992.19"</f>
        <v>ENSG00000123992.19</v>
      </c>
      <c r="B744" s="3">
        <v>1310.6905510444799</v>
      </c>
      <c r="C744" s="3">
        <v>-1.7658060722787801</v>
      </c>
      <c r="D744" s="3">
        <v>0.28857694068450801</v>
      </c>
      <c r="E744" s="3">
        <v>-6.1190130718354201</v>
      </c>
      <c r="F744" s="4">
        <v>9.4156681334553793E-10</v>
      </c>
      <c r="G744" s="4">
        <v>1.9240546864099901E-8</v>
      </c>
      <c r="H744" s="3" t="str">
        <f>"DNPEP"</f>
        <v>DNPEP</v>
      </c>
      <c r="I744" s="3" t="str">
        <f t="shared" si="29"/>
        <v>protein_coding</v>
      </c>
    </row>
    <row r="745" spans="1:9" x14ac:dyDescent="0.2">
      <c r="A745" s="3" t="str">
        <f>"ENSG00000175084.11"</f>
        <v>ENSG00000175084.11</v>
      </c>
      <c r="B745" s="3">
        <v>21.162729034196399</v>
      </c>
      <c r="C745" s="3">
        <v>3.4146303515188698</v>
      </c>
      <c r="D745" s="3">
        <v>0.93991132710543401</v>
      </c>
      <c r="E745" s="3">
        <v>3.6329281848689101</v>
      </c>
      <c r="F745" s="3">
        <v>2.8022302891768201E-4</v>
      </c>
      <c r="G745" s="3">
        <v>2.0157307098725499E-3</v>
      </c>
      <c r="H745" s="3" t="str">
        <f>"DES"</f>
        <v>DES</v>
      </c>
      <c r="I745" s="3" t="str">
        <f t="shared" si="29"/>
        <v>protein_coding</v>
      </c>
    </row>
    <row r="746" spans="1:9" x14ac:dyDescent="0.2">
      <c r="A746" s="3" t="str">
        <f>"ENSG00000072195.15"</f>
        <v>ENSG00000072195.15</v>
      </c>
      <c r="B746" s="3">
        <v>88.266726993759406</v>
      </c>
      <c r="C746" s="3">
        <v>3.5248188402818998</v>
      </c>
      <c r="D746" s="3">
        <v>0.476085762156502</v>
      </c>
      <c r="E746" s="3">
        <v>7.4037476447850699</v>
      </c>
      <c r="F746" s="4">
        <v>1.3239391120882899E-13</v>
      </c>
      <c r="G746" s="4">
        <v>4.2209997927225399E-12</v>
      </c>
      <c r="H746" s="3" t="str">
        <f>"SPEG"</f>
        <v>SPEG</v>
      </c>
      <c r="I746" s="3" t="str">
        <f t="shared" si="29"/>
        <v>protein_coding</v>
      </c>
    </row>
    <row r="747" spans="1:9" x14ac:dyDescent="0.2">
      <c r="A747" s="3" t="str">
        <f>"ENSG00000072182.12"</f>
        <v>ENSG00000072182.12</v>
      </c>
      <c r="B747" s="3">
        <v>13.4337643627213</v>
      </c>
      <c r="C747" s="3">
        <v>3.4123135274587399</v>
      </c>
      <c r="D747" s="3">
        <v>1.11898013717152</v>
      </c>
      <c r="E747" s="3">
        <v>3.0494853430411699</v>
      </c>
      <c r="F747" s="3">
        <v>2.29233818238414E-3</v>
      </c>
      <c r="G747" s="3">
        <v>1.23002915908432E-2</v>
      </c>
      <c r="H747" s="3" t="str">
        <f>"ASIC4"</f>
        <v>ASIC4</v>
      </c>
      <c r="I747" s="3" t="str">
        <f t="shared" si="29"/>
        <v>protein_coding</v>
      </c>
    </row>
    <row r="748" spans="1:9" x14ac:dyDescent="0.2">
      <c r="A748" s="3" t="str">
        <f>"ENSG00000188760.10"</f>
        <v>ENSG00000188760.10</v>
      </c>
      <c r="B748" s="3">
        <v>354.52062620789502</v>
      </c>
      <c r="C748" s="3">
        <v>-1.6765027740088401</v>
      </c>
      <c r="D748" s="3">
        <v>0.32278264675908003</v>
      </c>
      <c r="E748" s="3">
        <v>-5.1939061496703101</v>
      </c>
      <c r="F748" s="4">
        <v>2.0592697921880599E-7</v>
      </c>
      <c r="G748" s="4">
        <v>2.92991694697345E-6</v>
      </c>
      <c r="H748" s="3" t="str">
        <f>"TMEM198"</f>
        <v>TMEM198</v>
      </c>
      <c r="I748" s="3" t="str">
        <f t="shared" si="29"/>
        <v>protein_coding</v>
      </c>
    </row>
    <row r="749" spans="1:9" x14ac:dyDescent="0.2">
      <c r="A749" s="3" t="str">
        <f>"ENSG00000114923.17"</f>
        <v>ENSG00000114923.17</v>
      </c>
      <c r="B749" s="3">
        <v>59.980695292545597</v>
      </c>
      <c r="C749" s="3">
        <v>-1.6152454184793399</v>
      </c>
      <c r="D749" s="3">
        <v>0.527573958858925</v>
      </c>
      <c r="E749" s="3">
        <v>-3.0616473602543</v>
      </c>
      <c r="F749" s="3">
        <v>2.20122612111333E-3</v>
      </c>
      <c r="G749" s="3">
        <v>1.1874725086126E-2</v>
      </c>
      <c r="H749" s="3" t="str">
        <f>"SLC4A3"</f>
        <v>SLC4A3</v>
      </c>
      <c r="I749" s="3" t="str">
        <f t="shared" si="29"/>
        <v>protein_coding</v>
      </c>
    </row>
    <row r="750" spans="1:9" x14ac:dyDescent="0.2">
      <c r="A750" s="3" t="str">
        <f>"ENSG00000124003.12"</f>
        <v>ENSG00000124003.12</v>
      </c>
      <c r="B750" s="3">
        <v>38.655703464337797</v>
      </c>
      <c r="C750" s="3">
        <v>-2.0172200462635099</v>
      </c>
      <c r="D750" s="3">
        <v>0.605095177258968</v>
      </c>
      <c r="E750" s="3">
        <v>-3.3337235563524898</v>
      </c>
      <c r="F750" s="3">
        <v>8.5691778338225805E-4</v>
      </c>
      <c r="G750" s="3">
        <v>5.3501531002682302E-3</v>
      </c>
      <c r="H750" s="3" t="str">
        <f>"MOGAT1"</f>
        <v>MOGAT1</v>
      </c>
      <c r="I750" s="3" t="str">
        <f t="shared" si="29"/>
        <v>protein_coding</v>
      </c>
    </row>
    <row r="751" spans="1:9" x14ac:dyDescent="0.2">
      <c r="A751" s="3" t="str">
        <f>"ENSG00000123983.14"</f>
        <v>ENSG00000123983.14</v>
      </c>
      <c r="B751" s="3">
        <v>12738.9892456571</v>
      </c>
      <c r="C751" s="3">
        <v>1.02214147553923</v>
      </c>
      <c r="D751" s="3">
        <v>0.24883627343766501</v>
      </c>
      <c r="E751" s="3">
        <v>4.1076867991084098</v>
      </c>
      <c r="F751" s="4">
        <v>3.9964152970792702E-5</v>
      </c>
      <c r="G751" s="3">
        <v>3.5813974634139298E-4</v>
      </c>
      <c r="H751" s="3" t="str">
        <f>"ACSL3"</f>
        <v>ACSL3</v>
      </c>
      <c r="I751" s="3" t="str">
        <f t="shared" si="29"/>
        <v>protein_coding</v>
      </c>
    </row>
    <row r="752" spans="1:9" x14ac:dyDescent="0.2">
      <c r="A752" s="3" t="str">
        <f>"ENSG00000152049.6"</f>
        <v>ENSG00000152049.6</v>
      </c>
      <c r="B752" s="3">
        <v>25.818153881476199</v>
      </c>
      <c r="C752" s="3">
        <v>2.52456765286699</v>
      </c>
      <c r="D752" s="3">
        <v>0.72590229853184596</v>
      </c>
      <c r="E752" s="3">
        <v>3.4778339426297298</v>
      </c>
      <c r="F752" s="3">
        <v>5.0548296899125802E-4</v>
      </c>
      <c r="G752" s="3">
        <v>3.3745817635284299E-3</v>
      </c>
      <c r="H752" s="3" t="str">
        <f>"KCNE4"</f>
        <v>KCNE4</v>
      </c>
      <c r="I752" s="3" t="str">
        <f t="shared" si="29"/>
        <v>protein_coding</v>
      </c>
    </row>
    <row r="753" spans="1:9" x14ac:dyDescent="0.2">
      <c r="A753" s="3" t="str">
        <f>"ENSG00000152056.17"</f>
        <v>ENSG00000152056.17</v>
      </c>
      <c r="B753" s="3">
        <v>430.36470493748101</v>
      </c>
      <c r="C753" s="3">
        <v>2.1860868071658799</v>
      </c>
      <c r="D753" s="3">
        <v>0.28630889037687901</v>
      </c>
      <c r="E753" s="3">
        <v>7.63541364114909</v>
      </c>
      <c r="F753" s="4">
        <v>2.2509654850749699E-14</v>
      </c>
      <c r="G753" s="4">
        <v>7.6414354624913502E-13</v>
      </c>
      <c r="H753" s="3" t="str">
        <f>"AP1S3"</f>
        <v>AP1S3</v>
      </c>
      <c r="I753" s="3" t="str">
        <f t="shared" si="29"/>
        <v>protein_coding</v>
      </c>
    </row>
    <row r="754" spans="1:9" x14ac:dyDescent="0.2">
      <c r="A754" s="3" t="str">
        <f>"ENSG00000135919.13"</f>
        <v>ENSG00000135919.13</v>
      </c>
      <c r="B754" s="3">
        <v>6134.5945916461997</v>
      </c>
      <c r="C754" s="3">
        <v>2.1341408041790699</v>
      </c>
      <c r="D754" s="3">
        <v>0.235448876741886</v>
      </c>
      <c r="E754" s="3">
        <v>9.0641366980003006</v>
      </c>
      <c r="F754" s="4">
        <v>1.2559484937072499E-19</v>
      </c>
      <c r="G754" s="4">
        <v>6.6233510187014398E-18</v>
      </c>
      <c r="H754" s="3" t="str">
        <f>"SERPINE2"</f>
        <v>SERPINE2</v>
      </c>
      <c r="I754" s="3" t="str">
        <f t="shared" si="29"/>
        <v>protein_coding</v>
      </c>
    </row>
    <row r="755" spans="1:9" x14ac:dyDescent="0.2">
      <c r="A755" s="3" t="str">
        <f>"ENSG00000135905.19"</f>
        <v>ENSG00000135905.19</v>
      </c>
      <c r="B755" s="3">
        <v>78.098310979202495</v>
      </c>
      <c r="C755" s="3">
        <v>1.8359516371089299</v>
      </c>
      <c r="D755" s="3">
        <v>0.446432185960002</v>
      </c>
      <c r="E755" s="3">
        <v>4.1124983700736504</v>
      </c>
      <c r="F755" s="4">
        <v>3.9140023498704103E-5</v>
      </c>
      <c r="G755" s="3">
        <v>3.5175680282597399E-4</v>
      </c>
      <c r="H755" s="3" t="str">
        <f>"DOCK10"</f>
        <v>DOCK10</v>
      </c>
      <c r="I755" s="3" t="str">
        <f t="shared" si="29"/>
        <v>protein_coding</v>
      </c>
    </row>
    <row r="756" spans="1:9" x14ac:dyDescent="0.2">
      <c r="A756" s="3" t="str">
        <f>"ENSG00000236432.7"</f>
        <v>ENSG00000236432.7</v>
      </c>
      <c r="B756" s="3">
        <v>96.443460412127607</v>
      </c>
      <c r="C756" s="3">
        <v>-1.0746638278006599</v>
      </c>
      <c r="D756" s="3">
        <v>0.419677437815622</v>
      </c>
      <c r="E756" s="3">
        <v>-2.5606900227807698</v>
      </c>
      <c r="F756" s="3">
        <v>1.0446451717397101E-2</v>
      </c>
      <c r="G756" s="3">
        <v>4.3818658154264598E-2</v>
      </c>
      <c r="H756" s="3" t="str">
        <f>"AC097662.1"</f>
        <v>AC097662.1</v>
      </c>
      <c r="I756" s="3" t="str">
        <f>"antisense"</f>
        <v>antisense</v>
      </c>
    </row>
    <row r="757" spans="1:9" x14ac:dyDescent="0.2">
      <c r="A757" s="3" t="str">
        <f>"ENSG00000042304.11"</f>
        <v>ENSG00000042304.11</v>
      </c>
      <c r="B757" s="3">
        <v>21.6597711672758</v>
      </c>
      <c r="C757" s="3">
        <v>-2.7368076181553902</v>
      </c>
      <c r="D757" s="3">
        <v>0.81009571407797698</v>
      </c>
      <c r="E757" s="3">
        <v>-3.37837562968758</v>
      </c>
      <c r="F757" s="3">
        <v>7.2915406527746505E-4</v>
      </c>
      <c r="G757" s="3">
        <v>4.6624129488540798E-3</v>
      </c>
      <c r="H757" s="3" t="str">
        <f>"C2orf83"</f>
        <v>C2orf83</v>
      </c>
      <c r="I757" s="3" t="str">
        <f>"protein_coding"</f>
        <v>protein_coding</v>
      </c>
    </row>
    <row r="758" spans="1:9" x14ac:dyDescent="0.2">
      <c r="A758" s="3" t="str">
        <f>"ENSG00000236116.1"</f>
        <v>ENSG00000236116.1</v>
      </c>
      <c r="B758" s="3">
        <v>13.1298034998344</v>
      </c>
      <c r="C758" s="3">
        <v>-3.9482930157332699</v>
      </c>
      <c r="D758" s="3">
        <v>1.2199430591654301</v>
      </c>
      <c r="E758" s="3">
        <v>-3.2364568051514899</v>
      </c>
      <c r="F758" s="3">
        <v>1.2102354113394001E-3</v>
      </c>
      <c r="G758" s="3">
        <v>7.1885411504705203E-3</v>
      </c>
      <c r="H758" s="3" t="str">
        <f>"AC064853.1"</f>
        <v>AC064853.1</v>
      </c>
      <c r="I758" s="3" t="str">
        <f>"antisense"</f>
        <v>antisense</v>
      </c>
    </row>
    <row r="759" spans="1:9" x14ac:dyDescent="0.2">
      <c r="A759" s="3" t="str">
        <f>"ENSG00000135917.15"</f>
        <v>ENSG00000135917.15</v>
      </c>
      <c r="B759" s="3">
        <v>1310.02378143889</v>
      </c>
      <c r="C759" s="3">
        <v>-4.6752846341070899</v>
      </c>
      <c r="D759" s="3">
        <v>0.275524761553744</v>
      </c>
      <c r="E759" s="3">
        <v>-16.968655041173601</v>
      </c>
      <c r="F759" s="4">
        <v>1.40104231728101E-64</v>
      </c>
      <c r="G759" s="4">
        <v>5.7775769657711099E-62</v>
      </c>
      <c r="H759" s="3" t="str">
        <f>"SLC19A3"</f>
        <v>SLC19A3</v>
      </c>
      <c r="I759" s="3" t="str">
        <f>"protein_coding"</f>
        <v>protein_coding</v>
      </c>
    </row>
    <row r="760" spans="1:9" x14ac:dyDescent="0.2">
      <c r="A760" s="3" t="str">
        <f>"ENSG00000115009.13"</f>
        <v>ENSG00000115009.13</v>
      </c>
      <c r="B760" s="3">
        <v>11123.3884074292</v>
      </c>
      <c r="C760" s="3">
        <v>-1.8565814451670599</v>
      </c>
      <c r="D760" s="3">
        <v>0.25343429259718703</v>
      </c>
      <c r="E760" s="3">
        <v>-7.3256915082046303</v>
      </c>
      <c r="F760" s="4">
        <v>2.37669954493116E-13</v>
      </c>
      <c r="G760" s="4">
        <v>7.4360543597939405E-12</v>
      </c>
      <c r="H760" s="3" t="str">
        <f>"CCL20"</f>
        <v>CCL20</v>
      </c>
      <c r="I760" s="3" t="str">
        <f>"protein_coding"</f>
        <v>protein_coding</v>
      </c>
    </row>
    <row r="761" spans="1:9" x14ac:dyDescent="0.2">
      <c r="A761" s="3" t="str">
        <f>"ENSG00000153823.18"</f>
        <v>ENSG00000153823.18</v>
      </c>
      <c r="B761" s="3">
        <v>85.553071404902497</v>
      </c>
      <c r="C761" s="3">
        <v>2.8139672908723599</v>
      </c>
      <c r="D761" s="3">
        <v>0.45271897143658202</v>
      </c>
      <c r="E761" s="3">
        <v>6.2157043738259699</v>
      </c>
      <c r="F761" s="4">
        <v>5.1094921479205299E-10</v>
      </c>
      <c r="G761" s="4">
        <v>1.0847960218239501E-8</v>
      </c>
      <c r="H761" s="3" t="str">
        <f>"PID1"</f>
        <v>PID1</v>
      </c>
      <c r="I761" s="3" t="str">
        <f>"protein_coding"</f>
        <v>protein_coding</v>
      </c>
    </row>
    <row r="762" spans="1:9" x14ac:dyDescent="0.2">
      <c r="A762" s="3" t="str">
        <f>"ENSG00000235419.5"</f>
        <v>ENSG00000235419.5</v>
      </c>
      <c r="B762" s="3">
        <v>35.2193449939396</v>
      </c>
      <c r="C762" s="3">
        <v>4.5717770759668896</v>
      </c>
      <c r="D762" s="3">
        <v>0.81102047767622998</v>
      </c>
      <c r="E762" s="3">
        <v>5.6370673759880097</v>
      </c>
      <c r="F762" s="4">
        <v>1.7297045115725599E-8</v>
      </c>
      <c r="G762" s="4">
        <v>2.9458846979423002E-7</v>
      </c>
      <c r="H762" s="3" t="str">
        <f>"AC010149.1"</f>
        <v>AC010149.1</v>
      </c>
      <c r="I762" s="3" t="str">
        <f>"antisense"</f>
        <v>antisense</v>
      </c>
    </row>
    <row r="763" spans="1:9" x14ac:dyDescent="0.2">
      <c r="A763" s="3" t="str">
        <f>"ENSG00000156966.7"</f>
        <v>ENSG00000156966.7</v>
      </c>
      <c r="B763" s="3">
        <v>118.021491215957</v>
      </c>
      <c r="C763" s="3">
        <v>2.5944830408572002</v>
      </c>
      <c r="D763" s="3">
        <v>0.41783456363938398</v>
      </c>
      <c r="E763" s="3">
        <v>6.2093547701247402</v>
      </c>
      <c r="F763" s="4">
        <v>5.3202591553661902E-10</v>
      </c>
      <c r="G763" s="4">
        <v>1.12747362302642E-8</v>
      </c>
      <c r="H763" s="3" t="str">
        <f>"B3GNT7"</f>
        <v>B3GNT7</v>
      </c>
      <c r="I763" s="3" t="str">
        <f>"protein_coding"</f>
        <v>protein_coding</v>
      </c>
    </row>
    <row r="764" spans="1:9" x14ac:dyDescent="0.2">
      <c r="A764" s="3" t="str">
        <f>"ENSG00000207280.1"</f>
        <v>ENSG00000207280.1</v>
      </c>
      <c r="B764" s="3">
        <v>174.723012875058</v>
      </c>
      <c r="C764" s="3">
        <v>-3.02323963699628</v>
      </c>
      <c r="D764" s="3">
        <v>0.40074833489098899</v>
      </c>
      <c r="E764" s="3">
        <v>-7.5439855235297797</v>
      </c>
      <c r="F764" s="4">
        <v>4.5582176191939999E-14</v>
      </c>
      <c r="G764" s="4">
        <v>1.50672751919613E-12</v>
      </c>
      <c r="H764" s="3" t="str">
        <f>"SNORD20"</f>
        <v>SNORD20</v>
      </c>
      <c r="I764" s="3" t="str">
        <f>"snoRNA"</f>
        <v>snoRNA</v>
      </c>
    </row>
    <row r="765" spans="1:9" x14ac:dyDescent="0.2">
      <c r="A765" s="3" t="str">
        <f>"ENSG00000163273.4"</f>
        <v>ENSG00000163273.4</v>
      </c>
      <c r="B765" s="3">
        <v>46.336890956404297</v>
      </c>
      <c r="C765" s="3">
        <v>1.35823164181968</v>
      </c>
      <c r="D765" s="3">
        <v>0.53185838100150495</v>
      </c>
      <c r="E765" s="3">
        <v>2.5537468061744</v>
      </c>
      <c r="F765" s="3">
        <v>1.06570720620875E-2</v>
      </c>
      <c r="G765" s="3">
        <v>4.4516547280274099E-2</v>
      </c>
      <c r="H765" s="3" t="str">
        <f>"NPPC"</f>
        <v>NPPC</v>
      </c>
      <c r="I765" s="3" t="str">
        <f>"protein_coding"</f>
        <v>protein_coding</v>
      </c>
    </row>
    <row r="766" spans="1:9" x14ac:dyDescent="0.2">
      <c r="A766" s="3" t="str">
        <f>"ENSG00000115468.12"</f>
        <v>ENSG00000115468.12</v>
      </c>
      <c r="B766" s="3">
        <v>49.148875986267903</v>
      </c>
      <c r="C766" s="3">
        <v>-2.5267380942364799</v>
      </c>
      <c r="D766" s="3">
        <v>0.55278082377345406</v>
      </c>
      <c r="E766" s="3">
        <v>-4.5709582995086198</v>
      </c>
      <c r="F766" s="4">
        <v>4.8549889607258902E-6</v>
      </c>
      <c r="G766" s="4">
        <v>5.3377293403435202E-5</v>
      </c>
      <c r="H766" s="3" t="str">
        <f>"EFHD1"</f>
        <v>EFHD1</v>
      </c>
      <c r="I766" s="3" t="str">
        <f>"protein_coding"</f>
        <v>protein_coding</v>
      </c>
    </row>
    <row r="767" spans="1:9" x14ac:dyDescent="0.2">
      <c r="A767" s="3" t="str">
        <f>"ENSG00000222001.2"</f>
        <v>ENSG00000222001.2</v>
      </c>
      <c r="B767" s="3">
        <v>36.894746333975903</v>
      </c>
      <c r="C767" s="3">
        <v>-1.91464918361567</v>
      </c>
      <c r="D767" s="3">
        <v>0.60004449147944305</v>
      </c>
      <c r="E767" s="3">
        <v>-3.1908453636412801</v>
      </c>
      <c r="F767" s="3">
        <v>1.4185718363710501E-3</v>
      </c>
      <c r="G767" s="3">
        <v>8.2108086847477498E-3</v>
      </c>
      <c r="H767" s="3" t="str">
        <f>"AC106876.1"</f>
        <v>AC106876.1</v>
      </c>
      <c r="I767" s="3" t="str">
        <f>"processed_transcript"</f>
        <v>processed_transcript</v>
      </c>
    </row>
    <row r="768" spans="1:9" x14ac:dyDescent="0.2">
      <c r="A768" s="3" t="str">
        <f>"ENSG00000168918.14"</f>
        <v>ENSG00000168918.14</v>
      </c>
      <c r="B768" s="3">
        <v>2789.5295925129699</v>
      </c>
      <c r="C768" s="3">
        <v>1.7959936232690099</v>
      </c>
      <c r="D768" s="3">
        <v>0.31069289516760101</v>
      </c>
      <c r="E768" s="3">
        <v>5.7806073173967301</v>
      </c>
      <c r="F768" s="4">
        <v>7.4431439792331903E-9</v>
      </c>
      <c r="G768" s="4">
        <v>1.34024543162213E-7</v>
      </c>
      <c r="H768" s="3" t="str">
        <f>"INPP5D"</f>
        <v>INPP5D</v>
      </c>
      <c r="I768" s="3" t="str">
        <f>"protein_coding"</f>
        <v>protein_coding</v>
      </c>
    </row>
    <row r="769" spans="1:9" x14ac:dyDescent="0.2">
      <c r="A769" s="3" t="str">
        <f>"ENSG00000123485.12"</f>
        <v>ENSG00000123485.12</v>
      </c>
      <c r="B769" s="3">
        <v>2385.40638166497</v>
      </c>
      <c r="C769" s="3">
        <v>-1.0525456368564301</v>
      </c>
      <c r="D769" s="3">
        <v>0.26276037837584898</v>
      </c>
      <c r="E769" s="3">
        <v>-4.0057243156762601</v>
      </c>
      <c r="F769" s="4">
        <v>6.1827727136204902E-5</v>
      </c>
      <c r="G769" s="3">
        <v>5.3153673141190499E-4</v>
      </c>
      <c r="H769" s="3" t="str">
        <f>"HJURP"</f>
        <v>HJURP</v>
      </c>
      <c r="I769" s="3" t="str">
        <f>"protein_coding"</f>
        <v>protein_coding</v>
      </c>
    </row>
    <row r="770" spans="1:9" x14ac:dyDescent="0.2">
      <c r="A770" s="3" t="str">
        <f>"ENSG00000188042.8"</f>
        <v>ENSG00000188042.8</v>
      </c>
      <c r="B770" s="3">
        <v>59.536914021697598</v>
      </c>
      <c r="C770" s="3">
        <v>-1.48064557960585</v>
      </c>
      <c r="D770" s="3">
        <v>0.48954330266201301</v>
      </c>
      <c r="E770" s="3">
        <v>-3.0245446553031701</v>
      </c>
      <c r="F770" s="3">
        <v>2.4900770897530598E-3</v>
      </c>
      <c r="G770" s="3">
        <v>1.31750053800036E-2</v>
      </c>
      <c r="H770" s="3" t="str">
        <f>"ARL4C"</f>
        <v>ARL4C</v>
      </c>
      <c r="I770" s="3" t="str">
        <f>"protein_coding"</f>
        <v>protein_coding</v>
      </c>
    </row>
    <row r="771" spans="1:9" x14ac:dyDescent="0.2">
      <c r="A771" s="3" t="str">
        <f>"ENSG00000280744.1"</f>
        <v>ENSG00000280744.1</v>
      </c>
      <c r="B771" s="3">
        <v>184.27434571805199</v>
      </c>
      <c r="C771" s="3">
        <v>5.5570855368957197</v>
      </c>
      <c r="D771" s="3">
        <v>0.510562437449947</v>
      </c>
      <c r="E771" s="3">
        <v>10.8842428061318</v>
      </c>
      <c r="F771" s="4">
        <v>1.37032678692273E-27</v>
      </c>
      <c r="G771" s="4">
        <v>1.23994857284321E-25</v>
      </c>
      <c r="H771" s="3" t="str">
        <f>"LINC01173"</f>
        <v>LINC01173</v>
      </c>
      <c r="I771" s="3" t="str">
        <f>"lincRNA"</f>
        <v>lincRNA</v>
      </c>
    </row>
    <row r="772" spans="1:9" x14ac:dyDescent="0.2">
      <c r="A772" s="3" t="str">
        <f>"ENSG00000124835.2"</f>
        <v>ENSG00000124835.2</v>
      </c>
      <c r="B772" s="3">
        <v>73.322556280049596</v>
      </c>
      <c r="C772" s="3">
        <v>2.7946063881701702</v>
      </c>
      <c r="D772" s="3">
        <v>0.523235295129858</v>
      </c>
      <c r="E772" s="3">
        <v>5.3410127607630002</v>
      </c>
      <c r="F772" s="4">
        <v>9.2428749182600599E-8</v>
      </c>
      <c r="G772" s="4">
        <v>1.3922426261606699E-6</v>
      </c>
      <c r="H772" s="3" t="str">
        <f>"AC105760.1"</f>
        <v>AC105760.1</v>
      </c>
      <c r="I772" s="3" t="str">
        <f>"antisense"</f>
        <v>antisense</v>
      </c>
    </row>
    <row r="773" spans="1:9" x14ac:dyDescent="0.2">
      <c r="A773" s="3" t="str">
        <f>"ENSG00000144488.15"</f>
        <v>ENSG00000144488.15</v>
      </c>
      <c r="B773" s="3">
        <v>485.43513800785399</v>
      </c>
      <c r="C773" s="3">
        <v>4.3707046657320801</v>
      </c>
      <c r="D773" s="3">
        <v>0.33552617602776602</v>
      </c>
      <c r="E773" s="3">
        <v>13.0264193317972</v>
      </c>
      <c r="F773" s="4">
        <v>8.6576094285168794E-39</v>
      </c>
      <c r="G773" s="4">
        <v>1.3611385323396399E-36</v>
      </c>
      <c r="H773" s="3" t="str">
        <f>"ESPNL"</f>
        <v>ESPNL</v>
      </c>
      <c r="I773" s="3" t="str">
        <f>"protein_coding"</f>
        <v>protein_coding</v>
      </c>
    </row>
    <row r="774" spans="1:9" x14ac:dyDescent="0.2">
      <c r="A774" s="3" t="str">
        <f>"ENSG00000168427.9"</f>
        <v>ENSG00000168427.9</v>
      </c>
      <c r="B774" s="3">
        <v>259.43604660869897</v>
      </c>
      <c r="C774" s="3">
        <v>6.0923209792402204</v>
      </c>
      <c r="D774" s="3">
        <v>0.48074002880228101</v>
      </c>
      <c r="E774" s="3">
        <v>12.672797383689201</v>
      </c>
      <c r="F774" s="4">
        <v>8.3676240929282094E-37</v>
      </c>
      <c r="G774" s="4">
        <v>1.16291482904756E-34</v>
      </c>
      <c r="H774" s="3" t="str">
        <f>"KLHL30"</f>
        <v>KLHL30</v>
      </c>
      <c r="I774" s="3" t="str">
        <f>"protein_coding"</f>
        <v>protein_coding</v>
      </c>
    </row>
    <row r="775" spans="1:9" x14ac:dyDescent="0.2">
      <c r="A775" s="3" t="str">
        <f>"ENSG00000186235.10"</f>
        <v>ENSG00000186235.10</v>
      </c>
      <c r="B775" s="3">
        <v>22.104736130650299</v>
      </c>
      <c r="C775" s="3">
        <v>5.5126517572176397</v>
      </c>
      <c r="D775" s="3">
        <v>1.2286332696203399</v>
      </c>
      <c r="E775" s="3">
        <v>4.4868162807614</v>
      </c>
      <c r="F775" s="4">
        <v>7.2295363685742102E-6</v>
      </c>
      <c r="G775" s="4">
        <v>7.6961061088228603E-5</v>
      </c>
      <c r="H775" s="3" t="str">
        <f>"LINC02610"</f>
        <v>LINC02610</v>
      </c>
      <c r="I775" s="3" t="str">
        <f>"processed_transcript"</f>
        <v>processed_transcript</v>
      </c>
    </row>
    <row r="776" spans="1:9" x14ac:dyDescent="0.2">
      <c r="A776" s="3" t="str">
        <f>"ENSG00000182083.7"</f>
        <v>ENSG00000182083.7</v>
      </c>
      <c r="B776" s="3">
        <v>17.551312920496599</v>
      </c>
      <c r="C776" s="3">
        <v>6.1971949942801698</v>
      </c>
      <c r="D776" s="3">
        <v>1.6144532497027999</v>
      </c>
      <c r="E776" s="3">
        <v>3.8385719719174198</v>
      </c>
      <c r="F776" s="3">
        <v>1.2375194204958701E-4</v>
      </c>
      <c r="G776" s="3">
        <v>9.7984894625664592E-4</v>
      </c>
      <c r="H776" s="3" t="str">
        <f>"OR6B2"</f>
        <v>OR6B2</v>
      </c>
      <c r="I776" s="3" t="str">
        <f>"protein_coding"</f>
        <v>protein_coding</v>
      </c>
    </row>
    <row r="777" spans="1:9" x14ac:dyDescent="0.2">
      <c r="A777" s="3" t="str">
        <f>"ENSG00000178602.8"</f>
        <v>ENSG00000178602.8</v>
      </c>
      <c r="B777" s="3">
        <v>31.2833728537083</v>
      </c>
      <c r="C777" s="3">
        <v>3.9831669914594499</v>
      </c>
      <c r="D777" s="3">
        <v>0.80701901780398599</v>
      </c>
      <c r="E777" s="3">
        <v>4.9356544314137896</v>
      </c>
      <c r="F777" s="4">
        <v>7.9882441517143304E-7</v>
      </c>
      <c r="G777" s="4">
        <v>1.02053977468956E-5</v>
      </c>
      <c r="H777" s="3" t="str">
        <f>"OTOS"</f>
        <v>OTOS</v>
      </c>
      <c r="I777" s="3" t="str">
        <f>"protein_coding"</f>
        <v>protein_coding</v>
      </c>
    </row>
    <row r="778" spans="1:9" x14ac:dyDescent="0.2">
      <c r="A778" s="3" t="str">
        <f>"ENSG00000063660.9"</f>
        <v>ENSG00000063660.9</v>
      </c>
      <c r="B778" s="3">
        <v>4749.9634981754398</v>
      </c>
      <c r="C778" s="3">
        <v>4.35556035058279</v>
      </c>
      <c r="D778" s="3">
        <v>0.29514450465887299</v>
      </c>
      <c r="E778" s="3">
        <v>14.7573825086696</v>
      </c>
      <c r="F778" s="4">
        <v>2.7577779250876302E-49</v>
      </c>
      <c r="G778" s="4">
        <v>7.0072630005635598E-47</v>
      </c>
      <c r="H778" s="3" t="str">
        <f>"GPC1"</f>
        <v>GPC1</v>
      </c>
      <c r="I778" s="3" t="str">
        <f>"protein_coding"</f>
        <v>protein_coding</v>
      </c>
    </row>
    <row r="779" spans="1:9" x14ac:dyDescent="0.2">
      <c r="A779" s="3" t="str">
        <f>"ENSG00000178623.12"</f>
        <v>ENSG00000178623.12</v>
      </c>
      <c r="B779" s="3">
        <v>1401.11978211326</v>
      </c>
      <c r="C779" s="3">
        <v>3.75346403476486</v>
      </c>
      <c r="D779" s="3">
        <v>0.30120877920071498</v>
      </c>
      <c r="E779" s="3">
        <v>12.461336766893099</v>
      </c>
      <c r="F779" s="4">
        <v>1.2131980040898799E-35</v>
      </c>
      <c r="G779" s="4">
        <v>1.6062103048884699E-33</v>
      </c>
      <c r="H779" s="3" t="str">
        <f>"GPR35"</f>
        <v>GPR35</v>
      </c>
      <c r="I779" s="3" t="str">
        <f>"protein_coding"</f>
        <v>protein_coding</v>
      </c>
    </row>
    <row r="780" spans="1:9" x14ac:dyDescent="0.2">
      <c r="A780" s="3" t="str">
        <f>"ENSG00000233392.5"</f>
        <v>ENSG00000233392.5</v>
      </c>
      <c r="B780" s="3">
        <v>129.92578086190699</v>
      </c>
      <c r="C780" s="3">
        <v>5.9292201629513999</v>
      </c>
      <c r="D780" s="3">
        <v>0.62007984141447303</v>
      </c>
      <c r="E780" s="3">
        <v>9.5620269632152102</v>
      </c>
      <c r="F780" s="4">
        <v>1.15472597134747E-21</v>
      </c>
      <c r="G780" s="4">
        <v>6.9324896919440506E-20</v>
      </c>
      <c r="H780" s="3" t="str">
        <f>"AC104809.2"</f>
        <v>AC104809.2</v>
      </c>
      <c r="I780" s="3" t="str">
        <f>"processed_transcript"</f>
        <v>processed_transcript</v>
      </c>
    </row>
    <row r="781" spans="1:9" x14ac:dyDescent="0.2">
      <c r="A781" s="3" t="str">
        <f>"ENSG00000162804.14"</f>
        <v>ENSG00000162804.14</v>
      </c>
      <c r="B781" s="3">
        <v>103.25230872196001</v>
      </c>
      <c r="C781" s="3">
        <v>2.7365844025260699</v>
      </c>
      <c r="D781" s="3">
        <v>0.44942511215827602</v>
      </c>
      <c r="E781" s="3">
        <v>6.0890776427337698</v>
      </c>
      <c r="F781" s="4">
        <v>1.1356303808001299E-9</v>
      </c>
      <c r="G781" s="4">
        <v>2.29452066096606E-8</v>
      </c>
      <c r="H781" s="3" t="str">
        <f>"SNED1"</f>
        <v>SNED1</v>
      </c>
      <c r="I781" s="3" t="str">
        <f>"protein_coding"</f>
        <v>protein_coding</v>
      </c>
    </row>
    <row r="782" spans="1:9" x14ac:dyDescent="0.2">
      <c r="A782" s="3" t="str">
        <f>"ENSG00000180902.18"</f>
        <v>ENSG00000180902.18</v>
      </c>
      <c r="B782" s="3">
        <v>781.65167213370398</v>
      </c>
      <c r="C782" s="3">
        <v>1.1247325334466101</v>
      </c>
      <c r="D782" s="3">
        <v>0.30850980917965298</v>
      </c>
      <c r="E782" s="3">
        <v>3.6456945613410001</v>
      </c>
      <c r="F782" s="3">
        <v>2.6667056571748403E-4</v>
      </c>
      <c r="G782" s="3">
        <v>1.92706063792683E-3</v>
      </c>
      <c r="H782" s="3" t="str">
        <f>"D2HGDH"</f>
        <v>D2HGDH</v>
      </c>
      <c r="I782" s="3" t="str">
        <f>"protein_coding"</f>
        <v>protein_coding</v>
      </c>
    </row>
    <row r="783" spans="1:9" x14ac:dyDescent="0.2">
      <c r="A783" s="3" t="str">
        <f>"ENSG00000224272.2"</f>
        <v>ENSG00000224272.2</v>
      </c>
      <c r="B783" s="3">
        <v>40.933311446465297</v>
      </c>
      <c r="C783" s="3">
        <v>-2.1408452076490199</v>
      </c>
      <c r="D783" s="3">
        <v>0.58509958141154805</v>
      </c>
      <c r="E783" s="3">
        <v>-3.6589416155182501</v>
      </c>
      <c r="F783" s="3">
        <v>2.5325902424875099E-4</v>
      </c>
      <c r="G783" s="3">
        <v>1.8391255066331799E-3</v>
      </c>
      <c r="H783" s="3" t="str">
        <f>"AC131097.3"</f>
        <v>AC131097.3</v>
      </c>
      <c r="I783" s="3" t="str">
        <f>"antisense"</f>
        <v>antisense</v>
      </c>
    </row>
    <row r="784" spans="1:9" x14ac:dyDescent="0.2">
      <c r="A784" s="3" t="str">
        <f>"ENSG00000233806.7"</f>
        <v>ENSG00000233806.7</v>
      </c>
      <c r="B784" s="3">
        <v>11.9814599921091</v>
      </c>
      <c r="C784" s="3">
        <v>4.6364359308655398</v>
      </c>
      <c r="D784" s="3">
        <v>1.38468609851527</v>
      </c>
      <c r="E784" s="3">
        <v>3.3483660562758302</v>
      </c>
      <c r="F784" s="3">
        <v>8.1289564002612195E-4</v>
      </c>
      <c r="G784" s="3">
        <v>5.1082662565218803E-3</v>
      </c>
      <c r="H784" s="3" t="str">
        <f>"LINC01237"</f>
        <v>LINC01237</v>
      </c>
      <c r="I784" s="3" t="str">
        <f>"processed_transcript"</f>
        <v>processed_transcript</v>
      </c>
    </row>
    <row r="785" spans="1:9" x14ac:dyDescent="0.2">
      <c r="A785" s="3" t="str">
        <f>"ENSG00000237940.3"</f>
        <v>ENSG00000237940.3</v>
      </c>
      <c r="B785" s="3">
        <v>24.021112908047201</v>
      </c>
      <c r="C785" s="3">
        <v>5.0456240349823904</v>
      </c>
      <c r="D785" s="3">
        <v>1.06287438223328</v>
      </c>
      <c r="E785" s="3">
        <v>4.7471499166069604</v>
      </c>
      <c r="F785" s="4">
        <v>2.0630304141922701E-6</v>
      </c>
      <c r="G785" s="4">
        <v>2.4261584884996101E-5</v>
      </c>
      <c r="H785" s="3" t="str">
        <f>"LINC01238"</f>
        <v>LINC01238</v>
      </c>
      <c r="I785" s="3" t="str">
        <f>"lincRNA"</f>
        <v>lincRNA</v>
      </c>
    </row>
    <row r="786" spans="1:9" x14ac:dyDescent="0.2">
      <c r="A786" s="3" t="str">
        <f>"ENSG00000220804.8"</f>
        <v>ENSG00000220804.8</v>
      </c>
      <c r="B786" s="3">
        <v>538.59058430415098</v>
      </c>
      <c r="C786" s="3">
        <v>1.3900077450238599</v>
      </c>
      <c r="D786" s="3">
        <v>0.27739298624342501</v>
      </c>
      <c r="E786" s="3">
        <v>5.0109693249564096</v>
      </c>
      <c r="F786" s="4">
        <v>5.4156547746371195E-7</v>
      </c>
      <c r="G786" s="4">
        <v>7.1474709263377099E-6</v>
      </c>
      <c r="H786" s="3" t="str">
        <f>"LINC01881"</f>
        <v>LINC01881</v>
      </c>
      <c r="I786" s="3" t="str">
        <f>"transcribed_unprocessed_pseudogene"</f>
        <v>transcribed_unprocessed_pseudogene</v>
      </c>
    </row>
    <row r="787" spans="1:9" x14ac:dyDescent="0.2">
      <c r="A787" s="3" t="str">
        <f>"ENSG00000134107.4"</f>
        <v>ENSG00000134107.4</v>
      </c>
      <c r="B787" s="3">
        <v>1937.0983556049</v>
      </c>
      <c r="C787" s="3">
        <v>1.1626454399488499</v>
      </c>
      <c r="D787" s="3">
        <v>0.30716889459908597</v>
      </c>
      <c r="E787" s="3">
        <v>3.78503637702745</v>
      </c>
      <c r="F787" s="3">
        <v>1.53686096375917E-4</v>
      </c>
      <c r="G787" s="3">
        <v>1.18370292539381E-3</v>
      </c>
      <c r="H787" s="3" t="str">
        <f>"BHLHE40"</f>
        <v>BHLHE40</v>
      </c>
      <c r="I787" s="3" t="str">
        <f>"protein_coding"</f>
        <v>protein_coding</v>
      </c>
    </row>
    <row r="788" spans="1:9" x14ac:dyDescent="0.2">
      <c r="A788" s="3" t="str">
        <f>"ENSG00000233912.1"</f>
        <v>ENSG00000233912.1</v>
      </c>
      <c r="B788" s="3">
        <v>32.902293764208501</v>
      </c>
      <c r="C788" s="3">
        <v>2.3792108258953002</v>
      </c>
      <c r="D788" s="3">
        <v>0.66158332829384803</v>
      </c>
      <c r="E788" s="3">
        <v>3.59623757755659</v>
      </c>
      <c r="F788" s="3">
        <v>3.2285296082842999E-4</v>
      </c>
      <c r="G788" s="3">
        <v>2.2877087970814502E-3</v>
      </c>
      <c r="H788" s="3" t="str">
        <f>"AC026202.2"</f>
        <v>AC026202.2</v>
      </c>
      <c r="I788" s="3" t="str">
        <f>"antisense"</f>
        <v>antisense</v>
      </c>
    </row>
    <row r="789" spans="1:9" x14ac:dyDescent="0.2">
      <c r="A789" s="3" t="str">
        <f>"ENSG00000180914.10"</f>
        <v>ENSG00000180914.10</v>
      </c>
      <c r="B789" s="3">
        <v>114.437845973235</v>
      </c>
      <c r="C789" s="3">
        <v>-1.3083608960238</v>
      </c>
      <c r="D789" s="3">
        <v>0.39219861330505601</v>
      </c>
      <c r="E789" s="3">
        <v>-3.3359651249101701</v>
      </c>
      <c r="F789" s="3">
        <v>8.5003826582528302E-4</v>
      </c>
      <c r="G789" s="3">
        <v>5.3164377366571296E-3</v>
      </c>
      <c r="H789" s="3" t="str">
        <f>"OXTR"</f>
        <v>OXTR</v>
      </c>
      <c r="I789" s="3" t="str">
        <f>"protein_coding"</f>
        <v>protein_coding</v>
      </c>
    </row>
    <row r="790" spans="1:9" x14ac:dyDescent="0.2">
      <c r="A790" s="3" t="str">
        <f>"ENSG00000070950.10"</f>
        <v>ENSG00000070950.10</v>
      </c>
      <c r="B790" s="3">
        <v>1278.5043564308801</v>
      </c>
      <c r="C790" s="3">
        <v>-1.1474155816251099</v>
      </c>
      <c r="D790" s="3">
        <v>0.25031572127443402</v>
      </c>
      <c r="E790" s="3">
        <v>-4.5838734210670697</v>
      </c>
      <c r="F790" s="4">
        <v>4.56440611124069E-6</v>
      </c>
      <c r="G790" s="4">
        <v>5.0580456267955797E-5</v>
      </c>
      <c r="H790" s="3" t="str">
        <f>"RAD18"</f>
        <v>RAD18</v>
      </c>
      <c r="I790" s="3" t="str">
        <f>"protein_coding"</f>
        <v>protein_coding</v>
      </c>
    </row>
    <row r="791" spans="1:9" x14ac:dyDescent="0.2">
      <c r="A791" s="3" t="str">
        <f>"ENSG00000196220.16"</f>
        <v>ENSG00000196220.16</v>
      </c>
      <c r="B791" s="3">
        <v>569.51478708335901</v>
      </c>
      <c r="C791" s="3">
        <v>4.1090112016074603</v>
      </c>
      <c r="D791" s="3">
        <v>0.30263611600246898</v>
      </c>
      <c r="E791" s="3">
        <v>13.5773986789268</v>
      </c>
      <c r="F791" s="4">
        <v>5.45288944531739E-42</v>
      </c>
      <c r="G791" s="4">
        <v>1.00858407350705E-39</v>
      </c>
      <c r="H791" s="3" t="str">
        <f>"SRGAP3"</f>
        <v>SRGAP3</v>
      </c>
      <c r="I791" s="3" t="str">
        <f>"protein_coding"</f>
        <v>protein_coding</v>
      </c>
    </row>
    <row r="792" spans="1:9" x14ac:dyDescent="0.2">
      <c r="A792" s="3" t="str">
        <f>"ENSG00000156959.9"</f>
        <v>ENSG00000156959.9</v>
      </c>
      <c r="B792" s="3">
        <v>31.442269369064</v>
      </c>
      <c r="C792" s="3">
        <v>-1.82886141045594</v>
      </c>
      <c r="D792" s="3">
        <v>0.66537532415312195</v>
      </c>
      <c r="E792" s="3">
        <v>-2.7486162231574802</v>
      </c>
      <c r="F792" s="3">
        <v>5.9847413301949599E-3</v>
      </c>
      <c r="G792" s="3">
        <v>2.7471928496542699E-2</v>
      </c>
      <c r="H792" s="3" t="str">
        <f>"LHFPL4"</f>
        <v>LHFPL4</v>
      </c>
      <c r="I792" s="3" t="str">
        <f>"protein_coding"</f>
        <v>protein_coding</v>
      </c>
    </row>
    <row r="793" spans="1:9" x14ac:dyDescent="0.2">
      <c r="A793" s="3" t="str">
        <f>"ENSG00000180385.8"</f>
        <v>ENSG00000180385.8</v>
      </c>
      <c r="B793" s="3">
        <v>1312.9162447093099</v>
      </c>
      <c r="C793" s="3">
        <v>-1.92457463913806</v>
      </c>
      <c r="D793" s="3">
        <v>0.25017070006258202</v>
      </c>
      <c r="E793" s="3">
        <v>-7.6930457429931298</v>
      </c>
      <c r="F793" s="4">
        <v>1.43673117952039E-14</v>
      </c>
      <c r="G793" s="4">
        <v>4.9918470747010301E-13</v>
      </c>
      <c r="H793" s="3" t="str">
        <f>"EMC3-AS1"</f>
        <v>EMC3-AS1</v>
      </c>
      <c r="I793" s="3" t="str">
        <f>"transcribed_unprocessed_pseudogene"</f>
        <v>transcribed_unprocessed_pseudogene</v>
      </c>
    </row>
    <row r="794" spans="1:9" x14ac:dyDescent="0.2">
      <c r="A794" s="3" t="str">
        <f>"ENSG00000206567.9"</f>
        <v>ENSG00000206567.9</v>
      </c>
      <c r="B794" s="3">
        <v>41.377157140434498</v>
      </c>
      <c r="C794" s="3">
        <v>1.5359837531382901</v>
      </c>
      <c r="D794" s="3">
        <v>0.60815354690013401</v>
      </c>
      <c r="E794" s="3">
        <v>2.5256512289823299</v>
      </c>
      <c r="F794" s="3">
        <v>1.1548406567589001E-2</v>
      </c>
      <c r="G794" s="3">
        <v>4.7552818334866999E-2</v>
      </c>
      <c r="H794" s="3" t="str">
        <f>"AC022007.1"</f>
        <v>AC022007.1</v>
      </c>
      <c r="I794" s="3" t="str">
        <f>"lincRNA"</f>
        <v>lincRNA</v>
      </c>
    </row>
    <row r="795" spans="1:9" x14ac:dyDescent="0.2">
      <c r="A795" s="3" t="str">
        <f>"ENSG00000144554.10"</f>
        <v>ENSG00000144554.10</v>
      </c>
      <c r="B795" s="3">
        <v>2899.86425812075</v>
      </c>
      <c r="C795" s="3">
        <v>-1.0687230973898501</v>
      </c>
      <c r="D795" s="3">
        <v>0.27088582086980001</v>
      </c>
      <c r="E795" s="3">
        <v>-3.94528991572257</v>
      </c>
      <c r="F795" s="4">
        <v>7.9703485666421094E-5</v>
      </c>
      <c r="G795" s="3">
        <v>6.6388780858901405E-4</v>
      </c>
      <c r="H795" s="3" t="str">
        <f>"FANCD2"</f>
        <v>FANCD2</v>
      </c>
      <c r="I795" s="3" t="str">
        <f t="shared" ref="I795:I806" si="30">"protein_coding"</f>
        <v>protein_coding</v>
      </c>
    </row>
    <row r="796" spans="1:9" x14ac:dyDescent="0.2">
      <c r="A796" s="3" t="str">
        <f>"ENSG00000134070.5"</f>
        <v>ENSG00000134070.5</v>
      </c>
      <c r="B796" s="3">
        <v>688.65832991005595</v>
      </c>
      <c r="C796" s="3">
        <v>-1.1500776124121499</v>
      </c>
      <c r="D796" s="3">
        <v>0.31027175392767398</v>
      </c>
      <c r="E796" s="3">
        <v>-3.7066784128865198</v>
      </c>
      <c r="F796" s="3">
        <v>2.09995317578098E-4</v>
      </c>
      <c r="G796" s="3">
        <v>1.55823959105518E-3</v>
      </c>
      <c r="H796" s="3" t="str">
        <f>"IRAK2"</f>
        <v>IRAK2</v>
      </c>
      <c r="I796" s="3" t="str">
        <f t="shared" si="30"/>
        <v>protein_coding</v>
      </c>
    </row>
    <row r="797" spans="1:9" x14ac:dyDescent="0.2">
      <c r="A797" s="3" t="str">
        <f>"ENSG00000157087.19"</f>
        <v>ENSG00000157087.19</v>
      </c>
      <c r="B797" s="3">
        <v>685.90617732489795</v>
      </c>
      <c r="C797" s="3">
        <v>4.6348219904627497</v>
      </c>
      <c r="D797" s="3">
        <v>0.29677600924711101</v>
      </c>
      <c r="E797" s="3">
        <v>15.6172394197927</v>
      </c>
      <c r="F797" s="4">
        <v>5.5559584584532304E-55</v>
      </c>
      <c r="G797" s="4">
        <v>1.62511784909757E-52</v>
      </c>
      <c r="H797" s="3" t="str">
        <f>"ATP2B2"</f>
        <v>ATP2B2</v>
      </c>
      <c r="I797" s="3" t="str">
        <f t="shared" si="30"/>
        <v>protein_coding</v>
      </c>
    </row>
    <row r="798" spans="1:9" x14ac:dyDescent="0.2">
      <c r="A798" s="3" t="str">
        <f>"ENSG00000157103.12"</f>
        <v>ENSG00000157103.12</v>
      </c>
      <c r="B798" s="3">
        <v>23.070805274239</v>
      </c>
      <c r="C798" s="3">
        <v>3.12504762756069</v>
      </c>
      <c r="D798" s="3">
        <v>0.80094511879961605</v>
      </c>
      <c r="E798" s="3">
        <v>3.9017000718404198</v>
      </c>
      <c r="F798" s="4">
        <v>9.5519465507581299E-5</v>
      </c>
      <c r="G798" s="3">
        <v>7.7962107554938596E-4</v>
      </c>
      <c r="H798" s="3" t="str">
        <f>"SLC6A1"</f>
        <v>SLC6A1</v>
      </c>
      <c r="I798" s="3" t="str">
        <f t="shared" si="30"/>
        <v>protein_coding</v>
      </c>
    </row>
    <row r="799" spans="1:9" x14ac:dyDescent="0.2">
      <c r="A799" s="3" t="str">
        <f>"ENSG00000197548.12"</f>
        <v>ENSG00000197548.12</v>
      </c>
      <c r="B799" s="3">
        <v>878.84818772989502</v>
      </c>
      <c r="C799" s="3">
        <v>1.16364471579677</v>
      </c>
      <c r="D799" s="3">
        <v>0.25713627567755099</v>
      </c>
      <c r="E799" s="3">
        <v>4.5254008316430001</v>
      </c>
      <c r="F799" s="4">
        <v>6.0281143429578703E-6</v>
      </c>
      <c r="G799" s="4">
        <v>6.5080350342105201E-5</v>
      </c>
      <c r="H799" s="3" t="str">
        <f>"ATG7"</f>
        <v>ATG7</v>
      </c>
      <c r="I799" s="3" t="str">
        <f t="shared" si="30"/>
        <v>protein_coding</v>
      </c>
    </row>
    <row r="800" spans="1:9" x14ac:dyDescent="0.2">
      <c r="A800" s="3" t="str">
        <f>"ENSG00000132170.21"</f>
        <v>ENSG00000132170.21</v>
      </c>
      <c r="B800" s="3">
        <v>525.09437149761504</v>
      </c>
      <c r="C800" s="3">
        <v>-1.31418995197309</v>
      </c>
      <c r="D800" s="3">
        <v>0.27466414169618403</v>
      </c>
      <c r="E800" s="3">
        <v>-4.7847161404372898</v>
      </c>
      <c r="F800" s="4">
        <v>1.7122914957035101E-6</v>
      </c>
      <c r="G800" s="4">
        <v>2.0355714827231401E-5</v>
      </c>
      <c r="H800" s="3" t="str">
        <f>"PPARG"</f>
        <v>PPARG</v>
      </c>
      <c r="I800" s="3" t="str">
        <f t="shared" si="30"/>
        <v>protein_coding</v>
      </c>
    </row>
    <row r="801" spans="1:9" x14ac:dyDescent="0.2">
      <c r="A801" s="3" t="str">
        <f>"ENSG00000088726.16"</f>
        <v>ENSG00000088726.16</v>
      </c>
      <c r="B801" s="3">
        <v>530.04940784144901</v>
      </c>
      <c r="C801" s="3">
        <v>7.6640102717566201</v>
      </c>
      <c r="D801" s="3">
        <v>0.51472466654612403</v>
      </c>
      <c r="E801" s="3">
        <v>14.889533705822201</v>
      </c>
      <c r="F801" s="4">
        <v>3.8544830904369498E-50</v>
      </c>
      <c r="G801" s="4">
        <v>1.04257550688109E-47</v>
      </c>
      <c r="H801" s="3" t="str">
        <f>"TMEM40"</f>
        <v>TMEM40</v>
      </c>
      <c r="I801" s="3" t="str">
        <f t="shared" si="30"/>
        <v>protein_coding</v>
      </c>
    </row>
    <row r="802" spans="1:9" x14ac:dyDescent="0.2">
      <c r="A802" s="3" t="str">
        <f>"ENSG00000144711.16"</f>
        <v>ENSG00000144711.16</v>
      </c>
      <c r="B802" s="3">
        <v>3905.8335409494098</v>
      </c>
      <c r="C802" s="3">
        <v>1.5520002643858899</v>
      </c>
      <c r="D802" s="3">
        <v>0.27964994344432598</v>
      </c>
      <c r="E802" s="3">
        <v>5.5497964536326299</v>
      </c>
      <c r="F802" s="4">
        <v>2.8600238832896101E-8</v>
      </c>
      <c r="G802" s="4">
        <v>4.6808003112654598E-7</v>
      </c>
      <c r="H802" s="3" t="str">
        <f>"IQSEC1"</f>
        <v>IQSEC1</v>
      </c>
      <c r="I802" s="3" t="str">
        <f t="shared" si="30"/>
        <v>protein_coding</v>
      </c>
    </row>
    <row r="803" spans="1:9" x14ac:dyDescent="0.2">
      <c r="A803" s="3" t="str">
        <f>"ENSG00000163517.15"</f>
        <v>ENSG00000163517.15</v>
      </c>
      <c r="B803" s="3">
        <v>466.535989550203</v>
      </c>
      <c r="C803" s="3">
        <v>1.16320099103899</v>
      </c>
      <c r="D803" s="3">
        <v>0.32080491408206402</v>
      </c>
      <c r="E803" s="3">
        <v>3.62588270933231</v>
      </c>
      <c r="F803" s="3">
        <v>2.8797605163746699E-4</v>
      </c>
      <c r="G803" s="3">
        <v>2.0661829945637401E-3</v>
      </c>
      <c r="H803" s="3" t="str">
        <f>"HDAC11"</f>
        <v>HDAC11</v>
      </c>
      <c r="I803" s="3" t="str">
        <f t="shared" si="30"/>
        <v>protein_coding</v>
      </c>
    </row>
    <row r="804" spans="1:9" x14ac:dyDescent="0.2">
      <c r="A804" s="3" t="str">
        <f>"ENSG00000163520.14"</f>
        <v>ENSG00000163520.14</v>
      </c>
      <c r="B804" s="3">
        <v>74.612616311920902</v>
      </c>
      <c r="C804" s="3">
        <v>3.97462022862624</v>
      </c>
      <c r="D804" s="3">
        <v>0.53687193038981396</v>
      </c>
      <c r="E804" s="3">
        <v>7.4032930455878603</v>
      </c>
      <c r="F804" s="4">
        <v>1.32848134824054E-13</v>
      </c>
      <c r="G804" s="4">
        <v>4.2301200398722601E-12</v>
      </c>
      <c r="H804" s="3" t="str">
        <f>"FBLN2"</f>
        <v>FBLN2</v>
      </c>
      <c r="I804" s="3" t="str">
        <f t="shared" si="30"/>
        <v>protein_coding</v>
      </c>
    </row>
    <row r="805" spans="1:9" x14ac:dyDescent="0.2">
      <c r="A805" s="3" t="str">
        <f>"ENSG00000154767.14"</f>
        <v>ENSG00000154767.14</v>
      </c>
      <c r="B805" s="3">
        <v>3182.8301206168699</v>
      </c>
      <c r="C805" s="3">
        <v>2.28247862858538</v>
      </c>
      <c r="D805" s="3">
        <v>0.26276557314216298</v>
      </c>
      <c r="E805" s="3">
        <v>8.6863686185804205</v>
      </c>
      <c r="F805" s="4">
        <v>3.7420927790458597E-18</v>
      </c>
      <c r="G805" s="4">
        <v>1.77608195956412E-16</v>
      </c>
      <c r="H805" s="3" t="str">
        <f>"XPC"</f>
        <v>XPC</v>
      </c>
      <c r="I805" s="3" t="str">
        <f t="shared" si="30"/>
        <v>protein_coding</v>
      </c>
    </row>
    <row r="806" spans="1:9" x14ac:dyDescent="0.2">
      <c r="A806" s="3" t="str">
        <f>"ENSG00000144596.13"</f>
        <v>ENSG00000144596.13</v>
      </c>
      <c r="B806" s="3">
        <v>799.00382770237502</v>
      </c>
      <c r="C806" s="3">
        <v>7.0666624335005901</v>
      </c>
      <c r="D806" s="3">
        <v>0.40015098640444302</v>
      </c>
      <c r="E806" s="3">
        <v>17.659990037755701</v>
      </c>
      <c r="F806" s="4">
        <v>8.5254717078825897E-70</v>
      </c>
      <c r="G806" s="4">
        <v>4.5629412938678002E-67</v>
      </c>
      <c r="H806" s="3" t="str">
        <f>"GRIP2"</f>
        <v>GRIP2</v>
      </c>
      <c r="I806" s="3" t="str">
        <f t="shared" si="30"/>
        <v>protein_coding</v>
      </c>
    </row>
    <row r="807" spans="1:9" x14ac:dyDescent="0.2">
      <c r="A807" s="3" t="str">
        <f>"ENSG00000207163.1"</f>
        <v>ENSG00000207163.1</v>
      </c>
      <c r="B807" s="3">
        <v>9.9833443034354694</v>
      </c>
      <c r="C807" s="3">
        <v>6.8359053464647497</v>
      </c>
      <c r="D807" s="3">
        <v>1.7649103563933499</v>
      </c>
      <c r="E807" s="3">
        <v>3.8732309103982798</v>
      </c>
      <c r="F807" s="3">
        <v>1.07401979635218E-4</v>
      </c>
      <c r="G807" s="3">
        <v>8.6509663711940496E-4</v>
      </c>
      <c r="H807" s="3" t="str">
        <f>"RNU6-905P"</f>
        <v>RNU6-905P</v>
      </c>
      <c r="I807" s="3" t="str">
        <f>"snRNA"</f>
        <v>snRNA</v>
      </c>
    </row>
    <row r="808" spans="1:9" x14ac:dyDescent="0.2">
      <c r="A808" s="3" t="str">
        <f>"ENSG00000234123.1"</f>
        <v>ENSG00000234123.1</v>
      </c>
      <c r="B808" s="3">
        <v>116.324807756673</v>
      </c>
      <c r="C808" s="3">
        <v>6.1294552609576796</v>
      </c>
      <c r="D808" s="3">
        <v>0.66727736417609196</v>
      </c>
      <c r="E808" s="3">
        <v>9.1857683026995893</v>
      </c>
      <c r="F808" s="4">
        <v>4.0859991434113303E-20</v>
      </c>
      <c r="G808" s="4">
        <v>2.21994186722488E-18</v>
      </c>
      <c r="H808" s="3" t="str">
        <f>"RHBDF1P1"</f>
        <v>RHBDF1P1</v>
      </c>
      <c r="I808" s="3" t="str">
        <f>"processed_pseudogene"</f>
        <v>processed_pseudogene</v>
      </c>
    </row>
    <row r="809" spans="1:9" x14ac:dyDescent="0.2">
      <c r="A809" s="3" t="str">
        <f>"ENSG00000169814.13"</f>
        <v>ENSG00000169814.13</v>
      </c>
      <c r="B809" s="3">
        <v>490.32434084873898</v>
      </c>
      <c r="C809" s="3">
        <v>-1.1026213125201201</v>
      </c>
      <c r="D809" s="3">
        <v>0.27262308034050298</v>
      </c>
      <c r="E809" s="3">
        <v>-4.0444899644702001</v>
      </c>
      <c r="F809" s="4">
        <v>5.2437154340843301E-5</v>
      </c>
      <c r="G809" s="3">
        <v>4.58164854964888E-4</v>
      </c>
      <c r="H809" s="3" t="str">
        <f>"BTD"</f>
        <v>BTD</v>
      </c>
      <c r="I809" s="3" t="str">
        <f>"protein_coding"</f>
        <v>protein_coding</v>
      </c>
    </row>
    <row r="810" spans="1:9" x14ac:dyDescent="0.2">
      <c r="A810" s="3" t="str">
        <f>"ENSG00000154822.18"</f>
        <v>ENSG00000154822.18</v>
      </c>
      <c r="B810" s="3">
        <v>251.083251092811</v>
      </c>
      <c r="C810" s="3">
        <v>5.3722514872303</v>
      </c>
      <c r="D810" s="3">
        <v>0.420677180519341</v>
      </c>
      <c r="E810" s="3">
        <v>12.7704846756795</v>
      </c>
      <c r="F810" s="4">
        <v>2.3965747929649402E-37</v>
      </c>
      <c r="G810" s="4">
        <v>3.4253317566495999E-35</v>
      </c>
      <c r="H810" s="3" t="str">
        <f>"PLCL2"</f>
        <v>PLCL2</v>
      </c>
      <c r="I810" s="3" t="str">
        <f>"protein_coding"</f>
        <v>protein_coding</v>
      </c>
    </row>
    <row r="811" spans="1:9" x14ac:dyDescent="0.2">
      <c r="A811" s="3" t="str">
        <f>"ENSG00000182568.17"</f>
        <v>ENSG00000182568.17</v>
      </c>
      <c r="B811" s="3">
        <v>19.387095524077498</v>
      </c>
      <c r="C811" s="3">
        <v>-2.8569972414996099</v>
      </c>
      <c r="D811" s="3">
        <v>0.88683041802226803</v>
      </c>
      <c r="E811" s="3">
        <v>-3.22158237182598</v>
      </c>
      <c r="F811" s="3">
        <v>1.27484810759998E-3</v>
      </c>
      <c r="G811" s="3">
        <v>7.5120178371228703E-3</v>
      </c>
      <c r="H811" s="3" t="str">
        <f>"SATB1"</f>
        <v>SATB1</v>
      </c>
      <c r="I811" s="3" t="str">
        <f>"protein_coding"</f>
        <v>protein_coding</v>
      </c>
    </row>
    <row r="812" spans="1:9" x14ac:dyDescent="0.2">
      <c r="A812" s="3" t="str">
        <f>"ENSG00000114166.8"</f>
        <v>ENSG00000114166.8</v>
      </c>
      <c r="B812" s="3">
        <v>420.22005701973097</v>
      </c>
      <c r="C812" s="3">
        <v>1.59658563929603</v>
      </c>
      <c r="D812" s="3">
        <v>0.30931796588611898</v>
      </c>
      <c r="E812" s="3">
        <v>5.1616324151175803</v>
      </c>
      <c r="F812" s="4">
        <v>2.4480563357362402E-7</v>
      </c>
      <c r="G812" s="4">
        <v>3.43643175923243E-6</v>
      </c>
      <c r="H812" s="3" t="str">
        <f>"KAT2B"</f>
        <v>KAT2B</v>
      </c>
      <c r="I812" s="3" t="str">
        <f>"protein_coding"</f>
        <v>protein_coding</v>
      </c>
    </row>
    <row r="813" spans="1:9" x14ac:dyDescent="0.2">
      <c r="A813" s="3" t="str">
        <f>"ENSG00000151789.12"</f>
        <v>ENSG00000151789.12</v>
      </c>
      <c r="B813" s="3">
        <v>23.336527095754398</v>
      </c>
      <c r="C813" s="3">
        <v>3.3050022363995599</v>
      </c>
      <c r="D813" s="3">
        <v>0.815044971291221</v>
      </c>
      <c r="E813" s="3">
        <v>4.0549937154555602</v>
      </c>
      <c r="F813" s="4">
        <v>5.01356507004699E-5</v>
      </c>
      <c r="G813" s="3">
        <v>4.4034996276896599E-4</v>
      </c>
      <c r="H813" s="3" t="str">
        <f>"ZNF385D"</f>
        <v>ZNF385D</v>
      </c>
      <c r="I813" s="3" t="str">
        <f>"protein_coding"</f>
        <v>protein_coding</v>
      </c>
    </row>
    <row r="814" spans="1:9" x14ac:dyDescent="0.2">
      <c r="A814" s="3" t="str">
        <f>"ENSG00000132967.9"</f>
        <v>ENSG00000132967.9</v>
      </c>
      <c r="B814" s="3">
        <v>882.46900840755302</v>
      </c>
      <c r="C814" s="3">
        <v>-1.00437956062741</v>
      </c>
      <c r="D814" s="3">
        <v>0.29001891852321399</v>
      </c>
      <c r="E814" s="3">
        <v>-3.4631518720976602</v>
      </c>
      <c r="F814" s="3">
        <v>5.3388696014173296E-4</v>
      </c>
      <c r="G814" s="3">
        <v>3.5416472791047699E-3</v>
      </c>
      <c r="H814" s="3" t="str">
        <f>"HMGB1P5"</f>
        <v>HMGB1P5</v>
      </c>
      <c r="I814" s="3" t="str">
        <f>"transcribed_processed_pseudogene"</f>
        <v>transcribed_processed_pseudogene</v>
      </c>
    </row>
    <row r="815" spans="1:9" x14ac:dyDescent="0.2">
      <c r="A815" s="3" t="str">
        <f>"ENSG00000174738.13"</f>
        <v>ENSG00000174738.13</v>
      </c>
      <c r="B815" s="3">
        <v>967.91098214268095</v>
      </c>
      <c r="C815" s="3">
        <v>-1.1498967294451099</v>
      </c>
      <c r="D815" s="3">
        <v>0.26992494226538399</v>
      </c>
      <c r="E815" s="3">
        <v>-4.2600610369476497</v>
      </c>
      <c r="F815" s="4">
        <v>2.0437108556833201E-5</v>
      </c>
      <c r="G815" s="3">
        <v>1.95176714406659E-4</v>
      </c>
      <c r="H815" s="3" t="str">
        <f>"NR1D2"</f>
        <v>NR1D2</v>
      </c>
      <c r="I815" s="3" t="str">
        <f>"protein_coding"</f>
        <v>protein_coding</v>
      </c>
    </row>
    <row r="816" spans="1:9" x14ac:dyDescent="0.2">
      <c r="A816" s="3" t="str">
        <f>"ENSG00000163491.16"</f>
        <v>ENSG00000163491.16</v>
      </c>
      <c r="B816" s="3">
        <v>406.00408692377499</v>
      </c>
      <c r="C816" s="3">
        <v>-1.21911672564049</v>
      </c>
      <c r="D816" s="3">
        <v>0.29159184028191099</v>
      </c>
      <c r="E816" s="3">
        <v>-4.1809013738582301</v>
      </c>
      <c r="F816" s="4">
        <v>2.90355792316517E-5</v>
      </c>
      <c r="G816" s="3">
        <v>2.6813142275044003E-4</v>
      </c>
      <c r="H816" s="3" t="str">
        <f>"NEK10"</f>
        <v>NEK10</v>
      </c>
      <c r="I816" s="3" t="str">
        <f>"protein_coding"</f>
        <v>protein_coding</v>
      </c>
    </row>
    <row r="817" spans="1:9" x14ac:dyDescent="0.2">
      <c r="A817" s="3" t="str">
        <f>"ENSG00000033867.16"</f>
        <v>ENSG00000033867.16</v>
      </c>
      <c r="B817" s="3">
        <v>3226.2284544650802</v>
      </c>
      <c r="C817" s="3">
        <v>-1.2433289660825799</v>
      </c>
      <c r="D817" s="3">
        <v>0.25260933627601201</v>
      </c>
      <c r="E817" s="3">
        <v>-4.9219438379113001</v>
      </c>
      <c r="F817" s="4">
        <v>8.5688807359160798E-7</v>
      </c>
      <c r="G817" s="4">
        <v>1.08371138718939E-5</v>
      </c>
      <c r="H817" s="3" t="str">
        <f>"SLC4A7"</f>
        <v>SLC4A7</v>
      </c>
      <c r="I817" s="3" t="str">
        <f>"protein_coding"</f>
        <v>protein_coding</v>
      </c>
    </row>
    <row r="818" spans="1:9" x14ac:dyDescent="0.2">
      <c r="A818" s="3" t="str">
        <f>"ENSG00000271943.2"</f>
        <v>ENSG00000271943.2</v>
      </c>
      <c r="B818" s="3">
        <v>75.869436291585401</v>
      </c>
      <c r="C818" s="3">
        <v>-1.2572710662242701</v>
      </c>
      <c r="D818" s="3">
        <v>0.44245708358920899</v>
      </c>
      <c r="E818" s="3">
        <v>-2.8415661379523902</v>
      </c>
      <c r="F818" s="3">
        <v>4.4892539244447503E-3</v>
      </c>
      <c r="G818" s="3">
        <v>2.16834067721597E-2</v>
      </c>
      <c r="H818" s="3" t="str">
        <f>"AC098614.3"</f>
        <v>AC098614.3</v>
      </c>
      <c r="I818" s="3" t="str">
        <f>"transcribed_processed_pseudogene"</f>
        <v>transcribed_processed_pseudogene</v>
      </c>
    </row>
    <row r="819" spans="1:9" x14ac:dyDescent="0.2">
      <c r="A819" s="3" t="str">
        <f>"ENSG00000163508.12"</f>
        <v>ENSG00000163508.12</v>
      </c>
      <c r="B819" s="3">
        <v>100.22530892250199</v>
      </c>
      <c r="C819" s="3">
        <v>-1.13561356958617</v>
      </c>
      <c r="D819" s="3">
        <v>0.40904840765023998</v>
      </c>
      <c r="E819" s="3">
        <v>-2.7762327107191398</v>
      </c>
      <c r="F819" s="3">
        <v>5.4992831579930498E-3</v>
      </c>
      <c r="G819" s="3">
        <v>2.5607882347543898E-2</v>
      </c>
      <c r="H819" s="3" t="str">
        <f>"EOMES"</f>
        <v>EOMES</v>
      </c>
      <c r="I819" s="3" t="str">
        <f>"protein_coding"</f>
        <v>protein_coding</v>
      </c>
    </row>
    <row r="820" spans="1:9" x14ac:dyDescent="0.2">
      <c r="A820" s="3" t="str">
        <f>"ENSG00000152642.10"</f>
        <v>ENSG00000152642.10</v>
      </c>
      <c r="B820" s="3">
        <v>1712.58080598898</v>
      </c>
      <c r="C820" s="3">
        <v>1.9163381891539</v>
      </c>
      <c r="D820" s="3">
        <v>0.24519066867713801</v>
      </c>
      <c r="E820" s="3">
        <v>7.8157060360127097</v>
      </c>
      <c r="F820" s="4">
        <v>5.4655795339443803E-15</v>
      </c>
      <c r="G820" s="4">
        <v>1.9868013464793499E-13</v>
      </c>
      <c r="H820" s="3" t="str">
        <f>"GPD1L"</f>
        <v>GPD1L</v>
      </c>
      <c r="I820" s="3" t="str">
        <f>"protein_coding"</f>
        <v>protein_coding</v>
      </c>
    </row>
    <row r="821" spans="1:9" x14ac:dyDescent="0.2">
      <c r="A821" s="3" t="str">
        <f>"ENSG00000261572.1"</f>
        <v>ENSG00000261572.1</v>
      </c>
      <c r="B821" s="3">
        <v>100.041416955716</v>
      </c>
      <c r="C821" s="3">
        <v>-1.44937913923297</v>
      </c>
      <c r="D821" s="3">
        <v>0.40929944733178403</v>
      </c>
      <c r="E821" s="3">
        <v>-3.5411216621020198</v>
      </c>
      <c r="F821" s="3">
        <v>3.9842981368067102E-4</v>
      </c>
      <c r="G821" s="3">
        <v>2.7466434538605902E-3</v>
      </c>
      <c r="H821" s="3" t="str">
        <f>"AC097639.1"</f>
        <v>AC097639.1</v>
      </c>
      <c r="I821" s="3" t="str">
        <f>"sense_intronic"</f>
        <v>sense_intronic</v>
      </c>
    </row>
    <row r="822" spans="1:9" x14ac:dyDescent="0.2">
      <c r="A822" s="3" t="str">
        <f>"ENSG00000170293.9"</f>
        <v>ENSG00000170293.9</v>
      </c>
      <c r="B822" s="3">
        <v>211.70920954163199</v>
      </c>
      <c r="C822" s="3">
        <v>-1.0086665653754101</v>
      </c>
      <c r="D822" s="3">
        <v>0.332439331711051</v>
      </c>
      <c r="E822" s="3">
        <v>-3.0341372670431102</v>
      </c>
      <c r="F822" s="3">
        <v>2.4122464532368802E-3</v>
      </c>
      <c r="G822" s="3">
        <v>1.28287652285779E-2</v>
      </c>
      <c r="H822" s="3" t="str">
        <f>"CMTM8"</f>
        <v>CMTM8</v>
      </c>
      <c r="I822" s="3" t="str">
        <f t="shared" ref="I822:I830" si="31">"protein_coding"</f>
        <v>protein_coding</v>
      </c>
    </row>
    <row r="823" spans="1:9" x14ac:dyDescent="0.2">
      <c r="A823" s="3" t="str">
        <f>"ENSG00000153551.13"</f>
        <v>ENSG00000153551.13</v>
      </c>
      <c r="B823" s="3">
        <v>527.15641722738098</v>
      </c>
      <c r="C823" s="3">
        <v>-1.1067634779179101</v>
      </c>
      <c r="D823" s="3">
        <v>0.27147223360739497</v>
      </c>
      <c r="E823" s="3">
        <v>-4.0768938436574</v>
      </c>
      <c r="F823" s="4">
        <v>4.5641317249670103E-5</v>
      </c>
      <c r="G823" s="3">
        <v>4.03978654263002E-4</v>
      </c>
      <c r="H823" s="3" t="str">
        <f>"CMTM7"</f>
        <v>CMTM7</v>
      </c>
      <c r="I823" s="3" t="str">
        <f t="shared" si="31"/>
        <v>protein_coding</v>
      </c>
    </row>
    <row r="824" spans="1:9" x14ac:dyDescent="0.2">
      <c r="A824" s="3" t="str">
        <f>"ENSG00000153558.15"</f>
        <v>ENSG00000153558.15</v>
      </c>
      <c r="B824" s="3">
        <v>217.95451078470299</v>
      </c>
      <c r="C824" s="3">
        <v>2.6175123395975999</v>
      </c>
      <c r="D824" s="3">
        <v>0.33613268539167801</v>
      </c>
      <c r="E824" s="3">
        <v>7.7871401781339502</v>
      </c>
      <c r="F824" s="4">
        <v>6.8542894019799901E-15</v>
      </c>
      <c r="G824" s="4">
        <v>2.4737395969412698E-13</v>
      </c>
      <c r="H824" s="3" t="str">
        <f>"FBXL2"</f>
        <v>FBXL2</v>
      </c>
      <c r="I824" s="3" t="str">
        <f t="shared" si="31"/>
        <v>protein_coding</v>
      </c>
    </row>
    <row r="825" spans="1:9" x14ac:dyDescent="0.2">
      <c r="A825" s="3" t="str">
        <f>"ENSG00000076242.14"</f>
        <v>ENSG00000076242.14</v>
      </c>
      <c r="B825" s="3">
        <v>2885.4360149832501</v>
      </c>
      <c r="C825" s="3">
        <v>1.0286302857548699</v>
      </c>
      <c r="D825" s="3">
        <v>0.24898579265489801</v>
      </c>
      <c r="E825" s="3">
        <v>4.1312810453429396</v>
      </c>
      <c r="F825" s="4">
        <v>3.6074720286747802E-5</v>
      </c>
      <c r="G825" s="3">
        <v>3.26776949518596E-4</v>
      </c>
      <c r="H825" s="3" t="str">
        <f>"MLH1"</f>
        <v>MLH1</v>
      </c>
      <c r="I825" s="3" t="str">
        <f t="shared" si="31"/>
        <v>protein_coding</v>
      </c>
    </row>
    <row r="826" spans="1:9" x14ac:dyDescent="0.2">
      <c r="A826" s="3" t="str">
        <f>"ENSG00000136059.14"</f>
        <v>ENSG00000136059.14</v>
      </c>
      <c r="B826" s="3">
        <v>51.519362813684999</v>
      </c>
      <c r="C826" s="3">
        <v>-3.6333108563561498</v>
      </c>
      <c r="D826" s="3">
        <v>0.62508024989079303</v>
      </c>
      <c r="E826" s="3">
        <v>-5.8125510396319804</v>
      </c>
      <c r="F826" s="4">
        <v>6.1527915309599197E-9</v>
      </c>
      <c r="G826" s="4">
        <v>1.12538318382931E-7</v>
      </c>
      <c r="H826" s="3" t="str">
        <f>"VILL"</f>
        <v>VILL</v>
      </c>
      <c r="I826" s="3" t="str">
        <f t="shared" si="31"/>
        <v>protein_coding</v>
      </c>
    </row>
    <row r="827" spans="1:9" x14ac:dyDescent="0.2">
      <c r="A827" s="3" t="str">
        <f>"ENSG00000187091.13"</f>
        <v>ENSG00000187091.13</v>
      </c>
      <c r="B827" s="3">
        <v>1177.95756273811</v>
      </c>
      <c r="C827" s="3">
        <v>2.1816823215486201</v>
      </c>
      <c r="D827" s="3">
        <v>0.30330770695633602</v>
      </c>
      <c r="E827" s="3">
        <v>7.1929669820842896</v>
      </c>
      <c r="F827" s="4">
        <v>6.3398278368743599E-13</v>
      </c>
      <c r="G827" s="4">
        <v>1.8696174588109601E-11</v>
      </c>
      <c r="H827" s="3" t="str">
        <f>"PLCD1"</f>
        <v>PLCD1</v>
      </c>
      <c r="I827" s="3" t="str">
        <f t="shared" si="31"/>
        <v>protein_coding</v>
      </c>
    </row>
    <row r="828" spans="1:9" x14ac:dyDescent="0.2">
      <c r="A828" s="3" t="str">
        <f>"ENSG00000172936.14"</f>
        <v>ENSG00000172936.14</v>
      </c>
      <c r="B828" s="3">
        <v>1032.7260181289901</v>
      </c>
      <c r="C828" s="3">
        <v>-1.0569720903853299</v>
      </c>
      <c r="D828" s="3">
        <v>0.28142146929584499</v>
      </c>
      <c r="E828" s="3">
        <v>-3.7558331744554501</v>
      </c>
      <c r="F828" s="3">
        <v>1.7276575306347799E-4</v>
      </c>
      <c r="G828" s="3">
        <v>1.3094072064814E-3</v>
      </c>
      <c r="H828" s="3" t="str">
        <f>"MYD88"</f>
        <v>MYD88</v>
      </c>
      <c r="I828" s="3" t="str">
        <f t="shared" si="31"/>
        <v>protein_coding</v>
      </c>
    </row>
    <row r="829" spans="1:9" x14ac:dyDescent="0.2">
      <c r="A829" s="3" t="str">
        <f>"ENSG00000183873.15"</f>
        <v>ENSG00000183873.15</v>
      </c>
      <c r="B829" s="3">
        <v>42.892030614227203</v>
      </c>
      <c r="C829" s="3">
        <v>-2.20927854257401</v>
      </c>
      <c r="D829" s="3">
        <v>0.60986962675704703</v>
      </c>
      <c r="E829" s="3">
        <v>-3.6225423363379199</v>
      </c>
      <c r="F829" s="3">
        <v>2.9172169666257501E-4</v>
      </c>
      <c r="G829" s="3">
        <v>2.0912679622533698E-3</v>
      </c>
      <c r="H829" s="3" t="str">
        <f>"SCN5A"</f>
        <v>SCN5A</v>
      </c>
      <c r="I829" s="3" t="str">
        <f t="shared" si="31"/>
        <v>protein_coding</v>
      </c>
    </row>
    <row r="830" spans="1:9" x14ac:dyDescent="0.2">
      <c r="A830" s="3" t="str">
        <f>"ENSG00000182606.15"</f>
        <v>ENSG00000182606.15</v>
      </c>
      <c r="B830" s="3">
        <v>7265.9253463605401</v>
      </c>
      <c r="C830" s="3">
        <v>1.8991735464130599</v>
      </c>
      <c r="D830" s="3">
        <v>0.24457676307333001</v>
      </c>
      <c r="E830" s="3">
        <v>7.7651430272778699</v>
      </c>
      <c r="F830" s="4">
        <v>8.1553141749002E-15</v>
      </c>
      <c r="G830" s="4">
        <v>2.9016538623707901E-13</v>
      </c>
      <c r="H830" s="3" t="str">
        <f>"TRAK1"</f>
        <v>TRAK1</v>
      </c>
      <c r="I830" s="3" t="str">
        <f t="shared" si="31"/>
        <v>protein_coding</v>
      </c>
    </row>
    <row r="831" spans="1:9" x14ac:dyDescent="0.2">
      <c r="A831" s="3" t="str">
        <f>"ENSG00000222872.1"</f>
        <v>ENSG00000222872.1</v>
      </c>
      <c r="B831" s="3">
        <v>21.3857614118198</v>
      </c>
      <c r="C831" s="3">
        <v>2.1417937090960799</v>
      </c>
      <c r="D831" s="3">
        <v>0.80770861305291297</v>
      </c>
      <c r="E831" s="3">
        <v>2.6516910609640401</v>
      </c>
      <c r="F831" s="3">
        <v>8.0089785826596496E-3</v>
      </c>
      <c r="G831" s="3">
        <v>3.5049731427766802E-2</v>
      </c>
      <c r="H831" s="3" t="str">
        <f>"RNU4-78P"</f>
        <v>RNU4-78P</v>
      </c>
      <c r="I831" s="3" t="str">
        <f>"snRNA"</f>
        <v>snRNA</v>
      </c>
    </row>
    <row r="832" spans="1:9" x14ac:dyDescent="0.2">
      <c r="A832" s="3" t="str">
        <f>"ENSG00000114812.13"</f>
        <v>ENSG00000114812.13</v>
      </c>
      <c r="B832" s="3">
        <v>30.549922980893299</v>
      </c>
      <c r="C832" s="3">
        <v>2.8683632355202899</v>
      </c>
      <c r="D832" s="3">
        <v>0.72833650907685299</v>
      </c>
      <c r="E832" s="3">
        <v>3.9382389867505898</v>
      </c>
      <c r="F832" s="4">
        <v>8.2081818906338698E-5</v>
      </c>
      <c r="G832" s="3">
        <v>6.8076760784337295E-4</v>
      </c>
      <c r="H832" s="3" t="str">
        <f>"VIPR1"</f>
        <v>VIPR1</v>
      </c>
      <c r="I832" s="3" t="str">
        <f>"protein_coding"</f>
        <v>protein_coding</v>
      </c>
    </row>
    <row r="833" spans="1:9" x14ac:dyDescent="0.2">
      <c r="A833" s="3" t="str">
        <f>"ENSG00000008324.11"</f>
        <v>ENSG00000008324.11</v>
      </c>
      <c r="B833" s="3">
        <v>327.99211577924598</v>
      </c>
      <c r="C833" s="3">
        <v>-1.3314311938119801</v>
      </c>
      <c r="D833" s="3">
        <v>0.31739819345679898</v>
      </c>
      <c r="E833" s="3">
        <v>-4.1948291491873499</v>
      </c>
      <c r="F833" s="4">
        <v>2.73077342775977E-5</v>
      </c>
      <c r="G833" s="3">
        <v>2.5404070109207499E-4</v>
      </c>
      <c r="H833" s="3" t="str">
        <f>"SS18L2"</f>
        <v>SS18L2</v>
      </c>
      <c r="I833" s="3" t="str">
        <f>"protein_coding"</f>
        <v>protein_coding</v>
      </c>
    </row>
    <row r="834" spans="1:9" x14ac:dyDescent="0.2">
      <c r="A834" s="3" t="str">
        <f>"ENSG00000114853.14"</f>
        <v>ENSG00000114853.14</v>
      </c>
      <c r="B834" s="3">
        <v>201.92939917945401</v>
      </c>
      <c r="C834" s="3">
        <v>-1.0972325598828601</v>
      </c>
      <c r="D834" s="3">
        <v>0.34625965451518398</v>
      </c>
      <c r="E834" s="3">
        <v>-3.1688143437304399</v>
      </c>
      <c r="F834" s="3">
        <v>1.5306213304684901E-3</v>
      </c>
      <c r="G834" s="3">
        <v>8.7705648218530507E-3</v>
      </c>
      <c r="H834" s="3" t="str">
        <f>"ZBTB47"</f>
        <v>ZBTB47</v>
      </c>
      <c r="I834" s="3" t="str">
        <f>"protein_coding"</f>
        <v>protein_coding</v>
      </c>
    </row>
    <row r="835" spans="1:9" x14ac:dyDescent="0.2">
      <c r="A835" s="3" t="str">
        <f>"ENSG00000010282.14"</f>
        <v>ENSG00000010282.14</v>
      </c>
      <c r="B835" s="3">
        <v>8.9669145852016108</v>
      </c>
      <c r="C835" s="3">
        <v>4.16441213609487</v>
      </c>
      <c r="D835" s="3">
        <v>1.4395907762776501</v>
      </c>
      <c r="E835" s="3">
        <v>2.8927749501582598</v>
      </c>
      <c r="F835" s="3">
        <v>3.8185479716864902E-3</v>
      </c>
      <c r="G835" s="3">
        <v>1.8923477980254799E-2</v>
      </c>
      <c r="H835" s="3" t="str">
        <f>"HHATL"</f>
        <v>HHATL</v>
      </c>
      <c r="I835" s="3" t="str">
        <f>"protein_coding"</f>
        <v>protein_coding</v>
      </c>
    </row>
    <row r="836" spans="1:9" x14ac:dyDescent="0.2">
      <c r="A836" s="3" t="str">
        <f>"ENSG00000173811.10"</f>
        <v>ENSG00000173811.10</v>
      </c>
      <c r="B836" s="3">
        <v>33.0966924488811</v>
      </c>
      <c r="C836" s="3">
        <v>-2.13227142708784</v>
      </c>
      <c r="D836" s="3">
        <v>0.65446521784931799</v>
      </c>
      <c r="E836" s="3">
        <v>-3.2580362850982998</v>
      </c>
      <c r="F836" s="3">
        <v>1.1218606071915799E-3</v>
      </c>
      <c r="G836" s="3">
        <v>6.7271522226231501E-3</v>
      </c>
      <c r="H836" s="3" t="str">
        <f>"CCDC13-AS1"</f>
        <v>CCDC13-AS1</v>
      </c>
      <c r="I836" s="3" t="str">
        <f>"antisense"</f>
        <v>antisense</v>
      </c>
    </row>
    <row r="837" spans="1:9" x14ac:dyDescent="0.2">
      <c r="A837" s="3" t="str">
        <f>"ENSG00000163810.11"</f>
        <v>ENSG00000163810.11</v>
      </c>
      <c r="B837" s="3">
        <v>222.44654963647901</v>
      </c>
      <c r="C837" s="3">
        <v>6.41050464907884</v>
      </c>
      <c r="D837" s="3">
        <v>0.54268952690393502</v>
      </c>
      <c r="E837" s="3">
        <v>11.812471645898601</v>
      </c>
      <c r="F837" s="4">
        <v>3.3652085361025398E-32</v>
      </c>
      <c r="G837" s="4">
        <v>3.8131450777324099E-30</v>
      </c>
      <c r="H837" s="3" t="str">
        <f>"TGM4"</f>
        <v>TGM4</v>
      </c>
      <c r="I837" s="3" t="str">
        <f>"protein_coding"</f>
        <v>protein_coding</v>
      </c>
    </row>
    <row r="838" spans="1:9" x14ac:dyDescent="0.2">
      <c r="A838" s="3" t="str">
        <f>"ENSG00000235845.1"</f>
        <v>ENSG00000235845.1</v>
      </c>
      <c r="B838" s="3">
        <v>14.9699023679844</v>
      </c>
      <c r="C838" s="3">
        <v>7.4252388320804599</v>
      </c>
      <c r="D838" s="3">
        <v>1.6767474695175</v>
      </c>
      <c r="E838" s="3">
        <v>4.4283584541309198</v>
      </c>
      <c r="F838" s="4">
        <v>9.4953001313907906E-6</v>
      </c>
      <c r="G838" s="4">
        <v>9.76909099407507E-5</v>
      </c>
      <c r="H838" s="3" t="str">
        <f>"AC098649.1"</f>
        <v>AC098649.1</v>
      </c>
      <c r="I838" s="3" t="str">
        <f>"antisense"</f>
        <v>antisense</v>
      </c>
    </row>
    <row r="839" spans="1:9" x14ac:dyDescent="0.2">
      <c r="A839" s="3" t="str">
        <f>"ENSG00000163814.8"</f>
        <v>ENSG00000163814.8</v>
      </c>
      <c r="B839" s="3">
        <v>23.268516636756299</v>
      </c>
      <c r="C839" s="3">
        <v>-3.3532094804124402</v>
      </c>
      <c r="D839" s="3">
        <v>0.83135373361280296</v>
      </c>
      <c r="E839" s="3">
        <v>-4.0334328756069198</v>
      </c>
      <c r="F839" s="4">
        <v>5.4967887391842297E-5</v>
      </c>
      <c r="G839" s="3">
        <v>4.78117983174894E-4</v>
      </c>
      <c r="H839" s="3" t="str">
        <f>"CDCP1"</f>
        <v>CDCP1</v>
      </c>
      <c r="I839" s="3" t="str">
        <f t="shared" ref="I839:I849" si="32">"protein_coding"</f>
        <v>protein_coding</v>
      </c>
    </row>
    <row r="840" spans="1:9" x14ac:dyDescent="0.2">
      <c r="A840" s="3" t="str">
        <f>"ENSG00000249992.1"</f>
        <v>ENSG00000249992.1</v>
      </c>
      <c r="B840" s="3">
        <v>18.623751954167702</v>
      </c>
      <c r="C840" s="3">
        <v>-2.19535895986755</v>
      </c>
      <c r="D840" s="3">
        <v>0.82654408306367599</v>
      </c>
      <c r="E840" s="3">
        <v>-2.6560700207667201</v>
      </c>
      <c r="F840" s="3">
        <v>7.9057197266978307E-3</v>
      </c>
      <c r="G840" s="3">
        <v>3.4654811207994601E-2</v>
      </c>
      <c r="H840" s="3" t="str">
        <f>"TMEM158"</f>
        <v>TMEM158</v>
      </c>
      <c r="I840" s="3" t="str">
        <f t="shared" si="32"/>
        <v>protein_coding</v>
      </c>
    </row>
    <row r="841" spans="1:9" x14ac:dyDescent="0.2">
      <c r="A841" s="3" t="str">
        <f>"ENSG00000163820.15"</f>
        <v>ENSG00000163820.15</v>
      </c>
      <c r="B841" s="3">
        <v>1292.2415504150399</v>
      </c>
      <c r="C841" s="3">
        <v>1.04246488075431</v>
      </c>
      <c r="D841" s="3">
        <v>0.28240154580020699</v>
      </c>
      <c r="E841" s="3">
        <v>3.6914276719003398</v>
      </c>
      <c r="F841" s="3">
        <v>2.2299881325075601E-4</v>
      </c>
      <c r="G841" s="3">
        <v>1.64599036012992E-3</v>
      </c>
      <c r="H841" s="3" t="str">
        <f>"FYCO1"</f>
        <v>FYCO1</v>
      </c>
      <c r="I841" s="3" t="str">
        <f t="shared" si="32"/>
        <v>protein_coding</v>
      </c>
    </row>
    <row r="842" spans="1:9" x14ac:dyDescent="0.2">
      <c r="A842" s="3" t="str">
        <f>"ENSG00000241186.10"</f>
        <v>ENSG00000241186.10</v>
      </c>
      <c r="B842" s="3">
        <v>548.08191466586902</v>
      </c>
      <c r="C842" s="3">
        <v>-2.5019477676167501</v>
      </c>
      <c r="D842" s="3">
        <v>0.29027626696412101</v>
      </c>
      <c r="E842" s="3">
        <v>-8.6191950647002198</v>
      </c>
      <c r="F842" s="4">
        <v>6.7426407378452801E-18</v>
      </c>
      <c r="G842" s="4">
        <v>3.1409468103795901E-16</v>
      </c>
      <c r="H842" s="3" t="str">
        <f>"TDGF1"</f>
        <v>TDGF1</v>
      </c>
      <c r="I842" s="3" t="str">
        <f t="shared" si="32"/>
        <v>protein_coding</v>
      </c>
    </row>
    <row r="843" spans="1:9" x14ac:dyDescent="0.2">
      <c r="A843" s="3" t="str">
        <f>"ENSG00000088727.12"</f>
        <v>ENSG00000088727.12</v>
      </c>
      <c r="B843" s="3">
        <v>232.971482131767</v>
      </c>
      <c r="C843" s="3">
        <v>-1.0228764537700601</v>
      </c>
      <c r="D843" s="3">
        <v>0.32849397809776498</v>
      </c>
      <c r="E843" s="3">
        <v>-3.1138362404489501</v>
      </c>
      <c r="F843" s="3">
        <v>1.84671956227907E-3</v>
      </c>
      <c r="G843" s="3">
        <v>1.02403714800139E-2</v>
      </c>
      <c r="H843" s="3" t="str">
        <f>"KIF9"</f>
        <v>KIF9</v>
      </c>
      <c r="I843" s="3" t="str">
        <f t="shared" si="32"/>
        <v>protein_coding</v>
      </c>
    </row>
    <row r="844" spans="1:9" x14ac:dyDescent="0.2">
      <c r="A844" s="3" t="str">
        <f>"ENSG00000164045.11"</f>
        <v>ENSG00000164045.11</v>
      </c>
      <c r="B844" s="3">
        <v>1796.1790926809499</v>
      </c>
      <c r="C844" s="3">
        <v>-2.3527142052773899</v>
      </c>
      <c r="D844" s="3">
        <v>0.252870726162157</v>
      </c>
      <c r="E844" s="3">
        <v>-9.3040196506126094</v>
      </c>
      <c r="F844" s="4">
        <v>1.35234096928068E-20</v>
      </c>
      <c r="G844" s="4">
        <v>7.6273849960214002E-19</v>
      </c>
      <c r="H844" s="3" t="str">
        <f>"CDC25A"</f>
        <v>CDC25A</v>
      </c>
      <c r="I844" s="3" t="str">
        <f t="shared" si="32"/>
        <v>protein_coding</v>
      </c>
    </row>
    <row r="845" spans="1:9" x14ac:dyDescent="0.2">
      <c r="A845" s="3" t="str">
        <f>"ENSG00000164051.14"</f>
        <v>ENSG00000164051.14</v>
      </c>
      <c r="B845" s="3">
        <v>889.73405488807498</v>
      </c>
      <c r="C845" s="3">
        <v>1.2203574878915999</v>
      </c>
      <c r="D845" s="3">
        <v>0.30373572686672101</v>
      </c>
      <c r="E845" s="3">
        <v>4.0178266168440899</v>
      </c>
      <c r="F845" s="4">
        <v>5.8737389171606098E-5</v>
      </c>
      <c r="G845" s="3">
        <v>5.0722245953029597E-4</v>
      </c>
      <c r="H845" s="3" t="str">
        <f>"CCDC51"</f>
        <v>CCDC51</v>
      </c>
      <c r="I845" s="3" t="str">
        <f t="shared" si="32"/>
        <v>protein_coding</v>
      </c>
    </row>
    <row r="846" spans="1:9" x14ac:dyDescent="0.2">
      <c r="A846" s="3" t="str">
        <f>"ENSG00000114268.12"</f>
        <v>ENSG00000114268.12</v>
      </c>
      <c r="B846" s="3">
        <v>411.61828943756501</v>
      </c>
      <c r="C846" s="3">
        <v>1.4609612331539901</v>
      </c>
      <c r="D846" s="3">
        <v>0.34800133945727202</v>
      </c>
      <c r="E846" s="3">
        <v>4.1981483043497603</v>
      </c>
      <c r="F846" s="4">
        <v>2.6910638186477498E-5</v>
      </c>
      <c r="G846" s="3">
        <v>2.5099633058244002E-4</v>
      </c>
      <c r="H846" s="3" t="str">
        <f>"PFKFB4"</f>
        <v>PFKFB4</v>
      </c>
      <c r="I846" s="3" t="str">
        <f t="shared" si="32"/>
        <v>protein_coding</v>
      </c>
    </row>
    <row r="847" spans="1:9" x14ac:dyDescent="0.2">
      <c r="A847" s="3" t="str">
        <f>"ENSG00000145040.4"</f>
        <v>ENSG00000145040.4</v>
      </c>
      <c r="B847" s="3">
        <v>182.66218181065599</v>
      </c>
      <c r="C847" s="3">
        <v>3.2209072933545801</v>
      </c>
      <c r="D847" s="3">
        <v>0.39295515725968599</v>
      </c>
      <c r="E847" s="3">
        <v>8.1966281237175291</v>
      </c>
      <c r="F847" s="4">
        <v>2.4722375732105998E-16</v>
      </c>
      <c r="G847" s="4">
        <v>1.0279196058531E-14</v>
      </c>
      <c r="H847" s="3" t="str">
        <f>"UCN2"</f>
        <v>UCN2</v>
      </c>
      <c r="I847" s="3" t="str">
        <f t="shared" si="32"/>
        <v>protein_coding</v>
      </c>
    </row>
    <row r="848" spans="1:9" x14ac:dyDescent="0.2">
      <c r="A848" s="3" t="str">
        <f>"ENSG00000114270.17"</f>
        <v>ENSG00000114270.17</v>
      </c>
      <c r="B848" s="3">
        <v>6270.3737592182197</v>
      </c>
      <c r="C848" s="3">
        <v>4.1508468099773497</v>
      </c>
      <c r="D848" s="3">
        <v>0.319414945972605</v>
      </c>
      <c r="E848" s="3">
        <v>12.9951552434035</v>
      </c>
      <c r="F848" s="4">
        <v>1.3034300616279499E-38</v>
      </c>
      <c r="G848" s="4">
        <v>2.0365082733075101E-36</v>
      </c>
      <c r="H848" s="3" t="str">
        <f>"COL7A1"</f>
        <v>COL7A1</v>
      </c>
      <c r="I848" s="3" t="str">
        <f t="shared" si="32"/>
        <v>protein_coding</v>
      </c>
    </row>
    <row r="849" spans="1:9" x14ac:dyDescent="0.2">
      <c r="A849" s="3" t="str">
        <f>"ENSG00000008300.17"</f>
        <v>ENSG00000008300.17</v>
      </c>
      <c r="B849" s="3">
        <v>965.87716115058697</v>
      </c>
      <c r="C849" s="3">
        <v>-1.0075852387550699</v>
      </c>
      <c r="D849" s="3">
        <v>0.30321897312975998</v>
      </c>
      <c r="E849" s="3">
        <v>-3.3229623738745402</v>
      </c>
      <c r="F849" s="3">
        <v>8.9066927290196803E-4</v>
      </c>
      <c r="G849" s="3">
        <v>5.5320458172466698E-3</v>
      </c>
      <c r="H849" s="3" t="str">
        <f>"CELSR3"</f>
        <v>CELSR3</v>
      </c>
      <c r="I849" s="3" t="str">
        <f t="shared" si="32"/>
        <v>protein_coding</v>
      </c>
    </row>
    <row r="850" spans="1:9" x14ac:dyDescent="0.2">
      <c r="A850" s="3" t="str">
        <f>"ENSG00000233276.5"</f>
        <v>ENSG00000233276.5</v>
      </c>
      <c r="B850" s="3">
        <v>9471.6081323326398</v>
      </c>
      <c r="C850" s="3">
        <v>1.9313999357601499</v>
      </c>
      <c r="D850" s="3">
        <v>0.28641064059066002</v>
      </c>
      <c r="E850" s="3">
        <v>6.7434643202398599</v>
      </c>
      <c r="F850" s="4">
        <v>1.5465396819895301E-11</v>
      </c>
      <c r="G850" s="4">
        <v>3.88255545912641E-10</v>
      </c>
      <c r="H850" s="3" t="str">
        <f>"GPX1"</f>
        <v>GPX1</v>
      </c>
      <c r="I850" s="3" t="str">
        <f>"polymorphic_pseudogene"</f>
        <v>polymorphic_pseudogene</v>
      </c>
    </row>
    <row r="851" spans="1:9" x14ac:dyDescent="0.2">
      <c r="A851" s="3" t="str">
        <f>"ENSG00000173531.15"</f>
        <v>ENSG00000173531.15</v>
      </c>
      <c r="B851" s="3">
        <v>1254.9006479341599</v>
      </c>
      <c r="C851" s="3">
        <v>1.01790268329804</v>
      </c>
      <c r="D851" s="3">
        <v>0.32131255081329801</v>
      </c>
      <c r="E851" s="3">
        <v>3.16795182983532</v>
      </c>
      <c r="F851" s="3">
        <v>1.5351695438583399E-3</v>
      </c>
      <c r="G851" s="3">
        <v>8.7886185425026294E-3</v>
      </c>
      <c r="H851" s="3" t="str">
        <f>"MST1"</f>
        <v>MST1</v>
      </c>
      <c r="I851" s="3" t="str">
        <f t="shared" ref="I851:I857" si="33">"protein_coding"</f>
        <v>protein_coding</v>
      </c>
    </row>
    <row r="852" spans="1:9" x14ac:dyDescent="0.2">
      <c r="A852" s="3" t="str">
        <f>"ENSG00000185614.5"</f>
        <v>ENSG00000185614.5</v>
      </c>
      <c r="B852" s="3">
        <v>35.384291926687801</v>
      </c>
      <c r="C852" s="3">
        <v>2.5315106845353501</v>
      </c>
      <c r="D852" s="3">
        <v>0.64003558802236105</v>
      </c>
      <c r="E852" s="3">
        <v>3.9552655069656901</v>
      </c>
      <c r="F852" s="4">
        <v>7.6449701374014801E-5</v>
      </c>
      <c r="G852" s="3">
        <v>6.4039035566544795E-4</v>
      </c>
      <c r="H852" s="3" t="str">
        <f>"INKA1"</f>
        <v>INKA1</v>
      </c>
      <c r="I852" s="3" t="str">
        <f t="shared" si="33"/>
        <v>protein_coding</v>
      </c>
    </row>
    <row r="853" spans="1:9" x14ac:dyDescent="0.2">
      <c r="A853" s="3" t="str">
        <f>"ENSG00000182179.13"</f>
        <v>ENSG00000182179.13</v>
      </c>
      <c r="B853" s="3">
        <v>178.687695101473</v>
      </c>
      <c r="C853" s="3">
        <v>-1.71392077695839</v>
      </c>
      <c r="D853" s="3">
        <v>0.40269728096892698</v>
      </c>
      <c r="E853" s="3">
        <v>-4.2561021838402802</v>
      </c>
      <c r="F853" s="4">
        <v>2.0802166195747199E-5</v>
      </c>
      <c r="G853" s="3">
        <v>1.9836182359894599E-4</v>
      </c>
      <c r="H853" s="3" t="str">
        <f>"UBA7"</f>
        <v>UBA7</v>
      </c>
      <c r="I853" s="3" t="str">
        <f t="shared" si="33"/>
        <v>protein_coding</v>
      </c>
    </row>
    <row r="854" spans="1:9" x14ac:dyDescent="0.2">
      <c r="A854" s="3" t="str">
        <f>"ENSG00000164076.17"</f>
        <v>ENSG00000164076.17</v>
      </c>
      <c r="B854" s="3">
        <v>11.3440824275542</v>
      </c>
      <c r="C854" s="3">
        <v>-4.3539208970176402</v>
      </c>
      <c r="D854" s="3">
        <v>1.40586468207756</v>
      </c>
      <c r="E854" s="3">
        <v>-3.0969701085196202</v>
      </c>
      <c r="F854" s="3">
        <v>1.9550958717397299E-3</v>
      </c>
      <c r="G854" s="3">
        <v>1.07404316780111E-2</v>
      </c>
      <c r="H854" s="3" t="str">
        <f>"CAMKV"</f>
        <v>CAMKV</v>
      </c>
      <c r="I854" s="3" t="str">
        <f t="shared" si="33"/>
        <v>protein_coding</v>
      </c>
    </row>
    <row r="855" spans="1:9" x14ac:dyDescent="0.2">
      <c r="A855" s="3" t="str">
        <f>"ENSG00000001617.12"</f>
        <v>ENSG00000001617.12</v>
      </c>
      <c r="B855" s="3">
        <v>4078.1857683447402</v>
      </c>
      <c r="C855" s="3">
        <v>2.37383200963255</v>
      </c>
      <c r="D855" s="3">
        <v>0.299059839623881</v>
      </c>
      <c r="E855" s="3">
        <v>7.9376489087202504</v>
      </c>
      <c r="F855" s="4">
        <v>2.0604959980379899E-15</v>
      </c>
      <c r="G855" s="4">
        <v>7.77088108405483E-14</v>
      </c>
      <c r="H855" s="3" t="str">
        <f>"SEMA3F"</f>
        <v>SEMA3F</v>
      </c>
      <c r="I855" s="3" t="str">
        <f t="shared" si="33"/>
        <v>protein_coding</v>
      </c>
    </row>
    <row r="856" spans="1:9" x14ac:dyDescent="0.2">
      <c r="A856" s="3" t="str">
        <f>"ENSG00000188338.15"</f>
        <v>ENSG00000188338.15</v>
      </c>
      <c r="B856" s="3">
        <v>1064.4253636405101</v>
      </c>
      <c r="C856" s="3">
        <v>-1.1369537666893399</v>
      </c>
      <c r="D856" s="3">
        <v>0.31361630303175098</v>
      </c>
      <c r="E856" s="3">
        <v>-3.6253018599426499</v>
      </c>
      <c r="F856" s="3">
        <v>2.8862411980462398E-4</v>
      </c>
      <c r="G856" s="3">
        <v>2.0702422964600301E-3</v>
      </c>
      <c r="H856" s="3" t="str">
        <f>"SLC38A3"</f>
        <v>SLC38A3</v>
      </c>
      <c r="I856" s="3" t="str">
        <f t="shared" si="33"/>
        <v>protein_coding</v>
      </c>
    </row>
    <row r="857" spans="1:9" x14ac:dyDescent="0.2">
      <c r="A857" s="3" t="str">
        <f>"ENSG00000114353.17"</f>
        <v>ENSG00000114353.17</v>
      </c>
      <c r="B857" s="3">
        <v>2549.3048087949601</v>
      </c>
      <c r="C857" s="3">
        <v>-1.1420296192827799</v>
      </c>
      <c r="D857" s="3">
        <v>0.29553815512607501</v>
      </c>
      <c r="E857" s="3">
        <v>-3.8642374917566702</v>
      </c>
      <c r="F857" s="3">
        <v>1.1143676006671E-4</v>
      </c>
      <c r="G857" s="3">
        <v>8.9473083290075904E-4</v>
      </c>
      <c r="H857" s="3" t="str">
        <f>"GNAI2"</f>
        <v>GNAI2</v>
      </c>
      <c r="I857" s="3" t="str">
        <f t="shared" si="33"/>
        <v>protein_coding</v>
      </c>
    </row>
    <row r="858" spans="1:9" x14ac:dyDescent="0.2">
      <c r="A858" s="3" t="str">
        <f>"ENSG00000232352.1"</f>
        <v>ENSG00000232352.1</v>
      </c>
      <c r="B858" s="3">
        <v>88.444421940453793</v>
      </c>
      <c r="C858" s="3">
        <v>3.3788257334105101</v>
      </c>
      <c r="D858" s="3">
        <v>0.47044402949256198</v>
      </c>
      <c r="E858" s="3">
        <v>7.1822055793864203</v>
      </c>
      <c r="F858" s="4">
        <v>6.8595669278638098E-13</v>
      </c>
      <c r="G858" s="4">
        <v>2.0154113571497998E-11</v>
      </c>
      <c r="H858" s="3" t="str">
        <f>"SEMA3B-AS1"</f>
        <v>SEMA3B-AS1</v>
      </c>
      <c r="I858" s="3" t="str">
        <f>"antisense"</f>
        <v>antisense</v>
      </c>
    </row>
    <row r="859" spans="1:9" x14ac:dyDescent="0.2">
      <c r="A859" s="3" t="str">
        <f>"ENSG00000012171.19"</f>
        <v>ENSG00000012171.19</v>
      </c>
      <c r="B859" s="3">
        <v>6503.7021358328702</v>
      </c>
      <c r="C859" s="3">
        <v>2.6445985367506002</v>
      </c>
      <c r="D859" s="3">
        <v>0.30604079596782302</v>
      </c>
      <c r="E859" s="3">
        <v>8.6413268152284406</v>
      </c>
      <c r="F859" s="4">
        <v>5.5563925541275698E-18</v>
      </c>
      <c r="G859" s="4">
        <v>2.5979749944066701E-16</v>
      </c>
      <c r="H859" s="3" t="str">
        <f>"SEMA3B"</f>
        <v>SEMA3B</v>
      </c>
      <c r="I859" s="3" t="str">
        <f t="shared" ref="I859:I877" si="34">"protein_coding"</f>
        <v>protein_coding</v>
      </c>
    </row>
    <row r="860" spans="1:9" x14ac:dyDescent="0.2">
      <c r="A860" s="3" t="str">
        <f>"ENSG00000214706.10"</f>
        <v>ENSG00000214706.10</v>
      </c>
      <c r="B860" s="3">
        <v>1304.12563996227</v>
      </c>
      <c r="C860" s="3">
        <v>-1.2798765847503999</v>
      </c>
      <c r="D860" s="3">
        <v>0.31110787385902899</v>
      </c>
      <c r="E860" s="3">
        <v>-4.1139318297368197</v>
      </c>
      <c r="F860" s="4">
        <v>3.8897634902818603E-5</v>
      </c>
      <c r="G860" s="3">
        <v>3.49703361679915E-4</v>
      </c>
      <c r="H860" s="3" t="str">
        <f>"IFRD2"</f>
        <v>IFRD2</v>
      </c>
      <c r="I860" s="3" t="str">
        <f t="shared" si="34"/>
        <v>protein_coding</v>
      </c>
    </row>
    <row r="861" spans="1:9" x14ac:dyDescent="0.2">
      <c r="A861" s="3" t="str">
        <f>"ENSG00000041880.14"</f>
        <v>ENSG00000041880.14</v>
      </c>
      <c r="B861" s="3">
        <v>904.56594428015205</v>
      </c>
      <c r="C861" s="3">
        <v>1.52068371887469</v>
      </c>
      <c r="D861" s="3">
        <v>0.28997232552361302</v>
      </c>
      <c r="E861" s="3">
        <v>5.2442374151696702</v>
      </c>
      <c r="F861" s="4">
        <v>1.56930022862112E-7</v>
      </c>
      <c r="G861" s="4">
        <v>2.2857989143580898E-6</v>
      </c>
      <c r="H861" s="3" t="str">
        <f>"PARP3"</f>
        <v>PARP3</v>
      </c>
      <c r="I861" s="3" t="str">
        <f t="shared" si="34"/>
        <v>protein_coding</v>
      </c>
    </row>
    <row r="862" spans="1:9" x14ac:dyDescent="0.2">
      <c r="A862" s="3" t="str">
        <f>"ENSG00000090097.21"</f>
        <v>ENSG00000090097.21</v>
      </c>
      <c r="B862" s="3">
        <v>2488.0354163997199</v>
      </c>
      <c r="C862" s="3">
        <v>1.07115079999923</v>
      </c>
      <c r="D862" s="3">
        <v>0.29797912766350898</v>
      </c>
      <c r="E862" s="3">
        <v>3.5947175508507998</v>
      </c>
      <c r="F862" s="3">
        <v>3.2474369181854403E-4</v>
      </c>
      <c r="G862" s="3">
        <v>2.2985164793740799E-3</v>
      </c>
      <c r="H862" s="3" t="str">
        <f>"PCBP4"</f>
        <v>PCBP4</v>
      </c>
      <c r="I862" s="3" t="str">
        <f t="shared" si="34"/>
        <v>protein_coding</v>
      </c>
    </row>
    <row r="863" spans="1:9" x14ac:dyDescent="0.2">
      <c r="A863" s="3" t="str">
        <f>"ENSG00000247596.9"</f>
        <v>ENSG00000247596.9</v>
      </c>
      <c r="B863" s="3">
        <v>1930.5838213828599</v>
      </c>
      <c r="C863" s="3">
        <v>1.66122513948268</v>
      </c>
      <c r="D863" s="3">
        <v>0.28477522333275801</v>
      </c>
      <c r="E863" s="3">
        <v>5.83346093119044</v>
      </c>
      <c r="F863" s="4">
        <v>5.4289323523290198E-9</v>
      </c>
      <c r="G863" s="4">
        <v>9.9682330892581494E-8</v>
      </c>
      <c r="H863" s="3" t="str">
        <f>"TWF2"</f>
        <v>TWF2</v>
      </c>
      <c r="I863" s="3" t="str">
        <f t="shared" si="34"/>
        <v>protein_coding</v>
      </c>
    </row>
    <row r="864" spans="1:9" x14ac:dyDescent="0.2">
      <c r="A864" s="3" t="str">
        <f>"ENSG00000168237.18"</f>
        <v>ENSG00000168237.18</v>
      </c>
      <c r="B864" s="3">
        <v>691.94110336851497</v>
      </c>
      <c r="C864" s="3">
        <v>-1.22899136123431</v>
      </c>
      <c r="D864" s="3">
        <v>0.307630039517303</v>
      </c>
      <c r="E864" s="3">
        <v>-3.99503040458176</v>
      </c>
      <c r="F864" s="4">
        <v>6.4685951057253101E-5</v>
      </c>
      <c r="G864" s="3">
        <v>5.5233370632898902E-4</v>
      </c>
      <c r="H864" s="3" t="str">
        <f>"GLYCTK"</f>
        <v>GLYCTK</v>
      </c>
      <c r="I864" s="3" t="str">
        <f t="shared" si="34"/>
        <v>protein_coding</v>
      </c>
    </row>
    <row r="865" spans="1:9" x14ac:dyDescent="0.2">
      <c r="A865" s="3" t="str">
        <f>"ENSG00000010318.21"</f>
        <v>ENSG00000010318.21</v>
      </c>
      <c r="B865" s="3">
        <v>373.47467655614997</v>
      </c>
      <c r="C865" s="3">
        <v>1.1225868981454099</v>
      </c>
      <c r="D865" s="3">
        <v>0.28529571673188697</v>
      </c>
      <c r="E865" s="3">
        <v>3.9348186190975398</v>
      </c>
      <c r="F865" s="4">
        <v>8.3259549699819406E-5</v>
      </c>
      <c r="G865" s="3">
        <v>6.8917208710067698E-4</v>
      </c>
      <c r="H865" s="3" t="str">
        <f>"PHF7"</f>
        <v>PHF7</v>
      </c>
      <c r="I865" s="3" t="str">
        <f t="shared" si="34"/>
        <v>protein_coding</v>
      </c>
    </row>
    <row r="866" spans="1:9" x14ac:dyDescent="0.2">
      <c r="A866" s="3" t="str">
        <f>"ENSG00000010319.6"</f>
        <v>ENSG00000010319.6</v>
      </c>
      <c r="B866" s="3">
        <v>1357.5120758779501</v>
      </c>
      <c r="C866" s="3">
        <v>-2.21099602037763</v>
      </c>
      <c r="D866" s="3">
        <v>0.26672980964893001</v>
      </c>
      <c r="E866" s="3">
        <v>-8.2892722912663697</v>
      </c>
      <c r="F866" s="4">
        <v>1.13943427978134E-16</v>
      </c>
      <c r="G866" s="4">
        <v>4.9079570732704602E-15</v>
      </c>
      <c r="H866" s="3" t="str">
        <f>"SEMA3G"</f>
        <v>SEMA3G</v>
      </c>
      <c r="I866" s="3" t="str">
        <f t="shared" si="34"/>
        <v>protein_coding</v>
      </c>
    </row>
    <row r="867" spans="1:9" x14ac:dyDescent="0.2">
      <c r="A867" s="3" t="str">
        <f>"ENSG00000114854.7"</f>
        <v>ENSG00000114854.7</v>
      </c>
      <c r="B867" s="3">
        <v>267.63425687925002</v>
      </c>
      <c r="C867" s="3">
        <v>-3.1424495256784901</v>
      </c>
      <c r="D867" s="3">
        <v>0.34785007283792102</v>
      </c>
      <c r="E867" s="3">
        <v>-9.0339194125818008</v>
      </c>
      <c r="F867" s="4">
        <v>1.6563070014941601E-19</v>
      </c>
      <c r="G867" s="4">
        <v>8.6261703152351197E-18</v>
      </c>
      <c r="H867" s="3" t="str">
        <f>"TNNC1"</f>
        <v>TNNC1</v>
      </c>
      <c r="I867" s="3" t="str">
        <f t="shared" si="34"/>
        <v>protein_coding</v>
      </c>
    </row>
    <row r="868" spans="1:9" x14ac:dyDescent="0.2">
      <c r="A868" s="3" t="str">
        <f>"ENSG00000168268.11"</f>
        <v>ENSG00000168268.11</v>
      </c>
      <c r="B868" s="3">
        <v>4895.63785392509</v>
      </c>
      <c r="C868" s="3">
        <v>-1.3044371672527</v>
      </c>
      <c r="D868" s="3">
        <v>0.29586917104267502</v>
      </c>
      <c r="E868" s="3">
        <v>-4.4088309797729996</v>
      </c>
      <c r="F868" s="4">
        <v>1.0393009414919601E-5</v>
      </c>
      <c r="G868" s="3">
        <v>1.0588746530267401E-4</v>
      </c>
      <c r="H868" s="3" t="str">
        <f>"NT5DC2"</f>
        <v>NT5DC2</v>
      </c>
      <c r="I868" s="3" t="str">
        <f t="shared" si="34"/>
        <v>protein_coding</v>
      </c>
    </row>
    <row r="869" spans="1:9" x14ac:dyDescent="0.2">
      <c r="A869" s="3" t="str">
        <f>"ENSG00000163931.16"</f>
        <v>ENSG00000163931.16</v>
      </c>
      <c r="B869" s="3">
        <v>16589.350963172099</v>
      </c>
      <c r="C869" s="3">
        <v>1.4126550119530501</v>
      </c>
      <c r="D869" s="3">
        <v>0.29204748137266401</v>
      </c>
      <c r="E869" s="3">
        <v>4.8370730859015403</v>
      </c>
      <c r="F869" s="4">
        <v>1.3176498897946299E-6</v>
      </c>
      <c r="G869" s="4">
        <v>1.5981428629596899E-5</v>
      </c>
      <c r="H869" s="3" t="str">
        <f>"TKT"</f>
        <v>TKT</v>
      </c>
      <c r="I869" s="3" t="str">
        <f t="shared" si="34"/>
        <v>protein_coding</v>
      </c>
    </row>
    <row r="870" spans="1:9" x14ac:dyDescent="0.2">
      <c r="A870" s="3" t="str">
        <f>"ENSG00000163947.11"</f>
        <v>ENSG00000163947.11</v>
      </c>
      <c r="B870" s="3">
        <v>3271.4928452651802</v>
      </c>
      <c r="C870" s="3">
        <v>1.8834246565114801</v>
      </c>
      <c r="D870" s="3">
        <v>0.236496013262532</v>
      </c>
      <c r="E870" s="3">
        <v>7.9638748684558802</v>
      </c>
      <c r="F870" s="4">
        <v>1.6673387083037501E-15</v>
      </c>
      <c r="G870" s="4">
        <v>6.36447726970878E-14</v>
      </c>
      <c r="H870" s="3" t="str">
        <f>"ARHGEF3"</f>
        <v>ARHGEF3</v>
      </c>
      <c r="I870" s="3" t="str">
        <f t="shared" si="34"/>
        <v>protein_coding</v>
      </c>
    </row>
    <row r="871" spans="1:9" x14ac:dyDescent="0.2">
      <c r="A871" s="3" t="str">
        <f>"ENSG00000168291.13"</f>
        <v>ENSG00000168291.13</v>
      </c>
      <c r="B871" s="3">
        <v>2591.7982747545898</v>
      </c>
      <c r="C871" s="3">
        <v>-1.3308565235233401</v>
      </c>
      <c r="D871" s="3">
        <v>0.243930683416757</v>
      </c>
      <c r="E871" s="3">
        <v>-5.4558799445888502</v>
      </c>
      <c r="F871" s="4">
        <v>4.8730911125245603E-8</v>
      </c>
      <c r="G871" s="4">
        <v>7.6593016696430995E-7</v>
      </c>
      <c r="H871" s="3" t="str">
        <f>"PDHB"</f>
        <v>PDHB</v>
      </c>
      <c r="I871" s="3" t="str">
        <f t="shared" si="34"/>
        <v>protein_coding</v>
      </c>
    </row>
    <row r="872" spans="1:9" x14ac:dyDescent="0.2">
      <c r="A872" s="3" t="str">
        <f>"ENSG00000168301.13"</f>
        <v>ENSG00000168301.13</v>
      </c>
      <c r="B872" s="3">
        <v>329.66446820057598</v>
      </c>
      <c r="C872" s="3">
        <v>-1.7432063205830799</v>
      </c>
      <c r="D872" s="3">
        <v>0.30181076765606502</v>
      </c>
      <c r="E872" s="3">
        <v>-5.7758254754170704</v>
      </c>
      <c r="F872" s="4">
        <v>7.6576716654623104E-9</v>
      </c>
      <c r="G872" s="4">
        <v>1.3719995067286599E-7</v>
      </c>
      <c r="H872" s="3" t="str">
        <f>"KCTD6"</f>
        <v>KCTD6</v>
      </c>
      <c r="I872" s="3" t="str">
        <f t="shared" si="34"/>
        <v>protein_coding</v>
      </c>
    </row>
    <row r="873" spans="1:9" x14ac:dyDescent="0.2">
      <c r="A873" s="3" t="str">
        <f>"ENSG00000168306.13"</f>
        <v>ENSG00000168306.13</v>
      </c>
      <c r="B873" s="3">
        <v>500.656457184168</v>
      </c>
      <c r="C873" s="3">
        <v>-1.31356658434712</v>
      </c>
      <c r="D873" s="3">
        <v>0.29192603913965898</v>
      </c>
      <c r="E873" s="3">
        <v>-4.49965542031934</v>
      </c>
      <c r="F873" s="4">
        <v>6.8063701387145998E-6</v>
      </c>
      <c r="G873" s="4">
        <v>7.2702437723722201E-5</v>
      </c>
      <c r="H873" s="3" t="str">
        <f>"ACOX2"</f>
        <v>ACOX2</v>
      </c>
      <c r="I873" s="3" t="str">
        <f t="shared" si="34"/>
        <v>protein_coding</v>
      </c>
    </row>
    <row r="874" spans="1:9" x14ac:dyDescent="0.2">
      <c r="A874" s="3" t="str">
        <f>"ENSG00000163637.13"</f>
        <v>ENSG00000163637.13</v>
      </c>
      <c r="B874" s="3">
        <v>143.67537178804599</v>
      </c>
      <c r="C874" s="3">
        <v>2.26361089946655</v>
      </c>
      <c r="D874" s="3">
        <v>0.39116250357046201</v>
      </c>
      <c r="E874" s="3">
        <v>5.78688110134462</v>
      </c>
      <c r="F874" s="4">
        <v>7.1705294440858504E-9</v>
      </c>
      <c r="G874" s="4">
        <v>1.2948648109546299E-7</v>
      </c>
      <c r="H874" s="3" t="str">
        <f>"PRICKLE2"</f>
        <v>PRICKLE2</v>
      </c>
      <c r="I874" s="3" t="str">
        <f t="shared" si="34"/>
        <v>protein_coding</v>
      </c>
    </row>
    <row r="875" spans="1:9" x14ac:dyDescent="0.2">
      <c r="A875" s="3" t="str">
        <f>"ENSG00000163638.13"</f>
        <v>ENSG00000163638.13</v>
      </c>
      <c r="B875" s="3">
        <v>43.174297989870603</v>
      </c>
      <c r="C875" s="3">
        <v>-1.58772580214089</v>
      </c>
      <c r="D875" s="3">
        <v>0.57185308091078901</v>
      </c>
      <c r="E875" s="3">
        <v>-2.77645754677429</v>
      </c>
      <c r="F875" s="3">
        <v>5.4954811322407496E-3</v>
      </c>
      <c r="G875" s="3">
        <v>2.5599377386828302E-2</v>
      </c>
      <c r="H875" s="3" t="str">
        <f>"ADAMTS9"</f>
        <v>ADAMTS9</v>
      </c>
      <c r="I875" s="3" t="str">
        <f t="shared" si="34"/>
        <v>protein_coding</v>
      </c>
    </row>
    <row r="876" spans="1:9" x14ac:dyDescent="0.2">
      <c r="A876" s="3" t="str">
        <f>"ENSG00000144749.13"</f>
        <v>ENSG00000144749.13</v>
      </c>
      <c r="B876" s="3">
        <v>1598.3944970258301</v>
      </c>
      <c r="C876" s="3">
        <v>-2.3735155657295701</v>
      </c>
      <c r="D876" s="3">
        <v>0.26160101789136497</v>
      </c>
      <c r="E876" s="3">
        <v>-9.0730364310555505</v>
      </c>
      <c r="F876" s="4">
        <v>1.1574556739693699E-19</v>
      </c>
      <c r="G876" s="4">
        <v>6.1167641761973898E-18</v>
      </c>
      <c r="H876" s="3" t="str">
        <f>"LRIG1"</f>
        <v>LRIG1</v>
      </c>
      <c r="I876" s="3" t="str">
        <f t="shared" si="34"/>
        <v>protein_coding</v>
      </c>
    </row>
    <row r="877" spans="1:9" x14ac:dyDescent="0.2">
      <c r="A877" s="3" t="str">
        <f>"ENSG00000163376.11"</f>
        <v>ENSG00000163376.11</v>
      </c>
      <c r="B877" s="3">
        <v>383.58780783927199</v>
      </c>
      <c r="C877" s="3">
        <v>-1.1089415825590001</v>
      </c>
      <c r="D877" s="3">
        <v>0.32866080414732901</v>
      </c>
      <c r="E877" s="3">
        <v>-3.37412179537505</v>
      </c>
      <c r="F877" s="3">
        <v>7.4051595615321896E-4</v>
      </c>
      <c r="G877" s="3">
        <v>4.7266376242157404E-3</v>
      </c>
      <c r="H877" s="3" t="str">
        <f>"KBTBD8"</f>
        <v>KBTBD8</v>
      </c>
      <c r="I877" s="3" t="str">
        <f t="shared" si="34"/>
        <v>protein_coding</v>
      </c>
    </row>
    <row r="878" spans="1:9" x14ac:dyDescent="0.2">
      <c r="A878" s="3" t="str">
        <f>"ENSG00000241884.2"</f>
        <v>ENSG00000241884.2</v>
      </c>
      <c r="B878" s="3">
        <v>10.781956474715001</v>
      </c>
      <c r="C878" s="3">
        <v>-3.2270088432540498</v>
      </c>
      <c r="D878" s="3">
        <v>1.1956248819978701</v>
      </c>
      <c r="E878" s="3">
        <v>-2.6990144583322602</v>
      </c>
      <c r="F878" s="3">
        <v>6.9545154867502301E-3</v>
      </c>
      <c r="G878" s="3">
        <v>3.11338026462364E-2</v>
      </c>
      <c r="H878" s="3" t="str">
        <f>"AC114401.1"</f>
        <v>AC114401.1</v>
      </c>
      <c r="I878" s="3" t="str">
        <f>"lincRNA"</f>
        <v>lincRNA</v>
      </c>
    </row>
    <row r="879" spans="1:9" x14ac:dyDescent="0.2">
      <c r="A879" s="3" t="str">
        <f>"ENSG00000163377.16"</f>
        <v>ENSG00000163377.16</v>
      </c>
      <c r="B879" s="3">
        <v>82.142793714651305</v>
      </c>
      <c r="C879" s="3">
        <v>-1.89725065978198</v>
      </c>
      <c r="D879" s="3">
        <v>0.43660209870033401</v>
      </c>
      <c r="E879" s="3">
        <v>-4.3454913877639898</v>
      </c>
      <c r="F879" s="4">
        <v>1.3896422440496401E-5</v>
      </c>
      <c r="G879" s="3">
        <v>1.37407431796654E-4</v>
      </c>
      <c r="H879" s="3" t="str">
        <f>"FAM19A4"</f>
        <v>FAM19A4</v>
      </c>
      <c r="I879" s="3" t="str">
        <f>"protein_coding"</f>
        <v>protein_coding</v>
      </c>
    </row>
    <row r="880" spans="1:9" x14ac:dyDescent="0.2">
      <c r="A880" s="3" t="str">
        <f>"ENSG00000114541.15"</f>
        <v>ENSG00000114541.15</v>
      </c>
      <c r="B880" s="3">
        <v>206.26630536268499</v>
      </c>
      <c r="C880" s="3">
        <v>-2.1858364092592701</v>
      </c>
      <c r="D880" s="3">
        <v>0.33733295267723701</v>
      </c>
      <c r="E880" s="3">
        <v>-6.4797595132981396</v>
      </c>
      <c r="F880" s="4">
        <v>9.1868927020379503E-11</v>
      </c>
      <c r="G880" s="4">
        <v>2.1184671217687698E-9</v>
      </c>
      <c r="H880" s="3" t="str">
        <f>"FRMD4B"</f>
        <v>FRMD4B</v>
      </c>
      <c r="I880" s="3" t="str">
        <f>"protein_coding"</f>
        <v>protein_coding</v>
      </c>
    </row>
    <row r="881" spans="1:9" x14ac:dyDescent="0.2">
      <c r="A881" s="3" t="str">
        <f>"ENSG00000243083.6"</f>
        <v>ENSG00000243083.6</v>
      </c>
      <c r="B881" s="3">
        <v>58.986237123594897</v>
      </c>
      <c r="C881" s="3">
        <v>-3.22677482284469</v>
      </c>
      <c r="D881" s="3">
        <v>0.55278504225792902</v>
      </c>
      <c r="E881" s="3">
        <v>-5.83730487652935</v>
      </c>
      <c r="F881" s="4">
        <v>5.3051967206896599E-9</v>
      </c>
      <c r="G881" s="4">
        <v>9.7695624823534694E-8</v>
      </c>
      <c r="H881" s="3" t="str">
        <f>"LINC00870"</f>
        <v>LINC00870</v>
      </c>
      <c r="I881" s="3" t="str">
        <f>"lincRNA"</f>
        <v>lincRNA</v>
      </c>
    </row>
    <row r="882" spans="1:9" x14ac:dyDescent="0.2">
      <c r="A882" s="3" t="str">
        <f>"ENSG00000172986.12"</f>
        <v>ENSG00000172986.12</v>
      </c>
      <c r="B882" s="3">
        <v>260.26406265270799</v>
      </c>
      <c r="C882" s="3">
        <v>-2.3406882721653401</v>
      </c>
      <c r="D882" s="3">
        <v>0.32194114442654498</v>
      </c>
      <c r="E882" s="3">
        <v>-7.2705471564831301</v>
      </c>
      <c r="F882" s="4">
        <v>3.58034294959701E-13</v>
      </c>
      <c r="G882" s="4">
        <v>1.0930039671979699E-11</v>
      </c>
      <c r="H882" s="3" t="str">
        <f>"GXYLT2"</f>
        <v>GXYLT2</v>
      </c>
      <c r="I882" s="3" t="str">
        <f>"protein_coding"</f>
        <v>protein_coding</v>
      </c>
    </row>
    <row r="883" spans="1:9" x14ac:dyDescent="0.2">
      <c r="A883" s="3" t="str">
        <f>"ENSG00000242741.1"</f>
        <v>ENSG00000242741.1</v>
      </c>
      <c r="B883" s="3">
        <v>35.364466191658998</v>
      </c>
      <c r="C883" s="3">
        <v>4.5752101660302102</v>
      </c>
      <c r="D883" s="3">
        <v>0.82464196704235704</v>
      </c>
      <c r="E883" s="3">
        <v>5.5481170603523298</v>
      </c>
      <c r="F883" s="4">
        <v>2.8876252401248001E-8</v>
      </c>
      <c r="G883" s="4">
        <v>4.71983189833265E-7</v>
      </c>
      <c r="H883" s="3" t="str">
        <f>"LINC02005"</f>
        <v>LINC02005</v>
      </c>
      <c r="I883" s="3" t="str">
        <f>"lincRNA"</f>
        <v>lincRNA</v>
      </c>
    </row>
    <row r="884" spans="1:9" x14ac:dyDescent="0.2">
      <c r="A884" s="3" t="str">
        <f>"ENSG00000240241.5"</f>
        <v>ENSG00000240241.5</v>
      </c>
      <c r="B884" s="3">
        <v>65.476630961285693</v>
      </c>
      <c r="C884" s="3">
        <v>4.01428674552659</v>
      </c>
      <c r="D884" s="3">
        <v>0.58347142722023704</v>
      </c>
      <c r="E884" s="3">
        <v>6.8800057007956301</v>
      </c>
      <c r="F884" s="4">
        <v>5.9850165503044896E-12</v>
      </c>
      <c r="G884" s="4">
        <v>1.5797806014995701E-10</v>
      </c>
      <c r="H884" s="3" t="str">
        <f>"AC108752.1"</f>
        <v>AC108752.1</v>
      </c>
      <c r="I884" s="3" t="str">
        <f>"lincRNA"</f>
        <v>lincRNA</v>
      </c>
    </row>
    <row r="885" spans="1:9" x14ac:dyDescent="0.2">
      <c r="A885" s="3" t="str">
        <f>"ENSG00000114480.13"</f>
        <v>ENSG00000114480.13</v>
      </c>
      <c r="B885" s="3">
        <v>2012.88954038271</v>
      </c>
      <c r="C885" s="3">
        <v>2.2343157435527199</v>
      </c>
      <c r="D885" s="3">
        <v>0.25109256709562999</v>
      </c>
      <c r="E885" s="3">
        <v>8.8983746886532504</v>
      </c>
      <c r="F885" s="4">
        <v>5.66704240956365E-19</v>
      </c>
      <c r="G885" s="4">
        <v>2.8397301157883198E-17</v>
      </c>
      <c r="H885" s="3" t="str">
        <f>"GBE1"</f>
        <v>GBE1</v>
      </c>
      <c r="I885" s="3" t="str">
        <f>"protein_coding"</f>
        <v>protein_coding</v>
      </c>
    </row>
    <row r="886" spans="1:9" x14ac:dyDescent="0.2">
      <c r="A886" s="3" t="str">
        <f>"ENSG00000241319.1"</f>
        <v>ENSG00000241319.1</v>
      </c>
      <c r="B886" s="3">
        <v>24.8142298153528</v>
      </c>
      <c r="C886" s="3">
        <v>2.5289625858490501</v>
      </c>
      <c r="D886" s="3">
        <v>0.82888211690657898</v>
      </c>
      <c r="E886" s="3">
        <v>3.0510521752927202</v>
      </c>
      <c r="F886" s="3">
        <v>2.2804094386063502E-3</v>
      </c>
      <c r="G886" s="3">
        <v>1.2254582232032201E-2</v>
      </c>
      <c r="H886" s="3" t="str">
        <f>"SETP6"</f>
        <v>SETP6</v>
      </c>
      <c r="I886" s="3" t="str">
        <f>"processed_pseudogene"</f>
        <v>processed_pseudogene</v>
      </c>
    </row>
    <row r="887" spans="1:9" x14ac:dyDescent="0.2">
      <c r="A887" s="3" t="str">
        <f>"ENSG00000206538.9"</f>
        <v>ENSG00000206538.9</v>
      </c>
      <c r="B887" s="3">
        <v>68.921656500097896</v>
      </c>
      <c r="C887" s="3">
        <v>2.4651736796248902</v>
      </c>
      <c r="D887" s="3">
        <v>0.50099619576988297</v>
      </c>
      <c r="E887" s="3">
        <v>4.9205437095917404</v>
      </c>
      <c r="F887" s="4">
        <v>8.6304122792929402E-7</v>
      </c>
      <c r="G887" s="4">
        <v>1.0909448285709199E-5</v>
      </c>
      <c r="H887" s="3" t="str">
        <f>"VGLL3"</f>
        <v>VGLL3</v>
      </c>
      <c r="I887" s="3" t="str">
        <f>"protein_coding"</f>
        <v>protein_coding</v>
      </c>
    </row>
    <row r="888" spans="1:9" x14ac:dyDescent="0.2">
      <c r="A888" s="3" t="str">
        <f>"ENSG00000175105.7"</f>
        <v>ENSG00000175105.7</v>
      </c>
      <c r="B888" s="3">
        <v>1225.5016316531601</v>
      </c>
      <c r="C888" s="3">
        <v>2.8440682970303999</v>
      </c>
      <c r="D888" s="3">
        <v>0.26362900305604497</v>
      </c>
      <c r="E888" s="3">
        <v>10.7881464636339</v>
      </c>
      <c r="F888" s="4">
        <v>3.9160796591917298E-27</v>
      </c>
      <c r="G888" s="4">
        <v>3.46862619109042E-25</v>
      </c>
      <c r="H888" s="3" t="str">
        <f>"ZNF654"</f>
        <v>ZNF654</v>
      </c>
      <c r="I888" s="3" t="str">
        <f>"protein_coding"</f>
        <v>protein_coding</v>
      </c>
    </row>
    <row r="889" spans="1:9" x14ac:dyDescent="0.2">
      <c r="A889" s="3" t="str">
        <f>"ENSG00000169379.15"</f>
        <v>ENSG00000169379.15</v>
      </c>
      <c r="B889" s="3">
        <v>457.27091378820501</v>
      </c>
      <c r="C889" s="3">
        <v>-1.2269405807561</v>
      </c>
      <c r="D889" s="3">
        <v>0.28032551507977599</v>
      </c>
      <c r="E889" s="3">
        <v>-4.37684233062744</v>
      </c>
      <c r="F889" s="4">
        <v>1.20411011073799E-5</v>
      </c>
      <c r="G889" s="3">
        <v>1.20964016915392E-4</v>
      </c>
      <c r="H889" s="3" t="str">
        <f>"ARL13B"</f>
        <v>ARL13B</v>
      </c>
      <c r="I889" s="3" t="str">
        <f>"protein_coding"</f>
        <v>protein_coding</v>
      </c>
    </row>
    <row r="890" spans="1:9" x14ac:dyDescent="0.2">
      <c r="A890" s="3" t="str">
        <f>"ENSG00000206712.1"</f>
        <v>ENSG00000206712.1</v>
      </c>
      <c r="B890" s="3">
        <v>55.249509756634303</v>
      </c>
      <c r="C890" s="3">
        <v>1.25231416954778</v>
      </c>
      <c r="D890" s="3">
        <v>0.49893313685343199</v>
      </c>
      <c r="E890" s="3">
        <v>2.5099839578618002</v>
      </c>
      <c r="F890" s="3">
        <v>1.20736646419997E-2</v>
      </c>
      <c r="G890" s="3">
        <v>4.9288061354998899E-2</v>
      </c>
      <c r="H890" s="3" t="str">
        <f>"RNU6-26P"</f>
        <v>RNU6-26P</v>
      </c>
      <c r="I890" s="3" t="str">
        <f>"snRNA"</f>
        <v>snRNA</v>
      </c>
    </row>
    <row r="891" spans="1:9" x14ac:dyDescent="0.2">
      <c r="A891" s="3" t="str">
        <f>"ENSG00000206535.8"</f>
        <v>ENSG00000206535.8</v>
      </c>
      <c r="B891" s="3">
        <v>198.25004418132801</v>
      </c>
      <c r="C891" s="3">
        <v>-1.4285760999216499</v>
      </c>
      <c r="D891" s="3">
        <v>0.32798502356809101</v>
      </c>
      <c r="E891" s="3">
        <v>-4.3556138154737196</v>
      </c>
      <c r="F891" s="4">
        <v>1.32694545683737E-5</v>
      </c>
      <c r="G891" s="3">
        <v>1.3172578124208401E-4</v>
      </c>
      <c r="H891" s="3" t="str">
        <f>"LNP1"</f>
        <v>LNP1</v>
      </c>
      <c r="I891" s="3" t="str">
        <f>"protein_coding"</f>
        <v>protein_coding</v>
      </c>
    </row>
    <row r="892" spans="1:9" x14ac:dyDescent="0.2">
      <c r="A892" s="3" t="str">
        <f>"ENSG00000181458.10"</f>
        <v>ENSG00000181458.10</v>
      </c>
      <c r="B892" s="3">
        <v>180.16390769955899</v>
      </c>
      <c r="C892" s="3">
        <v>-1.2884284947092</v>
      </c>
      <c r="D892" s="3">
        <v>0.37023553846217</v>
      </c>
      <c r="E892" s="3">
        <v>-3.4800238249976898</v>
      </c>
      <c r="F892" s="3">
        <v>5.0136919487054797E-4</v>
      </c>
      <c r="G892" s="3">
        <v>3.3488959365291101E-3</v>
      </c>
      <c r="H892" s="3" t="str">
        <f>"TMEM45A"</f>
        <v>TMEM45A</v>
      </c>
      <c r="I892" s="3" t="str">
        <f>"protein_coding"</f>
        <v>protein_coding</v>
      </c>
    </row>
    <row r="893" spans="1:9" x14ac:dyDescent="0.2">
      <c r="A893" s="3" t="str">
        <f>"ENSG00000243701.6"</f>
        <v>ENSG00000243701.6</v>
      </c>
      <c r="B893" s="3">
        <v>125.849111729594</v>
      </c>
      <c r="C893" s="3">
        <v>3.12754921582283</v>
      </c>
      <c r="D893" s="3">
        <v>0.41481272759246202</v>
      </c>
      <c r="E893" s="3">
        <v>7.5396655111689999</v>
      </c>
      <c r="F893" s="4">
        <v>4.7117844108506898E-14</v>
      </c>
      <c r="G893" s="4">
        <v>1.55340677398361E-12</v>
      </c>
      <c r="H893" s="3" t="str">
        <f>"DUBR"</f>
        <v>DUBR</v>
      </c>
      <c r="I893" s="3" t="str">
        <f>"lincRNA"</f>
        <v>lincRNA</v>
      </c>
    </row>
    <row r="894" spans="1:9" x14ac:dyDescent="0.2">
      <c r="A894" s="3" t="str">
        <f>"ENSG00000114446.5"</f>
        <v>ENSG00000114446.5</v>
      </c>
      <c r="B894" s="3">
        <v>337.37561279059599</v>
      </c>
      <c r="C894" s="3">
        <v>-1.3088773465732499</v>
      </c>
      <c r="D894" s="3">
        <v>0.30702609042382001</v>
      </c>
      <c r="E894" s="3">
        <v>-4.2630818272364603</v>
      </c>
      <c r="F894" s="4">
        <v>2.01626641605055E-5</v>
      </c>
      <c r="G894" s="3">
        <v>1.92848599603618E-4</v>
      </c>
      <c r="H894" s="3" t="str">
        <f>"IFT57"</f>
        <v>IFT57</v>
      </c>
      <c r="I894" s="3" t="str">
        <f>"protein_coding"</f>
        <v>protein_coding</v>
      </c>
    </row>
    <row r="895" spans="1:9" x14ac:dyDescent="0.2">
      <c r="A895" s="3" t="str">
        <f>"ENSG00000163507.14"</f>
        <v>ENSG00000163507.14</v>
      </c>
      <c r="B895" s="3">
        <v>2089.1301353434201</v>
      </c>
      <c r="C895" s="3">
        <v>-1.10350180515313</v>
      </c>
      <c r="D895" s="3">
        <v>0.25771006335705099</v>
      </c>
      <c r="E895" s="3">
        <v>-4.2819507735879903</v>
      </c>
      <c r="F895" s="4">
        <v>1.8526197197118401E-5</v>
      </c>
      <c r="G895" s="3">
        <v>1.78923713094603E-4</v>
      </c>
      <c r="H895" s="3" t="str">
        <f>"CIP2A"</f>
        <v>CIP2A</v>
      </c>
      <c r="I895" s="3" t="str">
        <f>"protein_coding"</f>
        <v>protein_coding</v>
      </c>
    </row>
    <row r="896" spans="1:9" x14ac:dyDescent="0.2">
      <c r="A896" s="3" t="str">
        <f>"ENSG00000240891.7"</f>
        <v>ENSG00000240891.7</v>
      </c>
      <c r="B896" s="3">
        <v>1203.2855167809901</v>
      </c>
      <c r="C896" s="3">
        <v>3.4932003881258402</v>
      </c>
      <c r="D896" s="3">
        <v>0.26153353386884098</v>
      </c>
      <c r="E896" s="3">
        <v>13.356606078200601</v>
      </c>
      <c r="F896" s="4">
        <v>1.0839473705257E-40</v>
      </c>
      <c r="G896" s="4">
        <v>1.9067619654247501E-38</v>
      </c>
      <c r="H896" s="3" t="str">
        <f>"PLCXD2"</f>
        <v>PLCXD2</v>
      </c>
      <c r="I896" s="3" t="str">
        <f>"protein_coding"</f>
        <v>protein_coding</v>
      </c>
    </row>
    <row r="897" spans="1:9" x14ac:dyDescent="0.2">
      <c r="A897" s="3" t="str">
        <f>"ENSG00000176040.13"</f>
        <v>ENSG00000176040.13</v>
      </c>
      <c r="B897" s="3">
        <v>27.9493005706113</v>
      </c>
      <c r="C897" s="3">
        <v>2.8432324392662198</v>
      </c>
      <c r="D897" s="3">
        <v>0.76559177811419199</v>
      </c>
      <c r="E897" s="3">
        <v>3.7137708639840401</v>
      </c>
      <c r="F897" s="3">
        <v>2.0419369147151999E-4</v>
      </c>
      <c r="G897" s="3">
        <v>1.5205720275210501E-3</v>
      </c>
      <c r="H897" s="3" t="str">
        <f>"TMPRSS7"</f>
        <v>TMPRSS7</v>
      </c>
      <c r="I897" s="3" t="str">
        <f>"protein_coding"</f>
        <v>protein_coding</v>
      </c>
    </row>
    <row r="898" spans="1:9" x14ac:dyDescent="0.2">
      <c r="A898" s="3" t="str">
        <f>"ENSG00000114529.12"</f>
        <v>ENSG00000114529.12</v>
      </c>
      <c r="B898" s="3">
        <v>235.51893444068099</v>
      </c>
      <c r="C898" s="3">
        <v>2.9336133151455499</v>
      </c>
      <c r="D898" s="3">
        <v>0.34428978316564401</v>
      </c>
      <c r="E898" s="3">
        <v>8.5207678490248409</v>
      </c>
      <c r="F898" s="4">
        <v>1.5849895659037399E-17</v>
      </c>
      <c r="G898" s="4">
        <v>7.2229008207080596E-16</v>
      </c>
      <c r="H898" s="3" t="str">
        <f>"C3orf52"</f>
        <v>C3orf52</v>
      </c>
      <c r="I898" s="3" t="str">
        <f>"protein_coding"</f>
        <v>protein_coding</v>
      </c>
    </row>
    <row r="899" spans="1:9" x14ac:dyDescent="0.2">
      <c r="A899" s="3" t="str">
        <f>"ENSG00000261488.1"</f>
        <v>ENSG00000261488.1</v>
      </c>
      <c r="B899" s="3">
        <v>26.882720436059198</v>
      </c>
      <c r="C899" s="3">
        <v>3.38066629540918</v>
      </c>
      <c r="D899" s="3">
        <v>0.77393995052332099</v>
      </c>
      <c r="E899" s="3">
        <v>4.3681248049325303</v>
      </c>
      <c r="F899" s="4">
        <v>1.2531787763064799E-5</v>
      </c>
      <c r="G899" s="3">
        <v>1.2504447488294199E-4</v>
      </c>
      <c r="H899" s="3" t="str">
        <f>"TBILA"</f>
        <v>TBILA</v>
      </c>
      <c r="I899" s="3" t="str">
        <f>"antisense"</f>
        <v>antisense</v>
      </c>
    </row>
    <row r="900" spans="1:9" x14ac:dyDescent="0.2">
      <c r="A900" s="3" t="str">
        <f>"ENSG00000184307.15"</f>
        <v>ENSG00000184307.15</v>
      </c>
      <c r="B900" s="3">
        <v>721.88244059316503</v>
      </c>
      <c r="C900" s="3">
        <v>-1.0398803516153901</v>
      </c>
      <c r="D900" s="3">
        <v>0.27382416087897199</v>
      </c>
      <c r="E900" s="3">
        <v>-3.7976208829687699</v>
      </c>
      <c r="F900" s="3">
        <v>1.4609153671771001E-4</v>
      </c>
      <c r="G900" s="3">
        <v>1.1324907877146399E-3</v>
      </c>
      <c r="H900" s="3" t="str">
        <f>"ZDHHC23"</f>
        <v>ZDHHC23</v>
      </c>
      <c r="I900" s="3" t="str">
        <f>"protein_coding"</f>
        <v>protein_coding</v>
      </c>
    </row>
    <row r="901" spans="1:9" x14ac:dyDescent="0.2">
      <c r="A901" s="3" t="str">
        <f>"ENSG00000181722.16"</f>
        <v>ENSG00000181722.16</v>
      </c>
      <c r="B901" s="3">
        <v>1524.8579913808101</v>
      </c>
      <c r="C901" s="3">
        <v>1.56969274695497</v>
      </c>
      <c r="D901" s="3">
        <v>0.24571735830533201</v>
      </c>
      <c r="E901" s="3">
        <v>6.3882045525023301</v>
      </c>
      <c r="F901" s="4">
        <v>1.6784472746853899E-10</v>
      </c>
      <c r="G901" s="4">
        <v>3.7496750616972499E-9</v>
      </c>
      <c r="H901" s="3" t="str">
        <f>"ZBTB20"</f>
        <v>ZBTB20</v>
      </c>
      <c r="I901" s="3" t="str">
        <f>"protein_coding"</f>
        <v>protein_coding</v>
      </c>
    </row>
    <row r="902" spans="1:9" x14ac:dyDescent="0.2">
      <c r="A902" s="3" t="str">
        <f>"ENSG00000082701.15"</f>
        <v>ENSG00000082701.15</v>
      </c>
      <c r="B902" s="3">
        <v>2547.4595133788398</v>
      </c>
      <c r="C902" s="3">
        <v>1.00472532784933</v>
      </c>
      <c r="D902" s="3">
        <v>0.24373926554303901</v>
      </c>
      <c r="E902" s="3">
        <v>4.12213159669147</v>
      </c>
      <c r="F902" s="4">
        <v>3.7538264340293197E-5</v>
      </c>
      <c r="G902" s="3">
        <v>3.3857118661888698E-4</v>
      </c>
      <c r="H902" s="3" t="str">
        <f>"GSK3B"</f>
        <v>GSK3B</v>
      </c>
      <c r="I902" s="3" t="str">
        <f>"protein_coding"</f>
        <v>protein_coding</v>
      </c>
    </row>
    <row r="903" spans="1:9" x14ac:dyDescent="0.2">
      <c r="A903" s="3" t="str">
        <f>"ENSG00000242622.1"</f>
        <v>ENSG00000242622.1</v>
      </c>
      <c r="B903" s="3">
        <v>281.38677043641002</v>
      </c>
      <c r="C903" s="3">
        <v>-1.1156250447162801</v>
      </c>
      <c r="D903" s="3">
        <v>0.30070809674537802</v>
      </c>
      <c r="E903" s="3">
        <v>-3.7099933682894002</v>
      </c>
      <c r="F903" s="3">
        <v>2.07264676532941E-4</v>
      </c>
      <c r="G903" s="3">
        <v>1.5411596033656899E-3</v>
      </c>
      <c r="H903" s="3" t="str">
        <f>"AC092910.3"</f>
        <v>AC092910.3</v>
      </c>
      <c r="I903" s="3" t="str">
        <f>"lincRNA"</f>
        <v>lincRNA</v>
      </c>
    </row>
    <row r="904" spans="1:9" x14ac:dyDescent="0.2">
      <c r="A904" s="3" t="str">
        <f>"ENSG00000163428.4"</f>
        <v>ENSG00000163428.4</v>
      </c>
      <c r="B904" s="3">
        <v>2632.09531415735</v>
      </c>
      <c r="C904" s="3">
        <v>-1.4904012099675701</v>
      </c>
      <c r="D904" s="3">
        <v>0.24824298789150401</v>
      </c>
      <c r="E904" s="3">
        <v>-6.0037998359049398</v>
      </c>
      <c r="F904" s="4">
        <v>1.9275230751877201E-9</v>
      </c>
      <c r="G904" s="4">
        <v>3.7499491845589403E-8</v>
      </c>
      <c r="H904" s="3" t="str">
        <f>"LRRC58"</f>
        <v>LRRC58</v>
      </c>
      <c r="I904" s="3" t="str">
        <f>"protein_coding"</f>
        <v>protein_coding</v>
      </c>
    </row>
    <row r="905" spans="1:9" x14ac:dyDescent="0.2">
      <c r="A905" s="3" t="str">
        <f>"ENSG00000121552.4"</f>
        <v>ENSG00000121552.4</v>
      </c>
      <c r="B905" s="3">
        <v>7069.40396293716</v>
      </c>
      <c r="C905" s="3">
        <v>10.5392833629487</v>
      </c>
      <c r="D905" s="3">
        <v>0.42555402862088498</v>
      </c>
      <c r="E905" s="3">
        <v>24.7660288802902</v>
      </c>
      <c r="F905" s="4">
        <v>2.0834105937207101E-135</v>
      </c>
      <c r="G905" s="4">
        <v>1.04816386970089E-131</v>
      </c>
      <c r="H905" s="3" t="str">
        <f>"CSTA"</f>
        <v>CSTA</v>
      </c>
      <c r="I905" s="3" t="str">
        <f>"protein_coding"</f>
        <v>protein_coding</v>
      </c>
    </row>
    <row r="906" spans="1:9" x14ac:dyDescent="0.2">
      <c r="A906" s="3" t="str">
        <f>"ENSG00000169087.11"</f>
        <v>ENSG00000169087.11</v>
      </c>
      <c r="B906" s="3">
        <v>305.172433041006</v>
      </c>
      <c r="C906" s="3">
        <v>1.03999569186359</v>
      </c>
      <c r="D906" s="3">
        <v>0.29570223231292803</v>
      </c>
      <c r="E906" s="3">
        <v>3.51703699944684</v>
      </c>
      <c r="F906" s="3">
        <v>4.3639294739127699E-4</v>
      </c>
      <c r="G906" s="3">
        <v>2.9725059820275099E-3</v>
      </c>
      <c r="H906" s="3" t="str">
        <f>"HSPBAP1"</f>
        <v>HSPBAP1</v>
      </c>
      <c r="I906" s="3" t="str">
        <f>"protein_coding"</f>
        <v>protein_coding</v>
      </c>
    </row>
    <row r="907" spans="1:9" x14ac:dyDescent="0.2">
      <c r="A907" s="3" t="str">
        <f>"ENSG00000273033.2"</f>
        <v>ENSG00000273033.2</v>
      </c>
      <c r="B907" s="3">
        <v>193.46640804051901</v>
      </c>
      <c r="C907" s="3">
        <v>1.0035304513191501</v>
      </c>
      <c r="D907" s="3">
        <v>0.33563161672699399</v>
      </c>
      <c r="E907" s="3">
        <v>2.9899759179583798</v>
      </c>
      <c r="F907" s="3">
        <v>2.7899944245219602E-3</v>
      </c>
      <c r="G907" s="3">
        <v>1.4494487763083401E-2</v>
      </c>
      <c r="H907" s="3" t="str">
        <f>"LINC02035"</f>
        <v>LINC02035</v>
      </c>
      <c r="I907" s="3" t="str">
        <f>"lincRNA"</f>
        <v>lincRNA</v>
      </c>
    </row>
    <row r="908" spans="1:9" x14ac:dyDescent="0.2">
      <c r="A908" s="3" t="str">
        <f>"ENSG00000121542.12"</f>
        <v>ENSG00000121542.12</v>
      </c>
      <c r="B908" s="3">
        <v>332.80840683621602</v>
      </c>
      <c r="C908" s="3">
        <v>1.38441987478985</v>
      </c>
      <c r="D908" s="3">
        <v>0.31491419231612999</v>
      </c>
      <c r="E908" s="3">
        <v>4.3961812727705896</v>
      </c>
      <c r="F908" s="4">
        <v>1.1017193739710399E-5</v>
      </c>
      <c r="G908" s="3">
        <v>1.11479287418509E-4</v>
      </c>
      <c r="H908" s="3" t="str">
        <f>"SEC22A"</f>
        <v>SEC22A</v>
      </c>
      <c r="I908" s="3" t="str">
        <f>"protein_coding"</f>
        <v>protein_coding</v>
      </c>
    </row>
    <row r="909" spans="1:9" x14ac:dyDescent="0.2">
      <c r="A909" s="3" t="str">
        <f>"ENSG00000280042.1"</f>
        <v>ENSG00000280042.1</v>
      </c>
      <c r="B909" s="3">
        <v>109.04861523704599</v>
      </c>
      <c r="C909" s="3">
        <v>1.4213953352114499</v>
      </c>
      <c r="D909" s="3">
        <v>0.39457995941780299</v>
      </c>
      <c r="E909" s="3">
        <v>3.6022998666954602</v>
      </c>
      <c r="F909" s="3">
        <v>3.1541421666024001E-4</v>
      </c>
      <c r="G909" s="3">
        <v>2.2425790333771502E-3</v>
      </c>
      <c r="H909" s="3" t="str">
        <f>"AC022336.3"</f>
        <v>AC022336.3</v>
      </c>
      <c r="I909" s="3" t="str">
        <f>"TEC"</f>
        <v>TEC</v>
      </c>
    </row>
    <row r="910" spans="1:9" x14ac:dyDescent="0.2">
      <c r="A910" s="3" t="str">
        <f>"ENSG00000243986.2"</f>
        <v>ENSG00000243986.2</v>
      </c>
      <c r="B910" s="3">
        <v>47.931017595129703</v>
      </c>
      <c r="C910" s="3">
        <v>1.7497023568777299</v>
      </c>
      <c r="D910" s="3">
        <v>0.53601525456273003</v>
      </c>
      <c r="E910" s="3">
        <v>3.26427716745693</v>
      </c>
      <c r="F910" s="3">
        <v>1.09743750386219E-3</v>
      </c>
      <c r="G910" s="3">
        <v>6.6027362854947204E-3</v>
      </c>
      <c r="H910" s="3" t="str">
        <f>"ENO1P3"</f>
        <v>ENO1P3</v>
      </c>
      <c r="I910" s="3" t="str">
        <f>"processed_pseudogene"</f>
        <v>processed_pseudogene</v>
      </c>
    </row>
    <row r="911" spans="1:9" x14ac:dyDescent="0.2">
      <c r="A911" s="3" t="str">
        <f>"ENSG00000173702.7"</f>
        <v>ENSG00000173702.7</v>
      </c>
      <c r="B911" s="3">
        <v>459.34924800774598</v>
      </c>
      <c r="C911" s="3">
        <v>-3.51032935854793</v>
      </c>
      <c r="D911" s="3">
        <v>0.35275454319642402</v>
      </c>
      <c r="E911" s="3">
        <v>-9.9511953176837693</v>
      </c>
      <c r="F911" s="4">
        <v>2.4917212491281601E-23</v>
      </c>
      <c r="G911" s="4">
        <v>1.68946760166628E-21</v>
      </c>
      <c r="H911" s="3" t="str">
        <f>"MUC13"</f>
        <v>MUC13</v>
      </c>
      <c r="I911" s="3" t="str">
        <f>"protein_coding"</f>
        <v>protein_coding</v>
      </c>
    </row>
    <row r="912" spans="1:9" x14ac:dyDescent="0.2">
      <c r="A912" s="3" t="str">
        <f>"ENSG00000171084.15"</f>
        <v>ENSG00000171084.15</v>
      </c>
      <c r="B912" s="3">
        <v>87.8367522378975</v>
      </c>
      <c r="C912" s="3">
        <v>1.09871198538147</v>
      </c>
      <c r="D912" s="3">
        <v>0.43352930794278899</v>
      </c>
      <c r="E912" s="3">
        <v>2.53434304267721</v>
      </c>
      <c r="F912" s="3">
        <v>1.1265838405947E-2</v>
      </c>
      <c r="G912" s="3">
        <v>4.6629227283994601E-2</v>
      </c>
      <c r="H912" s="3" t="str">
        <f>"FAM86JP"</f>
        <v>FAM86JP</v>
      </c>
      <c r="I912" s="3" t="str">
        <f>"transcribed_unprocessed_pseudogene"</f>
        <v>transcribed_unprocessed_pseudogene</v>
      </c>
    </row>
    <row r="913" spans="1:9" x14ac:dyDescent="0.2">
      <c r="A913" s="3" t="str">
        <f>"ENSG00000144908.13"</f>
        <v>ENSG00000144908.13</v>
      </c>
      <c r="B913" s="3">
        <v>1057.37790692369</v>
      </c>
      <c r="C913" s="3">
        <v>2.23887762325502</v>
      </c>
      <c r="D913" s="3">
        <v>0.30849710543230302</v>
      </c>
      <c r="E913" s="3">
        <v>7.2573699520377497</v>
      </c>
      <c r="F913" s="4">
        <v>3.94689143454677E-13</v>
      </c>
      <c r="G913" s="4">
        <v>1.19763635749124E-11</v>
      </c>
      <c r="H913" s="3" t="str">
        <f>"ALDH1L1"</f>
        <v>ALDH1L1</v>
      </c>
      <c r="I913" s="3" t="str">
        <f t="shared" ref="I913:I921" si="35">"protein_coding"</f>
        <v>protein_coding</v>
      </c>
    </row>
    <row r="914" spans="1:9" x14ac:dyDescent="0.2">
      <c r="A914" s="3" t="str">
        <f>"ENSG00000070476.15"</f>
        <v>ENSG00000070476.15</v>
      </c>
      <c r="B914" s="3">
        <v>1855.6197066899599</v>
      </c>
      <c r="C914" s="3">
        <v>1.1740232779755899</v>
      </c>
      <c r="D914" s="3">
        <v>0.25546061759605798</v>
      </c>
      <c r="E914" s="3">
        <v>4.5957114212883798</v>
      </c>
      <c r="F914" s="4">
        <v>4.3127524328171596E-6</v>
      </c>
      <c r="G914" s="4">
        <v>4.8088336634537097E-5</v>
      </c>
      <c r="H914" s="3" t="str">
        <f>"ZXDC"</f>
        <v>ZXDC</v>
      </c>
      <c r="I914" s="3" t="str">
        <f t="shared" si="35"/>
        <v>protein_coding</v>
      </c>
    </row>
    <row r="915" spans="1:9" x14ac:dyDescent="0.2">
      <c r="A915" s="3" t="str">
        <f>"ENSG00000073111.14"</f>
        <v>ENSG00000073111.14</v>
      </c>
      <c r="B915" s="3">
        <v>4937.8815208586502</v>
      </c>
      <c r="C915" s="3">
        <v>-2.1388415794200299</v>
      </c>
      <c r="D915" s="3">
        <v>0.31020236708684901</v>
      </c>
      <c r="E915" s="3">
        <v>-6.8949879380553103</v>
      </c>
      <c r="F915" s="4">
        <v>5.3869373777830901E-12</v>
      </c>
      <c r="G915" s="4">
        <v>1.4354704421412499E-10</v>
      </c>
      <c r="H915" s="3" t="str">
        <f>"MCM2"</f>
        <v>MCM2</v>
      </c>
      <c r="I915" s="3" t="str">
        <f t="shared" si="35"/>
        <v>protein_coding</v>
      </c>
    </row>
    <row r="916" spans="1:9" x14ac:dyDescent="0.2">
      <c r="A916" s="3" t="str">
        <f>"ENSG00000114631.11"</f>
        <v>ENSG00000114631.11</v>
      </c>
      <c r="B916" s="3">
        <v>724.99068730699901</v>
      </c>
      <c r="C916" s="3">
        <v>-1.2804842570397099</v>
      </c>
      <c r="D916" s="3">
        <v>0.29967709218468902</v>
      </c>
      <c r="E916" s="3">
        <v>-4.2728800112974703</v>
      </c>
      <c r="F916" s="4">
        <v>1.9296430598022299E-5</v>
      </c>
      <c r="G916" s="3">
        <v>1.8519714295812701E-4</v>
      </c>
      <c r="H916" s="3" t="str">
        <f>"PODXL2"</f>
        <v>PODXL2</v>
      </c>
      <c r="I916" s="3" t="str">
        <f t="shared" si="35"/>
        <v>protein_coding</v>
      </c>
    </row>
    <row r="917" spans="1:9" x14ac:dyDescent="0.2">
      <c r="A917" s="3" t="str">
        <f>"ENSG00000172780.16"</f>
        <v>ENSG00000172780.16</v>
      </c>
      <c r="B917" s="3">
        <v>232.72616815661601</v>
      </c>
      <c r="C917" s="3">
        <v>1.4056071894526001</v>
      </c>
      <c r="D917" s="3">
        <v>0.33277949351907898</v>
      </c>
      <c r="E917" s="3">
        <v>4.2238395599096803</v>
      </c>
      <c r="F917" s="4">
        <v>2.4017505832173E-5</v>
      </c>
      <c r="G917" s="3">
        <v>2.26531818225839E-4</v>
      </c>
      <c r="H917" s="3" t="str">
        <f>"RAB43"</f>
        <v>RAB43</v>
      </c>
      <c r="I917" s="3" t="str">
        <f t="shared" si="35"/>
        <v>protein_coding</v>
      </c>
    </row>
    <row r="918" spans="1:9" x14ac:dyDescent="0.2">
      <c r="A918" s="3" t="str">
        <f>"ENSG00000172771.12"</f>
        <v>ENSG00000172771.12</v>
      </c>
      <c r="B918" s="3">
        <v>83.917658987096402</v>
      </c>
      <c r="C918" s="3">
        <v>-2.0723854258929602</v>
      </c>
      <c r="D918" s="3">
        <v>0.45651116680650999</v>
      </c>
      <c r="E918" s="3">
        <v>-4.5396160632612403</v>
      </c>
      <c r="F918" s="4">
        <v>5.6356752392005399E-6</v>
      </c>
      <c r="G918" s="4">
        <v>6.1290709313484499E-5</v>
      </c>
      <c r="H918" s="3" t="str">
        <f>"EFCAB12"</f>
        <v>EFCAB12</v>
      </c>
      <c r="I918" s="3" t="str">
        <f t="shared" si="35"/>
        <v>protein_coding</v>
      </c>
    </row>
    <row r="919" spans="1:9" x14ac:dyDescent="0.2">
      <c r="A919" s="3" t="str">
        <f>"ENSG00000129071.9"</f>
        <v>ENSG00000129071.9</v>
      </c>
      <c r="B919" s="3">
        <v>1084.00240741622</v>
      </c>
      <c r="C919" s="3">
        <v>-1.4205338278645501</v>
      </c>
      <c r="D919" s="3">
        <v>0.27532421812211599</v>
      </c>
      <c r="E919" s="3">
        <v>-5.1594946407311397</v>
      </c>
      <c r="F919" s="4">
        <v>2.4761731142333402E-7</v>
      </c>
      <c r="G919" s="4">
        <v>3.46815894702337E-6</v>
      </c>
      <c r="H919" s="3" t="str">
        <f>"MBD4"</f>
        <v>MBD4</v>
      </c>
      <c r="I919" s="3" t="str">
        <f t="shared" si="35"/>
        <v>protein_coding</v>
      </c>
    </row>
    <row r="920" spans="1:9" x14ac:dyDescent="0.2">
      <c r="A920" s="3" t="str">
        <f>"ENSG00000163913.11"</f>
        <v>ENSG00000163913.11</v>
      </c>
      <c r="B920" s="3">
        <v>1028.6716780549</v>
      </c>
      <c r="C920" s="3">
        <v>-1.1982451225675601</v>
      </c>
      <c r="D920" s="3">
        <v>0.26896736034475699</v>
      </c>
      <c r="E920" s="3">
        <v>-4.4549833891802697</v>
      </c>
      <c r="F920" s="4">
        <v>8.3899690373017703E-6</v>
      </c>
      <c r="G920" s="4">
        <v>8.7681624899595302E-5</v>
      </c>
      <c r="H920" s="3" t="str">
        <f>"IFT122"</f>
        <v>IFT122</v>
      </c>
      <c r="I920" s="3" t="str">
        <f t="shared" si="35"/>
        <v>protein_coding</v>
      </c>
    </row>
    <row r="921" spans="1:9" x14ac:dyDescent="0.2">
      <c r="A921" s="3" t="str">
        <f>"ENSG00000251287.8"</f>
        <v>ENSG00000251287.8</v>
      </c>
      <c r="B921" s="3">
        <v>45.560410408013603</v>
      </c>
      <c r="C921" s="3">
        <v>3.8896055725820302</v>
      </c>
      <c r="D921" s="3">
        <v>0.66105029090394396</v>
      </c>
      <c r="E921" s="3">
        <v>5.8839783086143704</v>
      </c>
      <c r="F921" s="4">
        <v>4.0052035394459799E-9</v>
      </c>
      <c r="G921" s="4">
        <v>7.5019281485304303E-8</v>
      </c>
      <c r="H921" s="3" t="str">
        <f>"ALG1L2"</f>
        <v>ALG1L2</v>
      </c>
      <c r="I921" s="3" t="str">
        <f t="shared" si="35"/>
        <v>protein_coding</v>
      </c>
    </row>
    <row r="922" spans="1:9" x14ac:dyDescent="0.2">
      <c r="A922" s="3" t="str">
        <f>"ENSG00000248243.1"</f>
        <v>ENSG00000248243.1</v>
      </c>
      <c r="B922" s="3">
        <v>187.682276490839</v>
      </c>
      <c r="C922" s="3">
        <v>9.6301794876274496</v>
      </c>
      <c r="D922" s="3">
        <v>1.45362469682685</v>
      </c>
      <c r="E922" s="3">
        <v>6.6249421247791096</v>
      </c>
      <c r="F922" s="4">
        <v>3.4738425705311198E-11</v>
      </c>
      <c r="G922" s="4">
        <v>8.4023567174721404E-10</v>
      </c>
      <c r="H922" s="3" t="str">
        <f>"LINC02014"</f>
        <v>LINC02014</v>
      </c>
      <c r="I922" s="3" t="str">
        <f>"lincRNA"</f>
        <v>lincRNA</v>
      </c>
    </row>
    <row r="923" spans="1:9" x14ac:dyDescent="0.2">
      <c r="A923" s="3" t="str">
        <f>"ENSG00000244062.1"</f>
        <v>ENSG00000244062.1</v>
      </c>
      <c r="B923" s="3">
        <v>211.35651530261899</v>
      </c>
      <c r="C923" s="3">
        <v>-1.4799685381057099</v>
      </c>
      <c r="D923" s="3">
        <v>0.40340998580425702</v>
      </c>
      <c r="E923" s="3">
        <v>-3.6686462660441501</v>
      </c>
      <c r="F923" s="3">
        <v>2.4383817853384899E-4</v>
      </c>
      <c r="G923" s="3">
        <v>1.77841385358625E-3</v>
      </c>
      <c r="H923" s="3" t="str">
        <f>"AC080128.1"</f>
        <v>AC080128.1</v>
      </c>
      <c r="I923" s="3" t="str">
        <f>"processed_pseudogene"</f>
        <v>processed_pseudogene</v>
      </c>
    </row>
    <row r="924" spans="1:9" x14ac:dyDescent="0.2">
      <c r="A924" s="3" t="str">
        <f>"ENSG00000144867.11"</f>
        <v>ENSG00000144867.11</v>
      </c>
      <c r="B924" s="3">
        <v>1562.3282627646099</v>
      </c>
      <c r="C924" s="3">
        <v>-1.2370262002319199</v>
      </c>
      <c r="D924" s="3">
        <v>0.26519967021146901</v>
      </c>
      <c r="E924" s="3">
        <v>-4.6645088179993701</v>
      </c>
      <c r="F924" s="4">
        <v>3.0935506712102499E-6</v>
      </c>
      <c r="G924" s="4">
        <v>3.5211885581128502E-5</v>
      </c>
      <c r="H924" s="3" t="str">
        <f>"SRPRB"</f>
        <v>SRPRB</v>
      </c>
      <c r="I924" s="3" t="str">
        <f>"protein_coding"</f>
        <v>protein_coding</v>
      </c>
    </row>
    <row r="925" spans="1:9" x14ac:dyDescent="0.2">
      <c r="A925" s="3" t="str">
        <f>"ENSG00000158234.12"</f>
        <v>ENSG00000158234.12</v>
      </c>
      <c r="B925" s="3">
        <v>533.90981324336303</v>
      </c>
      <c r="C925" s="3">
        <v>-1.03363222298873</v>
      </c>
      <c r="D925" s="3">
        <v>0.27380302982948801</v>
      </c>
      <c r="E925" s="3">
        <v>-3.7750941749345701</v>
      </c>
      <c r="F925" s="3">
        <v>1.5994722491674299E-4</v>
      </c>
      <c r="G925" s="3">
        <v>1.2266684276770301E-3</v>
      </c>
      <c r="H925" s="3" t="str">
        <f>"FAIM"</f>
        <v>FAIM</v>
      </c>
      <c r="I925" s="3" t="str">
        <f>"protein_coding"</f>
        <v>protein_coding</v>
      </c>
    </row>
    <row r="926" spans="1:9" x14ac:dyDescent="0.2">
      <c r="A926" s="3" t="str">
        <f>"ENSG00000248932.5"</f>
        <v>ENSG00000248932.5</v>
      </c>
      <c r="B926" s="3">
        <v>58.052342687067203</v>
      </c>
      <c r="C926" s="3">
        <v>1.41631669422178</v>
      </c>
      <c r="D926" s="3">
        <v>0.50342442695896505</v>
      </c>
      <c r="E926" s="3">
        <v>2.8133650621153201</v>
      </c>
      <c r="F926" s="3">
        <v>4.9025957667684196E-3</v>
      </c>
      <c r="G926" s="3">
        <v>2.33216332286421E-2</v>
      </c>
      <c r="H926" s="3" t="str">
        <f>"AC097103.2"</f>
        <v>AC097103.2</v>
      </c>
      <c r="I926" s="3" t="str">
        <f>"antisense"</f>
        <v>antisense</v>
      </c>
    </row>
    <row r="927" spans="1:9" x14ac:dyDescent="0.2">
      <c r="A927" s="3" t="str">
        <f>"ENSG00000114115.9"</f>
        <v>ENSG00000114115.9</v>
      </c>
      <c r="B927" s="3">
        <v>993.23476137429498</v>
      </c>
      <c r="C927" s="3">
        <v>1.5288327850466901</v>
      </c>
      <c r="D927" s="3">
        <v>0.27012404908190402</v>
      </c>
      <c r="E927" s="3">
        <v>5.6597433299363198</v>
      </c>
      <c r="F927" s="4">
        <v>1.5159955784982801E-8</v>
      </c>
      <c r="G927" s="4">
        <v>2.6066212424555197E-7</v>
      </c>
      <c r="H927" s="3" t="str">
        <f>"RBP1"</f>
        <v>RBP1</v>
      </c>
      <c r="I927" s="3" t="str">
        <f t="shared" ref="I927:I932" si="36">"protein_coding"</f>
        <v>protein_coding</v>
      </c>
    </row>
    <row r="928" spans="1:9" x14ac:dyDescent="0.2">
      <c r="A928" s="3" t="str">
        <f>"ENSG00000163864.17"</f>
        <v>ENSG00000163864.17</v>
      </c>
      <c r="B928" s="3">
        <v>222.59426712409001</v>
      </c>
      <c r="C928" s="3">
        <v>1.7733549732263301</v>
      </c>
      <c r="D928" s="3">
        <v>0.32643493251143502</v>
      </c>
      <c r="E928" s="3">
        <v>5.4324914297099802</v>
      </c>
      <c r="F928" s="4">
        <v>5.5572623515488899E-8</v>
      </c>
      <c r="G928" s="4">
        <v>8.65055287457996E-7</v>
      </c>
      <c r="H928" s="3" t="str">
        <f>"NMNAT3"</f>
        <v>NMNAT3</v>
      </c>
      <c r="I928" s="3" t="str">
        <f t="shared" si="36"/>
        <v>protein_coding</v>
      </c>
    </row>
    <row r="929" spans="1:9" x14ac:dyDescent="0.2">
      <c r="A929" s="3" t="str">
        <f>"ENSG00000155893.13"</f>
        <v>ENSG00000155893.13</v>
      </c>
      <c r="B929" s="3">
        <v>449.15138512763099</v>
      </c>
      <c r="C929" s="3">
        <v>-1.2553710497099799</v>
      </c>
      <c r="D929" s="3">
        <v>0.277861895750108</v>
      </c>
      <c r="E929" s="3">
        <v>-4.5179676267629798</v>
      </c>
      <c r="F929" s="4">
        <v>6.2436027143273199E-6</v>
      </c>
      <c r="G929" s="4">
        <v>6.7176144687298501E-5</v>
      </c>
      <c r="H929" s="3" t="str">
        <f>"PXYLP1"</f>
        <v>PXYLP1</v>
      </c>
      <c r="I929" s="3" t="str">
        <f t="shared" si="36"/>
        <v>protein_coding</v>
      </c>
    </row>
    <row r="930" spans="1:9" x14ac:dyDescent="0.2">
      <c r="A930" s="3" t="str">
        <f>"ENSG00000069849.11"</f>
        <v>ENSG00000069849.11</v>
      </c>
      <c r="B930" s="3">
        <v>3407.69374363423</v>
      </c>
      <c r="C930" s="3">
        <v>-1.4309995869010499</v>
      </c>
      <c r="D930" s="3">
        <v>0.26151188519725499</v>
      </c>
      <c r="E930" s="3">
        <v>-5.4720250508754598</v>
      </c>
      <c r="F930" s="4">
        <v>4.4492192076262599E-8</v>
      </c>
      <c r="G930" s="4">
        <v>7.0434304070382999E-7</v>
      </c>
      <c r="H930" s="3" t="str">
        <f>"ATP1B3"</f>
        <v>ATP1B3</v>
      </c>
      <c r="I930" s="3" t="str">
        <f t="shared" si="36"/>
        <v>protein_coding</v>
      </c>
    </row>
    <row r="931" spans="1:9" x14ac:dyDescent="0.2">
      <c r="A931" s="3" t="str">
        <f>"ENSG00000163710.9"</f>
        <v>ENSG00000163710.9</v>
      </c>
      <c r="B931" s="3">
        <v>219.541363920858</v>
      </c>
      <c r="C931" s="3">
        <v>-3.59802977270071</v>
      </c>
      <c r="D931" s="3">
        <v>0.37242872801732302</v>
      </c>
      <c r="E931" s="3">
        <v>-9.6609888067854808</v>
      </c>
      <c r="F931" s="4">
        <v>4.41580906537612E-22</v>
      </c>
      <c r="G931" s="4">
        <v>2.71588452419404E-20</v>
      </c>
      <c r="H931" s="3" t="str">
        <f>"PCOLCE2"</f>
        <v>PCOLCE2</v>
      </c>
      <c r="I931" s="3" t="str">
        <f t="shared" si="36"/>
        <v>protein_coding</v>
      </c>
    </row>
    <row r="932" spans="1:9" x14ac:dyDescent="0.2">
      <c r="A932" s="3" t="str">
        <f>"ENSG00000188582.8"</f>
        <v>ENSG00000188582.8</v>
      </c>
      <c r="B932" s="3">
        <v>331.74005606601497</v>
      </c>
      <c r="C932" s="3">
        <v>-1.7295312307570501</v>
      </c>
      <c r="D932" s="3">
        <v>0.30235963608736799</v>
      </c>
      <c r="E932" s="3">
        <v>-5.7201128204073299</v>
      </c>
      <c r="F932" s="4">
        <v>1.0645334376325E-8</v>
      </c>
      <c r="G932" s="4">
        <v>1.8660863152366201E-7</v>
      </c>
      <c r="H932" s="3" t="str">
        <f>"PAQR9"</f>
        <v>PAQR9</v>
      </c>
      <c r="I932" s="3" t="str">
        <f t="shared" si="36"/>
        <v>protein_coding</v>
      </c>
    </row>
    <row r="933" spans="1:9" x14ac:dyDescent="0.2">
      <c r="A933" s="3" t="str">
        <f>"ENSG00000241570.8"</f>
        <v>ENSG00000241570.8</v>
      </c>
      <c r="B933" s="3">
        <v>22.248394070031701</v>
      </c>
      <c r="C933" s="3">
        <v>-2.92298709171361</v>
      </c>
      <c r="D933" s="3">
        <v>0.81243400521894704</v>
      </c>
      <c r="E933" s="3">
        <v>-3.5978148045709699</v>
      </c>
      <c r="F933" s="3">
        <v>3.2090197518093401E-4</v>
      </c>
      <c r="G933" s="3">
        <v>2.2770914487098399E-3</v>
      </c>
      <c r="H933" s="3" t="str">
        <f>"PAQR9-AS1"</f>
        <v>PAQR9-AS1</v>
      </c>
      <c r="I933" s="3" t="str">
        <f>"antisense"</f>
        <v>antisense</v>
      </c>
    </row>
    <row r="934" spans="1:9" x14ac:dyDescent="0.2">
      <c r="A934" s="3" t="str">
        <f>"ENSG00000114698.15"</f>
        <v>ENSG00000114698.15</v>
      </c>
      <c r="B934" s="3">
        <v>200.567515958927</v>
      </c>
      <c r="C934" s="3">
        <v>-1.0499248779244501</v>
      </c>
      <c r="D934" s="3">
        <v>0.335342478158899</v>
      </c>
      <c r="E934" s="3">
        <v>-3.1309033191642301</v>
      </c>
      <c r="F934" s="3">
        <v>1.7426952154355E-3</v>
      </c>
      <c r="G934" s="3">
        <v>9.7611886315475092E-3</v>
      </c>
      <c r="H934" s="3" t="str">
        <f>"PLSCR4"</f>
        <v>PLSCR4</v>
      </c>
      <c r="I934" s="3" t="str">
        <f>"protein_coding"</f>
        <v>protein_coding</v>
      </c>
    </row>
    <row r="935" spans="1:9" x14ac:dyDescent="0.2">
      <c r="A935" s="3" t="str">
        <f>"ENSG00000144891.17"</f>
        <v>ENSG00000144891.17</v>
      </c>
      <c r="B935" s="3">
        <v>55.154989744305901</v>
      </c>
      <c r="C935" s="3">
        <v>-3.7029673018350802</v>
      </c>
      <c r="D935" s="3">
        <v>0.60697556496658001</v>
      </c>
      <c r="E935" s="3">
        <v>-6.1006859510711404</v>
      </c>
      <c r="F935" s="4">
        <v>1.0561423502534601E-9</v>
      </c>
      <c r="G935" s="4">
        <v>2.1425210339214301E-8</v>
      </c>
      <c r="H935" s="3" t="str">
        <f>"AGTR1"</f>
        <v>AGTR1</v>
      </c>
      <c r="I935" s="3" t="str">
        <f>"protein_coding"</f>
        <v>protein_coding</v>
      </c>
    </row>
    <row r="936" spans="1:9" x14ac:dyDescent="0.2">
      <c r="A936" s="3" t="str">
        <f>"ENSG00000243885.1"</f>
        <v>ENSG00000243885.1</v>
      </c>
      <c r="B936" s="3">
        <v>113.14495721224699</v>
      </c>
      <c r="C936" s="3">
        <v>-1.58255199258024</v>
      </c>
      <c r="D936" s="3">
        <v>0.401875505100242</v>
      </c>
      <c r="E936" s="3">
        <v>-3.9379160274660099</v>
      </c>
      <c r="F936" s="4">
        <v>8.2192346258892803E-5</v>
      </c>
      <c r="G936" s="3">
        <v>6.8145961441741802E-4</v>
      </c>
      <c r="H936" s="3" t="str">
        <f>"AC108751.4"</f>
        <v>AC108751.4</v>
      </c>
      <c r="I936" s="3" t="str">
        <f>"lincRNA"</f>
        <v>lincRNA</v>
      </c>
    </row>
    <row r="937" spans="1:9" x14ac:dyDescent="0.2">
      <c r="A937" s="3" t="str">
        <f>"ENSG00000169903.6"</f>
        <v>ENSG00000169903.6</v>
      </c>
      <c r="B937" s="3">
        <v>19.6137072646119</v>
      </c>
      <c r="C937" s="3">
        <v>-2.2594225465173099</v>
      </c>
      <c r="D937" s="3">
        <v>0.812382153366906</v>
      </c>
      <c r="E937" s="3">
        <v>-2.7812311449151901</v>
      </c>
      <c r="F937" s="3">
        <v>5.41531647722717E-3</v>
      </c>
      <c r="G937" s="3">
        <v>2.5329543693687201E-2</v>
      </c>
      <c r="H937" s="3" t="str">
        <f>"TM4SF4"</f>
        <v>TM4SF4</v>
      </c>
      <c r="I937" s="3" t="str">
        <f>"protein_coding"</f>
        <v>protein_coding</v>
      </c>
    </row>
    <row r="938" spans="1:9" x14ac:dyDescent="0.2">
      <c r="A938" s="3" t="str">
        <f>"ENSG00000206199.10"</f>
        <v>ENSG00000206199.10</v>
      </c>
      <c r="B938" s="3">
        <v>87.673177758700305</v>
      </c>
      <c r="C938" s="3">
        <v>3.09618739919601</v>
      </c>
      <c r="D938" s="3">
        <v>0.49521257598197699</v>
      </c>
      <c r="E938" s="3">
        <v>6.2522390370568797</v>
      </c>
      <c r="F938" s="4">
        <v>4.04609472675789E-10</v>
      </c>
      <c r="G938" s="4">
        <v>8.69910366252947E-9</v>
      </c>
      <c r="H938" s="3" t="str">
        <f>"ANKUB1"</f>
        <v>ANKUB1</v>
      </c>
      <c r="I938" s="3" t="str">
        <f>"protein_coding"</f>
        <v>protein_coding</v>
      </c>
    </row>
    <row r="939" spans="1:9" x14ac:dyDescent="0.2">
      <c r="A939" s="3" t="str">
        <f>"ENSG00000243944.5"</f>
        <v>ENSG00000243944.5</v>
      </c>
      <c r="B939" s="3">
        <v>16.728704300041901</v>
      </c>
      <c r="C939" s="3">
        <v>-2.4288248954813199</v>
      </c>
      <c r="D939" s="3">
        <v>0.89032900570576101</v>
      </c>
      <c r="E939" s="3">
        <v>-2.7280082754981101</v>
      </c>
      <c r="F939" s="3">
        <v>6.37180094870342E-3</v>
      </c>
      <c r="G939" s="3">
        <v>2.8942335295167002E-2</v>
      </c>
      <c r="H939" s="3" t="str">
        <f>"AC117386.2"</f>
        <v>AC117386.2</v>
      </c>
      <c r="I939" s="3" t="str">
        <f>"antisense"</f>
        <v>antisense</v>
      </c>
    </row>
    <row r="940" spans="1:9" x14ac:dyDescent="0.2">
      <c r="A940" s="3" t="str">
        <f>"ENSG00000120742.11"</f>
        <v>ENSG00000120742.11</v>
      </c>
      <c r="B940" s="3">
        <v>4539.9136840339697</v>
      </c>
      <c r="C940" s="3">
        <v>-1.0547096385680601</v>
      </c>
      <c r="D940" s="3">
        <v>0.23688826598758</v>
      </c>
      <c r="E940" s="3">
        <v>-4.4523507070770503</v>
      </c>
      <c r="F940" s="4">
        <v>8.4935291967557098E-6</v>
      </c>
      <c r="G940" s="4">
        <v>8.86534136698713E-5</v>
      </c>
      <c r="H940" s="3" t="str">
        <f>"SERP1"</f>
        <v>SERP1</v>
      </c>
      <c r="I940" s="3" t="str">
        <f>"protein_coding"</f>
        <v>protein_coding</v>
      </c>
    </row>
    <row r="941" spans="1:9" x14ac:dyDescent="0.2">
      <c r="A941" s="3" t="str">
        <f>"ENSG00000138271.5"</f>
        <v>ENSG00000138271.5</v>
      </c>
      <c r="B941" s="3">
        <v>95.238450517207696</v>
      </c>
      <c r="C941" s="3">
        <v>8.6437032077357596</v>
      </c>
      <c r="D941" s="3">
        <v>1.4770231314315001</v>
      </c>
      <c r="E941" s="3">
        <v>5.8521109275780097</v>
      </c>
      <c r="F941" s="4">
        <v>4.8537271034591401E-9</v>
      </c>
      <c r="G941" s="4">
        <v>9.0173933004072805E-8</v>
      </c>
      <c r="H941" s="3" t="str">
        <f>"GPR87"</f>
        <v>GPR87</v>
      </c>
      <c r="I941" s="3" t="str">
        <f>"protein_coding"</f>
        <v>protein_coding</v>
      </c>
    </row>
    <row r="942" spans="1:9" x14ac:dyDescent="0.2">
      <c r="A942" s="3" t="str">
        <f>"ENSG00000240602.7"</f>
        <v>ENSG00000240602.7</v>
      </c>
      <c r="B942" s="3">
        <v>100.33405118200101</v>
      </c>
      <c r="C942" s="3">
        <v>-1.2986173925537701</v>
      </c>
      <c r="D942" s="3">
        <v>0.42444840707512999</v>
      </c>
      <c r="E942" s="3">
        <v>-3.05954120903063</v>
      </c>
      <c r="F942" s="3">
        <v>2.2167628838089199E-3</v>
      </c>
      <c r="G942" s="3">
        <v>1.19534127207317E-2</v>
      </c>
      <c r="H942" s="3" t="str">
        <f>"AADACP1"</f>
        <v>AADACP1</v>
      </c>
      <c r="I942" s="3" t="str">
        <f>"transcribed_unprocessed_pseudogene"</f>
        <v>transcribed_unprocessed_pseudogene</v>
      </c>
    </row>
    <row r="943" spans="1:9" x14ac:dyDescent="0.2">
      <c r="A943" s="3" t="str">
        <f>"ENSG00000181467.4"</f>
        <v>ENSG00000181467.4</v>
      </c>
      <c r="B943" s="3">
        <v>3880.7495784934399</v>
      </c>
      <c r="C943" s="3">
        <v>1.5992690045993501</v>
      </c>
      <c r="D943" s="3">
        <v>0.23892298377593199</v>
      </c>
      <c r="E943" s="3">
        <v>6.6936591002027104</v>
      </c>
      <c r="F943" s="4">
        <v>2.1765814294796301E-11</v>
      </c>
      <c r="G943" s="4">
        <v>5.3889671120630002E-10</v>
      </c>
      <c r="H943" s="3" t="str">
        <f>"RAP2B"</f>
        <v>RAP2B</v>
      </c>
      <c r="I943" s="3" t="str">
        <f>"protein_coding"</f>
        <v>protein_coding</v>
      </c>
    </row>
    <row r="944" spans="1:9" x14ac:dyDescent="0.2">
      <c r="A944" s="3" t="str">
        <f>"ENSG00000114805.17"</f>
        <v>ENSG00000114805.17</v>
      </c>
      <c r="B944" s="3">
        <v>227.537325917321</v>
      </c>
      <c r="C944" s="3">
        <v>-1.9553022423553601</v>
      </c>
      <c r="D944" s="3">
        <v>0.32169215928820499</v>
      </c>
      <c r="E944" s="3">
        <v>-6.07817811500838</v>
      </c>
      <c r="F944" s="4">
        <v>1.2155569321323501E-9</v>
      </c>
      <c r="G944" s="4">
        <v>2.4442313851150601E-8</v>
      </c>
      <c r="H944" s="3" t="str">
        <f>"PLCH1"</f>
        <v>PLCH1</v>
      </c>
      <c r="I944" s="3" t="str">
        <f>"protein_coding"</f>
        <v>protein_coding</v>
      </c>
    </row>
    <row r="945" spans="1:9" x14ac:dyDescent="0.2">
      <c r="A945" s="3" t="str">
        <f>"ENSG00000168811.7"</f>
        <v>ENSG00000168811.7</v>
      </c>
      <c r="B945" s="3">
        <v>31.775088867639798</v>
      </c>
      <c r="C945" s="3">
        <v>-2.6112938627900801</v>
      </c>
      <c r="D945" s="3">
        <v>0.68573376116997498</v>
      </c>
      <c r="E945" s="3">
        <v>-3.80802872872232</v>
      </c>
      <c r="F945" s="3">
        <v>1.4007900234466099E-4</v>
      </c>
      <c r="G945" s="3">
        <v>1.09058721881149E-3</v>
      </c>
      <c r="H945" s="3" t="str">
        <f>"IL12A"</f>
        <v>IL12A</v>
      </c>
      <c r="I945" s="3" t="str">
        <f>"protein_coding"</f>
        <v>protein_coding</v>
      </c>
    </row>
    <row r="946" spans="1:9" x14ac:dyDescent="0.2">
      <c r="A946" s="3" t="str">
        <f>"ENSG00000180044.5"</f>
        <v>ENSG00000180044.5</v>
      </c>
      <c r="B946" s="3">
        <v>4.9720917044530202</v>
      </c>
      <c r="C946" s="3">
        <v>-5.7092864768483302</v>
      </c>
      <c r="D946" s="3">
        <v>2.06083449740927</v>
      </c>
      <c r="E946" s="3">
        <v>-2.77037602195889</v>
      </c>
      <c r="F946" s="3">
        <v>5.5991611460012901E-3</v>
      </c>
      <c r="G946" s="3">
        <v>2.5991308106230401E-2</v>
      </c>
      <c r="H946" s="3" t="str">
        <f>"C3orf80"</f>
        <v>C3orf80</v>
      </c>
      <c r="I946" s="3" t="str">
        <f>"protein_coding"</f>
        <v>protein_coding</v>
      </c>
    </row>
    <row r="947" spans="1:9" x14ac:dyDescent="0.2">
      <c r="A947" s="3" t="str">
        <f>"ENSG00000229320.3"</f>
        <v>ENSG00000229320.3</v>
      </c>
      <c r="B947" s="3">
        <v>156.365789687827</v>
      </c>
      <c r="C947" s="3">
        <v>-1.2345930694546401</v>
      </c>
      <c r="D947" s="3">
        <v>0.350662021323217</v>
      </c>
      <c r="E947" s="3">
        <v>-3.52074930953723</v>
      </c>
      <c r="F947" s="3">
        <v>4.3032924666387701E-4</v>
      </c>
      <c r="G947" s="3">
        <v>2.9389726718870302E-3</v>
      </c>
      <c r="H947" s="3" t="str">
        <f>"KRT8P12"</f>
        <v>KRT8P12</v>
      </c>
      <c r="I947" s="3" t="str">
        <f>"transcribed_processed_pseudogene"</f>
        <v>transcribed_processed_pseudogene</v>
      </c>
    </row>
    <row r="948" spans="1:9" x14ac:dyDescent="0.2">
      <c r="A948" s="3" t="str">
        <f>"ENSG00000163590.14"</f>
        <v>ENSG00000163590.14</v>
      </c>
      <c r="B948" s="3">
        <v>240.44054570072501</v>
      </c>
      <c r="C948" s="3">
        <v>-2.6227203139976498</v>
      </c>
      <c r="D948" s="3">
        <v>0.33277325884110198</v>
      </c>
      <c r="E948" s="3">
        <v>-7.8814034611176096</v>
      </c>
      <c r="F948" s="4">
        <v>3.2372417654217501E-15</v>
      </c>
      <c r="G948" s="4">
        <v>1.2010739912859001E-13</v>
      </c>
      <c r="H948" s="3" t="str">
        <f>"PPM1L"</f>
        <v>PPM1L</v>
      </c>
      <c r="I948" s="3" t="str">
        <f t="shared" ref="I948:I956" si="37">"protein_coding"</f>
        <v>protein_coding</v>
      </c>
    </row>
    <row r="949" spans="1:9" x14ac:dyDescent="0.2">
      <c r="A949" s="3" t="str">
        <f>"ENSG00000169064.12"</f>
        <v>ENSG00000169064.12</v>
      </c>
      <c r="B949" s="3">
        <v>28.170244092820798</v>
      </c>
      <c r="C949" s="3">
        <v>3.0378014891077898</v>
      </c>
      <c r="D949" s="3">
        <v>0.75602695673412301</v>
      </c>
      <c r="E949" s="3">
        <v>4.0181126639061304</v>
      </c>
      <c r="F949" s="4">
        <v>5.8666147329748299E-5</v>
      </c>
      <c r="G949" s="3">
        <v>5.0695531984878701E-4</v>
      </c>
      <c r="H949" s="3" t="str">
        <f>"ZBBX"</f>
        <v>ZBBX</v>
      </c>
      <c r="I949" s="3" t="str">
        <f t="shared" si="37"/>
        <v>protein_coding</v>
      </c>
    </row>
    <row r="950" spans="1:9" x14ac:dyDescent="0.2">
      <c r="A950" s="3" t="str">
        <f>"ENSG00000163536.12"</f>
        <v>ENSG00000163536.12</v>
      </c>
      <c r="B950" s="3">
        <v>143.456887054264</v>
      </c>
      <c r="C950" s="3">
        <v>-2.5920301235792902</v>
      </c>
      <c r="D950" s="3">
        <v>0.38604911507050099</v>
      </c>
      <c r="E950" s="3">
        <v>-6.7142496184868499</v>
      </c>
      <c r="F950" s="4">
        <v>1.8903646568717699E-11</v>
      </c>
      <c r="G950" s="4">
        <v>4.7081309845157797E-10</v>
      </c>
      <c r="H950" s="3" t="str">
        <f>"SERPINI1"</f>
        <v>SERPINI1</v>
      </c>
      <c r="I950" s="3" t="str">
        <f t="shared" si="37"/>
        <v>protein_coding</v>
      </c>
    </row>
    <row r="951" spans="1:9" x14ac:dyDescent="0.2">
      <c r="A951" s="3" t="str">
        <f>"ENSG00000184378.3"</f>
        <v>ENSG00000184378.3</v>
      </c>
      <c r="B951" s="3">
        <v>20.561344507921699</v>
      </c>
      <c r="C951" s="3">
        <v>-2.6373079827588302</v>
      </c>
      <c r="D951" s="3">
        <v>0.82059902019824504</v>
      </c>
      <c r="E951" s="3">
        <v>-3.21388146688464</v>
      </c>
      <c r="F951" s="3">
        <v>1.3095372081961499E-3</v>
      </c>
      <c r="G951" s="3">
        <v>7.6750718714292303E-3</v>
      </c>
      <c r="H951" s="3" t="str">
        <f>"ACTRT3"</f>
        <v>ACTRT3</v>
      </c>
      <c r="I951" s="3" t="str">
        <f t="shared" si="37"/>
        <v>protein_coding</v>
      </c>
    </row>
    <row r="952" spans="1:9" x14ac:dyDescent="0.2">
      <c r="A952" s="3" t="str">
        <f>"ENSG00000013297.11"</f>
        <v>ENSG00000013297.11</v>
      </c>
      <c r="B952" s="3">
        <v>255.584734080809</v>
      </c>
      <c r="C952" s="3">
        <v>-4.3839646426584302</v>
      </c>
      <c r="D952" s="3">
        <v>0.37050039335392898</v>
      </c>
      <c r="E952" s="3">
        <v>-11.8325505756496</v>
      </c>
      <c r="F952" s="4">
        <v>2.6496609127345498E-32</v>
      </c>
      <c r="G952" s="4">
        <v>3.0159375683184398E-30</v>
      </c>
      <c r="H952" s="3" t="str">
        <f>"CLDN11"</f>
        <v>CLDN11</v>
      </c>
      <c r="I952" s="3" t="str">
        <f t="shared" si="37"/>
        <v>protein_coding</v>
      </c>
    </row>
    <row r="953" spans="1:9" x14ac:dyDescent="0.2">
      <c r="A953" s="3" t="str">
        <f>"ENSG00000163584.18"</f>
        <v>ENSG00000163584.18</v>
      </c>
      <c r="B953" s="3">
        <v>675.35883453148597</v>
      </c>
      <c r="C953" s="3">
        <v>-1.0407298159209999</v>
      </c>
      <c r="D953" s="3">
        <v>0.27262184541268702</v>
      </c>
      <c r="E953" s="3">
        <v>-3.8174850380958198</v>
      </c>
      <c r="F953" s="3">
        <v>1.3481896032662601E-4</v>
      </c>
      <c r="G953" s="3">
        <v>1.0545307671070499E-3</v>
      </c>
      <c r="H953" s="3" t="str">
        <f>"RPL22L1"</f>
        <v>RPL22L1</v>
      </c>
      <c r="I953" s="3" t="str">
        <f t="shared" si="37"/>
        <v>protein_coding</v>
      </c>
    </row>
    <row r="954" spans="1:9" x14ac:dyDescent="0.2">
      <c r="A954" s="3" t="str">
        <f>"ENSG00000163577.8"</f>
        <v>ENSG00000163577.8</v>
      </c>
      <c r="B954" s="3">
        <v>932.359708537188</v>
      </c>
      <c r="C954" s="3">
        <v>-1.3305285532795601</v>
      </c>
      <c r="D954" s="3">
        <v>0.27653882682834302</v>
      </c>
      <c r="E954" s="3">
        <v>-4.8113625436961396</v>
      </c>
      <c r="F954" s="4">
        <v>1.4990481460129701E-6</v>
      </c>
      <c r="G954" s="4">
        <v>1.8025122424931301E-5</v>
      </c>
      <c r="H954" s="3" t="str">
        <f>"EIF5A2"</f>
        <v>EIF5A2</v>
      </c>
      <c r="I954" s="3" t="str">
        <f t="shared" si="37"/>
        <v>protein_coding</v>
      </c>
    </row>
    <row r="955" spans="1:9" x14ac:dyDescent="0.2">
      <c r="A955" s="3" t="str">
        <f>"ENSG00000163581.14"</f>
        <v>ENSG00000163581.14</v>
      </c>
      <c r="B955" s="3">
        <v>625.38302742235396</v>
      </c>
      <c r="C955" s="3">
        <v>-1.3529266764279799</v>
      </c>
      <c r="D955" s="3">
        <v>0.26705668989669101</v>
      </c>
      <c r="E955" s="3">
        <v>-5.06606547453032</v>
      </c>
      <c r="F955" s="4">
        <v>4.0612227826301399E-7</v>
      </c>
      <c r="G955" s="4">
        <v>5.4806898657221598E-6</v>
      </c>
      <c r="H955" s="3" t="str">
        <f>"SLC2A2"</f>
        <v>SLC2A2</v>
      </c>
      <c r="I955" s="3" t="str">
        <f t="shared" si="37"/>
        <v>protein_coding</v>
      </c>
    </row>
    <row r="956" spans="1:9" x14ac:dyDescent="0.2">
      <c r="A956" s="3" t="str">
        <f>"ENSG00000154310.17"</f>
        <v>ENSG00000154310.17</v>
      </c>
      <c r="B956" s="3">
        <v>967.50028609900198</v>
      </c>
      <c r="C956" s="3">
        <v>-1.57307369069418</v>
      </c>
      <c r="D956" s="3">
        <v>0.25427585178331702</v>
      </c>
      <c r="E956" s="3">
        <v>-6.1864847946107204</v>
      </c>
      <c r="F956" s="4">
        <v>6.1520615611586998E-10</v>
      </c>
      <c r="G956" s="4">
        <v>1.29177886954046E-8</v>
      </c>
      <c r="H956" s="3" t="str">
        <f>"TNIK"</f>
        <v>TNIK</v>
      </c>
      <c r="I956" s="3" t="str">
        <f t="shared" si="37"/>
        <v>protein_coding</v>
      </c>
    </row>
    <row r="957" spans="1:9" x14ac:dyDescent="0.2">
      <c r="A957" s="3" t="str">
        <f>"ENSG00000279673.1"</f>
        <v>ENSG00000279673.1</v>
      </c>
      <c r="B957" s="3">
        <v>36.907034953640199</v>
      </c>
      <c r="C957" s="3">
        <v>-4.4843114883814597</v>
      </c>
      <c r="D957" s="3">
        <v>0.81781371271665004</v>
      </c>
      <c r="E957" s="3">
        <v>-5.4832921222184803</v>
      </c>
      <c r="F957" s="4">
        <v>4.1748278387903999E-8</v>
      </c>
      <c r="G957" s="4">
        <v>6.6509052745264397E-7</v>
      </c>
      <c r="H957" s="3" t="str">
        <f>"AC092919.2"</f>
        <v>AC092919.2</v>
      </c>
      <c r="I957" s="3" t="str">
        <f>"TEC"</f>
        <v>TEC</v>
      </c>
    </row>
    <row r="958" spans="1:9" x14ac:dyDescent="0.2">
      <c r="A958" s="3" t="str">
        <f>"ENSG00000121858.11"</f>
        <v>ENSG00000121858.11</v>
      </c>
      <c r="B958" s="3">
        <v>126.944816317408</v>
      </c>
      <c r="C958" s="3">
        <v>1.44514951765495</v>
      </c>
      <c r="D958" s="3">
        <v>0.38738108921800501</v>
      </c>
      <c r="E958" s="3">
        <v>3.7305628949834202</v>
      </c>
      <c r="F958" s="3">
        <v>1.9105244020023099E-4</v>
      </c>
      <c r="G958" s="3">
        <v>1.43460421887666E-3</v>
      </c>
      <c r="H958" s="3" t="str">
        <f>"TNFSF10"</f>
        <v>TNFSF10</v>
      </c>
      <c r="I958" s="3" t="str">
        <f>"protein_coding"</f>
        <v>protein_coding</v>
      </c>
    </row>
    <row r="959" spans="1:9" x14ac:dyDescent="0.2">
      <c r="A959" s="3" t="str">
        <f>"ENSG00000114346.13"</f>
        <v>ENSG00000114346.13</v>
      </c>
      <c r="B959" s="3">
        <v>5573.0762976674496</v>
      </c>
      <c r="C959" s="3">
        <v>-1.3703351075352299</v>
      </c>
      <c r="D959" s="3">
        <v>0.275396763356617</v>
      </c>
      <c r="E959" s="3">
        <v>-4.9758577073789203</v>
      </c>
      <c r="F959" s="4">
        <v>6.4959354300984398E-7</v>
      </c>
      <c r="G959" s="4">
        <v>8.4534534787442392E-6</v>
      </c>
      <c r="H959" s="3" t="str">
        <f>"ECT2"</f>
        <v>ECT2</v>
      </c>
      <c r="I959" s="3" t="str">
        <f>"protein_coding"</f>
        <v>protein_coding</v>
      </c>
    </row>
    <row r="960" spans="1:9" x14ac:dyDescent="0.2">
      <c r="A960" s="3" t="str">
        <f>"ENSG00000231574.5"</f>
        <v>ENSG00000231574.5</v>
      </c>
      <c r="B960" s="3">
        <v>97.6964532666845</v>
      </c>
      <c r="C960" s="3">
        <v>-1.09775670444452</v>
      </c>
      <c r="D960" s="3">
        <v>0.39989969108433399</v>
      </c>
      <c r="E960" s="3">
        <v>-2.74508015114474</v>
      </c>
      <c r="F960" s="3">
        <v>6.04961205010183E-3</v>
      </c>
      <c r="G960" s="3">
        <v>2.77443921823722E-2</v>
      </c>
      <c r="H960" s="3" t="str">
        <f>"LINC02015"</f>
        <v>LINC02015</v>
      </c>
      <c r="I960" s="3" t="str">
        <f>"lincRNA"</f>
        <v>lincRNA</v>
      </c>
    </row>
    <row r="961" spans="1:9" x14ac:dyDescent="0.2">
      <c r="A961" s="3" t="str">
        <f>"ENSG00000172667.11"</f>
        <v>ENSG00000172667.11</v>
      </c>
      <c r="B961" s="3">
        <v>8490.7785909946306</v>
      </c>
      <c r="C961" s="3">
        <v>3.8534954193830901</v>
      </c>
      <c r="D961" s="3">
        <v>0.24285647678210101</v>
      </c>
      <c r="E961" s="3">
        <v>15.8673775986653</v>
      </c>
      <c r="F961" s="4">
        <v>1.0660279161552399E-56</v>
      </c>
      <c r="G961" s="4">
        <v>3.3519915288606402E-54</v>
      </c>
      <c r="H961" s="3" t="str">
        <f>"ZMAT3"</f>
        <v>ZMAT3</v>
      </c>
      <c r="I961" s="3" t="str">
        <f t="shared" ref="I961:I971" si="38">"protein_coding"</f>
        <v>protein_coding</v>
      </c>
    </row>
    <row r="962" spans="1:9" x14ac:dyDescent="0.2">
      <c r="A962" s="3" t="str">
        <f>"ENSG00000136518.17"</f>
        <v>ENSG00000136518.17</v>
      </c>
      <c r="B962" s="3">
        <v>1739.2644324031601</v>
      </c>
      <c r="C962" s="3">
        <v>-1.0278234488661</v>
      </c>
      <c r="D962" s="3">
        <v>0.25510478624875699</v>
      </c>
      <c r="E962" s="3">
        <v>-4.0290245588095202</v>
      </c>
      <c r="F962" s="4">
        <v>5.6008767619518002E-5</v>
      </c>
      <c r="G962" s="3">
        <v>4.8582777567895697E-4</v>
      </c>
      <c r="H962" s="3" t="str">
        <f>"ACTL6A"</f>
        <v>ACTL6A</v>
      </c>
      <c r="I962" s="3" t="str">
        <f t="shared" si="38"/>
        <v>protein_coding</v>
      </c>
    </row>
    <row r="963" spans="1:9" x14ac:dyDescent="0.2">
      <c r="A963" s="3" t="str">
        <f>"ENSG00000284862.2"</f>
        <v>ENSG00000284862.2</v>
      </c>
      <c r="B963" s="3">
        <v>19.107169181834799</v>
      </c>
      <c r="C963" s="3">
        <v>3.6326218834925101</v>
      </c>
      <c r="D963" s="3">
        <v>0.94559969293422097</v>
      </c>
      <c r="E963" s="3">
        <v>3.8416064542284101</v>
      </c>
      <c r="F963" s="3">
        <v>1.2223170320795499E-4</v>
      </c>
      <c r="G963" s="3">
        <v>9.6933748240734705E-4</v>
      </c>
      <c r="H963" s="3" t="str">
        <f>"CCDC39"</f>
        <v>CCDC39</v>
      </c>
      <c r="I963" s="3" t="str">
        <f t="shared" si="38"/>
        <v>protein_coding</v>
      </c>
    </row>
    <row r="964" spans="1:9" x14ac:dyDescent="0.2">
      <c r="A964" s="3" t="str">
        <f>"ENSG00000078081.8"</f>
        <v>ENSG00000078081.8</v>
      </c>
      <c r="B964" s="3">
        <v>195.03337960529399</v>
      </c>
      <c r="C964" s="3">
        <v>4.3049816471735696</v>
      </c>
      <c r="D964" s="3">
        <v>0.396387734866542</v>
      </c>
      <c r="E964" s="3">
        <v>10.8605319198965</v>
      </c>
      <c r="F964" s="4">
        <v>1.7771102502290001E-27</v>
      </c>
      <c r="G964" s="4">
        <v>1.59654315516109E-25</v>
      </c>
      <c r="H964" s="3" t="str">
        <f>"LAMP3"</f>
        <v>LAMP3</v>
      </c>
      <c r="I964" s="3" t="str">
        <f t="shared" si="38"/>
        <v>protein_coding</v>
      </c>
    </row>
    <row r="965" spans="1:9" x14ac:dyDescent="0.2">
      <c r="A965" s="3" t="str">
        <f>"ENSG00000284753.1"</f>
        <v>ENSG00000284753.1</v>
      </c>
      <c r="B965" s="3">
        <v>227.1877231798</v>
      </c>
      <c r="C965" s="3">
        <v>-1.0982459592746701</v>
      </c>
      <c r="D965" s="3">
        <v>0.35417456327748598</v>
      </c>
      <c r="E965" s="3">
        <v>-3.1008606296049099</v>
      </c>
      <c r="F965" s="3">
        <v>1.92959087907884E-3</v>
      </c>
      <c r="G965" s="3">
        <v>1.0625844694226901E-2</v>
      </c>
      <c r="H965" s="3" t="str">
        <f>"EEF1AKMT4"</f>
        <v>EEF1AKMT4</v>
      </c>
      <c r="I965" s="3" t="str">
        <f t="shared" si="38"/>
        <v>protein_coding</v>
      </c>
    </row>
    <row r="966" spans="1:9" x14ac:dyDescent="0.2">
      <c r="A966" s="3" t="str">
        <f>"ENSG00000163888.4"</f>
        <v>ENSG00000163888.4</v>
      </c>
      <c r="B966" s="3">
        <v>65.2175176965372</v>
      </c>
      <c r="C966" s="3">
        <v>-2.0565295005890198</v>
      </c>
      <c r="D966" s="3">
        <v>0.50800212725369298</v>
      </c>
      <c r="E966" s="3">
        <v>-4.04826946632451</v>
      </c>
      <c r="F966" s="4">
        <v>5.1597721754539599E-5</v>
      </c>
      <c r="G966" s="3">
        <v>4.5192920986610101E-4</v>
      </c>
      <c r="H966" s="3" t="str">
        <f>"CAMK2N2"</f>
        <v>CAMK2N2</v>
      </c>
      <c r="I966" s="3" t="str">
        <f t="shared" si="38"/>
        <v>protein_coding</v>
      </c>
    </row>
    <row r="967" spans="1:9" x14ac:dyDescent="0.2">
      <c r="A967" s="3" t="str">
        <f>"ENSG00000114859.16"</f>
        <v>ENSG00000114859.16</v>
      </c>
      <c r="B967" s="3">
        <v>486.82696966092499</v>
      </c>
      <c r="C967" s="3">
        <v>-1.3611025308137401</v>
      </c>
      <c r="D967" s="3">
        <v>0.31865210063939697</v>
      </c>
      <c r="E967" s="3">
        <v>-4.2714374958853201</v>
      </c>
      <c r="F967" s="4">
        <v>1.9421696525425901E-5</v>
      </c>
      <c r="G967" s="3">
        <v>1.86328289892101E-4</v>
      </c>
      <c r="H967" s="3" t="str">
        <f>"CLCN2"</f>
        <v>CLCN2</v>
      </c>
      <c r="I967" s="3" t="str">
        <f t="shared" si="38"/>
        <v>protein_coding</v>
      </c>
    </row>
    <row r="968" spans="1:9" x14ac:dyDescent="0.2">
      <c r="A968" s="3" t="str">
        <f>"ENSG00000163882.9"</f>
        <v>ENSG00000163882.9</v>
      </c>
      <c r="B968" s="3">
        <v>1917.4702177377601</v>
      </c>
      <c r="C968" s="3">
        <v>1.0589368734876901</v>
      </c>
      <c r="D968" s="3">
        <v>0.257600771264277</v>
      </c>
      <c r="E968" s="3">
        <v>4.1107674805884402</v>
      </c>
      <c r="F968" s="4">
        <v>3.94346162693562E-5</v>
      </c>
      <c r="G968" s="3">
        <v>3.5402490087639397E-4</v>
      </c>
      <c r="H968" s="3" t="str">
        <f>"POLR2H"</f>
        <v>POLR2H</v>
      </c>
      <c r="I968" s="3" t="str">
        <f t="shared" si="38"/>
        <v>protein_coding</v>
      </c>
    </row>
    <row r="969" spans="1:9" x14ac:dyDescent="0.2">
      <c r="A969" s="3" t="str">
        <f>"ENSG00000187068.3"</f>
        <v>ENSG00000187068.3</v>
      </c>
      <c r="B969" s="3">
        <v>220.544713064788</v>
      </c>
      <c r="C969" s="3">
        <v>-1.4822157205133499</v>
      </c>
      <c r="D969" s="3">
        <v>0.327665149139588</v>
      </c>
      <c r="E969" s="3">
        <v>-4.5235684185684102</v>
      </c>
      <c r="F969" s="4">
        <v>6.0805651166744203E-6</v>
      </c>
      <c r="G969" s="4">
        <v>6.5562201247297506E-5</v>
      </c>
      <c r="H969" s="3" t="str">
        <f>"C3orf70"</f>
        <v>C3orf70</v>
      </c>
      <c r="I969" s="3" t="str">
        <f t="shared" si="38"/>
        <v>protein_coding</v>
      </c>
    </row>
    <row r="970" spans="1:9" x14ac:dyDescent="0.2">
      <c r="A970" s="3" t="str">
        <f>"ENSG00000113790.11"</f>
        <v>ENSG00000113790.11</v>
      </c>
      <c r="B970" s="3">
        <v>1459.48975411777</v>
      </c>
      <c r="C970" s="3">
        <v>-1.03777891067717</v>
      </c>
      <c r="D970" s="3">
        <v>0.24737065690351201</v>
      </c>
      <c r="E970" s="3">
        <v>-4.1952385285614504</v>
      </c>
      <c r="F970" s="4">
        <v>2.7258457551674499E-5</v>
      </c>
      <c r="G970" s="3">
        <v>2.5369122758190401E-4</v>
      </c>
      <c r="H970" s="3" t="str">
        <f>"EHHADH"</f>
        <v>EHHADH</v>
      </c>
      <c r="I970" s="3" t="str">
        <f t="shared" si="38"/>
        <v>protein_coding</v>
      </c>
    </row>
    <row r="971" spans="1:9" x14ac:dyDescent="0.2">
      <c r="A971" s="3" t="str">
        <f>"ENSG00000163900.11"</f>
        <v>ENSG00000163900.11</v>
      </c>
      <c r="B971" s="3">
        <v>2034.9664277655199</v>
      </c>
      <c r="C971" s="3">
        <v>1.1619720196379699</v>
      </c>
      <c r="D971" s="3">
        <v>0.26583397167269801</v>
      </c>
      <c r="E971" s="3">
        <v>4.3710441232418002</v>
      </c>
      <c r="F971" s="4">
        <v>1.2365379935299201E-5</v>
      </c>
      <c r="G971" s="3">
        <v>1.2377681347888999E-4</v>
      </c>
      <c r="H971" s="3" t="str">
        <f>"TMEM41A"</f>
        <v>TMEM41A</v>
      </c>
      <c r="I971" s="3" t="str">
        <f t="shared" si="38"/>
        <v>protein_coding</v>
      </c>
    </row>
    <row r="972" spans="1:9" x14ac:dyDescent="0.2">
      <c r="A972" s="3" t="str">
        <f>"ENSG00000286086.1"</f>
        <v>ENSG00000286086.1</v>
      </c>
      <c r="B972" s="3">
        <v>39.774894263483098</v>
      </c>
      <c r="C972" s="3">
        <v>2.1454685755915901</v>
      </c>
      <c r="D972" s="3">
        <v>0.64517421336176395</v>
      </c>
      <c r="E972" s="3">
        <v>3.32540968184755</v>
      </c>
      <c r="F972" s="3">
        <v>8.8288699803794996E-4</v>
      </c>
      <c r="G972" s="3">
        <v>5.4918453104957103E-3</v>
      </c>
      <c r="H972" s="3" t="str">
        <f>"AC099661.1"</f>
        <v>AC099661.1</v>
      </c>
      <c r="I972" s="3" t="str">
        <f>"lincRNA"</f>
        <v>lincRNA</v>
      </c>
    </row>
    <row r="973" spans="1:9" x14ac:dyDescent="0.2">
      <c r="A973" s="3" t="str">
        <f>"ENSG00000058866.15"</f>
        <v>ENSG00000058866.15</v>
      </c>
      <c r="B973" s="3">
        <v>331.796166731217</v>
      </c>
      <c r="C973" s="3">
        <v>-1.23635403192404</v>
      </c>
      <c r="D973" s="3">
        <v>0.29182544197731802</v>
      </c>
      <c r="E973" s="3">
        <v>-4.2366218090749399</v>
      </c>
      <c r="F973" s="4">
        <v>2.2690784757228599E-5</v>
      </c>
      <c r="G973" s="3">
        <v>2.1482374503879799E-4</v>
      </c>
      <c r="H973" s="3" t="str">
        <f>"DGKG"</f>
        <v>DGKG</v>
      </c>
      <c r="I973" s="3" t="str">
        <f>"protein_coding"</f>
        <v>protein_coding</v>
      </c>
    </row>
    <row r="974" spans="1:9" x14ac:dyDescent="0.2">
      <c r="A974" s="3" t="str">
        <f>"ENSG00000226859.1"</f>
        <v>ENSG00000226859.1</v>
      </c>
      <c r="B974" s="3">
        <v>63.879243464423197</v>
      </c>
      <c r="C974" s="3">
        <v>9.5154288230108008</v>
      </c>
      <c r="D974" s="3">
        <v>1.5127625751485301</v>
      </c>
      <c r="E974" s="3">
        <v>6.29010062737472</v>
      </c>
      <c r="F974" s="4">
        <v>3.17260247792382E-10</v>
      </c>
      <c r="G974" s="4">
        <v>6.8977368480703304E-9</v>
      </c>
      <c r="H974" s="3" t="str">
        <f>"LINC02051"</f>
        <v>LINC02051</v>
      </c>
      <c r="I974" s="3" t="str">
        <f>"lincRNA"</f>
        <v>lincRNA</v>
      </c>
    </row>
    <row r="975" spans="1:9" x14ac:dyDescent="0.2">
      <c r="A975" s="3" t="str">
        <f>"ENSG00000145192.13"</f>
        <v>ENSG00000145192.13</v>
      </c>
      <c r="B975" s="3">
        <v>58017.1114306538</v>
      </c>
      <c r="C975" s="3">
        <v>-1.4722600483146699</v>
      </c>
      <c r="D975" s="3">
        <v>0.29798449473083399</v>
      </c>
      <c r="E975" s="3">
        <v>-4.9407270322724104</v>
      </c>
      <c r="F975" s="4">
        <v>7.78318075271146E-7</v>
      </c>
      <c r="G975" s="4">
        <v>9.9738110970176607E-6</v>
      </c>
      <c r="H975" s="3" t="str">
        <f>"AHSG"</f>
        <v>AHSG</v>
      </c>
      <c r="I975" s="3" t="str">
        <f>"protein_coding"</f>
        <v>protein_coding</v>
      </c>
    </row>
    <row r="976" spans="1:9" x14ac:dyDescent="0.2">
      <c r="A976" s="3" t="str">
        <f>"ENSG00000163918.10"</f>
        <v>ENSG00000163918.10</v>
      </c>
      <c r="B976" s="3">
        <v>1215.4768408980699</v>
      </c>
      <c r="C976" s="3">
        <v>-1.1903553069992301</v>
      </c>
      <c r="D976" s="3">
        <v>0.26854678414968303</v>
      </c>
      <c r="E976" s="3">
        <v>-4.4325807541070699</v>
      </c>
      <c r="F976" s="4">
        <v>9.3111810767381505E-6</v>
      </c>
      <c r="G976" s="4">
        <v>9.6150558286267699E-5</v>
      </c>
      <c r="H976" s="3" t="str">
        <f>"RFC4"</f>
        <v>RFC4</v>
      </c>
      <c r="I976" s="3" t="str">
        <f>"protein_coding"</f>
        <v>protein_coding</v>
      </c>
    </row>
    <row r="977" spans="1:9" x14ac:dyDescent="0.2">
      <c r="A977" s="3" t="str">
        <f>"ENSG00000181092.10"</f>
        <v>ENSG00000181092.10</v>
      </c>
      <c r="B977" s="3">
        <v>36.396582144228603</v>
      </c>
      <c r="C977" s="3">
        <v>2.8077101677547902</v>
      </c>
      <c r="D977" s="3">
        <v>0.645883428296117</v>
      </c>
      <c r="E977" s="3">
        <v>4.3470850075248197</v>
      </c>
      <c r="F977" s="4">
        <v>1.37958761163761E-5</v>
      </c>
      <c r="G977" s="3">
        <v>1.36628056577733E-4</v>
      </c>
      <c r="H977" s="3" t="str">
        <f>"ADIPOQ"</f>
        <v>ADIPOQ</v>
      </c>
      <c r="I977" s="3" t="str">
        <f>"protein_coding"</f>
        <v>protein_coding</v>
      </c>
    </row>
    <row r="978" spans="1:9" x14ac:dyDescent="0.2">
      <c r="A978" s="3" t="str">
        <f>"ENSG00000145012.13"</f>
        <v>ENSG00000145012.13</v>
      </c>
      <c r="B978" s="3">
        <v>5613.47093842293</v>
      </c>
      <c r="C978" s="3">
        <v>1.1049614768520799</v>
      </c>
      <c r="D978" s="3">
        <v>0.23795032591308499</v>
      </c>
      <c r="E978" s="3">
        <v>4.6436644817022996</v>
      </c>
      <c r="F978" s="4">
        <v>3.4228325629066101E-6</v>
      </c>
      <c r="G978" s="4">
        <v>3.87494838523474E-5</v>
      </c>
      <c r="H978" s="3" t="str">
        <f>"LPP"</f>
        <v>LPP</v>
      </c>
      <c r="I978" s="3" t="str">
        <f>"protein_coding"</f>
        <v>protein_coding</v>
      </c>
    </row>
    <row r="979" spans="1:9" x14ac:dyDescent="0.2">
      <c r="A979" s="3" t="str">
        <f>"ENSG00000090530.10"</f>
        <v>ENSG00000090530.10</v>
      </c>
      <c r="B979" s="3">
        <v>33.458365460116397</v>
      </c>
      <c r="C979" s="3">
        <v>2.0378774788495901</v>
      </c>
      <c r="D979" s="3">
        <v>0.67365813328064394</v>
      </c>
      <c r="E979" s="3">
        <v>3.0250914791532999</v>
      </c>
      <c r="F979" s="3">
        <v>2.4855793576145499E-3</v>
      </c>
      <c r="G979" s="3">
        <v>1.3157564970705801E-2</v>
      </c>
      <c r="H979" s="3" t="str">
        <f>"P3H2"</f>
        <v>P3H2</v>
      </c>
      <c r="I979" s="3" t="str">
        <f>"protein_coding"</f>
        <v>protein_coding</v>
      </c>
    </row>
    <row r="980" spans="1:9" x14ac:dyDescent="0.2">
      <c r="A980" s="3" t="str">
        <f>"ENSG00000231047.1"</f>
        <v>ENSG00000231047.1</v>
      </c>
      <c r="B980" s="3">
        <v>33.0047351794178</v>
      </c>
      <c r="C980" s="3">
        <v>1.6142564275142901</v>
      </c>
      <c r="D980" s="3">
        <v>0.63390579113971002</v>
      </c>
      <c r="E980" s="3">
        <v>2.5465241839989998</v>
      </c>
      <c r="F980" s="3">
        <v>1.0880167228466501E-2</v>
      </c>
      <c r="G980" s="3">
        <v>4.5290519052138697E-2</v>
      </c>
      <c r="H980" s="3" t="str">
        <f>"GCNT1P3"</f>
        <v>GCNT1P3</v>
      </c>
      <c r="I980" s="3" t="str">
        <f>"processed_pseudogene"</f>
        <v>processed_pseudogene</v>
      </c>
    </row>
    <row r="981" spans="1:9" x14ac:dyDescent="0.2">
      <c r="A981" s="3" t="str">
        <f>"ENSG00000229155.1"</f>
        <v>ENSG00000229155.1</v>
      </c>
      <c r="B981" s="3">
        <v>6.3679049618849204</v>
      </c>
      <c r="C981" s="3">
        <v>-6.0607780532489297</v>
      </c>
      <c r="D981" s="3">
        <v>1.9065131759373499</v>
      </c>
      <c r="E981" s="3">
        <v>-3.1789856633270399</v>
      </c>
      <c r="F981" s="3">
        <v>1.4779140087228799E-3</v>
      </c>
      <c r="G981" s="3">
        <v>8.4975832890112103E-3</v>
      </c>
      <c r="H981" s="3" t="str">
        <f>"LINC02038"</f>
        <v>LINC02038</v>
      </c>
      <c r="I981" s="3" t="str">
        <f>"lincRNA"</f>
        <v>lincRNA</v>
      </c>
    </row>
    <row r="982" spans="1:9" x14ac:dyDescent="0.2">
      <c r="A982" s="3" t="str">
        <f>"ENSG00000230102.7"</f>
        <v>ENSG00000230102.7</v>
      </c>
      <c r="B982" s="3">
        <v>54.577414795937401</v>
      </c>
      <c r="C982" s="3">
        <v>2.75335942020057</v>
      </c>
      <c r="D982" s="3">
        <v>0.53575382268335103</v>
      </c>
      <c r="E982" s="3">
        <v>5.1392249642013299</v>
      </c>
      <c r="F982" s="4">
        <v>2.75873960161902E-7</v>
      </c>
      <c r="G982" s="4">
        <v>3.8298065495985898E-6</v>
      </c>
      <c r="H982" s="3" t="str">
        <f>"LINC02028"</f>
        <v>LINC02028</v>
      </c>
      <c r="I982" s="3" t="str">
        <f>"processed_transcript"</f>
        <v>processed_transcript</v>
      </c>
    </row>
    <row r="983" spans="1:9" x14ac:dyDescent="0.2">
      <c r="A983" s="3" t="str">
        <f>"ENSG00000178772.7"</f>
        <v>ENSG00000178772.7</v>
      </c>
      <c r="B983" s="3">
        <v>501.38246150524702</v>
      </c>
      <c r="C983" s="3">
        <v>-1.6403463343956499</v>
      </c>
      <c r="D983" s="3">
        <v>0.336319429691464</v>
      </c>
      <c r="E983" s="3">
        <v>-4.8773463248926401</v>
      </c>
      <c r="F983" s="4">
        <v>1.0752255723901401E-6</v>
      </c>
      <c r="G983" s="4">
        <v>1.33435122217435E-5</v>
      </c>
      <c r="H983" s="3" t="str">
        <f>"CPN2"</f>
        <v>CPN2</v>
      </c>
      <c r="I983" s="3" t="str">
        <f>"protein_coding"</f>
        <v>protein_coding</v>
      </c>
    </row>
    <row r="984" spans="1:9" x14ac:dyDescent="0.2">
      <c r="A984" s="3" t="str">
        <f>"ENSG00000185112.5"</f>
        <v>ENSG00000185112.5</v>
      </c>
      <c r="B984" s="3">
        <v>664.35823735488702</v>
      </c>
      <c r="C984" s="3">
        <v>1.64291637512449</v>
      </c>
      <c r="D984" s="3">
        <v>0.289301308993898</v>
      </c>
      <c r="E984" s="3">
        <v>5.67891096254648</v>
      </c>
      <c r="F984" s="4">
        <v>1.35555013564556E-8</v>
      </c>
      <c r="G984" s="4">
        <v>2.3467903415116401E-7</v>
      </c>
      <c r="H984" s="3" t="str">
        <f>"FAM43A"</f>
        <v>FAM43A</v>
      </c>
      <c r="I984" s="3" t="str">
        <f>"protein_coding"</f>
        <v>protein_coding</v>
      </c>
    </row>
    <row r="985" spans="1:9" x14ac:dyDescent="0.2">
      <c r="A985" s="3" t="str">
        <f>"ENSG00000235897.1"</f>
        <v>ENSG00000235897.1</v>
      </c>
      <c r="B985" s="3">
        <v>80.1722567339786</v>
      </c>
      <c r="C985" s="3">
        <v>3.1606846782351301</v>
      </c>
      <c r="D985" s="3">
        <v>0.48978381785708602</v>
      </c>
      <c r="E985" s="3">
        <v>6.4532239796403097</v>
      </c>
      <c r="F985" s="4">
        <v>1.09495341733704E-10</v>
      </c>
      <c r="G985" s="4">
        <v>2.5062377809930198E-9</v>
      </c>
      <c r="H985" s="3" t="str">
        <f>"TM4SF19-AS1"</f>
        <v>TM4SF19-AS1</v>
      </c>
      <c r="I985" s="3" t="str">
        <f>"antisense"</f>
        <v>antisense</v>
      </c>
    </row>
    <row r="986" spans="1:9" x14ac:dyDescent="0.2">
      <c r="A986" s="3" t="str">
        <f>"ENSG00000163975.12"</f>
        <v>ENSG00000163975.12</v>
      </c>
      <c r="B986" s="3">
        <v>1143.13530010511</v>
      </c>
      <c r="C986" s="3">
        <v>1.3718976619661101</v>
      </c>
      <c r="D986" s="3">
        <v>0.325532180511731</v>
      </c>
      <c r="E986" s="3">
        <v>4.2143227124565996</v>
      </c>
      <c r="F986" s="4">
        <v>2.50528854646943E-5</v>
      </c>
      <c r="G986" s="3">
        <v>2.3576705344720701E-4</v>
      </c>
      <c r="H986" s="3" t="str">
        <f>"MELTF"</f>
        <v>MELTF</v>
      </c>
      <c r="I986" s="3" t="str">
        <f>"protein_coding"</f>
        <v>protein_coding</v>
      </c>
    </row>
    <row r="987" spans="1:9" x14ac:dyDescent="0.2">
      <c r="A987" s="3" t="str">
        <f>"ENSG00000161267.12"</f>
        <v>ENSG00000161267.12</v>
      </c>
      <c r="B987" s="3">
        <v>814.77957281685701</v>
      </c>
      <c r="C987" s="3">
        <v>2.2218573123519998</v>
      </c>
      <c r="D987" s="3">
        <v>0.28821682665409198</v>
      </c>
      <c r="E987" s="3">
        <v>7.7089784734137101</v>
      </c>
      <c r="F987" s="4">
        <v>1.2682880238075301E-14</v>
      </c>
      <c r="G987" s="4">
        <v>4.4207077849865698E-13</v>
      </c>
      <c r="H987" s="3" t="str">
        <f>"BDH1"</f>
        <v>BDH1</v>
      </c>
      <c r="I987" s="3" t="str">
        <f>"protein_coding"</f>
        <v>protein_coding</v>
      </c>
    </row>
    <row r="988" spans="1:9" x14ac:dyDescent="0.2">
      <c r="A988" s="3" t="str">
        <f>"ENSG00000273238.2"</f>
        <v>ENSG00000273238.2</v>
      </c>
      <c r="B988" s="3">
        <v>22.507775194684999</v>
      </c>
      <c r="C988" s="3">
        <v>-4.8126584560896104</v>
      </c>
      <c r="D988" s="3">
        <v>1.0764045696189499</v>
      </c>
      <c r="E988" s="3">
        <v>-4.4710498189294103</v>
      </c>
      <c r="F988" s="4">
        <v>7.7836562198185407E-6</v>
      </c>
      <c r="G988" s="4">
        <v>8.2129979953664099E-5</v>
      </c>
      <c r="H988" s="3" t="str">
        <f>"TMEM271"</f>
        <v>TMEM271</v>
      </c>
      <c r="I988" s="3" t="str">
        <f>"protein_coding"</f>
        <v>protein_coding</v>
      </c>
    </row>
    <row r="989" spans="1:9" x14ac:dyDescent="0.2">
      <c r="A989" s="3" t="str">
        <f>"ENSG00000283183.1"</f>
        <v>ENSG00000283183.1</v>
      </c>
      <c r="B989" s="3">
        <v>32.087359200435301</v>
      </c>
      <c r="C989" s="3">
        <v>-4.2821346690893396</v>
      </c>
      <c r="D989" s="3">
        <v>0.82994910469201899</v>
      </c>
      <c r="E989" s="3">
        <v>-5.1595147761239897</v>
      </c>
      <c r="F989" s="4">
        <v>2.4759068367367299E-7</v>
      </c>
      <c r="G989" s="4">
        <v>3.46815894702337E-6</v>
      </c>
      <c r="H989" s="3" t="str">
        <f>"AC116565.1"</f>
        <v>AC116565.1</v>
      </c>
      <c r="I989" s="3" t="str">
        <f>"lincRNA"</f>
        <v>lincRNA</v>
      </c>
    </row>
    <row r="990" spans="1:9" x14ac:dyDescent="0.2">
      <c r="A990" s="3" t="str">
        <f>"ENSG00000185619.18"</f>
        <v>ENSG00000185619.18</v>
      </c>
      <c r="B990" s="3">
        <v>2314.3746293660101</v>
      </c>
      <c r="C990" s="3">
        <v>1.2213089663918</v>
      </c>
      <c r="D990" s="3">
        <v>0.28554086087318098</v>
      </c>
      <c r="E990" s="3">
        <v>4.2771775733149102</v>
      </c>
      <c r="F990" s="4">
        <v>1.8927781660814898E-5</v>
      </c>
      <c r="G990" s="3">
        <v>1.8221521151083001E-4</v>
      </c>
      <c r="H990" s="3" t="str">
        <f>"PCGF3"</f>
        <v>PCGF3</v>
      </c>
      <c r="I990" s="3" t="str">
        <f t="shared" ref="I990:I998" si="39">"protein_coding"</f>
        <v>protein_coding</v>
      </c>
    </row>
    <row r="991" spans="1:9" x14ac:dyDescent="0.2">
      <c r="A991" s="3" t="str">
        <f>"ENSG00000127419.17"</f>
        <v>ENSG00000127419.17</v>
      </c>
      <c r="B991" s="3">
        <v>260.906000877574</v>
      </c>
      <c r="C991" s="3">
        <v>1.8762194695732699</v>
      </c>
      <c r="D991" s="3">
        <v>0.36859527292212002</v>
      </c>
      <c r="E991" s="3">
        <v>5.0901886361675999</v>
      </c>
      <c r="F991" s="4">
        <v>3.5770748653528398E-7</v>
      </c>
      <c r="G991" s="4">
        <v>4.85860249664961E-6</v>
      </c>
      <c r="H991" s="3" t="str">
        <f>"TMEM175"</f>
        <v>TMEM175</v>
      </c>
      <c r="I991" s="3" t="str">
        <f t="shared" si="39"/>
        <v>protein_coding</v>
      </c>
    </row>
    <row r="992" spans="1:9" x14ac:dyDescent="0.2">
      <c r="A992" s="3" t="str">
        <f>"ENSG00000145214.14"</f>
        <v>ENSG00000145214.14</v>
      </c>
      <c r="B992" s="3">
        <v>410.568566610358</v>
      </c>
      <c r="C992" s="3">
        <v>1.0288038141498901</v>
      </c>
      <c r="D992" s="3">
        <v>0.34018587925586002</v>
      </c>
      <c r="E992" s="3">
        <v>3.0242402077368702</v>
      </c>
      <c r="F992" s="3">
        <v>2.4925844556663002E-3</v>
      </c>
      <c r="G992" s="3">
        <v>1.31791735098037E-2</v>
      </c>
      <c r="H992" s="3" t="str">
        <f>"DGKQ"</f>
        <v>DGKQ</v>
      </c>
      <c r="I992" s="3" t="str">
        <f t="shared" si="39"/>
        <v>protein_coding</v>
      </c>
    </row>
    <row r="993" spans="1:9" x14ac:dyDescent="0.2">
      <c r="A993" s="3" t="str">
        <f>"ENSG00000127415.13"</f>
        <v>ENSG00000127415.13</v>
      </c>
      <c r="B993" s="3">
        <v>98.715659679531996</v>
      </c>
      <c r="C993" s="3">
        <v>2.6614371550948102</v>
      </c>
      <c r="D993" s="3">
        <v>0.44920479275595199</v>
      </c>
      <c r="E993" s="3">
        <v>5.9247746195369198</v>
      </c>
      <c r="F993" s="4">
        <v>3.12725994480515E-9</v>
      </c>
      <c r="G993" s="4">
        <v>5.9325960717627097E-8</v>
      </c>
      <c r="H993" s="3" t="str">
        <f>"IDUA"</f>
        <v>IDUA</v>
      </c>
      <c r="I993" s="3" t="str">
        <f t="shared" si="39"/>
        <v>protein_coding</v>
      </c>
    </row>
    <row r="994" spans="1:9" x14ac:dyDescent="0.2">
      <c r="A994" s="3" t="str">
        <f>"ENSG00000159674.12"</f>
        <v>ENSG00000159674.12</v>
      </c>
      <c r="B994" s="3">
        <v>736.87648739501697</v>
      </c>
      <c r="C994" s="3">
        <v>-1.5847300321050299</v>
      </c>
      <c r="D994" s="3">
        <v>0.31878499297663099</v>
      </c>
      <c r="E994" s="3">
        <v>-4.9711563185824001</v>
      </c>
      <c r="F994" s="4">
        <v>6.6554759778048601E-7</v>
      </c>
      <c r="G994" s="4">
        <v>8.6298194959629494E-6</v>
      </c>
      <c r="H994" s="3" t="str">
        <f>"SPON2"</f>
        <v>SPON2</v>
      </c>
      <c r="I994" s="3" t="str">
        <f t="shared" si="39"/>
        <v>protein_coding</v>
      </c>
    </row>
    <row r="995" spans="1:9" x14ac:dyDescent="0.2">
      <c r="A995" s="3" t="str">
        <f>"ENSG00000163945.16"</f>
        <v>ENSG00000163945.16</v>
      </c>
      <c r="B995" s="3">
        <v>1053.04639766734</v>
      </c>
      <c r="C995" s="3">
        <v>1.1163937097088401</v>
      </c>
      <c r="D995" s="3">
        <v>0.27504439408275799</v>
      </c>
      <c r="E995" s="3">
        <v>4.0589582399302699</v>
      </c>
      <c r="F995" s="4">
        <v>4.9292126826776601E-5</v>
      </c>
      <c r="G995" s="3">
        <v>4.3385005259886803E-4</v>
      </c>
      <c r="H995" s="3" t="str">
        <f>"UVSSA"</f>
        <v>UVSSA</v>
      </c>
      <c r="I995" s="3" t="str">
        <f t="shared" si="39"/>
        <v>protein_coding</v>
      </c>
    </row>
    <row r="996" spans="1:9" x14ac:dyDescent="0.2">
      <c r="A996" s="3" t="str">
        <f>"ENSG00000163950.13"</f>
        <v>ENSG00000163950.13</v>
      </c>
      <c r="B996" s="3">
        <v>2002.0533457218</v>
      </c>
      <c r="C996" s="3">
        <v>-1.45481564719895</v>
      </c>
      <c r="D996" s="3">
        <v>0.24591331668390701</v>
      </c>
      <c r="E996" s="3">
        <v>-5.9159693619559102</v>
      </c>
      <c r="F996" s="4">
        <v>3.2992662655112999E-9</v>
      </c>
      <c r="G996" s="4">
        <v>6.2541855997691596E-8</v>
      </c>
      <c r="H996" s="3" t="str">
        <f>"SLBP"</f>
        <v>SLBP</v>
      </c>
      <c r="I996" s="3" t="str">
        <f t="shared" si="39"/>
        <v>protein_coding</v>
      </c>
    </row>
    <row r="997" spans="1:9" x14ac:dyDescent="0.2">
      <c r="A997" s="3" t="str">
        <f>"ENSG00000168936.11"</f>
        <v>ENSG00000168936.11</v>
      </c>
      <c r="B997" s="3">
        <v>725.357126233656</v>
      </c>
      <c r="C997" s="3">
        <v>2.52204480121318</v>
      </c>
      <c r="D997" s="3">
        <v>0.30938585539064101</v>
      </c>
      <c r="E997" s="3">
        <v>8.1517779732650002</v>
      </c>
      <c r="F997" s="4">
        <v>3.5861225297968202E-16</v>
      </c>
      <c r="G997" s="4">
        <v>1.4620569244252699E-14</v>
      </c>
      <c r="H997" s="3" t="str">
        <f>"TMEM129"</f>
        <v>TMEM129</v>
      </c>
      <c r="I997" s="3" t="str">
        <f t="shared" si="39"/>
        <v>protein_coding</v>
      </c>
    </row>
    <row r="998" spans="1:9" x14ac:dyDescent="0.2">
      <c r="A998" s="3" t="str">
        <f>"ENSG00000087266.16"</f>
        <v>ENSG00000087266.16</v>
      </c>
      <c r="B998" s="3">
        <v>1110.88344591583</v>
      </c>
      <c r="C998" s="3">
        <v>1.01060236854234</v>
      </c>
      <c r="D998" s="3">
        <v>0.313842205428496</v>
      </c>
      <c r="E998" s="3">
        <v>3.2200970776462201</v>
      </c>
      <c r="F998" s="3">
        <v>1.2814719351011299E-3</v>
      </c>
      <c r="G998" s="3">
        <v>7.5422149104980903E-3</v>
      </c>
      <c r="H998" s="3" t="str">
        <f>"SH3BP2"</f>
        <v>SH3BP2</v>
      </c>
      <c r="I998" s="3" t="str">
        <f t="shared" si="39"/>
        <v>protein_coding</v>
      </c>
    </row>
    <row r="999" spans="1:9" x14ac:dyDescent="0.2">
      <c r="A999" s="3" t="str">
        <f>"ENSG00000249673.6"</f>
        <v>ENSG00000249673.6</v>
      </c>
      <c r="B999" s="3">
        <v>1409.8102374329201</v>
      </c>
      <c r="C999" s="3">
        <v>2.13407664992239</v>
      </c>
      <c r="D999" s="3">
        <v>0.25740875505053701</v>
      </c>
      <c r="E999" s="3">
        <v>8.2906140838271494</v>
      </c>
      <c r="F999" s="4">
        <v>1.1266527308507099E-16</v>
      </c>
      <c r="G999" s="4">
        <v>4.8612263198198504E-15</v>
      </c>
      <c r="H999" s="3" t="str">
        <f>"NOP14-AS1"</f>
        <v>NOP14-AS1</v>
      </c>
      <c r="I999" s="3" t="str">
        <f>"antisense"</f>
        <v>antisense</v>
      </c>
    </row>
    <row r="1000" spans="1:9" x14ac:dyDescent="0.2">
      <c r="A1000" s="3" t="str">
        <f>"ENSG00000109758.8"</f>
        <v>ENSG00000109758.8</v>
      </c>
      <c r="B1000" s="3">
        <v>302.14799513631402</v>
      </c>
      <c r="C1000" s="3">
        <v>1.4754115818790099</v>
      </c>
      <c r="D1000" s="3">
        <v>0.39366155056691698</v>
      </c>
      <c r="E1000" s="3">
        <v>3.7479189414212599</v>
      </c>
      <c r="F1000" s="3">
        <v>1.78307855137048E-4</v>
      </c>
      <c r="G1000" s="3">
        <v>1.34619443381857E-3</v>
      </c>
      <c r="H1000" s="3" t="str">
        <f>"HGFAC"</f>
        <v>HGFAC</v>
      </c>
      <c r="I1000" s="3" t="str">
        <f>"protein_coding"</f>
        <v>protein_coding</v>
      </c>
    </row>
    <row r="1001" spans="1:9" x14ac:dyDescent="0.2">
      <c r="A1001" s="3" t="str">
        <f>"ENSG00000163956.12"</f>
        <v>ENSG00000163956.12</v>
      </c>
      <c r="B1001" s="3">
        <v>8354.0842566014508</v>
      </c>
      <c r="C1001" s="3">
        <v>1.5412550355483901</v>
      </c>
      <c r="D1001" s="3">
        <v>0.285401324885727</v>
      </c>
      <c r="E1001" s="3">
        <v>5.40030792136477</v>
      </c>
      <c r="F1001" s="4">
        <v>6.6526607738847995E-8</v>
      </c>
      <c r="G1001" s="4">
        <v>1.0235332218169501E-6</v>
      </c>
      <c r="H1001" s="3" t="str">
        <f>"LRPAP1"</f>
        <v>LRPAP1</v>
      </c>
      <c r="I1001" s="3" t="str">
        <f>"protein_coding"</f>
        <v>protein_coding</v>
      </c>
    </row>
    <row r="1002" spans="1:9" x14ac:dyDescent="0.2">
      <c r="A1002" s="3" t="str">
        <f>"ENSG00000270090.5"</f>
        <v>ENSG00000270090.5</v>
      </c>
      <c r="B1002" s="3">
        <v>8.1629860948217399</v>
      </c>
      <c r="C1002" s="3">
        <v>-3.8432918934402398</v>
      </c>
      <c r="D1002" s="3">
        <v>1.5091455285450901</v>
      </c>
      <c r="E1002" s="3">
        <v>-2.5466675153226701</v>
      </c>
      <c r="F1002" s="3">
        <v>1.0875699892098E-2</v>
      </c>
      <c r="G1002" s="3">
        <v>4.5279415886416E-2</v>
      </c>
      <c r="H1002" s="3" t="str">
        <f>"AL590235.1"</f>
        <v>AL590235.1</v>
      </c>
      <c r="I1002" s="3" t="str">
        <f>"lincRNA"</f>
        <v>lincRNA</v>
      </c>
    </row>
    <row r="1003" spans="1:9" x14ac:dyDescent="0.2">
      <c r="A1003" s="3" t="str">
        <f>"ENSG00000250986.1"</f>
        <v>ENSG00000250986.1</v>
      </c>
      <c r="B1003" s="3">
        <v>135.478182328348</v>
      </c>
      <c r="C1003" s="3">
        <v>2.2332665436135302</v>
      </c>
      <c r="D1003" s="3">
        <v>0.39169608996465799</v>
      </c>
      <c r="E1003" s="3">
        <v>5.7015288148907297</v>
      </c>
      <c r="F1003" s="4">
        <v>1.18737658948544E-8</v>
      </c>
      <c r="G1003" s="4">
        <v>2.0741984797573901E-7</v>
      </c>
      <c r="H1003" s="3" t="str">
        <f>"LINC02600"</f>
        <v>LINC02600</v>
      </c>
      <c r="I1003" s="3" t="str">
        <f>"lincRNA"</f>
        <v>lincRNA</v>
      </c>
    </row>
    <row r="1004" spans="1:9" x14ac:dyDescent="0.2">
      <c r="A1004" s="3" t="str">
        <f>"ENSG00000251271.3"</f>
        <v>ENSG00000251271.3</v>
      </c>
      <c r="B1004" s="3">
        <v>52.783513407336201</v>
      </c>
      <c r="C1004" s="3">
        <v>9.2411564866847602</v>
      </c>
      <c r="D1004" s="3">
        <v>1.5233659893998399</v>
      </c>
      <c r="E1004" s="3">
        <v>6.06627465165184</v>
      </c>
      <c r="F1004" s="4">
        <v>1.3091118880371599E-9</v>
      </c>
      <c r="G1004" s="4">
        <v>2.6239609198067402E-8</v>
      </c>
      <c r="H1004" s="3" t="str">
        <f>"ALG1L7P"</f>
        <v>ALG1L7P</v>
      </c>
      <c r="I1004" s="3" t="str">
        <f>"unprocessed_pseudogene"</f>
        <v>unprocessed_pseudogene</v>
      </c>
    </row>
    <row r="1005" spans="1:9" x14ac:dyDescent="0.2">
      <c r="A1005" s="3" t="str">
        <f>"ENSG00000145220.14"</f>
        <v>ENSG00000145220.14</v>
      </c>
      <c r="B1005" s="3">
        <v>1398.04299720109</v>
      </c>
      <c r="C1005" s="3">
        <v>-1.3254018826388401</v>
      </c>
      <c r="D1005" s="3">
        <v>0.25685329514126398</v>
      </c>
      <c r="E1005" s="3">
        <v>-5.1601513693250203</v>
      </c>
      <c r="F1005" s="4">
        <v>2.4675025523867603E-7</v>
      </c>
      <c r="G1005" s="4">
        <v>3.4598677093249102E-6</v>
      </c>
      <c r="H1005" s="3" t="str">
        <f>"LYAR"</f>
        <v>LYAR</v>
      </c>
      <c r="I1005" s="3" t="str">
        <f>"protein_coding"</f>
        <v>protein_coding</v>
      </c>
    </row>
    <row r="1006" spans="1:9" x14ac:dyDescent="0.2">
      <c r="A1006" s="3" t="str">
        <f>"ENSG00000168824.14"</f>
        <v>ENSG00000168824.14</v>
      </c>
      <c r="B1006" s="3">
        <v>195.11185765843399</v>
      </c>
      <c r="C1006" s="3">
        <v>5.6665651015466096</v>
      </c>
      <c r="D1006" s="3">
        <v>0.48734496685531098</v>
      </c>
      <c r="E1006" s="3">
        <v>11.6274209993616</v>
      </c>
      <c r="F1006" s="4">
        <v>2.9899486321096101E-31</v>
      </c>
      <c r="G1006" s="4">
        <v>3.2141947795178298E-29</v>
      </c>
      <c r="H1006" s="3" t="str">
        <f>"NSG1"</f>
        <v>NSG1</v>
      </c>
      <c r="I1006" s="3" t="str">
        <f>"protein_coding"</f>
        <v>protein_coding</v>
      </c>
    </row>
    <row r="1007" spans="1:9" x14ac:dyDescent="0.2">
      <c r="A1007" s="3" t="str">
        <f>"ENSG00000246526.2"</f>
        <v>ENSG00000246526.2</v>
      </c>
      <c r="B1007" s="3">
        <v>288.75430180146299</v>
      </c>
      <c r="C1007" s="3">
        <v>2.1879961137230799</v>
      </c>
      <c r="D1007" s="3">
        <v>0.34664503688937598</v>
      </c>
      <c r="E1007" s="3">
        <v>6.3119210745294296</v>
      </c>
      <c r="F1007" s="4">
        <v>2.7559277622286503E-10</v>
      </c>
      <c r="G1007" s="4">
        <v>6.0387946741168596E-9</v>
      </c>
      <c r="H1007" s="3" t="str">
        <f>"LINC002481"</f>
        <v>LINC002481</v>
      </c>
      <c r="I1007" s="3" t="str">
        <f>"lincRNA"</f>
        <v>lincRNA</v>
      </c>
    </row>
    <row r="1008" spans="1:9" x14ac:dyDescent="0.2">
      <c r="A1008" s="3" t="str">
        <f>"ENSG00000279859.2"</f>
        <v>ENSG00000279859.2</v>
      </c>
      <c r="B1008" s="3">
        <v>55.875720758192699</v>
      </c>
      <c r="C1008" s="3">
        <v>2.7067116271784402</v>
      </c>
      <c r="D1008" s="3">
        <v>0.55160327543100596</v>
      </c>
      <c r="E1008" s="3">
        <v>4.9069897655402803</v>
      </c>
      <c r="F1008" s="4">
        <v>9.2484857031274397E-7</v>
      </c>
      <c r="G1008" s="4">
        <v>1.1638101944080599E-5</v>
      </c>
      <c r="H1008" s="3" t="str">
        <f>"AC093323.2"</f>
        <v>AC093323.2</v>
      </c>
      <c r="I1008" s="3" t="str">
        <f>"TEC"</f>
        <v>TEC</v>
      </c>
    </row>
    <row r="1009" spans="1:9" x14ac:dyDescent="0.2">
      <c r="A1009" s="3" t="str">
        <f>"ENSG00000163993.7"</f>
        <v>ENSG00000163993.7</v>
      </c>
      <c r="B1009" s="3">
        <v>3530.4413455404401</v>
      </c>
      <c r="C1009" s="3">
        <v>1.8625821048303499</v>
      </c>
      <c r="D1009" s="3">
        <v>0.26738052161055698</v>
      </c>
      <c r="E1009" s="3">
        <v>6.9660351233184299</v>
      </c>
      <c r="F1009" s="4">
        <v>3.25997788664834E-12</v>
      </c>
      <c r="G1009" s="4">
        <v>8.8942238328241802E-11</v>
      </c>
      <c r="H1009" s="3" t="str">
        <f>"S100P"</f>
        <v>S100P</v>
      </c>
      <c r="I1009" s="3" t="str">
        <f>"protein_coding"</f>
        <v>protein_coding</v>
      </c>
    </row>
    <row r="1010" spans="1:9" x14ac:dyDescent="0.2">
      <c r="A1010" s="3" t="str">
        <f>"ENSG00000184985.16"</f>
        <v>ENSG00000184985.16</v>
      </c>
      <c r="B1010" s="3">
        <v>1202.06779262584</v>
      </c>
      <c r="C1010" s="3">
        <v>8.5017085968911097</v>
      </c>
      <c r="D1010" s="3">
        <v>0.46378610627708</v>
      </c>
      <c r="E1010" s="3">
        <v>18.331098068323598</v>
      </c>
      <c r="F1010" s="4">
        <v>4.6737388000500996E-75</v>
      </c>
      <c r="G1010" s="4">
        <v>3.0938920925068502E-72</v>
      </c>
      <c r="H1010" s="3" t="str">
        <f>"SORCS2"</f>
        <v>SORCS2</v>
      </c>
      <c r="I1010" s="3" t="str">
        <f>"protein_coding"</f>
        <v>protein_coding</v>
      </c>
    </row>
    <row r="1011" spans="1:9" x14ac:dyDescent="0.2">
      <c r="A1011" s="3" t="str">
        <f>"ENSG00000229924.3"</f>
        <v>ENSG00000229924.3</v>
      </c>
      <c r="B1011" s="3">
        <v>34.761582086667097</v>
      </c>
      <c r="C1011" s="3">
        <v>8.6386112799420101</v>
      </c>
      <c r="D1011" s="3">
        <v>1.5534091032214601</v>
      </c>
      <c r="E1011" s="3">
        <v>5.5610664711744402</v>
      </c>
      <c r="F1011" s="4">
        <v>2.68131038707435E-8</v>
      </c>
      <c r="G1011" s="4">
        <v>4.41415986824969E-7</v>
      </c>
      <c r="H1011" s="3" t="str">
        <f>"FAM90A26"</f>
        <v>FAM90A26</v>
      </c>
      <c r="I1011" s="3" t="str">
        <f>"protein_coding"</f>
        <v>protein_coding</v>
      </c>
    </row>
    <row r="1012" spans="1:9" x14ac:dyDescent="0.2">
      <c r="A1012" s="3" t="str">
        <f>"ENSG00000109667.12"</f>
        <v>ENSG00000109667.12</v>
      </c>
      <c r="B1012" s="3">
        <v>2369.4138147325398</v>
      </c>
      <c r="C1012" s="3">
        <v>1.19066998739133</v>
      </c>
      <c r="D1012" s="3">
        <v>0.25330042514717199</v>
      </c>
      <c r="E1012" s="3">
        <v>4.7006237225994596</v>
      </c>
      <c r="F1012" s="4">
        <v>2.5936805359847398E-6</v>
      </c>
      <c r="G1012" s="4">
        <v>2.9928455909493699E-5</v>
      </c>
      <c r="H1012" s="3" t="str">
        <f>"SLC2A9"</f>
        <v>SLC2A9</v>
      </c>
      <c r="I1012" s="3" t="str">
        <f>"protein_coding"</f>
        <v>protein_coding</v>
      </c>
    </row>
    <row r="1013" spans="1:9" x14ac:dyDescent="0.2">
      <c r="A1013" s="3" t="str">
        <f>"ENSG00000250613.1"</f>
        <v>ENSG00000250613.1</v>
      </c>
      <c r="B1013" s="3">
        <v>9.5893507273709702</v>
      </c>
      <c r="C1013" s="3">
        <v>4.3061229719349798</v>
      </c>
      <c r="D1013" s="3">
        <v>1.45119463213949</v>
      </c>
      <c r="E1013" s="3">
        <v>2.9672952728514899</v>
      </c>
      <c r="F1013" s="3">
        <v>3.00432285621234E-3</v>
      </c>
      <c r="G1013" s="3">
        <v>1.5435813204252699E-2</v>
      </c>
      <c r="H1013" s="3" t="str">
        <f>"AC110768.2"</f>
        <v>AC110768.2</v>
      </c>
      <c r="I1013" s="3" t="str">
        <f>"processed_pseudogene"</f>
        <v>processed_pseudogene</v>
      </c>
    </row>
    <row r="1014" spans="1:9" x14ac:dyDescent="0.2">
      <c r="A1014" s="3" t="str">
        <f>"ENSG00000247624.6"</f>
        <v>ENSG00000247624.6</v>
      </c>
      <c r="B1014" s="3">
        <v>26.5170858328317</v>
      </c>
      <c r="C1014" s="3">
        <v>2.8040051587015302</v>
      </c>
      <c r="D1014" s="3">
        <v>0.73055590423554895</v>
      </c>
      <c r="E1014" s="3">
        <v>3.8381801343945501</v>
      </c>
      <c r="F1014" s="3">
        <v>1.2394954227436901E-4</v>
      </c>
      <c r="G1014" s="3">
        <v>9.8099726941755202E-4</v>
      </c>
      <c r="H1014" s="3" t="str">
        <f>"CPEB2-DT"</f>
        <v>CPEB2-DT</v>
      </c>
      <c r="I1014" s="3" t="str">
        <f>"lincRNA"</f>
        <v>lincRNA</v>
      </c>
    </row>
    <row r="1015" spans="1:9" x14ac:dyDescent="0.2">
      <c r="A1015" s="3" t="str">
        <f>"ENSG00000137449.15"</f>
        <v>ENSG00000137449.15</v>
      </c>
      <c r="B1015" s="3">
        <v>485.15605524937502</v>
      </c>
      <c r="C1015" s="3">
        <v>1.3151047376124601</v>
      </c>
      <c r="D1015" s="3">
        <v>0.29845041458444399</v>
      </c>
      <c r="E1015" s="3">
        <v>4.4064429913544902</v>
      </c>
      <c r="F1015" s="4">
        <v>1.0508194818027099E-5</v>
      </c>
      <c r="G1015" s="3">
        <v>1.06844640520401E-4</v>
      </c>
      <c r="H1015" s="3" t="str">
        <f>"CPEB2"</f>
        <v>CPEB2</v>
      </c>
      <c r="I1015" s="3" t="str">
        <f>"protein_coding"</f>
        <v>protein_coding</v>
      </c>
    </row>
    <row r="1016" spans="1:9" x14ac:dyDescent="0.2">
      <c r="A1016" s="3" t="str">
        <f>"ENSG00000048342.16"</f>
        <v>ENSG00000048342.16</v>
      </c>
      <c r="B1016" s="3">
        <v>395.589224362435</v>
      </c>
      <c r="C1016" s="3">
        <v>-1.0732722249522699</v>
      </c>
      <c r="D1016" s="3">
        <v>0.29298336182601997</v>
      </c>
      <c r="E1016" s="3">
        <v>-3.6632531562990498</v>
      </c>
      <c r="F1016" s="3">
        <v>2.49032196252544E-4</v>
      </c>
      <c r="G1016" s="3">
        <v>1.8131417935550601E-3</v>
      </c>
      <c r="H1016" s="3" t="str">
        <f>"CC2D2A"</f>
        <v>CC2D2A</v>
      </c>
      <c r="I1016" s="3" t="str">
        <f>"protein_coding"</f>
        <v>protein_coding</v>
      </c>
    </row>
    <row r="1017" spans="1:9" x14ac:dyDescent="0.2">
      <c r="A1017" s="3" t="str">
        <f>"ENSG00000007062.11"</f>
        <v>ENSG00000007062.11</v>
      </c>
      <c r="B1017" s="3">
        <v>849.37059698169196</v>
      </c>
      <c r="C1017" s="3">
        <v>-2.2885049234641901</v>
      </c>
      <c r="D1017" s="3">
        <v>0.26945686475520902</v>
      </c>
      <c r="E1017" s="3">
        <v>-8.4930288398597895</v>
      </c>
      <c r="F1017" s="4">
        <v>2.0132031681152E-17</v>
      </c>
      <c r="G1017" s="4">
        <v>9.1247073322410596E-16</v>
      </c>
      <c r="H1017" s="3" t="str">
        <f>"PROM1"</f>
        <v>PROM1</v>
      </c>
      <c r="I1017" s="3" t="str">
        <f>"protein_coding"</f>
        <v>protein_coding</v>
      </c>
    </row>
    <row r="1018" spans="1:9" x14ac:dyDescent="0.2">
      <c r="A1018" s="3" t="str">
        <f>"ENSG00000109610.6"</f>
        <v>ENSG00000109610.6</v>
      </c>
      <c r="B1018" s="3">
        <v>11.3632630879742</v>
      </c>
      <c r="C1018" s="3">
        <v>-5.43347092644626</v>
      </c>
      <c r="D1018" s="3">
        <v>1.7041541679877701</v>
      </c>
      <c r="E1018" s="3">
        <v>-3.1883681820066601</v>
      </c>
      <c r="F1018" s="3">
        <v>1.4307822854316499E-3</v>
      </c>
      <c r="G1018" s="3">
        <v>8.2757710715183203E-3</v>
      </c>
      <c r="H1018" s="3" t="str">
        <f>"SOD3"</f>
        <v>SOD3</v>
      </c>
      <c r="I1018" s="3" t="str">
        <f>"protein_coding"</f>
        <v>protein_coding</v>
      </c>
    </row>
    <row r="1019" spans="1:9" x14ac:dyDescent="0.2">
      <c r="A1019" s="3" t="str">
        <f>"ENSG00000181982.18"</f>
        <v>ENSG00000181982.18</v>
      </c>
      <c r="B1019" s="3">
        <v>51.533986598789902</v>
      </c>
      <c r="C1019" s="3">
        <v>-1.7815301220491799</v>
      </c>
      <c r="D1019" s="3">
        <v>0.52076156475219904</v>
      </c>
      <c r="E1019" s="3">
        <v>-3.4210092346137499</v>
      </c>
      <c r="F1019" s="3">
        <v>6.2389213768404095E-4</v>
      </c>
      <c r="G1019" s="3">
        <v>4.0658048506326599E-3</v>
      </c>
      <c r="H1019" s="3" t="str">
        <f>"CCDC149"</f>
        <v>CCDC149</v>
      </c>
      <c r="I1019" s="3" t="str">
        <f>"protein_coding"</f>
        <v>protein_coding</v>
      </c>
    </row>
    <row r="1020" spans="1:9" x14ac:dyDescent="0.2">
      <c r="A1020" s="3" t="str">
        <f>"ENSG00000281501.1"</f>
        <v>ENSG00000281501.1</v>
      </c>
      <c r="B1020" s="3">
        <v>187.177794016116</v>
      </c>
      <c r="C1020" s="3">
        <v>-1.3812191229652</v>
      </c>
      <c r="D1020" s="3">
        <v>0.37842275080410798</v>
      </c>
      <c r="E1020" s="3">
        <v>-3.64993679695593</v>
      </c>
      <c r="F1020" s="3">
        <v>2.6230484216480999E-4</v>
      </c>
      <c r="G1020" s="3">
        <v>1.89987857893918E-3</v>
      </c>
      <c r="H1020" s="3" t="str">
        <f>"SEPSECS-AS1"</f>
        <v>SEPSECS-AS1</v>
      </c>
      <c r="I1020" s="3" t="str">
        <f>"antisense"</f>
        <v>antisense</v>
      </c>
    </row>
    <row r="1021" spans="1:9" x14ac:dyDescent="0.2">
      <c r="A1021" s="3" t="str">
        <f>"ENSG00000157765.13"</f>
        <v>ENSG00000157765.13</v>
      </c>
      <c r="B1021" s="3">
        <v>79.952661402117002</v>
      </c>
      <c r="C1021" s="3">
        <v>-3.4359159057268802</v>
      </c>
      <c r="D1021" s="3">
        <v>0.49724603868856398</v>
      </c>
      <c r="E1021" s="3">
        <v>-6.9098909561728403</v>
      </c>
      <c r="F1021" s="4">
        <v>4.8502638470002701E-12</v>
      </c>
      <c r="G1021" s="4">
        <v>1.30350840888132E-10</v>
      </c>
      <c r="H1021" s="3" t="str">
        <f>"SLC34A2"</f>
        <v>SLC34A2</v>
      </c>
      <c r="I1021" s="3" t="str">
        <f>"protein_coding"</f>
        <v>protein_coding</v>
      </c>
    </row>
    <row r="1022" spans="1:9" x14ac:dyDescent="0.2">
      <c r="A1022" s="3" t="str">
        <f>"ENSG00000091490.11"</f>
        <v>ENSG00000091490.11</v>
      </c>
      <c r="B1022" s="3">
        <v>256.54419877607597</v>
      </c>
      <c r="C1022" s="3">
        <v>1.4694007680550301</v>
      </c>
      <c r="D1022" s="3">
        <v>0.30893450627187502</v>
      </c>
      <c r="E1022" s="3">
        <v>4.75635041804588</v>
      </c>
      <c r="F1022" s="4">
        <v>1.97124178040736E-6</v>
      </c>
      <c r="G1022" s="4">
        <v>2.3247345047420099E-5</v>
      </c>
      <c r="H1022" s="3" t="str">
        <f>"SEL1L3"</f>
        <v>SEL1L3</v>
      </c>
      <c r="I1022" s="3" t="str">
        <f>"protein_coding"</f>
        <v>protein_coding</v>
      </c>
    </row>
    <row r="1023" spans="1:9" x14ac:dyDescent="0.2">
      <c r="A1023" s="3" t="str">
        <f>"ENSG00000047365.12"</f>
        <v>ENSG00000047365.12</v>
      </c>
      <c r="B1023" s="3">
        <v>30.899528367011499</v>
      </c>
      <c r="C1023" s="3">
        <v>-1.92797099649166</v>
      </c>
      <c r="D1023" s="3">
        <v>0.64992179806878703</v>
      </c>
      <c r="E1023" s="3">
        <v>-2.9664661228789901</v>
      </c>
      <c r="F1023" s="3">
        <v>3.0124354640901699E-3</v>
      </c>
      <c r="G1023" s="3">
        <v>1.54680167583564E-2</v>
      </c>
      <c r="H1023" s="3" t="str">
        <f>"ARAP2"</f>
        <v>ARAP2</v>
      </c>
      <c r="I1023" s="3" t="str">
        <f>"protein_coding"</f>
        <v>protein_coding</v>
      </c>
    </row>
    <row r="1024" spans="1:9" x14ac:dyDescent="0.2">
      <c r="A1024" s="3" t="str">
        <f>"ENSG00000249863.2"</f>
        <v>ENSG00000249863.2</v>
      </c>
      <c r="B1024" s="3">
        <v>101.360364639628</v>
      </c>
      <c r="C1024" s="3">
        <v>1.3209437260083901</v>
      </c>
      <c r="D1024" s="3">
        <v>0.39751775412081802</v>
      </c>
      <c r="E1024" s="3">
        <v>3.3229804513508898</v>
      </c>
      <c r="F1024" s="3">
        <v>8.9061155535784405E-4</v>
      </c>
      <c r="G1024" s="3">
        <v>5.5320458172466698E-3</v>
      </c>
      <c r="H1024" s="3" t="str">
        <f>"AC021106.1"</f>
        <v>AC021106.1</v>
      </c>
      <c r="I1024" s="3" t="str">
        <f>"processed_pseudogene"</f>
        <v>processed_pseudogene</v>
      </c>
    </row>
    <row r="1025" spans="1:9" x14ac:dyDescent="0.2">
      <c r="A1025" s="3" t="str">
        <f>"ENSG00000134962.7"</f>
        <v>ENSG00000134962.7</v>
      </c>
      <c r="B1025" s="3">
        <v>513.72623769046697</v>
      </c>
      <c r="C1025" s="3">
        <v>-1.26381515399279</v>
      </c>
      <c r="D1025" s="3">
        <v>0.29291846283812001</v>
      </c>
      <c r="E1025" s="3">
        <v>-4.3145629734211504</v>
      </c>
      <c r="F1025" s="4">
        <v>1.5991894479556101E-5</v>
      </c>
      <c r="G1025" s="3">
        <v>1.5652766756156999E-4</v>
      </c>
      <c r="H1025" s="3" t="str">
        <f>"KLB"</f>
        <v>KLB</v>
      </c>
      <c r="I1025" s="3" t="str">
        <f>"protein_coding"</f>
        <v>protein_coding</v>
      </c>
    </row>
    <row r="1026" spans="1:9" x14ac:dyDescent="0.2">
      <c r="A1026" s="3" t="str">
        <f>"ENSG00000163694.15"</f>
        <v>ENSG00000163694.15</v>
      </c>
      <c r="B1026" s="3">
        <v>1927.5726621028</v>
      </c>
      <c r="C1026" s="3">
        <v>2.5013200042190502</v>
      </c>
      <c r="D1026" s="3">
        <v>0.243967452577939</v>
      </c>
      <c r="E1026" s="3">
        <v>10.252679108578899</v>
      </c>
      <c r="F1026" s="4">
        <v>1.1510798563097899E-24</v>
      </c>
      <c r="G1026" s="4">
        <v>8.6953194550969199E-23</v>
      </c>
      <c r="H1026" s="3" t="str">
        <f>"RBM47"</f>
        <v>RBM47</v>
      </c>
      <c r="I1026" s="3" t="str">
        <f>"protein_coding"</f>
        <v>protein_coding</v>
      </c>
    </row>
    <row r="1027" spans="1:9" x14ac:dyDescent="0.2">
      <c r="A1027" s="3" t="str">
        <f>"ENSG00000263642.1"</f>
        <v>ENSG00000263642.1</v>
      </c>
      <c r="B1027" s="3">
        <v>15.5519265440347</v>
      </c>
      <c r="C1027" s="3">
        <v>3.0319949126329102</v>
      </c>
      <c r="D1027" s="3">
        <v>0.97304823953396802</v>
      </c>
      <c r="E1027" s="3">
        <v>3.1159759500567601</v>
      </c>
      <c r="F1027" s="3">
        <v>1.83337224091386E-3</v>
      </c>
      <c r="G1027" s="3">
        <v>1.01851763958013E-2</v>
      </c>
      <c r="H1027" s="3" t="str">
        <f>"MIR4802"</f>
        <v>MIR4802</v>
      </c>
      <c r="I1027" s="3" t="str">
        <f>"miRNA"</f>
        <v>miRNA</v>
      </c>
    </row>
    <row r="1028" spans="1:9" x14ac:dyDescent="0.2">
      <c r="A1028" s="3" t="str">
        <f>"ENSG00000163697.17"</f>
        <v>ENSG00000163697.17</v>
      </c>
      <c r="B1028" s="3">
        <v>3250.3706998390498</v>
      </c>
      <c r="C1028" s="3">
        <v>1.8074424428815901</v>
      </c>
      <c r="D1028" s="3">
        <v>0.25019453410693099</v>
      </c>
      <c r="E1028" s="3">
        <v>7.22414839849821</v>
      </c>
      <c r="F1028" s="4">
        <v>5.0425169978609401E-13</v>
      </c>
      <c r="G1028" s="4">
        <v>1.50646692495477E-11</v>
      </c>
      <c r="H1028" s="3" t="str">
        <f>"APBB2"</f>
        <v>APBB2</v>
      </c>
      <c r="I1028" s="3" t="str">
        <f>"protein_coding"</f>
        <v>protein_coding</v>
      </c>
    </row>
    <row r="1029" spans="1:9" x14ac:dyDescent="0.2">
      <c r="A1029" s="3" t="str">
        <f>"ENSG00000145246.13"</f>
        <v>ENSG00000145246.13</v>
      </c>
      <c r="B1029" s="3">
        <v>1187.69315402085</v>
      </c>
      <c r="C1029" s="3">
        <v>-2.96458161588341</v>
      </c>
      <c r="D1029" s="3">
        <v>0.282669733925622</v>
      </c>
      <c r="E1029" s="3">
        <v>-10.487792855330801</v>
      </c>
      <c r="F1029" s="4">
        <v>9.8297753828865798E-26</v>
      </c>
      <c r="G1029" s="4">
        <v>8.0281818102763605E-24</v>
      </c>
      <c r="H1029" s="3" t="str">
        <f>"ATP10D"</f>
        <v>ATP10D</v>
      </c>
      <c r="I1029" s="3" t="str">
        <f>"protein_coding"</f>
        <v>protein_coding</v>
      </c>
    </row>
    <row r="1030" spans="1:9" x14ac:dyDescent="0.2">
      <c r="A1030" s="3" t="str">
        <f>"ENSG00000163293.12"</f>
        <v>ENSG00000163293.12</v>
      </c>
      <c r="B1030" s="3">
        <v>647.19987466558496</v>
      </c>
      <c r="C1030" s="3">
        <v>2.1229609359230599</v>
      </c>
      <c r="D1030" s="3">
        <v>0.27627688031949399</v>
      </c>
      <c r="E1030" s="3">
        <v>7.6841787610603296</v>
      </c>
      <c r="F1030" s="4">
        <v>1.5398153275136301E-14</v>
      </c>
      <c r="G1030" s="4">
        <v>5.3133133832106095E-13</v>
      </c>
      <c r="H1030" s="3" t="str">
        <f>"NIPAL1"</f>
        <v>NIPAL1</v>
      </c>
      <c r="I1030" s="3" t="str">
        <f>"protein_coding"</f>
        <v>protein_coding</v>
      </c>
    </row>
    <row r="1031" spans="1:9" x14ac:dyDescent="0.2">
      <c r="A1031" s="3" t="str">
        <f>"ENSG00000249828.2"</f>
        <v>ENSG00000249828.2</v>
      </c>
      <c r="B1031" s="3">
        <v>21.425485231393999</v>
      </c>
      <c r="C1031" s="3">
        <v>6.4931158849763504</v>
      </c>
      <c r="D1031" s="3">
        <v>1.5976137214304</v>
      </c>
      <c r="E1031" s="3">
        <v>4.0642589618990099</v>
      </c>
      <c r="F1031" s="4">
        <v>4.8185304781207901E-5</v>
      </c>
      <c r="G1031" s="3">
        <v>4.2468204927315198E-4</v>
      </c>
      <c r="H1031" s="3" t="str">
        <f>"AC118282.3"</f>
        <v>AC118282.3</v>
      </c>
      <c r="I1031" s="3" t="str">
        <f>"processed_pseudogene"</f>
        <v>processed_pseudogene</v>
      </c>
    </row>
    <row r="1032" spans="1:9" x14ac:dyDescent="0.2">
      <c r="A1032" s="3" t="str">
        <f>"ENSG00000250016.2"</f>
        <v>ENSG00000250016.2</v>
      </c>
      <c r="B1032" s="3">
        <v>8.3627813283894508</v>
      </c>
      <c r="C1032" s="3">
        <v>5.1160814679830899</v>
      </c>
      <c r="D1032" s="3">
        <v>1.78310758203908</v>
      </c>
      <c r="E1032" s="3">
        <v>2.86919393956734</v>
      </c>
      <c r="F1032" s="3">
        <v>4.1151938563140202E-3</v>
      </c>
      <c r="G1032" s="3">
        <v>2.0182823446203799E-2</v>
      </c>
      <c r="H1032" s="3" t="str">
        <f>"SNX18P23"</f>
        <v>SNX18P23</v>
      </c>
      <c r="I1032" s="3" t="str">
        <f>"processed_pseudogene"</f>
        <v>processed_pseudogene</v>
      </c>
    </row>
    <row r="1033" spans="1:9" x14ac:dyDescent="0.2">
      <c r="A1033" s="3" t="str">
        <f>"ENSG00000237961.4"</f>
        <v>ENSG00000237961.4</v>
      </c>
      <c r="B1033" s="3">
        <v>18.0322132344835</v>
      </c>
      <c r="C1033" s="3">
        <v>4.5901274052717396</v>
      </c>
      <c r="D1033" s="3">
        <v>1.1473949091270199</v>
      </c>
      <c r="E1033" s="3">
        <v>4.0004774021213603</v>
      </c>
      <c r="F1033" s="4">
        <v>6.3214823932576295E-5</v>
      </c>
      <c r="G1033" s="3">
        <v>5.4142624992303595E-4</v>
      </c>
      <c r="H1033" s="3" t="str">
        <f>"AC118282.1"</f>
        <v>AC118282.1</v>
      </c>
      <c r="I1033" s="3" t="str">
        <f>"processed_pseudogene"</f>
        <v>processed_pseudogene</v>
      </c>
    </row>
    <row r="1034" spans="1:9" x14ac:dyDescent="0.2">
      <c r="A1034" s="3" t="str">
        <f>"ENSG00000248583.1"</f>
        <v>ENSG00000248583.1</v>
      </c>
      <c r="B1034" s="3">
        <v>1241.07432845775</v>
      </c>
      <c r="C1034" s="3">
        <v>9.7772361610621594</v>
      </c>
      <c r="D1034" s="3">
        <v>0.64741642565101998</v>
      </c>
      <c r="E1034" s="3">
        <v>15.1019278684975</v>
      </c>
      <c r="F1034" s="4">
        <v>1.57267141264933E-51</v>
      </c>
      <c r="G1034" s="4">
        <v>4.3956165983548801E-49</v>
      </c>
      <c r="H1034" s="3" t="str">
        <f>"AC119751.3"</f>
        <v>AC119751.3</v>
      </c>
      <c r="I1034" s="3" t="str">
        <f>"unprocessed_pseudogene"</f>
        <v>unprocessed_pseudogene</v>
      </c>
    </row>
    <row r="1035" spans="1:9" x14ac:dyDescent="0.2">
      <c r="A1035" s="3" t="str">
        <f>"ENSG00000232471.3"</f>
        <v>ENSG00000232471.3</v>
      </c>
      <c r="B1035" s="3">
        <v>8.6427202740457396</v>
      </c>
      <c r="C1035" s="3">
        <v>5.1349631437231702</v>
      </c>
      <c r="D1035" s="3">
        <v>1.77173093548848</v>
      </c>
      <c r="E1035" s="3">
        <v>2.89827481186212</v>
      </c>
      <c r="F1035" s="3">
        <v>3.7522165304397898E-3</v>
      </c>
      <c r="G1035" s="3">
        <v>1.8650714780538501E-2</v>
      </c>
      <c r="H1035" s="3" t="str">
        <f>"AC119751.1"</f>
        <v>AC119751.1</v>
      </c>
      <c r="I1035" s="3" t="str">
        <f>"unprocessed_pseudogene"</f>
        <v>unprocessed_pseudogene</v>
      </c>
    </row>
    <row r="1036" spans="1:9" x14ac:dyDescent="0.2">
      <c r="A1036" s="3" t="str">
        <f>"ENSG00000250753.2"</f>
        <v>ENSG00000250753.2</v>
      </c>
      <c r="B1036" s="3">
        <v>229.10107062686799</v>
      </c>
      <c r="C1036" s="3">
        <v>9.9171550082599804</v>
      </c>
      <c r="D1036" s="3">
        <v>1.45453974648952</v>
      </c>
      <c r="E1036" s="3">
        <v>6.8180708242553596</v>
      </c>
      <c r="F1036" s="4">
        <v>9.2271154472333803E-12</v>
      </c>
      <c r="G1036" s="4">
        <v>2.3781566503601998E-10</v>
      </c>
      <c r="H1036" s="3" t="str">
        <f>"AC119751.4"</f>
        <v>AC119751.4</v>
      </c>
      <c r="I1036" s="3" t="str">
        <f>"processed_pseudogene"</f>
        <v>processed_pseudogene</v>
      </c>
    </row>
    <row r="1037" spans="1:9" x14ac:dyDescent="0.2">
      <c r="A1037" s="3" t="str">
        <f>"ENSG00000249337.2"</f>
        <v>ENSG00000249337.2</v>
      </c>
      <c r="B1037" s="3">
        <v>13.6136077722668</v>
      </c>
      <c r="C1037" s="3">
        <v>4.7612261746472297</v>
      </c>
      <c r="D1037" s="3">
        <v>1.3348480276053101</v>
      </c>
      <c r="E1037" s="3">
        <v>3.5668675955485099</v>
      </c>
      <c r="F1037" s="3">
        <v>3.6127390135945502E-4</v>
      </c>
      <c r="G1037" s="3">
        <v>2.5209001355609101E-3</v>
      </c>
      <c r="H1037" s="3" t="str">
        <f>"SNX18P25"</f>
        <v>SNX18P25</v>
      </c>
      <c r="I1037" s="3" t="str">
        <f>"processed_pseudogene"</f>
        <v>processed_pseudogene</v>
      </c>
    </row>
    <row r="1038" spans="1:9" x14ac:dyDescent="0.2">
      <c r="A1038" s="3" t="str">
        <f>"ENSG00000163071.11"</f>
        <v>ENSG00000163071.11</v>
      </c>
      <c r="B1038" s="3">
        <v>1307.86789637058</v>
      </c>
      <c r="C1038" s="3">
        <v>6.9889151671922498</v>
      </c>
      <c r="D1038" s="3">
        <v>0.33685128012988202</v>
      </c>
      <c r="E1038" s="3">
        <v>20.747776777031898</v>
      </c>
      <c r="F1038" s="4">
        <v>1.28392666301077E-95</v>
      </c>
      <c r="G1038" s="4">
        <v>1.40422500904504E-92</v>
      </c>
      <c r="H1038" s="3" t="str">
        <f>"SPATA18"</f>
        <v>SPATA18</v>
      </c>
      <c r="I1038" s="3" t="str">
        <f>"protein_coding"</f>
        <v>protein_coding</v>
      </c>
    </row>
    <row r="1039" spans="1:9" x14ac:dyDescent="0.2">
      <c r="A1039" s="3" t="str">
        <f>"ENSG00000226950.6"</f>
        <v>ENSG00000226950.6</v>
      </c>
      <c r="B1039" s="3">
        <v>1757.39668924073</v>
      </c>
      <c r="C1039" s="3">
        <v>-1.12374040560359</v>
      </c>
      <c r="D1039" s="3">
        <v>0.26907279655609501</v>
      </c>
      <c r="E1039" s="3">
        <v>-4.1763434281968204</v>
      </c>
      <c r="F1039" s="4">
        <v>2.96232476521408E-5</v>
      </c>
      <c r="G1039" s="3">
        <v>2.72757245493998E-4</v>
      </c>
      <c r="H1039" s="3" t="str">
        <f>"DANCR"</f>
        <v>DANCR</v>
      </c>
      <c r="I1039" s="3" t="str">
        <f>"processed_transcript"</f>
        <v>processed_transcript</v>
      </c>
    </row>
    <row r="1040" spans="1:9" x14ac:dyDescent="0.2">
      <c r="A1040" s="3" t="str">
        <f>"ENSG00000134853.12"</f>
        <v>ENSG00000134853.12</v>
      </c>
      <c r="B1040" s="3">
        <v>29.468811149513801</v>
      </c>
      <c r="C1040" s="3">
        <v>-2.2068921731401598</v>
      </c>
      <c r="D1040" s="3">
        <v>0.68908264084543602</v>
      </c>
      <c r="E1040" s="3">
        <v>-3.2026523994749398</v>
      </c>
      <c r="F1040" s="3">
        <v>1.3616823027445401E-3</v>
      </c>
      <c r="G1040" s="3">
        <v>7.9344726257908095E-3</v>
      </c>
      <c r="H1040" s="3" t="str">
        <f>"PDGFRA"</f>
        <v>PDGFRA</v>
      </c>
      <c r="I1040" s="3" t="str">
        <f>"protein_coding"</f>
        <v>protein_coding</v>
      </c>
    </row>
    <row r="1041" spans="1:9" x14ac:dyDescent="0.2">
      <c r="A1041" s="3" t="str">
        <f>"ENSG00000128039.11"</f>
        <v>ENSG00000128039.11</v>
      </c>
      <c r="B1041" s="3">
        <v>214.078328527004</v>
      </c>
      <c r="C1041" s="3">
        <v>-1.1672850520210101</v>
      </c>
      <c r="D1041" s="3">
        <v>0.34576726290405402</v>
      </c>
      <c r="E1041" s="3">
        <v>-3.3759270389484799</v>
      </c>
      <c r="F1041" s="3">
        <v>7.3567425587849305E-4</v>
      </c>
      <c r="G1041" s="3">
        <v>4.6981177726893898E-3</v>
      </c>
      <c r="H1041" s="3" t="str">
        <f>"SRD5A3"</f>
        <v>SRD5A3</v>
      </c>
      <c r="I1041" s="3" t="str">
        <f>"protein_coding"</f>
        <v>protein_coding</v>
      </c>
    </row>
    <row r="1042" spans="1:9" x14ac:dyDescent="0.2">
      <c r="A1042" s="3" t="str">
        <f>"ENSG00000128059.8"</f>
        <v>ENSG00000128059.8</v>
      </c>
      <c r="B1042" s="3">
        <v>2069.0125518268301</v>
      </c>
      <c r="C1042" s="3">
        <v>-1.1278474097962801</v>
      </c>
      <c r="D1042" s="3">
        <v>0.24627893624976199</v>
      </c>
      <c r="E1042" s="3">
        <v>-4.5795528719211198</v>
      </c>
      <c r="F1042" s="4">
        <v>4.6597099020946502E-6</v>
      </c>
      <c r="G1042" s="4">
        <v>5.1483549886062298E-5</v>
      </c>
      <c r="H1042" s="3" t="str">
        <f>"PPAT"</f>
        <v>PPAT</v>
      </c>
      <c r="I1042" s="3" t="str">
        <f>"protein_coding"</f>
        <v>protein_coding</v>
      </c>
    </row>
    <row r="1043" spans="1:9" x14ac:dyDescent="0.2">
      <c r="A1043" s="3" t="str">
        <f>"ENSG00000128050.8"</f>
        <v>ENSG00000128050.8</v>
      </c>
      <c r="B1043" s="3">
        <v>8148.8790278755596</v>
      </c>
      <c r="C1043" s="3">
        <v>-1.4397876047498499</v>
      </c>
      <c r="D1043" s="3">
        <v>0.26418706568338102</v>
      </c>
      <c r="E1043" s="3">
        <v>-5.4498792400207101</v>
      </c>
      <c r="F1043" s="4">
        <v>5.0404033024637197E-8</v>
      </c>
      <c r="G1043" s="4">
        <v>7.8997722787211702E-7</v>
      </c>
      <c r="H1043" s="3" t="str">
        <f>"PAICS"</f>
        <v>PAICS</v>
      </c>
      <c r="I1043" s="3" t="str">
        <f>"protein_coding"</f>
        <v>protein_coding</v>
      </c>
    </row>
    <row r="1044" spans="1:9" x14ac:dyDescent="0.2">
      <c r="A1044" s="3" t="str">
        <f>"ENSG00000163453.11"</f>
        <v>ENSG00000163453.11</v>
      </c>
      <c r="B1044" s="3">
        <v>593.31826228902503</v>
      </c>
      <c r="C1044" s="3">
        <v>6.8876198592551896</v>
      </c>
      <c r="D1044" s="3">
        <v>0.41458385141757897</v>
      </c>
      <c r="E1044" s="3">
        <v>16.6133336735246</v>
      </c>
      <c r="F1044" s="4">
        <v>5.58039759826582E-62</v>
      </c>
      <c r="G1044" s="4">
        <v>2.1268924482481301E-59</v>
      </c>
      <c r="H1044" s="3" t="str">
        <f>"IGFBP7"</f>
        <v>IGFBP7</v>
      </c>
      <c r="I1044" s="3" t="str">
        <f>"protein_coding"</f>
        <v>protein_coding</v>
      </c>
    </row>
    <row r="1045" spans="1:9" x14ac:dyDescent="0.2">
      <c r="A1045" s="3" t="str">
        <f>"ENSG00000236562.4"</f>
        <v>ENSG00000236562.4</v>
      </c>
      <c r="B1045" s="3">
        <v>44.552483627744998</v>
      </c>
      <c r="C1045" s="3">
        <v>-1.9035200902066101</v>
      </c>
      <c r="D1045" s="3">
        <v>0.58908321811639397</v>
      </c>
      <c r="E1045" s="3">
        <v>-3.2313262908645699</v>
      </c>
      <c r="F1045" s="3">
        <v>1.2321719336319901E-3</v>
      </c>
      <c r="G1045" s="3">
        <v>7.30331880078055E-3</v>
      </c>
      <c r="H1045" s="3" t="str">
        <f>"AC116049.1"</f>
        <v>AC116049.1</v>
      </c>
      <c r="I1045" s="3" t="str">
        <f>"processed_pseudogene"</f>
        <v>processed_pseudogene</v>
      </c>
    </row>
    <row r="1046" spans="1:9" x14ac:dyDescent="0.2">
      <c r="A1046" s="3" t="str">
        <f>"ENSG00000162840.4"</f>
        <v>ENSG00000162840.4</v>
      </c>
      <c r="B1046" s="3">
        <v>38.9617941961396</v>
      </c>
      <c r="C1046" s="3">
        <v>3.3564722239770801</v>
      </c>
      <c r="D1046" s="3">
        <v>0.68043611759712797</v>
      </c>
      <c r="E1046" s="3">
        <v>4.9328249003448299</v>
      </c>
      <c r="F1046" s="4">
        <v>8.1048806847698197E-7</v>
      </c>
      <c r="G1046" s="4">
        <v>1.0322950563310601E-5</v>
      </c>
      <c r="H1046" s="3" t="str">
        <f>"MT2P1"</f>
        <v>MT2P1</v>
      </c>
      <c r="I1046" s="3" t="str">
        <f>"processed_pseudogene"</f>
        <v>processed_pseudogene</v>
      </c>
    </row>
    <row r="1047" spans="1:9" x14ac:dyDescent="0.2">
      <c r="A1047" s="3" t="str">
        <f>"ENSG00000135220.11"</f>
        <v>ENSG00000135220.11</v>
      </c>
      <c r="B1047" s="3">
        <v>852.38540931181103</v>
      </c>
      <c r="C1047" s="3">
        <v>2.1122855892287902</v>
      </c>
      <c r="D1047" s="3">
        <v>0.27745094907280199</v>
      </c>
      <c r="E1047" s="3">
        <v>7.6131856686297796</v>
      </c>
      <c r="F1047" s="4">
        <v>2.6742119507359399E-14</v>
      </c>
      <c r="G1047" s="4">
        <v>9.0295035732567297E-13</v>
      </c>
      <c r="H1047" s="3" t="str">
        <f>"UGT2A3"</f>
        <v>UGT2A3</v>
      </c>
      <c r="I1047" s="3" t="str">
        <f>"protein_coding"</f>
        <v>protein_coding</v>
      </c>
    </row>
    <row r="1048" spans="1:9" x14ac:dyDescent="0.2">
      <c r="A1048" s="3" t="str">
        <f>"ENSG00000251685.3"</f>
        <v>ENSG00000251685.3</v>
      </c>
      <c r="B1048" s="3">
        <v>231.50580501981901</v>
      </c>
      <c r="C1048" s="3">
        <v>2.4803112554987901</v>
      </c>
      <c r="D1048" s="3">
        <v>0.40422703299916701</v>
      </c>
      <c r="E1048" s="3">
        <v>6.1359361275174802</v>
      </c>
      <c r="F1048" s="4">
        <v>8.4659169090367202E-10</v>
      </c>
      <c r="G1048" s="4">
        <v>1.7412930486248501E-8</v>
      </c>
      <c r="H1048" s="3" t="str">
        <f>"UGT2B27P"</f>
        <v>UGT2B27P</v>
      </c>
      <c r="I1048" s="3" t="str">
        <f>"unprocessed_pseudogene"</f>
        <v>unprocessed_pseudogene</v>
      </c>
    </row>
    <row r="1049" spans="1:9" x14ac:dyDescent="0.2">
      <c r="A1049" s="3" t="str">
        <f>"ENSG00000171234.14"</f>
        <v>ENSG00000171234.14</v>
      </c>
      <c r="B1049" s="3">
        <v>1399.4853965366799</v>
      </c>
      <c r="C1049" s="3">
        <v>1.3078247101101399</v>
      </c>
      <c r="D1049" s="3">
        <v>0.26444137022432601</v>
      </c>
      <c r="E1049" s="3">
        <v>4.9456131202191003</v>
      </c>
      <c r="F1049" s="4">
        <v>7.59045766479507E-7</v>
      </c>
      <c r="G1049" s="4">
        <v>9.7467055925431296E-6</v>
      </c>
      <c r="H1049" s="3" t="str">
        <f>"UGT2B7"</f>
        <v>UGT2B7</v>
      </c>
      <c r="I1049" s="3" t="str">
        <f>"protein_coding"</f>
        <v>protein_coding</v>
      </c>
    </row>
    <row r="1050" spans="1:9" x14ac:dyDescent="0.2">
      <c r="A1050" s="3" t="str">
        <f>"ENSG00000248763.2"</f>
        <v>ENSG00000248763.2</v>
      </c>
      <c r="B1050" s="3">
        <v>160.625387193634</v>
      </c>
      <c r="C1050" s="3">
        <v>2.02639832749515</v>
      </c>
      <c r="D1050" s="3">
        <v>0.39832103093240101</v>
      </c>
      <c r="E1050" s="3">
        <v>5.0873495751698101</v>
      </c>
      <c r="F1050" s="4">
        <v>3.63102178085788E-7</v>
      </c>
      <c r="G1050" s="4">
        <v>4.9292149431991398E-6</v>
      </c>
      <c r="H1050" s="3" t="str">
        <f>"AC111000.2"</f>
        <v>AC111000.2</v>
      </c>
      <c r="I1050" s="3" t="str">
        <f>"unprocessed_pseudogene"</f>
        <v>unprocessed_pseudogene</v>
      </c>
    </row>
    <row r="1051" spans="1:9" x14ac:dyDescent="0.2">
      <c r="A1051" s="3" t="str">
        <f>"ENSG00000156096.14"</f>
        <v>ENSG00000156096.14</v>
      </c>
      <c r="B1051" s="3">
        <v>106.73870788102001</v>
      </c>
      <c r="C1051" s="3">
        <v>-3.8832669995631299</v>
      </c>
      <c r="D1051" s="3">
        <v>0.52008729462787995</v>
      </c>
      <c r="E1051" s="3">
        <v>-7.4665677082951802</v>
      </c>
      <c r="F1051" s="4">
        <v>8.2313627433346604E-14</v>
      </c>
      <c r="G1051" s="4">
        <v>2.6648639615004301E-12</v>
      </c>
      <c r="H1051" s="3" t="str">
        <f>"UGT2B4"</f>
        <v>UGT2B4</v>
      </c>
      <c r="I1051" s="3" t="str">
        <f t="shared" ref="I1051:I1062" si="40">"protein_coding"</f>
        <v>protein_coding</v>
      </c>
    </row>
    <row r="1052" spans="1:9" x14ac:dyDescent="0.2">
      <c r="A1052" s="3" t="str">
        <f>"ENSG00000109205.16"</f>
        <v>ENSG00000109205.16</v>
      </c>
      <c r="B1052" s="3">
        <v>158.049498686655</v>
      </c>
      <c r="C1052" s="3">
        <v>-1.1853448538786999</v>
      </c>
      <c r="D1052" s="3">
        <v>0.36931787307484498</v>
      </c>
      <c r="E1052" s="3">
        <v>-3.2095518259374298</v>
      </c>
      <c r="F1052" s="3">
        <v>1.32942078113081E-3</v>
      </c>
      <c r="G1052" s="3">
        <v>7.7807305140403698E-3</v>
      </c>
      <c r="H1052" s="3" t="str">
        <f>"ODAM"</f>
        <v>ODAM</v>
      </c>
      <c r="I1052" s="3" t="str">
        <f t="shared" si="40"/>
        <v>protein_coding</v>
      </c>
    </row>
    <row r="1053" spans="1:9" x14ac:dyDescent="0.2">
      <c r="A1053" s="3" t="str">
        <f>"ENSG00000156136.10"</f>
        <v>ENSG00000156136.10</v>
      </c>
      <c r="B1053" s="3">
        <v>750.82411916255001</v>
      </c>
      <c r="C1053" s="3">
        <v>-1.15249974438694</v>
      </c>
      <c r="D1053" s="3">
        <v>0.261359421525095</v>
      </c>
      <c r="E1053" s="3">
        <v>-4.4096353506670098</v>
      </c>
      <c r="F1053" s="4">
        <v>1.0354482528558E-5</v>
      </c>
      <c r="G1053" s="3">
        <v>1.05580465344904E-4</v>
      </c>
      <c r="H1053" s="3" t="str">
        <f>"DCK"</f>
        <v>DCK</v>
      </c>
      <c r="I1053" s="3" t="str">
        <f t="shared" si="40"/>
        <v>protein_coding</v>
      </c>
    </row>
    <row r="1054" spans="1:9" x14ac:dyDescent="0.2">
      <c r="A1054" s="3" t="str">
        <f>"ENSG00000163631.17"</f>
        <v>ENSG00000163631.17</v>
      </c>
      <c r="B1054" s="3">
        <v>62283.007908483298</v>
      </c>
      <c r="C1054" s="3">
        <v>3.6816252587835501</v>
      </c>
      <c r="D1054" s="3">
        <v>0.297918373530699</v>
      </c>
      <c r="E1054" s="3">
        <v>12.3578321644005</v>
      </c>
      <c r="F1054" s="4">
        <v>4.4191383678475401E-35</v>
      </c>
      <c r="G1054" s="4">
        <v>5.6188870296521802E-33</v>
      </c>
      <c r="H1054" s="3" t="str">
        <f>"ALB"</f>
        <v>ALB</v>
      </c>
      <c r="I1054" s="3" t="str">
        <f t="shared" si="40"/>
        <v>protein_coding</v>
      </c>
    </row>
    <row r="1055" spans="1:9" x14ac:dyDescent="0.2">
      <c r="A1055" s="3" t="str">
        <f>"ENSG00000081051.7"</f>
        <v>ENSG00000081051.7</v>
      </c>
      <c r="B1055" s="3">
        <v>113711.882998699</v>
      </c>
      <c r="C1055" s="3">
        <v>-1.5908050926672099</v>
      </c>
      <c r="D1055" s="3">
        <v>0.274865171601823</v>
      </c>
      <c r="E1055" s="3">
        <v>-5.7875833573112301</v>
      </c>
      <c r="F1055" s="4">
        <v>7.1406255294154597E-9</v>
      </c>
      <c r="G1055" s="4">
        <v>1.29131872891765E-7</v>
      </c>
      <c r="H1055" s="3" t="str">
        <f>"AFP"</f>
        <v>AFP</v>
      </c>
      <c r="I1055" s="3" t="str">
        <f t="shared" si="40"/>
        <v>protein_coding</v>
      </c>
    </row>
    <row r="1056" spans="1:9" x14ac:dyDescent="0.2">
      <c r="A1056" s="3" t="str">
        <f>"ENSG00000079557.5"</f>
        <v>ENSG00000079557.5</v>
      </c>
      <c r="B1056" s="3">
        <v>39.276526958207597</v>
      </c>
      <c r="C1056" s="3">
        <v>-2.4456174421817201</v>
      </c>
      <c r="D1056" s="3">
        <v>0.66084452915675995</v>
      </c>
      <c r="E1056" s="3">
        <v>-3.7007455373843099</v>
      </c>
      <c r="F1056" s="3">
        <v>2.14966960651482E-4</v>
      </c>
      <c r="G1056" s="3">
        <v>1.5918439491280599E-3</v>
      </c>
      <c r="H1056" s="3" t="str">
        <f>"AFM"</f>
        <v>AFM</v>
      </c>
      <c r="I1056" s="3" t="str">
        <f t="shared" si="40"/>
        <v>protein_coding</v>
      </c>
    </row>
    <row r="1057" spans="1:9" x14ac:dyDescent="0.2">
      <c r="A1057" s="3" t="str">
        <f>"ENSG00000163735.7"</f>
        <v>ENSG00000163735.7</v>
      </c>
      <c r="B1057" s="3">
        <v>261.82967292360098</v>
      </c>
      <c r="C1057" s="3">
        <v>-6.2673022138770396</v>
      </c>
      <c r="D1057" s="3">
        <v>0.50337027293535297</v>
      </c>
      <c r="E1057" s="3">
        <v>-12.4506800477706</v>
      </c>
      <c r="F1057" s="4">
        <v>1.38658639277948E-35</v>
      </c>
      <c r="G1057" s="4">
        <v>1.8072321611589499E-33</v>
      </c>
      <c r="H1057" s="3" t="str">
        <f>"CXCL5"</f>
        <v>CXCL5</v>
      </c>
      <c r="I1057" s="3" t="str">
        <f t="shared" si="40"/>
        <v>protein_coding</v>
      </c>
    </row>
    <row r="1058" spans="1:9" x14ac:dyDescent="0.2">
      <c r="A1058" s="3" t="str">
        <f>"ENSG00000081041.9"</f>
        <v>ENSG00000081041.9</v>
      </c>
      <c r="B1058" s="3">
        <v>17.4016768971358</v>
      </c>
      <c r="C1058" s="3">
        <v>-3.3503058724649102</v>
      </c>
      <c r="D1058" s="3">
        <v>0.95686310245511297</v>
      </c>
      <c r="E1058" s="3">
        <v>-3.5013429443237101</v>
      </c>
      <c r="F1058" s="3">
        <v>4.6291973019881797E-4</v>
      </c>
      <c r="G1058" s="3">
        <v>3.12778560654076E-3</v>
      </c>
      <c r="H1058" s="3" t="str">
        <f>"CXCL2"</f>
        <v>CXCL2</v>
      </c>
      <c r="I1058" s="3" t="str">
        <f t="shared" si="40"/>
        <v>protein_coding</v>
      </c>
    </row>
    <row r="1059" spans="1:9" x14ac:dyDescent="0.2">
      <c r="A1059" s="3" t="str">
        <f>"ENSG00000163738.18"</f>
        <v>ENSG00000163738.18</v>
      </c>
      <c r="B1059" s="3">
        <v>363.34044666996198</v>
      </c>
      <c r="C1059" s="3">
        <v>-1.61995546486811</v>
      </c>
      <c r="D1059" s="3">
        <v>0.28851056156549798</v>
      </c>
      <c r="E1059" s="3">
        <v>-5.6148913789429598</v>
      </c>
      <c r="F1059" s="4">
        <v>1.96685760106114E-8</v>
      </c>
      <c r="G1059" s="4">
        <v>3.30945170265505E-7</v>
      </c>
      <c r="H1059" s="3" t="str">
        <f>"MTHFD2L"</f>
        <v>MTHFD2L</v>
      </c>
      <c r="I1059" s="3" t="str">
        <f t="shared" si="40"/>
        <v>protein_coding</v>
      </c>
    </row>
    <row r="1060" spans="1:9" x14ac:dyDescent="0.2">
      <c r="A1060" s="3" t="str">
        <f>"ENSG00000138744.15"</f>
        <v>ENSG00000138744.15</v>
      </c>
      <c r="B1060" s="3">
        <v>340.32563770785202</v>
      </c>
      <c r="C1060" s="3">
        <v>-1.4949954623192701</v>
      </c>
      <c r="D1060" s="3">
        <v>0.29887009029691503</v>
      </c>
      <c r="E1060" s="3">
        <v>-5.0021581645525401</v>
      </c>
      <c r="F1060" s="4">
        <v>5.6692047706049497E-7</v>
      </c>
      <c r="G1060" s="4">
        <v>7.4508278999251603E-6</v>
      </c>
      <c r="H1060" s="3" t="str">
        <f>"NAAA"</f>
        <v>NAAA</v>
      </c>
      <c r="I1060" s="3" t="str">
        <f t="shared" si="40"/>
        <v>protein_coding</v>
      </c>
    </row>
    <row r="1061" spans="1:9" x14ac:dyDescent="0.2">
      <c r="A1061" s="3" t="str">
        <f>"ENSG00000138771.16"</f>
        <v>ENSG00000138771.16</v>
      </c>
      <c r="B1061" s="3">
        <v>144.66107998017799</v>
      </c>
      <c r="C1061" s="3">
        <v>3.0143012237363398</v>
      </c>
      <c r="D1061" s="3">
        <v>0.39312951022840897</v>
      </c>
      <c r="E1061" s="3">
        <v>7.6674509170909904</v>
      </c>
      <c r="F1061" s="4">
        <v>1.75448126492213E-14</v>
      </c>
      <c r="G1061" s="4">
        <v>6.0374796469379301E-13</v>
      </c>
      <c r="H1061" s="3" t="str">
        <f>"SHROOM3"</f>
        <v>SHROOM3</v>
      </c>
      <c r="I1061" s="3" t="str">
        <f t="shared" si="40"/>
        <v>protein_coding</v>
      </c>
    </row>
    <row r="1062" spans="1:9" x14ac:dyDescent="0.2">
      <c r="A1062" s="3" t="str">
        <f>"ENSG00000138758.11"</f>
        <v>ENSG00000138758.11</v>
      </c>
      <c r="B1062" s="3">
        <v>4000.8707616718998</v>
      </c>
      <c r="C1062" s="3">
        <v>-1.2607028423678499</v>
      </c>
      <c r="D1062" s="3">
        <v>0.27578720469777201</v>
      </c>
      <c r="E1062" s="3">
        <v>-4.5712883734016101</v>
      </c>
      <c r="F1062" s="4">
        <v>4.8473466784509098E-6</v>
      </c>
      <c r="G1062" s="4">
        <v>5.3316574419078603E-5</v>
      </c>
      <c r="H1062" s="3" t="str">
        <f>"SEPT11"</f>
        <v>SEPT11</v>
      </c>
      <c r="I1062" s="3" t="str">
        <f t="shared" si="40"/>
        <v>protein_coding</v>
      </c>
    </row>
    <row r="1063" spans="1:9" x14ac:dyDescent="0.2">
      <c r="A1063" s="3" t="str">
        <f>"ENSG00000249307.6"</f>
        <v>ENSG00000249307.6</v>
      </c>
      <c r="B1063" s="3">
        <v>147.83564892956201</v>
      </c>
      <c r="C1063" s="3">
        <v>4.3617999869114197</v>
      </c>
      <c r="D1063" s="3">
        <v>0.487431094243513</v>
      </c>
      <c r="E1063" s="3">
        <v>8.9485468580556606</v>
      </c>
      <c r="F1063" s="4">
        <v>3.6019254517839898E-19</v>
      </c>
      <c r="G1063" s="4">
        <v>1.83209903529584E-17</v>
      </c>
      <c r="H1063" s="3" t="str">
        <f>"LINC01088"</f>
        <v>LINC01088</v>
      </c>
      <c r="I1063" s="3" t="str">
        <f>"processed_transcript"</f>
        <v>processed_transcript</v>
      </c>
    </row>
    <row r="1064" spans="1:9" x14ac:dyDescent="0.2">
      <c r="A1064" s="3" t="str">
        <f>"ENSG00000138670.17"</f>
        <v>ENSG00000138670.17</v>
      </c>
      <c r="B1064" s="3">
        <v>219.907291063191</v>
      </c>
      <c r="C1064" s="3">
        <v>-3.1465131370605599</v>
      </c>
      <c r="D1064" s="3">
        <v>0.36014158969532101</v>
      </c>
      <c r="E1064" s="3">
        <v>-8.7368780143457094</v>
      </c>
      <c r="F1064" s="4">
        <v>2.3964101513026198E-18</v>
      </c>
      <c r="G1064" s="4">
        <v>1.15041407167972E-16</v>
      </c>
      <c r="H1064" s="3" t="str">
        <f>"RASGEF1B"</f>
        <v>RASGEF1B</v>
      </c>
      <c r="I1064" s="3" t="str">
        <f>"protein_coding"</f>
        <v>protein_coding</v>
      </c>
    </row>
    <row r="1065" spans="1:9" x14ac:dyDescent="0.2">
      <c r="A1065" s="3" t="str">
        <f>"ENSG00000272677.1"</f>
        <v>ENSG00000272677.1</v>
      </c>
      <c r="B1065" s="3">
        <v>42.480360772144003</v>
      </c>
      <c r="C1065" s="3">
        <v>-1.70392910048455</v>
      </c>
      <c r="D1065" s="3">
        <v>0.56858863392313796</v>
      </c>
      <c r="E1065" s="3">
        <v>-2.9967695427321699</v>
      </c>
      <c r="F1065" s="3">
        <v>2.72856900660469E-3</v>
      </c>
      <c r="G1065" s="3">
        <v>1.4237366633239001E-2</v>
      </c>
      <c r="H1065" s="3" t="str">
        <f>"AC124016.1"</f>
        <v>AC124016.1</v>
      </c>
      <c r="I1065" s="3" t="str">
        <f>"antisense"</f>
        <v>antisense</v>
      </c>
    </row>
    <row r="1066" spans="1:9" x14ac:dyDescent="0.2">
      <c r="A1066" s="3" t="str">
        <f>"ENSG00000145287.10"</f>
        <v>ENSG00000145287.10</v>
      </c>
      <c r="B1066" s="3">
        <v>736.73432339607598</v>
      </c>
      <c r="C1066" s="3">
        <v>3.1368990069814502</v>
      </c>
      <c r="D1066" s="3">
        <v>0.26956514463514297</v>
      </c>
      <c r="E1066" s="3">
        <v>11.636886553813399</v>
      </c>
      <c r="F1066" s="4">
        <v>2.6760699673944599E-31</v>
      </c>
      <c r="G1066" s="4">
        <v>2.88912188969132E-29</v>
      </c>
      <c r="H1066" s="3" t="str">
        <f>"PLAC8"</f>
        <v>PLAC8</v>
      </c>
      <c r="I1066" s="3" t="str">
        <f>"protein_coding"</f>
        <v>protein_coding</v>
      </c>
    </row>
    <row r="1067" spans="1:9" x14ac:dyDescent="0.2">
      <c r="A1067" s="3" t="str">
        <f>"ENSG00000235043.3"</f>
        <v>ENSG00000235043.3</v>
      </c>
      <c r="B1067" s="3">
        <v>260.93371221724601</v>
      </c>
      <c r="C1067" s="3">
        <v>-1.1691303178174901</v>
      </c>
      <c r="D1067" s="3">
        <v>0.33286575028946502</v>
      </c>
      <c r="E1067" s="3">
        <v>-3.5123178542724798</v>
      </c>
      <c r="F1067" s="3">
        <v>4.4421638014803099E-4</v>
      </c>
      <c r="G1067" s="3">
        <v>3.0192550777151401E-3</v>
      </c>
      <c r="H1067" s="3" t="str">
        <f>"TECRP1"</f>
        <v>TECRP1</v>
      </c>
      <c r="I1067" s="3" t="str">
        <f>"processed_pseudogene"</f>
        <v>processed_pseudogene</v>
      </c>
    </row>
    <row r="1068" spans="1:9" x14ac:dyDescent="0.2">
      <c r="A1068" s="3" t="str">
        <f>"ENSG00000198189.11"</f>
        <v>ENSG00000198189.11</v>
      </c>
      <c r="B1068" s="3">
        <v>3137.4080338959898</v>
      </c>
      <c r="C1068" s="3">
        <v>-1.4775269783145399</v>
      </c>
      <c r="D1068" s="3">
        <v>0.26541799199489802</v>
      </c>
      <c r="E1068" s="3">
        <v>-5.5667928432784501</v>
      </c>
      <c r="F1068" s="4">
        <v>2.59470553037128E-8</v>
      </c>
      <c r="G1068" s="4">
        <v>4.2826859973826397E-7</v>
      </c>
      <c r="H1068" s="3" t="str">
        <f>"HSD17B11"</f>
        <v>HSD17B11</v>
      </c>
      <c r="I1068" s="3" t="str">
        <f>"protein_coding"</f>
        <v>protein_coding</v>
      </c>
    </row>
    <row r="1069" spans="1:9" x14ac:dyDescent="0.2">
      <c r="A1069" s="3" t="str">
        <f>"ENSG00000118777.12"</f>
        <v>ENSG00000118777.12</v>
      </c>
      <c r="B1069" s="3">
        <v>1232.6672895393001</v>
      </c>
      <c r="C1069" s="3">
        <v>-1.8769829962958899</v>
      </c>
      <c r="D1069" s="3">
        <v>0.30209872859062598</v>
      </c>
      <c r="E1069" s="3">
        <v>-6.2131443089897704</v>
      </c>
      <c r="F1069" s="4">
        <v>5.1934712083843095E-10</v>
      </c>
      <c r="G1069" s="4">
        <v>1.10153261590984E-8</v>
      </c>
      <c r="H1069" s="3" t="str">
        <f>"ABCG2"</f>
        <v>ABCG2</v>
      </c>
      <c r="I1069" s="3" t="str">
        <f>"protein_coding"</f>
        <v>protein_coding</v>
      </c>
    </row>
    <row r="1070" spans="1:9" x14ac:dyDescent="0.2">
      <c r="A1070" s="3" t="str">
        <f>"ENSG00000163644.15"</f>
        <v>ENSG00000163644.15</v>
      </c>
      <c r="B1070" s="3">
        <v>446.447440103536</v>
      </c>
      <c r="C1070" s="3">
        <v>-1.3217136378611301</v>
      </c>
      <c r="D1070" s="3">
        <v>0.29212302292290299</v>
      </c>
      <c r="E1070" s="3">
        <v>-4.5245103403231299</v>
      </c>
      <c r="F1070" s="4">
        <v>6.0535493485327799E-6</v>
      </c>
      <c r="G1070" s="4">
        <v>6.53047215942908E-5</v>
      </c>
      <c r="H1070" s="3" t="str">
        <f>"PPM1K"</f>
        <v>PPM1K</v>
      </c>
      <c r="I1070" s="3" t="str">
        <f>"protein_coding"</f>
        <v>protein_coding</v>
      </c>
    </row>
    <row r="1071" spans="1:9" x14ac:dyDescent="0.2">
      <c r="A1071" s="3" t="str">
        <f>"ENSG00000138642.14"</f>
        <v>ENSG00000138642.14</v>
      </c>
      <c r="B1071" s="3">
        <v>66.978389115127996</v>
      </c>
      <c r="C1071" s="3">
        <v>-2.1734898565515199</v>
      </c>
      <c r="D1071" s="3">
        <v>0.49679347402972701</v>
      </c>
      <c r="E1071" s="3">
        <v>-4.3750370529655296</v>
      </c>
      <c r="F1071" s="4">
        <v>1.2141185322817299E-5</v>
      </c>
      <c r="G1071" s="3">
        <v>1.21726391708039E-4</v>
      </c>
      <c r="H1071" s="3" t="str">
        <f>"HERC6"</f>
        <v>HERC6</v>
      </c>
      <c r="I1071" s="3" t="str">
        <f>"protein_coding"</f>
        <v>protein_coding</v>
      </c>
    </row>
    <row r="1072" spans="1:9" x14ac:dyDescent="0.2">
      <c r="A1072" s="3" t="str">
        <f>"ENSG00000251095.6"</f>
        <v>ENSG00000251095.6</v>
      </c>
      <c r="B1072" s="3">
        <v>3956.7634157984598</v>
      </c>
      <c r="C1072" s="3">
        <v>9.6198234799879394</v>
      </c>
      <c r="D1072" s="3">
        <v>1.3072410769403799</v>
      </c>
      <c r="E1072" s="3">
        <v>7.3588748469435599</v>
      </c>
      <c r="F1072" s="4">
        <v>1.85466810265266E-13</v>
      </c>
      <c r="G1072" s="4">
        <v>5.8463879852415697E-12</v>
      </c>
      <c r="H1072" s="3" t="str">
        <f>"AC097478.1"</f>
        <v>AC097478.1</v>
      </c>
      <c r="I1072" s="3" t="str">
        <f>"antisense"</f>
        <v>antisense</v>
      </c>
    </row>
    <row r="1073" spans="1:9" x14ac:dyDescent="0.2">
      <c r="A1073" s="3" t="str">
        <f>"ENSG00000274238.1"</f>
        <v>ENSG00000274238.1</v>
      </c>
      <c r="B1073" s="3">
        <v>11.7180909238115</v>
      </c>
      <c r="C1073" s="3">
        <v>7.0654105720494202</v>
      </c>
      <c r="D1073" s="3">
        <v>1.7413424422239401</v>
      </c>
      <c r="E1073" s="3">
        <v>4.0574503904159602</v>
      </c>
      <c r="F1073" s="4">
        <v>4.9611351133623198E-5</v>
      </c>
      <c r="G1073" s="3">
        <v>4.36201865699508E-4</v>
      </c>
      <c r="H1073" s="3" t="str">
        <f>"AC097478.2"</f>
        <v>AC097478.2</v>
      </c>
      <c r="I1073" s="3" t="str">
        <f>"antisense"</f>
        <v>antisense</v>
      </c>
    </row>
    <row r="1074" spans="1:9" x14ac:dyDescent="0.2">
      <c r="A1074" s="3" t="str">
        <f>"ENSG00000246090.6"</f>
        <v>ENSG00000246090.6</v>
      </c>
      <c r="B1074" s="3">
        <v>348.715616800845</v>
      </c>
      <c r="C1074" s="3">
        <v>1.40233594912251</v>
      </c>
      <c r="D1074" s="3">
        <v>0.32999063569001302</v>
      </c>
      <c r="E1074" s="3">
        <v>4.2496234664060104</v>
      </c>
      <c r="F1074" s="4">
        <v>2.1413015656879601E-5</v>
      </c>
      <c r="G1074" s="3">
        <v>2.03415562254081E-4</v>
      </c>
      <c r="H1074" s="3" t="str">
        <f>"AP002026.1"</f>
        <v>AP002026.1</v>
      </c>
      <c r="I1074" s="3" t="str">
        <f>"antisense"</f>
        <v>antisense</v>
      </c>
    </row>
    <row r="1075" spans="1:9" x14ac:dyDescent="0.2">
      <c r="A1075" s="3" t="str">
        <f>"ENSG00000198099.8"</f>
        <v>ENSG00000198099.8</v>
      </c>
      <c r="B1075" s="3">
        <v>326.536176867986</v>
      </c>
      <c r="C1075" s="3">
        <v>-1.4034884201830999</v>
      </c>
      <c r="D1075" s="3">
        <v>0.30918545031123901</v>
      </c>
      <c r="E1075" s="3">
        <v>-4.5393093975485801</v>
      </c>
      <c r="F1075" s="4">
        <v>5.6438771022799999E-6</v>
      </c>
      <c r="G1075" s="4">
        <v>6.1353383106246102E-5</v>
      </c>
      <c r="H1075" s="3" t="str">
        <f>"ADH4"</f>
        <v>ADH4</v>
      </c>
      <c r="I1075" s="3" t="str">
        <f t="shared" ref="I1075:I1087" si="41">"protein_coding"</f>
        <v>protein_coding</v>
      </c>
    </row>
    <row r="1076" spans="1:9" x14ac:dyDescent="0.2">
      <c r="A1076" s="3" t="str">
        <f>"ENSG00000138823.13"</f>
        <v>ENSG00000138823.13</v>
      </c>
      <c r="B1076" s="3">
        <v>1624.4235085800599</v>
      </c>
      <c r="C1076" s="3">
        <v>-4.2100145232094999</v>
      </c>
      <c r="D1076" s="3">
        <v>0.34667648128108403</v>
      </c>
      <c r="E1076" s="3">
        <v>-12.143928851625899</v>
      </c>
      <c r="F1076" s="4">
        <v>6.1786446771894898E-34</v>
      </c>
      <c r="G1076" s="4">
        <v>7.4011336597477002E-32</v>
      </c>
      <c r="H1076" s="3" t="str">
        <f>"MTTP"</f>
        <v>MTTP</v>
      </c>
      <c r="I1076" s="3" t="str">
        <f t="shared" si="41"/>
        <v>protein_coding</v>
      </c>
    </row>
    <row r="1077" spans="1:9" x14ac:dyDescent="0.2">
      <c r="A1077" s="3" t="str">
        <f>"ENSG00000164032.12"</f>
        <v>ENSG00000164032.12</v>
      </c>
      <c r="B1077" s="3">
        <v>7540.1315234625699</v>
      </c>
      <c r="C1077" s="3">
        <v>-1.4000835438447401</v>
      </c>
      <c r="D1077" s="3">
        <v>0.24668049508939999</v>
      </c>
      <c r="E1077" s="3">
        <v>-5.6756961807512702</v>
      </c>
      <c r="F1077" s="4">
        <v>1.38125742032816E-8</v>
      </c>
      <c r="G1077" s="4">
        <v>2.3880089627735201E-7</v>
      </c>
      <c r="H1077" s="3" t="str">
        <f>"H2AFZ"</f>
        <v>H2AFZ</v>
      </c>
      <c r="I1077" s="3" t="str">
        <f t="shared" si="41"/>
        <v>protein_coding</v>
      </c>
    </row>
    <row r="1078" spans="1:9" x14ac:dyDescent="0.2">
      <c r="A1078" s="3" t="str">
        <f>"ENSG00000138821.13"</f>
        <v>ENSG00000138821.13</v>
      </c>
      <c r="B1078" s="3">
        <v>93.571444013814499</v>
      </c>
      <c r="C1078" s="3">
        <v>-2.5481988597386298</v>
      </c>
      <c r="D1078" s="3">
        <v>0.46166557704657402</v>
      </c>
      <c r="E1078" s="3">
        <v>-5.5195773443632001</v>
      </c>
      <c r="F1078" s="4">
        <v>3.3981600096782803E-8</v>
      </c>
      <c r="G1078" s="4">
        <v>5.4865670759600204E-7</v>
      </c>
      <c r="H1078" s="3" t="str">
        <f>"SLC39A8"</f>
        <v>SLC39A8</v>
      </c>
      <c r="I1078" s="3" t="str">
        <f t="shared" si="41"/>
        <v>protein_coding</v>
      </c>
    </row>
    <row r="1079" spans="1:9" x14ac:dyDescent="0.2">
      <c r="A1079" s="3" t="str">
        <f>"ENSG00000164038.15"</f>
        <v>ENSG00000164038.15</v>
      </c>
      <c r="B1079" s="3">
        <v>825.81142895495998</v>
      </c>
      <c r="C1079" s="3">
        <v>-1.0972701759496499</v>
      </c>
      <c r="D1079" s="3">
        <v>0.27211663712689399</v>
      </c>
      <c r="E1079" s="3">
        <v>-4.03235240423012</v>
      </c>
      <c r="F1079" s="4">
        <v>5.5221296657148498E-5</v>
      </c>
      <c r="G1079" s="3">
        <v>4.7982442743024902E-4</v>
      </c>
      <c r="H1079" s="3" t="str">
        <f>"SLC9B2"</f>
        <v>SLC9B2</v>
      </c>
      <c r="I1079" s="3" t="str">
        <f t="shared" si="41"/>
        <v>protein_coding</v>
      </c>
    </row>
    <row r="1080" spans="1:9" x14ac:dyDescent="0.2">
      <c r="A1080" s="3" t="str">
        <f>"ENSG00000168769.13"</f>
        <v>ENSG00000168769.13</v>
      </c>
      <c r="B1080" s="3">
        <v>1759.1669405069299</v>
      </c>
      <c r="C1080" s="3">
        <v>1.5640430869389801</v>
      </c>
      <c r="D1080" s="3">
        <v>0.28836220204175</v>
      </c>
      <c r="E1080" s="3">
        <v>5.42388383728784</v>
      </c>
      <c r="F1080" s="4">
        <v>5.8317788673640199E-8</v>
      </c>
      <c r="G1080" s="4">
        <v>9.0275936866795097E-7</v>
      </c>
      <c r="H1080" s="3" t="str">
        <f>"TET2"</f>
        <v>TET2</v>
      </c>
      <c r="I1080" s="3" t="str">
        <f t="shared" si="41"/>
        <v>protein_coding</v>
      </c>
    </row>
    <row r="1081" spans="1:9" x14ac:dyDescent="0.2">
      <c r="A1081" s="3" t="str">
        <f>"ENSG00000164023.14"</f>
        <v>ENSG00000164023.14</v>
      </c>
      <c r="B1081" s="3">
        <v>176.80176108634799</v>
      </c>
      <c r="C1081" s="3">
        <v>-2.6654425321115398</v>
      </c>
      <c r="D1081" s="3">
        <v>0.376563803881656</v>
      </c>
      <c r="E1081" s="3">
        <v>-7.0783291028928002</v>
      </c>
      <c r="F1081" s="4">
        <v>1.4590290473812699E-12</v>
      </c>
      <c r="G1081" s="4">
        <v>4.13309410888242E-11</v>
      </c>
      <c r="H1081" s="3" t="str">
        <f>"SGMS2"</f>
        <v>SGMS2</v>
      </c>
      <c r="I1081" s="3" t="str">
        <f t="shared" si="41"/>
        <v>protein_coding</v>
      </c>
    </row>
    <row r="1082" spans="1:9" x14ac:dyDescent="0.2">
      <c r="A1082" s="3" t="str">
        <f>"ENSG00000138796.16"</f>
        <v>ENSG00000138796.16</v>
      </c>
      <c r="B1082" s="3">
        <v>1229.2222991899901</v>
      </c>
      <c r="C1082" s="3">
        <v>-1.0450704923880301</v>
      </c>
      <c r="D1082" s="3">
        <v>0.26963800490530199</v>
      </c>
      <c r="E1082" s="3">
        <v>-3.8758278631940701</v>
      </c>
      <c r="F1082" s="3">
        <v>1.06262789462342E-4</v>
      </c>
      <c r="G1082" s="3">
        <v>8.5674374004013397E-4</v>
      </c>
      <c r="H1082" s="3" t="str">
        <f>"HADH"</f>
        <v>HADH</v>
      </c>
      <c r="I1082" s="3" t="str">
        <f t="shared" si="41"/>
        <v>protein_coding</v>
      </c>
    </row>
    <row r="1083" spans="1:9" x14ac:dyDescent="0.2">
      <c r="A1083" s="3" t="str">
        <f>"ENSG00000138802.11"</f>
        <v>ENSG00000138802.11</v>
      </c>
      <c r="B1083" s="3">
        <v>2505.30634440832</v>
      </c>
      <c r="C1083" s="3">
        <v>1.31115375782101</v>
      </c>
      <c r="D1083" s="3">
        <v>0.24589077823793201</v>
      </c>
      <c r="E1083" s="3">
        <v>5.3322607997616398</v>
      </c>
      <c r="F1083" s="4">
        <v>9.6997494562582102E-8</v>
      </c>
      <c r="G1083" s="4">
        <v>1.45119235803925E-6</v>
      </c>
      <c r="H1083" s="3" t="str">
        <f>"SEC24B"</f>
        <v>SEC24B</v>
      </c>
      <c r="I1083" s="3" t="str">
        <f t="shared" si="41"/>
        <v>protein_coding</v>
      </c>
    </row>
    <row r="1084" spans="1:9" x14ac:dyDescent="0.2">
      <c r="A1084" s="3" t="str">
        <f>"ENSG00000005059.16"</f>
        <v>ENSG00000005059.16</v>
      </c>
      <c r="B1084" s="3">
        <v>230.02878209669501</v>
      </c>
      <c r="C1084" s="3">
        <v>-2.2383728450268898</v>
      </c>
      <c r="D1084" s="3">
        <v>0.32651473609834902</v>
      </c>
      <c r="E1084" s="3">
        <v>-6.8553501498097003</v>
      </c>
      <c r="F1084" s="4">
        <v>7.1138057043800101E-12</v>
      </c>
      <c r="G1084" s="4">
        <v>1.8601640591858501E-10</v>
      </c>
      <c r="H1084" s="3" t="str">
        <f>"MCUB"</f>
        <v>MCUB</v>
      </c>
      <c r="I1084" s="3" t="str">
        <f t="shared" si="41"/>
        <v>protein_coding</v>
      </c>
    </row>
    <row r="1085" spans="1:9" x14ac:dyDescent="0.2">
      <c r="A1085" s="3" t="str">
        <f>"ENSG00000170522.9"</f>
        <v>ENSG00000170522.9</v>
      </c>
      <c r="B1085" s="3">
        <v>1135.738501217</v>
      </c>
      <c r="C1085" s="3">
        <v>-2.5597500470439698</v>
      </c>
      <c r="D1085" s="3">
        <v>0.26460764054867197</v>
      </c>
      <c r="E1085" s="3">
        <v>-9.6737571210576192</v>
      </c>
      <c r="F1085" s="4">
        <v>3.89799029781692E-22</v>
      </c>
      <c r="G1085" s="4">
        <v>2.4210850849773999E-20</v>
      </c>
      <c r="H1085" s="3" t="str">
        <f>"ELOVL6"</f>
        <v>ELOVL6</v>
      </c>
      <c r="I1085" s="3" t="str">
        <f t="shared" si="41"/>
        <v>protein_coding</v>
      </c>
    </row>
    <row r="1086" spans="1:9" x14ac:dyDescent="0.2">
      <c r="A1086" s="3" t="str">
        <f>"ENSG00000174749.6"</f>
        <v>ENSG00000174749.6</v>
      </c>
      <c r="B1086" s="3">
        <v>217.947743373093</v>
      </c>
      <c r="C1086" s="3">
        <v>-1.1376267993157001</v>
      </c>
      <c r="D1086" s="3">
        <v>0.31757882493968198</v>
      </c>
      <c r="E1086" s="3">
        <v>-3.5821871925238602</v>
      </c>
      <c r="F1086" s="3">
        <v>3.4072949102890602E-4</v>
      </c>
      <c r="G1086" s="3">
        <v>2.3974966005124798E-3</v>
      </c>
      <c r="H1086" s="3" t="str">
        <f>"FAM241A"</f>
        <v>FAM241A</v>
      </c>
      <c r="I1086" s="3" t="str">
        <f t="shared" si="41"/>
        <v>protein_coding</v>
      </c>
    </row>
    <row r="1087" spans="1:9" x14ac:dyDescent="0.2">
      <c r="A1087" s="3" t="str">
        <f>"ENSG00000145365.11"</f>
        <v>ENSG00000145365.11</v>
      </c>
      <c r="B1087" s="3">
        <v>223.20147687002401</v>
      </c>
      <c r="C1087" s="3">
        <v>-2.9798180243365899</v>
      </c>
      <c r="D1087" s="3">
        <v>0.35239083107439201</v>
      </c>
      <c r="E1087" s="3">
        <v>-8.4560032826380098</v>
      </c>
      <c r="F1087" s="4">
        <v>2.7669782186977901E-17</v>
      </c>
      <c r="G1087" s="4">
        <v>1.2429167337739801E-15</v>
      </c>
      <c r="H1087" s="3" t="str">
        <f>"TIFA"</f>
        <v>TIFA</v>
      </c>
      <c r="I1087" s="3" t="str">
        <f t="shared" si="41"/>
        <v>protein_coding</v>
      </c>
    </row>
    <row r="1088" spans="1:9" x14ac:dyDescent="0.2">
      <c r="A1088" s="3" t="str">
        <f>"ENSG00000251155.2"</f>
        <v>ENSG00000251155.2</v>
      </c>
      <c r="B1088" s="3">
        <v>30.233132093161899</v>
      </c>
      <c r="C1088" s="3">
        <v>-4.4436732306012496</v>
      </c>
      <c r="D1088" s="3">
        <v>0.90931277932326804</v>
      </c>
      <c r="E1088" s="3">
        <v>-4.8868478829785396</v>
      </c>
      <c r="F1088" s="4">
        <v>1.0246319854310099E-6</v>
      </c>
      <c r="G1088" s="4">
        <v>1.28040822620552E-5</v>
      </c>
      <c r="H1088" s="3" t="str">
        <f>"SEPT14P4"</f>
        <v>SEPT14P4</v>
      </c>
      <c r="I1088" s="3" t="str">
        <f>"processed_pseudogene"</f>
        <v>processed_pseudogene</v>
      </c>
    </row>
    <row r="1089" spans="1:9" x14ac:dyDescent="0.2">
      <c r="A1089" s="3" t="str">
        <f>"ENSG00000145384.3"</f>
        <v>ENSG00000145384.3</v>
      </c>
      <c r="B1089" s="3">
        <v>49.142730785883998</v>
      </c>
      <c r="C1089" s="3">
        <v>-1.8073497914225201</v>
      </c>
      <c r="D1089" s="3">
        <v>0.545148651006375</v>
      </c>
      <c r="E1089" s="3">
        <v>-3.3153338783578601</v>
      </c>
      <c r="F1089" s="3">
        <v>9.1533726948314696E-4</v>
      </c>
      <c r="G1089" s="3">
        <v>5.6656764305729797E-3</v>
      </c>
      <c r="H1089" s="3" t="str">
        <f>"FABP2"</f>
        <v>FABP2</v>
      </c>
      <c r="I1089" s="3" t="str">
        <f t="shared" ref="I1089:I1094" si="42">"protein_coding"</f>
        <v>protein_coding</v>
      </c>
    </row>
    <row r="1090" spans="1:9" x14ac:dyDescent="0.2">
      <c r="A1090" s="3" t="str">
        <f>"ENSG00000164109.14"</f>
        <v>ENSG00000164109.14</v>
      </c>
      <c r="B1090" s="3">
        <v>2137.7073259561198</v>
      </c>
      <c r="C1090" s="3">
        <v>-1.1608743957965799</v>
      </c>
      <c r="D1090" s="3">
        <v>0.240144385800583</v>
      </c>
      <c r="E1090" s="3">
        <v>-4.8340684373132703</v>
      </c>
      <c r="F1090" s="4">
        <v>1.3377056408522901E-6</v>
      </c>
      <c r="G1090" s="4">
        <v>1.6209048841830201E-5</v>
      </c>
      <c r="H1090" s="3" t="str">
        <f>"MAD2L1"</f>
        <v>MAD2L1</v>
      </c>
      <c r="I1090" s="3" t="str">
        <f t="shared" si="42"/>
        <v>protein_coding</v>
      </c>
    </row>
    <row r="1091" spans="1:9" x14ac:dyDescent="0.2">
      <c r="A1091" s="3" t="str">
        <f>"ENSG00000164111.15"</f>
        <v>ENSG00000164111.15</v>
      </c>
      <c r="B1091" s="3">
        <v>7688.6626601603102</v>
      </c>
      <c r="C1091" s="3">
        <v>-1.04628035986238</v>
      </c>
      <c r="D1091" s="3">
        <v>0.25665088888368698</v>
      </c>
      <c r="E1091" s="3">
        <v>-4.0766675869045903</v>
      </c>
      <c r="F1091" s="4">
        <v>4.5685731656200497E-5</v>
      </c>
      <c r="G1091" s="3">
        <v>4.0408740499708998E-4</v>
      </c>
      <c r="H1091" s="3" t="str">
        <f>"ANXA5"</f>
        <v>ANXA5</v>
      </c>
      <c r="I1091" s="3" t="str">
        <f t="shared" si="42"/>
        <v>protein_coding</v>
      </c>
    </row>
    <row r="1092" spans="1:9" x14ac:dyDescent="0.2">
      <c r="A1092" s="3" t="str">
        <f>"ENSG00000196159.11"</f>
        <v>ENSG00000196159.11</v>
      </c>
      <c r="B1092" s="3">
        <v>115.54345417787</v>
      </c>
      <c r="C1092" s="3">
        <v>-2.1403506657409599</v>
      </c>
      <c r="D1092" s="3">
        <v>0.405900508335581</v>
      </c>
      <c r="E1092" s="3">
        <v>-5.2730918581935198</v>
      </c>
      <c r="F1092" s="4">
        <v>1.3414437785338599E-7</v>
      </c>
      <c r="G1092" s="4">
        <v>1.9791213049278098E-6</v>
      </c>
      <c r="H1092" s="3" t="str">
        <f>"FAT4"</f>
        <v>FAT4</v>
      </c>
      <c r="I1092" s="3" t="str">
        <f t="shared" si="42"/>
        <v>protein_coding</v>
      </c>
    </row>
    <row r="1093" spans="1:9" x14ac:dyDescent="0.2">
      <c r="A1093" s="3" t="str">
        <f>"ENSG00000164066.13"</f>
        <v>ENSG00000164066.13</v>
      </c>
      <c r="B1093" s="3">
        <v>1365.2206576788601</v>
      </c>
      <c r="C1093" s="3">
        <v>1.0851917057047999</v>
      </c>
      <c r="D1093" s="3">
        <v>0.27025194191483198</v>
      </c>
      <c r="E1093" s="3">
        <v>4.0154816206530297</v>
      </c>
      <c r="F1093" s="4">
        <v>5.9324522127921001E-5</v>
      </c>
      <c r="G1093" s="3">
        <v>5.11765553541788E-4</v>
      </c>
      <c r="H1093" s="3" t="str">
        <f>"INTU"</f>
        <v>INTU</v>
      </c>
      <c r="I1093" s="3" t="str">
        <f t="shared" si="42"/>
        <v>protein_coding</v>
      </c>
    </row>
    <row r="1094" spans="1:9" x14ac:dyDescent="0.2">
      <c r="A1094" s="3" t="str">
        <f>"ENSG00000164070.12"</f>
        <v>ENSG00000164070.12</v>
      </c>
      <c r="B1094" s="3">
        <v>3940.2794794012102</v>
      </c>
      <c r="C1094" s="3">
        <v>3.32417980931148</v>
      </c>
      <c r="D1094" s="3">
        <v>0.25153462502318602</v>
      </c>
      <c r="E1094" s="3">
        <v>13.2155953042452</v>
      </c>
      <c r="F1094" s="4">
        <v>7.1319822421367396E-40</v>
      </c>
      <c r="G1094" s="4">
        <v>1.18029614013783E-37</v>
      </c>
      <c r="H1094" s="3" t="str">
        <f>"HSPA4L"</f>
        <v>HSPA4L</v>
      </c>
      <c r="I1094" s="3" t="str">
        <f t="shared" si="42"/>
        <v>protein_coding</v>
      </c>
    </row>
    <row r="1095" spans="1:9" x14ac:dyDescent="0.2">
      <c r="A1095" s="3" t="str">
        <f>"ENSG00000282855.1"</f>
        <v>ENSG00000282855.1</v>
      </c>
      <c r="B1095" s="3">
        <v>47.096003943502403</v>
      </c>
      <c r="C1095" s="3">
        <v>4.1155803644155897</v>
      </c>
      <c r="D1095" s="3">
        <v>0.66918005340354403</v>
      </c>
      <c r="E1095" s="3">
        <v>6.1501838608057202</v>
      </c>
      <c r="F1095" s="4">
        <v>7.7393176735672001E-10</v>
      </c>
      <c r="G1095" s="4">
        <v>1.6076179692698802E-8</v>
      </c>
      <c r="H1095" s="3" t="str">
        <f>"AC093591.3"</f>
        <v>AC093591.3</v>
      </c>
      <c r="I1095" s="3" t="str">
        <f>"processed_pseudogene"</f>
        <v>processed_pseudogene</v>
      </c>
    </row>
    <row r="1096" spans="1:9" x14ac:dyDescent="0.2">
      <c r="A1096" s="3" t="str">
        <f>"ENSG00000142731.11"</f>
        <v>ENSG00000142731.11</v>
      </c>
      <c r="B1096" s="3">
        <v>1291.5100705416401</v>
      </c>
      <c r="C1096" s="3">
        <v>-1.02667421691867</v>
      </c>
      <c r="D1096" s="3">
        <v>0.30997053302446897</v>
      </c>
      <c r="E1096" s="3">
        <v>-3.31216714989365</v>
      </c>
      <c r="F1096" s="3">
        <v>9.2576215604845595E-4</v>
      </c>
      <c r="G1096" s="3">
        <v>5.7161382021106797E-3</v>
      </c>
      <c r="H1096" s="3" t="str">
        <f>"PLK4"</f>
        <v>PLK4</v>
      </c>
      <c r="I1096" s="3" t="str">
        <f>"protein_coding"</f>
        <v>protein_coding</v>
      </c>
    </row>
    <row r="1097" spans="1:9" x14ac:dyDescent="0.2">
      <c r="A1097" s="3" t="str">
        <f>"ENSG00000251432.6"</f>
        <v>ENSG00000251432.6</v>
      </c>
      <c r="B1097" s="3">
        <v>56.338075824986703</v>
      </c>
      <c r="C1097" s="3">
        <v>2.0991944339253901</v>
      </c>
      <c r="D1097" s="3">
        <v>0.52208844962934997</v>
      </c>
      <c r="E1097" s="3">
        <v>4.02076398245487</v>
      </c>
      <c r="F1097" s="4">
        <v>5.80097025945127E-5</v>
      </c>
      <c r="G1097" s="3">
        <v>5.0179988609524398E-4</v>
      </c>
      <c r="H1097" s="3" t="str">
        <f>"LINC02615"</f>
        <v>LINC02615</v>
      </c>
      <c r="I1097" s="3" t="str">
        <f>"lincRNA"</f>
        <v>lincRNA</v>
      </c>
    </row>
    <row r="1098" spans="1:9" x14ac:dyDescent="0.2">
      <c r="A1098" s="3" t="str">
        <f>"ENSG00000077684.16"</f>
        <v>ENSG00000077684.16</v>
      </c>
      <c r="B1098" s="3">
        <v>1049.50266796191</v>
      </c>
      <c r="C1098" s="3">
        <v>-1.72898263834253</v>
      </c>
      <c r="D1098" s="3">
        <v>0.25248911072179397</v>
      </c>
      <c r="E1098" s="3">
        <v>-6.8477513085608397</v>
      </c>
      <c r="F1098" s="4">
        <v>7.5019830723844598E-12</v>
      </c>
      <c r="G1098" s="4">
        <v>1.9535443497497999E-10</v>
      </c>
      <c r="H1098" s="3" t="str">
        <f>"JADE1"</f>
        <v>JADE1</v>
      </c>
      <c r="I1098" s="3" t="str">
        <f>"protein_coding"</f>
        <v>protein_coding</v>
      </c>
    </row>
    <row r="1099" spans="1:9" x14ac:dyDescent="0.2">
      <c r="A1099" s="3" t="str">
        <f>"ENSG00000246876.6"</f>
        <v>ENSG00000246876.6</v>
      </c>
      <c r="B1099" s="3">
        <v>31.6202205644984</v>
      </c>
      <c r="C1099" s="3">
        <v>-2.03780446457611</v>
      </c>
      <c r="D1099" s="3">
        <v>0.67415467677003005</v>
      </c>
      <c r="E1099" s="3">
        <v>-3.02275506615117</v>
      </c>
      <c r="F1099" s="3">
        <v>2.5048489175900201E-3</v>
      </c>
      <c r="G1099" s="3">
        <v>1.32289469918071E-2</v>
      </c>
      <c r="H1099" s="3" t="str">
        <f>"LINC02466"</f>
        <v>LINC02466</v>
      </c>
      <c r="I1099" s="3" t="str">
        <f>"lincRNA"</f>
        <v>lincRNA</v>
      </c>
    </row>
    <row r="1100" spans="1:9" x14ac:dyDescent="0.2">
      <c r="A1100" s="3" t="str">
        <f>"ENSG00000248307.5"</f>
        <v>ENSG00000248307.5</v>
      </c>
      <c r="B1100" s="3">
        <v>16.200286894925</v>
      </c>
      <c r="C1100" s="3">
        <v>-2.5575095285328202</v>
      </c>
      <c r="D1100" s="3">
        <v>0.93001279434155704</v>
      </c>
      <c r="E1100" s="3">
        <v>-2.7499724133833201</v>
      </c>
      <c r="F1100" s="3">
        <v>5.96002821038665E-3</v>
      </c>
      <c r="G1100" s="3">
        <v>2.7378471444900701E-2</v>
      </c>
      <c r="H1100" s="3" t="str">
        <f>"LINC00616"</f>
        <v>LINC00616</v>
      </c>
      <c r="I1100" s="3" t="str">
        <f>"lincRNA"</f>
        <v>lincRNA</v>
      </c>
    </row>
    <row r="1101" spans="1:9" x14ac:dyDescent="0.2">
      <c r="A1101" s="3" t="str">
        <f>"ENSG00000151012.13"</f>
        <v>ENSG00000151012.13</v>
      </c>
      <c r="B1101" s="3">
        <v>1444.3172121684599</v>
      </c>
      <c r="C1101" s="3">
        <v>-2.4805004507449002</v>
      </c>
      <c r="D1101" s="3">
        <v>0.26666763830430901</v>
      </c>
      <c r="E1101" s="3">
        <v>-9.3018427977161195</v>
      </c>
      <c r="F1101" s="4">
        <v>1.38032245102463E-20</v>
      </c>
      <c r="G1101" s="4">
        <v>7.7504489409653098E-19</v>
      </c>
      <c r="H1101" s="3" t="str">
        <f>"SLC7A11"</f>
        <v>SLC7A11</v>
      </c>
      <c r="I1101" s="3" t="str">
        <f t="shared" ref="I1101:I1116" si="43">"protein_coding"</f>
        <v>protein_coding</v>
      </c>
    </row>
    <row r="1102" spans="1:9" x14ac:dyDescent="0.2">
      <c r="A1102" s="3" t="str">
        <f>"ENSG00000145391.13"</f>
        <v>ENSG00000145391.13</v>
      </c>
      <c r="B1102" s="3">
        <v>272.58952014887501</v>
      </c>
      <c r="C1102" s="3">
        <v>-2.0844814790073798</v>
      </c>
      <c r="D1102" s="3">
        <v>0.31451512805055498</v>
      </c>
      <c r="E1102" s="3">
        <v>-6.6276032314487798</v>
      </c>
      <c r="F1102" s="4">
        <v>3.4118103084554497E-11</v>
      </c>
      <c r="G1102" s="4">
        <v>8.2602587400574402E-10</v>
      </c>
      <c r="H1102" s="3" t="str">
        <f>"SETD7"</f>
        <v>SETD7</v>
      </c>
      <c r="I1102" s="3" t="str">
        <f t="shared" si="43"/>
        <v>protein_coding</v>
      </c>
    </row>
    <row r="1103" spans="1:9" x14ac:dyDescent="0.2">
      <c r="A1103" s="3" t="str">
        <f>"ENSG00000153132.13"</f>
        <v>ENSG00000153132.13</v>
      </c>
      <c r="B1103" s="3">
        <v>271.208377957903</v>
      </c>
      <c r="C1103" s="3">
        <v>-2.9192473999423898</v>
      </c>
      <c r="D1103" s="3">
        <v>0.34892182746542899</v>
      </c>
      <c r="E1103" s="3">
        <v>-8.3664797388797094</v>
      </c>
      <c r="F1103" s="4">
        <v>5.9365122995949906E-17</v>
      </c>
      <c r="G1103" s="4">
        <v>2.6107162044809799E-15</v>
      </c>
      <c r="H1103" s="3" t="str">
        <f>"CLGN"</f>
        <v>CLGN</v>
      </c>
      <c r="I1103" s="3" t="str">
        <f t="shared" si="43"/>
        <v>protein_coding</v>
      </c>
    </row>
    <row r="1104" spans="1:9" x14ac:dyDescent="0.2">
      <c r="A1104" s="3" t="str">
        <f>"ENSG00000164136.17"</f>
        <v>ENSG00000164136.17</v>
      </c>
      <c r="B1104" s="3">
        <v>25.927763093727599</v>
      </c>
      <c r="C1104" s="3">
        <v>-3.3434880577487101</v>
      </c>
      <c r="D1104" s="3">
        <v>0.78966330912460403</v>
      </c>
      <c r="E1104" s="3">
        <v>-4.2340678857869101</v>
      </c>
      <c r="F1104" s="4">
        <v>2.29501614821967E-5</v>
      </c>
      <c r="G1104" s="3">
        <v>2.17115950389116E-4</v>
      </c>
      <c r="H1104" s="3" t="str">
        <f>"IL15"</f>
        <v>IL15</v>
      </c>
      <c r="I1104" s="3" t="str">
        <f t="shared" si="43"/>
        <v>protein_coding</v>
      </c>
    </row>
    <row r="1105" spans="1:9" x14ac:dyDescent="0.2">
      <c r="A1105" s="3" t="str">
        <f>"ENSG00000151612.16"</f>
        <v>ENSG00000151612.16</v>
      </c>
      <c r="B1105" s="3">
        <v>438.773708221226</v>
      </c>
      <c r="C1105" s="3">
        <v>1.13841779306121</v>
      </c>
      <c r="D1105" s="3">
        <v>0.28480470560152499</v>
      </c>
      <c r="E1105" s="3">
        <v>3.9971874434335599</v>
      </c>
      <c r="F1105" s="4">
        <v>6.4099543393154797E-5</v>
      </c>
      <c r="G1105" s="3">
        <v>5.4788447640326504E-4</v>
      </c>
      <c r="H1105" s="3" t="str">
        <f>"ZNF827"</f>
        <v>ZNF827</v>
      </c>
      <c r="I1105" s="3" t="str">
        <f t="shared" si="43"/>
        <v>protein_coding</v>
      </c>
    </row>
    <row r="1106" spans="1:9" x14ac:dyDescent="0.2">
      <c r="A1106" s="3" t="str">
        <f>"ENSG00000164167.12"</f>
        <v>ENSG00000164167.12</v>
      </c>
      <c r="B1106" s="3">
        <v>443.972966811954</v>
      </c>
      <c r="C1106" s="3">
        <v>-1.1634107684794199</v>
      </c>
      <c r="D1106" s="3">
        <v>0.284603310080142</v>
      </c>
      <c r="E1106" s="3">
        <v>-4.08783287921639</v>
      </c>
      <c r="F1106" s="4">
        <v>4.3542163344627901E-5</v>
      </c>
      <c r="G1106" s="3">
        <v>3.8730661914219099E-4</v>
      </c>
      <c r="H1106" s="3" t="str">
        <f>"LSM6"</f>
        <v>LSM6</v>
      </c>
      <c r="I1106" s="3" t="str">
        <f t="shared" si="43"/>
        <v>protein_coding</v>
      </c>
    </row>
    <row r="1107" spans="1:9" x14ac:dyDescent="0.2">
      <c r="A1107" s="3" t="str">
        <f>"ENSG00000071205.11"</f>
        <v>ENSG00000071205.11</v>
      </c>
      <c r="B1107" s="3">
        <v>178.032117379559</v>
      </c>
      <c r="C1107" s="3">
        <v>2.44472128841808</v>
      </c>
      <c r="D1107" s="3">
        <v>0.35360584364798398</v>
      </c>
      <c r="E1107" s="3">
        <v>6.9136902919845697</v>
      </c>
      <c r="F1107" s="4">
        <v>4.7220551547503098E-12</v>
      </c>
      <c r="G1107" s="4">
        <v>1.2717697796332301E-10</v>
      </c>
      <c r="H1107" s="3" t="str">
        <f>"ARHGAP10"</f>
        <v>ARHGAP10</v>
      </c>
      <c r="I1107" s="3" t="str">
        <f t="shared" si="43"/>
        <v>protein_coding</v>
      </c>
    </row>
    <row r="1108" spans="1:9" x14ac:dyDescent="0.2">
      <c r="A1108" s="3" t="str">
        <f>"ENSG00000164142.16"</f>
        <v>ENSG00000164142.16</v>
      </c>
      <c r="B1108" s="3">
        <v>354.68480720872202</v>
      </c>
      <c r="C1108" s="3">
        <v>-2.0376239012025699</v>
      </c>
      <c r="D1108" s="3">
        <v>0.299292341769829</v>
      </c>
      <c r="E1108" s="3">
        <v>-6.8081391229502604</v>
      </c>
      <c r="F1108" s="4">
        <v>9.8869232106634893E-12</v>
      </c>
      <c r="G1108" s="4">
        <v>2.5404040180208401E-10</v>
      </c>
      <c r="H1108" s="3" t="str">
        <f>"FAM160A1"</f>
        <v>FAM160A1</v>
      </c>
      <c r="I1108" s="3" t="str">
        <f t="shared" si="43"/>
        <v>protein_coding</v>
      </c>
    </row>
    <row r="1109" spans="1:9" x14ac:dyDescent="0.2">
      <c r="A1109" s="3" t="str">
        <f>"ENSG00000109670.15"</f>
        <v>ENSG00000109670.15</v>
      </c>
      <c r="B1109" s="3">
        <v>1903.60946700151</v>
      </c>
      <c r="C1109" s="3">
        <v>1.42249740067639</v>
      </c>
      <c r="D1109" s="3">
        <v>0.25032017683538099</v>
      </c>
      <c r="E1109" s="3">
        <v>5.6827117120960997</v>
      </c>
      <c r="F1109" s="4">
        <v>1.32575641109456E-8</v>
      </c>
      <c r="G1109" s="4">
        <v>2.2999587945575E-7</v>
      </c>
      <c r="H1109" s="3" t="str">
        <f>"FBXW7"</f>
        <v>FBXW7</v>
      </c>
      <c r="I1109" s="3" t="str">
        <f t="shared" si="43"/>
        <v>protein_coding</v>
      </c>
    </row>
    <row r="1110" spans="1:9" x14ac:dyDescent="0.2">
      <c r="A1110" s="3" t="str">
        <f>"ENSG00000170006.12"</f>
        <v>ENSG00000170006.12</v>
      </c>
      <c r="B1110" s="3">
        <v>80.159674071436797</v>
      </c>
      <c r="C1110" s="3">
        <v>1.47163805391444</v>
      </c>
      <c r="D1110" s="3">
        <v>0.441343958620115</v>
      </c>
      <c r="E1110" s="3">
        <v>3.3344470342713999</v>
      </c>
      <c r="F1110" s="3">
        <v>8.5469176053734901E-4</v>
      </c>
      <c r="G1110" s="3">
        <v>5.3402313055928999E-3</v>
      </c>
      <c r="H1110" s="3" t="str">
        <f>"TMEM154"</f>
        <v>TMEM154</v>
      </c>
      <c r="I1110" s="3" t="str">
        <f t="shared" si="43"/>
        <v>protein_coding</v>
      </c>
    </row>
    <row r="1111" spans="1:9" x14ac:dyDescent="0.2">
      <c r="A1111" s="3" t="str">
        <f>"ENSG00000137460.8"</f>
        <v>ENSG00000137460.8</v>
      </c>
      <c r="B1111" s="3">
        <v>35.800209939359902</v>
      </c>
      <c r="C1111" s="3">
        <v>-3.83857083055545</v>
      </c>
      <c r="D1111" s="3">
        <v>0.73654769011054</v>
      </c>
      <c r="E1111" s="3">
        <v>-5.21157133759983</v>
      </c>
      <c r="F1111" s="4">
        <v>1.8724781231914999E-7</v>
      </c>
      <c r="G1111" s="4">
        <v>2.6900164014210302E-6</v>
      </c>
      <c r="H1111" s="3" t="str">
        <f>"FHDC1"</f>
        <v>FHDC1</v>
      </c>
      <c r="I1111" s="3" t="str">
        <f t="shared" si="43"/>
        <v>protein_coding</v>
      </c>
    </row>
    <row r="1112" spans="1:9" x14ac:dyDescent="0.2">
      <c r="A1112" s="3" t="str">
        <f>"ENSG00000121210.16"</f>
        <v>ENSG00000121210.16</v>
      </c>
      <c r="B1112" s="3">
        <v>599.95958646083602</v>
      </c>
      <c r="C1112" s="3">
        <v>-1.54338379549861</v>
      </c>
      <c r="D1112" s="3">
        <v>0.26826652151506197</v>
      </c>
      <c r="E1112" s="3">
        <v>-5.7531733247301799</v>
      </c>
      <c r="F1112" s="4">
        <v>8.7583606043295201E-9</v>
      </c>
      <c r="G1112" s="4">
        <v>1.55480988709886E-7</v>
      </c>
      <c r="H1112" s="3" t="str">
        <f>"TMEM131L"</f>
        <v>TMEM131L</v>
      </c>
      <c r="I1112" s="3" t="str">
        <f t="shared" si="43"/>
        <v>protein_coding</v>
      </c>
    </row>
    <row r="1113" spans="1:9" x14ac:dyDescent="0.2">
      <c r="A1113" s="3" t="str">
        <f>"ENSG00000171564.11"</f>
        <v>ENSG00000171564.11</v>
      </c>
      <c r="B1113" s="3">
        <v>1058.33886306311</v>
      </c>
      <c r="C1113" s="3">
        <v>-1.8411792482852201</v>
      </c>
      <c r="D1113" s="3">
        <v>0.275387341524511</v>
      </c>
      <c r="E1113" s="3">
        <v>-6.6857802471699301</v>
      </c>
      <c r="F1113" s="4">
        <v>2.2969749260505599E-11</v>
      </c>
      <c r="G1113" s="4">
        <v>5.6758746822005601E-10</v>
      </c>
      <c r="H1113" s="3" t="str">
        <f>"FGB"</f>
        <v>FGB</v>
      </c>
      <c r="I1113" s="3" t="str">
        <f t="shared" si="43"/>
        <v>protein_coding</v>
      </c>
    </row>
    <row r="1114" spans="1:9" x14ac:dyDescent="0.2">
      <c r="A1114" s="3" t="str">
        <f>"ENSG00000171560.15"</f>
        <v>ENSG00000171560.15</v>
      </c>
      <c r="B1114" s="3">
        <v>4304.9822266608699</v>
      </c>
      <c r="C1114" s="3">
        <v>-1.8802489719094999</v>
      </c>
      <c r="D1114" s="3">
        <v>0.302959566875944</v>
      </c>
      <c r="E1114" s="3">
        <v>-6.2062703326989803</v>
      </c>
      <c r="F1114" s="4">
        <v>5.4256815834019799E-10</v>
      </c>
      <c r="G1114" s="4">
        <v>1.14595315054976E-8</v>
      </c>
      <c r="H1114" s="3" t="str">
        <f>"FGA"</f>
        <v>FGA</v>
      </c>
      <c r="I1114" s="3" t="str">
        <f t="shared" si="43"/>
        <v>protein_coding</v>
      </c>
    </row>
    <row r="1115" spans="1:9" x14ac:dyDescent="0.2">
      <c r="A1115" s="3" t="str">
        <f>"ENSG00000171557.16"</f>
        <v>ENSG00000171557.16</v>
      </c>
      <c r="B1115" s="3">
        <v>3560.8667613418202</v>
      </c>
      <c r="C1115" s="3">
        <v>-2.3528834736201198</v>
      </c>
      <c r="D1115" s="3">
        <v>0.316280391315863</v>
      </c>
      <c r="E1115" s="3">
        <v>-7.4392328396683398</v>
      </c>
      <c r="F1115" s="4">
        <v>1.0127168762757199E-13</v>
      </c>
      <c r="G1115" s="4">
        <v>3.2618300925372299E-12</v>
      </c>
      <c r="H1115" s="3" t="str">
        <f>"FGG"</f>
        <v>FGG</v>
      </c>
      <c r="I1115" s="3" t="str">
        <f t="shared" si="43"/>
        <v>protein_coding</v>
      </c>
    </row>
    <row r="1116" spans="1:9" x14ac:dyDescent="0.2">
      <c r="A1116" s="3" t="str">
        <f>"ENSG00000145431.11"</f>
        <v>ENSG00000145431.11</v>
      </c>
      <c r="B1116" s="3">
        <v>385.45926048118298</v>
      </c>
      <c r="C1116" s="3">
        <v>1.8644168123059099</v>
      </c>
      <c r="D1116" s="3">
        <v>0.28825167316658101</v>
      </c>
      <c r="E1116" s="3">
        <v>6.4680173121786702</v>
      </c>
      <c r="F1116" s="4">
        <v>9.9297124290960202E-11</v>
      </c>
      <c r="G1116" s="4">
        <v>2.2831985023209398E-9</v>
      </c>
      <c r="H1116" s="3" t="str">
        <f>"PDGFC"</f>
        <v>PDGFC</v>
      </c>
      <c r="I1116" s="3" t="str">
        <f t="shared" si="43"/>
        <v>protein_coding</v>
      </c>
    </row>
    <row r="1117" spans="1:9" x14ac:dyDescent="0.2">
      <c r="A1117" s="3" t="str">
        <f>"ENSG00000248429.5"</f>
        <v>ENSG00000248429.5</v>
      </c>
      <c r="B1117" s="3">
        <v>1202.8105242167301</v>
      </c>
      <c r="C1117" s="3">
        <v>1.3528237912527099</v>
      </c>
      <c r="D1117" s="3">
        <v>0.30196285894474101</v>
      </c>
      <c r="E1117" s="3">
        <v>4.48009995659854</v>
      </c>
      <c r="F1117" s="4">
        <v>7.4608091211758103E-6</v>
      </c>
      <c r="G1117" s="4">
        <v>7.9021748818179895E-5</v>
      </c>
      <c r="H1117" s="3" t="str">
        <f>"FAM198B-AS1"</f>
        <v>FAM198B-AS1</v>
      </c>
      <c r="I1117" s="3" t="str">
        <f>"antisense"</f>
        <v>antisense</v>
      </c>
    </row>
    <row r="1118" spans="1:9" x14ac:dyDescent="0.2">
      <c r="A1118" s="3" t="str">
        <f>"ENSG00000251073.1"</f>
        <v>ENSG00000251073.1</v>
      </c>
      <c r="B1118" s="3">
        <v>95.584426594359599</v>
      </c>
      <c r="C1118" s="3">
        <v>1.24754853718544</v>
      </c>
      <c r="D1118" s="3">
        <v>0.42455594474160602</v>
      </c>
      <c r="E1118" s="3">
        <v>2.9384785506765798</v>
      </c>
      <c r="F1118" s="3">
        <v>3.2982747979165899E-3</v>
      </c>
      <c r="G1118" s="3">
        <v>1.6747699342267199E-2</v>
      </c>
      <c r="H1118" s="3" t="str">
        <f>"NUDT19P5"</f>
        <v>NUDT19P5</v>
      </c>
      <c r="I1118" s="3" t="str">
        <f>"processed_pseudogene"</f>
        <v>processed_pseudogene</v>
      </c>
    </row>
    <row r="1119" spans="1:9" x14ac:dyDescent="0.2">
      <c r="A1119" s="3" t="str">
        <f>"ENSG00000205208.5"</f>
        <v>ENSG00000205208.5</v>
      </c>
      <c r="B1119" s="3">
        <v>1020.0202726841</v>
      </c>
      <c r="C1119" s="3">
        <v>-1.8016247324438299</v>
      </c>
      <c r="D1119" s="3">
        <v>0.25553723914124299</v>
      </c>
      <c r="E1119" s="3">
        <v>-7.0503412281448998</v>
      </c>
      <c r="F1119" s="4">
        <v>1.7847956140489201E-12</v>
      </c>
      <c r="G1119" s="4">
        <v>4.9940526886986201E-11</v>
      </c>
      <c r="H1119" s="3" t="str">
        <f>"C4orf46"</f>
        <v>C4orf46</v>
      </c>
      <c r="I1119" s="3" t="str">
        <f>"protein_coding"</f>
        <v>protein_coding</v>
      </c>
    </row>
    <row r="1120" spans="1:9" x14ac:dyDescent="0.2">
      <c r="A1120" s="3" t="str">
        <f>"ENSG00000168843.14"</f>
        <v>ENSG00000168843.14</v>
      </c>
      <c r="B1120" s="3">
        <v>46.218817046336099</v>
      </c>
      <c r="C1120" s="3">
        <v>2.4160774630642798</v>
      </c>
      <c r="D1120" s="3">
        <v>0.60339386836162001</v>
      </c>
      <c r="E1120" s="3">
        <v>4.0041465280789001</v>
      </c>
      <c r="F1120" s="4">
        <v>6.2241778697194605E-5</v>
      </c>
      <c r="G1120" s="3">
        <v>5.3436585089690499E-4</v>
      </c>
      <c r="H1120" s="3" t="str">
        <f>"FSTL5"</f>
        <v>FSTL5</v>
      </c>
      <c r="I1120" s="3" t="str">
        <f>"protein_coding"</f>
        <v>protein_coding</v>
      </c>
    </row>
    <row r="1121" spans="1:9" x14ac:dyDescent="0.2">
      <c r="A1121" s="3" t="str">
        <f>"ENSG00000273449.1"</f>
        <v>ENSG00000273449.1</v>
      </c>
      <c r="B1121" s="3">
        <v>96.331501250024402</v>
      </c>
      <c r="C1121" s="3">
        <v>1.7417343752013501</v>
      </c>
      <c r="D1121" s="3">
        <v>0.43765546950310802</v>
      </c>
      <c r="E1121" s="3">
        <v>3.97969292415979</v>
      </c>
      <c r="F1121" s="4">
        <v>6.9004342436974398E-5</v>
      </c>
      <c r="G1121" s="3">
        <v>5.8483970148318402E-4</v>
      </c>
      <c r="H1121" s="3" t="str">
        <f>"AC093788.1"</f>
        <v>AC093788.1</v>
      </c>
      <c r="I1121" s="3" t="str">
        <f>"lincRNA"</f>
        <v>lincRNA</v>
      </c>
    </row>
    <row r="1122" spans="1:9" x14ac:dyDescent="0.2">
      <c r="A1122" s="3" t="str">
        <f>"ENSG00000109472.14"</f>
        <v>ENSG00000109472.14</v>
      </c>
      <c r="B1122" s="3">
        <v>10804.5303439493</v>
      </c>
      <c r="C1122" s="3">
        <v>1.27320629105878</v>
      </c>
      <c r="D1122" s="3">
        <v>0.23286808323266001</v>
      </c>
      <c r="E1122" s="3">
        <v>5.4675001974689401</v>
      </c>
      <c r="F1122" s="4">
        <v>4.56426700359346E-8</v>
      </c>
      <c r="G1122" s="4">
        <v>7.2164762083842503E-7</v>
      </c>
      <c r="H1122" s="3" t="str">
        <f>"CPE"</f>
        <v>CPE</v>
      </c>
      <c r="I1122" s="3" t="str">
        <f>"protein_coding"</f>
        <v>protein_coding</v>
      </c>
    </row>
    <row r="1123" spans="1:9" x14ac:dyDescent="0.2">
      <c r="A1123" s="3" t="str">
        <f>"ENSG00000207559.1"</f>
        <v>ENSG00000207559.1</v>
      </c>
      <c r="B1123" s="3">
        <v>69.964630033606198</v>
      </c>
      <c r="C1123" s="3">
        <v>2.0855117733217301</v>
      </c>
      <c r="D1123" s="3">
        <v>0.473048115319393</v>
      </c>
      <c r="E1123" s="3">
        <v>4.4086673337946403</v>
      </c>
      <c r="F1123" s="4">
        <v>1.04008642934627E-5</v>
      </c>
      <c r="G1123" s="3">
        <v>1.05924591620265E-4</v>
      </c>
      <c r="H1123" s="3" t="str">
        <f>"MIR578"</f>
        <v>MIR578</v>
      </c>
      <c r="I1123" s="3" t="str">
        <f>"miRNA"</f>
        <v>miRNA</v>
      </c>
    </row>
    <row r="1124" spans="1:9" x14ac:dyDescent="0.2">
      <c r="A1124" s="3" t="str">
        <f>"ENSG00000198948.12"</f>
        <v>ENSG00000198948.12</v>
      </c>
      <c r="B1124" s="3">
        <v>194.288251365332</v>
      </c>
      <c r="C1124" s="3">
        <v>1.4146262688690801</v>
      </c>
      <c r="D1124" s="3">
        <v>0.36416977172035297</v>
      </c>
      <c r="E1124" s="3">
        <v>3.8845241388002298</v>
      </c>
      <c r="F1124" s="3">
        <v>1.02530506280078E-4</v>
      </c>
      <c r="G1124" s="3">
        <v>8.3011100272782504E-4</v>
      </c>
      <c r="H1124" s="3" t="str">
        <f>"MFAP3L"</f>
        <v>MFAP3L</v>
      </c>
      <c r="I1124" s="3" t="str">
        <f t="shared" ref="I1124:I1129" si="44">"protein_coding"</f>
        <v>protein_coding</v>
      </c>
    </row>
    <row r="1125" spans="1:9" x14ac:dyDescent="0.2">
      <c r="A1125" s="3" t="str">
        <f>"ENSG00000109674.4"</f>
        <v>ENSG00000109674.4</v>
      </c>
      <c r="B1125" s="3">
        <v>453.10738286355797</v>
      </c>
      <c r="C1125" s="3">
        <v>-1.33638522568832</v>
      </c>
      <c r="D1125" s="3">
        <v>0.28851136349677398</v>
      </c>
      <c r="E1125" s="3">
        <v>-4.6320020448804904</v>
      </c>
      <c r="F1125" s="4">
        <v>3.6214657599253398E-6</v>
      </c>
      <c r="G1125" s="4">
        <v>4.0796225343001299E-5</v>
      </c>
      <c r="H1125" s="3" t="str">
        <f>"NEIL3"</f>
        <v>NEIL3</v>
      </c>
      <c r="I1125" s="3" t="str">
        <f t="shared" si="44"/>
        <v>protein_coding</v>
      </c>
    </row>
    <row r="1126" spans="1:9" x14ac:dyDescent="0.2">
      <c r="A1126" s="3" t="str">
        <f>"ENSG00000168556.7"</f>
        <v>ENSG00000168556.7</v>
      </c>
      <c r="B1126" s="3">
        <v>362.77633858182099</v>
      </c>
      <c r="C1126" s="3">
        <v>-1.06597565019306</v>
      </c>
      <c r="D1126" s="3">
        <v>0.30050811266247401</v>
      </c>
      <c r="E1126" s="3">
        <v>-3.5472441683807401</v>
      </c>
      <c r="F1126" s="3">
        <v>3.8928362504014001E-4</v>
      </c>
      <c r="G1126" s="3">
        <v>2.6872748594634201E-3</v>
      </c>
      <c r="H1126" s="3" t="str">
        <f>"ING2"</f>
        <v>ING2</v>
      </c>
      <c r="I1126" s="3" t="str">
        <f t="shared" si="44"/>
        <v>protein_coding</v>
      </c>
    </row>
    <row r="1127" spans="1:9" x14ac:dyDescent="0.2">
      <c r="A1127" s="3" t="str">
        <f>"ENSG00000151725.12"</f>
        <v>ENSG00000151725.12</v>
      </c>
      <c r="B1127" s="3">
        <v>1433.0637528038601</v>
      </c>
      <c r="C1127" s="3">
        <v>-1.08936709814625</v>
      </c>
      <c r="D1127" s="3">
        <v>0.30041753092763601</v>
      </c>
      <c r="E1127" s="3">
        <v>-3.62617685719764</v>
      </c>
      <c r="F1127" s="3">
        <v>2.8764838374916297E-4</v>
      </c>
      <c r="G1127" s="3">
        <v>2.0644208539829399E-3</v>
      </c>
      <c r="H1127" s="3" t="str">
        <f>"CENPU"</f>
        <v>CENPU</v>
      </c>
      <c r="I1127" s="3" t="str">
        <f t="shared" si="44"/>
        <v>protein_coding</v>
      </c>
    </row>
    <row r="1128" spans="1:9" x14ac:dyDescent="0.2">
      <c r="A1128" s="3" t="str">
        <f>"ENSG00000109771.15"</f>
        <v>ENSG00000109771.15</v>
      </c>
      <c r="B1128" s="3">
        <v>73.723341137266004</v>
      </c>
      <c r="C1128" s="3">
        <v>1.6470438357372299</v>
      </c>
      <c r="D1128" s="3">
        <v>0.45177772499226199</v>
      </c>
      <c r="E1128" s="3">
        <v>3.6456950943418902</v>
      </c>
      <c r="F1128" s="3">
        <v>2.6667001294768198E-4</v>
      </c>
      <c r="G1128" s="3">
        <v>1.92706063792683E-3</v>
      </c>
      <c r="H1128" s="3" t="str">
        <f>"LRP2BP"</f>
        <v>LRP2BP</v>
      </c>
      <c r="I1128" s="3" t="str">
        <f t="shared" si="44"/>
        <v>protein_coding</v>
      </c>
    </row>
    <row r="1129" spans="1:9" x14ac:dyDescent="0.2">
      <c r="A1129" s="3" t="str">
        <f>"ENSG00000088926.13"</f>
        <v>ENSG00000088926.13</v>
      </c>
      <c r="B1129" s="3">
        <v>1548.59719195497</v>
      </c>
      <c r="C1129" s="3">
        <v>-1.5631916373952299</v>
      </c>
      <c r="D1129" s="3">
        <v>0.25965685850894599</v>
      </c>
      <c r="E1129" s="3">
        <v>-6.0202208652284703</v>
      </c>
      <c r="F1129" s="4">
        <v>1.74179235754322E-9</v>
      </c>
      <c r="G1129" s="4">
        <v>3.4097110314396699E-8</v>
      </c>
      <c r="H1129" s="3" t="str">
        <f>"F11"</f>
        <v>F11</v>
      </c>
      <c r="I1129" s="3" t="str">
        <f t="shared" si="44"/>
        <v>protein_coding</v>
      </c>
    </row>
    <row r="1130" spans="1:9" x14ac:dyDescent="0.2">
      <c r="A1130" s="3" t="str">
        <f>"ENSG00000224807.5"</f>
        <v>ENSG00000224807.5</v>
      </c>
      <c r="B1130" s="3">
        <v>137.88725919885499</v>
      </c>
      <c r="C1130" s="3">
        <v>8.1756373033063401</v>
      </c>
      <c r="D1130" s="3">
        <v>1.0846760031229701</v>
      </c>
      <c r="E1130" s="3">
        <v>7.5374003663465201</v>
      </c>
      <c r="F1130" s="4">
        <v>4.7943267321000699E-14</v>
      </c>
      <c r="G1130" s="4">
        <v>1.57855090243426E-12</v>
      </c>
      <c r="H1130" s="3" t="str">
        <f>"DUX4L9"</f>
        <v>DUX4L9</v>
      </c>
      <c r="I1130" s="3" t="str">
        <f>"unprocessed_pseudogene"</f>
        <v>unprocessed_pseudogene</v>
      </c>
    </row>
    <row r="1131" spans="1:9" x14ac:dyDescent="0.2">
      <c r="A1131" s="3" t="str">
        <f>"ENSG00000073578.17"</f>
        <v>ENSG00000073578.17</v>
      </c>
      <c r="B1131" s="3">
        <v>1626.01832994694</v>
      </c>
      <c r="C1131" s="3">
        <v>1.2620989846194499</v>
      </c>
      <c r="D1131" s="3">
        <v>0.268267579963333</v>
      </c>
      <c r="E1131" s="3">
        <v>4.7046273157269303</v>
      </c>
      <c r="F1131" s="4">
        <v>2.5433011461264099E-6</v>
      </c>
      <c r="G1131" s="4">
        <v>2.94416660519143E-5</v>
      </c>
      <c r="H1131" s="3" t="str">
        <f>"SDHA"</f>
        <v>SDHA</v>
      </c>
      <c r="I1131" s="3" t="str">
        <f>"protein_coding"</f>
        <v>protein_coding</v>
      </c>
    </row>
    <row r="1132" spans="1:9" x14ac:dyDescent="0.2">
      <c r="A1132" s="3" t="str">
        <f>"ENSG00000286001.1"</f>
        <v>ENSG00000286001.1</v>
      </c>
      <c r="B1132" s="3">
        <v>43.353040601384699</v>
      </c>
      <c r="C1132" s="3">
        <v>2.3229796752751</v>
      </c>
      <c r="D1132" s="3">
        <v>0.72615200669172397</v>
      </c>
      <c r="E1132" s="3">
        <v>3.19902672425069</v>
      </c>
      <c r="F1132" s="3">
        <v>1.3789238598348999E-3</v>
      </c>
      <c r="G1132" s="3">
        <v>8.0145170272982492E-3</v>
      </c>
      <c r="H1132" s="3" t="str">
        <f>"AC021087.5"</f>
        <v>AC021087.5</v>
      </c>
      <c r="I1132" s="3" t="str">
        <f>"protein_coding"</f>
        <v>protein_coding</v>
      </c>
    </row>
    <row r="1133" spans="1:9" x14ac:dyDescent="0.2">
      <c r="A1133" s="3" t="str">
        <f>"ENSG00000066230.11"</f>
        <v>ENSG00000066230.11</v>
      </c>
      <c r="B1133" s="3">
        <v>17.6784430021793</v>
      </c>
      <c r="C1133" s="3">
        <v>2.5203852358429799</v>
      </c>
      <c r="D1133" s="3">
        <v>0.85825537579646904</v>
      </c>
      <c r="E1133" s="3">
        <v>2.9366378666769601</v>
      </c>
      <c r="F1133" s="3">
        <v>3.3179130270031298E-3</v>
      </c>
      <c r="G1133" s="3">
        <v>1.6830429964562198E-2</v>
      </c>
      <c r="H1133" s="3" t="str">
        <f>"SLC9A3"</f>
        <v>SLC9A3</v>
      </c>
      <c r="I1133" s="3" t="str">
        <f>"protein_coding"</f>
        <v>protein_coding</v>
      </c>
    </row>
    <row r="1134" spans="1:9" x14ac:dyDescent="0.2">
      <c r="A1134" s="3" t="str">
        <f>"ENSG00000225138.7"</f>
        <v>ENSG00000225138.7</v>
      </c>
      <c r="B1134" s="3">
        <v>99.5703104438293</v>
      </c>
      <c r="C1134" s="3">
        <v>1.2920626630363501</v>
      </c>
      <c r="D1134" s="3">
        <v>0.44651655756905101</v>
      </c>
      <c r="E1134" s="3">
        <v>2.89365005873614</v>
      </c>
      <c r="F1134" s="3">
        <v>3.80792288841311E-3</v>
      </c>
      <c r="G1134" s="3">
        <v>1.8878261777302299E-2</v>
      </c>
      <c r="H1134" s="3" t="str">
        <f>"SLC9A3-AS1"</f>
        <v>SLC9A3-AS1</v>
      </c>
      <c r="I1134" s="3" t="str">
        <f>"processed_transcript"</f>
        <v>processed_transcript</v>
      </c>
    </row>
    <row r="1135" spans="1:9" x14ac:dyDescent="0.2">
      <c r="A1135" s="3" t="str">
        <f>"ENSG00000271781.1"</f>
        <v>ENSG00000271781.1</v>
      </c>
      <c r="B1135" s="3">
        <v>73.689353023732195</v>
      </c>
      <c r="C1135" s="3">
        <v>1.8125261026758199</v>
      </c>
      <c r="D1135" s="3">
        <v>0.48109025539137301</v>
      </c>
      <c r="E1135" s="3">
        <v>3.76753859044871</v>
      </c>
      <c r="F1135" s="3">
        <v>1.6486506145490401E-4</v>
      </c>
      <c r="G1135" s="3">
        <v>1.2585655294240501E-3</v>
      </c>
      <c r="H1135" s="3" t="str">
        <f>"AC026740.1"</f>
        <v>AC026740.1</v>
      </c>
      <c r="I1135" s="3" t="str">
        <f>"antisense"</f>
        <v>antisense</v>
      </c>
    </row>
    <row r="1136" spans="1:9" x14ac:dyDescent="0.2">
      <c r="A1136" s="3" t="str">
        <f>"ENSG00000188818.12"</f>
        <v>ENSG00000188818.12</v>
      </c>
      <c r="B1136" s="3">
        <v>256.23503754097499</v>
      </c>
      <c r="C1136" s="3">
        <v>-1.9065179307937601</v>
      </c>
      <c r="D1136" s="3">
        <v>0.38440343394218401</v>
      </c>
      <c r="E1136" s="3">
        <v>-4.9596797594698696</v>
      </c>
      <c r="F1136" s="4">
        <v>7.0609482857705399E-7</v>
      </c>
      <c r="G1136" s="4">
        <v>9.1086232886439993E-6</v>
      </c>
      <c r="H1136" s="3" t="str">
        <f>"ZDHHC11"</f>
        <v>ZDHHC11</v>
      </c>
      <c r="I1136" s="3" t="str">
        <f t="shared" ref="I1136:I1144" si="45">"protein_coding"</f>
        <v>protein_coding</v>
      </c>
    </row>
    <row r="1137" spans="1:9" x14ac:dyDescent="0.2">
      <c r="A1137" s="3" t="str">
        <f>"ENSG00000071539.14"</f>
        <v>ENSG00000071539.14</v>
      </c>
      <c r="B1137" s="3">
        <v>1358.8500235858701</v>
      </c>
      <c r="C1137" s="3">
        <v>-1.5346595254459401</v>
      </c>
      <c r="D1137" s="3">
        <v>0.25006335952641601</v>
      </c>
      <c r="E1137" s="3">
        <v>-6.1370827311620504</v>
      </c>
      <c r="F1137" s="4">
        <v>8.4050620409770402E-10</v>
      </c>
      <c r="G1137" s="4">
        <v>1.7301909626904899E-8</v>
      </c>
      <c r="H1137" s="3" t="str">
        <f>"TRIP13"</f>
        <v>TRIP13</v>
      </c>
      <c r="I1137" s="3" t="str">
        <f t="shared" si="45"/>
        <v>protein_coding</v>
      </c>
    </row>
    <row r="1138" spans="1:9" x14ac:dyDescent="0.2">
      <c r="A1138" s="3" t="str">
        <f>"ENSG00000145506.13"</f>
        <v>ENSG00000145506.13</v>
      </c>
      <c r="B1138" s="3">
        <v>330.28349555997897</v>
      </c>
      <c r="C1138" s="3">
        <v>4.9112153923204804</v>
      </c>
      <c r="D1138" s="3">
        <v>0.36959547637410101</v>
      </c>
      <c r="E1138" s="3">
        <v>13.2880830699059</v>
      </c>
      <c r="F1138" s="4">
        <v>2.71443427734261E-40</v>
      </c>
      <c r="G1138" s="4">
        <v>4.5521062831035498E-38</v>
      </c>
      <c r="H1138" s="3" t="str">
        <f>"NKD2"</f>
        <v>NKD2</v>
      </c>
      <c r="I1138" s="3" t="str">
        <f t="shared" si="45"/>
        <v>protein_coding</v>
      </c>
    </row>
    <row r="1139" spans="1:9" x14ac:dyDescent="0.2">
      <c r="A1139" s="3" t="str">
        <f>"ENSG00000113504.21"</f>
        <v>ENSG00000113504.21</v>
      </c>
      <c r="B1139" s="3">
        <v>1285.3797682342899</v>
      </c>
      <c r="C1139" s="3">
        <v>1.15027514767631</v>
      </c>
      <c r="D1139" s="3">
        <v>0.29191648630725398</v>
      </c>
      <c r="E1139" s="3">
        <v>3.9404254354637498</v>
      </c>
      <c r="F1139" s="4">
        <v>8.1337230494823597E-5</v>
      </c>
      <c r="G1139" s="3">
        <v>6.7548300861580896E-4</v>
      </c>
      <c r="H1139" s="3" t="str">
        <f>"SLC12A7"</f>
        <v>SLC12A7</v>
      </c>
      <c r="I1139" s="3" t="str">
        <f t="shared" si="45"/>
        <v>protein_coding</v>
      </c>
    </row>
    <row r="1140" spans="1:9" x14ac:dyDescent="0.2">
      <c r="A1140" s="3" t="str">
        <f>"ENSG00000174358.16"</f>
        <v>ENSG00000174358.16</v>
      </c>
      <c r="B1140" s="3">
        <v>18.93762628004</v>
      </c>
      <c r="C1140" s="3">
        <v>-4.1287503790436304</v>
      </c>
      <c r="D1140" s="3">
        <v>1.02859277903441</v>
      </c>
      <c r="E1140" s="3">
        <v>-4.0139795487573604</v>
      </c>
      <c r="F1140" s="4">
        <v>5.9703521751350302E-5</v>
      </c>
      <c r="G1140" s="3">
        <v>5.1432948275863504E-4</v>
      </c>
      <c r="H1140" s="3" t="str">
        <f>"SLC6A19"</f>
        <v>SLC6A19</v>
      </c>
      <c r="I1140" s="3" t="str">
        <f t="shared" si="45"/>
        <v>protein_coding</v>
      </c>
    </row>
    <row r="1141" spans="1:9" x14ac:dyDescent="0.2">
      <c r="A1141" s="3" t="str">
        <f>"ENSG00000164362.19"</f>
        <v>ENSG00000164362.19</v>
      </c>
      <c r="B1141" s="3">
        <v>257.07485067707103</v>
      </c>
      <c r="C1141" s="3">
        <v>-1.5564095933789399</v>
      </c>
      <c r="D1141" s="3">
        <v>0.352914938811414</v>
      </c>
      <c r="E1141" s="3">
        <v>-4.4101550323168199</v>
      </c>
      <c r="F1141" s="4">
        <v>1.03296639440923E-5</v>
      </c>
      <c r="G1141" s="3">
        <v>1.0541285862622399E-4</v>
      </c>
      <c r="H1141" s="3" t="str">
        <f>"TERT"</f>
        <v>TERT</v>
      </c>
      <c r="I1141" s="3" t="str">
        <f t="shared" si="45"/>
        <v>protein_coding</v>
      </c>
    </row>
    <row r="1142" spans="1:9" x14ac:dyDescent="0.2">
      <c r="A1142" s="3" t="str">
        <f>"ENSG00000153395.10"</f>
        <v>ENSG00000153395.10</v>
      </c>
      <c r="B1142" s="3">
        <v>1472.35650163063</v>
      </c>
      <c r="C1142" s="3">
        <v>1.71864655585818</v>
      </c>
      <c r="D1142" s="3">
        <v>0.27261945734308901</v>
      </c>
      <c r="E1142" s="3">
        <v>6.3041962323887999</v>
      </c>
      <c r="F1142" s="4">
        <v>2.8969327728240898E-10</v>
      </c>
      <c r="G1142" s="4">
        <v>6.3257242969088596E-9</v>
      </c>
      <c r="H1142" s="3" t="str">
        <f>"LPCAT1"</f>
        <v>LPCAT1</v>
      </c>
      <c r="I1142" s="3" t="str">
        <f t="shared" si="45"/>
        <v>protein_coding</v>
      </c>
    </row>
    <row r="1143" spans="1:9" x14ac:dyDescent="0.2">
      <c r="A1143" s="3" t="str">
        <f>"ENSG00000215218.4"</f>
        <v>ENSG00000215218.4</v>
      </c>
      <c r="B1143" s="3">
        <v>465.865322813148</v>
      </c>
      <c r="C1143" s="3">
        <v>7.9407492800843702</v>
      </c>
      <c r="D1143" s="3">
        <v>0.58340833694012095</v>
      </c>
      <c r="E1143" s="3">
        <v>13.6109629864604</v>
      </c>
      <c r="F1143" s="4">
        <v>3.4467211210065703E-42</v>
      </c>
      <c r="G1143" s="4">
        <v>6.47031864171047E-40</v>
      </c>
      <c r="H1143" s="3" t="str">
        <f>"UBE2QL1"</f>
        <v>UBE2QL1</v>
      </c>
      <c r="I1143" s="3" t="str">
        <f t="shared" si="45"/>
        <v>protein_coding</v>
      </c>
    </row>
    <row r="1144" spans="1:9" x14ac:dyDescent="0.2">
      <c r="A1144" s="3" t="str">
        <f>"ENSG00000145545.12"</f>
        <v>ENSG00000145545.12</v>
      </c>
      <c r="B1144" s="3">
        <v>1029.7489762375301</v>
      </c>
      <c r="C1144" s="3">
        <v>-1.48333574808753</v>
      </c>
      <c r="D1144" s="3">
        <v>0.25292779902081203</v>
      </c>
      <c r="E1144" s="3">
        <v>-5.8646607997623699</v>
      </c>
      <c r="F1144" s="4">
        <v>4.5005176773219297E-9</v>
      </c>
      <c r="G1144" s="4">
        <v>8.37975737772266E-8</v>
      </c>
      <c r="H1144" s="3" t="str">
        <f>"SRD5A1"</f>
        <v>SRD5A1</v>
      </c>
      <c r="I1144" s="3" t="str">
        <f t="shared" si="45"/>
        <v>protein_coding</v>
      </c>
    </row>
    <row r="1145" spans="1:9" x14ac:dyDescent="0.2">
      <c r="A1145" s="3" t="str">
        <f>"ENSG00000271980.1"</f>
        <v>ENSG00000271980.1</v>
      </c>
      <c r="B1145" s="3">
        <v>18.982778898135201</v>
      </c>
      <c r="C1145" s="3">
        <v>5.3130873665130602</v>
      </c>
      <c r="D1145" s="3">
        <v>1.2709704502415</v>
      </c>
      <c r="E1145" s="3">
        <v>4.1803390200799102</v>
      </c>
      <c r="F1145" s="4">
        <v>2.9107481130822101E-5</v>
      </c>
      <c r="G1145" s="3">
        <v>2.6849970218035602E-4</v>
      </c>
      <c r="H1145" s="3" t="str">
        <f>"AC012640.4"</f>
        <v>AC012640.4</v>
      </c>
      <c r="I1145" s="3" t="str">
        <f>"antisense"</f>
        <v>antisense</v>
      </c>
    </row>
    <row r="1146" spans="1:9" x14ac:dyDescent="0.2">
      <c r="A1146" s="3" t="str">
        <f>"ENSG00000271715.1"</f>
        <v>ENSG00000271715.1</v>
      </c>
      <c r="B1146" s="3">
        <v>9.3143000425488101</v>
      </c>
      <c r="C1146" s="3">
        <v>4.1794465335895499</v>
      </c>
      <c r="D1146" s="3">
        <v>1.47562809891632</v>
      </c>
      <c r="E1146" s="3">
        <v>2.83231698871746</v>
      </c>
      <c r="F1146" s="3">
        <v>4.6212011326799097E-3</v>
      </c>
      <c r="G1146" s="3">
        <v>2.2222579715649601E-2</v>
      </c>
      <c r="H1146" s="3" t="str">
        <f>"AC012640.3"</f>
        <v>AC012640.3</v>
      </c>
      <c r="I1146" s="3" t="str">
        <f>"lincRNA"</f>
        <v>lincRNA</v>
      </c>
    </row>
    <row r="1147" spans="1:9" x14ac:dyDescent="0.2">
      <c r="A1147" s="3" t="str">
        <f>"ENSG00000164237.9"</f>
        <v>ENSG00000164237.9</v>
      </c>
      <c r="B1147" s="3">
        <v>3728.6905172614402</v>
      </c>
      <c r="C1147" s="3">
        <v>4.7568704873028702</v>
      </c>
      <c r="D1147" s="3">
        <v>0.253798211388295</v>
      </c>
      <c r="E1147" s="3">
        <v>18.742726598751201</v>
      </c>
      <c r="F1147" s="4">
        <v>2.21956956598248E-78</v>
      </c>
      <c r="G1147" s="4">
        <v>1.5952363552082701E-75</v>
      </c>
      <c r="H1147" s="3" t="str">
        <f>"CMBL"</f>
        <v>CMBL</v>
      </c>
      <c r="I1147" s="3" t="str">
        <f>"protein_coding"</f>
        <v>protein_coding</v>
      </c>
    </row>
    <row r="1148" spans="1:9" x14ac:dyDescent="0.2">
      <c r="A1148" s="3" t="str">
        <f>"ENSG00000252341.1"</f>
        <v>ENSG00000252341.1</v>
      </c>
      <c r="B1148" s="3">
        <v>10.862377694179999</v>
      </c>
      <c r="C1148" s="3">
        <v>5.4737039859143204</v>
      </c>
      <c r="D1148" s="3">
        <v>1.70154281136248</v>
      </c>
      <c r="E1148" s="3">
        <v>3.21690641537921</v>
      </c>
      <c r="F1148" s="3">
        <v>1.2958085916506101E-3</v>
      </c>
      <c r="G1148" s="3">
        <v>7.6159030661147199E-3</v>
      </c>
      <c r="H1148" s="3" t="str">
        <f>"RF00019"</f>
        <v>RF00019</v>
      </c>
      <c r="I1148" s="3" t="str">
        <f>"misc_RNA"</f>
        <v>misc_RNA</v>
      </c>
    </row>
    <row r="1149" spans="1:9" x14ac:dyDescent="0.2">
      <c r="A1149" s="3" t="str">
        <f>"ENSG00000164236.12"</f>
        <v>ENSG00000164236.12</v>
      </c>
      <c r="B1149" s="3">
        <v>77.136346082114002</v>
      </c>
      <c r="C1149" s="3">
        <v>-2.0949994037655801</v>
      </c>
      <c r="D1149" s="3">
        <v>0.49718207296281602</v>
      </c>
      <c r="E1149" s="3">
        <v>-4.2137468699967799</v>
      </c>
      <c r="F1149" s="4">
        <v>2.5116877182331401E-5</v>
      </c>
      <c r="G1149" s="3">
        <v>2.36192540381887E-4</v>
      </c>
      <c r="H1149" s="3" t="str">
        <f>"ANKRD33B"</f>
        <v>ANKRD33B</v>
      </c>
      <c r="I1149" s="3" t="str">
        <f>"protein_coding"</f>
        <v>protein_coding</v>
      </c>
    </row>
    <row r="1150" spans="1:9" x14ac:dyDescent="0.2">
      <c r="A1150" s="3" t="str">
        <f>"ENSG00000145569.6"</f>
        <v>ENSG00000145569.6</v>
      </c>
      <c r="B1150" s="3">
        <v>339.788857778254</v>
      </c>
      <c r="C1150" s="3">
        <v>1.0167301973345499</v>
      </c>
      <c r="D1150" s="3">
        <v>0.29061346691006701</v>
      </c>
      <c r="E1150" s="3">
        <v>3.4985653216448802</v>
      </c>
      <c r="F1150" s="3">
        <v>4.6776849254766598E-4</v>
      </c>
      <c r="G1150" s="3">
        <v>3.1546156648891502E-3</v>
      </c>
      <c r="H1150" s="3" t="str">
        <f>"OTULINL"</f>
        <v>OTULINL</v>
      </c>
      <c r="I1150" s="3" t="str">
        <f>"protein_coding"</f>
        <v>protein_coding</v>
      </c>
    </row>
    <row r="1151" spans="1:9" x14ac:dyDescent="0.2">
      <c r="A1151" s="3" t="str">
        <f>"ENSG00000261360.1"</f>
        <v>ENSG00000261360.1</v>
      </c>
      <c r="B1151" s="3">
        <v>82.709608469745405</v>
      </c>
      <c r="C1151" s="3">
        <v>1.8627430044587301</v>
      </c>
      <c r="D1151" s="3">
        <v>0.46088890898954399</v>
      </c>
      <c r="E1151" s="3">
        <v>4.0416312220283599</v>
      </c>
      <c r="F1151" s="4">
        <v>5.3080663830031899E-5</v>
      </c>
      <c r="G1151" s="3">
        <v>4.63304683776701E-4</v>
      </c>
      <c r="H1151" s="3" t="str">
        <f>"AC010491.1"</f>
        <v>AC010491.1</v>
      </c>
      <c r="I1151" s="3" t="str">
        <f>"antisense"</f>
        <v>antisense</v>
      </c>
    </row>
    <row r="1152" spans="1:9" x14ac:dyDescent="0.2">
      <c r="A1152" s="3" t="str">
        <f>"ENSG00000040731.10"</f>
        <v>ENSG00000040731.10</v>
      </c>
      <c r="B1152" s="3">
        <v>18.091563499186801</v>
      </c>
      <c r="C1152" s="3">
        <v>3.2256159232285002</v>
      </c>
      <c r="D1152" s="3">
        <v>1.05670217519592</v>
      </c>
      <c r="E1152" s="3">
        <v>3.0525307877126702</v>
      </c>
      <c r="F1152" s="3">
        <v>2.2692045165141599E-3</v>
      </c>
      <c r="G1152" s="3">
        <v>1.2207407958279201E-2</v>
      </c>
      <c r="H1152" s="3" t="str">
        <f>"CDH10"</f>
        <v>CDH10</v>
      </c>
      <c r="I1152" s="3" t="str">
        <f>"protein_coding"</f>
        <v>protein_coding</v>
      </c>
    </row>
    <row r="1153" spans="1:9" x14ac:dyDescent="0.2">
      <c r="A1153" s="3" t="str">
        <f>"ENSG00000250337.6"</f>
        <v>ENSG00000250337.6</v>
      </c>
      <c r="B1153" s="3">
        <v>5584.1276187678404</v>
      </c>
      <c r="C1153" s="3">
        <v>5.3550852038248102</v>
      </c>
      <c r="D1153" s="3">
        <v>0.25648255281249099</v>
      </c>
      <c r="E1153" s="3">
        <v>20.878945351654401</v>
      </c>
      <c r="F1153" s="4">
        <v>8.3208214498512596E-97</v>
      </c>
      <c r="G1153" s="4">
        <v>1.04655131785504E-93</v>
      </c>
      <c r="H1153" s="3" t="str">
        <f>"PURPL"</f>
        <v>PURPL</v>
      </c>
      <c r="I1153" s="3" t="str">
        <f>"lincRNA"</f>
        <v>lincRNA</v>
      </c>
    </row>
    <row r="1154" spans="1:9" x14ac:dyDescent="0.2">
      <c r="A1154" s="3" t="str">
        <f>"ENSG00000242110.8"</f>
        <v>ENSG00000242110.8</v>
      </c>
      <c r="B1154" s="3">
        <v>111.64891339715599</v>
      </c>
      <c r="C1154" s="3">
        <v>-1.2420201528549699</v>
      </c>
      <c r="D1154" s="3">
        <v>0.41135911307297401</v>
      </c>
      <c r="E1154" s="3">
        <v>-3.0193087095523699</v>
      </c>
      <c r="F1154" s="3">
        <v>2.533522285057E-3</v>
      </c>
      <c r="G1154" s="3">
        <v>1.3352347178003101E-2</v>
      </c>
      <c r="H1154" s="3" t="str">
        <f>"AMACR"</f>
        <v>AMACR</v>
      </c>
      <c r="I1154" s="3" t="str">
        <f t="shared" ref="I1154:I1159" si="46">"protein_coding"</f>
        <v>protein_coding</v>
      </c>
    </row>
    <row r="1155" spans="1:9" x14ac:dyDescent="0.2">
      <c r="A1155" s="3" t="str">
        <f>"ENSG00000168724.16"</f>
        <v>ENSG00000168724.16</v>
      </c>
      <c r="B1155" s="3">
        <v>2404.88863578992</v>
      </c>
      <c r="C1155" s="3">
        <v>1.0572137584685699</v>
      </c>
      <c r="D1155" s="3">
        <v>0.25494435212927002</v>
      </c>
      <c r="E1155" s="3">
        <v>4.1468412602155302</v>
      </c>
      <c r="F1155" s="4">
        <v>3.3709359939172799E-5</v>
      </c>
      <c r="G1155" s="3">
        <v>3.0812461819400099E-4</v>
      </c>
      <c r="H1155" s="3" t="str">
        <f>"DNAJC21"</f>
        <v>DNAJC21</v>
      </c>
      <c r="I1155" s="3" t="str">
        <f t="shared" si="46"/>
        <v>protein_coding</v>
      </c>
    </row>
    <row r="1156" spans="1:9" x14ac:dyDescent="0.2">
      <c r="A1156" s="3" t="str">
        <f>"ENSG00000113494.17"</f>
        <v>ENSG00000113494.17</v>
      </c>
      <c r="B1156" s="3">
        <v>705.01317337677199</v>
      </c>
      <c r="C1156" s="3">
        <v>-1.63386732803695</v>
      </c>
      <c r="D1156" s="3">
        <v>0.29410243235713701</v>
      </c>
      <c r="E1156" s="3">
        <v>-5.5554362979660601</v>
      </c>
      <c r="F1156" s="4">
        <v>2.7691919343980799E-8</v>
      </c>
      <c r="G1156" s="4">
        <v>4.5439675870700399E-7</v>
      </c>
      <c r="H1156" s="3" t="str">
        <f>"PRLR"</f>
        <v>PRLR</v>
      </c>
      <c r="I1156" s="3" t="str">
        <f t="shared" si="46"/>
        <v>protein_coding</v>
      </c>
    </row>
    <row r="1157" spans="1:9" x14ac:dyDescent="0.2">
      <c r="A1157" s="3" t="str">
        <f>"ENSG00000145604.15"</f>
        <v>ENSG00000145604.15</v>
      </c>
      <c r="B1157" s="3">
        <v>1249.7637270849</v>
      </c>
      <c r="C1157" s="3">
        <v>-2.41298786546675</v>
      </c>
      <c r="D1157" s="3">
        <v>0.26026257608637399</v>
      </c>
      <c r="E1157" s="3">
        <v>-9.2713593392925997</v>
      </c>
      <c r="F1157" s="4">
        <v>1.8378847539624101E-20</v>
      </c>
      <c r="G1157" s="4">
        <v>1.02509957840187E-18</v>
      </c>
      <c r="H1157" s="3" t="str">
        <f>"SKP2"</f>
        <v>SKP2</v>
      </c>
      <c r="I1157" s="3" t="str">
        <f t="shared" si="46"/>
        <v>protein_coding</v>
      </c>
    </row>
    <row r="1158" spans="1:9" x14ac:dyDescent="0.2">
      <c r="A1158" s="3" t="str">
        <f>"ENSG00000113569.16"</f>
        <v>ENSG00000113569.16</v>
      </c>
      <c r="B1158" s="3">
        <v>4452.5229309447104</v>
      </c>
      <c r="C1158" s="3">
        <v>-1.21781865206232</v>
      </c>
      <c r="D1158" s="3">
        <v>0.271658707223424</v>
      </c>
      <c r="E1158" s="3">
        <v>-4.48289938691617</v>
      </c>
      <c r="F1158" s="4">
        <v>7.3635652731292198E-6</v>
      </c>
      <c r="G1158" s="4">
        <v>7.82863558346832E-5</v>
      </c>
      <c r="H1158" s="3" t="str">
        <f>"NUP155"</f>
        <v>NUP155</v>
      </c>
      <c r="I1158" s="3" t="str">
        <f t="shared" si="46"/>
        <v>protein_coding</v>
      </c>
    </row>
    <row r="1159" spans="1:9" x14ac:dyDescent="0.2">
      <c r="A1159" s="3" t="str">
        <f>"ENSG00000168621.15"</f>
        <v>ENSG00000168621.15</v>
      </c>
      <c r="B1159" s="3">
        <v>3752.1590535216901</v>
      </c>
      <c r="C1159" s="3">
        <v>2.4003549200955399</v>
      </c>
      <c r="D1159" s="3">
        <v>0.248439499259241</v>
      </c>
      <c r="E1159" s="3">
        <v>9.6617282165378207</v>
      </c>
      <c r="F1159" s="4">
        <v>4.3840475417503001E-22</v>
      </c>
      <c r="G1159" s="4">
        <v>2.70295872335119E-20</v>
      </c>
      <c r="H1159" s="3" t="str">
        <f>"GDNF"</f>
        <v>GDNF</v>
      </c>
      <c r="I1159" s="3" t="str">
        <f t="shared" si="46"/>
        <v>protein_coding</v>
      </c>
    </row>
    <row r="1160" spans="1:9" x14ac:dyDescent="0.2">
      <c r="A1160" s="3" t="str">
        <f>"ENSG00000248461.2"</f>
        <v>ENSG00000248461.2</v>
      </c>
      <c r="B1160" s="3">
        <v>277.74052464286302</v>
      </c>
      <c r="C1160" s="3">
        <v>-2.1366394362446401</v>
      </c>
      <c r="D1160" s="3">
        <v>0.39383557456895801</v>
      </c>
      <c r="E1160" s="3">
        <v>-5.4252067974893601</v>
      </c>
      <c r="F1160" s="4">
        <v>5.7887480166565001E-8</v>
      </c>
      <c r="G1160" s="4">
        <v>8.9775558790995198E-7</v>
      </c>
      <c r="H1160" s="3" t="str">
        <f>"LINC02119"</f>
        <v>LINC02119</v>
      </c>
      <c r="I1160" s="3" t="str">
        <f>"lincRNA"</f>
        <v>lincRNA</v>
      </c>
    </row>
    <row r="1161" spans="1:9" x14ac:dyDescent="0.2">
      <c r="A1161" s="3" t="str">
        <f>"ENSG00000251257.2"</f>
        <v>ENSG00000251257.2</v>
      </c>
      <c r="B1161" s="3">
        <v>17.005576877880099</v>
      </c>
      <c r="C1161" s="3">
        <v>5.1531394401674202</v>
      </c>
      <c r="D1161" s="3">
        <v>1.2905677437171701</v>
      </c>
      <c r="E1161" s="3">
        <v>3.9929244049793602</v>
      </c>
      <c r="F1161" s="4">
        <v>6.5263379449392102E-5</v>
      </c>
      <c r="G1161" s="3">
        <v>5.5650857967778195E-4</v>
      </c>
      <c r="H1161" s="3" t="str">
        <f>"AC010457.1"</f>
        <v>AC010457.1</v>
      </c>
      <c r="I1161" s="3" t="str">
        <f>"antisense"</f>
        <v>antisense</v>
      </c>
    </row>
    <row r="1162" spans="1:9" x14ac:dyDescent="0.2">
      <c r="A1162" s="3" t="str">
        <f>"ENSG00000145623.13"</f>
        <v>ENSG00000145623.13</v>
      </c>
      <c r="B1162" s="3">
        <v>4865.5670293518097</v>
      </c>
      <c r="C1162" s="3">
        <v>1.9575995733092399</v>
      </c>
      <c r="D1162" s="3">
        <v>0.252243815861808</v>
      </c>
      <c r="E1162" s="3">
        <v>7.7607435751039802</v>
      </c>
      <c r="F1162" s="4">
        <v>8.4432876898897105E-15</v>
      </c>
      <c r="G1162" s="4">
        <v>2.9864755738375801E-13</v>
      </c>
      <c r="H1162" s="3" t="str">
        <f>"OSMR"</f>
        <v>OSMR</v>
      </c>
      <c r="I1162" s="3" t="str">
        <f t="shared" ref="I1162:I1168" si="47">"protein_coding"</f>
        <v>protein_coding</v>
      </c>
    </row>
    <row r="1163" spans="1:9" x14ac:dyDescent="0.2">
      <c r="A1163" s="3" t="str">
        <f>"ENSG00000153071.15"</f>
        <v>ENSG00000153071.15</v>
      </c>
      <c r="B1163" s="3">
        <v>226.009250035767</v>
      </c>
      <c r="C1163" s="3">
        <v>-1.60792814018848</v>
      </c>
      <c r="D1163" s="3">
        <v>0.34300491318433202</v>
      </c>
      <c r="E1163" s="3">
        <v>-4.6877699950740004</v>
      </c>
      <c r="F1163" s="4">
        <v>2.7619818290933401E-6</v>
      </c>
      <c r="G1163" s="4">
        <v>3.1696009539618203E-5</v>
      </c>
      <c r="H1163" s="3" t="str">
        <f>"DAB2"</f>
        <v>DAB2</v>
      </c>
      <c r="I1163" s="3" t="str">
        <f t="shared" si="47"/>
        <v>protein_coding</v>
      </c>
    </row>
    <row r="1164" spans="1:9" x14ac:dyDescent="0.2">
      <c r="A1164" s="3" t="str">
        <f>"ENSG00000171522.6"</f>
        <v>ENSG00000171522.6</v>
      </c>
      <c r="B1164" s="3">
        <v>32.753642127370902</v>
      </c>
      <c r="C1164" s="3">
        <v>-3.1080579144676399</v>
      </c>
      <c r="D1164" s="3">
        <v>0.70360405372964396</v>
      </c>
      <c r="E1164" s="3">
        <v>-4.4173394084251401</v>
      </c>
      <c r="F1164" s="4">
        <v>9.9923259519697492E-6</v>
      </c>
      <c r="G1164" s="3">
        <v>1.02302384746357E-4</v>
      </c>
      <c r="H1164" s="3" t="str">
        <f>"PTGER4"</f>
        <v>PTGER4</v>
      </c>
      <c r="I1164" s="3" t="str">
        <f t="shared" si="47"/>
        <v>protein_coding</v>
      </c>
    </row>
    <row r="1165" spans="1:9" x14ac:dyDescent="0.2">
      <c r="A1165" s="3" t="str">
        <f>"ENSG00000132357.14"</f>
        <v>ENSG00000132357.14</v>
      </c>
      <c r="B1165" s="3">
        <v>35.069391471963897</v>
      </c>
      <c r="C1165" s="3">
        <v>-1.92540441940691</v>
      </c>
      <c r="D1165" s="3">
        <v>0.63565206721997602</v>
      </c>
      <c r="E1165" s="3">
        <v>-3.0290225088509</v>
      </c>
      <c r="F1165" s="3">
        <v>2.4534640252136201E-3</v>
      </c>
      <c r="G1165" s="3">
        <v>1.3009846801664501E-2</v>
      </c>
      <c r="H1165" s="3" t="str">
        <f>"CARD6"</f>
        <v>CARD6</v>
      </c>
      <c r="I1165" s="3" t="str">
        <f t="shared" si="47"/>
        <v>protein_coding</v>
      </c>
    </row>
    <row r="1166" spans="1:9" x14ac:dyDescent="0.2">
      <c r="A1166" s="3" t="str">
        <f>"ENSG00000112936.18"</f>
        <v>ENSG00000112936.18</v>
      </c>
      <c r="B1166" s="3">
        <v>38.448597034289001</v>
      </c>
      <c r="C1166" s="3">
        <v>-3.3796826459806999</v>
      </c>
      <c r="D1166" s="3">
        <v>0.70758433610305804</v>
      </c>
      <c r="E1166" s="3">
        <v>-4.7763672449194203</v>
      </c>
      <c r="F1166" s="4">
        <v>1.78490293630829E-6</v>
      </c>
      <c r="G1166" s="4">
        <v>2.11688983323127E-5</v>
      </c>
      <c r="H1166" s="3" t="str">
        <f>"C7"</f>
        <v>C7</v>
      </c>
      <c r="I1166" s="3" t="str">
        <f t="shared" si="47"/>
        <v>protein_coding</v>
      </c>
    </row>
    <row r="1167" spans="1:9" x14ac:dyDescent="0.2">
      <c r="A1167" s="3" t="str">
        <f>"ENSG00000083720.13"</f>
        <v>ENSG00000083720.13</v>
      </c>
      <c r="B1167" s="3">
        <v>120.128866675986</v>
      </c>
      <c r="C1167" s="3">
        <v>-1.5530885837220501</v>
      </c>
      <c r="D1167" s="3">
        <v>0.40007155684684897</v>
      </c>
      <c r="E1167" s="3">
        <v>-3.8820269952772102</v>
      </c>
      <c r="F1167" s="3">
        <v>1.03589374380322E-4</v>
      </c>
      <c r="G1167" s="3">
        <v>8.3814432696590799E-4</v>
      </c>
      <c r="H1167" s="3" t="str">
        <f>"OXCT1"</f>
        <v>OXCT1</v>
      </c>
      <c r="I1167" s="3" t="str">
        <f t="shared" si="47"/>
        <v>protein_coding</v>
      </c>
    </row>
    <row r="1168" spans="1:9" x14ac:dyDescent="0.2">
      <c r="A1168" s="3" t="str">
        <f>"ENSG00000112972.15"</f>
        <v>ENSG00000112972.15</v>
      </c>
      <c r="B1168" s="3">
        <v>3066.5255361008199</v>
      </c>
      <c r="C1168" s="3">
        <v>-1.59352710373759</v>
      </c>
      <c r="D1168" s="3">
        <v>0.26171371338291999</v>
      </c>
      <c r="E1168" s="3">
        <v>-6.08881775104408</v>
      </c>
      <c r="F1168" s="4">
        <v>1.13747512799294E-9</v>
      </c>
      <c r="G1168" s="4">
        <v>2.2964034385764298E-8</v>
      </c>
      <c r="H1168" s="3" t="str">
        <f>"HMGCS1"</f>
        <v>HMGCS1</v>
      </c>
      <c r="I1168" s="3" t="str">
        <f t="shared" si="47"/>
        <v>protein_coding</v>
      </c>
    </row>
    <row r="1169" spans="1:9" x14ac:dyDescent="0.2">
      <c r="A1169" s="3" t="str">
        <f>"ENSG00000251141.5"</f>
        <v>ENSG00000251141.5</v>
      </c>
      <c r="B1169" s="3">
        <v>28.790232728794599</v>
      </c>
      <c r="C1169" s="3">
        <v>-1.6994201140212499</v>
      </c>
      <c r="D1169" s="3">
        <v>0.66121493834321199</v>
      </c>
      <c r="E1169" s="3">
        <v>-2.5701477923040299</v>
      </c>
      <c r="F1169" s="3">
        <v>1.01655136573522E-2</v>
      </c>
      <c r="G1169" s="3">
        <v>4.2854616398641403E-2</v>
      </c>
      <c r="H1169" s="3" t="str">
        <f>"MRPS30-DT"</f>
        <v>MRPS30-DT</v>
      </c>
      <c r="I1169" s="3" t="str">
        <f>"antisense"</f>
        <v>antisense</v>
      </c>
    </row>
    <row r="1170" spans="1:9" x14ac:dyDescent="0.2">
      <c r="A1170" s="3" t="str">
        <f>"ENSG00000151883.18"</f>
        <v>ENSG00000151883.18</v>
      </c>
      <c r="B1170" s="3">
        <v>83.197387476143504</v>
      </c>
      <c r="C1170" s="3">
        <v>-2.3775481210334002</v>
      </c>
      <c r="D1170" s="3">
        <v>0.48868540470973698</v>
      </c>
      <c r="E1170" s="3">
        <v>-4.8651915897622997</v>
      </c>
      <c r="F1170" s="4">
        <v>1.1434598678763199E-6</v>
      </c>
      <c r="G1170" s="4">
        <v>1.40860592440886E-5</v>
      </c>
      <c r="H1170" s="3" t="str">
        <f>"PARP8"</f>
        <v>PARP8</v>
      </c>
      <c r="I1170" s="3" t="str">
        <f>"protein_coding"</f>
        <v>protein_coding</v>
      </c>
    </row>
    <row r="1171" spans="1:9" x14ac:dyDescent="0.2">
      <c r="A1171" s="3" t="str">
        <f>"ENSG00000213949.9"</f>
        <v>ENSG00000213949.9</v>
      </c>
      <c r="B1171" s="3">
        <v>1813.6943258993099</v>
      </c>
      <c r="C1171" s="3">
        <v>-2.3317557728958902</v>
      </c>
      <c r="D1171" s="3">
        <v>0.28291325394690198</v>
      </c>
      <c r="E1171" s="3">
        <v>-8.2419460395217694</v>
      </c>
      <c r="F1171" s="4">
        <v>1.69431981895747E-16</v>
      </c>
      <c r="G1171" s="4">
        <v>7.1751877181607907E-15</v>
      </c>
      <c r="H1171" s="3" t="str">
        <f>"ITGA1"</f>
        <v>ITGA1</v>
      </c>
      <c r="I1171" s="3" t="str">
        <f>"protein_coding"</f>
        <v>protein_coding</v>
      </c>
    </row>
    <row r="1172" spans="1:9" x14ac:dyDescent="0.2">
      <c r="A1172" s="3" t="str">
        <f>"ENSG00000286048.1"</f>
        <v>ENSG00000286048.1</v>
      </c>
      <c r="B1172" s="3">
        <v>68.575262164727505</v>
      </c>
      <c r="C1172" s="3">
        <v>2.93051418242288</v>
      </c>
      <c r="D1172" s="3">
        <v>0.52242491195269303</v>
      </c>
      <c r="E1172" s="3">
        <v>5.6094457124361803</v>
      </c>
      <c r="F1172" s="4">
        <v>2.02975654266312E-8</v>
      </c>
      <c r="G1172" s="4">
        <v>3.3971075070319901E-7</v>
      </c>
      <c r="H1172" s="3" t="str">
        <f>"AC008966.3"</f>
        <v>AC008966.3</v>
      </c>
      <c r="I1172" s="3" t="str">
        <f>"antisense"</f>
        <v>antisense</v>
      </c>
    </row>
    <row r="1173" spans="1:9" x14ac:dyDescent="0.2">
      <c r="A1173" s="3" t="str">
        <f>"ENSG00000247796.2"</f>
        <v>ENSG00000247796.2</v>
      </c>
      <c r="B1173" s="3">
        <v>158.248341337314</v>
      </c>
      <c r="C1173" s="3">
        <v>1.38345714509045</v>
      </c>
      <c r="D1173" s="3">
        <v>0.34890479097293797</v>
      </c>
      <c r="E1173" s="3">
        <v>3.96514229922902</v>
      </c>
      <c r="F1173" s="4">
        <v>7.3352174782276798E-5</v>
      </c>
      <c r="G1173" s="3">
        <v>6.1752809794115497E-4</v>
      </c>
      <c r="H1173" s="3" t="str">
        <f>"AC008966.1"</f>
        <v>AC008966.1</v>
      </c>
      <c r="I1173" s="3" t="str">
        <f>"antisense"</f>
        <v>antisense</v>
      </c>
    </row>
    <row r="1174" spans="1:9" x14ac:dyDescent="0.2">
      <c r="A1174" s="3" t="str">
        <f>"ENSG00000134363.12"</f>
        <v>ENSG00000134363.12</v>
      </c>
      <c r="B1174" s="3">
        <v>3566.84128842364</v>
      </c>
      <c r="C1174" s="3">
        <v>-1.00325681652027</v>
      </c>
      <c r="D1174" s="3">
        <v>0.24837298899700699</v>
      </c>
      <c r="E1174" s="3">
        <v>-4.0393153078830197</v>
      </c>
      <c r="F1174" s="4">
        <v>5.3607460693849202E-5</v>
      </c>
      <c r="G1174" s="3">
        <v>4.67416178077566E-4</v>
      </c>
      <c r="H1174" s="3" t="str">
        <f>"FST"</f>
        <v>FST</v>
      </c>
      <c r="I1174" s="3" t="str">
        <f>"protein_coding"</f>
        <v>protein_coding</v>
      </c>
    </row>
    <row r="1175" spans="1:9" x14ac:dyDescent="0.2">
      <c r="A1175" s="3" t="str">
        <f>"ENSG00000234602.7"</f>
        <v>ENSG00000234602.7</v>
      </c>
      <c r="B1175" s="3">
        <v>18.696881346032299</v>
      </c>
      <c r="C1175" s="3">
        <v>-3.2297021076393402</v>
      </c>
      <c r="D1175" s="3">
        <v>0.95086571727906699</v>
      </c>
      <c r="E1175" s="3">
        <v>-3.3965911789113998</v>
      </c>
      <c r="F1175" s="3">
        <v>6.8230821571177197E-4</v>
      </c>
      <c r="G1175" s="3">
        <v>4.3963788847924202E-3</v>
      </c>
      <c r="H1175" s="3" t="str">
        <f>"MCIDAS"</f>
        <v>MCIDAS</v>
      </c>
      <c r="I1175" s="3" t="str">
        <f>"protein_coding"</f>
        <v>protein_coding</v>
      </c>
    </row>
    <row r="1176" spans="1:9" x14ac:dyDescent="0.2">
      <c r="A1176" s="3" t="str">
        <f>"ENSG00000152669.9"</f>
        <v>ENSG00000152669.9</v>
      </c>
      <c r="B1176" s="3">
        <v>34.515016493688996</v>
      </c>
      <c r="C1176" s="3">
        <v>-3.1087834366925802</v>
      </c>
      <c r="D1176" s="3">
        <v>0.70799706071780699</v>
      </c>
      <c r="E1176" s="3">
        <v>-4.3909552866514998</v>
      </c>
      <c r="F1176" s="4">
        <v>1.1285374821438701E-5</v>
      </c>
      <c r="G1176" s="3">
        <v>1.13960802054988E-4</v>
      </c>
      <c r="H1176" s="3" t="str">
        <f>"CCNO"</f>
        <v>CCNO</v>
      </c>
      <c r="I1176" s="3" t="str">
        <f>"protein_coding"</f>
        <v>protein_coding</v>
      </c>
    </row>
    <row r="1177" spans="1:9" x14ac:dyDescent="0.2">
      <c r="A1177" s="3" t="str">
        <f>"ENSG00000227908.3"</f>
        <v>ENSG00000227908.3</v>
      </c>
      <c r="B1177" s="3">
        <v>46.134299243344799</v>
      </c>
      <c r="C1177" s="3">
        <v>-1.5047461785606699</v>
      </c>
      <c r="D1177" s="3">
        <v>0.54660080623557405</v>
      </c>
      <c r="E1177" s="3">
        <v>-2.7529161343976298</v>
      </c>
      <c r="F1177" s="3">
        <v>5.9067025347347701E-3</v>
      </c>
      <c r="G1177" s="3">
        <v>2.7175473244670401E-2</v>
      </c>
      <c r="H1177" s="3" t="str">
        <f>"AC016596.1"</f>
        <v>AC016596.1</v>
      </c>
      <c r="I1177" s="3" t="str">
        <f>"antisense"</f>
        <v>antisense</v>
      </c>
    </row>
    <row r="1178" spans="1:9" x14ac:dyDescent="0.2">
      <c r="A1178" s="3" t="str">
        <f>"ENSG00000237705.1"</f>
        <v>ENSG00000237705.1</v>
      </c>
      <c r="B1178" s="3">
        <v>14.190593136593201</v>
      </c>
      <c r="C1178" s="3">
        <v>2.4658091261996198</v>
      </c>
      <c r="D1178" s="3">
        <v>0.96145766857925197</v>
      </c>
      <c r="E1178" s="3">
        <v>2.5646569857239299</v>
      </c>
      <c r="F1178" s="3">
        <v>1.0327784790834099E-2</v>
      </c>
      <c r="G1178" s="3">
        <v>4.3386009755082201E-2</v>
      </c>
      <c r="H1178" s="3" t="str">
        <f>"AC008937.2"</f>
        <v>AC008937.2</v>
      </c>
      <c r="I1178" s="3" t="str">
        <f>"antisense"</f>
        <v>antisense</v>
      </c>
    </row>
    <row r="1179" spans="1:9" x14ac:dyDescent="0.2">
      <c r="A1179" s="3" t="str">
        <f>"ENSG00000145632.15"</f>
        <v>ENSG00000145632.15</v>
      </c>
      <c r="B1179" s="3">
        <v>1659.5525191982899</v>
      </c>
      <c r="C1179" s="3">
        <v>5.2818883196777104</v>
      </c>
      <c r="D1179" s="3">
        <v>0.26738370629722302</v>
      </c>
      <c r="E1179" s="3">
        <v>19.753964790234299</v>
      </c>
      <c r="F1179" s="4">
        <v>7.4160650692797896E-87</v>
      </c>
      <c r="G1179" s="4">
        <v>7.1750429545281997E-84</v>
      </c>
      <c r="H1179" s="3" t="str">
        <f>"PLK2"</f>
        <v>PLK2</v>
      </c>
      <c r="I1179" s="3" t="str">
        <f>"protein_coding"</f>
        <v>protein_coding</v>
      </c>
    </row>
    <row r="1180" spans="1:9" x14ac:dyDescent="0.2">
      <c r="A1180" s="3" t="str">
        <f>"ENSG00000152931.7"</f>
        <v>ENSG00000152931.7</v>
      </c>
      <c r="B1180" s="3">
        <v>835.197204094271</v>
      </c>
      <c r="C1180" s="3">
        <v>-1.58995496021584</v>
      </c>
      <c r="D1180" s="3">
        <v>0.26248516871487998</v>
      </c>
      <c r="E1180" s="3">
        <v>-6.0573135160367899</v>
      </c>
      <c r="F1180" s="4">
        <v>1.38413658004151E-9</v>
      </c>
      <c r="G1180" s="4">
        <v>2.7567660863772102E-8</v>
      </c>
      <c r="H1180" s="3" t="str">
        <f>"PART1"</f>
        <v>PART1</v>
      </c>
      <c r="I1180" s="3" t="str">
        <f>"lincRNA"</f>
        <v>lincRNA</v>
      </c>
    </row>
    <row r="1181" spans="1:9" x14ac:dyDescent="0.2">
      <c r="A1181" s="3" t="str">
        <f>"ENSG00000035499.13"</f>
        <v>ENSG00000035499.13</v>
      </c>
      <c r="B1181" s="3">
        <v>1524.1404021258199</v>
      </c>
      <c r="C1181" s="3">
        <v>-1.03547062620691</v>
      </c>
      <c r="D1181" s="3">
        <v>0.25303979590545</v>
      </c>
      <c r="E1181" s="3">
        <v>-4.0921255982747402</v>
      </c>
      <c r="F1181" s="4">
        <v>4.2743702013211303E-5</v>
      </c>
      <c r="G1181" s="3">
        <v>3.80608079342418E-4</v>
      </c>
      <c r="H1181" s="3" t="str">
        <f>"DEPDC1B"</f>
        <v>DEPDC1B</v>
      </c>
      <c r="I1181" s="3" t="str">
        <f>"protein_coding"</f>
        <v>protein_coding</v>
      </c>
    </row>
    <row r="1182" spans="1:9" x14ac:dyDescent="0.2">
      <c r="A1182" s="3" t="str">
        <f>"ENSG00000164181.14"</f>
        <v>ENSG00000164181.14</v>
      </c>
      <c r="B1182" s="3">
        <v>434.14132044548001</v>
      </c>
      <c r="C1182" s="3">
        <v>-1.8079834773244701</v>
      </c>
      <c r="D1182" s="3">
        <v>0.293803102714223</v>
      </c>
      <c r="E1182" s="3">
        <v>-6.1537249287767501</v>
      </c>
      <c r="F1182" s="4">
        <v>7.5683908113246804E-10</v>
      </c>
      <c r="G1182" s="4">
        <v>1.5734121558584499E-8</v>
      </c>
      <c r="H1182" s="3" t="str">
        <f>"ELOVL7"</f>
        <v>ELOVL7</v>
      </c>
      <c r="I1182" s="3" t="str">
        <f>"protein_coding"</f>
        <v>protein_coding</v>
      </c>
    </row>
    <row r="1183" spans="1:9" x14ac:dyDescent="0.2">
      <c r="A1183" s="3" t="str">
        <f>"ENSG00000251682.1"</f>
        <v>ENSG00000251682.1</v>
      </c>
      <c r="B1183" s="3">
        <v>80.548100034010801</v>
      </c>
      <c r="C1183" s="3">
        <v>1.11861154314569</v>
      </c>
      <c r="D1183" s="3">
        <v>0.42924300680142602</v>
      </c>
      <c r="E1183" s="3">
        <v>2.6060099417372098</v>
      </c>
      <c r="F1183" s="3">
        <v>9.1603802758628092E-3</v>
      </c>
      <c r="G1183" s="3">
        <v>3.9281364937033297E-2</v>
      </c>
      <c r="H1183" s="3" t="str">
        <f>"AC122718.2"</f>
        <v>AC122718.2</v>
      </c>
      <c r="I1183" s="3" t="str">
        <f>"processed_pseudogene"</f>
        <v>processed_pseudogene</v>
      </c>
    </row>
    <row r="1184" spans="1:9" x14ac:dyDescent="0.2">
      <c r="A1184" s="3" t="str">
        <f>"ENSG00000049192.15"</f>
        <v>ENSG00000049192.15</v>
      </c>
      <c r="B1184" s="3">
        <v>779.84600985772704</v>
      </c>
      <c r="C1184" s="3">
        <v>2.1293369459892202</v>
      </c>
      <c r="D1184" s="3">
        <v>0.26814381270855198</v>
      </c>
      <c r="E1184" s="3">
        <v>7.9410258416203501</v>
      </c>
      <c r="F1184" s="4">
        <v>2.0051589068494101E-15</v>
      </c>
      <c r="G1184" s="4">
        <v>7.5849281656837406E-14</v>
      </c>
      <c r="H1184" s="3" t="str">
        <f>"ADAMTS6"</f>
        <v>ADAMTS6</v>
      </c>
      <c r="I1184" s="3" t="str">
        <f>"protein_coding"</f>
        <v>protein_coding</v>
      </c>
    </row>
    <row r="1185" spans="1:9" x14ac:dyDescent="0.2">
      <c r="A1185" s="3" t="str">
        <f>"ENSG00000069020.18"</f>
        <v>ENSG00000069020.18</v>
      </c>
      <c r="B1185" s="3">
        <v>3719.3978233032999</v>
      </c>
      <c r="C1185" s="3">
        <v>3.8186261897603</v>
      </c>
      <c r="D1185" s="3">
        <v>0.24647683173090101</v>
      </c>
      <c r="E1185" s="3">
        <v>15.4928402923055</v>
      </c>
      <c r="F1185" s="4">
        <v>3.8777374593130799E-54</v>
      </c>
      <c r="G1185" s="4">
        <v>1.1212009860807E-51</v>
      </c>
      <c r="H1185" s="3" t="str">
        <f>"MAST4"</f>
        <v>MAST4</v>
      </c>
      <c r="I1185" s="3" t="str">
        <f>"protein_coding"</f>
        <v>protein_coding</v>
      </c>
    </row>
    <row r="1186" spans="1:9" x14ac:dyDescent="0.2">
      <c r="A1186" s="3" t="str">
        <f>"ENSG00000248803.1"</f>
        <v>ENSG00000248803.1</v>
      </c>
      <c r="B1186" s="3">
        <v>51.099164565581098</v>
      </c>
      <c r="C1186" s="3">
        <v>6.1411884207206198</v>
      </c>
      <c r="D1186" s="3">
        <v>0.97258169822066798</v>
      </c>
      <c r="E1186" s="3">
        <v>6.3143162491705196</v>
      </c>
      <c r="F1186" s="4">
        <v>2.7135852587022402E-10</v>
      </c>
      <c r="G1186" s="4">
        <v>5.9511976619576898E-9</v>
      </c>
      <c r="H1186" s="3" t="str">
        <f>"AC092349.1"</f>
        <v>AC092349.1</v>
      </c>
      <c r="I1186" s="3" t="str">
        <f>"processed_pseudogene"</f>
        <v>processed_pseudogene</v>
      </c>
    </row>
    <row r="1187" spans="1:9" x14ac:dyDescent="0.2">
      <c r="A1187" s="3" t="str">
        <f>"ENSG00000249057.1"</f>
        <v>ENSG00000249057.1</v>
      </c>
      <c r="B1187" s="3">
        <v>56.216830994075103</v>
      </c>
      <c r="C1187" s="3">
        <v>5.5535184121290397</v>
      </c>
      <c r="D1187" s="3">
        <v>0.82233596502215101</v>
      </c>
      <c r="E1187" s="3">
        <v>6.7533449202595</v>
      </c>
      <c r="F1187" s="4">
        <v>1.44474919760051E-11</v>
      </c>
      <c r="G1187" s="4">
        <v>3.6415497059760298E-10</v>
      </c>
      <c r="H1187" s="3" t="str">
        <f>"MAST4-IT1"</f>
        <v>MAST4-IT1</v>
      </c>
      <c r="I1187" s="3" t="str">
        <f>"sense_intronic"</f>
        <v>sense_intronic</v>
      </c>
    </row>
    <row r="1188" spans="1:9" x14ac:dyDescent="0.2">
      <c r="A1188" s="3" t="str">
        <f>"ENSG00000153044.10"</f>
        <v>ENSG00000153044.10</v>
      </c>
      <c r="B1188" s="3">
        <v>634.53177478546797</v>
      </c>
      <c r="C1188" s="3">
        <v>-1.27368971143062</v>
      </c>
      <c r="D1188" s="3">
        <v>0.272167052048641</v>
      </c>
      <c r="E1188" s="3">
        <v>-4.6798086022660303</v>
      </c>
      <c r="F1188" s="4">
        <v>2.8714284953592998E-6</v>
      </c>
      <c r="G1188" s="4">
        <v>3.2862583766062398E-5</v>
      </c>
      <c r="H1188" s="3" t="str">
        <f>"CENPH"</f>
        <v>CENPH</v>
      </c>
      <c r="I1188" s="3" t="str">
        <f>"protein_coding"</f>
        <v>protein_coding</v>
      </c>
    </row>
    <row r="1189" spans="1:9" x14ac:dyDescent="0.2">
      <c r="A1189" s="3" t="str">
        <f>"ENSG00000183323.12"</f>
        <v>ENSG00000183323.12</v>
      </c>
      <c r="B1189" s="3">
        <v>540.20860119658801</v>
      </c>
      <c r="C1189" s="3">
        <v>1.5169413855528</v>
      </c>
      <c r="D1189" s="3">
        <v>0.26995795509971598</v>
      </c>
      <c r="E1189" s="3">
        <v>5.6191764565429203</v>
      </c>
      <c r="F1189" s="4">
        <v>1.9186981977995499E-8</v>
      </c>
      <c r="G1189" s="4">
        <v>3.2436057234978298E-7</v>
      </c>
      <c r="H1189" s="3" t="str">
        <f>"CCDC125"</f>
        <v>CCDC125</v>
      </c>
      <c r="I1189" s="3" t="str">
        <f>"protein_coding"</f>
        <v>protein_coding</v>
      </c>
    </row>
    <row r="1190" spans="1:9" x14ac:dyDescent="0.2">
      <c r="A1190" s="3" t="str">
        <f>"ENSG00000152939.16"</f>
        <v>ENSG00000152939.16</v>
      </c>
      <c r="B1190" s="3">
        <v>2658.7228670212298</v>
      </c>
      <c r="C1190" s="3">
        <v>1.6303119419193399</v>
      </c>
      <c r="D1190" s="3">
        <v>0.243874619819337</v>
      </c>
      <c r="E1190" s="3">
        <v>6.6850414492786401</v>
      </c>
      <c r="F1190" s="4">
        <v>2.3085929266870099E-11</v>
      </c>
      <c r="G1190" s="4">
        <v>5.6989847959579604E-10</v>
      </c>
      <c r="H1190" s="3" t="str">
        <f>"MARVELD2"</f>
        <v>MARVELD2</v>
      </c>
      <c r="I1190" s="3" t="str">
        <f>"protein_coding"</f>
        <v>protein_coding</v>
      </c>
    </row>
    <row r="1191" spans="1:9" x14ac:dyDescent="0.2">
      <c r="A1191" s="3" t="str">
        <f>"ENSG00000205571.13"</f>
        <v>ENSG00000205571.13</v>
      </c>
      <c r="B1191" s="3">
        <v>989.93847139750301</v>
      </c>
      <c r="C1191" s="3">
        <v>1.06966188322442</v>
      </c>
      <c r="D1191" s="3">
        <v>0.25181766774060499</v>
      </c>
      <c r="E1191" s="3">
        <v>4.2477634425804904</v>
      </c>
      <c r="F1191" s="4">
        <v>2.1591519998776101E-5</v>
      </c>
      <c r="G1191" s="3">
        <v>2.05033856387019E-4</v>
      </c>
      <c r="H1191" s="3" t="str">
        <f>"SMN2"</f>
        <v>SMN2</v>
      </c>
      <c r="I1191" s="3" t="str">
        <f>"protein_coding"</f>
        <v>protein_coding</v>
      </c>
    </row>
    <row r="1192" spans="1:9" x14ac:dyDescent="0.2">
      <c r="A1192" s="3" t="str">
        <f>"ENSG00000271926.1"</f>
        <v>ENSG00000271926.1</v>
      </c>
      <c r="B1192" s="3">
        <v>20.627819375168698</v>
      </c>
      <c r="C1192" s="3">
        <v>3.26654022778362</v>
      </c>
      <c r="D1192" s="3">
        <v>0.891858580168301</v>
      </c>
      <c r="E1192" s="3">
        <v>3.66262129492234</v>
      </c>
      <c r="F1192" s="3">
        <v>2.4964747757798798E-4</v>
      </c>
      <c r="G1192" s="3">
        <v>1.8160446207270899E-3</v>
      </c>
      <c r="H1192" s="3" t="str">
        <f>"AC008972.1"</f>
        <v>AC008972.1</v>
      </c>
      <c r="I1192" s="3" t="str">
        <f>"lincRNA"</f>
        <v>lincRNA</v>
      </c>
    </row>
    <row r="1193" spans="1:9" x14ac:dyDescent="0.2">
      <c r="A1193" s="3" t="str">
        <f>"ENSG00000272081.1"</f>
        <v>ENSG00000272081.1</v>
      </c>
      <c r="B1193" s="3">
        <v>44.562821170792098</v>
      </c>
      <c r="C1193" s="3">
        <v>2.9355857297663999</v>
      </c>
      <c r="D1193" s="3">
        <v>0.594867067047263</v>
      </c>
      <c r="E1193" s="3">
        <v>4.9348600593032401</v>
      </c>
      <c r="F1193" s="4">
        <v>8.0208248357677798E-7</v>
      </c>
      <c r="G1193" s="4">
        <v>1.0231432492076001E-5</v>
      </c>
      <c r="H1193" s="3" t="str">
        <f>"AC008972.2"</f>
        <v>AC008972.2</v>
      </c>
      <c r="I1193" s="3" t="str">
        <f>"lincRNA"</f>
        <v>lincRNA</v>
      </c>
    </row>
    <row r="1194" spans="1:9" x14ac:dyDescent="0.2">
      <c r="A1194" s="3" t="str">
        <f>"ENSG00000157107.14"</f>
        <v>ENSG00000157107.14</v>
      </c>
      <c r="B1194" s="3">
        <v>1532.7243714380199</v>
      </c>
      <c r="C1194" s="3">
        <v>1.7986705970791199</v>
      </c>
      <c r="D1194" s="3">
        <v>0.263691349389852</v>
      </c>
      <c r="E1194" s="3">
        <v>6.8211209857320503</v>
      </c>
      <c r="F1194" s="4">
        <v>9.0332822885162804E-12</v>
      </c>
      <c r="G1194" s="4">
        <v>2.3329796300577698E-10</v>
      </c>
      <c r="H1194" s="3" t="str">
        <f>"FCHO2"</f>
        <v>FCHO2</v>
      </c>
      <c r="I1194" s="3" t="str">
        <f>"protein_coding"</f>
        <v>protein_coding</v>
      </c>
    </row>
    <row r="1195" spans="1:9" x14ac:dyDescent="0.2">
      <c r="A1195" s="3" t="str">
        <f>"ENSG00000251467.1"</f>
        <v>ENSG00000251467.1</v>
      </c>
      <c r="B1195" s="3">
        <v>41.095151881491297</v>
      </c>
      <c r="C1195" s="3">
        <v>1.8142225825670699</v>
      </c>
      <c r="D1195" s="3">
        <v>0.58185019243710101</v>
      </c>
      <c r="E1195" s="3">
        <v>3.11802351558591</v>
      </c>
      <c r="F1195" s="3">
        <v>1.8206827606774801E-3</v>
      </c>
      <c r="G1195" s="3">
        <v>1.0125862225258001E-2</v>
      </c>
      <c r="H1195" s="3" t="str">
        <f>"AC020893.2"</f>
        <v>AC020893.2</v>
      </c>
      <c r="I1195" s="3" t="str">
        <f>"processed_pseudogene"</f>
        <v>processed_pseudogene</v>
      </c>
    </row>
    <row r="1196" spans="1:9" x14ac:dyDescent="0.2">
      <c r="A1196" s="3" t="str">
        <f>"ENSG00000164331.10"</f>
        <v>ENSG00000164331.10</v>
      </c>
      <c r="B1196" s="3">
        <v>2561.9204481049301</v>
      </c>
      <c r="C1196" s="3">
        <v>2.94737577994337</v>
      </c>
      <c r="D1196" s="3">
        <v>0.26004940446179298</v>
      </c>
      <c r="E1196" s="3">
        <v>11.3339070552511</v>
      </c>
      <c r="F1196" s="4">
        <v>8.9137882529551802E-30</v>
      </c>
      <c r="G1196" s="4">
        <v>9.0050740362685695E-28</v>
      </c>
      <c r="H1196" s="3" t="str">
        <f>"ANKRA2"</f>
        <v>ANKRA2</v>
      </c>
      <c r="I1196" s="3" t="str">
        <f>"protein_coding"</f>
        <v>protein_coding</v>
      </c>
    </row>
    <row r="1197" spans="1:9" x14ac:dyDescent="0.2">
      <c r="A1197" s="3" t="str">
        <f>"ENSG00000214944.9"</f>
        <v>ENSG00000214944.9</v>
      </c>
      <c r="B1197" s="3">
        <v>2568.6146471533798</v>
      </c>
      <c r="C1197" s="3">
        <v>1.3320257421794199</v>
      </c>
      <c r="D1197" s="3">
        <v>0.23799445139120701</v>
      </c>
      <c r="E1197" s="3">
        <v>5.5968772985799102</v>
      </c>
      <c r="F1197" s="4">
        <v>2.18247053516375E-8</v>
      </c>
      <c r="G1197" s="4">
        <v>3.6430024095583298E-7</v>
      </c>
      <c r="H1197" s="3" t="str">
        <f>"ARHGEF28"</f>
        <v>ARHGEF28</v>
      </c>
      <c r="I1197" s="3" t="str">
        <f>"protein_coding"</f>
        <v>protein_coding</v>
      </c>
    </row>
    <row r="1198" spans="1:9" x14ac:dyDescent="0.2">
      <c r="A1198" s="3" t="str">
        <f>"ENSG00000198780.12"</f>
        <v>ENSG00000198780.12</v>
      </c>
      <c r="B1198" s="3">
        <v>6364.9796634021804</v>
      </c>
      <c r="C1198" s="3">
        <v>1.49876156634303</v>
      </c>
      <c r="D1198" s="3">
        <v>0.25402879761783698</v>
      </c>
      <c r="E1198" s="3">
        <v>5.8999671706425199</v>
      </c>
      <c r="F1198" s="4">
        <v>3.6357390771343599E-9</v>
      </c>
      <c r="G1198" s="4">
        <v>6.8507128453419404E-8</v>
      </c>
      <c r="H1198" s="3" t="str">
        <f>"FAM169A"</f>
        <v>FAM169A</v>
      </c>
      <c r="I1198" s="3" t="str">
        <f>"protein_coding"</f>
        <v>protein_coding</v>
      </c>
    </row>
    <row r="1199" spans="1:9" x14ac:dyDescent="0.2">
      <c r="A1199" s="3" t="str">
        <f>"ENSG00000271714.1"</f>
        <v>ENSG00000271714.1</v>
      </c>
      <c r="B1199" s="3">
        <v>146.640040476487</v>
      </c>
      <c r="C1199" s="3">
        <v>2.05623150256059</v>
      </c>
      <c r="D1199" s="3">
        <v>0.37170436182339001</v>
      </c>
      <c r="E1199" s="3">
        <v>5.53190038576298</v>
      </c>
      <c r="F1199" s="4">
        <v>3.1677979953769902E-8</v>
      </c>
      <c r="G1199" s="4">
        <v>5.14434851992951E-7</v>
      </c>
      <c r="H1199" s="3" t="str">
        <f>"AC010501.1"</f>
        <v>AC010501.1</v>
      </c>
      <c r="I1199" s="3" t="str">
        <f>"antisense"</f>
        <v>antisense</v>
      </c>
    </row>
    <row r="1200" spans="1:9" x14ac:dyDescent="0.2">
      <c r="A1200" s="3" t="str">
        <f>"ENSG00000164251.5"</f>
        <v>ENSG00000164251.5</v>
      </c>
      <c r="B1200" s="3">
        <v>498.26471266938597</v>
      </c>
      <c r="C1200" s="3">
        <v>-1.01612529147925</v>
      </c>
      <c r="D1200" s="3">
        <v>0.28300715004232202</v>
      </c>
      <c r="E1200" s="3">
        <v>-3.59045801961997</v>
      </c>
      <c r="F1200" s="3">
        <v>3.3009739521343902E-4</v>
      </c>
      <c r="G1200" s="3">
        <v>2.3298540899534398E-3</v>
      </c>
      <c r="H1200" s="3" t="str">
        <f>"F2RL1"</f>
        <v>F2RL1</v>
      </c>
      <c r="I1200" s="3" t="str">
        <f>"protein_coding"</f>
        <v>protein_coding</v>
      </c>
    </row>
    <row r="1201" spans="1:9" x14ac:dyDescent="0.2">
      <c r="A1201" s="3" t="str">
        <f>"ENSG00000132846.6"</f>
        <v>ENSG00000132846.6</v>
      </c>
      <c r="B1201" s="3">
        <v>680.03485557858301</v>
      </c>
      <c r="C1201" s="3">
        <v>-1.5691059709341</v>
      </c>
      <c r="D1201" s="3">
        <v>0.27103484772384601</v>
      </c>
      <c r="E1201" s="3">
        <v>-5.7893144889355304</v>
      </c>
      <c r="F1201" s="4">
        <v>7.06742641020779E-9</v>
      </c>
      <c r="G1201" s="4">
        <v>1.2790008010703399E-7</v>
      </c>
      <c r="H1201" s="3" t="str">
        <f>"ZBED3"</f>
        <v>ZBED3</v>
      </c>
      <c r="I1201" s="3" t="str">
        <f>"protein_coding"</f>
        <v>protein_coding</v>
      </c>
    </row>
    <row r="1202" spans="1:9" x14ac:dyDescent="0.2">
      <c r="A1202" s="3" t="str">
        <f>"ENSG00000164253.14"</f>
        <v>ENSG00000164253.14</v>
      </c>
      <c r="B1202" s="3">
        <v>1390.33540445113</v>
      </c>
      <c r="C1202" s="3">
        <v>1.14238016357405</v>
      </c>
      <c r="D1202" s="3">
        <v>0.257500101812564</v>
      </c>
      <c r="E1202" s="3">
        <v>4.4364260655927596</v>
      </c>
      <c r="F1202" s="4">
        <v>9.1464729351216104E-6</v>
      </c>
      <c r="G1202" s="4">
        <v>9.4605068537411199E-5</v>
      </c>
      <c r="H1202" s="3" t="str">
        <f>"WDR41"</f>
        <v>WDR41</v>
      </c>
      <c r="I1202" s="3" t="str">
        <f>"protein_coding"</f>
        <v>protein_coding</v>
      </c>
    </row>
    <row r="1203" spans="1:9" x14ac:dyDescent="0.2">
      <c r="A1203" s="3" t="str">
        <f>"ENSG00000244019.1"</f>
        <v>ENSG00000244019.1</v>
      </c>
      <c r="B1203" s="3">
        <v>7.4979650617858402</v>
      </c>
      <c r="C1203" s="3">
        <v>4.9513325202612402</v>
      </c>
      <c r="D1203" s="3">
        <v>1.8102976350386699</v>
      </c>
      <c r="E1203" s="3">
        <v>2.7350930722259199</v>
      </c>
      <c r="F1203" s="3">
        <v>6.2362640280887397E-3</v>
      </c>
      <c r="G1203" s="3">
        <v>2.8460308713093699E-2</v>
      </c>
      <c r="H1203" s="3" t="str">
        <f>"RPS2P24"</f>
        <v>RPS2P24</v>
      </c>
      <c r="I1203" s="3" t="str">
        <f>"processed_pseudogene"</f>
        <v>processed_pseudogene</v>
      </c>
    </row>
    <row r="1204" spans="1:9" x14ac:dyDescent="0.2">
      <c r="A1204" s="3" t="str">
        <f>"ENSG00000171540.7"</f>
        <v>ENSG00000171540.7</v>
      </c>
      <c r="B1204" s="3">
        <v>147.98113150310499</v>
      </c>
      <c r="C1204" s="3">
        <v>6.2810082587340998</v>
      </c>
      <c r="D1204" s="3">
        <v>0.62139365631244103</v>
      </c>
      <c r="E1204" s="3">
        <v>10.107937528695899</v>
      </c>
      <c r="F1204" s="4">
        <v>5.0945453531098096E-24</v>
      </c>
      <c r="G1204" s="4">
        <v>3.6615225244993498E-22</v>
      </c>
      <c r="H1204" s="3" t="str">
        <f>"OTP"</f>
        <v>OTP</v>
      </c>
      <c r="I1204" s="3" t="str">
        <f>"protein_coding"</f>
        <v>protein_coding</v>
      </c>
    </row>
    <row r="1205" spans="1:9" x14ac:dyDescent="0.2">
      <c r="A1205" s="3" t="str">
        <f>"ENSG00000253558.1"</f>
        <v>ENSG00000253558.1</v>
      </c>
      <c r="B1205" s="3">
        <v>26.705245447739301</v>
      </c>
      <c r="C1205" s="3">
        <v>1.7319439709784701</v>
      </c>
      <c r="D1205" s="3">
        <v>0.67837859383379595</v>
      </c>
      <c r="E1205" s="3">
        <v>2.5530640069146999</v>
      </c>
      <c r="F1205" s="3">
        <v>1.06779871346902E-2</v>
      </c>
      <c r="G1205" s="3">
        <v>4.4589104643614298E-2</v>
      </c>
      <c r="H1205" s="3" t="str">
        <f>"AC024568.1"</f>
        <v>AC024568.1</v>
      </c>
      <c r="I1205" s="3" t="str">
        <f>"transcribed_processed_pseudogene"</f>
        <v>transcribed_processed_pseudogene</v>
      </c>
    </row>
    <row r="1206" spans="1:9" x14ac:dyDescent="0.2">
      <c r="A1206" s="3" t="str">
        <f>"ENSG00000113273.17"</f>
        <v>ENSG00000113273.17</v>
      </c>
      <c r="B1206" s="3">
        <v>2821.7554936608599</v>
      </c>
      <c r="C1206" s="3">
        <v>-1.1219802505940799</v>
      </c>
      <c r="D1206" s="3">
        <v>0.25068719170270898</v>
      </c>
      <c r="E1206" s="3">
        <v>-4.4756185705915001</v>
      </c>
      <c r="F1206" s="4">
        <v>7.6190400799186899E-6</v>
      </c>
      <c r="G1206" s="4">
        <v>8.0528131600989301E-5</v>
      </c>
      <c r="H1206" s="3" t="str">
        <f>"ARSB"</f>
        <v>ARSB</v>
      </c>
      <c r="I1206" s="3" t="str">
        <f t="shared" ref="I1206:I1214" si="48">"protein_coding"</f>
        <v>protein_coding</v>
      </c>
    </row>
    <row r="1207" spans="1:9" x14ac:dyDescent="0.2">
      <c r="A1207" s="3" t="str">
        <f>"ENSG00000132840.10"</f>
        <v>ENSG00000132840.10</v>
      </c>
      <c r="B1207" s="3">
        <v>593.35335628122698</v>
      </c>
      <c r="C1207" s="3">
        <v>-1.54614067102736</v>
      </c>
      <c r="D1207" s="3">
        <v>0.28248717568116</v>
      </c>
      <c r="E1207" s="3">
        <v>-5.4733127877368704</v>
      </c>
      <c r="F1207" s="4">
        <v>4.4169947683602497E-8</v>
      </c>
      <c r="G1207" s="4">
        <v>6.9995609129661202E-7</v>
      </c>
      <c r="H1207" s="3" t="str">
        <f>"BHMT2"</f>
        <v>BHMT2</v>
      </c>
      <c r="I1207" s="3" t="str">
        <f t="shared" si="48"/>
        <v>protein_coding</v>
      </c>
    </row>
    <row r="1208" spans="1:9" x14ac:dyDescent="0.2">
      <c r="A1208" s="3" t="str">
        <f>"ENSG00000145692.15"</f>
        <v>ENSG00000145692.15</v>
      </c>
      <c r="B1208" s="3">
        <v>40.8720238833968</v>
      </c>
      <c r="C1208" s="3">
        <v>-1.75337205733859</v>
      </c>
      <c r="D1208" s="3">
        <v>0.56904460323896899</v>
      </c>
      <c r="E1208" s="3">
        <v>-3.0812559285484902</v>
      </c>
      <c r="F1208" s="3">
        <v>2.0612939151944299E-3</v>
      </c>
      <c r="G1208" s="3">
        <v>1.12379385428513E-2</v>
      </c>
      <c r="H1208" s="3" t="str">
        <f>"BHMT"</f>
        <v>BHMT</v>
      </c>
      <c r="I1208" s="3" t="str">
        <f t="shared" si="48"/>
        <v>protein_coding</v>
      </c>
    </row>
    <row r="1209" spans="1:9" x14ac:dyDescent="0.2">
      <c r="A1209" s="3" t="str">
        <f>"ENSG00000228716.7"</f>
        <v>ENSG00000228716.7</v>
      </c>
      <c r="B1209" s="3">
        <v>2794.8238490102899</v>
      </c>
      <c r="C1209" s="3">
        <v>-1.5956193836421799</v>
      </c>
      <c r="D1209" s="3">
        <v>0.24520045147696401</v>
      </c>
      <c r="E1209" s="3">
        <v>-6.5074080167103103</v>
      </c>
      <c r="F1209" s="4">
        <v>7.6458538533604206E-11</v>
      </c>
      <c r="G1209" s="4">
        <v>1.77919938650584E-9</v>
      </c>
      <c r="H1209" s="3" t="str">
        <f>"DHFR"</f>
        <v>DHFR</v>
      </c>
      <c r="I1209" s="3" t="str">
        <f t="shared" si="48"/>
        <v>protein_coding</v>
      </c>
    </row>
    <row r="1210" spans="1:9" x14ac:dyDescent="0.2">
      <c r="A1210" s="3" t="str">
        <f>"ENSG00000176055.10"</f>
        <v>ENSG00000176055.10</v>
      </c>
      <c r="B1210" s="3">
        <v>425.90488461586602</v>
      </c>
      <c r="C1210" s="3">
        <v>-1.0363969600354099</v>
      </c>
      <c r="D1210" s="3">
        <v>0.28323930757799198</v>
      </c>
      <c r="E1210" s="3">
        <v>-3.6590859118310499</v>
      </c>
      <c r="F1210" s="3">
        <v>2.5311648149388199E-4</v>
      </c>
      <c r="G1210" s="3">
        <v>1.83862116430222E-3</v>
      </c>
      <c r="H1210" s="3" t="str">
        <f>"MBLAC2"</f>
        <v>MBLAC2</v>
      </c>
      <c r="I1210" s="3" t="str">
        <f t="shared" si="48"/>
        <v>protein_coding</v>
      </c>
    </row>
    <row r="1211" spans="1:9" x14ac:dyDescent="0.2">
      <c r="A1211" s="3" t="str">
        <f>"ENSG00000113356.12"</f>
        <v>ENSG00000113356.12</v>
      </c>
      <c r="B1211" s="3">
        <v>187.95861134278201</v>
      </c>
      <c r="C1211" s="3">
        <v>-1.57475358731226</v>
      </c>
      <c r="D1211" s="3">
        <v>0.34881382230454899</v>
      </c>
      <c r="E1211" s="3">
        <v>-4.5145962878080503</v>
      </c>
      <c r="F1211" s="4">
        <v>6.3437495047448697E-6</v>
      </c>
      <c r="G1211" s="4">
        <v>6.8137070363730699E-5</v>
      </c>
      <c r="H1211" s="3" t="str">
        <f>"POLR3G"</f>
        <v>POLR3G</v>
      </c>
      <c r="I1211" s="3" t="str">
        <f t="shared" si="48"/>
        <v>protein_coding</v>
      </c>
    </row>
    <row r="1212" spans="1:9" x14ac:dyDescent="0.2">
      <c r="A1212" s="3" t="str">
        <f>"ENSG00000175745.13"</f>
        <v>ENSG00000175745.13</v>
      </c>
      <c r="B1212" s="3">
        <v>703.99156843829405</v>
      </c>
      <c r="C1212" s="3">
        <v>-1.1066755619248001</v>
      </c>
      <c r="D1212" s="3">
        <v>0.26855844128922601</v>
      </c>
      <c r="E1212" s="3">
        <v>-4.1207997656381901</v>
      </c>
      <c r="F1212" s="4">
        <v>3.7755946373226902E-5</v>
      </c>
      <c r="G1212" s="3">
        <v>3.4029051630903701E-4</v>
      </c>
      <c r="H1212" s="3" t="str">
        <f>"NR2F1"</f>
        <v>NR2F1</v>
      </c>
      <c r="I1212" s="3" t="str">
        <f t="shared" si="48"/>
        <v>protein_coding</v>
      </c>
    </row>
    <row r="1213" spans="1:9" x14ac:dyDescent="0.2">
      <c r="A1213" s="3" t="str">
        <f>"ENSG00000248483.6"</f>
        <v>ENSG00000248483.6</v>
      </c>
      <c r="B1213" s="3">
        <v>133.512540974757</v>
      </c>
      <c r="C1213" s="3">
        <v>1.0447162166877599</v>
      </c>
      <c r="D1213" s="3">
        <v>0.376703367285181</v>
      </c>
      <c r="E1213" s="3">
        <v>2.7733126576935101</v>
      </c>
      <c r="F1213" s="3">
        <v>5.5488779762452103E-3</v>
      </c>
      <c r="G1213" s="3">
        <v>2.58007440836318E-2</v>
      </c>
      <c r="H1213" s="3" t="str">
        <f>"POU5F2"</f>
        <v>POU5F2</v>
      </c>
      <c r="I1213" s="3" t="str">
        <f t="shared" si="48"/>
        <v>protein_coding</v>
      </c>
    </row>
    <row r="1214" spans="1:9" x14ac:dyDescent="0.2">
      <c r="A1214" s="3" t="str">
        <f>"ENSG00000133302.13"</f>
        <v>ENSG00000133302.13</v>
      </c>
      <c r="B1214" s="3">
        <v>617.75590928485201</v>
      </c>
      <c r="C1214" s="3">
        <v>-1.0795048247827299</v>
      </c>
      <c r="D1214" s="3">
        <v>0.298482864610712</v>
      </c>
      <c r="E1214" s="3">
        <v>-3.6166391869451102</v>
      </c>
      <c r="F1214" s="3">
        <v>2.9845286587591599E-4</v>
      </c>
      <c r="G1214" s="3">
        <v>2.13465505860355E-3</v>
      </c>
      <c r="H1214" s="3" t="str">
        <f>"SLF1"</f>
        <v>SLF1</v>
      </c>
      <c r="I1214" s="3" t="str">
        <f t="shared" si="48"/>
        <v>protein_coding</v>
      </c>
    </row>
    <row r="1215" spans="1:9" x14ac:dyDescent="0.2">
      <c r="A1215" s="3" t="str">
        <f>"ENSG00000251348.1"</f>
        <v>ENSG00000251348.1</v>
      </c>
      <c r="B1215" s="3">
        <v>143.26391708865401</v>
      </c>
      <c r="C1215" s="3">
        <v>1.0411467245719701</v>
      </c>
      <c r="D1215" s="3">
        <v>0.38469302716888998</v>
      </c>
      <c r="E1215" s="3">
        <v>2.7064351340968802</v>
      </c>
      <c r="F1215" s="3">
        <v>6.8009867351364597E-3</v>
      </c>
      <c r="G1215" s="3">
        <v>3.0541657029632401E-2</v>
      </c>
      <c r="H1215" s="3" t="str">
        <f>"HSPD1P11"</f>
        <v>HSPD1P11</v>
      </c>
      <c r="I1215" s="3" t="str">
        <f>"processed_pseudogene"</f>
        <v>processed_pseudogene</v>
      </c>
    </row>
    <row r="1216" spans="1:9" x14ac:dyDescent="0.2">
      <c r="A1216" s="3" t="str">
        <f>"ENSG00000164308.16"</f>
        <v>ENSG00000164308.16</v>
      </c>
      <c r="B1216" s="3">
        <v>1389.62400387086</v>
      </c>
      <c r="C1216" s="3">
        <v>-1.3560874177417399</v>
      </c>
      <c r="D1216" s="3">
        <v>0.28300649705554698</v>
      </c>
      <c r="E1216" s="3">
        <v>-4.7917183239633196</v>
      </c>
      <c r="F1216" s="4">
        <v>1.6535894896017801E-6</v>
      </c>
      <c r="G1216" s="4">
        <v>1.9704426153923601E-5</v>
      </c>
      <c r="H1216" s="3" t="str">
        <f>"ERAP2"</f>
        <v>ERAP2</v>
      </c>
      <c r="I1216" s="3" t="str">
        <f>"protein_coding"</f>
        <v>protein_coding</v>
      </c>
    </row>
    <row r="1217" spans="1:9" x14ac:dyDescent="0.2">
      <c r="A1217" s="3" t="str">
        <f>"ENSG00000279232.2"</f>
        <v>ENSG00000279232.2</v>
      </c>
      <c r="B1217" s="3">
        <v>30.426356732779599</v>
      </c>
      <c r="C1217" s="3">
        <v>3.4426277594508998</v>
      </c>
      <c r="D1217" s="3">
        <v>0.74732464192219705</v>
      </c>
      <c r="E1217" s="3">
        <v>4.6066027618146101</v>
      </c>
      <c r="F1217" s="4">
        <v>4.0930083447895298E-6</v>
      </c>
      <c r="G1217" s="4">
        <v>4.57395046260243E-5</v>
      </c>
      <c r="H1217" s="3" t="str">
        <f>"AC008522.1"</f>
        <v>AC008522.1</v>
      </c>
      <c r="I1217" s="3" t="str">
        <f>"antisense"</f>
        <v>antisense</v>
      </c>
    </row>
    <row r="1218" spans="1:9" x14ac:dyDescent="0.2">
      <c r="A1218" s="3" t="str">
        <f>"ENSG00000173930.9"</f>
        <v>ENSG00000173930.9</v>
      </c>
      <c r="B1218" s="3">
        <v>34.168847209708701</v>
      </c>
      <c r="C1218" s="3">
        <v>-2.4769178563811098</v>
      </c>
      <c r="D1218" s="3">
        <v>0.68251473940059504</v>
      </c>
      <c r="E1218" s="3">
        <v>-3.6291052975008502</v>
      </c>
      <c r="F1218" s="3">
        <v>2.8440522317609203E-4</v>
      </c>
      <c r="G1218" s="3">
        <v>2.0440609682841702E-3</v>
      </c>
      <c r="H1218" s="3" t="str">
        <f>"SLCO4C1"</f>
        <v>SLCO4C1</v>
      </c>
      <c r="I1218" s="3" t="str">
        <f t="shared" ref="I1218:I1229" si="49">"protein_coding"</f>
        <v>protein_coding</v>
      </c>
    </row>
    <row r="1219" spans="1:9" x14ac:dyDescent="0.2">
      <c r="A1219" s="3" t="str">
        <f>"ENSG00000181751.10"</f>
        <v>ENSG00000181751.10</v>
      </c>
      <c r="B1219" s="3">
        <v>180.80554602201201</v>
      </c>
      <c r="C1219" s="3">
        <v>-2.5469411555956598</v>
      </c>
      <c r="D1219" s="3">
        <v>0.36332142787054</v>
      </c>
      <c r="E1219" s="3">
        <v>-7.0101594902439803</v>
      </c>
      <c r="F1219" s="4">
        <v>2.3804660948170499E-12</v>
      </c>
      <c r="G1219" s="4">
        <v>6.5730652705952696E-11</v>
      </c>
      <c r="H1219" s="3" t="str">
        <f>"C5orf30"</f>
        <v>C5orf30</v>
      </c>
      <c r="I1219" s="3" t="str">
        <f t="shared" si="49"/>
        <v>protein_coding</v>
      </c>
    </row>
    <row r="1220" spans="1:9" x14ac:dyDescent="0.2">
      <c r="A1220" s="3" t="str">
        <f>"ENSG00000171444.18"</f>
        <v>ENSG00000171444.18</v>
      </c>
      <c r="B1220" s="3">
        <v>1213.8221319366601</v>
      </c>
      <c r="C1220" s="3">
        <v>3.4329742486636201</v>
      </c>
      <c r="D1220" s="3">
        <v>0.28176358426453602</v>
      </c>
      <c r="E1220" s="3">
        <v>12.1838819506234</v>
      </c>
      <c r="F1220" s="4">
        <v>3.78812671447005E-34</v>
      </c>
      <c r="G1220" s="4">
        <v>4.6257440535191298E-32</v>
      </c>
      <c r="H1220" s="3" t="str">
        <f>"MCC"</f>
        <v>MCC</v>
      </c>
      <c r="I1220" s="3" t="str">
        <f t="shared" si="49"/>
        <v>protein_coding</v>
      </c>
    </row>
    <row r="1221" spans="1:9" x14ac:dyDescent="0.2">
      <c r="A1221" s="3" t="str">
        <f>"ENSG00000212122.3"</f>
        <v>ENSG00000212122.3</v>
      </c>
      <c r="B1221" s="3">
        <v>29.460008023379299</v>
      </c>
      <c r="C1221" s="3">
        <v>8.3994151504869592</v>
      </c>
      <c r="D1221" s="3">
        <v>1.56831887676527</v>
      </c>
      <c r="E1221" s="3">
        <v>5.3556807068541801</v>
      </c>
      <c r="F1221" s="4">
        <v>8.5234911106300004E-8</v>
      </c>
      <c r="G1221" s="4">
        <v>1.29006268885618E-6</v>
      </c>
      <c r="H1221" s="3" t="str">
        <f>"TSSK1B"</f>
        <v>TSSK1B</v>
      </c>
      <c r="I1221" s="3" t="str">
        <f t="shared" si="49"/>
        <v>protein_coding</v>
      </c>
    </row>
    <row r="1222" spans="1:9" x14ac:dyDescent="0.2">
      <c r="A1222" s="3" t="str">
        <f>"ENSG00000152503.9"</f>
        <v>ENSG00000152503.9</v>
      </c>
      <c r="B1222" s="3">
        <v>122.765920757807</v>
      </c>
      <c r="C1222" s="3">
        <v>-1.24092821286346</v>
      </c>
      <c r="D1222" s="3">
        <v>0.39779257722370098</v>
      </c>
      <c r="E1222" s="3">
        <v>-3.1195358684775401</v>
      </c>
      <c r="F1222" s="3">
        <v>1.8113620580156901E-3</v>
      </c>
      <c r="G1222" s="3">
        <v>1.0085173211461801E-2</v>
      </c>
      <c r="H1222" s="3" t="str">
        <f>"TRIM36"</f>
        <v>TRIM36</v>
      </c>
      <c r="I1222" s="3" t="str">
        <f t="shared" si="49"/>
        <v>protein_coding</v>
      </c>
    </row>
    <row r="1223" spans="1:9" x14ac:dyDescent="0.2">
      <c r="A1223" s="3" t="str">
        <f>"ENSG00000164221.13"</f>
        <v>ENSG00000164221.13</v>
      </c>
      <c r="B1223" s="3">
        <v>90.201832080093197</v>
      </c>
      <c r="C1223" s="3">
        <v>-1.2206197578417</v>
      </c>
      <c r="D1223" s="3">
        <v>0.41264574687472999</v>
      </c>
      <c r="E1223" s="3">
        <v>-2.9580330515614102</v>
      </c>
      <c r="F1223" s="3">
        <v>3.0960892507064298E-3</v>
      </c>
      <c r="G1223" s="3">
        <v>1.58297002238862E-2</v>
      </c>
      <c r="H1223" s="3" t="str">
        <f>"CCDC112"</f>
        <v>CCDC112</v>
      </c>
      <c r="I1223" s="3" t="str">
        <f t="shared" si="49"/>
        <v>protein_coding</v>
      </c>
    </row>
    <row r="1224" spans="1:9" x14ac:dyDescent="0.2">
      <c r="A1224" s="3" t="str">
        <f>"ENSG00000129596.5"</f>
        <v>ENSG00000129596.5</v>
      </c>
      <c r="B1224" s="3">
        <v>58.556210518011802</v>
      </c>
      <c r="C1224" s="3">
        <v>-1.3328349694544599</v>
      </c>
      <c r="D1224" s="3">
        <v>0.49533664167244201</v>
      </c>
      <c r="E1224" s="3">
        <v>-2.69076595051459</v>
      </c>
      <c r="F1224" s="3">
        <v>7.1288188740563103E-3</v>
      </c>
      <c r="G1224" s="3">
        <v>3.1767128215568902E-2</v>
      </c>
      <c r="H1224" s="3" t="str">
        <f>"CDO1"</f>
        <v>CDO1</v>
      </c>
      <c r="I1224" s="3" t="str">
        <f t="shared" si="49"/>
        <v>protein_coding</v>
      </c>
    </row>
    <row r="1225" spans="1:9" x14ac:dyDescent="0.2">
      <c r="A1225" s="3" t="str">
        <f>"ENSG00000145779.8"</f>
        <v>ENSG00000145779.8</v>
      </c>
      <c r="B1225" s="3">
        <v>1083.61145091248</v>
      </c>
      <c r="C1225" s="3">
        <v>2.5114870612803299</v>
      </c>
      <c r="D1225" s="3">
        <v>0.254616302488885</v>
      </c>
      <c r="E1225" s="3">
        <v>9.8638109057842804</v>
      </c>
      <c r="F1225" s="4">
        <v>5.9738042857875599E-23</v>
      </c>
      <c r="G1225" s="4">
        <v>3.8829727857619099E-21</v>
      </c>
      <c r="H1225" s="3" t="str">
        <f>"TNFAIP8"</f>
        <v>TNFAIP8</v>
      </c>
      <c r="I1225" s="3" t="str">
        <f t="shared" si="49"/>
        <v>protein_coding</v>
      </c>
    </row>
    <row r="1226" spans="1:9" x14ac:dyDescent="0.2">
      <c r="A1226" s="3" t="str">
        <f>"ENSG00000113083.14"</f>
        <v>ENSG00000113083.14</v>
      </c>
      <c r="B1226" s="3">
        <v>2174.6647108724601</v>
      </c>
      <c r="C1226" s="3">
        <v>-3.5974573019106399</v>
      </c>
      <c r="D1226" s="3">
        <v>0.26316898451361298</v>
      </c>
      <c r="E1226" s="3">
        <v>-13.669761687758999</v>
      </c>
      <c r="F1226" s="4">
        <v>1.5389837251588401E-42</v>
      </c>
      <c r="G1226" s="4">
        <v>2.9779335081823598E-40</v>
      </c>
      <c r="H1226" s="3" t="str">
        <f>"LOX"</f>
        <v>LOX</v>
      </c>
      <c r="I1226" s="3" t="str">
        <f t="shared" si="49"/>
        <v>protein_coding</v>
      </c>
    </row>
    <row r="1227" spans="1:9" x14ac:dyDescent="0.2">
      <c r="A1227" s="3" t="str">
        <f>"ENSG00000205302.7"</f>
        <v>ENSG00000205302.7</v>
      </c>
      <c r="B1227" s="3">
        <v>2239.1429201218798</v>
      </c>
      <c r="C1227" s="3">
        <v>1.1554568522753601</v>
      </c>
      <c r="D1227" s="3">
        <v>0.27402165256673899</v>
      </c>
      <c r="E1227" s="3">
        <v>4.2166625938216704</v>
      </c>
      <c r="F1227" s="4">
        <v>2.4794453076295899E-5</v>
      </c>
      <c r="G1227" s="3">
        <v>2.3350972187728301E-4</v>
      </c>
      <c r="H1227" s="3" t="str">
        <f>"SNX2"</f>
        <v>SNX2</v>
      </c>
      <c r="I1227" s="3" t="str">
        <f t="shared" si="49"/>
        <v>protein_coding</v>
      </c>
    </row>
    <row r="1228" spans="1:9" x14ac:dyDescent="0.2">
      <c r="A1228" s="3" t="str">
        <f>"ENSG00000064652.11"</f>
        <v>ENSG00000064652.11</v>
      </c>
      <c r="B1228" s="3">
        <v>489.34193317081701</v>
      </c>
      <c r="C1228" s="3">
        <v>1.0150383951031301</v>
      </c>
      <c r="D1228" s="3">
        <v>0.29481857585742099</v>
      </c>
      <c r="E1228" s="3">
        <v>3.4429255081743002</v>
      </c>
      <c r="F1228" s="3">
        <v>5.7545779840627396E-4</v>
      </c>
      <c r="G1228" s="3">
        <v>3.7825035063783199E-3</v>
      </c>
      <c r="H1228" s="3" t="str">
        <f>"SNX24"</f>
        <v>SNX24</v>
      </c>
      <c r="I1228" s="3" t="str">
        <f t="shared" si="49"/>
        <v>protein_coding</v>
      </c>
    </row>
    <row r="1229" spans="1:9" x14ac:dyDescent="0.2">
      <c r="A1229" s="3" t="str">
        <f>"ENSG00000168916.15"</f>
        <v>ENSG00000168916.15</v>
      </c>
      <c r="B1229" s="3">
        <v>582.10938375271303</v>
      </c>
      <c r="C1229" s="3">
        <v>-3.7168808461060401</v>
      </c>
      <c r="D1229" s="3">
        <v>0.286440767330505</v>
      </c>
      <c r="E1229" s="3">
        <v>-12.976088846380501</v>
      </c>
      <c r="F1229" s="4">
        <v>1.6720320358217899E-38</v>
      </c>
      <c r="G1229" s="4">
        <v>2.5962941889566099E-36</v>
      </c>
      <c r="H1229" s="3" t="str">
        <f>"ZNF608"</f>
        <v>ZNF608</v>
      </c>
      <c r="I1229" s="3" t="str">
        <f t="shared" si="49"/>
        <v>protein_coding</v>
      </c>
    </row>
    <row r="1230" spans="1:9" x14ac:dyDescent="0.2">
      <c r="A1230" s="3" t="str">
        <f>"ENSG00000251456.1"</f>
        <v>ENSG00000251456.1</v>
      </c>
      <c r="B1230" s="3">
        <v>16.054771778321101</v>
      </c>
      <c r="C1230" s="3">
        <v>-3.2190300401023899</v>
      </c>
      <c r="D1230" s="3">
        <v>0.97105783713874505</v>
      </c>
      <c r="E1230" s="3">
        <v>-3.3149725144975601</v>
      </c>
      <c r="F1230" s="3">
        <v>9.1652135850121103E-4</v>
      </c>
      <c r="G1230" s="3">
        <v>5.6688209424878202E-3</v>
      </c>
      <c r="H1230" s="3" t="str">
        <f>"AC113398.2"</f>
        <v>AC113398.2</v>
      </c>
      <c r="I1230" s="3" t="str">
        <f>"sense_intronic"</f>
        <v>sense_intronic</v>
      </c>
    </row>
    <row r="1231" spans="1:9" x14ac:dyDescent="0.2">
      <c r="A1231" s="3" t="str">
        <f>"ENSG00000164904.18"</f>
        <v>ENSG00000164904.18</v>
      </c>
      <c r="B1231" s="3">
        <v>10412.373262658301</v>
      </c>
      <c r="C1231" s="3">
        <v>2.1071840097604499</v>
      </c>
      <c r="D1231" s="3">
        <v>0.23422783262828401</v>
      </c>
      <c r="E1231" s="3">
        <v>8.9963006791960396</v>
      </c>
      <c r="F1231" s="4">
        <v>2.3345132693923998E-19</v>
      </c>
      <c r="G1231" s="4">
        <v>1.20091372784388E-17</v>
      </c>
      <c r="H1231" s="3" t="str">
        <f>"ALDH7A1"</f>
        <v>ALDH7A1</v>
      </c>
      <c r="I1231" s="3" t="str">
        <f t="shared" ref="I1231:I1241" si="50">"protein_coding"</f>
        <v>protein_coding</v>
      </c>
    </row>
    <row r="1232" spans="1:9" x14ac:dyDescent="0.2">
      <c r="A1232" s="3" t="str">
        <f>"ENSG00000113368.12"</f>
        <v>ENSG00000113368.12</v>
      </c>
      <c r="B1232" s="3">
        <v>2733.5788774620701</v>
      </c>
      <c r="C1232" s="3">
        <v>-1.3024607379094699</v>
      </c>
      <c r="D1232" s="3">
        <v>0.243292503811533</v>
      </c>
      <c r="E1232" s="3">
        <v>-5.3534766484972698</v>
      </c>
      <c r="F1232" s="4">
        <v>8.6280174356019804E-8</v>
      </c>
      <c r="G1232" s="4">
        <v>1.3035302017571601E-6</v>
      </c>
      <c r="H1232" s="3" t="str">
        <f>"LMNB1"</f>
        <v>LMNB1</v>
      </c>
      <c r="I1232" s="3" t="str">
        <f t="shared" si="50"/>
        <v>protein_coding</v>
      </c>
    </row>
    <row r="1233" spans="1:9" x14ac:dyDescent="0.2">
      <c r="A1233" s="3" t="str">
        <f>"ENSG00000064651.14"</f>
        <v>ENSG00000064651.14</v>
      </c>
      <c r="B1233" s="3">
        <v>1876.8287879597101</v>
      </c>
      <c r="C1233" s="3">
        <v>-1.64679678866743</v>
      </c>
      <c r="D1233" s="3">
        <v>0.263547863270093</v>
      </c>
      <c r="E1233" s="3">
        <v>-6.2485681660781998</v>
      </c>
      <c r="F1233" s="4">
        <v>4.1423243570605998E-10</v>
      </c>
      <c r="G1233" s="4">
        <v>8.89079941995388E-9</v>
      </c>
      <c r="H1233" s="3" t="str">
        <f>"SLC12A2"</f>
        <v>SLC12A2</v>
      </c>
      <c r="I1233" s="3" t="str">
        <f t="shared" si="50"/>
        <v>protein_coding</v>
      </c>
    </row>
    <row r="1234" spans="1:9" x14ac:dyDescent="0.2">
      <c r="A1234" s="3" t="str">
        <f>"ENSG00000138829.12"</f>
        <v>ENSG00000138829.12</v>
      </c>
      <c r="B1234" s="3">
        <v>1054.7995268228899</v>
      </c>
      <c r="C1234" s="3">
        <v>5.50973690271457</v>
      </c>
      <c r="D1234" s="3">
        <v>0.30204603495140098</v>
      </c>
      <c r="E1234" s="3">
        <v>18.241381329839601</v>
      </c>
      <c r="F1234" s="4">
        <v>2.4225807078582599E-74</v>
      </c>
      <c r="G1234" s="4">
        <v>1.45095280252797E-71</v>
      </c>
      <c r="H1234" s="3" t="str">
        <f>"FBN2"</f>
        <v>FBN2</v>
      </c>
      <c r="I1234" s="3" t="str">
        <f t="shared" si="50"/>
        <v>protein_coding</v>
      </c>
    </row>
    <row r="1235" spans="1:9" x14ac:dyDescent="0.2">
      <c r="A1235" s="3" t="str">
        <f>"ENSG00000198108.4"</f>
        <v>ENSG00000198108.4</v>
      </c>
      <c r="B1235" s="3">
        <v>51.9696872906582</v>
      </c>
      <c r="C1235" s="3">
        <v>-3.0259742442153601</v>
      </c>
      <c r="D1235" s="3">
        <v>0.57096820896437295</v>
      </c>
      <c r="E1235" s="3">
        <v>-5.2997245673343096</v>
      </c>
      <c r="F1235" s="4">
        <v>1.159775070048E-7</v>
      </c>
      <c r="G1235" s="4">
        <v>1.7222043616917001E-6</v>
      </c>
      <c r="H1235" s="3" t="str">
        <f>"CHSY3"</f>
        <v>CHSY3</v>
      </c>
      <c r="I1235" s="3" t="str">
        <f t="shared" si="50"/>
        <v>protein_coding</v>
      </c>
    </row>
    <row r="1236" spans="1:9" x14ac:dyDescent="0.2">
      <c r="A1236" s="3" t="str">
        <f>"ENSG00000186687.16"</f>
        <v>ENSG00000186687.16</v>
      </c>
      <c r="B1236" s="3">
        <v>708.00198384969997</v>
      </c>
      <c r="C1236" s="3">
        <v>-1.0910864945705501</v>
      </c>
      <c r="D1236" s="3">
        <v>0.27277501442791302</v>
      </c>
      <c r="E1236" s="3">
        <v>-3.9999502771867501</v>
      </c>
      <c r="F1236" s="4">
        <v>6.3355793820472998E-5</v>
      </c>
      <c r="G1236" s="3">
        <v>5.42448942666439E-4</v>
      </c>
      <c r="H1236" s="3" t="str">
        <f>"LYRM7"</f>
        <v>LYRM7</v>
      </c>
      <c r="I1236" s="3" t="str">
        <f t="shared" si="50"/>
        <v>protein_coding</v>
      </c>
    </row>
    <row r="1237" spans="1:9" x14ac:dyDescent="0.2">
      <c r="A1237" s="3" t="str">
        <f>"ENSG00000072682.18"</f>
        <v>ENSG00000072682.18</v>
      </c>
      <c r="B1237" s="3">
        <v>4509.6947714468997</v>
      </c>
      <c r="C1237" s="3">
        <v>2.1779828044526202</v>
      </c>
      <c r="D1237" s="3">
        <v>0.259650316925298</v>
      </c>
      <c r="E1237" s="3">
        <v>8.3881384403594996</v>
      </c>
      <c r="F1237" s="4">
        <v>4.9390039748772298E-17</v>
      </c>
      <c r="G1237" s="4">
        <v>2.1796604383866102E-15</v>
      </c>
      <c r="H1237" s="3" t="str">
        <f>"P4HA2"</f>
        <v>P4HA2</v>
      </c>
      <c r="I1237" s="3" t="str">
        <f t="shared" si="50"/>
        <v>protein_coding</v>
      </c>
    </row>
    <row r="1238" spans="1:9" x14ac:dyDescent="0.2">
      <c r="A1238" s="3" t="str">
        <f>"ENSG00000164406.7"</f>
        <v>ENSG00000164406.7</v>
      </c>
      <c r="B1238" s="3">
        <v>135.22556582036501</v>
      </c>
      <c r="C1238" s="3">
        <v>-1.0219793950798799</v>
      </c>
      <c r="D1238" s="3">
        <v>0.396658893044813</v>
      </c>
      <c r="E1238" s="3">
        <v>-2.5764691350671902</v>
      </c>
      <c r="F1238" s="3">
        <v>9.9815116420785208E-3</v>
      </c>
      <c r="G1238" s="3">
        <v>4.2241743835209497E-2</v>
      </c>
      <c r="H1238" s="3" t="str">
        <f>"LEAP2"</f>
        <v>LEAP2</v>
      </c>
      <c r="I1238" s="3" t="str">
        <f t="shared" si="50"/>
        <v>protein_coding</v>
      </c>
    </row>
    <row r="1239" spans="1:9" x14ac:dyDescent="0.2">
      <c r="A1239" s="3" t="str">
        <f>"ENSG00000053108.17"</f>
        <v>ENSG00000053108.17</v>
      </c>
      <c r="B1239" s="3">
        <v>33.084957092879698</v>
      </c>
      <c r="C1239" s="3">
        <v>-2.0689447542713202</v>
      </c>
      <c r="D1239" s="3">
        <v>0.660646664354125</v>
      </c>
      <c r="E1239" s="3">
        <v>-3.1316963604047001</v>
      </c>
      <c r="F1239" s="3">
        <v>1.7379952048511499E-3</v>
      </c>
      <c r="G1239" s="3">
        <v>9.7370310418776595E-3</v>
      </c>
      <c r="H1239" s="3" t="str">
        <f>"FSTL4"</f>
        <v>FSTL4</v>
      </c>
      <c r="I1239" s="3" t="str">
        <f t="shared" si="50"/>
        <v>protein_coding</v>
      </c>
    </row>
    <row r="1240" spans="1:9" x14ac:dyDescent="0.2">
      <c r="A1240" s="3" t="str">
        <f>"ENSG00000113583.8"</f>
        <v>ENSG00000113583.8</v>
      </c>
      <c r="B1240" s="3">
        <v>4249.8321641156799</v>
      </c>
      <c r="C1240" s="3">
        <v>-1.1527861121</v>
      </c>
      <c r="D1240" s="3">
        <v>0.23626117616663</v>
      </c>
      <c r="E1240" s="3">
        <v>-4.8792871126949802</v>
      </c>
      <c r="F1240" s="4">
        <v>1.06469976852676E-6</v>
      </c>
      <c r="G1240" s="4">
        <v>1.3232471678503299E-5</v>
      </c>
      <c r="H1240" s="3" t="str">
        <f>"C5orf15"</f>
        <v>C5orf15</v>
      </c>
      <c r="I1240" s="3" t="str">
        <f t="shared" si="50"/>
        <v>protein_coding</v>
      </c>
    </row>
    <row r="1241" spans="1:9" x14ac:dyDescent="0.2">
      <c r="A1241" s="3" t="str">
        <f>"ENSG00000237190.4"</f>
        <v>ENSG00000237190.4</v>
      </c>
      <c r="B1241" s="3">
        <v>833.36076951194798</v>
      </c>
      <c r="C1241" s="3">
        <v>-1.1022950452661699</v>
      </c>
      <c r="D1241" s="3">
        <v>0.256084384224262</v>
      </c>
      <c r="E1241" s="3">
        <v>-4.3044211719714003</v>
      </c>
      <c r="F1241" s="4">
        <v>1.67422890696206E-5</v>
      </c>
      <c r="G1241" s="3">
        <v>1.63174072664202E-4</v>
      </c>
      <c r="H1241" s="3" t="str">
        <f>"CDKN2AIPNL"</f>
        <v>CDKN2AIPNL</v>
      </c>
      <c r="I1241" s="3" t="str">
        <f t="shared" si="50"/>
        <v>protein_coding</v>
      </c>
    </row>
    <row r="1242" spans="1:9" x14ac:dyDescent="0.2">
      <c r="A1242" s="3" t="str">
        <f>"ENSG00000251169.2"</f>
        <v>ENSG00000251169.2</v>
      </c>
      <c r="B1242" s="3">
        <v>42.987993523764104</v>
      </c>
      <c r="C1242" s="3">
        <v>-1.7272108607658201</v>
      </c>
      <c r="D1242" s="3">
        <v>0.57051421304651995</v>
      </c>
      <c r="E1242" s="3">
        <v>-3.0274633326707101</v>
      </c>
      <c r="F1242" s="3">
        <v>2.4661563155945702E-3</v>
      </c>
      <c r="G1242" s="3">
        <v>1.30684984450772E-2</v>
      </c>
      <c r="H1242" s="3" t="str">
        <f>"LINC01843"</f>
        <v>LINC01843</v>
      </c>
      <c r="I1242" s="3" t="str">
        <f>"lincRNA"</f>
        <v>lincRNA</v>
      </c>
    </row>
    <row r="1243" spans="1:9" x14ac:dyDescent="0.2">
      <c r="A1243" s="3" t="str">
        <f>"ENSG00000164616.16"</f>
        <v>ENSG00000164616.16</v>
      </c>
      <c r="B1243" s="3">
        <v>1234.92092520858</v>
      </c>
      <c r="C1243" s="3">
        <v>1.4584813703443</v>
      </c>
      <c r="D1243" s="3">
        <v>0.27341978492171298</v>
      </c>
      <c r="E1243" s="3">
        <v>5.3342203116789602</v>
      </c>
      <c r="F1243" s="4">
        <v>9.5955963710752004E-8</v>
      </c>
      <c r="G1243" s="4">
        <v>1.4384816848295399E-6</v>
      </c>
      <c r="H1243" s="3" t="str">
        <f>"FBXL21P"</f>
        <v>FBXL21P</v>
      </c>
      <c r="I1243" s="3" t="str">
        <f>"transcribed_unitary_pseudogene"</f>
        <v>transcribed_unitary_pseudogene</v>
      </c>
    </row>
    <row r="1244" spans="1:9" x14ac:dyDescent="0.2">
      <c r="A1244" s="3" t="str">
        <f>"ENSG00000112981.5"</f>
        <v>ENSG00000112981.5</v>
      </c>
      <c r="B1244" s="3">
        <v>4.5019424986100303</v>
      </c>
      <c r="C1244" s="3">
        <v>-5.5598648329560403</v>
      </c>
      <c r="D1244" s="3">
        <v>2.0648310284237699</v>
      </c>
      <c r="E1244" s="3">
        <v>-2.6926488203735901</v>
      </c>
      <c r="F1244" s="3">
        <v>7.0886891359519004E-3</v>
      </c>
      <c r="G1244" s="3">
        <v>3.1627523095933002E-2</v>
      </c>
      <c r="H1244" s="3" t="str">
        <f>"NME5"</f>
        <v>NME5</v>
      </c>
      <c r="I1244" s="3" t="str">
        <f>"protein_coding"</f>
        <v>protein_coding</v>
      </c>
    </row>
    <row r="1245" spans="1:9" x14ac:dyDescent="0.2">
      <c r="A1245" s="3" t="str">
        <f>"ENSG00000212460.1"</f>
        <v>ENSG00000212460.1</v>
      </c>
      <c r="B1245" s="3">
        <v>4.2452699745899496</v>
      </c>
      <c r="C1245" s="3">
        <v>-5.4758153515363803</v>
      </c>
      <c r="D1245" s="3">
        <v>2.09611245500018</v>
      </c>
      <c r="E1245" s="3">
        <v>-2.6123671649744198</v>
      </c>
      <c r="F1245" s="3">
        <v>8.9917627588681007E-3</v>
      </c>
      <c r="G1245" s="3">
        <v>3.8710900598892199E-2</v>
      </c>
      <c r="H1245" s="3" t="str">
        <f>"RNU6-460P"</f>
        <v>RNU6-460P</v>
      </c>
      <c r="I1245" s="3" t="str">
        <f>"snRNA"</f>
        <v>snRNA</v>
      </c>
    </row>
    <row r="1246" spans="1:9" x14ac:dyDescent="0.2">
      <c r="A1246" s="3" t="str">
        <f>"ENSG00000146013.11"</f>
        <v>ENSG00000146013.11</v>
      </c>
      <c r="B1246" s="3">
        <v>31.395441430638002</v>
      </c>
      <c r="C1246" s="3">
        <v>-3.35835729013003</v>
      </c>
      <c r="D1246" s="3">
        <v>0.75368237325046705</v>
      </c>
      <c r="E1246" s="3">
        <v>-4.45593184785014</v>
      </c>
      <c r="F1246" s="4">
        <v>8.3529566905877906E-6</v>
      </c>
      <c r="G1246" s="4">
        <v>8.7367411871823599E-5</v>
      </c>
      <c r="H1246" s="3" t="str">
        <f>"GFRA3"</f>
        <v>GFRA3</v>
      </c>
      <c r="I1246" s="3" t="str">
        <f>"protein_coding"</f>
        <v>protein_coding</v>
      </c>
    </row>
    <row r="1247" spans="1:9" x14ac:dyDescent="0.2">
      <c r="A1247" s="3" t="str">
        <f>"ENSG00000120709.11"</f>
        <v>ENSG00000120709.11</v>
      </c>
      <c r="B1247" s="3">
        <v>3308.2888775839501</v>
      </c>
      <c r="C1247" s="3">
        <v>-1.08353246517892</v>
      </c>
      <c r="D1247" s="3">
        <v>0.238904625332446</v>
      </c>
      <c r="E1247" s="3">
        <v>-4.5354185322746901</v>
      </c>
      <c r="F1247" s="4">
        <v>5.7489366440787297E-6</v>
      </c>
      <c r="G1247" s="4">
        <v>6.2333836759396704E-5</v>
      </c>
      <c r="H1247" s="3" t="str">
        <f>"FAM53C"</f>
        <v>FAM53C</v>
      </c>
      <c r="I1247" s="3" t="str">
        <f>"protein_coding"</f>
        <v>protein_coding</v>
      </c>
    </row>
    <row r="1248" spans="1:9" x14ac:dyDescent="0.2">
      <c r="A1248" s="3" t="str">
        <f>"ENSG00000132563.16"</f>
        <v>ENSG00000132563.16</v>
      </c>
      <c r="B1248" s="3">
        <v>1911.1632714976399</v>
      </c>
      <c r="C1248" s="3">
        <v>5.5138218572737898</v>
      </c>
      <c r="D1248" s="3">
        <v>0.315357759120105</v>
      </c>
      <c r="E1248" s="3">
        <v>17.484338652894301</v>
      </c>
      <c r="F1248" s="4">
        <v>1.88588184001364E-68</v>
      </c>
      <c r="G1248" s="4">
        <v>9.3018348403025701E-66</v>
      </c>
      <c r="H1248" s="3" t="str">
        <f>"REEP2"</f>
        <v>REEP2</v>
      </c>
      <c r="I1248" s="3" t="str">
        <f>"protein_coding"</f>
        <v>protein_coding</v>
      </c>
    </row>
    <row r="1249" spans="1:9" x14ac:dyDescent="0.2">
      <c r="A1249" s="3" t="str">
        <f>"ENSG00000281398.4"</f>
        <v>ENSG00000281398.4</v>
      </c>
      <c r="B1249" s="3">
        <v>758.18026136606102</v>
      </c>
      <c r="C1249" s="3">
        <v>-1.3394862414066699</v>
      </c>
      <c r="D1249" s="3">
        <v>0.286087461651446</v>
      </c>
      <c r="E1249" s="3">
        <v>-4.6820864978648702</v>
      </c>
      <c r="F1249" s="4">
        <v>2.8396960148869501E-6</v>
      </c>
      <c r="G1249" s="4">
        <v>3.2543304443955001E-5</v>
      </c>
      <c r="H1249" s="3" t="str">
        <f>"SNHG4"</f>
        <v>SNHG4</v>
      </c>
      <c r="I1249" s="3" t="str">
        <f>"lincRNA"</f>
        <v>lincRNA</v>
      </c>
    </row>
    <row r="1250" spans="1:9" x14ac:dyDescent="0.2">
      <c r="A1250" s="3" t="str">
        <f>"ENSG00000170464.10"</f>
        <v>ENSG00000170464.10</v>
      </c>
      <c r="B1250" s="3">
        <v>304.30311377723001</v>
      </c>
      <c r="C1250" s="3">
        <v>1.01829730624869</v>
      </c>
      <c r="D1250" s="3">
        <v>0.30887624690813498</v>
      </c>
      <c r="E1250" s="3">
        <v>3.2967808837419099</v>
      </c>
      <c r="F1250" s="3">
        <v>9.7799768054874689E-4</v>
      </c>
      <c r="G1250" s="3">
        <v>5.9843180866464901E-3</v>
      </c>
      <c r="H1250" s="3" t="str">
        <f>"DNAJC18"</f>
        <v>DNAJC18</v>
      </c>
      <c r="I1250" s="3" t="str">
        <f>"protein_coding"</f>
        <v>protein_coding</v>
      </c>
    </row>
    <row r="1251" spans="1:9" x14ac:dyDescent="0.2">
      <c r="A1251" s="3" t="str">
        <f>"ENSG00000184584.13"</f>
        <v>ENSG00000184584.13</v>
      </c>
      <c r="B1251" s="3">
        <v>464.440206492747</v>
      </c>
      <c r="C1251" s="3">
        <v>1.0624154931793801</v>
      </c>
      <c r="D1251" s="3">
        <v>0.29767246838415001</v>
      </c>
      <c r="E1251" s="3">
        <v>3.5690754302756802</v>
      </c>
      <c r="F1251" s="3">
        <v>3.58243278313353E-4</v>
      </c>
      <c r="G1251" s="3">
        <v>2.5032249072145501E-3</v>
      </c>
      <c r="H1251" s="3" t="str">
        <f>"TMEM173"</f>
        <v>TMEM173</v>
      </c>
      <c r="I1251" s="3" t="str">
        <f>"protein_coding"</f>
        <v>protein_coding</v>
      </c>
    </row>
    <row r="1252" spans="1:9" x14ac:dyDescent="0.2">
      <c r="A1252" s="3" t="str">
        <f>"ENSG00000113070.8"</f>
        <v>ENSG00000113070.8</v>
      </c>
      <c r="B1252" s="3">
        <v>265.468712100728</v>
      </c>
      <c r="C1252" s="3">
        <v>-2.2962080622980801</v>
      </c>
      <c r="D1252" s="3">
        <v>0.32020198554503798</v>
      </c>
      <c r="E1252" s="3">
        <v>-7.17112374674862</v>
      </c>
      <c r="F1252" s="4">
        <v>7.4384627278860703E-13</v>
      </c>
      <c r="G1252" s="4">
        <v>2.17575034790668E-11</v>
      </c>
      <c r="H1252" s="3" t="str">
        <f>"HBEGF"</f>
        <v>HBEGF</v>
      </c>
      <c r="I1252" s="3" t="str">
        <f>"protein_coding"</f>
        <v>protein_coding</v>
      </c>
    </row>
    <row r="1253" spans="1:9" x14ac:dyDescent="0.2">
      <c r="A1253" s="3" t="str">
        <f>"ENSG00000249637.1"</f>
        <v>ENSG00000249637.1</v>
      </c>
      <c r="B1253" s="3">
        <v>74.101529294134394</v>
      </c>
      <c r="C1253" s="3">
        <v>-2.4284037322541199</v>
      </c>
      <c r="D1253" s="3">
        <v>0.48043561387143902</v>
      </c>
      <c r="E1253" s="3">
        <v>-5.0545872581876203</v>
      </c>
      <c r="F1253" s="4">
        <v>4.3132252593656801E-7</v>
      </c>
      <c r="G1253" s="4">
        <v>5.7958964422726297E-6</v>
      </c>
      <c r="H1253" s="3" t="str">
        <f>"AC008438.1"</f>
        <v>AC008438.1</v>
      </c>
      <c r="I1253" s="3" t="str">
        <f>"antisense"</f>
        <v>antisense</v>
      </c>
    </row>
    <row r="1254" spans="1:9" x14ac:dyDescent="0.2">
      <c r="A1254" s="3" t="str">
        <f>"ENSG00000213523.10"</f>
        <v>ENSG00000213523.10</v>
      </c>
      <c r="B1254" s="3">
        <v>1404.5650969616299</v>
      </c>
      <c r="C1254" s="3">
        <v>1.23647144503225</v>
      </c>
      <c r="D1254" s="3">
        <v>0.27613073718567099</v>
      </c>
      <c r="E1254" s="3">
        <v>4.4778479123128001</v>
      </c>
      <c r="F1254" s="4">
        <v>7.5399285015436998E-6</v>
      </c>
      <c r="G1254" s="4">
        <v>7.9758999771375894E-5</v>
      </c>
      <c r="H1254" s="3" t="str">
        <f>"SRA1"</f>
        <v>SRA1</v>
      </c>
      <c r="I1254" s="3" t="str">
        <f t="shared" ref="I1254:I1259" si="51">"protein_coding"</f>
        <v>protein_coding</v>
      </c>
    </row>
    <row r="1255" spans="1:9" x14ac:dyDescent="0.2">
      <c r="A1255" s="3" t="str">
        <f>"ENSG00000113108.19"</f>
        <v>ENSG00000113108.19</v>
      </c>
      <c r="B1255" s="3">
        <v>25.619916643120799</v>
      </c>
      <c r="C1255" s="3">
        <v>4.7250470548937997</v>
      </c>
      <c r="D1255" s="3">
        <v>1.0020038477381199</v>
      </c>
      <c r="E1255" s="3">
        <v>4.71559771507855</v>
      </c>
      <c r="F1255" s="4">
        <v>2.4100219481811098E-6</v>
      </c>
      <c r="G1255" s="4">
        <v>2.8001894737411499E-5</v>
      </c>
      <c r="H1255" s="3" t="str">
        <f>"APBB3"</f>
        <v>APBB3</v>
      </c>
      <c r="I1255" s="3" t="str">
        <f t="shared" si="51"/>
        <v>protein_coding</v>
      </c>
    </row>
    <row r="1256" spans="1:9" x14ac:dyDescent="0.2">
      <c r="A1256" s="3" t="str">
        <f>"ENSG00000176087.15"</f>
        <v>ENSG00000176087.15</v>
      </c>
      <c r="B1256" s="3">
        <v>38.2865909866305</v>
      </c>
      <c r="C1256" s="3">
        <v>2.48746907423088</v>
      </c>
      <c r="D1256" s="3">
        <v>0.62821942449067303</v>
      </c>
      <c r="E1256" s="3">
        <v>3.95955453979728</v>
      </c>
      <c r="F1256" s="4">
        <v>7.5089695012024493E-5</v>
      </c>
      <c r="G1256" s="3">
        <v>6.3046771629755502E-4</v>
      </c>
      <c r="H1256" s="3" t="str">
        <f>"SLC35A4"</f>
        <v>SLC35A4</v>
      </c>
      <c r="I1256" s="3" t="str">
        <f t="shared" si="51"/>
        <v>protein_coding</v>
      </c>
    </row>
    <row r="1257" spans="1:9" x14ac:dyDescent="0.2">
      <c r="A1257" s="3" t="str">
        <f>"ENSG00000113248.6"</f>
        <v>ENSG00000113248.6</v>
      </c>
      <c r="B1257" s="3">
        <v>16.859206528340401</v>
      </c>
      <c r="C1257" s="3">
        <v>3.2231166957107402</v>
      </c>
      <c r="D1257" s="3">
        <v>0.94312923689279304</v>
      </c>
      <c r="E1257" s="3">
        <v>3.41747087210394</v>
      </c>
      <c r="F1257" s="3">
        <v>6.3205857124244301E-4</v>
      </c>
      <c r="G1257" s="3">
        <v>4.1147601862328298E-3</v>
      </c>
      <c r="H1257" s="3" t="str">
        <f>"PCDHB15"</f>
        <v>PCDHB15</v>
      </c>
      <c r="I1257" s="3" t="str">
        <f t="shared" si="51"/>
        <v>protein_coding</v>
      </c>
    </row>
    <row r="1258" spans="1:9" x14ac:dyDescent="0.2">
      <c r="A1258" s="3" t="str">
        <f>"ENSG00000253537.3"</f>
        <v>ENSG00000253537.3</v>
      </c>
      <c r="B1258" s="3">
        <v>24.1626644042374</v>
      </c>
      <c r="C1258" s="3">
        <v>2.3236788251488401</v>
      </c>
      <c r="D1258" s="3">
        <v>0.73178341762421995</v>
      </c>
      <c r="E1258" s="3">
        <v>3.1753641435232498</v>
      </c>
      <c r="F1258" s="3">
        <v>1.49648577500712E-3</v>
      </c>
      <c r="G1258" s="3">
        <v>8.5925815271180195E-3</v>
      </c>
      <c r="H1258" s="3" t="str">
        <f>"PCDHGA7"</f>
        <v>PCDHGA7</v>
      </c>
      <c r="I1258" s="3" t="str">
        <f t="shared" si="51"/>
        <v>protein_coding</v>
      </c>
    </row>
    <row r="1259" spans="1:9" x14ac:dyDescent="0.2">
      <c r="A1259" s="3" t="str">
        <f>"ENSG00000254122.2"</f>
        <v>ENSG00000254122.2</v>
      </c>
      <c r="B1259" s="3">
        <v>24.245932033146001</v>
      </c>
      <c r="C1259" s="3">
        <v>2.46340235462374</v>
      </c>
      <c r="D1259" s="3">
        <v>0.75252458433773795</v>
      </c>
      <c r="E1259" s="3">
        <v>3.2735174450036899</v>
      </c>
      <c r="F1259" s="3">
        <v>1.06217833844565E-3</v>
      </c>
      <c r="G1259" s="3">
        <v>6.4274948529228397E-3</v>
      </c>
      <c r="H1259" s="3" t="str">
        <f>"PCDHGB7"</f>
        <v>PCDHGB7</v>
      </c>
      <c r="I1259" s="3" t="str">
        <f t="shared" si="51"/>
        <v>protein_coding</v>
      </c>
    </row>
    <row r="1260" spans="1:9" x14ac:dyDescent="0.2">
      <c r="A1260" s="3" t="str">
        <f>"ENSG00000248449.2"</f>
        <v>ENSG00000248449.2</v>
      </c>
      <c r="B1260" s="3">
        <v>13.893955298656399</v>
      </c>
      <c r="C1260" s="3">
        <v>2.67765837796258</v>
      </c>
      <c r="D1260" s="3">
        <v>0.97549692940128996</v>
      </c>
      <c r="E1260" s="3">
        <v>2.7449172798585701</v>
      </c>
      <c r="F1260" s="3">
        <v>6.0526151946247502E-3</v>
      </c>
      <c r="G1260" s="3">
        <v>2.7753105217058999E-2</v>
      </c>
      <c r="H1260" s="3" t="str">
        <f>"PCDHGB8P"</f>
        <v>PCDHGB8P</v>
      </c>
      <c r="I1260" s="3" t="str">
        <f>"transcribed_unitary_pseudogene"</f>
        <v>transcribed_unitary_pseudogene</v>
      </c>
    </row>
    <row r="1261" spans="1:9" x14ac:dyDescent="0.2">
      <c r="A1261" s="3" t="str">
        <f>"ENSG00000120318.16"</f>
        <v>ENSG00000120318.16</v>
      </c>
      <c r="B1261" s="3">
        <v>116.471345391296</v>
      </c>
      <c r="C1261" s="3">
        <v>-1.6222040483595599</v>
      </c>
      <c r="D1261" s="3">
        <v>0.40870347562861098</v>
      </c>
      <c r="E1261" s="3">
        <v>-3.9691466921452299</v>
      </c>
      <c r="F1261" s="4">
        <v>7.2130469034535795E-5</v>
      </c>
      <c r="G1261" s="3">
        <v>6.0846477148348405E-4</v>
      </c>
      <c r="H1261" s="3" t="str">
        <f>"ARAP3"</f>
        <v>ARAP3</v>
      </c>
      <c r="I1261" s="3" t="str">
        <f>"protein_coding"</f>
        <v>protein_coding</v>
      </c>
    </row>
    <row r="1262" spans="1:9" x14ac:dyDescent="0.2">
      <c r="A1262" s="3" t="str">
        <f>"ENSG00000156453.13"</f>
        <v>ENSG00000156453.13</v>
      </c>
      <c r="B1262" s="3">
        <v>23.4277044077268</v>
      </c>
      <c r="C1262" s="3">
        <v>-3.5368613411558001</v>
      </c>
      <c r="D1262" s="3">
        <v>0.88533657626369</v>
      </c>
      <c r="E1262" s="3">
        <v>-3.99493417077844</v>
      </c>
      <c r="F1262" s="4">
        <v>6.4712230917468794E-5</v>
      </c>
      <c r="G1262" s="3">
        <v>5.5237060357276203E-4</v>
      </c>
      <c r="H1262" s="3" t="str">
        <f>"PCDH1"</f>
        <v>PCDH1</v>
      </c>
      <c r="I1262" s="3" t="str">
        <f>"protein_coding"</f>
        <v>protein_coding</v>
      </c>
    </row>
    <row r="1263" spans="1:9" x14ac:dyDescent="0.2">
      <c r="A1263" s="3" t="str">
        <f>"ENSG00000113580.15"</f>
        <v>ENSG00000113580.15</v>
      </c>
      <c r="B1263" s="3">
        <v>3762.4472393440601</v>
      </c>
      <c r="C1263" s="3">
        <v>1.37884927644449</v>
      </c>
      <c r="D1263" s="3">
        <v>0.26320947879937301</v>
      </c>
      <c r="E1263" s="3">
        <v>5.2386003829880599</v>
      </c>
      <c r="F1263" s="4">
        <v>1.6179896130754601E-7</v>
      </c>
      <c r="G1263" s="4">
        <v>2.3485590719511402E-6</v>
      </c>
      <c r="H1263" s="3" t="str">
        <f>"NR3C1"</f>
        <v>NR3C1</v>
      </c>
      <c r="I1263" s="3" t="str">
        <f>"protein_coding"</f>
        <v>protein_coding</v>
      </c>
    </row>
    <row r="1264" spans="1:9" x14ac:dyDescent="0.2">
      <c r="A1264" s="3" t="str">
        <f>"ENSG00000279679.1"</f>
        <v>ENSG00000279679.1</v>
      </c>
      <c r="B1264" s="3">
        <v>87.416772058412405</v>
      </c>
      <c r="C1264" s="3">
        <v>2.0472796770185302</v>
      </c>
      <c r="D1264" s="3">
        <v>0.43263492817594401</v>
      </c>
      <c r="E1264" s="3">
        <v>4.7321183373940299</v>
      </c>
      <c r="F1264" s="4">
        <v>2.2218880945459801E-6</v>
      </c>
      <c r="G1264" s="4">
        <v>2.59598676350693E-5</v>
      </c>
      <c r="H1264" s="3" t="str">
        <f>"AC091925.2"</f>
        <v>AC091925.2</v>
      </c>
      <c r="I1264" s="3" t="str">
        <f>"TEC"</f>
        <v>TEC</v>
      </c>
    </row>
    <row r="1265" spans="1:9" x14ac:dyDescent="0.2">
      <c r="A1265" s="3" t="str">
        <f>"ENSG00000156463.18"</f>
        <v>ENSG00000156463.18</v>
      </c>
      <c r="B1265" s="3">
        <v>262.10625942045601</v>
      </c>
      <c r="C1265" s="3">
        <v>-2.4522283716391402</v>
      </c>
      <c r="D1265" s="3">
        <v>0.37566713270993501</v>
      </c>
      <c r="E1265" s="3">
        <v>-6.5276628113553699</v>
      </c>
      <c r="F1265" s="4">
        <v>6.6803875627630604E-11</v>
      </c>
      <c r="G1265" s="4">
        <v>1.5646661931220201E-9</v>
      </c>
      <c r="H1265" s="3" t="str">
        <f>"SH3RF2"</f>
        <v>SH3RF2</v>
      </c>
      <c r="I1265" s="3" t="str">
        <f t="shared" ref="I1265:I1270" si="52">"protein_coding"</f>
        <v>protein_coding</v>
      </c>
    </row>
    <row r="1266" spans="1:9" x14ac:dyDescent="0.2">
      <c r="A1266" s="3" t="str">
        <f>"ENSG00000164266.10"</f>
        <v>ENSG00000164266.10</v>
      </c>
      <c r="B1266" s="3">
        <v>37.946343273800501</v>
      </c>
      <c r="C1266" s="3">
        <v>-2.8191252305417098</v>
      </c>
      <c r="D1266" s="3">
        <v>0.74256952732579096</v>
      </c>
      <c r="E1266" s="3">
        <v>-3.7964461599901602</v>
      </c>
      <c r="F1266" s="3">
        <v>1.46785223510976E-4</v>
      </c>
      <c r="G1266" s="3">
        <v>1.1375176517001201E-3</v>
      </c>
      <c r="H1266" s="3" t="str">
        <f>"SPINK1"</f>
        <v>SPINK1</v>
      </c>
      <c r="I1266" s="3" t="str">
        <f t="shared" si="52"/>
        <v>protein_coding</v>
      </c>
    </row>
    <row r="1267" spans="1:9" x14ac:dyDescent="0.2">
      <c r="A1267" s="3" t="str">
        <f>"ENSG00000169252.5"</f>
        <v>ENSG00000169252.5</v>
      </c>
      <c r="B1267" s="3">
        <v>33.069895419447299</v>
      </c>
      <c r="C1267" s="3">
        <v>3.8759043229398298</v>
      </c>
      <c r="D1267" s="3">
        <v>0.749957804491997</v>
      </c>
      <c r="E1267" s="3">
        <v>5.1681631949483702</v>
      </c>
      <c r="F1267" s="4">
        <v>2.3640584508687E-7</v>
      </c>
      <c r="G1267" s="4">
        <v>3.32594464941846E-6</v>
      </c>
      <c r="H1267" s="3" t="str">
        <f>"ADRB2"</f>
        <v>ADRB2</v>
      </c>
      <c r="I1267" s="3" t="str">
        <f t="shared" si="52"/>
        <v>protein_coding</v>
      </c>
    </row>
    <row r="1268" spans="1:9" x14ac:dyDescent="0.2">
      <c r="A1268" s="3" t="str">
        <f>"ENSG00000173210.19"</f>
        <v>ENSG00000173210.19</v>
      </c>
      <c r="B1268" s="3">
        <v>122.48552598007601</v>
      </c>
      <c r="C1268" s="3">
        <v>-1.9825773237651301</v>
      </c>
      <c r="D1268" s="3">
        <v>0.427080708933678</v>
      </c>
      <c r="E1268" s="3">
        <v>-4.6421607960592901</v>
      </c>
      <c r="F1268" s="4">
        <v>3.44784370590683E-6</v>
      </c>
      <c r="G1268" s="4">
        <v>3.9015073514208899E-5</v>
      </c>
      <c r="H1268" s="3" t="str">
        <f>"ABLIM3"</f>
        <v>ABLIM3</v>
      </c>
      <c r="I1268" s="3" t="str">
        <f t="shared" si="52"/>
        <v>protein_coding</v>
      </c>
    </row>
    <row r="1269" spans="1:9" x14ac:dyDescent="0.2">
      <c r="A1269" s="3" t="str">
        <f>"ENSG00000157510.14"</f>
        <v>ENSG00000157510.14</v>
      </c>
      <c r="B1269" s="3">
        <v>53.2921286557239</v>
      </c>
      <c r="C1269" s="3">
        <v>-1.64730020054624</v>
      </c>
      <c r="D1269" s="3">
        <v>0.51098031253723097</v>
      </c>
      <c r="E1269" s="3">
        <v>-3.22380365765307</v>
      </c>
      <c r="F1269" s="3">
        <v>1.26500100803011E-3</v>
      </c>
      <c r="G1269" s="3">
        <v>7.4679888188212496E-3</v>
      </c>
      <c r="H1269" s="3" t="str">
        <f>"AFAP1L1"</f>
        <v>AFAP1L1</v>
      </c>
      <c r="I1269" s="3" t="str">
        <f t="shared" si="52"/>
        <v>protein_coding</v>
      </c>
    </row>
    <row r="1270" spans="1:9" x14ac:dyDescent="0.2">
      <c r="A1270" s="3" t="str">
        <f>"ENSG00000164284.15"</f>
        <v>ENSG00000164284.15</v>
      </c>
      <c r="B1270" s="3">
        <v>1472.4218466249699</v>
      </c>
      <c r="C1270" s="3">
        <v>-1.01812472432837</v>
      </c>
      <c r="D1270" s="3">
        <v>0.24793750629696101</v>
      </c>
      <c r="E1270" s="3">
        <v>-4.1063763991759199</v>
      </c>
      <c r="F1270" s="4">
        <v>4.0191436540820502E-5</v>
      </c>
      <c r="G1270" s="3">
        <v>3.59920109001189E-4</v>
      </c>
      <c r="H1270" s="3" t="str">
        <f>"GRPEL2"</f>
        <v>GRPEL2</v>
      </c>
      <c r="I1270" s="3" t="str">
        <f t="shared" si="52"/>
        <v>protein_coding</v>
      </c>
    </row>
    <row r="1271" spans="1:9" x14ac:dyDescent="0.2">
      <c r="A1271" s="3" t="str">
        <f>"ENSG00000249669.9"</f>
        <v>ENSG00000249669.9</v>
      </c>
      <c r="B1271" s="3">
        <v>111.016906636109</v>
      </c>
      <c r="C1271" s="3">
        <v>1.3558166655231101</v>
      </c>
      <c r="D1271" s="3">
        <v>0.41075270263924002</v>
      </c>
      <c r="E1271" s="3">
        <v>3.3008100903815998</v>
      </c>
      <c r="F1271" s="3">
        <v>9.6406113910995402E-4</v>
      </c>
      <c r="G1271" s="3">
        <v>5.90987701289988E-3</v>
      </c>
      <c r="H1271" s="3" t="str">
        <f>"CARMN"</f>
        <v>CARMN</v>
      </c>
      <c r="I1271" s="3" t="str">
        <f>"lincRNA"</f>
        <v>lincRNA</v>
      </c>
    </row>
    <row r="1272" spans="1:9" x14ac:dyDescent="0.2">
      <c r="A1272" s="3" t="str">
        <f>"ENSG00000230551.4"</f>
        <v>ENSG00000230551.4</v>
      </c>
      <c r="B1272" s="3">
        <v>1257.5520008799199</v>
      </c>
      <c r="C1272" s="3">
        <v>1.3183727416862201</v>
      </c>
      <c r="D1272" s="3">
        <v>0.28015848031541102</v>
      </c>
      <c r="E1272" s="3">
        <v>4.7058105833596704</v>
      </c>
      <c r="F1272" s="4">
        <v>2.5285921755844001E-6</v>
      </c>
      <c r="G1272" s="4">
        <v>2.92983584416516E-5</v>
      </c>
      <c r="H1272" s="3" t="str">
        <f>"AC021078.1"</f>
        <v>AC021078.1</v>
      </c>
      <c r="I1272" s="3" t="str">
        <f>"processed_transcript"</f>
        <v>processed_transcript</v>
      </c>
    </row>
    <row r="1273" spans="1:9" x14ac:dyDescent="0.2">
      <c r="A1273" s="3" t="str">
        <f>"ENSG00000241112.1"</f>
        <v>ENSG00000241112.1</v>
      </c>
      <c r="B1273" s="3">
        <v>96.489852243329693</v>
      </c>
      <c r="C1273" s="3">
        <v>1.1466912198894601</v>
      </c>
      <c r="D1273" s="3">
        <v>0.40155226880146599</v>
      </c>
      <c r="E1273" s="3">
        <v>2.8556462233722502</v>
      </c>
      <c r="F1273" s="3">
        <v>4.2949340720519003E-3</v>
      </c>
      <c r="G1273" s="3">
        <v>2.0901347762133E-2</v>
      </c>
      <c r="H1273" s="3" t="str">
        <f>"RPL29P14"</f>
        <v>RPL29P14</v>
      </c>
      <c r="I1273" s="3" t="str">
        <f>"processed_pseudogene"</f>
        <v>processed_pseudogene</v>
      </c>
    </row>
    <row r="1274" spans="1:9" x14ac:dyDescent="0.2">
      <c r="A1274" s="3" t="str">
        <f>"ENSG00000183111.12"</f>
        <v>ENSG00000183111.12</v>
      </c>
      <c r="B1274" s="3">
        <v>80.733737750874695</v>
      </c>
      <c r="C1274" s="3">
        <v>2.2765589987141301</v>
      </c>
      <c r="D1274" s="3">
        <v>0.45102515479979699</v>
      </c>
      <c r="E1274" s="3">
        <v>5.0475211293362596</v>
      </c>
      <c r="F1274" s="4">
        <v>4.4757928480111199E-7</v>
      </c>
      <c r="G1274" s="4">
        <v>5.9919408776859901E-6</v>
      </c>
      <c r="H1274" s="3" t="str">
        <f>"ARHGEF37"</f>
        <v>ARHGEF37</v>
      </c>
      <c r="I1274" s="3" t="str">
        <f t="shared" ref="I1274:I1281" si="53">"protein_coding"</f>
        <v>protein_coding</v>
      </c>
    </row>
    <row r="1275" spans="1:9" x14ac:dyDescent="0.2">
      <c r="A1275" s="3" t="str">
        <f>"ENSG00000182578.13"</f>
        <v>ENSG00000182578.13</v>
      </c>
      <c r="B1275" s="3">
        <v>128.10558007830301</v>
      </c>
      <c r="C1275" s="3">
        <v>4.1504607002819496</v>
      </c>
      <c r="D1275" s="3">
        <v>0.45001504629324801</v>
      </c>
      <c r="E1275" s="3">
        <v>9.2229376205731199</v>
      </c>
      <c r="F1275" s="4">
        <v>2.8906999668233498E-20</v>
      </c>
      <c r="G1275" s="4">
        <v>1.5842169426022099E-18</v>
      </c>
      <c r="H1275" s="3" t="str">
        <f>"CSF1R"</f>
        <v>CSF1R</v>
      </c>
      <c r="I1275" s="3" t="str">
        <f t="shared" si="53"/>
        <v>protein_coding</v>
      </c>
    </row>
    <row r="1276" spans="1:9" x14ac:dyDescent="0.2">
      <c r="A1276" s="3" t="str">
        <f>"ENSG00000113721.14"</f>
        <v>ENSG00000113721.14</v>
      </c>
      <c r="B1276" s="3">
        <v>901.586861498551</v>
      </c>
      <c r="C1276" s="3">
        <v>-3.1061070598907699</v>
      </c>
      <c r="D1276" s="3">
        <v>0.29018203685868899</v>
      </c>
      <c r="E1276" s="3">
        <v>-10.703994959561699</v>
      </c>
      <c r="F1276" s="4">
        <v>9.7482708792572594E-27</v>
      </c>
      <c r="G1276" s="4">
        <v>8.4850433898863798E-25</v>
      </c>
      <c r="H1276" s="3" t="str">
        <f>"PDGFRB"</f>
        <v>PDGFRB</v>
      </c>
      <c r="I1276" s="3" t="str">
        <f t="shared" si="53"/>
        <v>protein_coding</v>
      </c>
    </row>
    <row r="1277" spans="1:9" x14ac:dyDescent="0.2">
      <c r="A1277" s="3" t="str">
        <f>"ENSG00000019582.15"</f>
        <v>ENSG00000019582.15</v>
      </c>
      <c r="B1277" s="3">
        <v>4487.04207315656</v>
      </c>
      <c r="C1277" s="3">
        <v>-1.5043032255981801</v>
      </c>
      <c r="D1277" s="3">
        <v>0.31067320877948801</v>
      </c>
      <c r="E1277" s="3">
        <v>-4.8420757989013303</v>
      </c>
      <c r="F1277" s="4">
        <v>1.28489728286864E-6</v>
      </c>
      <c r="G1277" s="4">
        <v>1.5636957499061799E-5</v>
      </c>
      <c r="H1277" s="3" t="str">
        <f>"CD74"</f>
        <v>CD74</v>
      </c>
      <c r="I1277" s="3" t="str">
        <f t="shared" si="53"/>
        <v>protein_coding</v>
      </c>
    </row>
    <row r="1278" spans="1:9" x14ac:dyDescent="0.2">
      <c r="A1278" s="3" t="str">
        <f>"ENSG00000145908.12"</f>
        <v>ENSG00000145908.12</v>
      </c>
      <c r="B1278" s="3">
        <v>623.48909561409198</v>
      </c>
      <c r="C1278" s="3">
        <v>-1.4746133033368101</v>
      </c>
      <c r="D1278" s="3">
        <v>0.29470604907244002</v>
      </c>
      <c r="E1278" s="3">
        <v>-5.0036750449406204</v>
      </c>
      <c r="F1278" s="4">
        <v>5.6247543166507898E-7</v>
      </c>
      <c r="G1278" s="4">
        <v>7.3966199981888201E-6</v>
      </c>
      <c r="H1278" s="3" t="str">
        <f>"ZNF300"</f>
        <v>ZNF300</v>
      </c>
      <c r="I1278" s="3" t="str">
        <f t="shared" si="53"/>
        <v>protein_coding</v>
      </c>
    </row>
    <row r="1279" spans="1:9" x14ac:dyDescent="0.2">
      <c r="A1279" s="3" t="str">
        <f>"ENSG00000145901.15"</f>
        <v>ENSG00000145901.15</v>
      </c>
      <c r="B1279" s="3">
        <v>3056.7301778664</v>
      </c>
      <c r="C1279" s="3">
        <v>1.17370139255772</v>
      </c>
      <c r="D1279" s="3">
        <v>0.280014534874719</v>
      </c>
      <c r="E1279" s="3">
        <v>4.1915731020278804</v>
      </c>
      <c r="F1279" s="4">
        <v>2.7702689588960499E-5</v>
      </c>
      <c r="G1279" s="3">
        <v>2.5704948602371902E-4</v>
      </c>
      <c r="H1279" s="3" t="str">
        <f>"TNIP1"</f>
        <v>TNIP1</v>
      </c>
      <c r="I1279" s="3" t="str">
        <f t="shared" si="53"/>
        <v>protein_coding</v>
      </c>
    </row>
    <row r="1280" spans="1:9" x14ac:dyDescent="0.2">
      <c r="A1280" s="3" t="str">
        <f>"ENSG00000197043.14"</f>
        <v>ENSG00000197043.14</v>
      </c>
      <c r="B1280" s="3">
        <v>1815.4653404363601</v>
      </c>
      <c r="C1280" s="3">
        <v>-1.0161457843924699</v>
      </c>
      <c r="D1280" s="3">
        <v>0.29015861264795501</v>
      </c>
      <c r="E1280" s="3">
        <v>-3.5020355767462399</v>
      </c>
      <c r="F1280" s="3">
        <v>4.6171796139170702E-4</v>
      </c>
      <c r="G1280" s="3">
        <v>3.1213424667584999E-3</v>
      </c>
      <c r="H1280" s="3" t="str">
        <f>"ANXA6"</f>
        <v>ANXA6</v>
      </c>
      <c r="I1280" s="3" t="str">
        <f t="shared" si="53"/>
        <v>protein_coding</v>
      </c>
    </row>
    <row r="1281" spans="1:9" x14ac:dyDescent="0.2">
      <c r="A1281" s="3" t="str">
        <f>"ENSG00000196743.8"</f>
        <v>ENSG00000196743.8</v>
      </c>
      <c r="B1281" s="3">
        <v>10475.9700892295</v>
      </c>
      <c r="C1281" s="3">
        <v>3.4640152338557102</v>
      </c>
      <c r="D1281" s="3">
        <v>0.247982683252259</v>
      </c>
      <c r="E1281" s="3">
        <v>13.9687787406186</v>
      </c>
      <c r="F1281" s="4">
        <v>2.4173633545645198E-44</v>
      </c>
      <c r="G1281" s="4">
        <v>4.9843258347598703E-42</v>
      </c>
      <c r="H1281" s="3" t="str">
        <f>"GM2A"</f>
        <v>GM2A</v>
      </c>
      <c r="I1281" s="3" t="str">
        <f t="shared" si="53"/>
        <v>protein_coding</v>
      </c>
    </row>
    <row r="1282" spans="1:9" x14ac:dyDescent="0.2">
      <c r="A1282" s="3" t="str">
        <f>"ENSG00000271795.1"</f>
        <v>ENSG00000271795.1</v>
      </c>
      <c r="B1282" s="3">
        <v>38.118914055946803</v>
      </c>
      <c r="C1282" s="3">
        <v>1.6889013876718999</v>
      </c>
      <c r="D1282" s="3">
        <v>0.583222227218678</v>
      </c>
      <c r="E1282" s="3">
        <v>2.8958110799824701</v>
      </c>
      <c r="F1282" s="3">
        <v>3.7817999515125001E-3</v>
      </c>
      <c r="G1282" s="3">
        <v>1.87598457464597E-2</v>
      </c>
      <c r="H1282" s="3" t="str">
        <f>"AC011337.1"</f>
        <v>AC011337.1</v>
      </c>
      <c r="I1282" s="3" t="str">
        <f>"antisense"</f>
        <v>antisense</v>
      </c>
    </row>
    <row r="1283" spans="1:9" x14ac:dyDescent="0.2">
      <c r="A1283" s="3" t="str">
        <f>"ENSG00000113140.11"</f>
        <v>ENSG00000113140.11</v>
      </c>
      <c r="B1283" s="3">
        <v>513.42566212933195</v>
      </c>
      <c r="C1283" s="3">
        <v>1.78193764199514</v>
      </c>
      <c r="D1283" s="3">
        <v>0.29609255692347702</v>
      </c>
      <c r="E1283" s="3">
        <v>6.0181777634338296</v>
      </c>
      <c r="F1283" s="4">
        <v>1.76391429054133E-9</v>
      </c>
      <c r="G1283" s="4">
        <v>3.44765065878532E-8</v>
      </c>
      <c r="H1283" s="3" t="str">
        <f>"SPARC"</f>
        <v>SPARC</v>
      </c>
      <c r="I1283" s="3" t="str">
        <f>"protein_coding"</f>
        <v>protein_coding</v>
      </c>
    </row>
    <row r="1284" spans="1:9" x14ac:dyDescent="0.2">
      <c r="A1284" s="3" t="str">
        <f>"ENSG00000164574.16"</f>
        <v>ENSG00000164574.16</v>
      </c>
      <c r="B1284" s="3">
        <v>2829.1169247901498</v>
      </c>
      <c r="C1284" s="3">
        <v>1.81690702267774</v>
      </c>
      <c r="D1284" s="3">
        <v>0.24484008488183401</v>
      </c>
      <c r="E1284" s="3">
        <v>7.4207906910121597</v>
      </c>
      <c r="F1284" s="4">
        <v>1.1642318113585699E-13</v>
      </c>
      <c r="G1284" s="4">
        <v>3.7354912263679602E-12</v>
      </c>
      <c r="H1284" s="3" t="str">
        <f>"GALNT10"</f>
        <v>GALNT10</v>
      </c>
      <c r="I1284" s="3" t="str">
        <f>"protein_coding"</f>
        <v>protein_coding</v>
      </c>
    </row>
    <row r="1285" spans="1:9" x14ac:dyDescent="0.2">
      <c r="A1285" s="3" t="str">
        <f>"ENSG00000241963.3"</f>
        <v>ENSG00000241963.3</v>
      </c>
      <c r="B1285" s="3">
        <v>13.8845726958727</v>
      </c>
      <c r="C1285" s="3">
        <v>3.7400231713182199</v>
      </c>
      <c r="D1285" s="3">
        <v>1.1192425771950301</v>
      </c>
      <c r="E1285" s="3">
        <v>3.3415662051484798</v>
      </c>
      <c r="F1285" s="3">
        <v>8.3307146424648198E-4</v>
      </c>
      <c r="G1285" s="3">
        <v>5.2220066491702596E-3</v>
      </c>
      <c r="H1285" s="3" t="str">
        <f>"RN7SL655P"</f>
        <v>RN7SL655P</v>
      </c>
      <c r="I1285" s="3" t="str">
        <f>"misc_RNA"</f>
        <v>misc_RNA</v>
      </c>
    </row>
    <row r="1286" spans="1:9" x14ac:dyDescent="0.2">
      <c r="A1286" s="3" t="str">
        <f>"ENSG00000170271.11"</f>
        <v>ENSG00000170271.11</v>
      </c>
      <c r="B1286" s="3">
        <v>2455.8128958760999</v>
      </c>
      <c r="C1286" s="3">
        <v>3.4231455987002599</v>
      </c>
      <c r="D1286" s="3">
        <v>0.245694164338534</v>
      </c>
      <c r="E1286" s="3">
        <v>13.932547433172299</v>
      </c>
      <c r="F1286" s="4">
        <v>4.01765847056686E-44</v>
      </c>
      <c r="G1286" s="4">
        <v>8.1503386150894706E-42</v>
      </c>
      <c r="H1286" s="3" t="str">
        <f>"FAXDC2"</f>
        <v>FAXDC2</v>
      </c>
      <c r="I1286" s="3" t="str">
        <f>"protein_coding"</f>
        <v>protein_coding</v>
      </c>
    </row>
    <row r="1287" spans="1:9" x14ac:dyDescent="0.2">
      <c r="A1287" s="3" t="str">
        <f>"ENSG00000113249.12"</f>
        <v>ENSG00000113249.12</v>
      </c>
      <c r="B1287" s="3">
        <v>27.2017625885772</v>
      </c>
      <c r="C1287" s="3">
        <v>1.91278847616949</v>
      </c>
      <c r="D1287" s="3">
        <v>0.68795269569429596</v>
      </c>
      <c r="E1287" s="3">
        <v>2.7804069787662802</v>
      </c>
      <c r="F1287" s="3">
        <v>5.4290811264798497E-3</v>
      </c>
      <c r="G1287" s="3">
        <v>2.53750530911558E-2</v>
      </c>
      <c r="H1287" s="3" t="str">
        <f>"HAVCR1"</f>
        <v>HAVCR1</v>
      </c>
      <c r="I1287" s="3" t="str">
        <f>"protein_coding"</f>
        <v>protein_coding</v>
      </c>
    </row>
    <row r="1288" spans="1:9" x14ac:dyDescent="0.2">
      <c r="A1288" s="3" t="str">
        <f>"ENSG00000055163.20"</f>
        <v>ENSG00000055163.20</v>
      </c>
      <c r="B1288" s="3">
        <v>4375.5836623572404</v>
      </c>
      <c r="C1288" s="3">
        <v>6.3737456411693598</v>
      </c>
      <c r="D1288" s="3">
        <v>0.27078727873400998</v>
      </c>
      <c r="E1288" s="3">
        <v>23.53783261521</v>
      </c>
      <c r="F1288" s="4">
        <v>1.6726379181353899E-122</v>
      </c>
      <c r="G1288" s="4">
        <v>6.0107438329565505E-119</v>
      </c>
      <c r="H1288" s="3" t="str">
        <f>"CYFIP2"</f>
        <v>CYFIP2</v>
      </c>
      <c r="I1288" s="3" t="str">
        <f>"protein_coding"</f>
        <v>protein_coding</v>
      </c>
    </row>
    <row r="1289" spans="1:9" x14ac:dyDescent="0.2">
      <c r="A1289" s="3" t="str">
        <f>"ENSG00000164611.13"</f>
        <v>ENSG00000164611.13</v>
      </c>
      <c r="B1289" s="3">
        <v>2259.4295917501599</v>
      </c>
      <c r="C1289" s="3">
        <v>1.43968095501808</v>
      </c>
      <c r="D1289" s="3">
        <v>0.28833587375521103</v>
      </c>
      <c r="E1289" s="3">
        <v>4.99306914629822</v>
      </c>
      <c r="F1289" s="4">
        <v>5.9427269189729896E-7</v>
      </c>
      <c r="G1289" s="4">
        <v>7.7777989410387795E-6</v>
      </c>
      <c r="H1289" s="3" t="str">
        <f>"PTTG1"</f>
        <v>PTTG1</v>
      </c>
      <c r="I1289" s="3" t="str">
        <f>"protein_coding"</f>
        <v>protein_coding</v>
      </c>
    </row>
    <row r="1290" spans="1:9" x14ac:dyDescent="0.2">
      <c r="A1290" s="3" t="str">
        <f>"ENSG00000253522.6"</f>
        <v>ENSG00000253522.6</v>
      </c>
      <c r="B1290" s="3">
        <v>243.073248312408</v>
      </c>
      <c r="C1290" s="3">
        <v>-1.0842873717870201</v>
      </c>
      <c r="D1290" s="3">
        <v>0.31070475098596301</v>
      </c>
      <c r="E1290" s="3">
        <v>-3.4897675955911298</v>
      </c>
      <c r="F1290" s="3">
        <v>4.8344077558327698E-4</v>
      </c>
      <c r="G1290" s="3">
        <v>3.2446512032543598E-3</v>
      </c>
      <c r="H1290" s="3" t="str">
        <f>"MIR3142HG"</f>
        <v>MIR3142HG</v>
      </c>
      <c r="I1290" s="3" t="str">
        <f>"lincRNA"</f>
        <v>lincRNA</v>
      </c>
    </row>
    <row r="1291" spans="1:9" x14ac:dyDescent="0.2">
      <c r="A1291" s="3" t="str">
        <f>"ENSG00000254186.2"</f>
        <v>ENSG00000254186.2</v>
      </c>
      <c r="B1291" s="3">
        <v>31.801922932370001</v>
      </c>
      <c r="C1291" s="3">
        <v>2.0512240941787998</v>
      </c>
      <c r="D1291" s="3">
        <v>0.64509438538200603</v>
      </c>
      <c r="E1291" s="3">
        <v>3.1797270921279699</v>
      </c>
      <c r="F1291" s="3">
        <v>1.47413812481028E-3</v>
      </c>
      <c r="G1291" s="3">
        <v>8.4797494922484694E-3</v>
      </c>
      <c r="H1291" s="3" t="str">
        <f>"AC113414.1"</f>
        <v>AC113414.1</v>
      </c>
      <c r="I1291" s="3" t="str">
        <f>"antisense"</f>
        <v>antisense</v>
      </c>
    </row>
    <row r="1292" spans="1:9" x14ac:dyDescent="0.2">
      <c r="A1292" s="3" t="str">
        <f>"ENSG00000113328.19"</f>
        <v>ENSG00000113328.19</v>
      </c>
      <c r="B1292" s="3">
        <v>7194.1819345263402</v>
      </c>
      <c r="C1292" s="3">
        <v>1.5808535358601301</v>
      </c>
      <c r="D1292" s="3">
        <v>0.26262875337069802</v>
      </c>
      <c r="E1292" s="3">
        <v>6.0193467606678004</v>
      </c>
      <c r="F1292" s="4">
        <v>1.7512235425567201E-9</v>
      </c>
      <c r="G1292" s="4">
        <v>3.4255076370928799E-8</v>
      </c>
      <c r="H1292" s="3" t="str">
        <f>"CCNG1"</f>
        <v>CCNG1</v>
      </c>
      <c r="I1292" s="3" t="str">
        <f t="shared" ref="I1292:I1305" si="54">"protein_coding"</f>
        <v>protein_coding</v>
      </c>
    </row>
    <row r="1293" spans="1:9" x14ac:dyDescent="0.2">
      <c r="A1293" s="3" t="str">
        <f>"ENSG00000072571.20"</f>
        <v>ENSG00000072571.20</v>
      </c>
      <c r="B1293" s="3">
        <v>1800.5961750643801</v>
      </c>
      <c r="C1293" s="3">
        <v>1.5177043851880001</v>
      </c>
      <c r="D1293" s="3">
        <v>0.30302549887735297</v>
      </c>
      <c r="E1293" s="3">
        <v>5.0085038744619998</v>
      </c>
      <c r="F1293" s="4">
        <v>5.4854771518862004E-7</v>
      </c>
      <c r="G1293" s="4">
        <v>7.2244595683611197E-6</v>
      </c>
      <c r="H1293" s="3" t="str">
        <f>"HMMR"</f>
        <v>HMMR</v>
      </c>
      <c r="I1293" s="3" t="str">
        <f t="shared" si="54"/>
        <v>protein_coding</v>
      </c>
    </row>
    <row r="1294" spans="1:9" x14ac:dyDescent="0.2">
      <c r="A1294" s="3" t="str">
        <f>"ENSG00000038274.17"</f>
        <v>ENSG00000038274.17</v>
      </c>
      <c r="B1294" s="3">
        <v>1967.6579577105499</v>
      </c>
      <c r="C1294" s="3">
        <v>1.0857178410686199</v>
      </c>
      <c r="D1294" s="3">
        <v>0.25136253627086802</v>
      </c>
      <c r="E1294" s="3">
        <v>4.3193303870018802</v>
      </c>
      <c r="F1294" s="4">
        <v>1.5650333741996801E-5</v>
      </c>
      <c r="G1294" s="3">
        <v>1.5336351588622101E-4</v>
      </c>
      <c r="H1294" s="3" t="str">
        <f>"MAT2B"</f>
        <v>MAT2B</v>
      </c>
      <c r="I1294" s="3" t="str">
        <f t="shared" si="54"/>
        <v>protein_coding</v>
      </c>
    </row>
    <row r="1295" spans="1:9" x14ac:dyDescent="0.2">
      <c r="A1295" s="3" t="str">
        <f>"ENSG00000214357.8"</f>
        <v>ENSG00000214357.8</v>
      </c>
      <c r="B1295" s="3">
        <v>466.35775115599603</v>
      </c>
      <c r="C1295" s="3">
        <v>1.5487207064291799</v>
      </c>
      <c r="D1295" s="3">
        <v>0.320464527203289</v>
      </c>
      <c r="E1295" s="3">
        <v>4.8327367772806102</v>
      </c>
      <c r="F1295" s="4">
        <v>1.3466879481283601E-6</v>
      </c>
      <c r="G1295" s="4">
        <v>1.6302182548204401E-5</v>
      </c>
      <c r="H1295" s="3" t="str">
        <f>"NEURL1B"</f>
        <v>NEURL1B</v>
      </c>
      <c r="I1295" s="3" t="str">
        <f t="shared" si="54"/>
        <v>protein_coding</v>
      </c>
    </row>
    <row r="1296" spans="1:9" x14ac:dyDescent="0.2">
      <c r="A1296" s="3" t="str">
        <f>"ENSG00000164463.12"</f>
        <v>ENSG00000164463.12</v>
      </c>
      <c r="B1296" s="3">
        <v>884.20954243800895</v>
      </c>
      <c r="C1296" s="3">
        <v>1.5851257552323299</v>
      </c>
      <c r="D1296" s="3">
        <v>0.26115911243329398</v>
      </c>
      <c r="E1296" s="3">
        <v>6.0695785816671801</v>
      </c>
      <c r="F1296" s="4">
        <v>1.2824632848171201E-9</v>
      </c>
      <c r="G1296" s="4">
        <v>2.57259680459128E-8</v>
      </c>
      <c r="H1296" s="3" t="str">
        <f>"CREBRF"</f>
        <v>CREBRF</v>
      </c>
      <c r="I1296" s="3" t="str">
        <f t="shared" si="54"/>
        <v>protein_coding</v>
      </c>
    </row>
    <row r="1297" spans="1:9" x14ac:dyDescent="0.2">
      <c r="A1297" s="3" t="str">
        <f>"ENSG00000113742.13"</f>
        <v>ENSG00000113742.13</v>
      </c>
      <c r="B1297" s="3">
        <v>4697.2389348967699</v>
      </c>
      <c r="C1297" s="3">
        <v>1.76013493490997</v>
      </c>
      <c r="D1297" s="3">
        <v>0.234394444619414</v>
      </c>
      <c r="E1297" s="3">
        <v>7.5092860573888496</v>
      </c>
      <c r="F1297" s="4">
        <v>5.9450690145705604E-14</v>
      </c>
      <c r="G1297" s="4">
        <v>1.9396655131196199E-12</v>
      </c>
      <c r="H1297" s="3" t="str">
        <f>"CPEB4"</f>
        <v>CPEB4</v>
      </c>
      <c r="I1297" s="3" t="str">
        <f t="shared" si="54"/>
        <v>protein_coding</v>
      </c>
    </row>
    <row r="1298" spans="1:9" x14ac:dyDescent="0.2">
      <c r="A1298" s="3" t="str">
        <f>"ENSG00000145920.15"</f>
        <v>ENSG00000145920.15</v>
      </c>
      <c r="B1298" s="3">
        <v>2352.9402719331601</v>
      </c>
      <c r="C1298" s="3">
        <v>1.6926011001927801</v>
      </c>
      <c r="D1298" s="3">
        <v>0.34737556263602698</v>
      </c>
      <c r="E1298" s="3">
        <v>4.8725393558160297</v>
      </c>
      <c r="F1298" s="4">
        <v>1.10172899900108E-6</v>
      </c>
      <c r="G1298" s="4">
        <v>1.3644956583463599E-5</v>
      </c>
      <c r="H1298" s="3" t="str">
        <f>"CPLX2"</f>
        <v>CPLX2</v>
      </c>
      <c r="I1298" s="3" t="str">
        <f t="shared" si="54"/>
        <v>protein_coding</v>
      </c>
    </row>
    <row r="1299" spans="1:9" x14ac:dyDescent="0.2">
      <c r="A1299" s="3" t="str">
        <f>"ENSG00000074276.10"</f>
        <v>ENSG00000074276.10</v>
      </c>
      <c r="B1299" s="3">
        <v>311.41251719157799</v>
      </c>
      <c r="C1299" s="3">
        <v>1.2394233869012301</v>
      </c>
      <c r="D1299" s="3">
        <v>0.40136758792381599</v>
      </c>
      <c r="E1299" s="3">
        <v>3.0880006861353499</v>
      </c>
      <c r="F1299" s="3">
        <v>2.01508005680164E-3</v>
      </c>
      <c r="G1299" s="3">
        <v>1.10170264787753E-2</v>
      </c>
      <c r="H1299" s="3" t="str">
        <f>"CDHR2"</f>
        <v>CDHR2</v>
      </c>
      <c r="I1299" s="3" t="str">
        <f t="shared" si="54"/>
        <v>protein_coding</v>
      </c>
    </row>
    <row r="1300" spans="1:9" x14ac:dyDescent="0.2">
      <c r="A1300" s="3" t="str">
        <f>"ENSG00000169258.7"</f>
        <v>ENSG00000169258.7</v>
      </c>
      <c r="B1300" s="3">
        <v>169.56384119281199</v>
      </c>
      <c r="C1300" s="3">
        <v>-1.30987577193315</v>
      </c>
      <c r="D1300" s="3">
        <v>0.34397418190082002</v>
      </c>
      <c r="E1300" s="3">
        <v>-3.8080642119553998</v>
      </c>
      <c r="F1300" s="3">
        <v>1.4005890846560199E-4</v>
      </c>
      <c r="G1300" s="3">
        <v>1.09058721881149E-3</v>
      </c>
      <c r="H1300" s="3" t="str">
        <f>"GPRIN1"</f>
        <v>GPRIN1</v>
      </c>
      <c r="I1300" s="3" t="str">
        <f t="shared" si="54"/>
        <v>protein_coding</v>
      </c>
    </row>
    <row r="1301" spans="1:9" x14ac:dyDescent="0.2">
      <c r="A1301" s="3" t="str">
        <f>"ENSG00000087206.17"</f>
        <v>ENSG00000087206.17</v>
      </c>
      <c r="B1301" s="3">
        <v>1464.3194256561601</v>
      </c>
      <c r="C1301" s="3">
        <v>1.0948503754325301</v>
      </c>
      <c r="D1301" s="3">
        <v>0.25219870894875102</v>
      </c>
      <c r="E1301" s="3">
        <v>4.3412211743519302</v>
      </c>
      <c r="F1301" s="4">
        <v>1.41693004085662E-5</v>
      </c>
      <c r="G1301" s="3">
        <v>1.3999558200215401E-4</v>
      </c>
      <c r="H1301" s="3" t="str">
        <f>"UIMC1"</f>
        <v>UIMC1</v>
      </c>
      <c r="I1301" s="3" t="str">
        <f t="shared" si="54"/>
        <v>protein_coding</v>
      </c>
    </row>
    <row r="1302" spans="1:9" x14ac:dyDescent="0.2">
      <c r="A1302" s="3" t="str">
        <f>"ENSG00000160867.15"</f>
        <v>ENSG00000160867.15</v>
      </c>
      <c r="B1302" s="3">
        <v>4555.7354324149301</v>
      </c>
      <c r="C1302" s="3">
        <v>-1.33147063356579</v>
      </c>
      <c r="D1302" s="3">
        <v>0.296134174181371</v>
      </c>
      <c r="E1302" s="3">
        <v>-4.4961735242023098</v>
      </c>
      <c r="F1302" s="4">
        <v>6.9187279616988704E-6</v>
      </c>
      <c r="G1302" s="4">
        <v>7.3871223207357895E-5</v>
      </c>
      <c r="H1302" s="3" t="str">
        <f>"FGFR4"</f>
        <v>FGFR4</v>
      </c>
      <c r="I1302" s="3" t="str">
        <f t="shared" si="54"/>
        <v>protein_coding</v>
      </c>
    </row>
    <row r="1303" spans="1:9" x14ac:dyDescent="0.2">
      <c r="A1303" s="3" t="str">
        <f>"ENSG00000165671.20"</f>
        <v>ENSG00000165671.20</v>
      </c>
      <c r="B1303" s="3">
        <v>72.184159474991404</v>
      </c>
      <c r="C1303" s="3">
        <v>-1.7356780884265699</v>
      </c>
      <c r="D1303" s="3">
        <v>0.46080813340722199</v>
      </c>
      <c r="E1303" s="3">
        <v>-3.7665960355190502</v>
      </c>
      <c r="F1303" s="3">
        <v>1.6548844410931899E-4</v>
      </c>
      <c r="G1303" s="3">
        <v>1.2607092100454E-3</v>
      </c>
      <c r="H1303" s="3" t="str">
        <f>"NSD1"</f>
        <v>NSD1</v>
      </c>
      <c r="I1303" s="3" t="str">
        <f t="shared" si="54"/>
        <v>protein_coding</v>
      </c>
    </row>
    <row r="1304" spans="1:9" x14ac:dyDescent="0.2">
      <c r="A1304" s="3" t="str">
        <f>"ENSG00000169230.10"</f>
        <v>ENSG00000169230.10</v>
      </c>
      <c r="B1304" s="3">
        <v>3872.39266116304</v>
      </c>
      <c r="C1304" s="3">
        <v>-1.2201120294774399</v>
      </c>
      <c r="D1304" s="3">
        <v>0.301412208979699</v>
      </c>
      <c r="E1304" s="3">
        <v>-4.0479847634825399</v>
      </c>
      <c r="F1304" s="4">
        <v>5.1660508461950302E-5</v>
      </c>
      <c r="G1304" s="3">
        <v>4.52321646488117E-4</v>
      </c>
      <c r="H1304" s="3" t="str">
        <f>"PRELID1"</f>
        <v>PRELID1</v>
      </c>
      <c r="I1304" s="3" t="str">
        <f t="shared" si="54"/>
        <v>protein_coding</v>
      </c>
    </row>
    <row r="1305" spans="1:9" x14ac:dyDescent="0.2">
      <c r="A1305" s="3" t="str">
        <f>"ENSG00000146094.14"</f>
        <v>ENSG00000146094.14</v>
      </c>
      <c r="B1305" s="3">
        <v>93.119046072103501</v>
      </c>
      <c r="C1305" s="3">
        <v>-1.29622762318234</v>
      </c>
      <c r="D1305" s="3">
        <v>0.423847079501258</v>
      </c>
      <c r="E1305" s="3">
        <v>-3.0582436116054401</v>
      </c>
      <c r="F1305" s="3">
        <v>2.2263850319935402E-3</v>
      </c>
      <c r="G1305" s="3">
        <v>1.2000153306149E-2</v>
      </c>
      <c r="H1305" s="3" t="str">
        <f>"DOK3"</f>
        <v>DOK3</v>
      </c>
      <c r="I1305" s="3" t="str">
        <f t="shared" si="54"/>
        <v>protein_coding</v>
      </c>
    </row>
    <row r="1306" spans="1:9" x14ac:dyDescent="0.2">
      <c r="A1306" s="3" t="str">
        <f>"ENSG00000249684.5"</f>
        <v>ENSG00000249684.5</v>
      </c>
      <c r="B1306" s="3">
        <v>49.431598669336601</v>
      </c>
      <c r="C1306" s="3">
        <v>-1.3530590407796399</v>
      </c>
      <c r="D1306" s="3">
        <v>0.52002790789125897</v>
      </c>
      <c r="E1306" s="3">
        <v>-2.6018969756188102</v>
      </c>
      <c r="F1306" s="3">
        <v>9.2709698308221407E-3</v>
      </c>
      <c r="G1306" s="3">
        <v>3.9641551265397097E-2</v>
      </c>
      <c r="H1306" s="3" t="str">
        <f>"AC106795.2"</f>
        <v>AC106795.2</v>
      </c>
      <c r="I1306" s="3" t="str">
        <f>"antisense"</f>
        <v>antisense</v>
      </c>
    </row>
    <row r="1307" spans="1:9" x14ac:dyDescent="0.2">
      <c r="A1307" s="3" t="str">
        <f>"ENSG00000175309.15"</f>
        <v>ENSG00000175309.15</v>
      </c>
      <c r="B1307" s="3">
        <v>1774.4160638297501</v>
      </c>
      <c r="C1307" s="3">
        <v>1.06622404259648</v>
      </c>
      <c r="D1307" s="3">
        <v>0.26769281309038501</v>
      </c>
      <c r="E1307" s="3">
        <v>3.9830133289251899</v>
      </c>
      <c r="F1307" s="4">
        <v>6.8046937569222595E-5</v>
      </c>
      <c r="G1307" s="3">
        <v>5.7847945743622704E-4</v>
      </c>
      <c r="H1307" s="3" t="str">
        <f>"PHYKPL"</f>
        <v>PHYKPL</v>
      </c>
      <c r="I1307" s="3" t="str">
        <f>"protein_coding"</f>
        <v>protein_coding</v>
      </c>
    </row>
    <row r="1308" spans="1:9" x14ac:dyDescent="0.2">
      <c r="A1308" s="3" t="str">
        <f>"ENSG00000087116.16"</f>
        <v>ENSG00000087116.16</v>
      </c>
      <c r="B1308" s="3">
        <v>571.26959887467103</v>
      </c>
      <c r="C1308" s="3">
        <v>4.6922185672082</v>
      </c>
      <c r="D1308" s="3">
        <v>0.32375706623451</v>
      </c>
      <c r="E1308" s="3">
        <v>14.4930228760148</v>
      </c>
      <c r="F1308" s="4">
        <v>1.34108525257756E-47</v>
      </c>
      <c r="G1308" s="4">
        <v>3.2128570979608199E-45</v>
      </c>
      <c r="H1308" s="3" t="str">
        <f>"ADAMTS2"</f>
        <v>ADAMTS2</v>
      </c>
      <c r="I1308" s="3" t="str">
        <f>"protein_coding"</f>
        <v>protein_coding</v>
      </c>
    </row>
    <row r="1309" spans="1:9" x14ac:dyDescent="0.2">
      <c r="A1309" s="3" t="str">
        <f>"ENSG00000204661.9"</f>
        <v>ENSG00000204661.9</v>
      </c>
      <c r="B1309" s="3">
        <v>11.0492509532915</v>
      </c>
      <c r="C1309" s="3">
        <v>3.0686000140459799</v>
      </c>
      <c r="D1309" s="3">
        <v>1.1215372703372699</v>
      </c>
      <c r="E1309" s="3">
        <v>2.7360660186738102</v>
      </c>
      <c r="F1309" s="3">
        <v>6.2178550180484599E-3</v>
      </c>
      <c r="G1309" s="3">
        <v>2.8402059738334699E-2</v>
      </c>
      <c r="H1309" s="3" t="str">
        <f>"C5orf60"</f>
        <v>C5orf60</v>
      </c>
      <c r="I1309" s="3" t="str">
        <f>"protein_coding"</f>
        <v>protein_coding</v>
      </c>
    </row>
    <row r="1310" spans="1:9" x14ac:dyDescent="0.2">
      <c r="A1310" s="3" t="str">
        <f>"ENSG00000250999.1"</f>
        <v>ENSG00000250999.1</v>
      </c>
      <c r="B1310" s="3">
        <v>70.275016668847698</v>
      </c>
      <c r="C1310" s="3">
        <v>2.8771058995436798</v>
      </c>
      <c r="D1310" s="3">
        <v>0.49999477433662098</v>
      </c>
      <c r="E1310" s="3">
        <v>5.7542719388636403</v>
      </c>
      <c r="F1310" s="4">
        <v>8.7015988054874205E-9</v>
      </c>
      <c r="G1310" s="4">
        <v>1.5458242793222899E-7</v>
      </c>
      <c r="H1310" s="3" t="str">
        <f>"AC136604.3"</f>
        <v>AC136604.3</v>
      </c>
      <c r="I1310" s="3" t="str">
        <f>"antisense"</f>
        <v>antisense</v>
      </c>
    </row>
    <row r="1311" spans="1:9" x14ac:dyDescent="0.2">
      <c r="A1311" s="3" t="str">
        <f>"ENSG00000222448.1"</f>
        <v>ENSG00000222448.1</v>
      </c>
      <c r="B1311" s="3">
        <v>7.78977717225394</v>
      </c>
      <c r="C1311" s="3">
        <v>-6.35531189743919</v>
      </c>
      <c r="D1311" s="3">
        <v>1.85407630318679</v>
      </c>
      <c r="E1311" s="3">
        <v>-3.4277509973649201</v>
      </c>
      <c r="F1311" s="3">
        <v>6.0860340582874896E-4</v>
      </c>
      <c r="G1311" s="3">
        <v>3.9802275134655602E-3</v>
      </c>
      <c r="H1311" s="3" t="str">
        <f>"RN7SKP150"</f>
        <v>RN7SKP150</v>
      </c>
      <c r="I1311" s="3" t="str">
        <f>"misc_RNA"</f>
        <v>misc_RNA</v>
      </c>
    </row>
    <row r="1312" spans="1:9" x14ac:dyDescent="0.2">
      <c r="A1312" s="3" t="str">
        <f>"ENSG00000245317.2"</f>
        <v>ENSG00000245317.2</v>
      </c>
      <c r="B1312" s="3">
        <v>62.332854911374902</v>
      </c>
      <c r="C1312" s="3">
        <v>-1.8826789251235601</v>
      </c>
      <c r="D1312" s="3">
        <v>0.51163083964008504</v>
      </c>
      <c r="E1312" s="3">
        <v>-3.67976044299433</v>
      </c>
      <c r="F1312" s="3">
        <v>2.3345315617062399E-4</v>
      </c>
      <c r="G1312" s="3">
        <v>1.71360202610798E-3</v>
      </c>
      <c r="H1312" s="3" t="str">
        <f>"AC008393.1"</f>
        <v>AC008393.1</v>
      </c>
      <c r="I1312" s="3" t="str">
        <f>"lincRNA"</f>
        <v>lincRNA</v>
      </c>
    </row>
    <row r="1313" spans="1:9" x14ac:dyDescent="0.2">
      <c r="A1313" s="3" t="str">
        <f>"ENSG00000146054.18"</f>
        <v>ENSG00000146054.18</v>
      </c>
      <c r="B1313" s="3">
        <v>21.811642648749601</v>
      </c>
      <c r="C1313" s="3">
        <v>-3.2622646094082799</v>
      </c>
      <c r="D1313" s="3">
        <v>0.85015823857955397</v>
      </c>
      <c r="E1313" s="3">
        <v>-3.8372440110195001</v>
      </c>
      <c r="F1313" s="3">
        <v>1.24422825847795E-4</v>
      </c>
      <c r="G1313" s="3">
        <v>9.8423150446581408E-4</v>
      </c>
      <c r="H1313" s="3" t="str">
        <f>"TRIM7"</f>
        <v>TRIM7</v>
      </c>
      <c r="I1313" s="3" t="str">
        <f>"protein_coding"</f>
        <v>protein_coding</v>
      </c>
    </row>
    <row r="1314" spans="1:9" x14ac:dyDescent="0.2">
      <c r="A1314" s="3" t="str">
        <f>"ENSG00000137273.5"</f>
        <v>ENSG00000137273.5</v>
      </c>
      <c r="B1314" s="3">
        <v>46.3711264161374</v>
      </c>
      <c r="C1314" s="3">
        <v>-2.8723562205454098</v>
      </c>
      <c r="D1314" s="3">
        <v>0.64524267688741899</v>
      </c>
      <c r="E1314" s="3">
        <v>-4.4515905773643896</v>
      </c>
      <c r="F1314" s="4">
        <v>8.5236565098808701E-6</v>
      </c>
      <c r="G1314" s="4">
        <v>8.8894104272824702E-5</v>
      </c>
      <c r="H1314" s="3" t="str">
        <f>"FOXF2"</f>
        <v>FOXF2</v>
      </c>
      <c r="I1314" s="3" t="str">
        <f>"protein_coding"</f>
        <v>protein_coding</v>
      </c>
    </row>
    <row r="1315" spans="1:9" x14ac:dyDescent="0.2">
      <c r="A1315" s="3" t="str">
        <f>"ENSG00000054598.8"</f>
        <v>ENSG00000054598.8</v>
      </c>
      <c r="B1315" s="3">
        <v>273.53016076838998</v>
      </c>
      <c r="C1315" s="3">
        <v>-1.3586397983004099</v>
      </c>
      <c r="D1315" s="3">
        <v>0.31028931163451001</v>
      </c>
      <c r="E1315" s="3">
        <v>-4.37862261881825</v>
      </c>
      <c r="F1315" s="4">
        <v>1.19431737404457E-5</v>
      </c>
      <c r="G1315" s="3">
        <v>1.20028180359933E-4</v>
      </c>
      <c r="H1315" s="3" t="str">
        <f>"FOXC1"</f>
        <v>FOXC1</v>
      </c>
      <c r="I1315" s="3" t="str">
        <f>"protein_coding"</f>
        <v>protein_coding</v>
      </c>
    </row>
    <row r="1316" spans="1:9" x14ac:dyDescent="0.2">
      <c r="A1316" s="3" t="str">
        <f>"ENSG00000250903.8"</f>
        <v>ENSG00000250903.8</v>
      </c>
      <c r="B1316" s="3">
        <v>1214.52604438202</v>
      </c>
      <c r="C1316" s="3">
        <v>1.1131713006823001</v>
      </c>
      <c r="D1316" s="3">
        <v>0.248694802895879</v>
      </c>
      <c r="E1316" s="3">
        <v>4.4760537322058704</v>
      </c>
      <c r="F1316" s="4">
        <v>7.6035356320997896E-6</v>
      </c>
      <c r="G1316" s="4">
        <v>8.0398040700071499E-5</v>
      </c>
      <c r="H1316" s="3" t="str">
        <f>"GMDS-DT"</f>
        <v>GMDS-DT</v>
      </c>
      <c r="I1316" s="3" t="str">
        <f>"lincRNA"</f>
        <v>lincRNA</v>
      </c>
    </row>
    <row r="1317" spans="1:9" x14ac:dyDescent="0.2">
      <c r="A1317" s="3" t="str">
        <f>"ENSG00000236086.4"</f>
        <v>ENSG00000236086.4</v>
      </c>
      <c r="B1317" s="3">
        <v>58.271585404787103</v>
      </c>
      <c r="C1317" s="3">
        <v>1.3091575352684901</v>
      </c>
      <c r="D1317" s="3">
        <v>0.50501053908703297</v>
      </c>
      <c r="E1317" s="3">
        <v>2.5923370582229999</v>
      </c>
      <c r="F1317" s="3">
        <v>9.5326325883952501E-3</v>
      </c>
      <c r="G1317" s="3">
        <v>4.0594781236005101E-2</v>
      </c>
      <c r="H1317" s="3" t="str">
        <f>"HMGN2P28"</f>
        <v>HMGN2P28</v>
      </c>
      <c r="I1317" s="3" t="str">
        <f>"processed_pseudogene"</f>
        <v>processed_pseudogene</v>
      </c>
    </row>
    <row r="1318" spans="1:9" x14ac:dyDescent="0.2">
      <c r="A1318" s="3" t="str">
        <f>"ENSG00000137267.6"</f>
        <v>ENSG00000137267.6</v>
      </c>
      <c r="B1318" s="3">
        <v>1926.83177826869</v>
      </c>
      <c r="C1318" s="3">
        <v>-2.0442313346861498</v>
      </c>
      <c r="D1318" s="3">
        <v>0.300365144809292</v>
      </c>
      <c r="E1318" s="3">
        <v>-6.8058207485561297</v>
      </c>
      <c r="F1318" s="4">
        <v>1.00474752690278E-11</v>
      </c>
      <c r="G1318" s="4">
        <v>2.5763938877919999E-10</v>
      </c>
      <c r="H1318" s="3" t="str">
        <f>"TUBB2A"</f>
        <v>TUBB2A</v>
      </c>
      <c r="I1318" s="3" t="str">
        <f>"protein_coding"</f>
        <v>protein_coding</v>
      </c>
    </row>
    <row r="1319" spans="1:9" x14ac:dyDescent="0.2">
      <c r="A1319" s="3" t="str">
        <f>"ENSG00000230269.6"</f>
        <v>ENSG00000230269.6</v>
      </c>
      <c r="B1319" s="3">
        <v>815.08316770553995</v>
      </c>
      <c r="C1319" s="3">
        <v>2.9692998289169199</v>
      </c>
      <c r="D1319" s="3">
        <v>0.27332688892492601</v>
      </c>
      <c r="E1319" s="3">
        <v>10.8635481880178</v>
      </c>
      <c r="F1319" s="4">
        <v>1.7193608027003699E-27</v>
      </c>
      <c r="G1319" s="4">
        <v>1.55019788501533E-25</v>
      </c>
      <c r="H1319" s="3" t="str">
        <f>"LINC02525"</f>
        <v>LINC02525</v>
      </c>
      <c r="I1319" s="3" t="str">
        <f>"lincRNA"</f>
        <v>lincRNA</v>
      </c>
    </row>
    <row r="1320" spans="1:9" x14ac:dyDescent="0.2">
      <c r="A1320" s="3" t="str">
        <f>"ENSG00000137285.10"</f>
        <v>ENSG00000137285.10</v>
      </c>
      <c r="B1320" s="3">
        <v>867.97016678229795</v>
      </c>
      <c r="C1320" s="3">
        <v>-2.73022313817934</v>
      </c>
      <c r="D1320" s="3">
        <v>0.29148503327693398</v>
      </c>
      <c r="E1320" s="3">
        <v>-9.36659802901581</v>
      </c>
      <c r="F1320" s="4">
        <v>7.4908030391386797E-21</v>
      </c>
      <c r="G1320" s="4">
        <v>4.2825261465803101E-19</v>
      </c>
      <c r="H1320" s="3" t="str">
        <f>"TUBB2B"</f>
        <v>TUBB2B</v>
      </c>
      <c r="I1320" s="3" t="str">
        <f>"protein_coding"</f>
        <v>protein_coding</v>
      </c>
    </row>
    <row r="1321" spans="1:9" x14ac:dyDescent="0.2">
      <c r="A1321" s="3" t="str">
        <f>"ENSG00000270504.1"</f>
        <v>ENSG00000270504.1</v>
      </c>
      <c r="B1321" s="3">
        <v>249.079431477931</v>
      </c>
      <c r="C1321" s="3">
        <v>-1.3539603232624</v>
      </c>
      <c r="D1321" s="3">
        <v>0.31338431335755701</v>
      </c>
      <c r="E1321" s="3">
        <v>-4.3204470216018702</v>
      </c>
      <c r="F1321" s="4">
        <v>1.55713438215986E-5</v>
      </c>
      <c r="G1321" s="3">
        <v>1.52768000714631E-4</v>
      </c>
      <c r="H1321" s="3" t="str">
        <f>"AL391422.4"</f>
        <v>AL391422.4</v>
      </c>
      <c r="I1321" s="3" t="str">
        <f>"antisense"</f>
        <v>antisense</v>
      </c>
    </row>
    <row r="1322" spans="1:9" x14ac:dyDescent="0.2">
      <c r="A1322" s="3" t="str">
        <f>"ENSG00000260604.2"</f>
        <v>ENSG00000260604.2</v>
      </c>
      <c r="B1322" s="3">
        <v>1860.3165743657401</v>
      </c>
      <c r="C1322" s="3">
        <v>-2.4135004657024002</v>
      </c>
      <c r="D1322" s="3">
        <v>0.248622692471374</v>
      </c>
      <c r="E1322" s="3">
        <v>-9.7074826183868197</v>
      </c>
      <c r="F1322" s="4">
        <v>2.8017111896336301E-22</v>
      </c>
      <c r="G1322" s="4">
        <v>1.75753229364673E-20</v>
      </c>
      <c r="H1322" s="3" t="str">
        <f>"AL590004.3"</f>
        <v>AL590004.3</v>
      </c>
      <c r="I1322" s="3" t="str">
        <f>"lincRNA"</f>
        <v>lincRNA</v>
      </c>
    </row>
    <row r="1323" spans="1:9" x14ac:dyDescent="0.2">
      <c r="A1323" s="3" t="str">
        <f>"ENSG00000124787.13"</f>
        <v>ENSG00000124787.13</v>
      </c>
      <c r="B1323" s="3">
        <v>718.85070774765404</v>
      </c>
      <c r="C1323" s="3">
        <v>-1.9575311784625899</v>
      </c>
      <c r="D1323" s="3">
        <v>0.28576175072104498</v>
      </c>
      <c r="E1323" s="3">
        <v>-6.8502211143488099</v>
      </c>
      <c r="F1323" s="4">
        <v>7.3735927665818506E-12</v>
      </c>
      <c r="G1323" s="4">
        <v>1.9221007880141601E-10</v>
      </c>
      <c r="H1323" s="3" t="str">
        <f>"RPP40"</f>
        <v>RPP40</v>
      </c>
      <c r="I1323" s="3" t="str">
        <f>"protein_coding"</f>
        <v>protein_coding</v>
      </c>
    </row>
    <row r="1324" spans="1:9" x14ac:dyDescent="0.2">
      <c r="A1324" s="3" t="str">
        <f>"ENSG00000272142.1"</f>
        <v>ENSG00000272142.1</v>
      </c>
      <c r="B1324" s="3">
        <v>54.634045915028999</v>
      </c>
      <c r="C1324" s="3">
        <v>-1.36995267280049</v>
      </c>
      <c r="D1324" s="3">
        <v>0.518050146652976</v>
      </c>
      <c r="E1324" s="3">
        <v>-2.6444402760070602</v>
      </c>
      <c r="F1324" s="3">
        <v>8.1826145450160197E-3</v>
      </c>
      <c r="G1324" s="3">
        <v>3.56916367053716E-2</v>
      </c>
      <c r="H1324" s="3" t="str">
        <f>"AL359643.3"</f>
        <v>AL359643.3</v>
      </c>
      <c r="I1324" s="3" t="str">
        <f>"lincRNA"</f>
        <v>lincRNA</v>
      </c>
    </row>
    <row r="1325" spans="1:9" x14ac:dyDescent="0.2">
      <c r="A1325" s="3" t="str">
        <f>"ENSG00000219607.3"</f>
        <v>ENSG00000219607.3</v>
      </c>
      <c r="B1325" s="3">
        <v>32.089474268835602</v>
      </c>
      <c r="C1325" s="3">
        <v>2.87938171168061</v>
      </c>
      <c r="D1325" s="3">
        <v>0.70805837284265005</v>
      </c>
      <c r="E1325" s="3">
        <v>4.0665880414925804</v>
      </c>
      <c r="F1325" s="4">
        <v>4.7706467058647502E-5</v>
      </c>
      <c r="G1325" s="3">
        <v>4.2062957548555098E-4</v>
      </c>
      <c r="H1325" s="3" t="str">
        <f>"PPP1R3G"</f>
        <v>PPP1R3G</v>
      </c>
      <c r="I1325" s="3" t="str">
        <f>"protein_coding"</f>
        <v>protein_coding</v>
      </c>
    </row>
    <row r="1326" spans="1:9" x14ac:dyDescent="0.2">
      <c r="A1326" s="3" t="str">
        <f>"ENSG00000261189.1"</f>
        <v>ENSG00000261189.1</v>
      </c>
      <c r="B1326" s="3">
        <v>523.38291701722596</v>
      </c>
      <c r="C1326" s="3">
        <v>-1.60779038025552</v>
      </c>
      <c r="D1326" s="3">
        <v>0.29001628711287603</v>
      </c>
      <c r="E1326" s="3">
        <v>-5.5437934064363601</v>
      </c>
      <c r="F1326" s="4">
        <v>2.9598803972323499E-8</v>
      </c>
      <c r="G1326" s="4">
        <v>4.8316542110564398E-7</v>
      </c>
      <c r="H1326" s="3" t="str">
        <f>"AL031058.1"</f>
        <v>AL031058.1</v>
      </c>
      <c r="I1326" s="3" t="str">
        <f>"antisense"</f>
        <v>antisense</v>
      </c>
    </row>
    <row r="1327" spans="1:9" x14ac:dyDescent="0.2">
      <c r="A1327" s="3" t="str">
        <f>"ENSG00000111837.11"</f>
        <v>ENSG00000111837.11</v>
      </c>
      <c r="B1327" s="3">
        <v>93.285511024928994</v>
      </c>
      <c r="C1327" s="3">
        <v>1.34869976168956</v>
      </c>
      <c r="D1327" s="3">
        <v>0.43103853769528</v>
      </c>
      <c r="E1327" s="3">
        <v>3.12895401163183</v>
      </c>
      <c r="F1327" s="3">
        <v>1.7542976249314401E-3</v>
      </c>
      <c r="G1327" s="3">
        <v>9.8152483886010892E-3</v>
      </c>
      <c r="H1327" s="3" t="str">
        <f>"MAK"</f>
        <v>MAK</v>
      </c>
      <c r="I1327" s="3" t="str">
        <f>"protein_coding"</f>
        <v>protein_coding</v>
      </c>
    </row>
    <row r="1328" spans="1:9" x14ac:dyDescent="0.2">
      <c r="A1328" s="3" t="str">
        <f>"ENSG00000197977.4"</f>
        <v>ENSG00000197977.4</v>
      </c>
      <c r="B1328" s="3">
        <v>3428.96350008442</v>
      </c>
      <c r="C1328" s="3">
        <v>-1.5870028264514799</v>
      </c>
      <c r="D1328" s="3">
        <v>0.25214418169777397</v>
      </c>
      <c r="E1328" s="3">
        <v>-6.2940291374785797</v>
      </c>
      <c r="F1328" s="4">
        <v>3.09329722276981E-10</v>
      </c>
      <c r="G1328" s="4">
        <v>6.73113249470369E-9</v>
      </c>
      <c r="H1328" s="3" t="str">
        <f>"ELOVL2"</f>
        <v>ELOVL2</v>
      </c>
      <c r="I1328" s="3" t="str">
        <f>"protein_coding"</f>
        <v>protein_coding</v>
      </c>
    </row>
    <row r="1329" spans="1:9" x14ac:dyDescent="0.2">
      <c r="A1329" s="3" t="str">
        <f>"ENSG00000205269.6"</f>
        <v>ENSG00000205269.6</v>
      </c>
      <c r="B1329" s="3">
        <v>1270.54233447006</v>
      </c>
      <c r="C1329" s="3">
        <v>-1.88794779343215</v>
      </c>
      <c r="D1329" s="3">
        <v>0.26083935208738501</v>
      </c>
      <c r="E1329" s="3">
        <v>-7.23797148828855</v>
      </c>
      <c r="F1329" s="4">
        <v>4.5544515219500703E-13</v>
      </c>
      <c r="G1329" s="4">
        <v>1.37535687916751E-11</v>
      </c>
      <c r="H1329" s="3" t="str">
        <f>"TMEM170B"</f>
        <v>TMEM170B</v>
      </c>
      <c r="I1329" s="3" t="str">
        <f>"protein_coding"</f>
        <v>protein_coding</v>
      </c>
    </row>
    <row r="1330" spans="1:9" x14ac:dyDescent="0.2">
      <c r="A1330" s="3" t="str">
        <f>"ENSG00000229896.2"</f>
        <v>ENSG00000229896.2</v>
      </c>
      <c r="B1330" s="3">
        <v>11.4737764269405</v>
      </c>
      <c r="C1330" s="3">
        <v>-3.35535102414863</v>
      </c>
      <c r="D1330" s="3">
        <v>1.16554796512808</v>
      </c>
      <c r="E1330" s="3">
        <v>-2.8787755841347402</v>
      </c>
      <c r="F1330" s="3">
        <v>3.9922230800925503E-3</v>
      </c>
      <c r="G1330" s="3">
        <v>1.9675621391012602E-2</v>
      </c>
      <c r="H1330" s="3" t="str">
        <f>"AL157373.2"</f>
        <v>AL157373.2</v>
      </c>
      <c r="I1330" s="3" t="str">
        <f>"lincRNA"</f>
        <v>lincRNA</v>
      </c>
    </row>
    <row r="1331" spans="1:9" x14ac:dyDescent="0.2">
      <c r="A1331" s="3" t="str">
        <f>"ENSG00000078401.7"</f>
        <v>ENSG00000078401.7</v>
      </c>
      <c r="B1331" s="3">
        <v>415.62939219353501</v>
      </c>
      <c r="C1331" s="3">
        <v>1.57559101188587</v>
      </c>
      <c r="D1331" s="3">
        <v>0.28988390949370602</v>
      </c>
      <c r="E1331" s="3">
        <v>5.4352482503692903</v>
      </c>
      <c r="F1331" s="4">
        <v>5.4720193698763299E-8</v>
      </c>
      <c r="G1331" s="4">
        <v>8.52313605258447E-7</v>
      </c>
      <c r="H1331" s="3" t="str">
        <f>"EDN1"</f>
        <v>EDN1</v>
      </c>
      <c r="I1331" s="3" t="str">
        <f>"protein_coding"</f>
        <v>protein_coding</v>
      </c>
    </row>
    <row r="1332" spans="1:9" x14ac:dyDescent="0.2">
      <c r="A1332" s="3" t="str">
        <f>"ENSG00000050393.11"</f>
        <v>ENSG00000050393.11</v>
      </c>
      <c r="B1332" s="3">
        <v>1255.0863370382499</v>
      </c>
      <c r="C1332" s="3">
        <v>-1.2702652478081999</v>
      </c>
      <c r="D1332" s="3">
        <v>0.28106447501399501</v>
      </c>
      <c r="E1332" s="3">
        <v>-4.5194799084620998</v>
      </c>
      <c r="F1332" s="4">
        <v>6.1991730047129296E-6</v>
      </c>
      <c r="G1332" s="4">
        <v>6.6755221290048698E-5</v>
      </c>
      <c r="H1332" s="3" t="str">
        <f>"MCUR1"</f>
        <v>MCUR1</v>
      </c>
      <c r="I1332" s="3" t="str">
        <f>"protein_coding"</f>
        <v>protein_coding</v>
      </c>
    </row>
    <row r="1333" spans="1:9" x14ac:dyDescent="0.2">
      <c r="A1333" s="3" t="str">
        <f>"ENSG00000008083.14"</f>
        <v>ENSG00000008083.14</v>
      </c>
      <c r="B1333" s="3">
        <v>2186.2360263271898</v>
      </c>
      <c r="C1333" s="3">
        <v>1.1183385591372399</v>
      </c>
      <c r="D1333" s="3">
        <v>0.24957845081706201</v>
      </c>
      <c r="E1333" s="3">
        <v>4.4809099322319597</v>
      </c>
      <c r="F1333" s="4">
        <v>7.4325474550002798E-6</v>
      </c>
      <c r="G1333" s="4">
        <v>7.8855221944551702E-5</v>
      </c>
      <c r="H1333" s="3" t="str">
        <f>"JARID2"</f>
        <v>JARID2</v>
      </c>
      <c r="I1333" s="3" t="str">
        <f>"protein_coding"</f>
        <v>protein_coding</v>
      </c>
    </row>
    <row r="1334" spans="1:9" x14ac:dyDescent="0.2">
      <c r="A1334" s="3" t="str">
        <f>"ENSG00000201367.1"</f>
        <v>ENSG00000201367.1</v>
      </c>
      <c r="B1334" s="3">
        <v>30.6899457594517</v>
      </c>
      <c r="C1334" s="3">
        <v>1.62329249891998</v>
      </c>
      <c r="D1334" s="3">
        <v>0.63920009775608699</v>
      </c>
      <c r="E1334" s="3">
        <v>2.5395686024119</v>
      </c>
      <c r="F1334" s="3">
        <v>1.10989275944269E-2</v>
      </c>
      <c r="G1334" s="3">
        <v>4.6025968288461498E-2</v>
      </c>
      <c r="H1334" s="3" t="str">
        <f>"RNU6-522P"</f>
        <v>RNU6-522P</v>
      </c>
      <c r="I1334" s="3" t="str">
        <f>"snRNA"</f>
        <v>snRNA</v>
      </c>
    </row>
    <row r="1335" spans="1:9" x14ac:dyDescent="0.2">
      <c r="A1335" s="3" t="str">
        <f>"ENSG00000229931.1"</f>
        <v>ENSG00000229931.1</v>
      </c>
      <c r="B1335" s="3">
        <v>162.19596761150399</v>
      </c>
      <c r="C1335" s="3">
        <v>-1.5968183814360299</v>
      </c>
      <c r="D1335" s="3">
        <v>0.42378158845446801</v>
      </c>
      <c r="E1335" s="3">
        <v>-3.76802207773969</v>
      </c>
      <c r="F1335" s="3">
        <v>1.6454615278486999E-4</v>
      </c>
      <c r="G1335" s="3">
        <v>1.2569567182822399E-3</v>
      </c>
      <c r="H1335" s="3" t="str">
        <f>"AL137003.1"</f>
        <v>AL137003.1</v>
      </c>
      <c r="I1335" s="3" t="str">
        <f>"antisense"</f>
        <v>antisense</v>
      </c>
    </row>
    <row r="1336" spans="1:9" x14ac:dyDescent="0.2">
      <c r="A1336" s="3" t="str">
        <f>"ENSG00000272341.1"</f>
        <v>ENSG00000272341.1</v>
      </c>
      <c r="B1336" s="3">
        <v>305.06620982458298</v>
      </c>
      <c r="C1336" s="3">
        <v>-1.33498985003634</v>
      </c>
      <c r="D1336" s="3">
        <v>0.33507777890571699</v>
      </c>
      <c r="E1336" s="3">
        <v>-3.9841193122268201</v>
      </c>
      <c r="F1336" s="4">
        <v>6.7730838886189196E-5</v>
      </c>
      <c r="G1336" s="3">
        <v>5.7618168825907597E-4</v>
      </c>
      <c r="H1336" s="3" t="str">
        <f>"AL137003.2"</f>
        <v>AL137003.2</v>
      </c>
      <c r="I1336" s="3" t="str">
        <f>"lincRNA"</f>
        <v>lincRNA</v>
      </c>
    </row>
    <row r="1337" spans="1:9" x14ac:dyDescent="0.2">
      <c r="A1337" s="3" t="str">
        <f>"ENSG00000112183.15"</f>
        <v>ENSG00000112183.15</v>
      </c>
      <c r="B1337" s="3">
        <v>768.92179937339495</v>
      </c>
      <c r="C1337" s="3">
        <v>-1.8337408732199101</v>
      </c>
      <c r="D1337" s="3">
        <v>0.26535755371471798</v>
      </c>
      <c r="E1337" s="3">
        <v>-6.9104528872441398</v>
      </c>
      <c r="F1337" s="4">
        <v>4.83108867534898E-12</v>
      </c>
      <c r="G1337" s="4">
        <v>1.29974369656047E-10</v>
      </c>
      <c r="H1337" s="3" t="str">
        <f>"RBM24"</f>
        <v>RBM24</v>
      </c>
      <c r="I1337" s="3" t="str">
        <f>"protein_coding"</f>
        <v>protein_coding</v>
      </c>
    </row>
    <row r="1338" spans="1:9" x14ac:dyDescent="0.2">
      <c r="A1338" s="3" t="str">
        <f>"ENSG00000112186.12"</f>
        <v>ENSG00000112186.12</v>
      </c>
      <c r="B1338" s="3">
        <v>1786.3750345119199</v>
      </c>
      <c r="C1338" s="3">
        <v>-1.0341018888660201</v>
      </c>
      <c r="D1338" s="3">
        <v>0.24296793890632501</v>
      </c>
      <c r="E1338" s="3">
        <v>-4.2561248760673296</v>
      </c>
      <c r="F1338" s="4">
        <v>2.08000560960801E-5</v>
      </c>
      <c r="G1338" s="3">
        <v>1.9836182359894599E-4</v>
      </c>
      <c r="H1338" s="3" t="str">
        <f>"CAP2"</f>
        <v>CAP2</v>
      </c>
      <c r="I1338" s="3" t="str">
        <f>"protein_coding"</f>
        <v>protein_coding</v>
      </c>
    </row>
    <row r="1339" spans="1:9" x14ac:dyDescent="0.2">
      <c r="A1339" s="3" t="str">
        <f>"ENSG00000272269.1"</f>
        <v>ENSG00000272269.1</v>
      </c>
      <c r="B1339" s="3">
        <v>145.29462120206099</v>
      </c>
      <c r="C1339" s="3">
        <v>-2.1125274641026102</v>
      </c>
      <c r="D1339" s="3">
        <v>0.39274692237812298</v>
      </c>
      <c r="E1339" s="3">
        <v>-5.3788517330983501</v>
      </c>
      <c r="F1339" s="4">
        <v>7.4962410547349698E-8</v>
      </c>
      <c r="G1339" s="4">
        <v>1.1442229595379701E-6</v>
      </c>
      <c r="H1339" s="3" t="str">
        <f>"AL138724.1"</f>
        <v>AL138724.1</v>
      </c>
      <c r="I1339" s="3" t="str">
        <f>"antisense"</f>
        <v>antisense</v>
      </c>
    </row>
    <row r="1340" spans="1:9" x14ac:dyDescent="0.2">
      <c r="A1340" s="3" t="str">
        <f>"ENSG00000137364.5"</f>
        <v>ENSG00000137364.5</v>
      </c>
      <c r="B1340" s="3">
        <v>1005.77909867164</v>
      </c>
      <c r="C1340" s="3">
        <v>-1.8422464881726801</v>
      </c>
      <c r="D1340" s="3">
        <v>0.26691553681980101</v>
      </c>
      <c r="E1340" s="3">
        <v>-6.9019829648073596</v>
      </c>
      <c r="F1340" s="4">
        <v>5.1281586363769196E-12</v>
      </c>
      <c r="G1340" s="4">
        <v>1.36941433649747E-10</v>
      </c>
      <c r="H1340" s="3" t="str">
        <f>"TPMT"</f>
        <v>TPMT</v>
      </c>
      <c r="I1340" s="3" t="str">
        <f t="shared" ref="I1340:I1351" si="55">"protein_coding"</f>
        <v>protein_coding</v>
      </c>
    </row>
    <row r="1341" spans="1:9" x14ac:dyDescent="0.2">
      <c r="A1341" s="3" t="str">
        <f>"ENSG00000165097.15"</f>
        <v>ENSG00000165097.15</v>
      </c>
      <c r="B1341" s="3">
        <v>1032.71148949347</v>
      </c>
      <c r="C1341" s="3">
        <v>-1.33646332898485</v>
      </c>
      <c r="D1341" s="3">
        <v>0.27532799289285897</v>
      </c>
      <c r="E1341" s="3">
        <v>-4.85407718605975</v>
      </c>
      <c r="F1341" s="4">
        <v>1.20948624492381E-6</v>
      </c>
      <c r="G1341" s="4">
        <v>1.4814093631954301E-5</v>
      </c>
      <c r="H1341" s="3" t="str">
        <f>"KDM1B"</f>
        <v>KDM1B</v>
      </c>
      <c r="I1341" s="3" t="str">
        <f t="shared" si="55"/>
        <v>protein_coding</v>
      </c>
    </row>
    <row r="1342" spans="1:9" x14ac:dyDescent="0.2">
      <c r="A1342" s="3" t="str">
        <f>"ENSG00000137393.9"</f>
        <v>ENSG00000137393.9</v>
      </c>
      <c r="B1342" s="3">
        <v>1070.90250724304</v>
      </c>
      <c r="C1342" s="3">
        <v>4.0462020800699099</v>
      </c>
      <c r="D1342" s="3">
        <v>0.27886304573323001</v>
      </c>
      <c r="E1342" s="3">
        <v>14.5096388423608</v>
      </c>
      <c r="F1342" s="4">
        <v>1.0527337731977801E-47</v>
      </c>
      <c r="G1342" s="4">
        <v>2.57102117133885E-45</v>
      </c>
      <c r="H1342" s="3" t="str">
        <f>"RNF144B"</f>
        <v>RNF144B</v>
      </c>
      <c r="I1342" s="3" t="str">
        <f t="shared" si="55"/>
        <v>protein_coding</v>
      </c>
    </row>
    <row r="1343" spans="1:9" x14ac:dyDescent="0.2">
      <c r="A1343" s="3" t="str">
        <f>"ENSG00000172201.12"</f>
        <v>ENSG00000172201.12</v>
      </c>
      <c r="B1343" s="3">
        <v>259.39532272691503</v>
      </c>
      <c r="C1343" s="3">
        <v>-1.35727921470847</v>
      </c>
      <c r="D1343" s="3">
        <v>0.31224000222961401</v>
      </c>
      <c r="E1343" s="3">
        <v>-4.3469100852438496</v>
      </c>
      <c r="F1343" s="4">
        <v>1.3806878499330499E-5</v>
      </c>
      <c r="G1343" s="3">
        <v>1.3668320686763399E-4</v>
      </c>
      <c r="H1343" s="3" t="str">
        <f>"ID4"</f>
        <v>ID4</v>
      </c>
      <c r="I1343" s="3" t="str">
        <f t="shared" si="55"/>
        <v>protein_coding</v>
      </c>
    </row>
    <row r="1344" spans="1:9" x14ac:dyDescent="0.2">
      <c r="A1344" s="3" t="str">
        <f>"ENSG00000146038.12"</f>
        <v>ENSG00000146038.12</v>
      </c>
      <c r="B1344" s="3">
        <v>11961.2988404075</v>
      </c>
      <c r="C1344" s="3">
        <v>-1.25487980256623</v>
      </c>
      <c r="D1344" s="3">
        <v>0.24280017923816399</v>
      </c>
      <c r="E1344" s="3">
        <v>-5.1683643994978796</v>
      </c>
      <c r="F1344" s="4">
        <v>2.3615153204418299E-7</v>
      </c>
      <c r="G1344" s="4">
        <v>3.32594464941846E-6</v>
      </c>
      <c r="H1344" s="3" t="str">
        <f>"DCDC2"</f>
        <v>DCDC2</v>
      </c>
      <c r="I1344" s="3" t="str">
        <f t="shared" si="55"/>
        <v>protein_coding</v>
      </c>
    </row>
    <row r="1345" spans="1:9" x14ac:dyDescent="0.2">
      <c r="A1345" s="3" t="str">
        <f>"ENSG00000146049.1"</f>
        <v>ENSG00000146049.1</v>
      </c>
      <c r="B1345" s="3">
        <v>18.5113013168362</v>
      </c>
      <c r="C1345" s="3">
        <v>-2.1860209751623598</v>
      </c>
      <c r="D1345" s="3">
        <v>0.83290310350205399</v>
      </c>
      <c r="E1345" s="3">
        <v>-2.6245801774191202</v>
      </c>
      <c r="F1345" s="3">
        <v>8.6755864123447303E-3</v>
      </c>
      <c r="G1345" s="3">
        <v>3.7555390845384902E-2</v>
      </c>
      <c r="H1345" s="3" t="str">
        <f>"KAAG1"</f>
        <v>KAAG1</v>
      </c>
      <c r="I1345" s="3" t="str">
        <f t="shared" si="55"/>
        <v>protein_coding</v>
      </c>
    </row>
    <row r="1346" spans="1:9" x14ac:dyDescent="0.2">
      <c r="A1346" s="3" t="str">
        <f>"ENSG00000111913.18"</f>
        <v>ENSG00000111913.18</v>
      </c>
      <c r="B1346" s="3">
        <v>53.998431658315504</v>
      </c>
      <c r="C1346" s="3">
        <v>1.41536839740445</v>
      </c>
      <c r="D1346" s="3">
        <v>0.54542024878446504</v>
      </c>
      <c r="E1346" s="3">
        <v>2.59500522864484</v>
      </c>
      <c r="F1346" s="3">
        <v>9.4589480027517693E-3</v>
      </c>
      <c r="G1346" s="3">
        <v>4.03493025282722E-2</v>
      </c>
      <c r="H1346" s="3" t="str">
        <f>"RIPOR2"</f>
        <v>RIPOR2</v>
      </c>
      <c r="I1346" s="3" t="str">
        <f t="shared" si="55"/>
        <v>protein_coding</v>
      </c>
    </row>
    <row r="1347" spans="1:9" x14ac:dyDescent="0.2">
      <c r="A1347" s="3" t="str">
        <f>"ENSG00000079691.18"</f>
        <v>ENSG00000079691.18</v>
      </c>
      <c r="B1347" s="3">
        <v>607.859610128182</v>
      </c>
      <c r="C1347" s="3">
        <v>2.0529215497764302</v>
      </c>
      <c r="D1347" s="3">
        <v>0.30604251355565498</v>
      </c>
      <c r="E1347" s="3">
        <v>6.7079619949700202</v>
      </c>
      <c r="F1347" s="4">
        <v>1.9736131325171501E-11</v>
      </c>
      <c r="G1347" s="4">
        <v>4.9009119791183505E-10</v>
      </c>
      <c r="H1347" s="3" t="str">
        <f>"CARMIL1"</f>
        <v>CARMIL1</v>
      </c>
      <c r="I1347" s="3" t="str">
        <f t="shared" si="55"/>
        <v>protein_coding</v>
      </c>
    </row>
    <row r="1348" spans="1:9" x14ac:dyDescent="0.2">
      <c r="A1348" s="3" t="str">
        <f>"ENSG00000079689.14"</f>
        <v>ENSG00000079689.14</v>
      </c>
      <c r="B1348" s="3">
        <v>443.23364642117798</v>
      </c>
      <c r="C1348" s="3">
        <v>-5.8604802052574003</v>
      </c>
      <c r="D1348" s="3">
        <v>0.39572898595413702</v>
      </c>
      <c r="E1348" s="3">
        <v>-14.8093276289258</v>
      </c>
      <c r="F1348" s="4">
        <v>1.27509384795274E-49</v>
      </c>
      <c r="G1348" s="4">
        <v>3.3066995613660999E-47</v>
      </c>
      <c r="H1348" s="3" t="str">
        <f>"SCGN"</f>
        <v>SCGN</v>
      </c>
      <c r="I1348" s="3" t="str">
        <f t="shared" si="55"/>
        <v>protein_coding</v>
      </c>
    </row>
    <row r="1349" spans="1:9" x14ac:dyDescent="0.2">
      <c r="A1349" s="3" t="str">
        <f>"ENSG00000124568.10"</f>
        <v>ENSG00000124568.10</v>
      </c>
      <c r="B1349" s="3">
        <v>20.6631418546812</v>
      </c>
      <c r="C1349" s="3">
        <v>-3.3956849867036598</v>
      </c>
      <c r="D1349" s="3">
        <v>0.91119588143109398</v>
      </c>
      <c r="E1349" s="3">
        <v>-3.7266245994994098</v>
      </c>
      <c r="F1349" s="3">
        <v>1.9406115981178101E-4</v>
      </c>
      <c r="G1349" s="3">
        <v>1.4554586985883601E-3</v>
      </c>
      <c r="H1349" s="3" t="str">
        <f>"SLC17A1"</f>
        <v>SLC17A1</v>
      </c>
      <c r="I1349" s="3" t="str">
        <f t="shared" si="55"/>
        <v>protein_coding</v>
      </c>
    </row>
    <row r="1350" spans="1:9" x14ac:dyDescent="0.2">
      <c r="A1350" s="3" t="str">
        <f>"ENSG00000112337.10"</f>
        <v>ENSG00000112337.10</v>
      </c>
      <c r="B1350" s="3">
        <v>137.88778797903299</v>
      </c>
      <c r="C1350" s="3">
        <v>-2.6801313875634198</v>
      </c>
      <c r="D1350" s="3">
        <v>0.43283023477049698</v>
      </c>
      <c r="E1350" s="3">
        <v>-6.1921076030756703</v>
      </c>
      <c r="F1350" s="4">
        <v>5.9365000571201405E-10</v>
      </c>
      <c r="G1350" s="4">
        <v>1.2486008272312501E-8</v>
      </c>
      <c r="H1350" s="3" t="str">
        <f>"SLC17A2"</f>
        <v>SLC17A2</v>
      </c>
      <c r="I1350" s="3" t="str">
        <f t="shared" si="55"/>
        <v>protein_coding</v>
      </c>
    </row>
    <row r="1351" spans="1:9" x14ac:dyDescent="0.2">
      <c r="A1351" s="3" t="str">
        <f>"ENSG00000112343.11"</f>
        <v>ENSG00000112343.11</v>
      </c>
      <c r="B1351" s="3">
        <v>2187.1993440363099</v>
      </c>
      <c r="C1351" s="3">
        <v>2.2739320509376801</v>
      </c>
      <c r="D1351" s="3">
        <v>0.24870491739029499</v>
      </c>
      <c r="E1351" s="3">
        <v>9.1430924438425105</v>
      </c>
      <c r="F1351" s="4">
        <v>6.0691472115716898E-20</v>
      </c>
      <c r="G1351" s="4">
        <v>3.2552110470594001E-18</v>
      </c>
      <c r="H1351" s="3" t="str">
        <f>"TRIM38"</f>
        <v>TRIM38</v>
      </c>
      <c r="I1351" s="3" t="str">
        <f t="shared" si="55"/>
        <v>protein_coding</v>
      </c>
    </row>
    <row r="1352" spans="1:9" x14ac:dyDescent="0.2">
      <c r="A1352" s="3" t="str">
        <f>"ENSG00000272462.2"</f>
        <v>ENSG00000272462.2</v>
      </c>
      <c r="B1352" s="3">
        <v>140.258648986574</v>
      </c>
      <c r="C1352" s="3">
        <v>-1.27612794561266</v>
      </c>
      <c r="D1352" s="3">
        <v>0.38290780441535999</v>
      </c>
      <c r="E1352" s="3">
        <v>-3.3327290039467901</v>
      </c>
      <c r="F1352" s="3">
        <v>8.5998663412045404E-4</v>
      </c>
      <c r="G1352" s="3">
        <v>5.3673608600837497E-3</v>
      </c>
      <c r="H1352" s="3" t="str">
        <f>"U91328.1"</f>
        <v>U91328.1</v>
      </c>
      <c r="I1352" s="3" t="str">
        <f>"lincRNA"</f>
        <v>lincRNA</v>
      </c>
    </row>
    <row r="1353" spans="1:9" x14ac:dyDescent="0.2">
      <c r="A1353" s="3" t="str">
        <f>"ENSG00000278637.1"</f>
        <v>ENSG00000278637.1</v>
      </c>
      <c r="B1353" s="3">
        <v>324.35914761483201</v>
      </c>
      <c r="C1353" s="3">
        <v>-1.43033506422485</v>
      </c>
      <c r="D1353" s="3">
        <v>0.38905795143670102</v>
      </c>
      <c r="E1353" s="3">
        <v>-3.67640619846724</v>
      </c>
      <c r="F1353" s="3">
        <v>2.36542775562574E-4</v>
      </c>
      <c r="G1353" s="3">
        <v>1.73223683239492E-3</v>
      </c>
      <c r="H1353" s="3" t="str">
        <f>"HIST1H4A"</f>
        <v>HIST1H4A</v>
      </c>
      <c r="I1353" s="3" t="str">
        <f t="shared" ref="I1353:I1364" si="56">"protein_coding"</f>
        <v>protein_coding</v>
      </c>
    </row>
    <row r="1354" spans="1:9" x14ac:dyDescent="0.2">
      <c r="A1354" s="3" t="str">
        <f>"ENSG00000274267.1"</f>
        <v>ENSG00000274267.1</v>
      </c>
      <c r="B1354" s="3">
        <v>7373.4438795473197</v>
      </c>
      <c r="C1354" s="3">
        <v>-1.2042952659881601</v>
      </c>
      <c r="D1354" s="3">
        <v>0.32570993402574699</v>
      </c>
      <c r="E1354" s="3">
        <v>-3.6974471460024998</v>
      </c>
      <c r="F1354" s="3">
        <v>2.1777854371573499E-4</v>
      </c>
      <c r="G1354" s="3">
        <v>1.6107672058716001E-3</v>
      </c>
      <c r="H1354" s="3" t="str">
        <f>"HIST1H3B"</f>
        <v>HIST1H3B</v>
      </c>
      <c r="I1354" s="3" t="str">
        <f t="shared" si="56"/>
        <v>protein_coding</v>
      </c>
    </row>
    <row r="1355" spans="1:9" x14ac:dyDescent="0.2">
      <c r="A1355" s="3" t="str">
        <f>"ENSG00000278463.1"</f>
        <v>ENSG00000278463.1</v>
      </c>
      <c r="B1355" s="3">
        <v>1016.53253319934</v>
      </c>
      <c r="C1355" s="3">
        <v>-2.1343377606909</v>
      </c>
      <c r="D1355" s="3">
        <v>0.34301046682887498</v>
      </c>
      <c r="E1355" s="3">
        <v>-6.2223691901381804</v>
      </c>
      <c r="F1355" s="4">
        <v>4.8970302955579701E-10</v>
      </c>
      <c r="G1355" s="4">
        <v>1.0430550134188E-8</v>
      </c>
      <c r="H1355" s="3" t="str">
        <f>"HIST1H2AB"</f>
        <v>HIST1H2AB</v>
      </c>
      <c r="I1355" s="3" t="str">
        <f t="shared" si="56"/>
        <v>protein_coding</v>
      </c>
    </row>
    <row r="1356" spans="1:9" x14ac:dyDescent="0.2">
      <c r="A1356" s="3" t="str">
        <f>"ENSG00000276410.3"</f>
        <v>ENSG00000276410.3</v>
      </c>
      <c r="B1356" s="3">
        <v>535.93806406125304</v>
      </c>
      <c r="C1356" s="3">
        <v>-1.28185559144759</v>
      </c>
      <c r="D1356" s="3">
        <v>0.30124627116137498</v>
      </c>
      <c r="E1356" s="3">
        <v>-4.2551749653389397</v>
      </c>
      <c r="F1356" s="4">
        <v>2.0888560689695201E-5</v>
      </c>
      <c r="G1356" s="3">
        <v>1.9895938816708999E-4</v>
      </c>
      <c r="H1356" s="3" t="str">
        <f>"HIST1H2BB"</f>
        <v>HIST1H2BB</v>
      </c>
      <c r="I1356" s="3" t="str">
        <f t="shared" si="56"/>
        <v>protein_coding</v>
      </c>
    </row>
    <row r="1357" spans="1:9" x14ac:dyDescent="0.2">
      <c r="A1357" s="3" t="str">
        <f>"ENSG00000010704.18"</f>
        <v>ENSG00000010704.18</v>
      </c>
      <c r="B1357" s="3">
        <v>158.075319984788</v>
      </c>
      <c r="C1357" s="3">
        <v>-1.9020830180653701</v>
      </c>
      <c r="D1357" s="3">
        <v>0.36206531316044999</v>
      </c>
      <c r="E1357" s="3">
        <v>-5.2534251388573603</v>
      </c>
      <c r="F1357" s="4">
        <v>1.49296374347306E-7</v>
      </c>
      <c r="G1357" s="4">
        <v>2.1847296664959101E-6</v>
      </c>
      <c r="H1357" s="3" t="str">
        <f>"HFE"</f>
        <v>HFE</v>
      </c>
      <c r="I1357" s="3" t="str">
        <f t="shared" si="56"/>
        <v>protein_coding</v>
      </c>
    </row>
    <row r="1358" spans="1:9" x14ac:dyDescent="0.2">
      <c r="A1358" s="3" t="str">
        <f>"ENSG00000197061.4"</f>
        <v>ENSG00000197061.4</v>
      </c>
      <c r="B1358" s="3">
        <v>9253.45956658057</v>
      </c>
      <c r="C1358" s="3">
        <v>-1.6688673558698</v>
      </c>
      <c r="D1358" s="3">
        <v>0.30747330174222798</v>
      </c>
      <c r="E1358" s="3">
        <v>-5.4276821643165096</v>
      </c>
      <c r="F1358" s="4">
        <v>5.7090587105637299E-8</v>
      </c>
      <c r="G1358" s="4">
        <v>8.8758573463677799E-7</v>
      </c>
      <c r="H1358" s="3" t="str">
        <f>"HIST1H4C"</f>
        <v>HIST1H4C</v>
      </c>
      <c r="I1358" s="3" t="str">
        <f t="shared" si="56"/>
        <v>protein_coding</v>
      </c>
    </row>
    <row r="1359" spans="1:9" x14ac:dyDescent="0.2">
      <c r="A1359" s="3" t="str">
        <f>"ENSG00000274290.2"</f>
        <v>ENSG00000274290.2</v>
      </c>
      <c r="B1359" s="3">
        <v>42.362775533938098</v>
      </c>
      <c r="C1359" s="3">
        <v>2.1406475402357001</v>
      </c>
      <c r="D1359" s="3">
        <v>0.63743093391560102</v>
      </c>
      <c r="E1359" s="3">
        <v>3.3582423229543701</v>
      </c>
      <c r="F1359" s="3">
        <v>7.8439816061139805E-4</v>
      </c>
      <c r="G1359" s="3">
        <v>4.9542604701454098E-3</v>
      </c>
      <c r="H1359" s="3" t="str">
        <f>"HIST1H2BE"</f>
        <v>HIST1H2BE</v>
      </c>
      <c r="I1359" s="3" t="str">
        <f t="shared" si="56"/>
        <v>protein_coding</v>
      </c>
    </row>
    <row r="1360" spans="1:9" x14ac:dyDescent="0.2">
      <c r="A1360" s="3" t="str">
        <f>"ENSG00000277157.1"</f>
        <v>ENSG00000277157.1</v>
      </c>
      <c r="B1360" s="3">
        <v>4316.8711144455101</v>
      </c>
      <c r="C1360" s="3">
        <v>-1.9449631911388801</v>
      </c>
      <c r="D1360" s="3">
        <v>0.31988134141115698</v>
      </c>
      <c r="E1360" s="3">
        <v>-6.0802645836067404</v>
      </c>
      <c r="F1360" s="4">
        <v>1.1998439403756201E-9</v>
      </c>
      <c r="G1360" s="4">
        <v>2.4145659456118901E-8</v>
      </c>
      <c r="H1360" s="3" t="str">
        <f>"HIST1H4D"</f>
        <v>HIST1H4D</v>
      </c>
      <c r="I1360" s="3" t="str">
        <f t="shared" si="56"/>
        <v>protein_coding</v>
      </c>
    </row>
    <row r="1361" spans="1:9" x14ac:dyDescent="0.2">
      <c r="A1361" s="3" t="str">
        <f>"ENSG00000277224.2"</f>
        <v>ENSG00000277224.2</v>
      </c>
      <c r="B1361" s="3">
        <v>1478.6368370042601</v>
      </c>
      <c r="C1361" s="3">
        <v>-1.1361847643888101</v>
      </c>
      <c r="D1361" s="3">
        <v>0.31981584297519</v>
      </c>
      <c r="E1361" s="3">
        <v>-3.55262188958209</v>
      </c>
      <c r="F1361" s="3">
        <v>3.81412268882742E-4</v>
      </c>
      <c r="G1361" s="3">
        <v>2.64018316558761E-3</v>
      </c>
      <c r="H1361" s="3" t="str">
        <f>"HIST1H2BF"</f>
        <v>HIST1H2BF</v>
      </c>
      <c r="I1361" s="3" t="str">
        <f t="shared" si="56"/>
        <v>protein_coding</v>
      </c>
    </row>
    <row r="1362" spans="1:9" x14ac:dyDescent="0.2">
      <c r="A1362" s="3" t="str">
        <f>"ENSG00000274750.2"</f>
        <v>ENSG00000274750.2</v>
      </c>
      <c r="B1362" s="3">
        <v>284.54556892735599</v>
      </c>
      <c r="C1362" s="3">
        <v>-1.0580981544910599</v>
      </c>
      <c r="D1362" s="3">
        <v>0.30099171047907403</v>
      </c>
      <c r="E1362" s="3">
        <v>-3.5153730739193199</v>
      </c>
      <c r="F1362" s="3">
        <v>4.3913661589137102E-4</v>
      </c>
      <c r="G1362" s="3">
        <v>2.9893310445712E-3</v>
      </c>
      <c r="H1362" s="3" t="str">
        <f>"HIST1H3E"</f>
        <v>HIST1H3E</v>
      </c>
      <c r="I1362" s="3" t="str">
        <f t="shared" si="56"/>
        <v>protein_coding</v>
      </c>
    </row>
    <row r="1363" spans="1:9" x14ac:dyDescent="0.2">
      <c r="A1363" s="3" t="str">
        <f>"ENSG00000158406.4"</f>
        <v>ENSG00000158406.4</v>
      </c>
      <c r="B1363" s="3">
        <v>1346.5832727243301</v>
      </c>
      <c r="C1363" s="3">
        <v>-1.72996147683256</v>
      </c>
      <c r="D1363" s="3">
        <v>0.317376657898088</v>
      </c>
      <c r="E1363" s="3">
        <v>-5.4508150923564802</v>
      </c>
      <c r="F1363" s="4">
        <v>5.0139481550918601E-8</v>
      </c>
      <c r="G1363" s="4">
        <v>7.8632085935994798E-7</v>
      </c>
      <c r="H1363" s="3" t="str">
        <f>"HIST1H4H"</f>
        <v>HIST1H4H</v>
      </c>
      <c r="I1363" s="3" t="str">
        <f t="shared" si="56"/>
        <v>protein_coding</v>
      </c>
    </row>
    <row r="1364" spans="1:9" x14ac:dyDescent="0.2">
      <c r="A1364" s="3" t="str">
        <f>"ENSG00000111801.16"</f>
        <v>ENSG00000111801.16</v>
      </c>
      <c r="B1364" s="3">
        <v>139.54041894102801</v>
      </c>
      <c r="C1364" s="3">
        <v>-1.7998758364135099</v>
      </c>
      <c r="D1364" s="3">
        <v>0.37014802966368199</v>
      </c>
      <c r="E1364" s="3">
        <v>-4.8625838642147601</v>
      </c>
      <c r="F1364" s="4">
        <v>1.15863263399995E-6</v>
      </c>
      <c r="G1364" s="4">
        <v>1.4252031250987101E-5</v>
      </c>
      <c r="H1364" s="3" t="str">
        <f>"BTN3A3"</f>
        <v>BTN3A3</v>
      </c>
      <c r="I1364" s="3" t="str">
        <f t="shared" si="56"/>
        <v>protein_coding</v>
      </c>
    </row>
    <row r="1365" spans="1:9" x14ac:dyDescent="0.2">
      <c r="A1365" s="3" t="str">
        <f>"ENSG00000272468.1"</f>
        <v>ENSG00000272468.1</v>
      </c>
      <c r="B1365" s="3">
        <v>50.063252217654501</v>
      </c>
      <c r="C1365" s="3">
        <v>2.5648885207489198</v>
      </c>
      <c r="D1365" s="3">
        <v>0.58049894833999505</v>
      </c>
      <c r="E1365" s="3">
        <v>4.4184206157194899</v>
      </c>
      <c r="F1365" s="4">
        <v>9.9424785444874795E-6</v>
      </c>
      <c r="G1365" s="3">
        <v>1.0195803008014E-4</v>
      </c>
      <c r="H1365" s="3" t="str">
        <f>"AL021807.1"</f>
        <v>AL021807.1</v>
      </c>
      <c r="I1365" s="3" t="str">
        <f>"lincRNA"</f>
        <v>lincRNA</v>
      </c>
    </row>
    <row r="1366" spans="1:9" x14ac:dyDescent="0.2">
      <c r="A1366" s="3" t="str">
        <f>"ENSG00000124635.8"</f>
        <v>ENSG00000124635.8</v>
      </c>
      <c r="B1366" s="3">
        <v>1498.62994053534</v>
      </c>
      <c r="C1366" s="3">
        <v>1.4088066487898501</v>
      </c>
      <c r="D1366" s="3">
        <v>0.28632066665295702</v>
      </c>
      <c r="E1366" s="3">
        <v>4.9203805832760201</v>
      </c>
      <c r="F1366" s="4">
        <v>8.6376088168937795E-7</v>
      </c>
      <c r="G1366" s="4">
        <v>1.09130612651413E-5</v>
      </c>
      <c r="H1366" s="3" t="str">
        <f>"HIST1H2BJ"</f>
        <v>HIST1H2BJ</v>
      </c>
      <c r="I1366" s="3" t="str">
        <f>"protein_coding"</f>
        <v>protein_coding</v>
      </c>
    </row>
    <row r="1367" spans="1:9" x14ac:dyDescent="0.2">
      <c r="A1367" s="3" t="str">
        <f>"ENSG00000197903.7"</f>
        <v>ENSG00000197903.7</v>
      </c>
      <c r="B1367" s="3">
        <v>431.49950310658801</v>
      </c>
      <c r="C1367" s="3">
        <v>4.9739863759061</v>
      </c>
      <c r="D1367" s="3">
        <v>0.36905751998338399</v>
      </c>
      <c r="E1367" s="3">
        <v>13.4775369869988</v>
      </c>
      <c r="F1367" s="4">
        <v>2.1206867712298299E-41</v>
      </c>
      <c r="G1367" s="4">
        <v>3.8104196950204501E-39</v>
      </c>
      <c r="H1367" s="3" t="str">
        <f>"HIST1H2BK"</f>
        <v>HIST1H2BK</v>
      </c>
      <c r="I1367" s="3" t="str">
        <f>"protein_coding"</f>
        <v>protein_coding</v>
      </c>
    </row>
    <row r="1368" spans="1:9" x14ac:dyDescent="0.2">
      <c r="A1368" s="3" t="str">
        <f>"ENSG00000274997.1"</f>
        <v>ENSG00000274997.1</v>
      </c>
      <c r="B1368" s="3">
        <v>160.15080277505999</v>
      </c>
      <c r="C1368" s="3">
        <v>3.2197019856942002</v>
      </c>
      <c r="D1368" s="3">
        <v>0.43636144140213901</v>
      </c>
      <c r="E1368" s="3">
        <v>7.3785208320618203</v>
      </c>
      <c r="F1368" s="4">
        <v>1.60057750375456E-13</v>
      </c>
      <c r="G1368" s="4">
        <v>5.0772417537132397E-12</v>
      </c>
      <c r="H1368" s="3" t="str">
        <f>"HIST1H2AH"</f>
        <v>HIST1H2AH</v>
      </c>
      <c r="I1368" s="3" t="str">
        <f>"protein_coding"</f>
        <v>protein_coding</v>
      </c>
    </row>
    <row r="1369" spans="1:9" x14ac:dyDescent="0.2">
      <c r="A1369" s="3" t="str">
        <f>"ENSG00000271755.1"</f>
        <v>ENSG00000271755.1</v>
      </c>
      <c r="B1369" s="3">
        <v>29.854755343948401</v>
      </c>
      <c r="C1369" s="3">
        <v>-4.18482843194995</v>
      </c>
      <c r="D1369" s="3">
        <v>0.83719306139786098</v>
      </c>
      <c r="E1369" s="3">
        <v>-4.9986420395822897</v>
      </c>
      <c r="F1369" s="4">
        <v>5.7735469406898602E-7</v>
      </c>
      <c r="G1369" s="4">
        <v>7.5721362509412703E-6</v>
      </c>
      <c r="H1369" s="3" t="str">
        <f>"AL031118.1"</f>
        <v>AL031118.1</v>
      </c>
      <c r="I1369" s="3" t="str">
        <f>"lincRNA"</f>
        <v>lincRNA</v>
      </c>
    </row>
    <row r="1370" spans="1:9" x14ac:dyDescent="0.2">
      <c r="A1370" s="3" t="str">
        <f>"ENSG00000096654.15"</f>
        <v>ENSG00000096654.15</v>
      </c>
      <c r="B1370" s="3">
        <v>251.50995151195099</v>
      </c>
      <c r="C1370" s="3">
        <v>-1.7095988547296599</v>
      </c>
      <c r="D1370" s="3">
        <v>0.36405609512817799</v>
      </c>
      <c r="E1370" s="3">
        <v>-4.6959764651866003</v>
      </c>
      <c r="F1370" s="4">
        <v>2.6533609280294899E-6</v>
      </c>
      <c r="G1370" s="4">
        <v>3.0547045375094602E-5</v>
      </c>
      <c r="H1370" s="3" t="str">
        <f>"ZNF184"</f>
        <v>ZNF184</v>
      </c>
      <c r="I1370" s="3" t="str">
        <f t="shared" ref="I1370:I1378" si="57">"protein_coding"</f>
        <v>protein_coding</v>
      </c>
    </row>
    <row r="1371" spans="1:9" x14ac:dyDescent="0.2">
      <c r="A1371" s="3" t="str">
        <f>"ENSG00000185130.5"</f>
        <v>ENSG00000185130.5</v>
      </c>
      <c r="B1371" s="3">
        <v>1167.5704854118901</v>
      </c>
      <c r="C1371" s="3">
        <v>-1.66715905576446</v>
      </c>
      <c r="D1371" s="3">
        <v>0.31689966170732498</v>
      </c>
      <c r="E1371" s="3">
        <v>-5.2608420178882298</v>
      </c>
      <c r="F1371" s="4">
        <v>1.4339720305418199E-7</v>
      </c>
      <c r="G1371" s="4">
        <v>2.1082154546042902E-6</v>
      </c>
      <c r="H1371" s="3" t="str">
        <f>"HIST1H2BL"</f>
        <v>HIST1H2BL</v>
      </c>
      <c r="I1371" s="3" t="str">
        <f t="shared" si="57"/>
        <v>protein_coding</v>
      </c>
    </row>
    <row r="1372" spans="1:9" x14ac:dyDescent="0.2">
      <c r="A1372" s="3" t="str">
        <f>"ENSG00000276368.1"</f>
        <v>ENSG00000276368.1</v>
      </c>
      <c r="B1372" s="3">
        <v>2335.9769251482699</v>
      </c>
      <c r="C1372" s="3">
        <v>-1.32955992056664</v>
      </c>
      <c r="D1372" s="3">
        <v>0.34002168934547</v>
      </c>
      <c r="E1372" s="3">
        <v>-3.9102209130423198</v>
      </c>
      <c r="F1372" s="4">
        <v>9.2211747794373395E-5</v>
      </c>
      <c r="G1372" s="3">
        <v>7.5507373560138697E-4</v>
      </c>
      <c r="H1372" s="3" t="str">
        <f>"HIST1H2AJ"</f>
        <v>HIST1H2AJ</v>
      </c>
      <c r="I1372" s="3" t="str">
        <f t="shared" si="57"/>
        <v>protein_coding</v>
      </c>
    </row>
    <row r="1373" spans="1:9" x14ac:dyDescent="0.2">
      <c r="A1373" s="3" t="str">
        <f>"ENSG00000273703.1"</f>
        <v>ENSG00000273703.1</v>
      </c>
      <c r="B1373" s="3">
        <v>257.77045668087499</v>
      </c>
      <c r="C1373" s="3">
        <v>-1.14840633917321</v>
      </c>
      <c r="D1373" s="3">
        <v>0.37913542207428802</v>
      </c>
      <c r="E1373" s="3">
        <v>-3.02901357222219</v>
      </c>
      <c r="F1373" s="3">
        <v>2.45353660215053E-3</v>
      </c>
      <c r="G1373" s="3">
        <v>1.3009846801664501E-2</v>
      </c>
      <c r="H1373" s="3" t="str">
        <f>"HIST1H2BM"</f>
        <v>HIST1H2BM</v>
      </c>
      <c r="I1373" s="3" t="str">
        <f t="shared" si="57"/>
        <v>protein_coding</v>
      </c>
    </row>
    <row r="1374" spans="1:9" x14ac:dyDescent="0.2">
      <c r="A1374" s="3" t="str">
        <f>"ENSG00000275221.1"</f>
        <v>ENSG00000275221.1</v>
      </c>
      <c r="B1374" s="3">
        <v>481.941339777179</v>
      </c>
      <c r="C1374" s="3">
        <v>-1.1981153038775501</v>
      </c>
      <c r="D1374" s="3">
        <v>0.371674655367565</v>
      </c>
      <c r="E1374" s="3">
        <v>-3.2235593322678402</v>
      </c>
      <c r="F1374" s="3">
        <v>1.2660806703906999E-3</v>
      </c>
      <c r="G1374" s="3">
        <v>7.4691039548963299E-3</v>
      </c>
      <c r="H1374" s="3" t="str">
        <f>"HIST1H2AK"</f>
        <v>HIST1H2AK</v>
      </c>
      <c r="I1374" s="3" t="str">
        <f t="shared" si="57"/>
        <v>protein_coding</v>
      </c>
    </row>
    <row r="1375" spans="1:9" x14ac:dyDescent="0.2">
      <c r="A1375" s="3" t="str">
        <f>"ENSG00000276903.1"</f>
        <v>ENSG00000276903.1</v>
      </c>
      <c r="B1375" s="3">
        <v>247.97311041753699</v>
      </c>
      <c r="C1375" s="3">
        <v>-1.35919786320936</v>
      </c>
      <c r="D1375" s="3">
        <v>0.38229622153742099</v>
      </c>
      <c r="E1375" s="3">
        <v>-3.5553525947582898</v>
      </c>
      <c r="F1375" s="3">
        <v>3.77472528756239E-4</v>
      </c>
      <c r="G1375" s="3">
        <v>2.61579103605046E-3</v>
      </c>
      <c r="H1375" s="3" t="str">
        <f>"HIST1H2AL"</f>
        <v>HIST1H2AL</v>
      </c>
      <c r="I1375" s="3" t="str">
        <f t="shared" si="57"/>
        <v>protein_coding</v>
      </c>
    </row>
    <row r="1376" spans="1:9" x14ac:dyDescent="0.2">
      <c r="A1376" s="3" t="str">
        <f>"ENSG00000184357.4"</f>
        <v>ENSG00000184357.4</v>
      </c>
      <c r="B1376" s="3">
        <v>1338.4744592704899</v>
      </c>
      <c r="C1376" s="3">
        <v>-1.86943594803396</v>
      </c>
      <c r="D1376" s="3">
        <v>0.34292661123881402</v>
      </c>
      <c r="E1376" s="3">
        <v>-5.4514169701810697</v>
      </c>
      <c r="F1376" s="4">
        <v>4.99700513376196E-8</v>
      </c>
      <c r="G1376" s="4">
        <v>7.84152614721037E-7</v>
      </c>
      <c r="H1376" s="3" t="str">
        <f>"HIST1H1B"</f>
        <v>HIST1H1B</v>
      </c>
      <c r="I1376" s="3" t="str">
        <f t="shared" si="57"/>
        <v>protein_coding</v>
      </c>
    </row>
    <row r="1377" spans="1:9" x14ac:dyDescent="0.2">
      <c r="A1377" s="3" t="str">
        <f>"ENSG00000197279.4"</f>
        <v>ENSG00000197279.4</v>
      </c>
      <c r="B1377" s="3">
        <v>231.07971580556</v>
      </c>
      <c r="C1377" s="3">
        <v>1.0214562339992399</v>
      </c>
      <c r="D1377" s="3">
        <v>0.360781939419905</v>
      </c>
      <c r="E1377" s="3">
        <v>2.8312288459938499</v>
      </c>
      <c r="F1377" s="3">
        <v>4.63695313777048E-3</v>
      </c>
      <c r="G1377" s="3">
        <v>2.2281290578914301E-2</v>
      </c>
      <c r="H1377" s="3" t="str">
        <f>"ZNF165"</f>
        <v>ZNF165</v>
      </c>
      <c r="I1377" s="3" t="str">
        <f t="shared" si="57"/>
        <v>protein_coding</v>
      </c>
    </row>
    <row r="1378" spans="1:9" x14ac:dyDescent="0.2">
      <c r="A1378" s="3" t="str">
        <f>"ENSG00000187987.9"</f>
        <v>ENSG00000187987.9</v>
      </c>
      <c r="B1378" s="3">
        <v>93.823047135025803</v>
      </c>
      <c r="C1378" s="3">
        <v>1.0402282046456199</v>
      </c>
      <c r="D1378" s="3">
        <v>0.41104484004747099</v>
      </c>
      <c r="E1378" s="3">
        <v>2.5306927694931902</v>
      </c>
      <c r="F1378" s="3">
        <v>1.13837512178676E-2</v>
      </c>
      <c r="G1378" s="3">
        <v>4.7036508194063797E-2</v>
      </c>
      <c r="H1378" s="3" t="str">
        <f>"ZSCAN23"</f>
        <v>ZSCAN23</v>
      </c>
      <c r="I1378" s="3" t="str">
        <f t="shared" si="57"/>
        <v>protein_coding</v>
      </c>
    </row>
    <row r="1379" spans="1:9" x14ac:dyDescent="0.2">
      <c r="A1379" s="3" t="str">
        <f>"ENSG00000246350.1"</f>
        <v>ENSG00000246350.1</v>
      </c>
      <c r="B1379" s="3">
        <v>295.24789221609097</v>
      </c>
      <c r="C1379" s="3">
        <v>-3.3077538397067499</v>
      </c>
      <c r="D1379" s="3">
        <v>0.38602452325074399</v>
      </c>
      <c r="E1379" s="3">
        <v>-8.5687660769628895</v>
      </c>
      <c r="F1379" s="4">
        <v>1.04599768608796E-17</v>
      </c>
      <c r="G1379" s="4">
        <v>4.7927271026489397E-16</v>
      </c>
      <c r="H1379" s="3" t="str">
        <f>"AL049543.1"</f>
        <v>AL049543.1</v>
      </c>
      <c r="I1379" s="3" t="str">
        <f>"antisense"</f>
        <v>antisense</v>
      </c>
    </row>
    <row r="1380" spans="1:9" x14ac:dyDescent="0.2">
      <c r="A1380" s="3" t="str">
        <f>"ENSG00000213886.3"</f>
        <v>ENSG00000213886.3</v>
      </c>
      <c r="B1380" s="3">
        <v>27.4858742907116</v>
      </c>
      <c r="C1380" s="3">
        <v>-2.3844073605779301</v>
      </c>
      <c r="D1380" s="3">
        <v>0.71303605509311896</v>
      </c>
      <c r="E1380" s="3">
        <v>-3.3440207455800199</v>
      </c>
      <c r="F1380" s="3">
        <v>8.25735624295895E-4</v>
      </c>
      <c r="G1380" s="3">
        <v>5.1824799473960204E-3</v>
      </c>
      <c r="H1380" s="3" t="str">
        <f>"UBD"</f>
        <v>UBD</v>
      </c>
      <c r="I1380" s="3" t="str">
        <f>"protein_coding"</f>
        <v>protein_coding</v>
      </c>
    </row>
    <row r="1381" spans="1:9" x14ac:dyDescent="0.2">
      <c r="A1381" s="3" t="str">
        <f>"ENSG00000204681.11"</f>
        <v>ENSG00000204681.11</v>
      </c>
      <c r="B1381" s="3">
        <v>89.126024600679102</v>
      </c>
      <c r="C1381" s="3">
        <v>-2.2379578940590199</v>
      </c>
      <c r="D1381" s="3">
        <v>0.46240691174828502</v>
      </c>
      <c r="E1381" s="3">
        <v>-4.8398019951684299</v>
      </c>
      <c r="F1381" s="4">
        <v>1.2996855398451599E-6</v>
      </c>
      <c r="G1381" s="4">
        <v>1.5794004712466201E-5</v>
      </c>
      <c r="H1381" s="3" t="str">
        <f>"GABBR1"</f>
        <v>GABBR1</v>
      </c>
      <c r="I1381" s="3" t="str">
        <f>"protein_coding"</f>
        <v>protein_coding</v>
      </c>
    </row>
    <row r="1382" spans="1:9" x14ac:dyDescent="0.2">
      <c r="A1382" s="3" t="str">
        <f>"ENSG00000204642.14"</f>
        <v>ENSG00000204642.14</v>
      </c>
      <c r="B1382" s="3">
        <v>133.90586680933001</v>
      </c>
      <c r="C1382" s="3">
        <v>-1.47313422085692</v>
      </c>
      <c r="D1382" s="3">
        <v>0.39174700984854</v>
      </c>
      <c r="E1382" s="3">
        <v>-3.7604223741911298</v>
      </c>
      <c r="F1382" s="3">
        <v>1.69626707108119E-4</v>
      </c>
      <c r="G1382" s="3">
        <v>1.2898911176858301E-3</v>
      </c>
      <c r="H1382" s="3" t="str">
        <f>"HLA-F"</f>
        <v>HLA-F</v>
      </c>
      <c r="I1382" s="3" t="str">
        <f>"protein_coding"</f>
        <v>protein_coding</v>
      </c>
    </row>
    <row r="1383" spans="1:9" x14ac:dyDescent="0.2">
      <c r="A1383" s="3" t="str">
        <f>"ENSG00000214922.9"</f>
        <v>ENSG00000214922.9</v>
      </c>
      <c r="B1383" s="3">
        <v>98.830555188372401</v>
      </c>
      <c r="C1383" s="3">
        <v>-1.1174610228659601</v>
      </c>
      <c r="D1383" s="3">
        <v>0.40011805952945101</v>
      </c>
      <c r="E1383" s="3">
        <v>-2.7928282571901999</v>
      </c>
      <c r="F1383" s="3">
        <v>5.2249424506084002E-3</v>
      </c>
      <c r="G1383" s="3">
        <v>2.4566995765430699E-2</v>
      </c>
      <c r="H1383" s="3" t="str">
        <f>"HLA-F-AS1"</f>
        <v>HLA-F-AS1</v>
      </c>
      <c r="I1383" s="3" t="str">
        <f>"processed_transcript"</f>
        <v>processed_transcript</v>
      </c>
    </row>
    <row r="1384" spans="1:9" x14ac:dyDescent="0.2">
      <c r="A1384" s="3" t="str">
        <f>"ENSG00000273340.1"</f>
        <v>ENSG00000273340.1</v>
      </c>
      <c r="B1384" s="3">
        <v>53.494520924114497</v>
      </c>
      <c r="C1384" s="3">
        <v>-1.45515213911075</v>
      </c>
      <c r="D1384" s="3">
        <v>0.53749032516607398</v>
      </c>
      <c r="E1384" s="3">
        <v>-2.7073085244113599</v>
      </c>
      <c r="F1384" s="3">
        <v>6.78311869142209E-3</v>
      </c>
      <c r="G1384" s="3">
        <v>3.0474968866355201E-2</v>
      </c>
      <c r="H1384" s="3" t="str">
        <f>"MICE"</f>
        <v>MICE</v>
      </c>
      <c r="I1384" s="3" t="str">
        <f>"transcribed_unprocessed_pseudogene"</f>
        <v>transcribed_unprocessed_pseudogene</v>
      </c>
    </row>
    <row r="1385" spans="1:9" x14ac:dyDescent="0.2">
      <c r="A1385" s="3" t="str">
        <f>"ENSG00000206341.7"</f>
        <v>ENSG00000206341.7</v>
      </c>
      <c r="B1385" s="3">
        <v>76.842758805321694</v>
      </c>
      <c r="C1385" s="3">
        <v>-2.2842524213945601</v>
      </c>
      <c r="D1385" s="3">
        <v>0.57978256160783204</v>
      </c>
      <c r="E1385" s="3">
        <v>-3.9398432665169301</v>
      </c>
      <c r="F1385" s="4">
        <v>8.1534860272706894E-5</v>
      </c>
      <c r="G1385" s="3">
        <v>6.7667746953478701E-4</v>
      </c>
      <c r="H1385" s="3" t="str">
        <f>"HLA-H"</f>
        <v>HLA-H</v>
      </c>
      <c r="I1385" s="3" t="str">
        <f>"unprocessed_pseudogene"</f>
        <v>unprocessed_pseudogene</v>
      </c>
    </row>
    <row r="1386" spans="1:9" x14ac:dyDescent="0.2">
      <c r="A1386" s="3" t="str">
        <f>"ENSG00000230795.3"</f>
        <v>ENSG00000230795.3</v>
      </c>
      <c r="B1386" s="3">
        <v>77.311519269430505</v>
      </c>
      <c r="C1386" s="3">
        <v>-1.49325488509203</v>
      </c>
      <c r="D1386" s="3">
        <v>0.48763199938845703</v>
      </c>
      <c r="E1386" s="3">
        <v>-3.0622577824357999</v>
      </c>
      <c r="F1386" s="3">
        <v>2.1967418192573602E-3</v>
      </c>
      <c r="G1386" s="3">
        <v>1.18581631895748E-2</v>
      </c>
      <c r="H1386" s="3" t="str">
        <f>"HLA-K"</f>
        <v>HLA-K</v>
      </c>
      <c r="I1386" s="3" t="str">
        <f>"unprocessed_pseudogene"</f>
        <v>unprocessed_pseudogene</v>
      </c>
    </row>
    <row r="1387" spans="1:9" x14ac:dyDescent="0.2">
      <c r="A1387" s="3" t="str">
        <f>"ENSG00000206503.13"</f>
        <v>ENSG00000206503.13</v>
      </c>
      <c r="B1387" s="3">
        <v>12030.0955147718</v>
      </c>
      <c r="C1387" s="3">
        <v>-1.1670546748777499</v>
      </c>
      <c r="D1387" s="3">
        <v>0.27013063070494497</v>
      </c>
      <c r="E1387" s="3">
        <v>-4.3203344686685501</v>
      </c>
      <c r="F1387" s="4">
        <v>1.5579288477346599E-5</v>
      </c>
      <c r="G1387" s="3">
        <v>1.5278635541818899E-4</v>
      </c>
      <c r="H1387" s="3" t="str">
        <f>"HLA-A"</f>
        <v>HLA-A</v>
      </c>
      <c r="I1387" s="3" t="str">
        <f>"protein_coding"</f>
        <v>protein_coding</v>
      </c>
    </row>
    <row r="1388" spans="1:9" x14ac:dyDescent="0.2">
      <c r="A1388" s="3" t="str">
        <f>"ENSG00000204622.11"</f>
        <v>ENSG00000204622.11</v>
      </c>
      <c r="B1388" s="3">
        <v>12.8723822156733</v>
      </c>
      <c r="C1388" s="3">
        <v>-3.9744171881091201</v>
      </c>
      <c r="D1388" s="3">
        <v>1.2054162550401899</v>
      </c>
      <c r="E1388" s="3">
        <v>-3.2971325643660001</v>
      </c>
      <c r="F1388" s="3">
        <v>9.7677386885915E-4</v>
      </c>
      <c r="G1388" s="3">
        <v>5.9797387858729397E-3</v>
      </c>
      <c r="H1388" s="3" t="str">
        <f>"HLA-J"</f>
        <v>HLA-J</v>
      </c>
      <c r="I1388" s="3" t="str">
        <f>"transcribed_unprocessed_pseudogene"</f>
        <v>transcribed_unprocessed_pseudogene</v>
      </c>
    </row>
    <row r="1389" spans="1:9" x14ac:dyDescent="0.2">
      <c r="A1389" s="3" t="str">
        <f>"ENSG00000204618.8"</f>
        <v>ENSG00000204618.8</v>
      </c>
      <c r="B1389" s="3">
        <v>174.84101269219801</v>
      </c>
      <c r="C1389" s="3">
        <v>2.88060700313358</v>
      </c>
      <c r="D1389" s="3">
        <v>0.364598477346816</v>
      </c>
      <c r="E1389" s="3">
        <v>7.9007653133819096</v>
      </c>
      <c r="F1389" s="4">
        <v>2.7719613730109002E-15</v>
      </c>
      <c r="G1389" s="4">
        <v>1.03455027207848E-13</v>
      </c>
      <c r="H1389" s="3" t="str">
        <f>"RNF39"</f>
        <v>RNF39</v>
      </c>
      <c r="I1389" s="3" t="str">
        <f>"protein_coding"</f>
        <v>protein_coding</v>
      </c>
    </row>
    <row r="1390" spans="1:9" x14ac:dyDescent="0.2">
      <c r="A1390" s="3" t="str">
        <f>"ENSG00000204616.11"</f>
        <v>ENSG00000204616.11</v>
      </c>
      <c r="B1390" s="3">
        <v>30.4065213202656</v>
      </c>
      <c r="C1390" s="3">
        <v>-2.41602760738947</v>
      </c>
      <c r="D1390" s="3">
        <v>0.73125945509081802</v>
      </c>
      <c r="E1390" s="3">
        <v>-3.3039266577270001</v>
      </c>
      <c r="F1390" s="3">
        <v>9.5340771149043599E-4</v>
      </c>
      <c r="G1390" s="3">
        <v>5.8595413695864103E-3</v>
      </c>
      <c r="H1390" s="3" t="str">
        <f>"TRIM31"</f>
        <v>TRIM31</v>
      </c>
      <c r="I1390" s="3" t="str">
        <f>"protein_coding"</f>
        <v>protein_coding</v>
      </c>
    </row>
    <row r="1391" spans="1:9" x14ac:dyDescent="0.2">
      <c r="A1391" s="3" t="str">
        <f>"ENSG00000204614.9"</f>
        <v>ENSG00000204614.9</v>
      </c>
      <c r="B1391" s="3">
        <v>13.2236179465202</v>
      </c>
      <c r="C1391" s="3">
        <v>-2.6178667836035201</v>
      </c>
      <c r="D1391" s="3">
        <v>1.0312181949141099</v>
      </c>
      <c r="E1391" s="3">
        <v>-2.5386157813299302</v>
      </c>
      <c r="F1391" s="3">
        <v>1.11291971190431E-2</v>
      </c>
      <c r="G1391" s="3">
        <v>4.6143885533134699E-2</v>
      </c>
      <c r="H1391" s="3" t="str">
        <f>"TRIM40"</f>
        <v>TRIM40</v>
      </c>
      <c r="I1391" s="3" t="str">
        <f>"protein_coding"</f>
        <v>protein_coding</v>
      </c>
    </row>
    <row r="1392" spans="1:9" x14ac:dyDescent="0.2">
      <c r="A1392" s="3" t="str">
        <f>"ENSG00000204613.11"</f>
        <v>ENSG00000204613.11</v>
      </c>
      <c r="B1392" s="3">
        <v>321.88179476119001</v>
      </c>
      <c r="C1392" s="3">
        <v>-2.13074070372011</v>
      </c>
      <c r="D1392" s="3">
        <v>0.30106224528408898</v>
      </c>
      <c r="E1392" s="3">
        <v>-7.0774091972558697</v>
      </c>
      <c r="F1392" s="4">
        <v>1.4687436624419701E-12</v>
      </c>
      <c r="G1392" s="4">
        <v>4.15126368862109E-11</v>
      </c>
      <c r="H1392" s="3" t="str">
        <f>"TRIM10"</f>
        <v>TRIM10</v>
      </c>
      <c r="I1392" s="3" t="str">
        <f>"protein_coding"</f>
        <v>protein_coding</v>
      </c>
    </row>
    <row r="1393" spans="1:9" x14ac:dyDescent="0.2">
      <c r="A1393" s="3" t="str">
        <f>"ENSG00000204610.13"</f>
        <v>ENSG00000204610.13</v>
      </c>
      <c r="B1393" s="3">
        <v>967.767322227264</v>
      </c>
      <c r="C1393" s="3">
        <v>-1.50814857223285</v>
      </c>
      <c r="D1393" s="3">
        <v>0.31046254543174501</v>
      </c>
      <c r="E1393" s="3">
        <v>-4.8577472369027497</v>
      </c>
      <c r="F1393" s="4">
        <v>1.1872883893065501E-6</v>
      </c>
      <c r="G1393" s="4">
        <v>1.45760075319698E-5</v>
      </c>
      <c r="H1393" s="3" t="str">
        <f>"TRIM15"</f>
        <v>TRIM15</v>
      </c>
      <c r="I1393" s="3" t="str">
        <f>"protein_coding"</f>
        <v>protein_coding</v>
      </c>
    </row>
    <row r="1394" spans="1:9" x14ac:dyDescent="0.2">
      <c r="A1394" s="3" t="str">
        <f>"ENSG00000233892.1"</f>
        <v>ENSG00000233892.1</v>
      </c>
      <c r="B1394" s="3">
        <v>90.006901529059803</v>
      </c>
      <c r="C1394" s="3">
        <v>1.24556767456381</v>
      </c>
      <c r="D1394" s="3">
        <v>0.41606196671422502</v>
      </c>
      <c r="E1394" s="3">
        <v>2.9937071258890899</v>
      </c>
      <c r="F1394" s="3">
        <v>2.7561036541907499E-3</v>
      </c>
      <c r="G1394" s="3">
        <v>1.4356965711569299E-2</v>
      </c>
      <c r="H1394" s="3" t="str">
        <f>"PAIP1P1"</f>
        <v>PAIP1P1</v>
      </c>
      <c r="I1394" s="3" t="str">
        <f>"processed_pseudogene"</f>
        <v>processed_pseudogene</v>
      </c>
    </row>
    <row r="1395" spans="1:9" x14ac:dyDescent="0.2">
      <c r="A1395" s="3" t="str">
        <f>"ENSG00000204590.12"</f>
        <v>ENSG00000204590.12</v>
      </c>
      <c r="B1395" s="3">
        <v>3397.34665696208</v>
      </c>
      <c r="C1395" s="3">
        <v>-1.1075404950687999</v>
      </c>
      <c r="D1395" s="3">
        <v>0.27327606816521599</v>
      </c>
      <c r="E1395" s="3">
        <v>-4.0528265153434901</v>
      </c>
      <c r="F1395" s="4">
        <v>5.0602527157824901E-5</v>
      </c>
      <c r="G1395" s="3">
        <v>4.43985549583218E-4</v>
      </c>
      <c r="H1395" s="3" t="str">
        <f>"GNL1"</f>
        <v>GNL1</v>
      </c>
      <c r="I1395" s="3" t="str">
        <f>"protein_coding"</f>
        <v>protein_coding</v>
      </c>
    </row>
    <row r="1396" spans="1:9" x14ac:dyDescent="0.2">
      <c r="A1396" s="3" t="str">
        <f>"ENSG00000137404.14"</f>
        <v>ENSG00000137404.14</v>
      </c>
      <c r="B1396" s="3">
        <v>571.78282471156194</v>
      </c>
      <c r="C1396" s="3">
        <v>-1.43233267656768</v>
      </c>
      <c r="D1396" s="3">
        <v>0.30976085761909899</v>
      </c>
      <c r="E1396" s="3">
        <v>-4.6239950637306402</v>
      </c>
      <c r="F1396" s="4">
        <v>3.7641882682978101E-6</v>
      </c>
      <c r="G1396" s="4">
        <v>4.2328187701846801E-5</v>
      </c>
      <c r="H1396" s="3" t="str">
        <f>"NRM"</f>
        <v>NRM</v>
      </c>
      <c r="I1396" s="3" t="str">
        <f>"protein_coding"</f>
        <v>protein_coding</v>
      </c>
    </row>
    <row r="1397" spans="1:9" x14ac:dyDescent="0.2">
      <c r="A1397" s="3" t="str">
        <f>"ENSG00000196230.13"</f>
        <v>ENSG00000196230.13</v>
      </c>
      <c r="B1397" s="3">
        <v>46177.731939383702</v>
      </c>
      <c r="C1397" s="3">
        <v>-1.6110605196074499</v>
      </c>
      <c r="D1397" s="3">
        <v>0.27548430333394203</v>
      </c>
      <c r="E1397" s="3">
        <v>-5.8481027779449199</v>
      </c>
      <c r="F1397" s="4">
        <v>4.97211320453823E-9</v>
      </c>
      <c r="G1397" s="4">
        <v>9.21012574817078E-8</v>
      </c>
      <c r="H1397" s="3" t="str">
        <f>"TUBB"</f>
        <v>TUBB</v>
      </c>
      <c r="I1397" s="3" t="str">
        <f>"protein_coding"</f>
        <v>protein_coding</v>
      </c>
    </row>
    <row r="1398" spans="1:9" x14ac:dyDescent="0.2">
      <c r="A1398" s="3" t="str">
        <f>"ENSG00000228022.5"</f>
        <v>ENSG00000228022.5</v>
      </c>
      <c r="B1398" s="3">
        <v>28.561783288570599</v>
      </c>
      <c r="C1398" s="3">
        <v>-2.5386323820822301</v>
      </c>
      <c r="D1398" s="3">
        <v>0.714272708027619</v>
      </c>
      <c r="E1398" s="3">
        <v>-3.5541500515851498</v>
      </c>
      <c r="F1398" s="3">
        <v>3.79202794088243E-4</v>
      </c>
      <c r="G1398" s="3">
        <v>2.6270576384714302E-3</v>
      </c>
      <c r="H1398" s="3" t="str">
        <f>"HCG20"</f>
        <v>HCG20</v>
      </c>
      <c r="I1398" s="3" t="str">
        <f>"lincRNA"</f>
        <v>lincRNA</v>
      </c>
    </row>
    <row r="1399" spans="1:9" x14ac:dyDescent="0.2">
      <c r="A1399" s="3" t="str">
        <f>"ENSG00000204580.13"</f>
        <v>ENSG00000204580.13</v>
      </c>
      <c r="B1399" s="3">
        <v>4511.4830124606997</v>
      </c>
      <c r="C1399" s="3">
        <v>1.3142920174300099</v>
      </c>
      <c r="D1399" s="3">
        <v>0.29732634627853199</v>
      </c>
      <c r="E1399" s="3">
        <v>4.4203685071312</v>
      </c>
      <c r="F1399" s="4">
        <v>9.8532727988577004E-6</v>
      </c>
      <c r="G1399" s="3">
        <v>1.01084452387955E-4</v>
      </c>
      <c r="H1399" s="3" t="str">
        <f>"DDR1"</f>
        <v>DDR1</v>
      </c>
      <c r="I1399" s="3" t="str">
        <f>"protein_coding"</f>
        <v>protein_coding</v>
      </c>
    </row>
    <row r="1400" spans="1:9" x14ac:dyDescent="0.2">
      <c r="A1400" s="3" t="str">
        <f>"ENSG00000137411.17"</f>
        <v>ENSG00000137411.17</v>
      </c>
      <c r="B1400" s="3">
        <v>2167.0774726852001</v>
      </c>
      <c r="C1400" s="3">
        <v>-1.0474578674766499</v>
      </c>
      <c r="D1400" s="3">
        <v>0.28703379231944498</v>
      </c>
      <c r="E1400" s="3">
        <v>-3.64924930619638</v>
      </c>
      <c r="F1400" s="3">
        <v>2.6300776550324602E-4</v>
      </c>
      <c r="G1400" s="3">
        <v>1.9041795540960099E-3</v>
      </c>
      <c r="H1400" s="3" t="str">
        <f>"VARS2"</f>
        <v>VARS2</v>
      </c>
      <c r="I1400" s="3" t="str">
        <f>"protein_coding"</f>
        <v>protein_coding</v>
      </c>
    </row>
    <row r="1401" spans="1:9" x14ac:dyDescent="0.2">
      <c r="A1401" s="3" t="str">
        <f>"ENSG00000137310.12"</f>
        <v>ENSG00000137310.12</v>
      </c>
      <c r="B1401" s="3">
        <v>517.85359894069097</v>
      </c>
      <c r="C1401" s="3">
        <v>-1.1164022721109901</v>
      </c>
      <c r="D1401" s="3">
        <v>0.29236217208911902</v>
      </c>
      <c r="E1401" s="3">
        <v>-3.81855923471071</v>
      </c>
      <c r="F1401" s="3">
        <v>1.3423335480695499E-4</v>
      </c>
      <c r="G1401" s="3">
        <v>1.05060362170783E-3</v>
      </c>
      <c r="H1401" s="3" t="str">
        <f>"TCF19"</f>
        <v>TCF19</v>
      </c>
      <c r="I1401" s="3" t="str">
        <f>"protein_coding"</f>
        <v>protein_coding</v>
      </c>
    </row>
    <row r="1402" spans="1:9" x14ac:dyDescent="0.2">
      <c r="A1402" s="3" t="str">
        <f>"ENSG00000204531.18"</f>
        <v>ENSG00000204531.18</v>
      </c>
      <c r="B1402" s="3">
        <v>124.317715273814</v>
      </c>
      <c r="C1402" s="3">
        <v>1.4616039892750801</v>
      </c>
      <c r="D1402" s="3">
        <v>0.41326527813165498</v>
      </c>
      <c r="E1402" s="3">
        <v>3.5367210037167802</v>
      </c>
      <c r="F1402" s="3">
        <v>4.0512738712005002E-4</v>
      </c>
      <c r="G1402" s="3">
        <v>2.7851815859537702E-3</v>
      </c>
      <c r="H1402" s="3" t="str">
        <f>"POU5F1"</f>
        <v>POU5F1</v>
      </c>
      <c r="I1402" s="3" t="str">
        <f>"protein_coding"</f>
        <v>protein_coding</v>
      </c>
    </row>
    <row r="1403" spans="1:9" x14ac:dyDescent="0.2">
      <c r="A1403" s="3" t="str">
        <f>"ENSG00000206337.10"</f>
        <v>ENSG00000206337.10</v>
      </c>
      <c r="B1403" s="3">
        <v>125.087247515938</v>
      </c>
      <c r="C1403" s="3">
        <v>-1.27829860703998</v>
      </c>
      <c r="D1403" s="3">
        <v>0.379076923970457</v>
      </c>
      <c r="E1403" s="3">
        <v>-3.3721351161422999</v>
      </c>
      <c r="F1403" s="3">
        <v>7.4587846729038505E-4</v>
      </c>
      <c r="G1403" s="3">
        <v>4.7536287926753596E-3</v>
      </c>
      <c r="H1403" s="3" t="str">
        <f>"HCP5"</f>
        <v>HCP5</v>
      </c>
      <c r="I1403" s="3" t="str">
        <f>"sense_overlapping"</f>
        <v>sense_overlapping</v>
      </c>
    </row>
    <row r="1404" spans="1:9" x14ac:dyDescent="0.2">
      <c r="A1404" s="3" t="str">
        <f>"ENSG00000204444.11"</f>
        <v>ENSG00000204444.11</v>
      </c>
      <c r="B1404" s="3">
        <v>3546.76594248129</v>
      </c>
      <c r="C1404" s="3">
        <v>-1.07254075511236</v>
      </c>
      <c r="D1404" s="3">
        <v>0.27627589591674501</v>
      </c>
      <c r="E1404" s="3">
        <v>-3.8821365561169499</v>
      </c>
      <c r="F1404" s="3">
        <v>1.03542701443483E-4</v>
      </c>
      <c r="G1404" s="3">
        <v>8.3803624672162404E-4</v>
      </c>
      <c r="H1404" s="3" t="str">
        <f>"APOM"</f>
        <v>APOM</v>
      </c>
      <c r="I1404" s="3" t="str">
        <f>"protein_coding"</f>
        <v>protein_coding</v>
      </c>
    </row>
    <row r="1405" spans="1:9" x14ac:dyDescent="0.2">
      <c r="A1405" s="3" t="str">
        <f>"ENSG00000204439.3"</f>
        <v>ENSG00000204439.3</v>
      </c>
      <c r="B1405" s="3">
        <v>667.049243124094</v>
      </c>
      <c r="C1405" s="3">
        <v>1.10991849200897</v>
      </c>
      <c r="D1405" s="3">
        <v>0.31885267555999403</v>
      </c>
      <c r="E1405" s="3">
        <v>3.4809759399372902</v>
      </c>
      <c r="F1405" s="3">
        <v>4.9959036617126297E-4</v>
      </c>
      <c r="G1405" s="3">
        <v>3.33878737009515E-3</v>
      </c>
      <c r="H1405" s="3" t="str">
        <f>"C6orf47"</f>
        <v>C6orf47</v>
      </c>
      <c r="I1405" s="3" t="str">
        <f>"protein_coding"</f>
        <v>protein_coding</v>
      </c>
    </row>
    <row r="1406" spans="1:9" x14ac:dyDescent="0.2">
      <c r="A1406" s="3" t="str">
        <f>"ENSG00000213722.9"</f>
        <v>ENSG00000213722.9</v>
      </c>
      <c r="B1406" s="3">
        <v>549.27916549929705</v>
      </c>
      <c r="C1406" s="3">
        <v>-1.90444970128045</v>
      </c>
      <c r="D1406" s="3">
        <v>0.31496430609269299</v>
      </c>
      <c r="E1406" s="3">
        <v>-6.04655722709093</v>
      </c>
      <c r="F1406" s="4">
        <v>1.4797368794206899E-9</v>
      </c>
      <c r="G1406" s="4">
        <v>2.9355505679674701E-8</v>
      </c>
      <c r="H1406" s="3" t="str">
        <f>"DDAH2"</f>
        <v>DDAH2</v>
      </c>
      <c r="I1406" s="3" t="str">
        <f>"protein_coding"</f>
        <v>protein_coding</v>
      </c>
    </row>
    <row r="1407" spans="1:9" x14ac:dyDescent="0.2">
      <c r="A1407" s="3" t="str">
        <f>"ENSG00000213719.8"</f>
        <v>ENSG00000213719.8</v>
      </c>
      <c r="B1407" s="3">
        <v>12924.344244928399</v>
      </c>
      <c r="C1407" s="3">
        <v>-1.0002233362517901</v>
      </c>
      <c r="D1407" s="3">
        <v>0.26598000869422</v>
      </c>
      <c r="E1407" s="3">
        <v>-3.7605207292164802</v>
      </c>
      <c r="F1407" s="3">
        <v>1.6956002248248199E-4</v>
      </c>
      <c r="G1407" s="3">
        <v>1.2897739236609699E-3</v>
      </c>
      <c r="H1407" s="3" t="str">
        <f>"CLIC1"</f>
        <v>CLIC1</v>
      </c>
      <c r="I1407" s="3" t="str">
        <f>"protein_coding"</f>
        <v>protein_coding</v>
      </c>
    </row>
    <row r="1408" spans="1:9" x14ac:dyDescent="0.2">
      <c r="A1408" s="3" t="str">
        <f>"ENSG00000235663.1"</f>
        <v>ENSG00000235663.1</v>
      </c>
      <c r="B1408" s="3">
        <v>93.762954239369904</v>
      </c>
      <c r="C1408" s="3">
        <v>-1.4409068247800401</v>
      </c>
      <c r="D1408" s="3">
        <v>0.42037055343718899</v>
      </c>
      <c r="E1408" s="3">
        <v>-3.4277063723859098</v>
      </c>
      <c r="F1408" s="3">
        <v>6.0870344839204999E-4</v>
      </c>
      <c r="G1408" s="3">
        <v>3.9802275134655602E-3</v>
      </c>
      <c r="H1408" s="3" t="str">
        <f>"SAPCD1-AS1"</f>
        <v>SAPCD1-AS1</v>
      </c>
      <c r="I1408" s="3" t="str">
        <f>"antisense"</f>
        <v>antisense</v>
      </c>
    </row>
    <row r="1409" spans="1:9" x14ac:dyDescent="0.2">
      <c r="A1409" s="3" t="str">
        <f>"ENSG00000204366.3"</f>
        <v>ENSG00000204366.3</v>
      </c>
      <c r="B1409" s="3">
        <v>170.912140146376</v>
      </c>
      <c r="C1409" s="3">
        <v>-1.4657124017251</v>
      </c>
      <c r="D1409" s="3">
        <v>0.36982514568396402</v>
      </c>
      <c r="E1409" s="3">
        <v>-3.9632578228675399</v>
      </c>
      <c r="F1409" s="4">
        <v>7.3933860507372699E-5</v>
      </c>
      <c r="G1409" s="3">
        <v>6.2200878296420103E-4</v>
      </c>
      <c r="H1409" s="3" t="str">
        <f>"ZBTB12"</f>
        <v>ZBTB12</v>
      </c>
      <c r="I1409" s="3" t="str">
        <f t="shared" ref="I1409:I1414" si="58">"protein_coding"</f>
        <v>protein_coding</v>
      </c>
    </row>
    <row r="1410" spans="1:9" x14ac:dyDescent="0.2">
      <c r="A1410" s="3" t="str">
        <f>"ENSG00000168477.19"</f>
        <v>ENSG00000168477.19</v>
      </c>
      <c r="B1410" s="3">
        <v>176.48492908414201</v>
      </c>
      <c r="C1410" s="3">
        <v>1.8494764896323701</v>
      </c>
      <c r="D1410" s="3">
        <v>0.35658830191132701</v>
      </c>
      <c r="E1410" s="3">
        <v>5.1865876690825399</v>
      </c>
      <c r="F1410" s="4">
        <v>2.1418222076400999E-7</v>
      </c>
      <c r="G1410" s="4">
        <v>3.0353542328555899E-6</v>
      </c>
      <c r="H1410" s="3" t="str">
        <f>"TNXB"</f>
        <v>TNXB</v>
      </c>
      <c r="I1410" s="3" t="str">
        <f t="shared" si="58"/>
        <v>protein_coding</v>
      </c>
    </row>
    <row r="1411" spans="1:9" x14ac:dyDescent="0.2">
      <c r="A1411" s="3" t="str">
        <f>"ENSG00000213654.10"</f>
        <v>ENSG00000213654.10</v>
      </c>
      <c r="B1411" s="3">
        <v>144.57231813737801</v>
      </c>
      <c r="C1411" s="3">
        <v>-2.3144054322738601</v>
      </c>
      <c r="D1411" s="3">
        <v>0.40668476672301501</v>
      </c>
      <c r="E1411" s="3">
        <v>-5.6909076062102804</v>
      </c>
      <c r="F1411" s="4">
        <v>1.2636587473970701E-8</v>
      </c>
      <c r="G1411" s="4">
        <v>2.1964124150432199E-7</v>
      </c>
      <c r="H1411" s="3" t="str">
        <f>"GPSM3"</f>
        <v>GPSM3</v>
      </c>
      <c r="I1411" s="3" t="str">
        <f t="shared" si="58"/>
        <v>protein_coding</v>
      </c>
    </row>
    <row r="1412" spans="1:9" x14ac:dyDescent="0.2">
      <c r="A1412" s="3" t="str">
        <f>"ENSG00000204301.6"</f>
        <v>ENSG00000204301.6</v>
      </c>
      <c r="B1412" s="3">
        <v>188.24512238616001</v>
      </c>
      <c r="C1412" s="3">
        <v>-1.7190729384565</v>
      </c>
      <c r="D1412" s="3">
        <v>0.36534039038994698</v>
      </c>
      <c r="E1412" s="3">
        <v>-4.7054007267623597</v>
      </c>
      <c r="F1412" s="4">
        <v>2.5336777557662602E-6</v>
      </c>
      <c r="G1412" s="4">
        <v>2.9343767931077401E-5</v>
      </c>
      <c r="H1412" s="3" t="str">
        <f>"NOTCH4"</f>
        <v>NOTCH4</v>
      </c>
      <c r="I1412" s="3" t="str">
        <f t="shared" si="58"/>
        <v>protein_coding</v>
      </c>
    </row>
    <row r="1413" spans="1:9" x14ac:dyDescent="0.2">
      <c r="A1413" s="3" t="str">
        <f>"ENSG00000179344.16"</f>
        <v>ENSG00000179344.16</v>
      </c>
      <c r="B1413" s="3">
        <v>12.8288756103147</v>
      </c>
      <c r="C1413" s="3">
        <v>-3.55697283560955</v>
      </c>
      <c r="D1413" s="3">
        <v>1.1721156495348899</v>
      </c>
      <c r="E1413" s="3">
        <v>-3.03466030593568</v>
      </c>
      <c r="F1413" s="3">
        <v>2.4080674340744498E-3</v>
      </c>
      <c r="G1413" s="3">
        <v>1.2811957763143599E-2</v>
      </c>
      <c r="H1413" s="3" t="str">
        <f>"HLA-DQB1"</f>
        <v>HLA-DQB1</v>
      </c>
      <c r="I1413" s="3" t="str">
        <f t="shared" si="58"/>
        <v>protein_coding</v>
      </c>
    </row>
    <row r="1414" spans="1:9" x14ac:dyDescent="0.2">
      <c r="A1414" s="3" t="str">
        <f>"ENSG00000204267.14"</f>
        <v>ENSG00000204267.14</v>
      </c>
      <c r="B1414" s="3">
        <v>421.65371436970901</v>
      </c>
      <c r="C1414" s="3">
        <v>-1.51538170746864</v>
      </c>
      <c r="D1414" s="3">
        <v>0.29090396346868702</v>
      </c>
      <c r="E1414" s="3">
        <v>-5.20921643486564</v>
      </c>
      <c r="F1414" s="4">
        <v>1.8963979464497799E-7</v>
      </c>
      <c r="G1414" s="4">
        <v>2.71972008796718E-6</v>
      </c>
      <c r="H1414" s="3" t="str">
        <f>"TAP2"</f>
        <v>TAP2</v>
      </c>
      <c r="I1414" s="3" t="str">
        <f t="shared" si="58"/>
        <v>protein_coding</v>
      </c>
    </row>
    <row r="1415" spans="1:9" x14ac:dyDescent="0.2">
      <c r="A1415" s="3" t="str">
        <f>"ENSG00000204261.8"</f>
        <v>ENSG00000204261.8</v>
      </c>
      <c r="B1415" s="3">
        <v>27.009604207715299</v>
      </c>
      <c r="C1415" s="3">
        <v>-1.8724733891842</v>
      </c>
      <c r="D1415" s="3">
        <v>0.73453396657747105</v>
      </c>
      <c r="E1415" s="3">
        <v>-2.5491991853132498</v>
      </c>
      <c r="F1415" s="3">
        <v>1.0797061315575901E-2</v>
      </c>
      <c r="G1415" s="3">
        <v>4.5004155326149597E-2</v>
      </c>
      <c r="H1415" s="3" t="str">
        <f>"PSMB8-AS1"</f>
        <v>PSMB8-AS1</v>
      </c>
      <c r="I1415" s="3" t="str">
        <f>"lincRNA"</f>
        <v>lincRNA</v>
      </c>
    </row>
    <row r="1416" spans="1:9" x14ac:dyDescent="0.2">
      <c r="A1416" s="3" t="str">
        <f>"ENSG00000240065.8"</f>
        <v>ENSG00000240065.8</v>
      </c>
      <c r="B1416" s="3">
        <v>200.203216249305</v>
      </c>
      <c r="C1416" s="3">
        <v>-2.8240550415864099</v>
      </c>
      <c r="D1416" s="3">
        <v>0.415896906591884</v>
      </c>
      <c r="E1416" s="3">
        <v>-6.7902766210224197</v>
      </c>
      <c r="F1416" s="4">
        <v>1.1191874236605901E-11</v>
      </c>
      <c r="G1416" s="4">
        <v>2.8610934595713698E-10</v>
      </c>
      <c r="H1416" s="3" t="str">
        <f>"PSMB9"</f>
        <v>PSMB9</v>
      </c>
      <c r="I1416" s="3" t="str">
        <f>"protein_coding"</f>
        <v>protein_coding</v>
      </c>
    </row>
    <row r="1417" spans="1:9" x14ac:dyDescent="0.2">
      <c r="A1417" s="3" t="str">
        <f>"ENSG00000168394.11"</f>
        <v>ENSG00000168394.11</v>
      </c>
      <c r="B1417" s="3">
        <v>3481.8867127332101</v>
      </c>
      <c r="C1417" s="3">
        <v>1.34096061719105</v>
      </c>
      <c r="D1417" s="3">
        <v>0.266256616280928</v>
      </c>
      <c r="E1417" s="3">
        <v>5.0363466490395199</v>
      </c>
      <c r="F1417" s="4">
        <v>4.74500919392627E-7</v>
      </c>
      <c r="G1417" s="4">
        <v>6.3388585381420802E-6</v>
      </c>
      <c r="H1417" s="3" t="str">
        <f>"TAP1"</f>
        <v>TAP1</v>
      </c>
      <c r="I1417" s="3" t="str">
        <f>"protein_coding"</f>
        <v>protein_coding</v>
      </c>
    </row>
    <row r="1418" spans="1:9" x14ac:dyDescent="0.2">
      <c r="A1418" s="3" t="str">
        <f>"ENSG00000235301.1"</f>
        <v>ENSG00000235301.1</v>
      </c>
      <c r="B1418" s="3">
        <v>24.556475225903199</v>
      </c>
      <c r="C1418" s="3">
        <v>3.3807503712212399</v>
      </c>
      <c r="D1418" s="3">
        <v>0.85102118617823497</v>
      </c>
      <c r="E1418" s="3">
        <v>3.9725807372710702</v>
      </c>
      <c r="F1418" s="4">
        <v>7.10981262520111E-5</v>
      </c>
      <c r="G1418" s="3">
        <v>6.0036031079870403E-4</v>
      </c>
      <c r="H1418" s="3" t="str">
        <f>"HLA-Z"</f>
        <v>HLA-Z</v>
      </c>
      <c r="I1418" s="3" t="str">
        <f>"unprocessed_pseudogene"</f>
        <v>unprocessed_pseudogene</v>
      </c>
    </row>
    <row r="1419" spans="1:9" x14ac:dyDescent="0.2">
      <c r="A1419" s="3" t="str">
        <f>"ENSG00000204252.14"</f>
        <v>ENSG00000204252.14</v>
      </c>
      <c r="B1419" s="3">
        <v>352.00203533431198</v>
      </c>
      <c r="C1419" s="3">
        <v>8.5354196549504895</v>
      </c>
      <c r="D1419" s="3">
        <v>0.77909915436905797</v>
      </c>
      <c r="E1419" s="3">
        <v>10.9554985486575</v>
      </c>
      <c r="F1419" s="4">
        <v>6.2533080537823698E-28</v>
      </c>
      <c r="G1419" s="4">
        <v>5.69934652510491E-26</v>
      </c>
      <c r="H1419" s="3" t="str">
        <f>"HLA-DOA"</f>
        <v>HLA-DOA</v>
      </c>
      <c r="I1419" s="3" t="str">
        <f>"protein_coding"</f>
        <v>protein_coding</v>
      </c>
    </row>
    <row r="1420" spans="1:9" x14ac:dyDescent="0.2">
      <c r="A1420" s="3" t="str">
        <f>"ENSG00000204248.10"</f>
        <v>ENSG00000204248.10</v>
      </c>
      <c r="B1420" s="3">
        <v>125.78407661632301</v>
      </c>
      <c r="C1420" s="3">
        <v>-3.4861893665109598</v>
      </c>
      <c r="D1420" s="3">
        <v>0.451250481023865</v>
      </c>
      <c r="E1420" s="3">
        <v>-7.7256191696482501</v>
      </c>
      <c r="F1420" s="4">
        <v>1.11310950276886E-14</v>
      </c>
      <c r="G1420" s="4">
        <v>3.9106521706914399E-13</v>
      </c>
      <c r="H1420" s="3" t="str">
        <f>"COL11A2"</f>
        <v>COL11A2</v>
      </c>
      <c r="I1420" s="3" t="str">
        <f>"protein_coding"</f>
        <v>protein_coding</v>
      </c>
    </row>
    <row r="1421" spans="1:9" x14ac:dyDescent="0.2">
      <c r="A1421" s="3" t="str">
        <f>"ENSG00000204228.4"</f>
        <v>ENSG00000204228.4</v>
      </c>
      <c r="B1421" s="3">
        <v>296.39225330532503</v>
      </c>
      <c r="C1421" s="3">
        <v>2.4189351417932201</v>
      </c>
      <c r="D1421" s="3">
        <v>0.37291459740295801</v>
      </c>
      <c r="E1421" s="3">
        <v>6.4865659822359003</v>
      </c>
      <c r="F1421" s="4">
        <v>8.7814831724023004E-11</v>
      </c>
      <c r="G1421" s="4">
        <v>2.0321822373668802E-9</v>
      </c>
      <c r="H1421" s="3" t="str">
        <f>"HSD17B8"</f>
        <v>HSD17B8</v>
      </c>
      <c r="I1421" s="3" t="str">
        <f>"protein_coding"</f>
        <v>protein_coding</v>
      </c>
    </row>
    <row r="1422" spans="1:9" x14ac:dyDescent="0.2">
      <c r="A1422" s="3" t="str">
        <f>"ENSG00000232940.5"</f>
        <v>ENSG00000232940.5</v>
      </c>
      <c r="B1422" s="3">
        <v>61.144078923824999</v>
      </c>
      <c r="C1422" s="3">
        <v>1.6848665920318999</v>
      </c>
      <c r="D1422" s="3">
        <v>0.50450513547558695</v>
      </c>
      <c r="E1422" s="3">
        <v>3.3396421038283601</v>
      </c>
      <c r="F1422" s="3">
        <v>8.3886421025777596E-4</v>
      </c>
      <c r="G1422" s="3">
        <v>5.2543897432854496E-3</v>
      </c>
      <c r="H1422" s="3" t="str">
        <f>"HCG25"</f>
        <v>HCG25</v>
      </c>
      <c r="I1422" s="3" t="str">
        <f>"antisense"</f>
        <v>antisense</v>
      </c>
    </row>
    <row r="1423" spans="1:9" x14ac:dyDescent="0.2">
      <c r="A1423" s="3" t="str">
        <f>"ENSG00000204209.13"</f>
        <v>ENSG00000204209.13</v>
      </c>
      <c r="B1423" s="3">
        <v>1973.6734692554801</v>
      </c>
      <c r="C1423" s="3">
        <v>-1.53736213107236</v>
      </c>
      <c r="D1423" s="3">
        <v>0.281751633411914</v>
      </c>
      <c r="E1423" s="3">
        <v>-5.4564444310595102</v>
      </c>
      <c r="F1423" s="4">
        <v>4.85763200983448E-8</v>
      </c>
      <c r="G1423" s="4">
        <v>7.6418845032762001E-7</v>
      </c>
      <c r="H1423" s="3" t="str">
        <f>"DAXX"</f>
        <v>DAXX</v>
      </c>
      <c r="I1423" s="3" t="str">
        <f>"protein_coding"</f>
        <v>protein_coding</v>
      </c>
    </row>
    <row r="1424" spans="1:9" x14ac:dyDescent="0.2">
      <c r="A1424" s="3" t="str">
        <f>"ENSG00000030110.13"</f>
        <v>ENSG00000030110.13</v>
      </c>
      <c r="B1424" s="3">
        <v>1577.5726219170999</v>
      </c>
      <c r="C1424" s="3">
        <v>1.83578828125014</v>
      </c>
      <c r="D1424" s="3">
        <v>0.27283759731592799</v>
      </c>
      <c r="E1424" s="3">
        <v>6.7285018608502796</v>
      </c>
      <c r="F1424" s="4">
        <v>1.7141880622841699E-11</v>
      </c>
      <c r="G1424" s="4">
        <v>4.28632213784874E-10</v>
      </c>
      <c r="H1424" s="3" t="str">
        <f>"BAK1"</f>
        <v>BAK1</v>
      </c>
      <c r="I1424" s="3" t="str">
        <f>"protein_coding"</f>
        <v>protein_coding</v>
      </c>
    </row>
    <row r="1425" spans="1:9" x14ac:dyDescent="0.2">
      <c r="A1425" s="3" t="str">
        <f>"ENSG00000197251.3"</f>
        <v>ENSG00000197251.3</v>
      </c>
      <c r="B1425" s="3">
        <v>13.5993906481258</v>
      </c>
      <c r="C1425" s="3">
        <v>5.8079612161737701</v>
      </c>
      <c r="D1425" s="3">
        <v>1.65387485381319</v>
      </c>
      <c r="E1425" s="3">
        <v>3.5117295621146098</v>
      </c>
      <c r="F1425" s="3">
        <v>4.4520078034433898E-4</v>
      </c>
      <c r="G1425" s="3">
        <v>3.0234950403784698E-3</v>
      </c>
      <c r="H1425" s="3" t="str">
        <f>"LINC00336"</f>
        <v>LINC00336</v>
      </c>
      <c r="I1425" s="3" t="str">
        <f>"lincRNA"</f>
        <v>lincRNA</v>
      </c>
    </row>
    <row r="1426" spans="1:9" x14ac:dyDescent="0.2">
      <c r="A1426" s="3" t="str">
        <f>"ENSG00000096433.11"</f>
        <v>ENSG00000096433.11</v>
      </c>
      <c r="B1426" s="3">
        <v>10280.0698127663</v>
      </c>
      <c r="C1426" s="3">
        <v>1.28346267657293</v>
      </c>
      <c r="D1426" s="3">
        <v>0.31402340823678399</v>
      </c>
      <c r="E1426" s="3">
        <v>4.0871560619619904</v>
      </c>
      <c r="F1426" s="4">
        <v>4.36693378249855E-5</v>
      </c>
      <c r="G1426" s="3">
        <v>3.8802620734281601E-4</v>
      </c>
      <c r="H1426" s="3" t="str">
        <f>"ITPR3"</f>
        <v>ITPR3</v>
      </c>
      <c r="I1426" s="3" t="str">
        <f>"protein_coding"</f>
        <v>protein_coding</v>
      </c>
    </row>
    <row r="1427" spans="1:9" x14ac:dyDescent="0.2">
      <c r="A1427" s="3" t="str">
        <f>"ENSG00000161896.12"</f>
        <v>ENSG00000161896.12</v>
      </c>
      <c r="B1427" s="3">
        <v>887.28356281446304</v>
      </c>
      <c r="C1427" s="3">
        <v>9.0717332265800792</v>
      </c>
      <c r="D1427" s="3">
        <v>0.61085652218545405</v>
      </c>
      <c r="E1427" s="3">
        <v>14.850841232118199</v>
      </c>
      <c r="F1427" s="4">
        <v>6.8701108807609997E-50</v>
      </c>
      <c r="G1427" s="4">
        <v>1.83848552346322E-47</v>
      </c>
      <c r="H1427" s="3" t="str">
        <f>"IP6K3"</f>
        <v>IP6K3</v>
      </c>
      <c r="I1427" s="3" t="str">
        <f>"protein_coding"</f>
        <v>protein_coding</v>
      </c>
    </row>
    <row r="1428" spans="1:9" x14ac:dyDescent="0.2">
      <c r="A1428" s="3" t="str">
        <f>"ENSG00000186577.14"</f>
        <v>ENSG00000186577.14</v>
      </c>
      <c r="B1428" s="3">
        <v>391.94896703762902</v>
      </c>
      <c r="C1428" s="3">
        <v>1.1682149220268001</v>
      </c>
      <c r="D1428" s="3">
        <v>0.32372429838448102</v>
      </c>
      <c r="E1428" s="3">
        <v>3.6086723420412898</v>
      </c>
      <c r="F1428" s="3">
        <v>3.0776802888448702E-4</v>
      </c>
      <c r="G1428" s="3">
        <v>2.19628504016717E-3</v>
      </c>
      <c r="H1428" s="3" t="str">
        <f>"SMIM29"</f>
        <v>SMIM29</v>
      </c>
      <c r="I1428" s="3" t="str">
        <f>"protein_coding"</f>
        <v>protein_coding</v>
      </c>
    </row>
    <row r="1429" spans="1:9" x14ac:dyDescent="0.2">
      <c r="A1429" s="3" t="str">
        <f>"ENSG00000225339.3"</f>
        <v>ENSG00000225339.3</v>
      </c>
      <c r="B1429" s="3">
        <v>43.857654995369302</v>
      </c>
      <c r="C1429" s="3">
        <v>2.2731353219169499</v>
      </c>
      <c r="D1429" s="3">
        <v>0.56692304249846404</v>
      </c>
      <c r="E1429" s="3">
        <v>4.0096012183578003</v>
      </c>
      <c r="F1429" s="4">
        <v>6.0821377574118102E-5</v>
      </c>
      <c r="G1429" s="3">
        <v>5.2324273354204497E-4</v>
      </c>
      <c r="H1429" s="3" t="str">
        <f>"AL354740.1"</f>
        <v>AL354740.1</v>
      </c>
      <c r="I1429" s="3" t="str">
        <f>"processed_transcript"</f>
        <v>processed_transcript</v>
      </c>
    </row>
    <row r="1430" spans="1:9" x14ac:dyDescent="0.2">
      <c r="A1430" s="3" t="str">
        <f>"ENSG00000112033.14"</f>
        <v>ENSG00000112033.14</v>
      </c>
      <c r="B1430" s="3">
        <v>964.01336016957498</v>
      </c>
      <c r="C1430" s="3">
        <v>-1.0554102446417499</v>
      </c>
      <c r="D1430" s="3">
        <v>0.28504749896493098</v>
      </c>
      <c r="E1430" s="3">
        <v>-3.7025767581689699</v>
      </c>
      <c r="F1430" s="3">
        <v>2.1342075971348301E-4</v>
      </c>
      <c r="G1430" s="3">
        <v>1.5813252461244901E-3</v>
      </c>
      <c r="H1430" s="3" t="str">
        <f>"PPARD"</f>
        <v>PPARD</v>
      </c>
      <c r="I1430" s="3" t="str">
        <f t="shared" ref="I1430:I1436" si="59">"protein_coding"</f>
        <v>protein_coding</v>
      </c>
    </row>
    <row r="1431" spans="1:9" x14ac:dyDescent="0.2">
      <c r="A1431" s="3" t="str">
        <f>"ENSG00000007866.21"</f>
        <v>ENSG00000007866.21</v>
      </c>
      <c r="B1431" s="3">
        <v>2921.2802758613102</v>
      </c>
      <c r="C1431" s="3">
        <v>1.0887410366982799</v>
      </c>
      <c r="D1431" s="3">
        <v>0.29275696146424601</v>
      </c>
      <c r="E1431" s="3">
        <v>3.7189245005579399</v>
      </c>
      <c r="F1431" s="3">
        <v>2.0007283652712299E-4</v>
      </c>
      <c r="G1431" s="3">
        <v>1.49297899817258E-3</v>
      </c>
      <c r="H1431" s="3" t="str">
        <f>"TEAD3"</f>
        <v>TEAD3</v>
      </c>
      <c r="I1431" s="3" t="str">
        <f t="shared" si="59"/>
        <v>protein_coding</v>
      </c>
    </row>
    <row r="1432" spans="1:9" x14ac:dyDescent="0.2">
      <c r="A1432" s="3" t="str">
        <f>"ENSG00000096060.14"</f>
        <v>ENSG00000096060.14</v>
      </c>
      <c r="B1432" s="3">
        <v>2434.6986601763401</v>
      </c>
      <c r="C1432" s="3">
        <v>-1.5649564391463</v>
      </c>
      <c r="D1432" s="3">
        <v>0.24240238545807499</v>
      </c>
      <c r="E1432" s="3">
        <v>-6.4560273868136804</v>
      </c>
      <c r="F1432" s="4">
        <v>1.0748716548877801E-10</v>
      </c>
      <c r="G1432" s="4">
        <v>2.4647581110940801E-9</v>
      </c>
      <c r="H1432" s="3" t="str">
        <f>"FKBP5"</f>
        <v>FKBP5</v>
      </c>
      <c r="I1432" s="3" t="str">
        <f t="shared" si="59"/>
        <v>protein_coding</v>
      </c>
    </row>
    <row r="1433" spans="1:9" x14ac:dyDescent="0.2">
      <c r="A1433" s="3" t="str">
        <f>"ENSG00000157343.8"</f>
        <v>ENSG00000157343.8</v>
      </c>
      <c r="B1433" s="3">
        <v>25.7164123326287</v>
      </c>
      <c r="C1433" s="3">
        <v>-2.1440887063761398</v>
      </c>
      <c r="D1433" s="3">
        <v>0.733066451369219</v>
      </c>
      <c r="E1433" s="3">
        <v>-2.9248217571155002</v>
      </c>
      <c r="F1433" s="3">
        <v>3.4465357225729799E-3</v>
      </c>
      <c r="G1433" s="3">
        <v>1.7394184651882801E-2</v>
      </c>
      <c r="H1433" s="3" t="str">
        <f>"ARMC12"</f>
        <v>ARMC12</v>
      </c>
      <c r="I1433" s="3" t="str">
        <f t="shared" si="59"/>
        <v>protein_coding</v>
      </c>
    </row>
    <row r="1434" spans="1:9" x14ac:dyDescent="0.2">
      <c r="A1434" s="3" t="str">
        <f>"ENSG00000197753.10"</f>
        <v>ENSG00000197753.10</v>
      </c>
      <c r="B1434" s="3">
        <v>51.123391948016902</v>
      </c>
      <c r="C1434" s="3">
        <v>-2.0547048935131502</v>
      </c>
      <c r="D1434" s="3">
        <v>0.53286898158325902</v>
      </c>
      <c r="E1434" s="3">
        <v>-3.8559288765658999</v>
      </c>
      <c r="F1434" s="3">
        <v>1.1529100748291401E-4</v>
      </c>
      <c r="G1434" s="3">
        <v>9.2097341798434099E-4</v>
      </c>
      <c r="H1434" s="3" t="str">
        <f>"LHFPL5"</f>
        <v>LHFPL5</v>
      </c>
      <c r="I1434" s="3" t="str">
        <f t="shared" si="59"/>
        <v>protein_coding</v>
      </c>
    </row>
    <row r="1435" spans="1:9" x14ac:dyDescent="0.2">
      <c r="A1435" s="3" t="str">
        <f>"ENSG00000156711.17"</f>
        <v>ENSG00000156711.17</v>
      </c>
      <c r="B1435" s="3">
        <v>2995.9647434199201</v>
      </c>
      <c r="C1435" s="3">
        <v>1.85501065189616</v>
      </c>
      <c r="D1435" s="3">
        <v>0.27043894486480302</v>
      </c>
      <c r="E1435" s="3">
        <v>6.8592585761770097</v>
      </c>
      <c r="F1435" s="4">
        <v>6.9218849935863401E-12</v>
      </c>
      <c r="G1435" s="4">
        <v>1.8137501772256699E-10</v>
      </c>
      <c r="H1435" s="3" t="str">
        <f>"MAPK13"</f>
        <v>MAPK13</v>
      </c>
      <c r="I1435" s="3" t="str">
        <f t="shared" si="59"/>
        <v>protein_coding</v>
      </c>
    </row>
    <row r="1436" spans="1:9" x14ac:dyDescent="0.2">
      <c r="A1436" s="3" t="str">
        <f>"ENSG00000010030.14"</f>
        <v>ENSG00000010030.14</v>
      </c>
      <c r="B1436" s="3">
        <v>44.830562440236697</v>
      </c>
      <c r="C1436" s="3">
        <v>3.8739440244919199</v>
      </c>
      <c r="D1436" s="3">
        <v>0.65623146652612296</v>
      </c>
      <c r="E1436" s="3">
        <v>5.9033195177295097</v>
      </c>
      <c r="F1436" s="4">
        <v>3.5625933313983198E-9</v>
      </c>
      <c r="G1436" s="4">
        <v>6.7280056494988606E-8</v>
      </c>
      <c r="H1436" s="3" t="str">
        <f>"ETV7"</f>
        <v>ETV7</v>
      </c>
      <c r="I1436" s="3" t="str">
        <f t="shared" si="59"/>
        <v>protein_coding</v>
      </c>
    </row>
    <row r="1437" spans="1:9" x14ac:dyDescent="0.2">
      <c r="A1437" s="3" t="str">
        <f>"ENSG00000224666.3"</f>
        <v>ENSG00000224666.3</v>
      </c>
      <c r="B1437" s="3">
        <v>4.1943023968050301</v>
      </c>
      <c r="C1437" s="3">
        <v>5.5850531596975896</v>
      </c>
      <c r="D1437" s="3">
        <v>2.10986327643788</v>
      </c>
      <c r="E1437" s="3">
        <v>2.6471161530082399</v>
      </c>
      <c r="F1437" s="3">
        <v>8.1181463685578402E-3</v>
      </c>
      <c r="G1437" s="3">
        <v>3.5441161385121898E-2</v>
      </c>
      <c r="H1437" s="3" t="str">
        <f>"Z84484.1"</f>
        <v>Z84484.1</v>
      </c>
      <c r="I1437" s="3" t="str">
        <f>"antisense"</f>
        <v>antisense</v>
      </c>
    </row>
    <row r="1438" spans="1:9" x14ac:dyDescent="0.2">
      <c r="A1438" s="3" t="str">
        <f>"ENSG00000112078.14"</f>
        <v>ENSG00000112078.14</v>
      </c>
      <c r="B1438" s="3">
        <v>2976.5149516046599</v>
      </c>
      <c r="C1438" s="3">
        <v>-1.1365531253021799</v>
      </c>
      <c r="D1438" s="3">
        <v>0.23941118986582499</v>
      </c>
      <c r="E1438" s="3">
        <v>-4.7472848948252997</v>
      </c>
      <c r="F1438" s="4">
        <v>2.0616546067164098E-6</v>
      </c>
      <c r="G1438" s="4">
        <v>2.4256745384448699E-5</v>
      </c>
      <c r="H1438" s="3" t="str">
        <f>"KCTD20"</f>
        <v>KCTD20</v>
      </c>
      <c r="I1438" s="3" t="str">
        <f>"protein_coding"</f>
        <v>protein_coding</v>
      </c>
    </row>
    <row r="1439" spans="1:9" x14ac:dyDescent="0.2">
      <c r="A1439" s="3" t="str">
        <f>"ENSG00000281450.1"</f>
        <v>ENSG00000281450.1</v>
      </c>
      <c r="B1439" s="3">
        <v>9.0343610968925105</v>
      </c>
      <c r="C1439" s="3">
        <v>4.1791369892959498</v>
      </c>
      <c r="D1439" s="3">
        <v>1.4613533691031799</v>
      </c>
      <c r="E1439" s="3">
        <v>2.8597716867486001</v>
      </c>
      <c r="F1439" s="3">
        <v>4.2394610330134998E-3</v>
      </c>
      <c r="G1439" s="3">
        <v>2.0671378617068199E-2</v>
      </c>
      <c r="H1439" s="3" t="str">
        <f>"PANDAR"</f>
        <v>PANDAR</v>
      </c>
      <c r="I1439" s="3" t="str">
        <f>"lincRNA"</f>
        <v>lincRNA</v>
      </c>
    </row>
    <row r="1440" spans="1:9" x14ac:dyDescent="0.2">
      <c r="A1440" s="3" t="str">
        <f>"ENSG00000124762.13"</f>
        <v>ENSG00000124762.13</v>
      </c>
      <c r="B1440" s="3">
        <v>18070.590214567601</v>
      </c>
      <c r="C1440" s="3">
        <v>7.5546845062547101</v>
      </c>
      <c r="D1440" s="3">
        <v>0.27881984903834001</v>
      </c>
      <c r="E1440" s="3">
        <v>27.095217690961</v>
      </c>
      <c r="F1440" s="4">
        <v>1.1210693486504501E-161</v>
      </c>
      <c r="G1440" s="4">
        <v>9.4001664884340402E-158</v>
      </c>
      <c r="H1440" s="3" t="str">
        <f>"CDKN1A"</f>
        <v>CDKN1A</v>
      </c>
      <c r="I1440" s="3" t="str">
        <f>"protein_coding"</f>
        <v>protein_coding</v>
      </c>
    </row>
    <row r="1441" spans="1:9" x14ac:dyDescent="0.2">
      <c r="A1441" s="3" t="str">
        <f>"ENSG00000285244.1"</f>
        <v>ENSG00000285244.1</v>
      </c>
      <c r="B1441" s="3">
        <v>32.535432412622001</v>
      </c>
      <c r="C1441" s="3">
        <v>6.0819711222337096</v>
      </c>
      <c r="D1441" s="3">
        <v>1.1735958317842501</v>
      </c>
      <c r="E1441" s="3">
        <v>5.1823387213186898</v>
      </c>
      <c r="F1441" s="4">
        <v>2.1912081502464801E-7</v>
      </c>
      <c r="G1441" s="4">
        <v>3.10184811589478E-6</v>
      </c>
      <c r="H1441" s="3" t="str">
        <f>"DINOL"</f>
        <v>DINOL</v>
      </c>
      <c r="I1441" s="3" t="str">
        <f>"bidirectional_promoter_lncRNA"</f>
        <v>bidirectional_promoter_lncRNA</v>
      </c>
    </row>
    <row r="1442" spans="1:9" x14ac:dyDescent="0.2">
      <c r="A1442" s="3" t="str">
        <f>"ENSG00000137193.14"</f>
        <v>ENSG00000137193.14</v>
      </c>
      <c r="B1442" s="3">
        <v>1261.7499321262101</v>
      </c>
      <c r="C1442" s="3">
        <v>-1.2691686722984401</v>
      </c>
      <c r="D1442" s="3">
        <v>0.29585800425754799</v>
      </c>
      <c r="E1442" s="3">
        <v>-4.2897898790448599</v>
      </c>
      <c r="F1442" s="4">
        <v>1.7884224241269901E-5</v>
      </c>
      <c r="G1442" s="3">
        <v>1.73489052478177E-4</v>
      </c>
      <c r="H1442" s="3" t="str">
        <f>"PIM1"</f>
        <v>PIM1</v>
      </c>
      <c r="I1442" s="3" t="str">
        <f>"protein_coding"</f>
        <v>protein_coding</v>
      </c>
    </row>
    <row r="1443" spans="1:9" x14ac:dyDescent="0.2">
      <c r="A1443" s="3" t="str">
        <f>"ENSG00000164626.9"</f>
        <v>ENSG00000164626.9</v>
      </c>
      <c r="B1443" s="3">
        <v>13.443995462987299</v>
      </c>
      <c r="C1443" s="3">
        <v>-3.5819831338642998</v>
      </c>
      <c r="D1443" s="3">
        <v>1.10838324759576</v>
      </c>
      <c r="E1443" s="3">
        <v>-3.2317189398469601</v>
      </c>
      <c r="F1443" s="3">
        <v>1.2304801970927E-3</v>
      </c>
      <c r="G1443" s="3">
        <v>7.2967301645136696E-3</v>
      </c>
      <c r="H1443" s="3" t="str">
        <f>"KCNK5"</f>
        <v>KCNK5</v>
      </c>
      <c r="I1443" s="3" t="str">
        <f>"protein_coding"</f>
        <v>protein_coding</v>
      </c>
    </row>
    <row r="1444" spans="1:9" x14ac:dyDescent="0.2">
      <c r="A1444" s="3" t="str">
        <f>"ENSG00000161911.11"</f>
        <v>ENSG00000161911.11</v>
      </c>
      <c r="B1444" s="3">
        <v>20.209144006750101</v>
      </c>
      <c r="C1444" s="3">
        <v>7.8535831840798904</v>
      </c>
      <c r="D1444" s="3">
        <v>1.6205243719056399</v>
      </c>
      <c r="E1444" s="3">
        <v>4.8463221659817002</v>
      </c>
      <c r="F1444" s="4">
        <v>1.25771221066575E-6</v>
      </c>
      <c r="G1444" s="4">
        <v>1.5343235043305899E-5</v>
      </c>
      <c r="H1444" s="3" t="str">
        <f>"TREML1"</f>
        <v>TREML1</v>
      </c>
      <c r="I1444" s="3" t="str">
        <f>"protein_coding"</f>
        <v>protein_coding</v>
      </c>
    </row>
    <row r="1445" spans="1:9" x14ac:dyDescent="0.2">
      <c r="A1445" s="3" t="str">
        <f>"ENSG00000095970.16"</f>
        <v>ENSG00000095970.16</v>
      </c>
      <c r="B1445" s="3">
        <v>3197.0621165505099</v>
      </c>
      <c r="C1445" s="3">
        <v>11.140147328304099</v>
      </c>
      <c r="D1445" s="3">
        <v>0.64927073304921001</v>
      </c>
      <c r="E1445" s="3">
        <v>17.157938532029501</v>
      </c>
      <c r="F1445" s="4">
        <v>5.4825376629250796E-66</v>
      </c>
      <c r="G1445" s="4">
        <v>2.5075133620160098E-63</v>
      </c>
      <c r="H1445" s="3" t="str">
        <f>"TREM2"</f>
        <v>TREM2</v>
      </c>
      <c r="I1445" s="3" t="str">
        <f>"protein_coding"</f>
        <v>protein_coding</v>
      </c>
    </row>
    <row r="1446" spans="1:9" x14ac:dyDescent="0.2">
      <c r="A1446" s="3" t="str">
        <f>"ENSG00000234753.5"</f>
        <v>ENSG00000234753.5</v>
      </c>
      <c r="B1446" s="3">
        <v>124.01302441340199</v>
      </c>
      <c r="C1446" s="3">
        <v>-2.7979304041375399</v>
      </c>
      <c r="D1446" s="3">
        <v>0.42490367813892399</v>
      </c>
      <c r="E1446" s="3">
        <v>-6.5848580468695097</v>
      </c>
      <c r="F1446" s="4">
        <v>4.5532020195907698E-11</v>
      </c>
      <c r="G1446" s="4">
        <v>1.08977922742917E-9</v>
      </c>
      <c r="H1446" s="3" t="str">
        <f>"FOXP4-AS1"</f>
        <v>FOXP4-AS1</v>
      </c>
      <c r="I1446" s="3" t="str">
        <f>"antisense"</f>
        <v>antisense</v>
      </c>
    </row>
    <row r="1447" spans="1:9" x14ac:dyDescent="0.2">
      <c r="A1447" s="3" t="str">
        <f>"ENSG00000226917.5"</f>
        <v>ENSG00000226917.5</v>
      </c>
      <c r="B1447" s="3">
        <v>11.309080649916501</v>
      </c>
      <c r="C1447" s="3">
        <v>-4.3840442167876104</v>
      </c>
      <c r="D1447" s="3">
        <v>1.39028762994275</v>
      </c>
      <c r="E1447" s="3">
        <v>-3.1533361315802999</v>
      </c>
      <c r="F1447" s="3">
        <v>1.6141582535400001E-3</v>
      </c>
      <c r="G1447" s="3">
        <v>9.1553891471924803E-3</v>
      </c>
      <c r="H1447" s="3" t="str">
        <f>"LINC01276"</f>
        <v>LINC01276</v>
      </c>
      <c r="I1447" s="3" t="str">
        <f>"lincRNA"</f>
        <v>lincRNA</v>
      </c>
    </row>
    <row r="1448" spans="1:9" x14ac:dyDescent="0.2">
      <c r="A1448" s="3" t="str">
        <f>"ENSG00000112559.14"</f>
        <v>ENSG00000112559.14</v>
      </c>
      <c r="B1448" s="3">
        <v>443.74045469045302</v>
      </c>
      <c r="C1448" s="3">
        <v>4.8065261949414504</v>
      </c>
      <c r="D1448" s="3">
        <v>0.37170181169250099</v>
      </c>
      <c r="E1448" s="3">
        <v>12.9311346992243</v>
      </c>
      <c r="F1448" s="4">
        <v>3.0035305876056302E-38</v>
      </c>
      <c r="G1448" s="4">
        <v>4.6352031859643902E-36</v>
      </c>
      <c r="H1448" s="3" t="str">
        <f>"MDFI"</f>
        <v>MDFI</v>
      </c>
      <c r="I1448" s="3" t="str">
        <f t="shared" ref="I1448:I1455" si="60">"protein_coding"</f>
        <v>protein_coding</v>
      </c>
    </row>
    <row r="1449" spans="1:9" x14ac:dyDescent="0.2">
      <c r="A1449" s="3" t="str">
        <f>"ENSG00000137218.10"</f>
        <v>ENSG00000137218.10</v>
      </c>
      <c r="B1449" s="3">
        <v>331.65021973839703</v>
      </c>
      <c r="C1449" s="3">
        <v>1.0396472290546801</v>
      </c>
      <c r="D1449" s="3">
        <v>0.341527699864206</v>
      </c>
      <c r="E1449" s="3">
        <v>3.04410807518118</v>
      </c>
      <c r="F1449" s="3">
        <v>2.3337128675631198E-3</v>
      </c>
      <c r="G1449" s="3">
        <v>1.2499527539476901E-2</v>
      </c>
      <c r="H1449" s="3" t="str">
        <f>"FRS3"</f>
        <v>FRS3</v>
      </c>
      <c r="I1449" s="3" t="str">
        <f t="shared" si="60"/>
        <v>protein_coding</v>
      </c>
    </row>
    <row r="1450" spans="1:9" x14ac:dyDescent="0.2">
      <c r="A1450" s="3" t="str">
        <f>"ENSG00000188112.9"</f>
        <v>ENSG00000188112.9</v>
      </c>
      <c r="B1450" s="3">
        <v>188.00042902372101</v>
      </c>
      <c r="C1450" s="3">
        <v>1.6646383659911901</v>
      </c>
      <c r="D1450" s="3">
        <v>0.42568876134515898</v>
      </c>
      <c r="E1450" s="3">
        <v>3.9104588073478999</v>
      </c>
      <c r="F1450" s="4">
        <v>9.2120970287818996E-5</v>
      </c>
      <c r="G1450" s="3">
        <v>7.5457603633672602E-4</v>
      </c>
      <c r="H1450" s="3" t="str">
        <f>"C6orf132"</f>
        <v>C6orf132</v>
      </c>
      <c r="I1450" s="3" t="str">
        <f t="shared" si="60"/>
        <v>protein_coding</v>
      </c>
    </row>
    <row r="1451" spans="1:9" x14ac:dyDescent="0.2">
      <c r="A1451" s="3" t="str">
        <f>"ENSG00000124496.12"</f>
        <v>ENSG00000124496.12</v>
      </c>
      <c r="B1451" s="3">
        <v>125.603131619891</v>
      </c>
      <c r="C1451" s="3">
        <v>2.0641115324284098</v>
      </c>
      <c r="D1451" s="3">
        <v>0.41012539885640598</v>
      </c>
      <c r="E1451" s="3">
        <v>5.0328790613407097</v>
      </c>
      <c r="F1451" s="4">
        <v>4.8316795888844704E-7</v>
      </c>
      <c r="G1451" s="4">
        <v>6.4409591975828704E-6</v>
      </c>
      <c r="H1451" s="3" t="str">
        <f>"TRERF1"</f>
        <v>TRERF1</v>
      </c>
      <c r="I1451" s="3" t="str">
        <f t="shared" si="60"/>
        <v>protein_coding</v>
      </c>
    </row>
    <row r="1452" spans="1:9" x14ac:dyDescent="0.2">
      <c r="A1452" s="3" t="str">
        <f>"ENSG00000124713.6"</f>
        <v>ENSG00000124713.6</v>
      </c>
      <c r="B1452" s="3">
        <v>73.437977202613794</v>
      </c>
      <c r="C1452" s="3">
        <v>2.75596172312438</v>
      </c>
      <c r="D1452" s="3">
        <v>0.535963198680659</v>
      </c>
      <c r="E1452" s="3">
        <v>5.1420726831777301</v>
      </c>
      <c r="F1452" s="4">
        <v>2.7172394931832502E-7</v>
      </c>
      <c r="G1452" s="4">
        <v>3.7784499420135201E-6</v>
      </c>
      <c r="H1452" s="3" t="str">
        <f>"GNMT"</f>
        <v>GNMT</v>
      </c>
      <c r="I1452" s="3" t="str">
        <f t="shared" si="60"/>
        <v>protein_coding</v>
      </c>
    </row>
    <row r="1453" spans="1:9" x14ac:dyDescent="0.2">
      <c r="A1453" s="3" t="str">
        <f>"ENSG00000112640.15"</f>
        <v>ENSG00000112640.15</v>
      </c>
      <c r="B1453" s="3">
        <v>7749.2281237039497</v>
      </c>
      <c r="C1453" s="3">
        <v>1.7545868981203701</v>
      </c>
      <c r="D1453" s="3">
        <v>0.26556622335690799</v>
      </c>
      <c r="E1453" s="3">
        <v>6.6069655844835502</v>
      </c>
      <c r="F1453" s="4">
        <v>3.9227718571390502E-11</v>
      </c>
      <c r="G1453" s="4">
        <v>9.4337787826322095E-10</v>
      </c>
      <c r="H1453" s="3" t="str">
        <f>"PPP2R5D"</f>
        <v>PPP2R5D</v>
      </c>
      <c r="I1453" s="3" t="str">
        <f t="shared" si="60"/>
        <v>protein_coding</v>
      </c>
    </row>
    <row r="1454" spans="1:9" x14ac:dyDescent="0.2">
      <c r="A1454" s="3" t="str">
        <f>"ENSG00000124733.4"</f>
        <v>ENSG00000124733.4</v>
      </c>
      <c r="B1454" s="3">
        <v>2537.9104079811</v>
      </c>
      <c r="C1454" s="3">
        <v>-1.22597885899031</v>
      </c>
      <c r="D1454" s="3">
        <v>0.29547765288238198</v>
      </c>
      <c r="E1454" s="3">
        <v>-4.1491424039378098</v>
      </c>
      <c r="F1454" s="4">
        <v>3.3372316800088202E-5</v>
      </c>
      <c r="G1454" s="3">
        <v>3.05376729394768E-4</v>
      </c>
      <c r="H1454" s="3" t="str">
        <f>"MEA1"</f>
        <v>MEA1</v>
      </c>
      <c r="I1454" s="3" t="str">
        <f t="shared" si="60"/>
        <v>protein_coding</v>
      </c>
    </row>
    <row r="1455" spans="1:9" x14ac:dyDescent="0.2">
      <c r="A1455" s="3" t="str">
        <f>"ENSG00000124702.18"</f>
        <v>ENSG00000124702.18</v>
      </c>
      <c r="B1455" s="3">
        <v>2804.2612570143501</v>
      </c>
      <c r="C1455" s="3">
        <v>-1.25090281958085</v>
      </c>
      <c r="D1455" s="3">
        <v>0.280701745121684</v>
      </c>
      <c r="E1455" s="3">
        <v>-4.4563414418338896</v>
      </c>
      <c r="F1455" s="4">
        <v>8.3370211233389399E-6</v>
      </c>
      <c r="G1455" s="4">
        <v>8.7280479364230796E-5</v>
      </c>
      <c r="H1455" s="3" t="str">
        <f>"KLHDC3"</f>
        <v>KLHDC3</v>
      </c>
      <c r="I1455" s="3" t="str">
        <f t="shared" si="60"/>
        <v>protein_coding</v>
      </c>
    </row>
    <row r="1456" spans="1:9" x14ac:dyDescent="0.2">
      <c r="A1456" s="3" t="str">
        <f>"ENSG00000272223.1"</f>
        <v>ENSG00000272223.1</v>
      </c>
      <c r="B1456" s="3">
        <v>30.1037820827083</v>
      </c>
      <c r="C1456" s="3">
        <v>2.1220419438858502</v>
      </c>
      <c r="D1456" s="3">
        <v>0.66392894099520205</v>
      </c>
      <c r="E1456" s="3">
        <v>3.1961883461579399</v>
      </c>
      <c r="F1456" s="3">
        <v>1.3925617620391701E-3</v>
      </c>
      <c r="G1456" s="3">
        <v>8.0844429088611398E-3</v>
      </c>
      <c r="H1456" s="3" t="str">
        <f>"AL136304.1"</f>
        <v>AL136304.1</v>
      </c>
      <c r="I1456" s="3" t="str">
        <f>"antisense"</f>
        <v>antisense</v>
      </c>
    </row>
    <row r="1457" spans="1:9" x14ac:dyDescent="0.2">
      <c r="A1457" s="3" t="str">
        <f>"ENSG00000112659.14"</f>
        <v>ENSG00000112659.14</v>
      </c>
      <c r="B1457" s="3">
        <v>1249.2432991159101</v>
      </c>
      <c r="C1457" s="3">
        <v>1.2542222733711099</v>
      </c>
      <c r="D1457" s="3">
        <v>0.30076130878935298</v>
      </c>
      <c r="E1457" s="3">
        <v>4.1701583173038701</v>
      </c>
      <c r="F1457" s="4">
        <v>3.0438810824440801E-5</v>
      </c>
      <c r="G1457" s="3">
        <v>2.7985682978392098E-4</v>
      </c>
      <c r="H1457" s="3" t="str">
        <f>"CUL9"</f>
        <v>CUL9</v>
      </c>
      <c r="I1457" s="3" t="str">
        <f>"protein_coding"</f>
        <v>protein_coding</v>
      </c>
    </row>
    <row r="1458" spans="1:9" x14ac:dyDescent="0.2">
      <c r="A1458" s="3" t="str">
        <f>"ENSG00000146215.13"</f>
        <v>ENSG00000146215.13</v>
      </c>
      <c r="B1458" s="3">
        <v>68.916182647336498</v>
      </c>
      <c r="C1458" s="3">
        <v>-3.4148111774133501</v>
      </c>
      <c r="D1458" s="3">
        <v>0.56123297808532802</v>
      </c>
      <c r="E1458" s="3">
        <v>-6.0844806181260704</v>
      </c>
      <c r="F1458" s="4">
        <v>1.16869538355825E-9</v>
      </c>
      <c r="G1458" s="4">
        <v>2.3575406875226698E-8</v>
      </c>
      <c r="H1458" s="3" t="str">
        <f>"CRIP3"</f>
        <v>CRIP3</v>
      </c>
      <c r="I1458" s="3" t="str">
        <f>"protein_coding"</f>
        <v>protein_coding</v>
      </c>
    </row>
    <row r="1459" spans="1:9" x14ac:dyDescent="0.2">
      <c r="A1459" s="3" t="str">
        <f>"ENSG00000170734.11"</f>
        <v>ENSG00000170734.11</v>
      </c>
      <c r="B1459" s="3">
        <v>3718.7529627024101</v>
      </c>
      <c r="C1459" s="3">
        <v>3.7193778755728801</v>
      </c>
      <c r="D1459" s="3">
        <v>0.24638331645702799</v>
      </c>
      <c r="E1459" s="3">
        <v>15.0958998728373</v>
      </c>
      <c r="F1459" s="4">
        <v>1.72320805722555E-51</v>
      </c>
      <c r="G1459" s="4">
        <v>4.7634394153306298E-49</v>
      </c>
      <c r="H1459" s="3" t="str">
        <f>"POLH"</f>
        <v>POLH</v>
      </c>
      <c r="I1459" s="3" t="str">
        <f>"protein_coding"</f>
        <v>protein_coding</v>
      </c>
    </row>
    <row r="1460" spans="1:9" x14ac:dyDescent="0.2">
      <c r="A1460" s="3" t="str">
        <f>"ENSG00000236961.1"</f>
        <v>ENSG00000236961.1</v>
      </c>
      <c r="B1460" s="3">
        <v>10.7391447513548</v>
      </c>
      <c r="C1460" s="3">
        <v>4.3950480972973196</v>
      </c>
      <c r="D1460" s="3">
        <v>1.4058278075055699</v>
      </c>
      <c r="E1460" s="3">
        <v>3.1263061335340101</v>
      </c>
      <c r="F1460" s="3">
        <v>1.77017174568875E-3</v>
      </c>
      <c r="G1460" s="3">
        <v>9.8842775278136803E-3</v>
      </c>
      <c r="H1460" s="3" t="str">
        <f>"AL136131.2"</f>
        <v>AL136131.2</v>
      </c>
      <c r="I1460" s="3" t="str">
        <f>"lincRNA"</f>
        <v>lincRNA</v>
      </c>
    </row>
    <row r="1461" spans="1:9" x14ac:dyDescent="0.2">
      <c r="A1461" s="3" t="str">
        <f>"ENSG00000137216.19"</f>
        <v>ENSG00000137216.19</v>
      </c>
      <c r="B1461" s="3">
        <v>3771.9989974485802</v>
      </c>
      <c r="C1461" s="3">
        <v>1.56240023836025</v>
      </c>
      <c r="D1461" s="3">
        <v>0.303810894185359</v>
      </c>
      <c r="E1461" s="3">
        <v>5.1426735125798899</v>
      </c>
      <c r="F1461" s="4">
        <v>2.7085608960002801E-7</v>
      </c>
      <c r="G1461" s="4">
        <v>3.7690356427658899E-6</v>
      </c>
      <c r="H1461" s="3" t="str">
        <f>"TMEM63B"</f>
        <v>TMEM63B</v>
      </c>
      <c r="I1461" s="3" t="str">
        <f>"protein_coding"</f>
        <v>protein_coding</v>
      </c>
    </row>
    <row r="1462" spans="1:9" x14ac:dyDescent="0.2">
      <c r="A1462" s="3" t="str">
        <f>"ENSG00000262179.2"</f>
        <v>ENSG00000262179.2</v>
      </c>
      <c r="B1462" s="3">
        <v>197.43618710619299</v>
      </c>
      <c r="C1462" s="3">
        <v>6.3646436883631798</v>
      </c>
      <c r="D1462" s="3">
        <v>0.55938625156316601</v>
      </c>
      <c r="E1462" s="3">
        <v>11.377905106851699</v>
      </c>
      <c r="F1462" s="4">
        <v>5.3878423230100403E-30</v>
      </c>
      <c r="G1462" s="4">
        <v>5.5774145528937304E-28</v>
      </c>
      <c r="H1462" s="3" t="str">
        <f>"MYMX"</f>
        <v>MYMX</v>
      </c>
      <c r="I1462" s="3" t="str">
        <f>"protein_coding"</f>
        <v>protein_coding</v>
      </c>
    </row>
    <row r="1463" spans="1:9" x14ac:dyDescent="0.2">
      <c r="A1463" s="3" t="str">
        <f>"ENSG00000112759.18"</f>
        <v>ENSG00000112759.18</v>
      </c>
      <c r="B1463" s="3">
        <v>4129.0933632358201</v>
      </c>
      <c r="C1463" s="3">
        <v>1.56279675389085</v>
      </c>
      <c r="D1463" s="3">
        <v>0.28372358403655901</v>
      </c>
      <c r="E1463" s="3">
        <v>5.5081665459628502</v>
      </c>
      <c r="F1463" s="4">
        <v>3.6259028557539701E-8</v>
      </c>
      <c r="G1463" s="4">
        <v>5.8280885838013505E-7</v>
      </c>
      <c r="H1463" s="3" t="str">
        <f>"SLC29A1"</f>
        <v>SLC29A1</v>
      </c>
      <c r="I1463" s="3" t="str">
        <f>"protein_coding"</f>
        <v>protein_coding</v>
      </c>
    </row>
    <row r="1464" spans="1:9" x14ac:dyDescent="0.2">
      <c r="A1464" s="3" t="str">
        <f>"ENSG00000112818.10"</f>
        <v>ENSG00000112818.10</v>
      </c>
      <c r="B1464" s="3">
        <v>154.93705994596499</v>
      </c>
      <c r="C1464" s="3">
        <v>-1.22588276148208</v>
      </c>
      <c r="D1464" s="3">
        <v>0.37974740618077601</v>
      </c>
      <c r="E1464" s="3">
        <v>-3.2281530868403299</v>
      </c>
      <c r="F1464" s="3">
        <v>1.24592278121997E-3</v>
      </c>
      <c r="G1464" s="3">
        <v>7.36919528840543E-3</v>
      </c>
      <c r="H1464" s="3" t="str">
        <f>"MEP1A"</f>
        <v>MEP1A</v>
      </c>
      <c r="I1464" s="3" t="str">
        <f>"protein_coding"</f>
        <v>protein_coding</v>
      </c>
    </row>
    <row r="1465" spans="1:9" x14ac:dyDescent="0.2">
      <c r="A1465" s="3" t="str">
        <f>"ENSG00000244694.7"</f>
        <v>ENSG00000244694.7</v>
      </c>
      <c r="B1465" s="3">
        <v>1924.36760235564</v>
      </c>
      <c r="C1465" s="3">
        <v>8.7385554469904605</v>
      </c>
      <c r="D1465" s="3">
        <v>0.415082093471348</v>
      </c>
      <c r="E1465" s="3">
        <v>21.0525955815381</v>
      </c>
      <c r="F1465" s="4">
        <v>2.1649339922525701E-98</v>
      </c>
      <c r="G1465" s="4">
        <v>3.2034655632419598E-95</v>
      </c>
      <c r="H1465" s="3" t="str">
        <f>"PTCHD4"</f>
        <v>PTCHD4</v>
      </c>
      <c r="I1465" s="3" t="str">
        <f>"protein_coding"</f>
        <v>protein_coding</v>
      </c>
    </row>
    <row r="1466" spans="1:9" x14ac:dyDescent="0.2">
      <c r="A1466" s="3" t="str">
        <f>"ENSG00000217631.1"</f>
        <v>ENSG00000217631.1</v>
      </c>
      <c r="B1466" s="3">
        <v>8.3211582819191605</v>
      </c>
      <c r="C1466" s="3">
        <v>6.5705249737449201</v>
      </c>
      <c r="D1466" s="3">
        <v>1.8512946681884599</v>
      </c>
      <c r="E1466" s="3">
        <v>3.54915135156434</v>
      </c>
      <c r="F1466" s="3">
        <v>3.8647487547016201E-4</v>
      </c>
      <c r="G1466" s="3">
        <v>2.67228573184495E-3</v>
      </c>
      <c r="H1466" s="3" t="str">
        <f>"FO393413.1"</f>
        <v>FO393413.1</v>
      </c>
      <c r="I1466" s="3" t="str">
        <f>"processed_pseudogene"</f>
        <v>processed_pseudogene</v>
      </c>
    </row>
    <row r="1467" spans="1:9" x14ac:dyDescent="0.2">
      <c r="A1467" s="3" t="str">
        <f>"ENSG00000031691.7"</f>
        <v>ENSG00000031691.7</v>
      </c>
      <c r="B1467" s="3">
        <v>769.93384275030496</v>
      </c>
      <c r="C1467" s="3">
        <v>-1.41989768818974</v>
      </c>
      <c r="D1467" s="3">
        <v>0.30191176167251699</v>
      </c>
      <c r="E1467" s="3">
        <v>-4.7030221026297596</v>
      </c>
      <c r="F1467" s="4">
        <v>2.56338657347767E-6</v>
      </c>
      <c r="G1467" s="4">
        <v>2.96468916118763E-5</v>
      </c>
      <c r="H1467" s="3" t="str">
        <f>"CENPQ"</f>
        <v>CENPQ</v>
      </c>
      <c r="I1467" s="3" t="str">
        <f>"protein_coding"</f>
        <v>protein_coding</v>
      </c>
    </row>
    <row r="1468" spans="1:9" x14ac:dyDescent="0.2">
      <c r="A1468" s="3" t="str">
        <f>"ENSG00000226733.3"</f>
        <v>ENSG00000226733.3</v>
      </c>
      <c r="B1468" s="3">
        <v>43.012349023614803</v>
      </c>
      <c r="C1468" s="3">
        <v>-3.5319534490734901</v>
      </c>
      <c r="D1468" s="3">
        <v>0.68145516512563498</v>
      </c>
      <c r="E1468" s="3">
        <v>-5.18295792566534</v>
      </c>
      <c r="F1468" s="4">
        <v>2.18394318907796E-7</v>
      </c>
      <c r="G1468" s="4">
        <v>3.0933046689896399E-6</v>
      </c>
      <c r="H1468" s="3" t="str">
        <f>"AL138826.1"</f>
        <v>AL138826.1</v>
      </c>
      <c r="I1468" s="3" t="str">
        <f>"lincRNA"</f>
        <v>lincRNA</v>
      </c>
    </row>
    <row r="1469" spans="1:9" x14ac:dyDescent="0.2">
      <c r="A1469" s="3" t="str">
        <f>"ENSG00000112118.19"</f>
        <v>ENSG00000112118.19</v>
      </c>
      <c r="B1469" s="3">
        <v>12725.5973966442</v>
      </c>
      <c r="C1469" s="3">
        <v>-2.3382199524945899</v>
      </c>
      <c r="D1469" s="3">
        <v>0.25299610235756198</v>
      </c>
      <c r="E1469" s="3">
        <v>-9.2421184781335608</v>
      </c>
      <c r="F1469" s="4">
        <v>2.4166431507419701E-20</v>
      </c>
      <c r="G1469" s="4">
        <v>1.33605842762449E-18</v>
      </c>
      <c r="H1469" s="3" t="str">
        <f>"MCM3"</f>
        <v>MCM3</v>
      </c>
      <c r="I1469" s="3" t="str">
        <f>"protein_coding"</f>
        <v>protein_coding</v>
      </c>
    </row>
    <row r="1470" spans="1:9" x14ac:dyDescent="0.2">
      <c r="A1470" s="3" t="str">
        <f>"ENSG00000216775.3"</f>
        <v>ENSG00000216775.3</v>
      </c>
      <c r="B1470" s="3">
        <v>1198.9410440193401</v>
      </c>
      <c r="C1470" s="3">
        <v>-1.36608111741844</v>
      </c>
      <c r="D1470" s="3">
        <v>0.25374237852039</v>
      </c>
      <c r="E1470" s="3">
        <v>-5.3837326085782902</v>
      </c>
      <c r="F1470" s="4">
        <v>7.2956859521986503E-8</v>
      </c>
      <c r="G1470" s="4">
        <v>1.1143044618868601E-6</v>
      </c>
      <c r="H1470" s="3" t="str">
        <f>"AL109918.1"</f>
        <v>AL109918.1</v>
      </c>
      <c r="I1470" s="3" t="str">
        <f>"transcribed_unprocessed_pseudogene"</f>
        <v>transcribed_unprocessed_pseudogene</v>
      </c>
    </row>
    <row r="1471" spans="1:9" x14ac:dyDescent="0.2">
      <c r="A1471" s="3" t="str">
        <f>"ENSG00000096092.6"</f>
        <v>ENSG00000096092.6</v>
      </c>
      <c r="B1471" s="3">
        <v>481.46282512935102</v>
      </c>
      <c r="C1471" s="3">
        <v>-1.40838966534592</v>
      </c>
      <c r="D1471" s="3">
        <v>0.28835859977772699</v>
      </c>
      <c r="E1471" s="3">
        <v>-4.8841604392292899</v>
      </c>
      <c r="F1471" s="4">
        <v>1.03870474658158E-6</v>
      </c>
      <c r="G1471" s="4">
        <v>1.2967056029905501E-5</v>
      </c>
      <c r="H1471" s="3" t="str">
        <f>"TMEM14A"</f>
        <v>TMEM14A</v>
      </c>
      <c r="I1471" s="3" t="str">
        <f t="shared" ref="I1471:I1477" si="61">"protein_coding"</f>
        <v>protein_coding</v>
      </c>
    </row>
    <row r="1472" spans="1:9" x14ac:dyDescent="0.2">
      <c r="A1472" s="3" t="str">
        <f>"ENSG00000243955.6"</f>
        <v>ENSG00000243955.6</v>
      </c>
      <c r="B1472" s="3">
        <v>37.021232347208702</v>
      </c>
      <c r="C1472" s="3">
        <v>-2.0835183965519199</v>
      </c>
      <c r="D1472" s="3">
        <v>0.665179262583523</v>
      </c>
      <c r="E1472" s="3">
        <v>-3.1322660127130799</v>
      </c>
      <c r="F1472" s="3">
        <v>1.73462631968168E-3</v>
      </c>
      <c r="G1472" s="3">
        <v>9.7311608099002606E-3</v>
      </c>
      <c r="H1472" s="3" t="str">
        <f>"GSTA1"</f>
        <v>GSTA1</v>
      </c>
      <c r="I1472" s="3" t="str">
        <f t="shared" si="61"/>
        <v>protein_coding</v>
      </c>
    </row>
    <row r="1473" spans="1:9" x14ac:dyDescent="0.2">
      <c r="A1473" s="3" t="str">
        <f>"ENSG00000170899.11"</f>
        <v>ENSG00000170899.11</v>
      </c>
      <c r="B1473" s="3">
        <v>325.55640782087198</v>
      </c>
      <c r="C1473" s="3">
        <v>-1.0705058922486199</v>
      </c>
      <c r="D1473" s="3">
        <v>0.30736045794766897</v>
      </c>
      <c r="E1473" s="3">
        <v>-3.4829004986415302</v>
      </c>
      <c r="F1473" s="3">
        <v>4.9601268290529296E-4</v>
      </c>
      <c r="G1473" s="3">
        <v>3.31817863847449E-3</v>
      </c>
      <c r="H1473" s="3" t="str">
        <f>"GSTA4"</f>
        <v>GSTA4</v>
      </c>
      <c r="I1473" s="3" t="str">
        <f t="shared" si="61"/>
        <v>protein_coding</v>
      </c>
    </row>
    <row r="1474" spans="1:9" x14ac:dyDescent="0.2">
      <c r="A1474" s="3" t="str">
        <f>"ENSG00000124743.6"</f>
        <v>ENSG00000124743.6</v>
      </c>
      <c r="B1474" s="3">
        <v>77.152247567792301</v>
      </c>
      <c r="C1474" s="3">
        <v>-1.6272301778831799</v>
      </c>
      <c r="D1474" s="3">
        <v>0.45794711147798101</v>
      </c>
      <c r="E1474" s="3">
        <v>-3.5533146450721098</v>
      </c>
      <c r="F1474" s="3">
        <v>3.8040916985652398E-4</v>
      </c>
      <c r="G1474" s="3">
        <v>2.63468961116213E-3</v>
      </c>
      <c r="H1474" s="3" t="str">
        <f>"KLHL31"</f>
        <v>KLHL31</v>
      </c>
      <c r="I1474" s="3" t="str">
        <f t="shared" si="61"/>
        <v>protein_coding</v>
      </c>
    </row>
    <row r="1475" spans="1:9" x14ac:dyDescent="0.2">
      <c r="A1475" s="3" t="str">
        <f>"ENSG00000137251.16"</f>
        <v>ENSG00000137251.16</v>
      </c>
      <c r="B1475" s="3">
        <v>34.7758112079566</v>
      </c>
      <c r="C1475" s="3">
        <v>-7.0499058462466904</v>
      </c>
      <c r="D1475" s="3">
        <v>1.54356171485729</v>
      </c>
      <c r="E1475" s="3">
        <v>-4.5672976845622699</v>
      </c>
      <c r="F1475" s="4">
        <v>4.9405214376557798E-6</v>
      </c>
      <c r="G1475" s="4">
        <v>5.4175595799577598E-5</v>
      </c>
      <c r="H1475" s="3" t="str">
        <f>"TINAG"</f>
        <v>TINAG</v>
      </c>
      <c r="I1475" s="3" t="str">
        <f t="shared" si="61"/>
        <v>protein_coding</v>
      </c>
    </row>
    <row r="1476" spans="1:9" x14ac:dyDescent="0.2">
      <c r="A1476" s="3" t="str">
        <f>"ENSG00000151914.20"</f>
        <v>ENSG00000151914.20</v>
      </c>
      <c r="B1476" s="3">
        <v>24956.975778186799</v>
      </c>
      <c r="C1476" s="3">
        <v>1.0608125449197601</v>
      </c>
      <c r="D1476" s="3">
        <v>0.27922430115581498</v>
      </c>
      <c r="E1476" s="3">
        <v>3.7991411941175999</v>
      </c>
      <c r="F1476" s="3">
        <v>1.4519835838770699E-4</v>
      </c>
      <c r="G1476" s="3">
        <v>1.1269560954158501E-3</v>
      </c>
      <c r="H1476" s="3" t="str">
        <f>"DST"</f>
        <v>DST</v>
      </c>
      <c r="I1476" s="3" t="str">
        <f t="shared" si="61"/>
        <v>protein_coding</v>
      </c>
    </row>
    <row r="1477" spans="1:9" x14ac:dyDescent="0.2">
      <c r="A1477" s="3" t="str">
        <f>"ENSG00000112208.11"</f>
        <v>ENSG00000112208.11</v>
      </c>
      <c r="B1477" s="3">
        <v>1780.5311553935501</v>
      </c>
      <c r="C1477" s="3">
        <v>-1.63433607557058</v>
      </c>
      <c r="D1477" s="3">
        <v>0.24523604387801101</v>
      </c>
      <c r="E1477" s="3">
        <v>-6.6643387722546601</v>
      </c>
      <c r="F1477" s="4">
        <v>2.6585957672544601E-11</v>
      </c>
      <c r="G1477" s="4">
        <v>6.5182238328738696E-10</v>
      </c>
      <c r="H1477" s="3" t="str">
        <f>"BAG2"</f>
        <v>BAG2</v>
      </c>
      <c r="I1477" s="3" t="str">
        <f t="shared" si="61"/>
        <v>protein_coding</v>
      </c>
    </row>
    <row r="1478" spans="1:9" x14ac:dyDescent="0.2">
      <c r="A1478" s="3" t="str">
        <f>"ENSG00000218274.2"</f>
        <v>ENSG00000218274.2</v>
      </c>
      <c r="B1478" s="3">
        <v>16.3661242061496</v>
      </c>
      <c r="C1478" s="3">
        <v>2.3558627926159201</v>
      </c>
      <c r="D1478" s="3">
        <v>0.90788855677066005</v>
      </c>
      <c r="E1478" s="3">
        <v>2.5948810292264</v>
      </c>
      <c r="F1478" s="3">
        <v>9.4623666065338004E-3</v>
      </c>
      <c r="G1478" s="3">
        <v>4.0357041706910401E-2</v>
      </c>
      <c r="H1478" s="3" t="str">
        <f>"AL121949.2"</f>
        <v>AL121949.2</v>
      </c>
      <c r="I1478" s="3" t="str">
        <f>"unprocessed_pseudogene"</f>
        <v>unprocessed_pseudogene</v>
      </c>
    </row>
    <row r="1479" spans="1:9" x14ac:dyDescent="0.2">
      <c r="A1479" s="3" t="str">
        <f>"ENSG00000213312.3"</f>
        <v>ENSG00000213312.3</v>
      </c>
      <c r="B1479" s="3">
        <v>81.104986832950203</v>
      </c>
      <c r="C1479" s="3">
        <v>2.5576447530077999</v>
      </c>
      <c r="D1479" s="3">
        <v>0.45827664899227499</v>
      </c>
      <c r="E1479" s="3">
        <v>5.5810060552548801</v>
      </c>
      <c r="F1479" s="4">
        <v>2.391313177145E-8</v>
      </c>
      <c r="G1479" s="4">
        <v>3.96529221958356E-7</v>
      </c>
      <c r="H1479" s="3" t="str">
        <f>"RPL7AP34"</f>
        <v>RPL7AP34</v>
      </c>
      <c r="I1479" s="3" t="str">
        <f>"processed_pseudogene"</f>
        <v>processed_pseudogene</v>
      </c>
    </row>
    <row r="1480" spans="1:9" x14ac:dyDescent="0.2">
      <c r="A1480" s="3" t="str">
        <f>"ENSG00000266680.1"</f>
        <v>ENSG00000266680.1</v>
      </c>
      <c r="B1480" s="3">
        <v>667.48163387816396</v>
      </c>
      <c r="C1480" s="3">
        <v>2.2596323743025302</v>
      </c>
      <c r="D1480" s="3">
        <v>0.27053904467914902</v>
      </c>
      <c r="E1480" s="3">
        <v>8.3523336787944693</v>
      </c>
      <c r="F1480" s="4">
        <v>6.6927270193580706E-17</v>
      </c>
      <c r="G1480" s="4">
        <v>2.9177737984740399E-15</v>
      </c>
      <c r="H1480" s="3" t="str">
        <f>"AL135905.1"</f>
        <v>AL135905.1</v>
      </c>
      <c r="I1480" s="3" t="str">
        <f>"antisense"</f>
        <v>antisense</v>
      </c>
    </row>
    <row r="1481" spans="1:9" x14ac:dyDescent="0.2">
      <c r="A1481" s="3" t="str">
        <f>"ENSG00000154079.6"</f>
        <v>ENSG00000154079.6</v>
      </c>
      <c r="B1481" s="3">
        <v>221.45378321470801</v>
      </c>
      <c r="C1481" s="3">
        <v>1.6192558928301199</v>
      </c>
      <c r="D1481" s="3">
        <v>0.33739506321007301</v>
      </c>
      <c r="E1481" s="3">
        <v>4.7992874508122902</v>
      </c>
      <c r="F1481" s="4">
        <v>1.59231120941556E-6</v>
      </c>
      <c r="G1481" s="4">
        <v>1.9028308063110901E-5</v>
      </c>
      <c r="H1481" s="3" t="str">
        <f>"SDHAF4"</f>
        <v>SDHAF4</v>
      </c>
      <c r="I1481" s="3" t="str">
        <f>"protein_coding"</f>
        <v>protein_coding</v>
      </c>
    </row>
    <row r="1482" spans="1:9" x14ac:dyDescent="0.2">
      <c r="A1482" s="3" t="str">
        <f>"ENSG00000156535.15"</f>
        <v>ENSG00000156535.15</v>
      </c>
      <c r="B1482" s="3">
        <v>1183.9848529486501</v>
      </c>
      <c r="C1482" s="3">
        <v>4.2202842274852799</v>
      </c>
      <c r="D1482" s="3">
        <v>0.26757664059910502</v>
      </c>
      <c r="E1482" s="3">
        <v>15.772244610127601</v>
      </c>
      <c r="F1482" s="4">
        <v>4.8302192000511199E-56</v>
      </c>
      <c r="G1482" s="4">
        <v>1.4464781425867401E-53</v>
      </c>
      <c r="H1482" s="3" t="str">
        <f>"CD109"</f>
        <v>CD109</v>
      </c>
      <c r="I1482" s="3" t="str">
        <f>"protein_coding"</f>
        <v>protein_coding</v>
      </c>
    </row>
    <row r="1483" spans="1:9" x14ac:dyDescent="0.2">
      <c r="A1483" s="3" t="str">
        <f>"ENSG00000112701.18"</f>
        <v>ENSG00000112701.18</v>
      </c>
      <c r="B1483" s="3">
        <v>3342.6254649561201</v>
      </c>
      <c r="C1483" s="3">
        <v>1.1463142020453401</v>
      </c>
      <c r="D1483" s="3">
        <v>0.28270223483118101</v>
      </c>
      <c r="E1483" s="3">
        <v>4.05484662238299</v>
      </c>
      <c r="F1483" s="4">
        <v>5.0167209128484897E-5</v>
      </c>
      <c r="G1483" s="3">
        <v>4.4047334925900099E-4</v>
      </c>
      <c r="H1483" s="3" t="str">
        <f>"SENP6"</f>
        <v>SENP6</v>
      </c>
      <c r="I1483" s="3" t="str">
        <f>"protein_coding"</f>
        <v>protein_coding</v>
      </c>
    </row>
    <row r="1484" spans="1:9" x14ac:dyDescent="0.2">
      <c r="A1484" s="3" t="str">
        <f>"ENSG00000252498.1"</f>
        <v>ENSG00000252498.1</v>
      </c>
      <c r="B1484" s="3">
        <v>145.41681307904801</v>
      </c>
      <c r="C1484" s="3">
        <v>1.97999128518546</v>
      </c>
      <c r="D1484" s="3">
        <v>0.40179700351248898</v>
      </c>
      <c r="E1484" s="3">
        <v>4.92783984916879</v>
      </c>
      <c r="F1484" s="4">
        <v>8.3143722420426403E-7</v>
      </c>
      <c r="G1484" s="4">
        <v>1.05576998358699E-5</v>
      </c>
      <c r="H1484" s="3" t="str">
        <f>"RNU6-1016P"</f>
        <v>RNU6-1016P</v>
      </c>
      <c r="I1484" s="3" t="str">
        <f>"snRNA"</f>
        <v>snRNA</v>
      </c>
    </row>
    <row r="1485" spans="1:9" x14ac:dyDescent="0.2">
      <c r="A1485" s="3" t="str">
        <f>"ENSG00000196586.14"</f>
        <v>ENSG00000196586.14</v>
      </c>
      <c r="B1485" s="3">
        <v>3737.8492687840699</v>
      </c>
      <c r="C1485" s="3">
        <v>1.89581970925829</v>
      </c>
      <c r="D1485" s="3">
        <v>0.24505846797998601</v>
      </c>
      <c r="E1485" s="3">
        <v>7.7361934271666302</v>
      </c>
      <c r="F1485" s="4">
        <v>1.02437576819038E-14</v>
      </c>
      <c r="G1485" s="4">
        <v>3.6089877379312501E-13</v>
      </c>
      <c r="H1485" s="3" t="str">
        <f>"MYO6"</f>
        <v>MYO6</v>
      </c>
      <c r="I1485" s="3" t="str">
        <f t="shared" ref="I1485:I1490" si="62">"protein_coding"</f>
        <v>protein_coding</v>
      </c>
    </row>
    <row r="1486" spans="1:9" x14ac:dyDescent="0.2">
      <c r="A1486" s="3" t="str">
        <f>"ENSG00000118418.14"</f>
        <v>ENSG00000118418.14</v>
      </c>
      <c r="B1486" s="3">
        <v>1196.3251800225601</v>
      </c>
      <c r="C1486" s="3">
        <v>-1.34544967678799</v>
      </c>
      <c r="D1486" s="3">
        <v>0.30747020685163801</v>
      </c>
      <c r="E1486" s="3">
        <v>-4.3758700739327301</v>
      </c>
      <c r="F1486" s="4">
        <v>1.20949045629744E-5</v>
      </c>
      <c r="G1486" s="3">
        <v>1.2135912416498601E-4</v>
      </c>
      <c r="H1486" s="3" t="str">
        <f>"HMGN3"</f>
        <v>HMGN3</v>
      </c>
      <c r="I1486" s="3" t="str">
        <f t="shared" si="62"/>
        <v>protein_coding</v>
      </c>
    </row>
    <row r="1487" spans="1:9" x14ac:dyDescent="0.2">
      <c r="A1487" s="3" t="str">
        <f>"ENSG00000135338.14"</f>
        <v>ENSG00000135338.14</v>
      </c>
      <c r="B1487" s="3">
        <v>562.85604794015501</v>
      </c>
      <c r="C1487" s="3">
        <v>-1.40530826756826</v>
      </c>
      <c r="D1487" s="3">
        <v>0.29735337574778098</v>
      </c>
      <c r="E1487" s="3">
        <v>-4.7260545269889898</v>
      </c>
      <c r="F1487" s="4">
        <v>2.2892420127093799E-6</v>
      </c>
      <c r="G1487" s="4">
        <v>2.6721987391974299E-5</v>
      </c>
      <c r="H1487" s="3" t="str">
        <f>"LCA5"</f>
        <v>LCA5</v>
      </c>
      <c r="I1487" s="3" t="str">
        <f t="shared" si="62"/>
        <v>protein_coding</v>
      </c>
    </row>
    <row r="1488" spans="1:9" x14ac:dyDescent="0.2">
      <c r="A1488" s="3" t="str">
        <f>"ENSG00000198478.8"</f>
        <v>ENSG00000198478.8</v>
      </c>
      <c r="B1488" s="3">
        <v>2173.8511132624899</v>
      </c>
      <c r="C1488" s="3">
        <v>-1.50157457988081</v>
      </c>
      <c r="D1488" s="3">
        <v>0.249126619681733</v>
      </c>
      <c r="E1488" s="3">
        <v>-6.02735501247966</v>
      </c>
      <c r="F1488" s="4">
        <v>1.6666464637693901E-9</v>
      </c>
      <c r="G1488" s="4">
        <v>3.27535092157179E-8</v>
      </c>
      <c r="H1488" s="3" t="str">
        <f>"SH3BGRL2"</f>
        <v>SH3BGRL2</v>
      </c>
      <c r="I1488" s="3" t="str">
        <f t="shared" si="62"/>
        <v>protein_coding</v>
      </c>
    </row>
    <row r="1489" spans="1:9" x14ac:dyDescent="0.2">
      <c r="A1489" s="3" t="str">
        <f>"ENSG00000146242.8"</f>
        <v>ENSG00000146242.8</v>
      </c>
      <c r="B1489" s="3">
        <v>184.45328248875799</v>
      </c>
      <c r="C1489" s="3">
        <v>-1.34260665412124</v>
      </c>
      <c r="D1489" s="3">
        <v>0.34396301445153699</v>
      </c>
      <c r="E1489" s="3">
        <v>-3.9033459927721701</v>
      </c>
      <c r="F1489" s="4">
        <v>9.4871927256288496E-5</v>
      </c>
      <c r="G1489" s="3">
        <v>7.7509039627539301E-4</v>
      </c>
      <c r="H1489" s="3" t="str">
        <f>"TPBG"</f>
        <v>TPBG</v>
      </c>
      <c r="I1489" s="3" t="str">
        <f t="shared" si="62"/>
        <v>protein_coding</v>
      </c>
    </row>
    <row r="1490" spans="1:9" x14ac:dyDescent="0.2">
      <c r="A1490" s="3" t="str">
        <f>"ENSG00000135324.6"</f>
        <v>ENSG00000135324.6</v>
      </c>
      <c r="B1490" s="3">
        <v>13.9921379982984</v>
      </c>
      <c r="C1490" s="3">
        <v>-2.79332037059948</v>
      </c>
      <c r="D1490" s="3">
        <v>1.0239759916046101</v>
      </c>
      <c r="E1490" s="3">
        <v>-2.7279158823072001</v>
      </c>
      <c r="F1490" s="3">
        <v>6.3735858683211001E-3</v>
      </c>
      <c r="G1490" s="3">
        <v>2.8945216197439502E-2</v>
      </c>
      <c r="H1490" s="3" t="str">
        <f>"MRAP2"</f>
        <v>MRAP2</v>
      </c>
      <c r="I1490" s="3" t="str">
        <f t="shared" si="62"/>
        <v>protein_coding</v>
      </c>
    </row>
    <row r="1491" spans="1:9" x14ac:dyDescent="0.2">
      <c r="A1491" s="3" t="str">
        <f>"ENSG00000234155.1"</f>
        <v>ENSG00000234155.1</v>
      </c>
      <c r="B1491" s="3">
        <v>106.239981525069</v>
      </c>
      <c r="C1491" s="3">
        <v>-3.1640649311109601</v>
      </c>
      <c r="D1491" s="3">
        <v>0.45807853345709398</v>
      </c>
      <c r="E1491" s="3">
        <v>-6.9072543243446196</v>
      </c>
      <c r="F1491" s="4">
        <v>4.9412363790779196E-12</v>
      </c>
      <c r="G1491" s="4">
        <v>1.3242824668502801E-10</v>
      </c>
      <c r="H1491" s="3" t="str">
        <f>"LINC02535"</f>
        <v>LINC02535</v>
      </c>
      <c r="I1491" s="3" t="str">
        <f>"lincRNA"</f>
        <v>lincRNA</v>
      </c>
    </row>
    <row r="1492" spans="1:9" x14ac:dyDescent="0.2">
      <c r="A1492" s="3" t="str">
        <f>"ENSG00000135318.12"</f>
        <v>ENSG00000135318.12</v>
      </c>
      <c r="B1492" s="3">
        <v>900.45276702453498</v>
      </c>
      <c r="C1492" s="3">
        <v>-5.2176083554594701</v>
      </c>
      <c r="D1492" s="3">
        <v>0.31972120623213102</v>
      </c>
      <c r="E1492" s="3">
        <v>-16.319243934264598</v>
      </c>
      <c r="F1492" s="4">
        <v>7.20220775793925E-60</v>
      </c>
      <c r="G1492" s="4">
        <v>2.5881648021566003E-57</v>
      </c>
      <c r="H1492" s="3" t="str">
        <f>"NT5E"</f>
        <v>NT5E</v>
      </c>
      <c r="I1492" s="3" t="str">
        <f t="shared" ref="I1492:I1497" si="63">"protein_coding"</f>
        <v>protein_coding</v>
      </c>
    </row>
    <row r="1493" spans="1:9" x14ac:dyDescent="0.2">
      <c r="A1493" s="3" t="str">
        <f>"ENSG00000118432.12"</f>
        <v>ENSG00000118432.12</v>
      </c>
      <c r="B1493" s="3">
        <v>37.6433283099704</v>
      </c>
      <c r="C1493" s="3">
        <v>-2.3268087011729301</v>
      </c>
      <c r="D1493" s="3">
        <v>0.61312317321732701</v>
      </c>
      <c r="E1493" s="3">
        <v>-3.7950102080845101</v>
      </c>
      <c r="F1493" s="3">
        <v>1.4763738164409501E-4</v>
      </c>
      <c r="G1493" s="3">
        <v>1.14271333392529E-3</v>
      </c>
      <c r="H1493" s="3" t="str">
        <f>"CNR1"</f>
        <v>CNR1</v>
      </c>
      <c r="I1493" s="3" t="str">
        <f t="shared" si="63"/>
        <v>protein_coding</v>
      </c>
    </row>
    <row r="1494" spans="1:9" x14ac:dyDescent="0.2">
      <c r="A1494" s="3" t="str">
        <f>"ENSG00000146281.6"</f>
        <v>ENSG00000146281.6</v>
      </c>
      <c r="B1494" s="3">
        <v>1780.64810847339</v>
      </c>
      <c r="C1494" s="3">
        <v>-1.4906645796008899</v>
      </c>
      <c r="D1494" s="3">
        <v>0.24370323116346801</v>
      </c>
      <c r="E1494" s="3">
        <v>-6.1167206215702601</v>
      </c>
      <c r="F1494" s="4">
        <v>9.5520612675222709E-10</v>
      </c>
      <c r="G1494" s="4">
        <v>1.9487599447244298E-8</v>
      </c>
      <c r="H1494" s="3" t="str">
        <f>"PM20D2"</f>
        <v>PM20D2</v>
      </c>
      <c r="I1494" s="3" t="str">
        <f t="shared" si="63"/>
        <v>protein_coding</v>
      </c>
    </row>
    <row r="1495" spans="1:9" x14ac:dyDescent="0.2">
      <c r="A1495" s="3" t="str">
        <f>"ENSG00000025039.14"</f>
        <v>ENSG00000025039.14</v>
      </c>
      <c r="B1495" s="3">
        <v>67.202217118250005</v>
      </c>
      <c r="C1495" s="3">
        <v>-3.1572483304902201</v>
      </c>
      <c r="D1495" s="3">
        <v>0.528829118271959</v>
      </c>
      <c r="E1495" s="3">
        <v>-5.97026188876867</v>
      </c>
      <c r="F1495" s="4">
        <v>2.36873052453289E-9</v>
      </c>
      <c r="G1495" s="4">
        <v>4.5450355716723702E-8</v>
      </c>
      <c r="H1495" s="3" t="str">
        <f>"RRAGD"</f>
        <v>RRAGD</v>
      </c>
      <c r="I1495" s="3" t="str">
        <f t="shared" si="63"/>
        <v>protein_coding</v>
      </c>
    </row>
    <row r="1496" spans="1:9" x14ac:dyDescent="0.2">
      <c r="A1496" s="3" t="str">
        <f>"ENSG00000112218.9"</f>
        <v>ENSG00000112218.9</v>
      </c>
      <c r="B1496" s="3">
        <v>17.030305674257601</v>
      </c>
      <c r="C1496" s="3">
        <v>-2.50181773302605</v>
      </c>
      <c r="D1496" s="3">
        <v>0.90567432644479695</v>
      </c>
      <c r="E1496" s="3">
        <v>-2.76238120036688</v>
      </c>
      <c r="F1496" s="3">
        <v>5.7381439711103E-3</v>
      </c>
      <c r="G1496" s="3">
        <v>2.6509276692980598E-2</v>
      </c>
      <c r="H1496" s="3" t="str">
        <f>"GPR63"</f>
        <v>GPR63</v>
      </c>
      <c r="I1496" s="3" t="str">
        <f t="shared" si="63"/>
        <v>protein_coding</v>
      </c>
    </row>
    <row r="1497" spans="1:9" x14ac:dyDescent="0.2">
      <c r="A1497" s="3" t="str">
        <f>"ENSG00000112249.14"</f>
        <v>ENSG00000112249.14</v>
      </c>
      <c r="B1497" s="3">
        <v>5691.15509035176</v>
      </c>
      <c r="C1497" s="3">
        <v>2.13234034351744</v>
      </c>
      <c r="D1497" s="3">
        <v>0.25251277967139002</v>
      </c>
      <c r="E1497" s="3">
        <v>8.4444848545581692</v>
      </c>
      <c r="F1497" s="4">
        <v>3.05389155174477E-17</v>
      </c>
      <c r="G1497" s="4">
        <v>1.3644874242298399E-15</v>
      </c>
      <c r="H1497" s="3" t="str">
        <f>"ASCC3"</f>
        <v>ASCC3</v>
      </c>
      <c r="I1497" s="3" t="str">
        <f t="shared" si="63"/>
        <v>protein_coding</v>
      </c>
    </row>
    <row r="1498" spans="1:9" x14ac:dyDescent="0.2">
      <c r="A1498" s="3" t="str">
        <f>"ENSG00000203809.6"</f>
        <v>ENSG00000203809.6</v>
      </c>
      <c r="B1498" s="3">
        <v>41.654223463660898</v>
      </c>
      <c r="C1498" s="3">
        <v>-1.4763464506323301</v>
      </c>
      <c r="D1498" s="3">
        <v>0.565516513346912</v>
      </c>
      <c r="E1498" s="3">
        <v>-2.6106159869582402</v>
      </c>
      <c r="F1498" s="3">
        <v>9.0379317902943793E-3</v>
      </c>
      <c r="G1498" s="3">
        <v>3.8876397774428001E-2</v>
      </c>
      <c r="H1498" s="3" t="str">
        <f>"LIN28B-AS1"</f>
        <v>LIN28B-AS1</v>
      </c>
      <c r="I1498" s="3" t="str">
        <f>"lincRNA"</f>
        <v>lincRNA</v>
      </c>
    </row>
    <row r="1499" spans="1:9" x14ac:dyDescent="0.2">
      <c r="A1499" s="3" t="str">
        <f>"ENSG00000187772.8"</f>
        <v>ENSG00000187772.8</v>
      </c>
      <c r="B1499" s="3">
        <v>1604.60140541583</v>
      </c>
      <c r="C1499" s="3">
        <v>-1.71976331056679</v>
      </c>
      <c r="D1499" s="3">
        <v>0.25507192987972599</v>
      </c>
      <c r="E1499" s="3">
        <v>-6.7422680001586501</v>
      </c>
      <c r="F1499" s="4">
        <v>1.5593311135943001E-11</v>
      </c>
      <c r="G1499" s="4">
        <v>3.9107651208838198E-10</v>
      </c>
      <c r="H1499" s="3" t="str">
        <f>"LIN28B"</f>
        <v>LIN28B</v>
      </c>
      <c r="I1499" s="3" t="str">
        <f>"protein_coding"</f>
        <v>protein_coding</v>
      </c>
    </row>
    <row r="1500" spans="1:9" x14ac:dyDescent="0.2">
      <c r="A1500" s="3" t="str">
        <f>"ENSG00000272398.6"</f>
        <v>ENSG00000272398.6</v>
      </c>
      <c r="B1500" s="3">
        <v>7004.8439126896201</v>
      </c>
      <c r="C1500" s="3">
        <v>-1.1642779751726799</v>
      </c>
      <c r="D1500" s="3">
        <v>0.24803964039009299</v>
      </c>
      <c r="E1500" s="3">
        <v>-4.6939189773925296</v>
      </c>
      <c r="F1500" s="4">
        <v>2.6802022237116499E-6</v>
      </c>
      <c r="G1500" s="4">
        <v>3.0813750885496601E-5</v>
      </c>
      <c r="H1500" s="3" t="str">
        <f>"CD24"</f>
        <v>CD24</v>
      </c>
      <c r="I1500" s="3" t="str">
        <f>"protein_coding"</f>
        <v>protein_coding</v>
      </c>
    </row>
    <row r="1501" spans="1:9" x14ac:dyDescent="0.2">
      <c r="A1501" s="3" t="str">
        <f>"ENSG00000178409.13"</f>
        <v>ENSG00000178409.13</v>
      </c>
      <c r="B1501" s="3">
        <v>645.56561131251999</v>
      </c>
      <c r="C1501" s="3">
        <v>-1.57380610527288</v>
      </c>
      <c r="D1501" s="3">
        <v>0.272112087895444</v>
      </c>
      <c r="E1501" s="3">
        <v>-5.7836684781074297</v>
      </c>
      <c r="F1501" s="4">
        <v>7.3088915303281301E-9</v>
      </c>
      <c r="G1501" s="4">
        <v>1.3189036330373301E-7</v>
      </c>
      <c r="H1501" s="3" t="str">
        <f>"BEND3"</f>
        <v>BEND3</v>
      </c>
      <c r="I1501" s="3" t="str">
        <f>"protein_coding"</f>
        <v>protein_coding</v>
      </c>
    </row>
    <row r="1502" spans="1:9" x14ac:dyDescent="0.2">
      <c r="A1502" s="3" t="str">
        <f>"ENSG00000272476.1"</f>
        <v>ENSG00000272476.1</v>
      </c>
      <c r="B1502" s="3">
        <v>50.615767851619601</v>
      </c>
      <c r="C1502" s="3">
        <v>-1.7624414779867099</v>
      </c>
      <c r="D1502" s="3">
        <v>0.54295227833836501</v>
      </c>
      <c r="E1502" s="3">
        <v>-3.2460338565673501</v>
      </c>
      <c r="F1502" s="3">
        <v>1.1702492125157499E-3</v>
      </c>
      <c r="G1502" s="3">
        <v>6.9773924960497297E-3</v>
      </c>
      <c r="H1502" s="3" t="str">
        <f>"AL024507.2"</f>
        <v>AL024507.2</v>
      </c>
      <c r="I1502" s="3" t="str">
        <f>"antisense"</f>
        <v>antisense</v>
      </c>
    </row>
    <row r="1503" spans="1:9" x14ac:dyDescent="0.2">
      <c r="A1503" s="3" t="str">
        <f>"ENSG00000080546.13"</f>
        <v>ENSG00000080546.13</v>
      </c>
      <c r="B1503" s="3">
        <v>3197.7997012768201</v>
      </c>
      <c r="C1503" s="3">
        <v>3.6262086424748201</v>
      </c>
      <c r="D1503" s="3">
        <v>0.26641403276738801</v>
      </c>
      <c r="E1503" s="3">
        <v>13.611177327288001</v>
      </c>
      <c r="F1503" s="4">
        <v>3.4366267330694997E-42</v>
      </c>
      <c r="G1503" s="4">
        <v>6.47031864171047E-40</v>
      </c>
      <c r="H1503" s="3" t="str">
        <f>"SESN1"</f>
        <v>SESN1</v>
      </c>
      <c r="I1503" s="3" t="str">
        <f>"protein_coding"</f>
        <v>protein_coding</v>
      </c>
    </row>
    <row r="1504" spans="1:9" x14ac:dyDescent="0.2">
      <c r="A1504" s="3" t="str">
        <f>"ENSG00000009413.15"</f>
        <v>ENSG00000009413.15</v>
      </c>
      <c r="B1504" s="3">
        <v>5856.4469074796998</v>
      </c>
      <c r="C1504" s="3">
        <v>1.3379810185304699</v>
      </c>
      <c r="D1504" s="3">
        <v>0.26884093702948503</v>
      </c>
      <c r="E1504" s="3">
        <v>4.9768500039996599</v>
      </c>
      <c r="F1504" s="4">
        <v>6.4627363150228399E-7</v>
      </c>
      <c r="G1504" s="4">
        <v>8.4146031058177904E-6</v>
      </c>
      <c r="H1504" s="3" t="str">
        <f>"REV3L"</f>
        <v>REV3L</v>
      </c>
      <c r="I1504" s="3" t="str">
        <f>"protein_coding"</f>
        <v>protein_coding</v>
      </c>
    </row>
    <row r="1505" spans="1:9" x14ac:dyDescent="0.2">
      <c r="A1505" s="3" t="str">
        <f>"ENSG00000229276.1"</f>
        <v>ENSG00000229276.1</v>
      </c>
      <c r="B1505" s="3">
        <v>40.725406187657903</v>
      </c>
      <c r="C1505" s="3">
        <v>2.4457262705182301</v>
      </c>
      <c r="D1505" s="3">
        <v>0.63644355958274901</v>
      </c>
      <c r="E1505" s="3">
        <v>3.8428015079949001</v>
      </c>
      <c r="F1505" s="3">
        <v>1.2163784208915799E-4</v>
      </c>
      <c r="G1505" s="3">
        <v>9.6497639689277102E-4</v>
      </c>
      <c r="H1505" s="3" t="str">
        <f>"REV3L-IT1"</f>
        <v>REV3L-IT1</v>
      </c>
      <c r="I1505" s="3" t="str">
        <f>"sense_intronic"</f>
        <v>sense_intronic</v>
      </c>
    </row>
    <row r="1506" spans="1:9" x14ac:dyDescent="0.2">
      <c r="A1506" s="3" t="str">
        <f>"ENSG00000231889.7"</f>
        <v>ENSG00000231889.7</v>
      </c>
      <c r="B1506" s="3">
        <v>505.90835055779502</v>
      </c>
      <c r="C1506" s="3">
        <v>1.1769075270351399</v>
      </c>
      <c r="D1506" s="3">
        <v>0.27558178444443299</v>
      </c>
      <c r="E1506" s="3">
        <v>4.2706288784933797</v>
      </c>
      <c r="F1506" s="4">
        <v>1.9492254028141701E-5</v>
      </c>
      <c r="G1506" s="3">
        <v>1.86933911581359E-4</v>
      </c>
      <c r="H1506" s="3" t="str">
        <f>"TRAF3IP2-AS1"</f>
        <v>TRAF3IP2-AS1</v>
      </c>
      <c r="I1506" s="3" t="str">
        <f>"antisense"</f>
        <v>antisense</v>
      </c>
    </row>
    <row r="1507" spans="1:9" x14ac:dyDescent="0.2">
      <c r="A1507" s="3" t="str">
        <f>"ENSG00000056972.19"</f>
        <v>ENSG00000056972.19</v>
      </c>
      <c r="B1507" s="3">
        <v>265.246204753038</v>
      </c>
      <c r="C1507" s="3">
        <v>1.0735279192601399</v>
      </c>
      <c r="D1507" s="3">
        <v>0.31502667989245797</v>
      </c>
      <c r="E1507" s="3">
        <v>3.40773651179836</v>
      </c>
      <c r="F1507" s="3">
        <v>6.5504113670080896E-4</v>
      </c>
      <c r="G1507" s="3">
        <v>4.2424201322628302E-3</v>
      </c>
      <c r="H1507" s="3" t="str">
        <f>"TRAF3IP2"</f>
        <v>TRAF3IP2</v>
      </c>
      <c r="I1507" s="3" t="str">
        <f>"protein_coding"</f>
        <v>protein_coding</v>
      </c>
    </row>
    <row r="1508" spans="1:9" x14ac:dyDescent="0.2">
      <c r="A1508" s="3" t="str">
        <f>"ENSG00000010810.17"</f>
        <v>ENSG00000010810.17</v>
      </c>
      <c r="B1508" s="3">
        <v>782.81100935696702</v>
      </c>
      <c r="C1508" s="3">
        <v>-3.3864544366206002</v>
      </c>
      <c r="D1508" s="3">
        <v>0.27403450126201201</v>
      </c>
      <c r="E1508" s="3">
        <v>-12.3577667082975</v>
      </c>
      <c r="F1508" s="4">
        <v>4.4227375546457202E-35</v>
      </c>
      <c r="G1508" s="4">
        <v>5.6188870296521802E-33</v>
      </c>
      <c r="H1508" s="3" t="str">
        <f>"FYN"</f>
        <v>FYN</v>
      </c>
      <c r="I1508" s="3" t="str">
        <f>"protein_coding"</f>
        <v>protein_coding</v>
      </c>
    </row>
    <row r="1509" spans="1:9" x14ac:dyDescent="0.2">
      <c r="A1509" s="3" t="str">
        <f>"ENSG00000230943.2"</f>
        <v>ENSG00000230943.2</v>
      </c>
      <c r="B1509" s="3">
        <v>56.641438617288202</v>
      </c>
      <c r="C1509" s="3">
        <v>2.6938383522693301</v>
      </c>
      <c r="D1509" s="3">
        <v>0.61874913301509504</v>
      </c>
      <c r="E1509" s="3">
        <v>4.3536842454106699</v>
      </c>
      <c r="F1509" s="4">
        <v>1.33868484881839E-5</v>
      </c>
      <c r="G1509" s="3">
        <v>1.32838727305825E-4</v>
      </c>
      <c r="H1509" s="3" t="str">
        <f>"LINC02541"</f>
        <v>LINC02541</v>
      </c>
      <c r="I1509" s="3" t="str">
        <f>"lincRNA"</f>
        <v>lincRNA</v>
      </c>
    </row>
    <row r="1510" spans="1:9" x14ac:dyDescent="0.2">
      <c r="A1510" s="3" t="str">
        <f>"ENSG00000227502.2"</f>
        <v>ENSG00000227502.2</v>
      </c>
      <c r="B1510" s="3">
        <v>141.942792670469</v>
      </c>
      <c r="C1510" s="3">
        <v>-1.4634321112547399</v>
      </c>
      <c r="D1510" s="3">
        <v>0.396309983212904</v>
      </c>
      <c r="E1510" s="3">
        <v>-3.6926450840087899</v>
      </c>
      <c r="F1510" s="3">
        <v>2.2193365244245299E-4</v>
      </c>
      <c r="G1510" s="3">
        <v>1.63957152046693E-3</v>
      </c>
      <c r="H1510" s="3" t="str">
        <f>"LINC01268"</f>
        <v>LINC01268</v>
      </c>
      <c r="I1510" s="3" t="str">
        <f>"lincRNA"</f>
        <v>lincRNA</v>
      </c>
    </row>
    <row r="1511" spans="1:9" x14ac:dyDescent="0.2">
      <c r="A1511" s="3" t="str">
        <f>"ENSG00000175967.3"</f>
        <v>ENSG00000175967.3</v>
      </c>
      <c r="B1511" s="3">
        <v>20.217840521424101</v>
      </c>
      <c r="C1511" s="3">
        <v>-2.1531378206561098</v>
      </c>
      <c r="D1511" s="3">
        <v>0.82509184215025699</v>
      </c>
      <c r="E1511" s="3">
        <v>-2.6095735173491201</v>
      </c>
      <c r="F1511" s="3">
        <v>9.0655164387960802E-3</v>
      </c>
      <c r="G1511" s="3">
        <v>3.8955084731451199E-2</v>
      </c>
      <c r="H1511" s="3" t="str">
        <f>"FO393415.1"</f>
        <v>FO393415.1</v>
      </c>
      <c r="I1511" s="3" t="str">
        <f>"antisense"</f>
        <v>antisense</v>
      </c>
    </row>
    <row r="1512" spans="1:9" x14ac:dyDescent="0.2">
      <c r="A1512" s="3" t="str">
        <f>"ENSG00000111816.8"</f>
        <v>ENSG00000111816.8</v>
      </c>
      <c r="B1512" s="3">
        <v>2462.0788708659602</v>
      </c>
      <c r="C1512" s="3">
        <v>-1.6832762603957201</v>
      </c>
      <c r="D1512" s="3">
        <v>0.24369901768358199</v>
      </c>
      <c r="E1512" s="3">
        <v>-6.9071934568947499</v>
      </c>
      <c r="F1512" s="4">
        <v>4.9433561374375497E-12</v>
      </c>
      <c r="G1512" s="4">
        <v>1.3242824668502801E-10</v>
      </c>
      <c r="H1512" s="3" t="str">
        <f>"FRK"</f>
        <v>FRK</v>
      </c>
      <c r="I1512" s="3" t="str">
        <f>"protein_coding"</f>
        <v>protein_coding</v>
      </c>
    </row>
    <row r="1513" spans="1:9" x14ac:dyDescent="0.2">
      <c r="A1513" s="3" t="str">
        <f>"ENSG00000216809.1"</f>
        <v>ENSG00000216809.1</v>
      </c>
      <c r="B1513" s="3">
        <v>18.9373281202922</v>
      </c>
      <c r="C1513" s="3">
        <v>2.9655054034269601</v>
      </c>
      <c r="D1513" s="3">
        <v>0.87319343671824701</v>
      </c>
      <c r="E1513" s="3">
        <v>3.39616089485546</v>
      </c>
      <c r="F1513" s="3">
        <v>6.8338176389597701E-4</v>
      </c>
      <c r="G1513" s="3">
        <v>4.4010415439844604E-3</v>
      </c>
      <c r="H1513" s="3" t="str">
        <f>"AL589993.1"</f>
        <v>AL589993.1</v>
      </c>
      <c r="I1513" s="3" t="str">
        <f>"processed_pseudogene"</f>
        <v>processed_pseudogene</v>
      </c>
    </row>
    <row r="1514" spans="1:9" x14ac:dyDescent="0.2">
      <c r="A1514" s="3" t="str">
        <f>"ENSG00000111860.14"</f>
        <v>ENSG00000111860.14</v>
      </c>
      <c r="B1514" s="3">
        <v>956.15465665695399</v>
      </c>
      <c r="C1514" s="3">
        <v>2.5244058929828599</v>
      </c>
      <c r="D1514" s="3">
        <v>0.28030356650757798</v>
      </c>
      <c r="E1514" s="3">
        <v>9.0059713632456102</v>
      </c>
      <c r="F1514" s="4">
        <v>2.13764960632322E-19</v>
      </c>
      <c r="G1514" s="4">
        <v>1.10189704604632E-17</v>
      </c>
      <c r="H1514" s="3" t="str">
        <f>"CEP85L"</f>
        <v>CEP85L</v>
      </c>
      <c r="I1514" s="3" t="str">
        <f>"protein_coding"</f>
        <v>protein_coding</v>
      </c>
    </row>
    <row r="1515" spans="1:9" x14ac:dyDescent="0.2">
      <c r="A1515" s="3" t="str">
        <f>"ENSG00000217330.1"</f>
        <v>ENSG00000217330.1</v>
      </c>
      <c r="B1515" s="3">
        <v>21.946501410187398</v>
      </c>
      <c r="C1515" s="3">
        <v>4.8889646846410804</v>
      </c>
      <c r="D1515" s="3">
        <v>1.08249143714207</v>
      </c>
      <c r="E1515" s="3">
        <v>4.5164003306563298</v>
      </c>
      <c r="F1515" s="4">
        <v>6.2899701572698698E-6</v>
      </c>
      <c r="G1515" s="4">
        <v>6.76171791906511E-5</v>
      </c>
      <c r="H1515" s="3" t="str">
        <f>"SSXP10"</f>
        <v>SSXP10</v>
      </c>
      <c r="I1515" s="3" t="str">
        <f>"processed_pseudogene"</f>
        <v>processed_pseudogene</v>
      </c>
    </row>
    <row r="1516" spans="1:9" x14ac:dyDescent="0.2">
      <c r="A1516" s="3" t="str">
        <f>"ENSG00000111912.20"</f>
        <v>ENSG00000111912.20</v>
      </c>
      <c r="B1516" s="3">
        <v>534.76774259223998</v>
      </c>
      <c r="C1516" s="3">
        <v>-1.59094814255005</v>
      </c>
      <c r="D1516" s="3">
        <v>0.28336639249097101</v>
      </c>
      <c r="E1516" s="3">
        <v>-5.6144560001085599</v>
      </c>
      <c r="F1516" s="4">
        <v>1.9718159388891199E-8</v>
      </c>
      <c r="G1516" s="4">
        <v>3.3155768678312702E-7</v>
      </c>
      <c r="H1516" s="3" t="str">
        <f>"NCOA7"</f>
        <v>NCOA7</v>
      </c>
      <c r="I1516" s="3" t="str">
        <f t="shared" ref="I1516:I1521" si="64">"protein_coding"</f>
        <v>protein_coding</v>
      </c>
    </row>
    <row r="1517" spans="1:9" x14ac:dyDescent="0.2">
      <c r="A1517" s="3" t="str">
        <f>"ENSG00000112282.18"</f>
        <v>ENSG00000112282.18</v>
      </c>
      <c r="B1517" s="3">
        <v>3050.4711558987101</v>
      </c>
      <c r="C1517" s="3">
        <v>1.2616419224304301</v>
      </c>
      <c r="D1517" s="3">
        <v>0.26052127521510099</v>
      </c>
      <c r="E1517" s="3">
        <v>4.8427596609480501</v>
      </c>
      <c r="F1517" s="4">
        <v>1.28048136442936E-6</v>
      </c>
      <c r="G1517" s="4">
        <v>1.55907593040758E-5</v>
      </c>
      <c r="H1517" s="3" t="str">
        <f>"MED23"</f>
        <v>MED23</v>
      </c>
      <c r="I1517" s="3" t="str">
        <f t="shared" si="64"/>
        <v>protein_coding</v>
      </c>
    </row>
    <row r="1518" spans="1:9" x14ac:dyDescent="0.2">
      <c r="A1518" s="3" t="str">
        <f>"ENSG00000118523.6"</f>
        <v>ENSG00000118523.6</v>
      </c>
      <c r="B1518" s="3">
        <v>7007.0888646690801</v>
      </c>
      <c r="C1518" s="3">
        <v>1.35881596967773</v>
      </c>
      <c r="D1518" s="3">
        <v>0.25186380396471802</v>
      </c>
      <c r="E1518" s="3">
        <v>5.3950426710305504</v>
      </c>
      <c r="F1518" s="4">
        <v>6.8507269662964696E-8</v>
      </c>
      <c r="G1518" s="4">
        <v>1.05271861232247E-6</v>
      </c>
      <c r="H1518" s="3" t="str">
        <f>"CCN2"</f>
        <v>CCN2</v>
      </c>
      <c r="I1518" s="3" t="str">
        <f t="shared" si="64"/>
        <v>protein_coding</v>
      </c>
    </row>
    <row r="1519" spans="1:9" x14ac:dyDescent="0.2">
      <c r="A1519" s="3" t="str">
        <f>"ENSG00000146409.12"</f>
        <v>ENSG00000146409.12</v>
      </c>
      <c r="B1519" s="3">
        <v>525.30011226661702</v>
      </c>
      <c r="C1519" s="3">
        <v>-2.0681524894583601</v>
      </c>
      <c r="D1519" s="3">
        <v>0.29314411022430198</v>
      </c>
      <c r="E1519" s="3">
        <v>-7.0550709269781597</v>
      </c>
      <c r="F1519" s="4">
        <v>1.72512705611376E-12</v>
      </c>
      <c r="G1519" s="4">
        <v>4.8486671616247601E-11</v>
      </c>
      <c r="H1519" s="3" t="str">
        <f>"SLC18B1"</f>
        <v>SLC18B1</v>
      </c>
      <c r="I1519" s="3" t="str">
        <f t="shared" si="64"/>
        <v>protein_coding</v>
      </c>
    </row>
    <row r="1520" spans="1:9" x14ac:dyDescent="0.2">
      <c r="A1520" s="3" t="str">
        <f>"ENSG00000118515.11"</f>
        <v>ENSG00000118515.11</v>
      </c>
      <c r="B1520" s="3">
        <v>2512.8695767548502</v>
      </c>
      <c r="C1520" s="3">
        <v>-1.87956705532381</v>
      </c>
      <c r="D1520" s="3">
        <v>0.25336818932250799</v>
      </c>
      <c r="E1520" s="3">
        <v>-7.41832295660189</v>
      </c>
      <c r="F1520" s="4">
        <v>1.18612591426304E-13</v>
      </c>
      <c r="G1520" s="4">
        <v>3.7960556454563302E-12</v>
      </c>
      <c r="H1520" s="3" t="str">
        <f>"SGK1"</f>
        <v>SGK1</v>
      </c>
      <c r="I1520" s="3" t="str">
        <f t="shared" si="64"/>
        <v>protein_coding</v>
      </c>
    </row>
    <row r="1521" spans="1:9" x14ac:dyDescent="0.2">
      <c r="A1521" s="3" t="str">
        <f>"ENSG00000135541.21"</f>
        <v>ENSG00000135541.21</v>
      </c>
      <c r="B1521" s="3">
        <v>506.68382204591001</v>
      </c>
      <c r="C1521" s="3">
        <v>-1.08172253344445</v>
      </c>
      <c r="D1521" s="3">
        <v>0.33018035412554803</v>
      </c>
      <c r="E1521" s="3">
        <v>-3.2761565608871299</v>
      </c>
      <c r="F1521" s="3">
        <v>1.0523020969994501E-3</v>
      </c>
      <c r="G1521" s="3">
        <v>6.3802953067999104E-3</v>
      </c>
      <c r="H1521" s="3" t="str">
        <f>"AHI1"</f>
        <v>AHI1</v>
      </c>
      <c r="I1521" s="3" t="str">
        <f t="shared" si="64"/>
        <v>protein_coding</v>
      </c>
    </row>
    <row r="1522" spans="1:9" x14ac:dyDescent="0.2">
      <c r="A1522" s="3" t="str">
        <f>"ENSG00000220412.1"</f>
        <v>ENSG00000220412.1</v>
      </c>
      <c r="B1522" s="3">
        <v>27.923957152043901</v>
      </c>
      <c r="C1522" s="3">
        <v>-5.1331162716451297</v>
      </c>
      <c r="D1522" s="3">
        <v>1.03902520560949</v>
      </c>
      <c r="E1522" s="3">
        <v>-4.9403192953669297</v>
      </c>
      <c r="F1522" s="4">
        <v>7.7994745865199401E-7</v>
      </c>
      <c r="G1522" s="4">
        <v>9.9896019971440392E-6</v>
      </c>
      <c r="H1522" s="3" t="str">
        <f>"AL356234.1"</f>
        <v>AL356234.1</v>
      </c>
      <c r="I1522" s="3" t="str">
        <f>"processed_pseudogene"</f>
        <v>processed_pseudogene</v>
      </c>
    </row>
    <row r="1523" spans="1:9" x14ac:dyDescent="0.2">
      <c r="A1523" s="3" t="str">
        <f>"ENSG00000237499.6"</f>
        <v>ENSG00000237499.6</v>
      </c>
      <c r="B1523" s="3">
        <v>160.03929614154501</v>
      </c>
      <c r="C1523" s="3">
        <v>-2.1193517567494502</v>
      </c>
      <c r="D1523" s="3">
        <v>0.35912980433605102</v>
      </c>
      <c r="E1523" s="3">
        <v>-5.9013530237838197</v>
      </c>
      <c r="F1523" s="4">
        <v>3.6053252198698098E-9</v>
      </c>
      <c r="G1523" s="4">
        <v>6.8035975923349706E-8</v>
      </c>
      <c r="H1523" s="3" t="str">
        <f>"AL357060.1"</f>
        <v>AL357060.1</v>
      </c>
      <c r="I1523" s="3" t="str">
        <f>"antisense"</f>
        <v>antisense</v>
      </c>
    </row>
    <row r="1524" spans="1:9" x14ac:dyDescent="0.2">
      <c r="A1524" s="3" t="str">
        <f>"ENSG00000118503.15"</f>
        <v>ENSG00000118503.15</v>
      </c>
      <c r="B1524" s="3">
        <v>3847.1505619476702</v>
      </c>
      <c r="C1524" s="3">
        <v>-2.2290167385397299</v>
      </c>
      <c r="D1524" s="3">
        <v>0.28677832800629099</v>
      </c>
      <c r="E1524" s="3">
        <v>-7.7726122264400397</v>
      </c>
      <c r="F1524" s="4">
        <v>7.6883834024627203E-15</v>
      </c>
      <c r="G1524" s="4">
        <v>2.7432806310489298E-13</v>
      </c>
      <c r="H1524" s="3" t="str">
        <f>"TNFAIP3"</f>
        <v>TNFAIP3</v>
      </c>
      <c r="I1524" s="3" t="str">
        <f t="shared" ref="I1524:I1532" si="65">"protein_coding"</f>
        <v>protein_coding</v>
      </c>
    </row>
    <row r="1525" spans="1:9" x14ac:dyDescent="0.2">
      <c r="A1525" s="3" t="str">
        <f>"ENSG00000112378.12"</f>
        <v>ENSG00000112378.12</v>
      </c>
      <c r="B1525" s="3">
        <v>12919.361847333001</v>
      </c>
      <c r="C1525" s="3">
        <v>1.51979948790004</v>
      </c>
      <c r="D1525" s="3">
        <v>0.230951856863505</v>
      </c>
      <c r="E1525" s="3">
        <v>6.5805900352567903</v>
      </c>
      <c r="F1525" s="4">
        <v>4.68584974777167E-11</v>
      </c>
      <c r="G1525" s="4">
        <v>1.1172753592909599E-9</v>
      </c>
      <c r="H1525" s="3" t="str">
        <f>"PERP"</f>
        <v>PERP</v>
      </c>
      <c r="I1525" s="3" t="str">
        <f t="shared" si="65"/>
        <v>protein_coding</v>
      </c>
    </row>
    <row r="1526" spans="1:9" x14ac:dyDescent="0.2">
      <c r="A1526" s="3" t="str">
        <f>"ENSG00000112379.9"</f>
        <v>ENSG00000112379.9</v>
      </c>
      <c r="B1526" s="3">
        <v>1362.25868169512</v>
      </c>
      <c r="C1526" s="3">
        <v>1.1253042128964501</v>
      </c>
      <c r="D1526" s="3">
        <v>0.24682129082687701</v>
      </c>
      <c r="E1526" s="3">
        <v>4.5591861590487603</v>
      </c>
      <c r="F1526" s="4">
        <v>5.1352236130232803E-6</v>
      </c>
      <c r="G1526" s="4">
        <v>5.6090555790534398E-5</v>
      </c>
      <c r="H1526" s="3" t="str">
        <f>"ARFGEF3"</f>
        <v>ARFGEF3</v>
      </c>
      <c r="I1526" s="3" t="str">
        <f t="shared" si="65"/>
        <v>protein_coding</v>
      </c>
    </row>
    <row r="1527" spans="1:9" x14ac:dyDescent="0.2">
      <c r="A1527" s="3" t="str">
        <f>"ENSG00000135540.11"</f>
        <v>ENSG00000135540.11</v>
      </c>
      <c r="B1527" s="3">
        <v>4205.1390921375296</v>
      </c>
      <c r="C1527" s="3">
        <v>-1.12286065556091</v>
      </c>
      <c r="D1527" s="3">
        <v>0.28846501173218297</v>
      </c>
      <c r="E1527" s="3">
        <v>-3.8925367371880699</v>
      </c>
      <c r="F1527" s="4">
        <v>9.9201471794776506E-5</v>
      </c>
      <c r="G1527" s="3">
        <v>8.0627238222862703E-4</v>
      </c>
      <c r="H1527" s="3" t="str">
        <f>"NHSL1"</f>
        <v>NHSL1</v>
      </c>
      <c r="I1527" s="3" t="str">
        <f t="shared" si="65"/>
        <v>protein_coding</v>
      </c>
    </row>
    <row r="1528" spans="1:9" x14ac:dyDescent="0.2">
      <c r="A1528" s="3" t="str">
        <f>"ENSG00000164442.10"</f>
        <v>ENSG00000164442.10</v>
      </c>
      <c r="B1528" s="3">
        <v>596.11397491637399</v>
      </c>
      <c r="C1528" s="3">
        <v>1.28426178366373</v>
      </c>
      <c r="D1528" s="3">
        <v>0.272587394140613</v>
      </c>
      <c r="E1528" s="3">
        <v>4.7113762825042604</v>
      </c>
      <c r="F1528" s="4">
        <v>2.4604944999110598E-6</v>
      </c>
      <c r="G1528" s="4">
        <v>2.8561946998275299E-5</v>
      </c>
      <c r="H1528" s="3" t="str">
        <f>"CITED2"</f>
        <v>CITED2</v>
      </c>
      <c r="I1528" s="3" t="str">
        <f t="shared" si="65"/>
        <v>protein_coding</v>
      </c>
    </row>
    <row r="1529" spans="1:9" x14ac:dyDescent="0.2">
      <c r="A1529" s="3" t="str">
        <f>"ENSG00000112419.14"</f>
        <v>ENSG00000112419.14</v>
      </c>
      <c r="B1529" s="3">
        <v>3460.7021289853401</v>
      </c>
      <c r="C1529" s="3">
        <v>1.4439065907430999</v>
      </c>
      <c r="D1529" s="3">
        <v>0.244212073550062</v>
      </c>
      <c r="E1529" s="3">
        <v>5.9125110800351601</v>
      </c>
      <c r="F1529" s="4">
        <v>3.36931173753879E-9</v>
      </c>
      <c r="G1529" s="4">
        <v>6.3821563823635704E-8</v>
      </c>
      <c r="H1529" s="3" t="str">
        <f>"PHACTR2"</f>
        <v>PHACTR2</v>
      </c>
      <c r="I1529" s="3" t="str">
        <f t="shared" si="65"/>
        <v>protein_coding</v>
      </c>
    </row>
    <row r="1530" spans="1:9" x14ac:dyDescent="0.2">
      <c r="A1530" s="3" t="str">
        <f>"ENSG00000118495.19"</f>
        <v>ENSG00000118495.19</v>
      </c>
      <c r="B1530" s="3">
        <v>178.36444927245901</v>
      </c>
      <c r="C1530" s="3">
        <v>-1.5592191901822501</v>
      </c>
      <c r="D1530" s="3">
        <v>0.352996148326924</v>
      </c>
      <c r="E1530" s="3">
        <v>-4.4170997263635803</v>
      </c>
      <c r="F1530" s="4">
        <v>1.0003408403553899E-5</v>
      </c>
      <c r="G1530" s="3">
        <v>1.02374181607567E-4</v>
      </c>
      <c r="H1530" s="3" t="str">
        <f>"PLAGL1"</f>
        <v>PLAGL1</v>
      </c>
      <c r="I1530" s="3" t="str">
        <f t="shared" si="65"/>
        <v>protein_coding</v>
      </c>
    </row>
    <row r="1531" spans="1:9" x14ac:dyDescent="0.2">
      <c r="A1531" s="3" t="str">
        <f>"ENSG00000135604.9"</f>
        <v>ENSG00000135604.9</v>
      </c>
      <c r="B1531" s="3">
        <v>31.031690386298799</v>
      </c>
      <c r="C1531" s="3">
        <v>-4.5009749457356696</v>
      </c>
      <c r="D1531" s="3">
        <v>0.88080690336629697</v>
      </c>
      <c r="E1531" s="3">
        <v>-5.1100586615905303</v>
      </c>
      <c r="F1531" s="4">
        <v>3.2205879881141102E-7</v>
      </c>
      <c r="G1531" s="4">
        <v>4.40771984989175E-6</v>
      </c>
      <c r="H1531" s="3" t="str">
        <f>"STX11"</f>
        <v>STX11</v>
      </c>
      <c r="I1531" s="3" t="str">
        <f t="shared" si="65"/>
        <v>protein_coding</v>
      </c>
    </row>
    <row r="1532" spans="1:9" x14ac:dyDescent="0.2">
      <c r="A1532" s="3" t="str">
        <f>"ENSG00000111961.18"</f>
        <v>ENSG00000111961.18</v>
      </c>
      <c r="B1532" s="3">
        <v>2572.7351519877002</v>
      </c>
      <c r="C1532" s="3">
        <v>1.0992937300191601</v>
      </c>
      <c r="D1532" s="3">
        <v>0.26570946078177698</v>
      </c>
      <c r="E1532" s="3">
        <v>4.1372020656878101</v>
      </c>
      <c r="F1532" s="4">
        <v>3.5156649147151499E-5</v>
      </c>
      <c r="G1532" s="3">
        <v>3.2007437904328401E-4</v>
      </c>
      <c r="H1532" s="3" t="str">
        <f>"SASH1"</f>
        <v>SASH1</v>
      </c>
      <c r="I1532" s="3" t="str">
        <f t="shared" si="65"/>
        <v>protein_coding</v>
      </c>
    </row>
    <row r="1533" spans="1:9" x14ac:dyDescent="0.2">
      <c r="A1533" s="3" t="str">
        <f>"ENSG00000215223.3"</f>
        <v>ENSG00000215223.3</v>
      </c>
      <c r="B1533" s="3">
        <v>53.919394334887002</v>
      </c>
      <c r="C1533" s="3">
        <v>1.9664436962010901</v>
      </c>
      <c r="D1533" s="3">
        <v>0.52308345276924995</v>
      </c>
      <c r="E1533" s="3">
        <v>3.7593307258919402</v>
      </c>
      <c r="F1533" s="3">
        <v>1.70368501998535E-4</v>
      </c>
      <c r="G1533" s="3">
        <v>1.2935767183136599E-3</v>
      </c>
      <c r="H1533" s="3" t="str">
        <f>"CYP51A1P3"</f>
        <v>CYP51A1P3</v>
      </c>
      <c r="I1533" s="3" t="str">
        <f>"processed_pseudogene"</f>
        <v>processed_pseudogene</v>
      </c>
    </row>
    <row r="1534" spans="1:9" x14ac:dyDescent="0.2">
      <c r="A1534" s="3" t="str">
        <f>"ENSG00000178199.13"</f>
        <v>ENSG00000178199.13</v>
      </c>
      <c r="B1534" s="3">
        <v>200.245197946557</v>
      </c>
      <c r="C1534" s="3">
        <v>-1.7426068331243001</v>
      </c>
      <c r="D1534" s="3">
        <v>0.34723698293134397</v>
      </c>
      <c r="E1534" s="3">
        <v>-5.0184943389766996</v>
      </c>
      <c r="F1534" s="4">
        <v>5.2078027779665797E-7</v>
      </c>
      <c r="G1534" s="4">
        <v>6.8912298200815002E-6</v>
      </c>
      <c r="H1534" s="3" t="str">
        <f>"ZC3H12D"</f>
        <v>ZC3H12D</v>
      </c>
      <c r="I1534" s="3" t="str">
        <f>"protein_coding"</f>
        <v>protein_coding</v>
      </c>
    </row>
    <row r="1535" spans="1:9" x14ac:dyDescent="0.2">
      <c r="A1535" s="3" t="str">
        <f>"ENSG00000131019.11"</f>
        <v>ENSG00000131019.11</v>
      </c>
      <c r="B1535" s="3">
        <v>51.4277927276528</v>
      </c>
      <c r="C1535" s="3">
        <v>-1.660550021318</v>
      </c>
      <c r="D1535" s="3">
        <v>0.51766848128318799</v>
      </c>
      <c r="E1535" s="3">
        <v>-3.2077479726056599</v>
      </c>
      <c r="F1535" s="3">
        <v>1.3377867588955899E-3</v>
      </c>
      <c r="G1535" s="3">
        <v>7.8237893917487006E-3</v>
      </c>
      <c r="H1535" s="3" t="str">
        <f>"ULBP3"</f>
        <v>ULBP3</v>
      </c>
      <c r="I1535" s="3" t="str">
        <f>"protein_coding"</f>
        <v>protein_coding</v>
      </c>
    </row>
    <row r="1536" spans="1:9" x14ac:dyDescent="0.2">
      <c r="A1536" s="3" t="str">
        <f>"ENSG00000198729.5"</f>
        <v>ENSG00000198729.5</v>
      </c>
      <c r="B1536" s="3">
        <v>52.572677838431098</v>
      </c>
      <c r="C1536" s="3">
        <v>2.8563706559286999</v>
      </c>
      <c r="D1536" s="3">
        <v>0.55209904742656002</v>
      </c>
      <c r="E1536" s="3">
        <v>5.1736561931102703</v>
      </c>
      <c r="F1536" s="4">
        <v>2.2955705332672999E-7</v>
      </c>
      <c r="G1536" s="4">
        <v>3.2361669941299399E-6</v>
      </c>
      <c r="H1536" s="3" t="str">
        <f>"PPP1R14C"</f>
        <v>PPP1R14C</v>
      </c>
      <c r="I1536" s="3" t="str">
        <f>"protein_coding"</f>
        <v>protein_coding</v>
      </c>
    </row>
    <row r="1537" spans="1:9" x14ac:dyDescent="0.2">
      <c r="A1537" s="3" t="str">
        <f>"ENSG00000120278.16"</f>
        <v>ENSG00000120278.16</v>
      </c>
      <c r="B1537" s="3">
        <v>335.624564007868</v>
      </c>
      <c r="C1537" s="3">
        <v>3.7055945974849802</v>
      </c>
      <c r="D1537" s="3">
        <v>0.317989666149397</v>
      </c>
      <c r="E1537" s="3">
        <v>11.6531918862546</v>
      </c>
      <c r="F1537" s="4">
        <v>2.2102216063062499E-31</v>
      </c>
      <c r="G1537" s="4">
        <v>2.4068452167373999E-29</v>
      </c>
      <c r="H1537" s="3" t="str">
        <f>"PLEKHG1"</f>
        <v>PLEKHG1</v>
      </c>
      <c r="I1537" s="3" t="str">
        <f>"protein_coding"</f>
        <v>protein_coding</v>
      </c>
    </row>
    <row r="1538" spans="1:9" x14ac:dyDescent="0.2">
      <c r="A1538" s="3" t="str">
        <f>"ENSG00000232891.1"</f>
        <v>ENSG00000232891.1</v>
      </c>
      <c r="B1538" s="3">
        <v>19.227640790709</v>
      </c>
      <c r="C1538" s="3">
        <v>5.2826496789245398</v>
      </c>
      <c r="D1538" s="3">
        <v>1.2588476319268</v>
      </c>
      <c r="E1538" s="3">
        <v>4.1964170602909903</v>
      </c>
      <c r="F1538" s="4">
        <v>2.71170700877452E-5</v>
      </c>
      <c r="G1538" s="3">
        <v>2.5254716699638302E-4</v>
      </c>
      <c r="H1538" s="3" t="str">
        <f>"AL450344.3"</f>
        <v>AL450344.3</v>
      </c>
      <c r="I1538" s="3" t="str">
        <f>"sense_intronic"</f>
        <v>sense_intronic</v>
      </c>
    </row>
    <row r="1539" spans="1:9" x14ac:dyDescent="0.2">
      <c r="A1539" s="3" t="str">
        <f>"ENSG00000224029.1"</f>
        <v>ENSG00000224029.1</v>
      </c>
      <c r="B1539" s="3">
        <v>10.745712280710499</v>
      </c>
      <c r="C1539" s="3">
        <v>6.9424096796633101</v>
      </c>
      <c r="D1539" s="3">
        <v>1.7435401273567499</v>
      </c>
      <c r="E1539" s="3">
        <v>3.9817894470763702</v>
      </c>
      <c r="F1539" s="4">
        <v>6.8398359427016597E-5</v>
      </c>
      <c r="G1539" s="3">
        <v>5.8068198831812395E-4</v>
      </c>
      <c r="H1539" s="3" t="str">
        <f>"AL450344.1"</f>
        <v>AL450344.1</v>
      </c>
      <c r="I1539" s="3" t="str">
        <f>"sense_intronic"</f>
        <v>sense_intronic</v>
      </c>
    </row>
    <row r="1540" spans="1:9" x14ac:dyDescent="0.2">
      <c r="A1540" s="3" t="str">
        <f>"ENSG00000213089.4"</f>
        <v>ENSG00000213089.4</v>
      </c>
      <c r="B1540" s="3">
        <v>8.5662244648595802</v>
      </c>
      <c r="C1540" s="3">
        <v>3.4436515284415199</v>
      </c>
      <c r="D1540" s="3">
        <v>1.3314448101731999</v>
      </c>
      <c r="E1540" s="3">
        <v>2.5864020063990099</v>
      </c>
      <c r="F1540" s="3">
        <v>9.6983743247633196E-3</v>
      </c>
      <c r="G1540" s="3">
        <v>4.1195982124184599E-2</v>
      </c>
      <c r="H1540" s="3" t="str">
        <f>"PDCL3P5"</f>
        <v>PDCL3P5</v>
      </c>
      <c r="I1540" s="3" t="str">
        <f>"processed_pseudogene"</f>
        <v>processed_pseudogene</v>
      </c>
    </row>
    <row r="1541" spans="1:9" x14ac:dyDescent="0.2">
      <c r="A1541" s="3" t="str">
        <f>"ENSG00000131016.17"</f>
        <v>ENSG00000131016.17</v>
      </c>
      <c r="B1541" s="3">
        <v>5104.14232644603</v>
      </c>
      <c r="C1541" s="3">
        <v>-1.3038683489695599</v>
      </c>
      <c r="D1541" s="3">
        <v>0.23790713134902</v>
      </c>
      <c r="E1541" s="3">
        <v>-5.48057698639027</v>
      </c>
      <c r="F1541" s="4">
        <v>4.2394099248681003E-8</v>
      </c>
      <c r="G1541" s="4">
        <v>6.7409833539859002E-7</v>
      </c>
      <c r="H1541" s="3" t="str">
        <f>"AKAP12"</f>
        <v>AKAP12</v>
      </c>
      <c r="I1541" s="3" t="str">
        <f>"protein_coding"</f>
        <v>protein_coding</v>
      </c>
    </row>
    <row r="1542" spans="1:9" x14ac:dyDescent="0.2">
      <c r="A1542" s="3" t="str">
        <f>"ENSG00000131018.23"</f>
        <v>ENSG00000131018.23</v>
      </c>
      <c r="B1542" s="3">
        <v>1365.6365952564799</v>
      </c>
      <c r="C1542" s="3">
        <v>1.9775656868942599</v>
      </c>
      <c r="D1542" s="3">
        <v>0.24907830320009999</v>
      </c>
      <c r="E1542" s="3">
        <v>7.9395341203427199</v>
      </c>
      <c r="F1542" s="4">
        <v>2.0294205924106998E-15</v>
      </c>
      <c r="G1542" s="4">
        <v>7.6651764267404098E-14</v>
      </c>
      <c r="H1542" s="3" t="str">
        <f>"SYNE1"</f>
        <v>SYNE1</v>
      </c>
      <c r="I1542" s="3" t="str">
        <f>"protein_coding"</f>
        <v>protein_coding</v>
      </c>
    </row>
    <row r="1543" spans="1:9" x14ac:dyDescent="0.2">
      <c r="A1543" s="3" t="str">
        <f>"ENSG00000112029.10"</f>
        <v>ENSG00000112029.10</v>
      </c>
      <c r="B1543" s="3">
        <v>1786.07562205716</v>
      </c>
      <c r="C1543" s="3">
        <v>-2.22092425514884</v>
      </c>
      <c r="D1543" s="3">
        <v>0.25395521047924502</v>
      </c>
      <c r="E1543" s="3">
        <v>-8.7453384041921094</v>
      </c>
      <c r="F1543" s="4">
        <v>2.2234823633689001E-18</v>
      </c>
      <c r="G1543" s="4">
        <v>1.07148848372691E-16</v>
      </c>
      <c r="H1543" s="3" t="str">
        <f>"FBXO5"</f>
        <v>FBXO5</v>
      </c>
      <c r="I1543" s="3" t="str">
        <f>"protein_coding"</f>
        <v>protein_coding</v>
      </c>
    </row>
    <row r="1544" spans="1:9" x14ac:dyDescent="0.2">
      <c r="A1544" s="3" t="str">
        <f>"ENSG00000227627.2"</f>
        <v>ENSG00000227627.2</v>
      </c>
      <c r="B1544" s="3">
        <v>138.543946914776</v>
      </c>
      <c r="C1544" s="3">
        <v>-1.2475130215127901</v>
      </c>
      <c r="D1544" s="3">
        <v>0.36077002782679402</v>
      </c>
      <c r="E1544" s="3">
        <v>-3.4579175798709101</v>
      </c>
      <c r="F1544" s="3">
        <v>5.4436789412533597E-4</v>
      </c>
      <c r="G1544" s="3">
        <v>3.60357220440074E-3</v>
      </c>
      <c r="H1544" s="3" t="str">
        <f>"AL080276.2"</f>
        <v>AL080276.2</v>
      </c>
      <c r="I1544" s="3" t="str">
        <f>"antisense"</f>
        <v>antisense</v>
      </c>
    </row>
    <row r="1545" spans="1:9" x14ac:dyDescent="0.2">
      <c r="A1545" s="3" t="str">
        <f>"ENSG00000146426.18"</f>
        <v>ENSG00000146426.18</v>
      </c>
      <c r="B1545" s="3">
        <v>450.010803577952</v>
      </c>
      <c r="C1545" s="3">
        <v>-1.00340135301508</v>
      </c>
      <c r="D1545" s="3">
        <v>0.30131043696070398</v>
      </c>
      <c r="E1545" s="3">
        <v>-3.33012478139264</v>
      </c>
      <c r="F1545" s="3">
        <v>8.6807072786936198E-4</v>
      </c>
      <c r="G1545" s="3">
        <v>5.4103863130708103E-3</v>
      </c>
      <c r="H1545" s="3" t="str">
        <f>"TIAM2"</f>
        <v>TIAM2</v>
      </c>
      <c r="I1545" s="3" t="str">
        <f>"protein_coding"</f>
        <v>protein_coding</v>
      </c>
    </row>
    <row r="1546" spans="1:9" x14ac:dyDescent="0.2">
      <c r="A1546" s="3" t="str">
        <f>"ENSG00000235381.1"</f>
        <v>ENSG00000235381.1</v>
      </c>
      <c r="B1546" s="3">
        <v>1022.24096109852</v>
      </c>
      <c r="C1546" s="3">
        <v>1.9115925404168399</v>
      </c>
      <c r="D1546" s="3">
        <v>0.26718342127633898</v>
      </c>
      <c r="E1546" s="3">
        <v>7.1546076148180999</v>
      </c>
      <c r="F1546" s="4">
        <v>8.3912596436512999E-13</v>
      </c>
      <c r="G1546" s="4">
        <v>2.4318218471895E-11</v>
      </c>
      <c r="H1546" s="3" t="str">
        <f>"AL596202.1"</f>
        <v>AL596202.1</v>
      </c>
      <c r="I1546" s="3" t="str">
        <f>"antisense"</f>
        <v>antisense</v>
      </c>
    </row>
    <row r="1547" spans="1:9" x14ac:dyDescent="0.2">
      <c r="A1547" s="3" t="str">
        <f>"ENSG00000029639.11"</f>
        <v>ENSG00000029639.11</v>
      </c>
      <c r="B1547" s="3">
        <v>3793.4937264709101</v>
      </c>
      <c r="C1547" s="3">
        <v>1.1934040411539799</v>
      </c>
      <c r="D1547" s="3">
        <v>0.24294351962623201</v>
      </c>
      <c r="E1547" s="3">
        <v>4.9122694978241404</v>
      </c>
      <c r="F1547" s="4">
        <v>9.0028191930717304E-7</v>
      </c>
      <c r="G1547" s="4">
        <v>1.1351675027655101E-5</v>
      </c>
      <c r="H1547" s="3" t="str">
        <f>"TFB1M"</f>
        <v>TFB1M</v>
      </c>
      <c r="I1547" s="3" t="str">
        <f>"protein_coding"</f>
        <v>protein_coding</v>
      </c>
    </row>
    <row r="1548" spans="1:9" x14ac:dyDescent="0.2">
      <c r="A1548" s="3" t="str">
        <f>"ENSG00000218596.2"</f>
        <v>ENSG00000218596.2</v>
      </c>
      <c r="B1548" s="3">
        <v>123.708769170278</v>
      </c>
      <c r="C1548" s="3">
        <v>1.0203502304568901</v>
      </c>
      <c r="D1548" s="3">
        <v>0.37625588861909098</v>
      </c>
      <c r="E1548" s="3">
        <v>2.7118518575263102</v>
      </c>
      <c r="F1548" s="3">
        <v>6.6908488000673103E-3</v>
      </c>
      <c r="G1548" s="3">
        <v>3.0124986856218599E-2</v>
      </c>
      <c r="H1548" s="3" t="str">
        <f>"AL162578.1"</f>
        <v>AL162578.1</v>
      </c>
      <c r="I1548" s="3" t="str">
        <f>"processed_pseudogene"</f>
        <v>processed_pseudogene</v>
      </c>
    </row>
    <row r="1549" spans="1:9" x14ac:dyDescent="0.2">
      <c r="A1549" s="3" t="str">
        <f>"ENSG00000175048.17"</f>
        <v>ENSG00000175048.17</v>
      </c>
      <c r="B1549" s="3">
        <v>379.81363320377301</v>
      </c>
      <c r="C1549" s="3">
        <v>-1.48435803688607</v>
      </c>
      <c r="D1549" s="3">
        <v>0.32185272498101702</v>
      </c>
      <c r="E1549" s="3">
        <v>-4.6119169473355397</v>
      </c>
      <c r="F1549" s="4">
        <v>3.9897241271599699E-6</v>
      </c>
      <c r="G1549" s="4">
        <v>4.4644800008322502E-5</v>
      </c>
      <c r="H1549" s="3" t="str">
        <f>"ZDHHC14"</f>
        <v>ZDHHC14</v>
      </c>
      <c r="I1549" s="3" t="str">
        <f>"protein_coding"</f>
        <v>protein_coding</v>
      </c>
    </row>
    <row r="1550" spans="1:9" x14ac:dyDescent="0.2">
      <c r="A1550" s="3" t="str">
        <f>"ENSG00000120437.8"</f>
        <v>ENSG00000120437.8</v>
      </c>
      <c r="B1550" s="3">
        <v>3246.7670553146099</v>
      </c>
      <c r="C1550" s="3">
        <v>-1.27898154036192</v>
      </c>
      <c r="D1550" s="3">
        <v>0.25258907679916598</v>
      </c>
      <c r="E1550" s="3">
        <v>-5.0634871332097804</v>
      </c>
      <c r="F1550" s="4">
        <v>4.1165617832774699E-7</v>
      </c>
      <c r="G1550" s="4">
        <v>5.54941648758547E-6</v>
      </c>
      <c r="H1550" s="3" t="str">
        <f>"ACAT2"</f>
        <v>ACAT2</v>
      </c>
      <c r="I1550" s="3" t="str">
        <f>"protein_coding"</f>
        <v>protein_coding</v>
      </c>
    </row>
    <row r="1551" spans="1:9" x14ac:dyDescent="0.2">
      <c r="A1551" s="3" t="str">
        <f>"ENSG00000213073.4"</f>
        <v>ENSG00000213073.4</v>
      </c>
      <c r="B1551" s="3">
        <v>809.63857629915503</v>
      </c>
      <c r="C1551" s="3">
        <v>1.65508178159728</v>
      </c>
      <c r="D1551" s="3">
        <v>0.25856527708997601</v>
      </c>
      <c r="E1551" s="3">
        <v>6.4010210505617904</v>
      </c>
      <c r="F1551" s="4">
        <v>1.5434128968357799E-10</v>
      </c>
      <c r="G1551" s="4">
        <v>3.4695756407421001E-9</v>
      </c>
      <c r="H1551" s="3" t="str">
        <f>"AL353625.1"</f>
        <v>AL353625.1</v>
      </c>
      <c r="I1551" s="3" t="str">
        <f>"transcribed_processed_pseudogene"</f>
        <v>transcribed_processed_pseudogene</v>
      </c>
    </row>
    <row r="1552" spans="1:9" x14ac:dyDescent="0.2">
      <c r="A1552" s="3" t="str">
        <f>"ENSG00000146477.6"</f>
        <v>ENSG00000146477.6</v>
      </c>
      <c r="B1552" s="3">
        <v>415.21237971913803</v>
      </c>
      <c r="C1552" s="3">
        <v>-2.2898651312947198</v>
      </c>
      <c r="D1552" s="3">
        <v>0.28767190334506199</v>
      </c>
      <c r="E1552" s="3">
        <v>-7.9599888090149404</v>
      </c>
      <c r="F1552" s="4">
        <v>1.72054840484709E-15</v>
      </c>
      <c r="G1552" s="4">
        <v>6.5477148447698302E-14</v>
      </c>
      <c r="H1552" s="3" t="str">
        <f>"SLC22A3"</f>
        <v>SLC22A3</v>
      </c>
      <c r="I1552" s="3" t="str">
        <f>"protein_coding"</f>
        <v>protein_coding</v>
      </c>
    </row>
    <row r="1553" spans="1:9" x14ac:dyDescent="0.2">
      <c r="A1553" s="3" t="str">
        <f>"ENSG00000213071.11"</f>
        <v>ENSG00000213071.11</v>
      </c>
      <c r="B1553" s="3">
        <v>24.922742300326</v>
      </c>
      <c r="C1553" s="3">
        <v>-2.0789074690308098</v>
      </c>
      <c r="D1553" s="3">
        <v>0.79350255840405004</v>
      </c>
      <c r="E1553" s="3">
        <v>-2.61991274887892</v>
      </c>
      <c r="F1553" s="3">
        <v>8.7952266583102602E-3</v>
      </c>
      <c r="G1553" s="3">
        <v>3.7994835409547401E-2</v>
      </c>
      <c r="H1553" s="3" t="str">
        <f>"LPAL2"</f>
        <v>LPAL2</v>
      </c>
      <c r="I1553" s="3" t="str">
        <f>"transcribed_unprocessed_pseudogene"</f>
        <v>transcribed_unprocessed_pseudogene</v>
      </c>
    </row>
    <row r="1554" spans="1:9" x14ac:dyDescent="0.2">
      <c r="A1554" s="3" t="str">
        <f>"ENSG00000272841.1"</f>
        <v>ENSG00000272841.1</v>
      </c>
      <c r="B1554" s="3">
        <v>128.22294681030399</v>
      </c>
      <c r="C1554" s="3">
        <v>-1.46631788840873</v>
      </c>
      <c r="D1554" s="3">
        <v>0.39016687664468302</v>
      </c>
      <c r="E1554" s="3">
        <v>-3.7581813736179202</v>
      </c>
      <c r="F1554" s="3">
        <v>1.7115280462644001E-4</v>
      </c>
      <c r="G1554" s="3">
        <v>1.29913965008391E-3</v>
      </c>
      <c r="H1554" s="3" t="str">
        <f>"AL139393.2"</f>
        <v>AL139393.2</v>
      </c>
      <c r="I1554" s="3" t="str">
        <f>"antisense"</f>
        <v>antisense</v>
      </c>
    </row>
    <row r="1555" spans="1:9" x14ac:dyDescent="0.2">
      <c r="A1555" s="3" t="str">
        <f>"ENSG00000227598.1"</f>
        <v>ENSG00000227598.1</v>
      </c>
      <c r="B1555" s="3">
        <v>204.73350293634101</v>
      </c>
      <c r="C1555" s="3">
        <v>-1.2219825674312601</v>
      </c>
      <c r="D1555" s="3">
        <v>0.33740229182419201</v>
      </c>
      <c r="E1555" s="3">
        <v>-3.62173760238711</v>
      </c>
      <c r="F1555" s="3">
        <v>2.9263086203132999E-4</v>
      </c>
      <c r="G1555" s="3">
        <v>2.0965905253198802E-3</v>
      </c>
      <c r="H1555" s="3" t="str">
        <f>"Z94721.1"</f>
        <v>Z94721.1</v>
      </c>
      <c r="I1555" s="3" t="str">
        <f>"bidirectional_promoter_lncRNA"</f>
        <v>bidirectional_promoter_lncRNA</v>
      </c>
    </row>
    <row r="1556" spans="1:9" x14ac:dyDescent="0.2">
      <c r="A1556" s="3" t="str">
        <f>"ENSG00000285730.1"</f>
        <v>ENSG00000285730.1</v>
      </c>
      <c r="B1556" s="3">
        <v>334.817176645264</v>
      </c>
      <c r="C1556" s="3">
        <v>-1.25440553260152</v>
      </c>
      <c r="D1556" s="3">
        <v>0.31934549915896798</v>
      </c>
      <c r="E1556" s="3">
        <v>-3.92805139231691</v>
      </c>
      <c r="F1556" s="4">
        <v>8.5636913621475706E-5</v>
      </c>
      <c r="G1556" s="3">
        <v>7.0698935416745002E-4</v>
      </c>
      <c r="H1556" s="3" t="str">
        <f>"Z94721.3"</f>
        <v>Z94721.3</v>
      </c>
      <c r="I1556" s="3" t="str">
        <f>"bidirectional_promoter_lncRNA"</f>
        <v>bidirectional_promoter_lncRNA</v>
      </c>
    </row>
    <row r="1557" spans="1:9" x14ac:dyDescent="0.2">
      <c r="A1557" s="3" t="str">
        <f>"ENSG00000112486.16"</f>
        <v>ENSG00000112486.16</v>
      </c>
      <c r="B1557" s="3">
        <v>16.9238780965076</v>
      </c>
      <c r="C1557" s="3">
        <v>-2.6512869352869899</v>
      </c>
      <c r="D1557" s="3">
        <v>0.89228723835010904</v>
      </c>
      <c r="E1557" s="3">
        <v>-2.97133795187901</v>
      </c>
      <c r="F1557" s="3">
        <v>2.9650530366043299E-3</v>
      </c>
      <c r="G1557" s="3">
        <v>1.52716218409535E-2</v>
      </c>
      <c r="H1557" s="3" t="str">
        <f>"CCR6"</f>
        <v>CCR6</v>
      </c>
      <c r="I1557" s="3" t="str">
        <f>"protein_coding"</f>
        <v>protein_coding</v>
      </c>
    </row>
    <row r="1558" spans="1:9" x14ac:dyDescent="0.2">
      <c r="A1558" s="3" t="str">
        <f>"ENSG00000166984.11"</f>
        <v>ENSG00000166984.11</v>
      </c>
      <c r="B1558" s="3">
        <v>31.32797237682</v>
      </c>
      <c r="C1558" s="3">
        <v>-2.8815023081511</v>
      </c>
      <c r="D1558" s="3">
        <v>0.77151950925839796</v>
      </c>
      <c r="E1558" s="3">
        <v>-3.7348404979685599</v>
      </c>
      <c r="F1558" s="3">
        <v>1.87834197028889E-4</v>
      </c>
      <c r="G1558" s="3">
        <v>1.41339193127781E-3</v>
      </c>
      <c r="H1558" s="3" t="str">
        <f>"TCP10L2"</f>
        <v>TCP10L2</v>
      </c>
      <c r="I1558" s="3" t="str">
        <f>"protein_coding"</f>
        <v>protein_coding</v>
      </c>
    </row>
    <row r="1559" spans="1:9" x14ac:dyDescent="0.2">
      <c r="A1559" s="3" t="str">
        <f>"ENSG00000280707.2"</f>
        <v>ENSG00000280707.2</v>
      </c>
      <c r="B1559" s="3">
        <v>22.489139004039401</v>
      </c>
      <c r="C1559" s="3">
        <v>-3.5142009198762798</v>
      </c>
      <c r="D1559" s="3">
        <v>0.87239197810495805</v>
      </c>
      <c r="E1559" s="3">
        <v>-4.0282361691472097</v>
      </c>
      <c r="F1559" s="4">
        <v>5.6196877352556601E-5</v>
      </c>
      <c r="G1559" s="3">
        <v>4.8729143392056598E-4</v>
      </c>
      <c r="H1559" s="3" t="str">
        <f>"AL353747.4"</f>
        <v>AL353747.4</v>
      </c>
      <c r="I1559" s="3" t="str">
        <f>"lincRNA"</f>
        <v>lincRNA</v>
      </c>
    </row>
    <row r="1560" spans="1:9" x14ac:dyDescent="0.2">
      <c r="A1560" s="3" t="str">
        <f>"ENSG00000231720.1"</f>
        <v>ENSG00000231720.1</v>
      </c>
      <c r="B1560" s="3">
        <v>152.84361854208501</v>
      </c>
      <c r="C1560" s="3">
        <v>-1.5873159227020099</v>
      </c>
      <c r="D1560" s="3">
        <v>0.35835570190063398</v>
      </c>
      <c r="E1560" s="3">
        <v>-4.42944235094701</v>
      </c>
      <c r="F1560" s="4">
        <v>9.4477062867249106E-6</v>
      </c>
      <c r="G1560" s="4">
        <v>9.7280823431258702E-5</v>
      </c>
      <c r="H1560" s="3" t="str">
        <f>"AL353747.3"</f>
        <v>AL353747.3</v>
      </c>
      <c r="I1560" s="3" t="str">
        <f>"lincRNA"</f>
        <v>lincRNA</v>
      </c>
    </row>
    <row r="1561" spans="1:9" x14ac:dyDescent="0.2">
      <c r="A1561" s="3" t="str">
        <f>"ENSG00000228648.1"</f>
        <v>ENSG00000228648.1</v>
      </c>
      <c r="B1561" s="3">
        <v>170.740044287854</v>
      </c>
      <c r="C1561" s="3">
        <v>-1.9767320978524501</v>
      </c>
      <c r="D1561" s="3">
        <v>0.35959288954091601</v>
      </c>
      <c r="E1561" s="3">
        <v>-5.4971390017641903</v>
      </c>
      <c r="F1561" s="4">
        <v>3.8600243362951801E-8</v>
      </c>
      <c r="G1561" s="4">
        <v>6.1846440878665702E-7</v>
      </c>
      <c r="H1561" s="3" t="str">
        <f>"AL353747.2"</f>
        <v>AL353747.2</v>
      </c>
      <c r="I1561" s="3" t="str">
        <f>"lincRNA"</f>
        <v>lincRNA</v>
      </c>
    </row>
    <row r="1562" spans="1:9" x14ac:dyDescent="0.2">
      <c r="A1562" s="3" t="str">
        <f>"ENSG00000112494.10"</f>
        <v>ENSG00000112494.10</v>
      </c>
      <c r="B1562" s="3">
        <v>233.701632098831</v>
      </c>
      <c r="C1562" s="3">
        <v>-2.1457737064017102</v>
      </c>
      <c r="D1562" s="3">
        <v>0.35538416440778697</v>
      </c>
      <c r="E1562" s="3">
        <v>-6.0378990436375801</v>
      </c>
      <c r="F1562" s="4">
        <v>1.5613369323226201E-9</v>
      </c>
      <c r="G1562" s="4">
        <v>3.0901204195574698E-8</v>
      </c>
      <c r="H1562" s="3" t="str">
        <f>"UNC93A"</f>
        <v>UNC93A</v>
      </c>
      <c r="I1562" s="3" t="str">
        <f>"protein_coding"</f>
        <v>protein_coding</v>
      </c>
    </row>
    <row r="1563" spans="1:9" x14ac:dyDescent="0.2">
      <c r="A1563" s="3" t="str">
        <f>"ENSG00000203690.12"</f>
        <v>ENSG00000203690.12</v>
      </c>
      <c r="B1563" s="3">
        <v>28.628034387918099</v>
      </c>
      <c r="C1563" s="3">
        <v>-3.4778526349461201</v>
      </c>
      <c r="D1563" s="3">
        <v>0.78206976823190399</v>
      </c>
      <c r="E1563" s="3">
        <v>-4.4469851363885597</v>
      </c>
      <c r="F1563" s="4">
        <v>8.7083860897175396E-6</v>
      </c>
      <c r="G1563" s="4">
        <v>9.0520434746630101E-5</v>
      </c>
      <c r="H1563" s="3" t="str">
        <f>"TCP10"</f>
        <v>TCP10</v>
      </c>
      <c r="I1563" s="3" t="str">
        <f>"protein_coding"</f>
        <v>protein_coding</v>
      </c>
    </row>
    <row r="1564" spans="1:9" x14ac:dyDescent="0.2">
      <c r="A1564" s="3" t="str">
        <f>"ENSG00000272549.1"</f>
        <v>ENSG00000272549.1</v>
      </c>
      <c r="B1564" s="3">
        <v>33.8532416569414</v>
      </c>
      <c r="C1564" s="3">
        <v>-2.0875806780284898</v>
      </c>
      <c r="D1564" s="3">
        <v>0.63134079565886003</v>
      </c>
      <c r="E1564" s="3">
        <v>-3.3065828984643999</v>
      </c>
      <c r="F1564" s="3">
        <v>9.44414013250082E-4</v>
      </c>
      <c r="G1564" s="3">
        <v>5.8141787820131701E-3</v>
      </c>
      <c r="H1564" s="3" t="str">
        <f>"LINC02538"</f>
        <v>LINC02538</v>
      </c>
      <c r="I1564" s="3" t="str">
        <f>"lincRNA"</f>
        <v>lincRNA</v>
      </c>
    </row>
    <row r="1565" spans="1:9" x14ac:dyDescent="0.2">
      <c r="A1565" s="3" t="str">
        <f>"ENSG00000203688.5"</f>
        <v>ENSG00000203688.5</v>
      </c>
      <c r="B1565" s="3">
        <v>28.370415687509499</v>
      </c>
      <c r="C1565" s="3">
        <v>-1.9688603917545</v>
      </c>
      <c r="D1565" s="3">
        <v>0.73656508126687803</v>
      </c>
      <c r="E1565" s="3">
        <v>-2.6730297726958399</v>
      </c>
      <c r="F1565" s="3">
        <v>7.51695787249064E-3</v>
      </c>
      <c r="G1565" s="3">
        <v>3.3214311484718401E-2</v>
      </c>
      <c r="H1565" s="3" t="str">
        <f>"LINC02487"</f>
        <v>LINC02487</v>
      </c>
      <c r="I1565" s="3" t="str">
        <f>"lincRNA"</f>
        <v>lincRNA</v>
      </c>
    </row>
    <row r="1566" spans="1:9" x14ac:dyDescent="0.2">
      <c r="A1566" s="3" t="str">
        <f>"ENSG00000198221.8"</f>
        <v>ENSG00000198221.8</v>
      </c>
      <c r="B1566" s="3">
        <v>131.79861316117001</v>
      </c>
      <c r="C1566" s="3">
        <v>-1.37446010188201</v>
      </c>
      <c r="D1566" s="3">
        <v>0.37867105731331402</v>
      </c>
      <c r="E1566" s="3">
        <v>-3.6296940981807801</v>
      </c>
      <c r="F1566" s="3">
        <v>2.8375729442322803E-4</v>
      </c>
      <c r="G1566" s="3">
        <v>2.0399870652232899E-3</v>
      </c>
      <c r="H1566" s="3" t="str">
        <f>"AFDN-DT"</f>
        <v>AFDN-DT</v>
      </c>
      <c r="I1566" s="3" t="str">
        <f>"lincRNA"</f>
        <v>lincRNA</v>
      </c>
    </row>
    <row r="1567" spans="1:9" x14ac:dyDescent="0.2">
      <c r="A1567" s="3" t="str">
        <f>"ENSG00000153303.17"</f>
        <v>ENSG00000153303.17</v>
      </c>
      <c r="B1567" s="3">
        <v>23.149933402454501</v>
      </c>
      <c r="C1567" s="3">
        <v>3.4985906707719199</v>
      </c>
      <c r="D1567" s="3">
        <v>0.84821473311004103</v>
      </c>
      <c r="E1567" s="3">
        <v>4.1246520889163003</v>
      </c>
      <c r="F1567" s="4">
        <v>3.7129557753738801E-5</v>
      </c>
      <c r="G1567" s="3">
        <v>3.3512523333164602E-4</v>
      </c>
      <c r="H1567" s="3" t="str">
        <f>"FRMD1"</f>
        <v>FRMD1</v>
      </c>
      <c r="I1567" s="3" t="str">
        <f>"protein_coding"</f>
        <v>protein_coding</v>
      </c>
    </row>
    <row r="1568" spans="1:9" x14ac:dyDescent="0.2">
      <c r="A1568" s="3" t="str">
        <f>"ENSG00000224417.2"</f>
        <v>ENSG00000224417.2</v>
      </c>
      <c r="B1568" s="3">
        <v>372.30554863456803</v>
      </c>
      <c r="C1568" s="3">
        <v>-1.4555502731858001</v>
      </c>
      <c r="D1568" s="3">
        <v>0.31466547013893498</v>
      </c>
      <c r="E1568" s="3">
        <v>-4.6257070168618402</v>
      </c>
      <c r="F1568" s="4">
        <v>3.7332271235400402E-6</v>
      </c>
      <c r="G1568" s="4">
        <v>4.1998805139825403E-5</v>
      </c>
      <c r="H1568" s="3" t="str">
        <f>"AL606970.1"</f>
        <v>AL606970.1</v>
      </c>
      <c r="I1568" s="3" t="str">
        <f>"sense_intronic"</f>
        <v>sense_intronic</v>
      </c>
    </row>
    <row r="1569" spans="1:9" x14ac:dyDescent="0.2">
      <c r="A1569" s="3" t="str">
        <f>"ENSG00000233085.5"</f>
        <v>ENSG00000233085.5</v>
      </c>
      <c r="B1569" s="3">
        <v>76.877703142609604</v>
      </c>
      <c r="C1569" s="3">
        <v>-1.1120932704372399</v>
      </c>
      <c r="D1569" s="3">
        <v>0.43863030880742898</v>
      </c>
      <c r="E1569" s="3">
        <v>-2.53537716867049</v>
      </c>
      <c r="F1569" s="3">
        <v>1.12326313324803E-2</v>
      </c>
      <c r="G1569" s="3">
        <v>4.6526731626633198E-2</v>
      </c>
      <c r="H1569" s="3" t="str">
        <f>"BX322234.2"</f>
        <v>BX322234.2</v>
      </c>
      <c r="I1569" s="3" t="str">
        <f>"lincRNA"</f>
        <v>lincRNA</v>
      </c>
    </row>
    <row r="1570" spans="1:9" x14ac:dyDescent="0.2">
      <c r="A1570" s="3" t="str">
        <f>"ENSG00000232640.1"</f>
        <v>ENSG00000232640.1</v>
      </c>
      <c r="B1570" s="3">
        <v>122.34589911881</v>
      </c>
      <c r="C1570" s="3">
        <v>1.6895787229020101</v>
      </c>
      <c r="D1570" s="3">
        <v>0.38621138222671603</v>
      </c>
      <c r="E1570" s="3">
        <v>4.3747512389735297</v>
      </c>
      <c r="F1570" s="4">
        <v>1.21571034067222E-5</v>
      </c>
      <c r="G1570" s="3">
        <v>1.2178890330390199E-4</v>
      </c>
      <c r="H1570" s="3" t="str">
        <f>"AL354892.2"</f>
        <v>AL354892.2</v>
      </c>
      <c r="I1570" s="3" t="str">
        <f>"antisense"</f>
        <v>antisense</v>
      </c>
    </row>
    <row r="1571" spans="1:9" x14ac:dyDescent="0.2">
      <c r="A1571" s="3" t="str">
        <f>"ENSG00000130023.16"</f>
        <v>ENSG00000130023.16</v>
      </c>
      <c r="B1571" s="3">
        <v>511.43607840559503</v>
      </c>
      <c r="C1571" s="3">
        <v>1.0997007885443499</v>
      </c>
      <c r="D1571" s="3">
        <v>0.28028014564231402</v>
      </c>
      <c r="E1571" s="3">
        <v>3.9235771981785699</v>
      </c>
      <c r="F1571" s="4">
        <v>8.7243791775189403E-5</v>
      </c>
      <c r="G1571" s="3">
        <v>7.1954674823111102E-4</v>
      </c>
      <c r="H1571" s="3" t="str">
        <f>"ERMARD"</f>
        <v>ERMARD</v>
      </c>
      <c r="I1571" s="3" t="str">
        <f t="shared" ref="I1571:I1576" si="66">"protein_coding"</f>
        <v>protein_coding</v>
      </c>
    </row>
    <row r="1572" spans="1:9" x14ac:dyDescent="0.2">
      <c r="A1572" s="3" t="str">
        <f>"ENSG00000177706.9"</f>
        <v>ENSG00000177706.9</v>
      </c>
      <c r="B1572" s="3">
        <v>220.876714648541</v>
      </c>
      <c r="C1572" s="3">
        <v>2.1837493722148098</v>
      </c>
      <c r="D1572" s="3">
        <v>0.36229955860473401</v>
      </c>
      <c r="E1572" s="3">
        <v>6.0274690386726704</v>
      </c>
      <c r="F1572" s="4">
        <v>1.66547142687497E-9</v>
      </c>
      <c r="G1572" s="4">
        <v>3.27535092157179E-8</v>
      </c>
      <c r="H1572" s="3" t="str">
        <f>"FAM20C"</f>
        <v>FAM20C</v>
      </c>
      <c r="I1572" s="3" t="str">
        <f t="shared" si="66"/>
        <v>protein_coding</v>
      </c>
    </row>
    <row r="1573" spans="1:9" x14ac:dyDescent="0.2">
      <c r="A1573" s="3" t="str">
        <f>"ENSG00000239857.7"</f>
        <v>ENSG00000239857.7</v>
      </c>
      <c r="B1573" s="3">
        <v>493.83528745806001</v>
      </c>
      <c r="C1573" s="3">
        <v>1.0122344972922299</v>
      </c>
      <c r="D1573" s="3">
        <v>0.36201203520999298</v>
      </c>
      <c r="E1573" s="3">
        <v>2.7961349315501698</v>
      </c>
      <c r="F1573" s="3">
        <v>5.1717803208043396E-3</v>
      </c>
      <c r="G1573" s="3">
        <v>2.43877967110156E-2</v>
      </c>
      <c r="H1573" s="3" t="str">
        <f>"GET4"</f>
        <v>GET4</v>
      </c>
      <c r="I1573" s="3" t="str">
        <f t="shared" si="66"/>
        <v>protein_coding</v>
      </c>
    </row>
    <row r="1574" spans="1:9" x14ac:dyDescent="0.2">
      <c r="A1574" s="3" t="str">
        <f>"ENSG00000105963.15"</f>
        <v>ENSG00000105963.15</v>
      </c>
      <c r="B1574" s="3">
        <v>93.284876479195205</v>
      </c>
      <c r="C1574" s="3">
        <v>2.1688226569971598</v>
      </c>
      <c r="D1574" s="3">
        <v>0.44543508457062198</v>
      </c>
      <c r="E1574" s="3">
        <v>4.8689982718532399</v>
      </c>
      <c r="F1574" s="4">
        <v>1.1216538858066201E-6</v>
      </c>
      <c r="G1574" s="4">
        <v>1.38581549594624E-5</v>
      </c>
      <c r="H1574" s="3" t="str">
        <f>"ADAP1"</f>
        <v>ADAP1</v>
      </c>
      <c r="I1574" s="3" t="str">
        <f t="shared" si="66"/>
        <v>protein_coding</v>
      </c>
    </row>
    <row r="1575" spans="1:9" x14ac:dyDescent="0.2">
      <c r="A1575" s="3" t="str">
        <f>"ENSG00000073067.14"</f>
        <v>ENSG00000073067.14</v>
      </c>
      <c r="B1575" s="3">
        <v>378.89529383818302</v>
      </c>
      <c r="C1575" s="3">
        <v>1.38127411443727</v>
      </c>
      <c r="D1575" s="3">
        <v>0.316882726468252</v>
      </c>
      <c r="E1575" s="3">
        <v>4.3589441741806496</v>
      </c>
      <c r="F1575" s="4">
        <v>1.30691443181237E-5</v>
      </c>
      <c r="G1575" s="3">
        <v>1.2983978093301799E-4</v>
      </c>
      <c r="H1575" s="3" t="str">
        <f>"CYP2W1"</f>
        <v>CYP2W1</v>
      </c>
      <c r="I1575" s="3" t="str">
        <f t="shared" si="66"/>
        <v>protein_coding</v>
      </c>
    </row>
    <row r="1576" spans="1:9" x14ac:dyDescent="0.2">
      <c r="A1576" s="3" t="str">
        <f>"ENSG00000146540.15"</f>
        <v>ENSG00000146540.15</v>
      </c>
      <c r="B1576" s="3">
        <v>1110.2198762990699</v>
      </c>
      <c r="C1576" s="3">
        <v>1.7404765075829101</v>
      </c>
      <c r="D1576" s="3">
        <v>0.30548588097715601</v>
      </c>
      <c r="E1576" s="3">
        <v>5.6974040895626699</v>
      </c>
      <c r="F1576" s="4">
        <v>1.2164537272109299E-8</v>
      </c>
      <c r="G1576" s="4">
        <v>2.12057474067851E-7</v>
      </c>
      <c r="H1576" s="3" t="str">
        <f>"C7orf50"</f>
        <v>C7orf50</v>
      </c>
      <c r="I1576" s="3" t="str">
        <f t="shared" si="66"/>
        <v>protein_coding</v>
      </c>
    </row>
    <row r="1577" spans="1:9" x14ac:dyDescent="0.2">
      <c r="A1577" s="3" t="str">
        <f>"ENSG00000257607.1"</f>
        <v>ENSG00000257607.1</v>
      </c>
      <c r="B1577" s="3">
        <v>100.971772319491</v>
      </c>
      <c r="C1577" s="3">
        <v>2.7625699754811701</v>
      </c>
      <c r="D1577" s="3">
        <v>0.46093825273556999</v>
      </c>
      <c r="E1577" s="3">
        <v>5.9933623627154198</v>
      </c>
      <c r="F1577" s="4">
        <v>2.05546138487521E-9</v>
      </c>
      <c r="G1577" s="4">
        <v>3.9834461584388203E-8</v>
      </c>
      <c r="H1577" s="3" t="str">
        <f>"AC073957.2"</f>
        <v>AC073957.2</v>
      </c>
      <c r="I1577" s="3" t="str">
        <f>"antisense"</f>
        <v>antisense</v>
      </c>
    </row>
    <row r="1578" spans="1:9" x14ac:dyDescent="0.2">
      <c r="A1578" s="3" t="str">
        <f>"ENSG00000164850.15"</f>
        <v>ENSG00000164850.15</v>
      </c>
      <c r="B1578" s="3">
        <v>476.95303667496103</v>
      </c>
      <c r="C1578" s="3">
        <v>-2.1388264790276699</v>
      </c>
      <c r="D1578" s="3">
        <v>0.34894023422792497</v>
      </c>
      <c r="E1578" s="3">
        <v>-6.1294923004797504</v>
      </c>
      <c r="F1578" s="4">
        <v>8.8159941173200897E-10</v>
      </c>
      <c r="G1578" s="4">
        <v>1.8118164380815901E-8</v>
      </c>
      <c r="H1578" s="3" t="str">
        <f>"GPER1"</f>
        <v>GPER1</v>
      </c>
      <c r="I1578" s="3" t="str">
        <f>"protein_coding"</f>
        <v>protein_coding</v>
      </c>
    </row>
    <row r="1579" spans="1:9" x14ac:dyDescent="0.2">
      <c r="A1579" s="3" t="str">
        <f>"ENSG00000164877.19"</f>
        <v>ENSG00000164877.19</v>
      </c>
      <c r="B1579" s="3">
        <v>744.77221494444098</v>
      </c>
      <c r="C1579" s="3">
        <v>2.5916357817911302</v>
      </c>
      <c r="D1579" s="3">
        <v>0.32576224013029098</v>
      </c>
      <c r="E1579" s="3">
        <v>7.9556052314552899</v>
      </c>
      <c r="F1579" s="4">
        <v>1.7825793528384399E-15</v>
      </c>
      <c r="G1579" s="4">
        <v>6.7735322689804998E-14</v>
      </c>
      <c r="H1579" s="3" t="str">
        <f>"MICALL2"</f>
        <v>MICALL2</v>
      </c>
      <c r="I1579" s="3" t="str">
        <f>"protein_coding"</f>
        <v>protein_coding</v>
      </c>
    </row>
    <row r="1580" spans="1:9" x14ac:dyDescent="0.2">
      <c r="A1580" s="3" t="str">
        <f>"ENSG00000225981.1"</f>
        <v>ENSG00000225981.1</v>
      </c>
      <c r="B1580" s="3">
        <v>29.2304990598529</v>
      </c>
      <c r="C1580" s="3">
        <v>3.6474051968406598</v>
      </c>
      <c r="D1580" s="3">
        <v>0.77728472220915801</v>
      </c>
      <c r="E1580" s="3">
        <v>4.6924956745247703</v>
      </c>
      <c r="F1580" s="4">
        <v>2.69892243226843E-6</v>
      </c>
      <c r="G1580" s="4">
        <v>3.1014798439338698E-5</v>
      </c>
      <c r="H1580" s="3" t="str">
        <f>"AC102953.1"</f>
        <v>AC102953.1</v>
      </c>
      <c r="I1580" s="3" t="str">
        <f>"antisense"</f>
        <v>antisense</v>
      </c>
    </row>
    <row r="1581" spans="1:9" x14ac:dyDescent="0.2">
      <c r="A1581" s="3" t="str">
        <f>"ENSG00000225968.7"</f>
        <v>ENSG00000225968.7</v>
      </c>
      <c r="B1581" s="3">
        <v>258.07064107962702</v>
      </c>
      <c r="C1581" s="3">
        <v>2.81623258088135</v>
      </c>
      <c r="D1581" s="3">
        <v>0.37955941699671297</v>
      </c>
      <c r="E1581" s="3">
        <v>7.4197410333405998</v>
      </c>
      <c r="F1581" s="4">
        <v>1.1734955590890101E-13</v>
      </c>
      <c r="G1581" s="4">
        <v>3.76041793488968E-12</v>
      </c>
      <c r="H1581" s="3" t="str">
        <f>"ELFN1"</f>
        <v>ELFN1</v>
      </c>
      <c r="I1581" s="3" t="str">
        <f t="shared" ref="I1581:I1586" si="67">"protein_coding"</f>
        <v>protein_coding</v>
      </c>
    </row>
    <row r="1582" spans="1:9" x14ac:dyDescent="0.2">
      <c r="A1582" s="3" t="str">
        <f>"ENSG00000106263.18"</f>
        <v>ENSG00000106263.18</v>
      </c>
      <c r="B1582" s="3">
        <v>10368.392833660801</v>
      </c>
      <c r="C1582" s="3">
        <v>-1.0334183103925001</v>
      </c>
      <c r="D1582" s="3">
        <v>0.26172457781729802</v>
      </c>
      <c r="E1582" s="3">
        <v>-3.94849547188457</v>
      </c>
      <c r="F1582" s="4">
        <v>7.8643903333976305E-5</v>
      </c>
      <c r="G1582" s="3">
        <v>6.5636608771273196E-4</v>
      </c>
      <c r="H1582" s="3" t="str">
        <f>"EIF3B"</f>
        <v>EIF3B</v>
      </c>
      <c r="I1582" s="3" t="str">
        <f t="shared" si="67"/>
        <v>protein_coding</v>
      </c>
    </row>
    <row r="1583" spans="1:9" x14ac:dyDescent="0.2">
      <c r="A1583" s="3" t="str">
        <f>"ENSG00000136295.15"</f>
        <v>ENSG00000136295.15</v>
      </c>
      <c r="B1583" s="3">
        <v>12956.103026820099</v>
      </c>
      <c r="C1583" s="3">
        <v>2.6705346780953101</v>
      </c>
      <c r="D1583" s="3">
        <v>0.300550449294475</v>
      </c>
      <c r="E1583" s="3">
        <v>8.8854789083304695</v>
      </c>
      <c r="F1583" s="4">
        <v>6.3646001874943099E-19</v>
      </c>
      <c r="G1583" s="4">
        <v>3.1766174150083197E-17</v>
      </c>
      <c r="H1583" s="3" t="str">
        <f>"TTYH3"</f>
        <v>TTYH3</v>
      </c>
      <c r="I1583" s="3" t="str">
        <f t="shared" si="67"/>
        <v>protein_coding</v>
      </c>
    </row>
    <row r="1584" spans="1:9" x14ac:dyDescent="0.2">
      <c r="A1584" s="3" t="str">
        <f>"ENSG00000157927.16"</f>
        <v>ENSG00000157927.16</v>
      </c>
      <c r="B1584" s="3">
        <v>95.075637230692607</v>
      </c>
      <c r="C1584" s="3">
        <v>2.76370623759323</v>
      </c>
      <c r="D1584" s="3">
        <v>0.46602256855292601</v>
      </c>
      <c r="E1584" s="3">
        <v>5.9304128685762496</v>
      </c>
      <c r="F1584" s="4">
        <v>3.0217389995880798E-9</v>
      </c>
      <c r="G1584" s="4">
        <v>5.73674298374628E-8</v>
      </c>
      <c r="H1584" s="3" t="str">
        <f>"RADIL"</f>
        <v>RADIL</v>
      </c>
      <c r="I1584" s="3" t="str">
        <f t="shared" si="67"/>
        <v>protein_coding</v>
      </c>
    </row>
    <row r="1585" spans="1:9" x14ac:dyDescent="0.2">
      <c r="A1585" s="3" t="str">
        <f>"ENSG00000164638.10"</f>
        <v>ENSG00000164638.10</v>
      </c>
      <c r="B1585" s="3">
        <v>1147.93271419946</v>
      </c>
      <c r="C1585" s="3">
        <v>-1.6060592190873899</v>
      </c>
      <c r="D1585" s="3">
        <v>0.32248239609838297</v>
      </c>
      <c r="E1585" s="3">
        <v>-4.98030043970964</v>
      </c>
      <c r="F1585" s="4">
        <v>6.3485637543862795E-7</v>
      </c>
      <c r="G1585" s="4">
        <v>8.27451405396823E-6</v>
      </c>
      <c r="H1585" s="3" t="str">
        <f>"SLC29A4"</f>
        <v>SLC29A4</v>
      </c>
      <c r="I1585" s="3" t="str">
        <f t="shared" si="67"/>
        <v>protein_coding</v>
      </c>
    </row>
    <row r="1586" spans="1:9" x14ac:dyDescent="0.2">
      <c r="A1586" s="3" t="str">
        <f>"ENSG00000182095.14"</f>
        <v>ENSG00000182095.14</v>
      </c>
      <c r="B1586" s="3">
        <v>7142.6480227687598</v>
      </c>
      <c r="C1586" s="3">
        <v>-1.2201029002959201</v>
      </c>
      <c r="D1586" s="3">
        <v>0.28488286996457501</v>
      </c>
      <c r="E1586" s="3">
        <v>-4.2828229736931398</v>
      </c>
      <c r="F1586" s="4">
        <v>1.84536987832359E-5</v>
      </c>
      <c r="G1586" s="3">
        <v>1.78402303186894E-4</v>
      </c>
      <c r="H1586" s="3" t="str">
        <f>"TNRC18"</f>
        <v>TNRC18</v>
      </c>
      <c r="I1586" s="3" t="str">
        <f t="shared" si="67"/>
        <v>protein_coding</v>
      </c>
    </row>
    <row r="1587" spans="1:9" x14ac:dyDescent="0.2">
      <c r="A1587" s="3" t="str">
        <f>"ENSG00000273084.1"</f>
        <v>ENSG00000273084.1</v>
      </c>
      <c r="B1587" s="3">
        <v>396.27099397806302</v>
      </c>
      <c r="C1587" s="3">
        <v>1.0034113155374</v>
      </c>
      <c r="D1587" s="3">
        <v>0.30167650115329803</v>
      </c>
      <c r="E1587" s="3">
        <v>3.3261169222706899</v>
      </c>
      <c r="F1587" s="3">
        <v>8.8064978982402102E-4</v>
      </c>
      <c r="G1587" s="3">
        <v>5.4833528373819896E-3</v>
      </c>
      <c r="H1587" s="3" t="str">
        <f>"AC092171.5"</f>
        <v>AC092171.5</v>
      </c>
      <c r="I1587" s="3" t="str">
        <f>"lincRNA"</f>
        <v>lincRNA</v>
      </c>
    </row>
    <row r="1588" spans="1:9" x14ac:dyDescent="0.2">
      <c r="A1588" s="3" t="str">
        <f>"ENSG00000075624.15"</f>
        <v>ENSG00000075624.15</v>
      </c>
      <c r="B1588" s="3">
        <v>74695.520389013793</v>
      </c>
      <c r="C1588" s="3">
        <v>-1.2204736483252701</v>
      </c>
      <c r="D1588" s="3">
        <v>0.26145550087490099</v>
      </c>
      <c r="E1588" s="3">
        <v>-4.6679975913347898</v>
      </c>
      <c r="F1588" s="4">
        <v>3.0414946510064902E-6</v>
      </c>
      <c r="G1588" s="4">
        <v>3.4666424080683401E-5</v>
      </c>
      <c r="H1588" s="3" t="str">
        <f>"ACTB"</f>
        <v>ACTB</v>
      </c>
      <c r="I1588" s="3" t="str">
        <f>"protein_coding"</f>
        <v>protein_coding</v>
      </c>
    </row>
    <row r="1589" spans="1:9" x14ac:dyDescent="0.2">
      <c r="A1589" s="3" t="str">
        <f>"ENSG00000106305.10"</f>
        <v>ENSG00000106305.10</v>
      </c>
      <c r="B1589" s="3">
        <v>2035.4524697427</v>
      </c>
      <c r="C1589" s="3">
        <v>-1.0656959484608299</v>
      </c>
      <c r="D1589" s="3">
        <v>0.27570352925751102</v>
      </c>
      <c r="E1589" s="3">
        <v>-3.86536926578643</v>
      </c>
      <c r="F1589" s="3">
        <v>1.1092125160888101E-4</v>
      </c>
      <c r="G1589" s="3">
        <v>8.9087614438742202E-4</v>
      </c>
      <c r="H1589" s="3" t="str">
        <f>"AIMP2"</f>
        <v>AIMP2</v>
      </c>
      <c r="I1589" s="3" t="str">
        <f>"protein_coding"</f>
        <v>protein_coding</v>
      </c>
    </row>
    <row r="1590" spans="1:9" x14ac:dyDescent="0.2">
      <c r="A1590" s="3" t="str">
        <f>"ENSG00000136240.10"</f>
        <v>ENSG00000136240.10</v>
      </c>
      <c r="B1590" s="3">
        <v>7125.3497398875397</v>
      </c>
      <c r="C1590" s="3">
        <v>-1.2087364181087299</v>
      </c>
      <c r="D1590" s="3">
        <v>0.252181072009664</v>
      </c>
      <c r="E1590" s="3">
        <v>-4.7931290341346902</v>
      </c>
      <c r="F1590" s="4">
        <v>1.64199938233586E-6</v>
      </c>
      <c r="G1590" s="4">
        <v>1.9584871722455499E-5</v>
      </c>
      <c r="H1590" s="3" t="str">
        <f>"KDELR2"</f>
        <v>KDELR2</v>
      </c>
      <c r="I1590" s="3" t="str">
        <f>"protein_coding"</f>
        <v>protein_coding</v>
      </c>
    </row>
    <row r="1591" spans="1:9" x14ac:dyDescent="0.2">
      <c r="A1591" s="3" t="str">
        <f>"ENSG00000236609.4"</f>
        <v>ENSG00000236609.4</v>
      </c>
      <c r="B1591" s="3">
        <v>388.50918179503401</v>
      </c>
      <c r="C1591" s="3">
        <v>-1.13367117615418</v>
      </c>
      <c r="D1591" s="3">
        <v>0.34378557068978999</v>
      </c>
      <c r="E1591" s="3">
        <v>-3.2976112810072902</v>
      </c>
      <c r="F1591" s="3">
        <v>9.7511026407833099E-4</v>
      </c>
      <c r="G1591" s="3">
        <v>5.97100747149231E-3</v>
      </c>
      <c r="H1591" s="3" t="str">
        <f>"ZNF853"</f>
        <v>ZNF853</v>
      </c>
      <c r="I1591" s="3" t="str">
        <f>"protein_coding"</f>
        <v>protein_coding</v>
      </c>
    </row>
    <row r="1592" spans="1:9" x14ac:dyDescent="0.2">
      <c r="A1592" s="3" t="str">
        <f>"ENSG00000205897.5"</f>
        <v>ENSG00000205897.5</v>
      </c>
      <c r="B1592" s="3">
        <v>14.0657053871427</v>
      </c>
      <c r="C1592" s="3">
        <v>-4.73503085851927</v>
      </c>
      <c r="D1592" s="3">
        <v>1.3342711886926399</v>
      </c>
      <c r="E1592" s="3">
        <v>-3.5487769642682601</v>
      </c>
      <c r="F1592" s="3">
        <v>3.8702474526282202E-4</v>
      </c>
      <c r="G1592" s="3">
        <v>2.6746174360127201E-3</v>
      </c>
      <c r="H1592" s="3" t="str">
        <f>"OR7E136P"</f>
        <v>OR7E136P</v>
      </c>
      <c r="I1592" s="3" t="str">
        <f>"unprocessed_pseudogene"</f>
        <v>unprocessed_pseudogene</v>
      </c>
    </row>
    <row r="1593" spans="1:9" x14ac:dyDescent="0.2">
      <c r="A1593" s="3" t="str">
        <f>"ENSG00000250561.2"</f>
        <v>ENSG00000250561.2</v>
      </c>
      <c r="B1593" s="3">
        <v>12.078242989041099</v>
      </c>
      <c r="C1593" s="3">
        <v>-6.9837350491855403</v>
      </c>
      <c r="D1593" s="3">
        <v>1.70907014899411</v>
      </c>
      <c r="E1593" s="3">
        <v>-4.0862775897735197</v>
      </c>
      <c r="F1593" s="4">
        <v>4.3834928921076901E-5</v>
      </c>
      <c r="G1593" s="3">
        <v>3.8922260395682698E-4</v>
      </c>
      <c r="H1593" s="3" t="str">
        <f>"OR7E59P"</f>
        <v>OR7E59P</v>
      </c>
      <c r="I1593" s="3" t="str">
        <f>"unprocessed_pseudogene"</f>
        <v>unprocessed_pseudogene</v>
      </c>
    </row>
    <row r="1594" spans="1:9" x14ac:dyDescent="0.2">
      <c r="A1594" s="3" t="str">
        <f>"ENSG00000106392.10"</f>
        <v>ENSG00000106392.10</v>
      </c>
      <c r="B1594" s="3">
        <v>6636.7750441042499</v>
      </c>
      <c r="C1594" s="3">
        <v>-1.10154301426479</v>
      </c>
      <c r="D1594" s="3">
        <v>0.24853498535490601</v>
      </c>
      <c r="E1594" s="3">
        <v>-4.43214468454733</v>
      </c>
      <c r="F1594" s="4">
        <v>9.3300373603702098E-6</v>
      </c>
      <c r="G1594" s="4">
        <v>9.6305740582729806E-5</v>
      </c>
      <c r="H1594" s="3" t="str">
        <f>"C1GALT1"</f>
        <v>C1GALT1</v>
      </c>
      <c r="I1594" s="3" t="str">
        <f>"protein_coding"</f>
        <v>protein_coding</v>
      </c>
    </row>
    <row r="1595" spans="1:9" x14ac:dyDescent="0.2">
      <c r="A1595" s="3" t="str">
        <f>"ENSG00000244167.1"</f>
        <v>ENSG00000244167.1</v>
      </c>
      <c r="B1595" s="3">
        <v>105.695146435921</v>
      </c>
      <c r="C1595" s="3">
        <v>-2.3773369731396699</v>
      </c>
      <c r="D1595" s="3">
        <v>0.409361209576312</v>
      </c>
      <c r="E1595" s="3">
        <v>-5.8074309864391296</v>
      </c>
      <c r="F1595" s="4">
        <v>6.3438686871280803E-9</v>
      </c>
      <c r="G1595" s="4">
        <v>1.15470345025113E-7</v>
      </c>
      <c r="H1595" s="3" t="str">
        <f>"AC005532.2"</f>
        <v>AC005532.2</v>
      </c>
      <c r="I1595" s="3" t="str">
        <f>"processed_pseudogene"</f>
        <v>processed_pseudogene</v>
      </c>
    </row>
    <row r="1596" spans="1:9" x14ac:dyDescent="0.2">
      <c r="A1596" s="3" t="str">
        <f>"ENSG00000215018.9"</f>
        <v>ENSG00000215018.9</v>
      </c>
      <c r="B1596" s="3">
        <v>90.259835375404194</v>
      </c>
      <c r="C1596" s="3">
        <v>-1.3105493592072199</v>
      </c>
      <c r="D1596" s="3">
        <v>0.431031260691009</v>
      </c>
      <c r="E1596" s="3">
        <v>-3.04049724167617</v>
      </c>
      <c r="F1596" s="3">
        <v>2.3618785502811401E-3</v>
      </c>
      <c r="G1596" s="3">
        <v>1.26169154666218E-2</v>
      </c>
      <c r="H1596" s="3" t="str">
        <f>"COL28A1"</f>
        <v>COL28A1</v>
      </c>
      <c r="I1596" s="3" t="str">
        <f>"protein_coding"</f>
        <v>protein_coding</v>
      </c>
    </row>
    <row r="1597" spans="1:9" x14ac:dyDescent="0.2">
      <c r="A1597" s="3" t="str">
        <f>"ENSG00000164654.16"</f>
        <v>ENSG00000164654.16</v>
      </c>
      <c r="B1597" s="3">
        <v>915.77695636067403</v>
      </c>
      <c r="C1597" s="3">
        <v>-1.08969084317572</v>
      </c>
      <c r="D1597" s="3">
        <v>0.30716892216122899</v>
      </c>
      <c r="E1597" s="3">
        <v>-3.5475295987259901</v>
      </c>
      <c r="F1597" s="3">
        <v>3.8886205533422702E-4</v>
      </c>
      <c r="G1597" s="3">
        <v>2.6851015651749902E-3</v>
      </c>
      <c r="H1597" s="3" t="str">
        <f>"MIOS"</f>
        <v>MIOS</v>
      </c>
      <c r="I1597" s="3" t="str">
        <f>"protein_coding"</f>
        <v>protein_coding</v>
      </c>
    </row>
    <row r="1598" spans="1:9" x14ac:dyDescent="0.2">
      <c r="A1598" s="3" t="str">
        <f>"ENSG00000106415.13"</f>
        <v>ENSG00000106415.13</v>
      </c>
      <c r="B1598" s="3">
        <v>787.94538735979404</v>
      </c>
      <c r="C1598" s="3">
        <v>-1.95139811927114</v>
      </c>
      <c r="D1598" s="3">
        <v>0.25945704462064301</v>
      </c>
      <c r="E1598" s="3">
        <v>-7.5210835848543303</v>
      </c>
      <c r="F1598" s="4">
        <v>5.4324103865522498E-14</v>
      </c>
      <c r="G1598" s="4">
        <v>1.7793266051265901E-12</v>
      </c>
      <c r="H1598" s="3" t="str">
        <f>"GLCCI1"</f>
        <v>GLCCI1</v>
      </c>
      <c r="I1598" s="3" t="str">
        <f>"protein_coding"</f>
        <v>protein_coding</v>
      </c>
    </row>
    <row r="1599" spans="1:9" x14ac:dyDescent="0.2">
      <c r="A1599" s="3" t="str">
        <f>"ENSG00000233264.2"</f>
        <v>ENSG00000233264.2</v>
      </c>
      <c r="B1599" s="3">
        <v>99.383940964440001</v>
      </c>
      <c r="C1599" s="3">
        <v>-1.7385038536609201</v>
      </c>
      <c r="D1599" s="3">
        <v>0.44332764243734601</v>
      </c>
      <c r="E1599" s="3">
        <v>-3.9214876024939298</v>
      </c>
      <c r="F1599" s="4">
        <v>8.8003977061815004E-5</v>
      </c>
      <c r="G1599" s="3">
        <v>7.2534077424310495E-4</v>
      </c>
      <c r="H1599" s="3" t="str">
        <f>"AC006042.3"</f>
        <v>AC006042.3</v>
      </c>
      <c r="I1599" s="3" t="str">
        <f>"processed_pseudogene"</f>
        <v>processed_pseudogene</v>
      </c>
    </row>
    <row r="1600" spans="1:9" x14ac:dyDescent="0.2">
      <c r="A1600" s="3" t="str">
        <f>"ENSG00000106460.19"</f>
        <v>ENSG00000106460.19</v>
      </c>
      <c r="B1600" s="3">
        <v>1490.1511430241701</v>
      </c>
      <c r="C1600" s="3">
        <v>1.00051988806433</v>
      </c>
      <c r="D1600" s="3">
        <v>0.26119684151152001</v>
      </c>
      <c r="E1600" s="3">
        <v>3.8305206229693201</v>
      </c>
      <c r="F1600" s="3">
        <v>1.27872414935244E-4</v>
      </c>
      <c r="G1600" s="3">
        <v>1.00866434546757E-3</v>
      </c>
      <c r="H1600" s="3" t="str">
        <f>"TMEM106B"</f>
        <v>TMEM106B</v>
      </c>
      <c r="I1600" s="3" t="str">
        <f t="shared" ref="I1600:I1608" si="68">"protein_coding"</f>
        <v>protein_coding</v>
      </c>
    </row>
    <row r="1601" spans="1:9" x14ac:dyDescent="0.2">
      <c r="A1601" s="3" t="str">
        <f>"ENSG00000006468.14"</f>
        <v>ENSG00000006468.14</v>
      </c>
      <c r="B1601" s="3">
        <v>28.323769497323202</v>
      </c>
      <c r="C1601" s="3">
        <v>-3.67301083822835</v>
      </c>
      <c r="D1601" s="3">
        <v>0.79353428645035495</v>
      </c>
      <c r="E1601" s="3">
        <v>-4.6286731410919799</v>
      </c>
      <c r="F1601" s="4">
        <v>3.6801609972563399E-6</v>
      </c>
      <c r="G1601" s="4">
        <v>4.1420335519455501E-5</v>
      </c>
      <c r="H1601" s="3" t="str">
        <f>"ETV1"</f>
        <v>ETV1</v>
      </c>
      <c r="I1601" s="3" t="str">
        <f t="shared" si="68"/>
        <v>protein_coding</v>
      </c>
    </row>
    <row r="1602" spans="1:9" x14ac:dyDescent="0.2">
      <c r="A1602" s="3" t="str">
        <f>"ENSG00000214960.10"</f>
        <v>ENSG00000214960.10</v>
      </c>
      <c r="B1602" s="3">
        <v>114.674245802679</v>
      </c>
      <c r="C1602" s="3">
        <v>2.0336936864503001</v>
      </c>
      <c r="D1602" s="3">
        <v>0.39349674026878301</v>
      </c>
      <c r="E1602" s="3">
        <v>5.1682605682099503</v>
      </c>
      <c r="F1602" s="4">
        <v>2.3628273686265199E-7</v>
      </c>
      <c r="G1602" s="4">
        <v>3.32594464941846E-6</v>
      </c>
      <c r="H1602" s="3" t="str">
        <f>"ISPD"</f>
        <v>ISPD</v>
      </c>
      <c r="I1602" s="3" t="str">
        <f t="shared" si="68"/>
        <v>protein_coding</v>
      </c>
    </row>
    <row r="1603" spans="1:9" x14ac:dyDescent="0.2">
      <c r="A1603" s="3" t="str">
        <f>"ENSG00000136261.15"</f>
        <v>ENSG00000136261.15</v>
      </c>
      <c r="B1603" s="3">
        <v>2040.8985320859899</v>
      </c>
      <c r="C1603" s="3">
        <v>-1.00203150493987</v>
      </c>
      <c r="D1603" s="3">
        <v>0.25454614652207802</v>
      </c>
      <c r="E1603" s="3">
        <v>-3.93654163942711</v>
      </c>
      <c r="F1603" s="4">
        <v>8.2664282301127102E-5</v>
      </c>
      <c r="G1603" s="3">
        <v>6.8514662974789205E-4</v>
      </c>
      <c r="H1603" s="3" t="str">
        <f>"BZW2"</f>
        <v>BZW2</v>
      </c>
      <c r="I1603" s="3" t="str">
        <f t="shared" si="68"/>
        <v>protein_coding</v>
      </c>
    </row>
    <row r="1604" spans="1:9" x14ac:dyDescent="0.2">
      <c r="A1604" s="3" t="str">
        <f>"ENSG00000106537.8"</f>
        <v>ENSG00000106537.8</v>
      </c>
      <c r="B1604" s="3">
        <v>392.22912664341402</v>
      </c>
      <c r="C1604" s="3">
        <v>-2.4179781335039201</v>
      </c>
      <c r="D1604" s="3">
        <v>0.30491282369183398</v>
      </c>
      <c r="E1604" s="3">
        <v>-7.9300637612660596</v>
      </c>
      <c r="F1604" s="4">
        <v>2.1903339850577E-15</v>
      </c>
      <c r="G1604" s="4">
        <v>8.2481813464261001E-14</v>
      </c>
      <c r="H1604" s="3" t="str">
        <f>"TSPAN13"</f>
        <v>TSPAN13</v>
      </c>
      <c r="I1604" s="3" t="str">
        <f t="shared" si="68"/>
        <v>protein_coding</v>
      </c>
    </row>
    <row r="1605" spans="1:9" x14ac:dyDescent="0.2">
      <c r="A1605" s="3" t="str">
        <f>"ENSG00000106541.12"</f>
        <v>ENSG00000106541.12</v>
      </c>
      <c r="B1605" s="3">
        <v>29.9608339484022</v>
      </c>
      <c r="C1605" s="3">
        <v>-1.71085540131576</v>
      </c>
      <c r="D1605" s="3">
        <v>0.66923151251621504</v>
      </c>
      <c r="E1605" s="3">
        <v>-2.5564477603321301</v>
      </c>
      <c r="F1605" s="3">
        <v>1.05746947841502E-2</v>
      </c>
      <c r="G1605" s="3">
        <v>4.4253276874945797E-2</v>
      </c>
      <c r="H1605" s="3" t="str">
        <f>"AGR2"</f>
        <v>AGR2</v>
      </c>
      <c r="I1605" s="3" t="str">
        <f t="shared" si="68"/>
        <v>protein_coding</v>
      </c>
    </row>
    <row r="1606" spans="1:9" x14ac:dyDescent="0.2">
      <c r="A1606" s="3" t="str">
        <f>"ENSG00000106546.14"</f>
        <v>ENSG00000106546.14</v>
      </c>
      <c r="B1606" s="3">
        <v>2579.4931336908598</v>
      </c>
      <c r="C1606" s="3">
        <v>1.1238219272443599</v>
      </c>
      <c r="D1606" s="3">
        <v>0.25930431768029899</v>
      </c>
      <c r="E1606" s="3">
        <v>4.3339884861845599</v>
      </c>
      <c r="F1606" s="4">
        <v>1.46431836559292E-5</v>
      </c>
      <c r="G1606" s="3">
        <v>1.4439407481963901E-4</v>
      </c>
      <c r="H1606" s="3" t="str">
        <f>"AHR"</f>
        <v>AHR</v>
      </c>
      <c r="I1606" s="3" t="str">
        <f t="shared" si="68"/>
        <v>protein_coding</v>
      </c>
    </row>
    <row r="1607" spans="1:9" x14ac:dyDescent="0.2">
      <c r="A1607" s="3" t="str">
        <f>"ENSG00000105855.10"</f>
        <v>ENSG00000105855.10</v>
      </c>
      <c r="B1607" s="3">
        <v>25.8940545460053</v>
      </c>
      <c r="C1607" s="3">
        <v>-2.8796622949708799</v>
      </c>
      <c r="D1607" s="3">
        <v>0.76145689732629396</v>
      </c>
      <c r="E1607" s="3">
        <v>-3.7817797764814398</v>
      </c>
      <c r="F1607" s="3">
        <v>1.55711087558285E-4</v>
      </c>
      <c r="G1607" s="3">
        <v>1.1985656081789E-3</v>
      </c>
      <c r="H1607" s="3" t="str">
        <f>"ITGB8"</f>
        <v>ITGB8</v>
      </c>
      <c r="I1607" s="3" t="str">
        <f t="shared" si="68"/>
        <v>protein_coding</v>
      </c>
    </row>
    <row r="1608" spans="1:9" x14ac:dyDescent="0.2">
      <c r="A1608" s="3" t="str">
        <f>"ENSG00000164649.20"</f>
        <v>ENSG00000164649.20</v>
      </c>
      <c r="B1608" s="3">
        <v>544.96862502939496</v>
      </c>
      <c r="C1608" s="3">
        <v>-2.5782208648832499</v>
      </c>
      <c r="D1608" s="3">
        <v>0.27824595286516701</v>
      </c>
      <c r="E1608" s="3">
        <v>-9.2659779534425208</v>
      </c>
      <c r="F1608" s="4">
        <v>1.9329772113860899E-20</v>
      </c>
      <c r="G1608" s="4">
        <v>1.07575313611542E-18</v>
      </c>
      <c r="H1608" s="3" t="str">
        <f>"CDCA7L"</f>
        <v>CDCA7L</v>
      </c>
      <c r="I1608" s="3" t="str">
        <f t="shared" si="68"/>
        <v>protein_coding</v>
      </c>
    </row>
    <row r="1609" spans="1:9" x14ac:dyDescent="0.2">
      <c r="A1609" s="3" t="str">
        <f>"ENSG00000230658.1"</f>
        <v>ENSG00000230658.1</v>
      </c>
      <c r="B1609" s="3">
        <v>118.638145931553</v>
      </c>
      <c r="C1609" s="3">
        <v>1.67296650790229</v>
      </c>
      <c r="D1609" s="3">
        <v>0.41031442027480403</v>
      </c>
      <c r="E1609" s="3">
        <v>4.0772793380789096</v>
      </c>
      <c r="F1609" s="4">
        <v>4.5565738646938998E-5</v>
      </c>
      <c r="G1609" s="3">
        <v>4.0345165634063802E-4</v>
      </c>
      <c r="H1609" s="3" t="str">
        <f>"KLHL7-DT"</f>
        <v>KLHL7-DT</v>
      </c>
      <c r="I1609" s="3" t="str">
        <f>"lincRNA"</f>
        <v>lincRNA</v>
      </c>
    </row>
    <row r="1610" spans="1:9" x14ac:dyDescent="0.2">
      <c r="A1610" s="3" t="str">
        <f>"ENSG00000122550.18"</f>
        <v>ENSG00000122550.18</v>
      </c>
      <c r="B1610" s="3">
        <v>1034.0154338432501</v>
      </c>
      <c r="C1610" s="3">
        <v>1.53227794714073</v>
      </c>
      <c r="D1610" s="3">
        <v>0.256363232635685</v>
      </c>
      <c r="E1610" s="3">
        <v>5.9769801284969502</v>
      </c>
      <c r="F1610" s="4">
        <v>2.2731191390051999E-9</v>
      </c>
      <c r="G1610" s="4">
        <v>4.3749282281312699E-8</v>
      </c>
      <c r="H1610" s="3" t="str">
        <f>"KLHL7"</f>
        <v>KLHL7</v>
      </c>
      <c r="I1610" s="3" t="str">
        <f>"protein_coding"</f>
        <v>protein_coding</v>
      </c>
    </row>
    <row r="1611" spans="1:9" x14ac:dyDescent="0.2">
      <c r="A1611" s="3" t="str">
        <f>"ENSG00000230042.1"</f>
        <v>ENSG00000230042.1</v>
      </c>
      <c r="B1611" s="3">
        <v>46.337457829639902</v>
      </c>
      <c r="C1611" s="3">
        <v>2.9781854981618499</v>
      </c>
      <c r="D1611" s="3">
        <v>0.58604537956049696</v>
      </c>
      <c r="E1611" s="3">
        <v>5.0818342777402901</v>
      </c>
      <c r="F1611" s="4">
        <v>3.7380747607142398E-7</v>
      </c>
      <c r="G1611" s="4">
        <v>5.0636117719852803E-6</v>
      </c>
      <c r="H1611" s="3" t="str">
        <f>"AK3P3"</f>
        <v>AK3P3</v>
      </c>
      <c r="I1611" s="3" t="str">
        <f>"processed_pseudogene"</f>
        <v>processed_pseudogene</v>
      </c>
    </row>
    <row r="1612" spans="1:9" x14ac:dyDescent="0.2">
      <c r="A1612" s="3" t="str">
        <f>"ENSG00000105926.15"</f>
        <v>ENSG00000105926.15</v>
      </c>
      <c r="B1612" s="3">
        <v>1379.09363535539</v>
      </c>
      <c r="C1612" s="3">
        <v>-1.87582850941774</v>
      </c>
      <c r="D1612" s="3">
        <v>0.29859535686958599</v>
      </c>
      <c r="E1612" s="3">
        <v>-6.2821757480878198</v>
      </c>
      <c r="F1612" s="4">
        <v>3.3386710509033198E-10</v>
      </c>
      <c r="G1612" s="4">
        <v>7.2400233004718203E-9</v>
      </c>
      <c r="H1612" s="3" t="str">
        <f>"MPP6"</f>
        <v>MPP6</v>
      </c>
      <c r="I1612" s="3" t="str">
        <f>"protein_coding"</f>
        <v>protein_coding</v>
      </c>
    </row>
    <row r="1613" spans="1:9" x14ac:dyDescent="0.2">
      <c r="A1613" s="3" t="str">
        <f>"ENSG00000105928.15"</f>
        <v>ENSG00000105928.15</v>
      </c>
      <c r="B1613" s="3">
        <v>4071.6904196783398</v>
      </c>
      <c r="C1613" s="3">
        <v>2.2765812238629799</v>
      </c>
      <c r="D1613" s="3">
        <v>0.23992781293573501</v>
      </c>
      <c r="E1613" s="3">
        <v>9.4886090779011294</v>
      </c>
      <c r="F1613" s="4">
        <v>2.34137468464116E-21</v>
      </c>
      <c r="G1613" s="4">
        <v>1.3793274049683501E-19</v>
      </c>
      <c r="H1613" s="3" t="str">
        <f>"GSDME"</f>
        <v>GSDME</v>
      </c>
      <c r="I1613" s="3" t="str">
        <f>"protein_coding"</f>
        <v>protein_coding</v>
      </c>
    </row>
    <row r="1614" spans="1:9" x14ac:dyDescent="0.2">
      <c r="A1614" s="3" t="str">
        <f>"ENSG00000070882.13"</f>
        <v>ENSG00000070882.13</v>
      </c>
      <c r="B1614" s="3">
        <v>4398.9685484022002</v>
      </c>
      <c r="C1614" s="3">
        <v>1.5143912007509801</v>
      </c>
      <c r="D1614" s="3">
        <v>0.23537719646217301</v>
      </c>
      <c r="E1614" s="3">
        <v>6.4338908930557803</v>
      </c>
      <c r="F1614" s="4">
        <v>1.24378156418622E-10</v>
      </c>
      <c r="G1614" s="4">
        <v>2.82121958945937E-9</v>
      </c>
      <c r="H1614" s="3" t="str">
        <f>"OSBPL3"</f>
        <v>OSBPL3</v>
      </c>
      <c r="I1614" s="3" t="str">
        <f>"protein_coding"</f>
        <v>protein_coding</v>
      </c>
    </row>
    <row r="1615" spans="1:9" x14ac:dyDescent="0.2">
      <c r="A1615" s="3" t="str">
        <f>"ENSG00000234999.1"</f>
        <v>ENSG00000234999.1</v>
      </c>
      <c r="B1615" s="3">
        <v>37.066271479724101</v>
      </c>
      <c r="C1615" s="3">
        <v>1.96926548130711</v>
      </c>
      <c r="D1615" s="3">
        <v>0.59913847967821598</v>
      </c>
      <c r="E1615" s="3">
        <v>3.28682858487868</v>
      </c>
      <c r="F1615" s="3">
        <v>1.0132248935513699E-3</v>
      </c>
      <c r="G1615" s="3">
        <v>6.1698552886189301E-3</v>
      </c>
      <c r="H1615" s="3" t="str">
        <f>"SNRPCP19"</f>
        <v>SNRPCP19</v>
      </c>
      <c r="I1615" s="3" t="str">
        <f>"processed_pseudogene"</f>
        <v>processed_pseudogene</v>
      </c>
    </row>
    <row r="1616" spans="1:9" x14ac:dyDescent="0.2">
      <c r="A1616" s="3" t="str">
        <f>"ENSG00000270933.1"</f>
        <v>ENSG00000270933.1</v>
      </c>
      <c r="B1616" s="3">
        <v>56.634152780210499</v>
      </c>
      <c r="C1616" s="3">
        <v>-2.7988337572984201</v>
      </c>
      <c r="D1616" s="3">
        <v>0.56462832042215905</v>
      </c>
      <c r="E1616" s="3">
        <v>-4.9569489451145596</v>
      </c>
      <c r="F1616" s="4">
        <v>7.1608783798122101E-7</v>
      </c>
      <c r="G1616" s="4">
        <v>9.2280684243942706E-6</v>
      </c>
      <c r="H1616" s="3" t="str">
        <f>"AC010719.1"</f>
        <v>AC010719.1</v>
      </c>
      <c r="I1616" s="3" t="str">
        <f>"lincRNA"</f>
        <v>lincRNA</v>
      </c>
    </row>
    <row r="1617" spans="1:9" x14ac:dyDescent="0.2">
      <c r="A1617" s="3" t="str">
        <f>"ENSG00000050344.9"</f>
        <v>ENSG00000050344.9</v>
      </c>
      <c r="B1617" s="3">
        <v>799.51416737493196</v>
      </c>
      <c r="C1617" s="3">
        <v>-1.1792447730768101</v>
      </c>
      <c r="D1617" s="3">
        <v>0.27213600306775398</v>
      </c>
      <c r="E1617" s="3">
        <v>-4.3332920296592201</v>
      </c>
      <c r="F1617" s="4">
        <v>1.4689604598952899E-5</v>
      </c>
      <c r="G1617" s="3">
        <v>1.4479506414053999E-4</v>
      </c>
      <c r="H1617" s="3" t="str">
        <f>"NFE2L3"</f>
        <v>NFE2L3</v>
      </c>
      <c r="I1617" s="3" t="str">
        <f>"protein_coding"</f>
        <v>protein_coding</v>
      </c>
    </row>
    <row r="1618" spans="1:9" x14ac:dyDescent="0.2">
      <c r="A1618" s="3" t="str">
        <f>"ENSG00000122565.19"</f>
        <v>ENSG00000122565.19</v>
      </c>
      <c r="B1618" s="3">
        <v>5412.2763506388301</v>
      </c>
      <c r="C1618" s="3">
        <v>-1.24835656290575</v>
      </c>
      <c r="D1618" s="3">
        <v>0.25584441469623398</v>
      </c>
      <c r="E1618" s="3">
        <v>-4.8793582786942098</v>
      </c>
      <c r="F1618" s="4">
        <v>1.0643156929332701E-6</v>
      </c>
      <c r="G1618" s="4">
        <v>1.3232471678503299E-5</v>
      </c>
      <c r="H1618" s="3" t="str">
        <f>"CBX3"</f>
        <v>CBX3</v>
      </c>
      <c r="I1618" s="3" t="str">
        <f>"protein_coding"</f>
        <v>protein_coding</v>
      </c>
    </row>
    <row r="1619" spans="1:9" x14ac:dyDescent="0.2">
      <c r="A1619" s="3" t="str">
        <f>"ENSG00000005020.13"</f>
        <v>ENSG00000005020.13</v>
      </c>
      <c r="B1619" s="3">
        <v>1381.8887029549401</v>
      </c>
      <c r="C1619" s="3">
        <v>1.02433881211071</v>
      </c>
      <c r="D1619" s="3">
        <v>0.271054314552926</v>
      </c>
      <c r="E1619" s="3">
        <v>3.7790905996100701</v>
      </c>
      <c r="F1619" s="3">
        <v>1.57402151660189E-4</v>
      </c>
      <c r="G1619" s="3">
        <v>1.2112117237724201E-3</v>
      </c>
      <c r="H1619" s="3" t="str">
        <f>"SKAP2"</f>
        <v>SKAP2</v>
      </c>
      <c r="I1619" s="3" t="str">
        <f>"protein_coding"</f>
        <v>protein_coding</v>
      </c>
    </row>
    <row r="1620" spans="1:9" x14ac:dyDescent="0.2">
      <c r="A1620" s="3" t="str">
        <f>"ENSG00000253552.7"</f>
        <v>ENSG00000253552.7</v>
      </c>
      <c r="B1620" s="3">
        <v>185.938250406973</v>
      </c>
      <c r="C1620" s="3">
        <v>-1.12323262670959</v>
      </c>
      <c r="D1620" s="3">
        <v>0.33409048233968702</v>
      </c>
      <c r="E1620" s="3">
        <v>-3.36206113638264</v>
      </c>
      <c r="F1620" s="3">
        <v>7.7362993085535999E-4</v>
      </c>
      <c r="G1620" s="3">
        <v>4.9044004311155701E-3</v>
      </c>
      <c r="H1620" s="3" t="str">
        <f>"HOXA-AS2"</f>
        <v>HOXA-AS2</v>
      </c>
      <c r="I1620" s="3" t="str">
        <f>"antisense"</f>
        <v>antisense</v>
      </c>
    </row>
    <row r="1621" spans="1:9" x14ac:dyDescent="0.2">
      <c r="A1621" s="3" t="str">
        <f>"ENSG00000106004.5"</f>
        <v>ENSG00000106004.5</v>
      </c>
      <c r="B1621" s="3">
        <v>103.77258507316699</v>
      </c>
      <c r="C1621" s="3">
        <v>1.38097155150206</v>
      </c>
      <c r="D1621" s="3">
        <v>0.39807041419674799</v>
      </c>
      <c r="E1621" s="3">
        <v>3.4691640027774402</v>
      </c>
      <c r="F1621" s="3">
        <v>5.2208064819716702E-4</v>
      </c>
      <c r="G1621" s="3">
        <v>3.4734035190160601E-3</v>
      </c>
      <c r="H1621" s="3" t="str">
        <f>"HOXA5"</f>
        <v>HOXA5</v>
      </c>
      <c r="I1621" s="3" t="str">
        <f>"protein_coding"</f>
        <v>protein_coding</v>
      </c>
    </row>
    <row r="1622" spans="1:9" x14ac:dyDescent="0.2">
      <c r="A1622" s="3" t="str">
        <f>"ENSG00000253293.5"</f>
        <v>ENSG00000253293.5</v>
      </c>
      <c r="B1622" s="3">
        <v>29.139128309837499</v>
      </c>
      <c r="C1622" s="3">
        <v>1.84311844264839</v>
      </c>
      <c r="D1622" s="3">
        <v>0.66743729977239696</v>
      </c>
      <c r="E1622" s="3">
        <v>2.76148552572191</v>
      </c>
      <c r="F1622" s="3">
        <v>5.7539066987894799E-3</v>
      </c>
      <c r="G1622" s="3">
        <v>2.6572337618514599E-2</v>
      </c>
      <c r="H1622" s="3" t="str">
        <f>"HOXA10"</f>
        <v>HOXA10</v>
      </c>
      <c r="I1622" s="3" t="str">
        <f>"protein_coding"</f>
        <v>protein_coding</v>
      </c>
    </row>
    <row r="1623" spans="1:9" x14ac:dyDescent="0.2">
      <c r="A1623" s="3" t="str">
        <f>"ENSG00000106031.8"</f>
        <v>ENSG00000106031.8</v>
      </c>
      <c r="B1623" s="3">
        <v>17.546336780804001</v>
      </c>
      <c r="C1623" s="3">
        <v>-3.10332914424554</v>
      </c>
      <c r="D1623" s="3">
        <v>0.937825524890191</v>
      </c>
      <c r="E1623" s="3">
        <v>-3.3090687573351198</v>
      </c>
      <c r="F1623" s="3">
        <v>9.3606845998331703E-4</v>
      </c>
      <c r="G1623" s="3">
        <v>5.76844735690356E-3</v>
      </c>
      <c r="H1623" s="3" t="str">
        <f>"HOXA13"</f>
        <v>HOXA13</v>
      </c>
      <c r="I1623" s="3" t="str">
        <f>"protein_coding"</f>
        <v>protein_coding</v>
      </c>
    </row>
    <row r="1624" spans="1:9" x14ac:dyDescent="0.2">
      <c r="A1624" s="3" t="str">
        <f>"ENSG00000146592.17"</f>
        <v>ENSG00000146592.17</v>
      </c>
      <c r="B1624" s="3">
        <v>422.89781318469198</v>
      </c>
      <c r="C1624" s="3">
        <v>-1.7581663124629301</v>
      </c>
      <c r="D1624" s="3">
        <v>0.28326210864552498</v>
      </c>
      <c r="E1624" s="3">
        <v>-6.2068531540273799</v>
      </c>
      <c r="F1624" s="4">
        <v>5.4056064649082495E-10</v>
      </c>
      <c r="G1624" s="4">
        <v>1.14267252625855E-8</v>
      </c>
      <c r="H1624" s="3" t="str">
        <f>"CREB5"</f>
        <v>CREB5</v>
      </c>
      <c r="I1624" s="3" t="str">
        <f>"protein_coding"</f>
        <v>protein_coding</v>
      </c>
    </row>
    <row r="1625" spans="1:9" x14ac:dyDescent="0.2">
      <c r="A1625" s="3" t="str">
        <f>"ENSG00000106066.15"</f>
        <v>ENSG00000106066.15</v>
      </c>
      <c r="B1625" s="3">
        <v>2675.7715222881902</v>
      </c>
      <c r="C1625" s="3">
        <v>-1.1624262357413999</v>
      </c>
      <c r="D1625" s="3">
        <v>0.251947993704216</v>
      </c>
      <c r="E1625" s="3">
        <v>-4.6137546826670697</v>
      </c>
      <c r="F1625" s="4">
        <v>3.9545915457128201E-6</v>
      </c>
      <c r="G1625" s="4">
        <v>4.43108019298022E-5</v>
      </c>
      <c r="H1625" s="3" t="str">
        <f>"CPVL"</f>
        <v>CPVL</v>
      </c>
      <c r="I1625" s="3" t="str">
        <f>"protein_coding"</f>
        <v>protein_coding</v>
      </c>
    </row>
    <row r="1626" spans="1:9" x14ac:dyDescent="0.2">
      <c r="A1626" s="3" t="str">
        <f>"ENSG00000225264.3"</f>
        <v>ENSG00000225264.3</v>
      </c>
      <c r="B1626" s="3">
        <v>38.333861906399697</v>
      </c>
      <c r="C1626" s="3">
        <v>-1.87716749579861</v>
      </c>
      <c r="D1626" s="3">
        <v>0.59443640226162198</v>
      </c>
      <c r="E1626" s="3">
        <v>-3.1578945849491098</v>
      </c>
      <c r="F1626" s="3">
        <v>1.58913011008215E-3</v>
      </c>
      <c r="G1626" s="3">
        <v>9.0481140604609499E-3</v>
      </c>
      <c r="H1626" s="3" t="str">
        <f>"ZNRF2P2"</f>
        <v>ZNRF2P2</v>
      </c>
      <c r="I1626" s="3" t="str">
        <f>"transcribed_processed_pseudogene"</f>
        <v>transcribed_processed_pseudogene</v>
      </c>
    </row>
    <row r="1627" spans="1:9" x14ac:dyDescent="0.2">
      <c r="A1627" s="3" t="str">
        <f>"ENSG00000122574.10"</f>
        <v>ENSG00000122574.10</v>
      </c>
      <c r="B1627" s="3">
        <v>1271.9776638671699</v>
      </c>
      <c r="C1627" s="3">
        <v>2.1322934411620098</v>
      </c>
      <c r="D1627" s="3">
        <v>0.262715969575122</v>
      </c>
      <c r="E1627" s="3">
        <v>8.1163449812756596</v>
      </c>
      <c r="F1627" s="4">
        <v>4.8043372635778997E-16</v>
      </c>
      <c r="G1627" s="4">
        <v>1.9244124819315601E-14</v>
      </c>
      <c r="H1627" s="3" t="str">
        <f>"WIPF3"</f>
        <v>WIPF3</v>
      </c>
      <c r="I1627" s="3" t="str">
        <f>"protein_coding"</f>
        <v>protein_coding</v>
      </c>
    </row>
    <row r="1628" spans="1:9" x14ac:dyDescent="0.2">
      <c r="A1628" s="3" t="str">
        <f>"ENSG00000238906.1"</f>
        <v>ENSG00000238906.1</v>
      </c>
      <c r="B1628" s="3">
        <v>15.726989171699801</v>
      </c>
      <c r="C1628" s="3">
        <v>2.4585167500898302</v>
      </c>
      <c r="D1628" s="3">
        <v>0.93063423001506695</v>
      </c>
      <c r="E1628" s="3">
        <v>2.6417647995281999</v>
      </c>
      <c r="F1628" s="3">
        <v>8.2475307761234896E-3</v>
      </c>
      <c r="G1628" s="3">
        <v>3.5949859066606603E-2</v>
      </c>
      <c r="H1628" s="3" t="str">
        <f>"RF01210"</f>
        <v>RF01210</v>
      </c>
      <c r="I1628" s="3" t="str">
        <f>"snoRNA"</f>
        <v>snoRNA</v>
      </c>
    </row>
    <row r="1629" spans="1:9" x14ac:dyDescent="0.2">
      <c r="A1629" s="3" t="str">
        <f>"ENSG00000106080.10"</f>
        <v>ENSG00000106080.10</v>
      </c>
      <c r="B1629" s="3">
        <v>949.34142092284605</v>
      </c>
      <c r="C1629" s="3">
        <v>-1.30602267284773</v>
      </c>
      <c r="D1629" s="3">
        <v>0.28342401450146998</v>
      </c>
      <c r="E1629" s="3">
        <v>-4.60801698524015</v>
      </c>
      <c r="F1629" s="4">
        <v>4.0652746159479398E-6</v>
      </c>
      <c r="G1629" s="4">
        <v>4.5449770206298003E-5</v>
      </c>
      <c r="H1629" s="3" t="str">
        <f>"FKBP14"</f>
        <v>FKBP14</v>
      </c>
      <c r="I1629" s="3" t="str">
        <f>"protein_coding"</f>
        <v>protein_coding</v>
      </c>
    </row>
    <row r="1630" spans="1:9" x14ac:dyDescent="0.2">
      <c r="A1630" s="3" t="str">
        <f>"ENSG00000106100.11"</f>
        <v>ENSG00000106100.11</v>
      </c>
      <c r="B1630" s="3">
        <v>154.04018153333601</v>
      </c>
      <c r="C1630" s="3">
        <v>-1.12988086693665</v>
      </c>
      <c r="D1630" s="3">
        <v>0.37668642241171402</v>
      </c>
      <c r="E1630" s="3">
        <v>-2.9995263957289802</v>
      </c>
      <c r="F1630" s="3">
        <v>2.7039969313929798E-3</v>
      </c>
      <c r="G1630" s="3">
        <v>1.41206233774528E-2</v>
      </c>
      <c r="H1630" s="3" t="str">
        <f>"NOD1"</f>
        <v>NOD1</v>
      </c>
      <c r="I1630" s="3" t="str">
        <f>"protein_coding"</f>
        <v>protein_coding</v>
      </c>
    </row>
    <row r="1631" spans="1:9" x14ac:dyDescent="0.2">
      <c r="A1631" s="3" t="str">
        <f>"ENSG00000106355.10"</f>
        <v>ENSG00000106355.10</v>
      </c>
      <c r="B1631" s="3">
        <v>1779.0577347522401</v>
      </c>
      <c r="C1631" s="3">
        <v>-1.0195862481340501</v>
      </c>
      <c r="D1631" s="3">
        <v>0.26441504590810899</v>
      </c>
      <c r="E1631" s="3">
        <v>-3.85600692514444</v>
      </c>
      <c r="F1631" s="3">
        <v>1.15254223918058E-4</v>
      </c>
      <c r="G1631" s="3">
        <v>9.2097204658791597E-4</v>
      </c>
      <c r="H1631" s="3" t="str">
        <f>"LSM5"</f>
        <v>LSM5</v>
      </c>
      <c r="I1631" s="3" t="str">
        <f>"protein_coding"</f>
        <v>protein_coding</v>
      </c>
    </row>
    <row r="1632" spans="1:9" x14ac:dyDescent="0.2">
      <c r="A1632" s="3" t="str">
        <f>"ENSG00000237004.4"</f>
        <v>ENSG00000237004.4</v>
      </c>
      <c r="B1632" s="3">
        <v>94.481288590623393</v>
      </c>
      <c r="C1632" s="3">
        <v>-1.8573972603853901</v>
      </c>
      <c r="D1632" s="3">
        <v>0.434068101580252</v>
      </c>
      <c r="E1632" s="3">
        <v>-4.2790457387295104</v>
      </c>
      <c r="F1632" s="4">
        <v>1.8769629290360899E-5</v>
      </c>
      <c r="G1632" s="3">
        <v>1.81039119938278E-4</v>
      </c>
      <c r="H1632" s="3" t="str">
        <f>"ZNRF2P1"</f>
        <v>ZNRF2P1</v>
      </c>
      <c r="I1632" s="3" t="str">
        <f>"transcribed_processed_pseudogene"</f>
        <v>transcribed_processed_pseudogene</v>
      </c>
    </row>
    <row r="1633" spans="1:9" x14ac:dyDescent="0.2">
      <c r="A1633" s="3" t="str">
        <f>"ENSG00000273014.1"</f>
        <v>ENSG00000273014.1</v>
      </c>
      <c r="B1633" s="3">
        <v>107.21576337347</v>
      </c>
      <c r="C1633" s="3">
        <v>-1.0331535729452399</v>
      </c>
      <c r="D1633" s="3">
        <v>0.396864339831973</v>
      </c>
      <c r="E1633" s="3">
        <v>-2.6032915262244498</v>
      </c>
      <c r="F1633" s="3">
        <v>9.2333403354751403E-3</v>
      </c>
      <c r="G1633" s="3">
        <v>3.9501202582116597E-2</v>
      </c>
      <c r="H1633" s="3" t="str">
        <f>"AC018645.2"</f>
        <v>AC018645.2</v>
      </c>
      <c r="I1633" s="3" t="str">
        <f>"lincRNA"</f>
        <v>lincRNA</v>
      </c>
    </row>
    <row r="1634" spans="1:9" x14ac:dyDescent="0.2">
      <c r="A1634" s="3" t="str">
        <f>"ENSG00000122507.20"</f>
        <v>ENSG00000122507.20</v>
      </c>
      <c r="B1634" s="3">
        <v>447.21166415089999</v>
      </c>
      <c r="C1634" s="3">
        <v>1.15788426516867</v>
      </c>
      <c r="D1634" s="3">
        <v>0.27925589802140599</v>
      </c>
      <c r="E1634" s="3">
        <v>4.1463198212555499</v>
      </c>
      <c r="F1634" s="4">
        <v>3.3786181953193402E-5</v>
      </c>
      <c r="G1634" s="3">
        <v>3.0860254431103098E-4</v>
      </c>
      <c r="H1634" s="3" t="str">
        <f>"BBS9"</f>
        <v>BBS9</v>
      </c>
      <c r="I1634" s="3" t="str">
        <f>"protein_coding"</f>
        <v>protein_coding</v>
      </c>
    </row>
    <row r="1635" spans="1:9" x14ac:dyDescent="0.2">
      <c r="A1635" s="3" t="str">
        <f>"ENSG00000238090.1"</f>
        <v>ENSG00000238090.1</v>
      </c>
      <c r="B1635" s="3">
        <v>15.716653518408499</v>
      </c>
      <c r="C1635" s="3">
        <v>3.93854120226022</v>
      </c>
      <c r="D1635" s="3">
        <v>1.0894280316845499</v>
      </c>
      <c r="E1635" s="3">
        <v>3.6152376180096599</v>
      </c>
      <c r="F1635" s="3">
        <v>3.0007225974887602E-4</v>
      </c>
      <c r="G1635" s="3">
        <v>2.1450178158519402E-3</v>
      </c>
      <c r="H1635" s="3" t="str">
        <f>"AC006195.1"</f>
        <v>AC006195.1</v>
      </c>
      <c r="I1635" s="3" t="str">
        <f>"processed_pseudogene"</f>
        <v>processed_pseudogene</v>
      </c>
    </row>
    <row r="1636" spans="1:9" x14ac:dyDescent="0.2">
      <c r="A1636" s="3" t="str">
        <f>"ENSG00000197085.11"</f>
        <v>ENSG00000197085.11</v>
      </c>
      <c r="B1636" s="3">
        <v>645.55863191351602</v>
      </c>
      <c r="C1636" s="3">
        <v>1.8319215140371301</v>
      </c>
      <c r="D1636" s="3">
        <v>0.294192220684797</v>
      </c>
      <c r="E1636" s="3">
        <v>6.2269543014187496</v>
      </c>
      <c r="F1636" s="4">
        <v>4.7558976646452596E-10</v>
      </c>
      <c r="G1636" s="4">
        <v>1.0155739028366E-8</v>
      </c>
      <c r="H1636" s="3" t="str">
        <f>"NPSR1-AS1"</f>
        <v>NPSR1-AS1</v>
      </c>
      <c r="I1636" s="3" t="str">
        <f>"processed_transcript"</f>
        <v>processed_transcript</v>
      </c>
    </row>
    <row r="1637" spans="1:9" x14ac:dyDescent="0.2">
      <c r="A1637" s="3" t="str">
        <f>"ENSG00000106483.12"</f>
        <v>ENSG00000106483.12</v>
      </c>
      <c r="B1637" s="3">
        <v>171.248683538216</v>
      </c>
      <c r="C1637" s="3">
        <v>1.1320993241898201</v>
      </c>
      <c r="D1637" s="3">
        <v>0.34094011684293002</v>
      </c>
      <c r="E1637" s="3">
        <v>3.32052248551136</v>
      </c>
      <c r="F1637" s="3">
        <v>8.9849121063691195E-4</v>
      </c>
      <c r="G1637" s="3">
        <v>5.5737475717809E-3</v>
      </c>
      <c r="H1637" s="3" t="str">
        <f>"SFRP4"</f>
        <v>SFRP4</v>
      </c>
      <c r="I1637" s="3" t="str">
        <f>"protein_coding"</f>
        <v>protein_coding</v>
      </c>
    </row>
    <row r="1638" spans="1:9" x14ac:dyDescent="0.2">
      <c r="A1638" s="3" t="str">
        <f>"ENSG00000175600.15"</f>
        <v>ENSG00000175600.15</v>
      </c>
      <c r="B1638" s="3">
        <v>707.03315042938004</v>
      </c>
      <c r="C1638" s="3">
        <v>2.0261467258111199</v>
      </c>
      <c r="D1638" s="3">
        <v>0.26444046539185101</v>
      </c>
      <c r="E1638" s="3">
        <v>7.6620146724093496</v>
      </c>
      <c r="F1638" s="4">
        <v>1.8303872211749299E-14</v>
      </c>
      <c r="G1638" s="4">
        <v>6.28149939272242E-13</v>
      </c>
      <c r="H1638" s="3" t="str">
        <f>"SUGCT"</f>
        <v>SUGCT</v>
      </c>
      <c r="I1638" s="3" t="str">
        <f>"protein_coding"</f>
        <v>protein_coding</v>
      </c>
    </row>
    <row r="1639" spans="1:9" x14ac:dyDescent="0.2">
      <c r="A1639" s="3" t="str">
        <f>"ENSG00000248711.1"</f>
        <v>ENSG00000248711.1</v>
      </c>
      <c r="B1639" s="3">
        <v>64.732197418538703</v>
      </c>
      <c r="C1639" s="3">
        <v>1.5327588837644099</v>
      </c>
      <c r="D1639" s="3">
        <v>0.48961116059454302</v>
      </c>
      <c r="E1639" s="3">
        <v>3.1305636127721299</v>
      </c>
      <c r="F1639" s="3">
        <v>1.7447120805130099E-3</v>
      </c>
      <c r="G1639" s="3">
        <v>9.7703099700144295E-3</v>
      </c>
      <c r="H1639" s="3" t="str">
        <f>"THUMPD3P1"</f>
        <v>THUMPD3P1</v>
      </c>
      <c r="I1639" s="3" t="str">
        <f>"unprocessed_pseudogene"</f>
        <v>unprocessed_pseudogene</v>
      </c>
    </row>
    <row r="1640" spans="1:9" x14ac:dyDescent="0.2">
      <c r="A1640" s="3" t="str">
        <f>"ENSG00000106628.10"</f>
        <v>ENSG00000106628.10</v>
      </c>
      <c r="B1640" s="3">
        <v>1987.1299381891299</v>
      </c>
      <c r="C1640" s="3">
        <v>-1.68246328979982</v>
      </c>
      <c r="D1640" s="3">
        <v>0.291517056257249</v>
      </c>
      <c r="E1640" s="3">
        <v>-5.77140600759612</v>
      </c>
      <c r="F1640" s="4">
        <v>7.8612805090435608E-9</v>
      </c>
      <c r="G1640" s="4">
        <v>1.40547627011365E-7</v>
      </c>
      <c r="H1640" s="3" t="str">
        <f>"POLD2"</f>
        <v>POLD2</v>
      </c>
      <c r="I1640" s="3" t="str">
        <f>"protein_coding"</f>
        <v>protein_coding</v>
      </c>
    </row>
    <row r="1641" spans="1:9" x14ac:dyDescent="0.2">
      <c r="A1641" s="3" t="str">
        <f>"ENSG00000058404.20"</f>
        <v>ENSG00000058404.20</v>
      </c>
      <c r="B1641" s="3">
        <v>52.427020964825999</v>
      </c>
      <c r="C1641" s="3">
        <v>1.4869499118613001</v>
      </c>
      <c r="D1641" s="3">
        <v>0.558879764988786</v>
      </c>
      <c r="E1641" s="3">
        <v>2.66058999629578</v>
      </c>
      <c r="F1641" s="3">
        <v>7.8003878123504896E-3</v>
      </c>
      <c r="G1641" s="3">
        <v>3.42441108934863E-2</v>
      </c>
      <c r="H1641" s="3" t="str">
        <f>"CAMK2B"</f>
        <v>CAMK2B</v>
      </c>
      <c r="I1641" s="3" t="str">
        <f>"protein_coding"</f>
        <v>protein_coding</v>
      </c>
    </row>
    <row r="1642" spans="1:9" x14ac:dyDescent="0.2">
      <c r="A1642" s="3" t="str">
        <f>"ENSG00000015520.14"</f>
        <v>ENSG00000015520.14</v>
      </c>
      <c r="B1642" s="3">
        <v>2929.6076434284701</v>
      </c>
      <c r="C1642" s="3">
        <v>3.3198808084248901</v>
      </c>
      <c r="D1642" s="3">
        <v>0.29285527866423899</v>
      </c>
      <c r="E1642" s="3">
        <v>11.3362505315507</v>
      </c>
      <c r="F1642" s="4">
        <v>8.6783566571227206E-30</v>
      </c>
      <c r="G1642" s="4">
        <v>8.8025831334645997E-28</v>
      </c>
      <c r="H1642" s="3" t="str">
        <f>"NPC1L1"</f>
        <v>NPC1L1</v>
      </c>
      <c r="I1642" s="3" t="str">
        <f>"protein_coding"</f>
        <v>protein_coding</v>
      </c>
    </row>
    <row r="1643" spans="1:9" x14ac:dyDescent="0.2">
      <c r="A1643" s="3" t="str">
        <f>"ENSG00000136271.10"</f>
        <v>ENSG00000136271.10</v>
      </c>
      <c r="B1643" s="3">
        <v>2978.1323617589801</v>
      </c>
      <c r="C1643" s="3">
        <v>-1.04236697157075</v>
      </c>
      <c r="D1643" s="3">
        <v>0.272194942659573</v>
      </c>
      <c r="E1643" s="3">
        <v>-3.8294869162003802</v>
      </c>
      <c r="F1643" s="3">
        <v>1.2841070982015201E-4</v>
      </c>
      <c r="G1643" s="3">
        <v>1.01195846037779E-3</v>
      </c>
      <c r="H1643" s="3" t="str">
        <f>"DDX56"</f>
        <v>DDX56</v>
      </c>
      <c r="I1643" s="3" t="str">
        <f>"protein_coding"</f>
        <v>protein_coding</v>
      </c>
    </row>
    <row r="1644" spans="1:9" x14ac:dyDescent="0.2">
      <c r="A1644" s="3" t="str">
        <f>"ENSG00000272768.1"</f>
        <v>ENSG00000272768.1</v>
      </c>
      <c r="B1644" s="3">
        <v>22.530481478539102</v>
      </c>
      <c r="C1644" s="3">
        <v>-2.1462292824812801</v>
      </c>
      <c r="D1644" s="3">
        <v>0.75328033431938002</v>
      </c>
      <c r="E1644" s="3">
        <v>-2.8491773708927099</v>
      </c>
      <c r="F1644" s="3">
        <v>4.3832436499171897E-3</v>
      </c>
      <c r="G1644" s="3">
        <v>2.12407039132473E-2</v>
      </c>
      <c r="H1644" s="3" t="str">
        <f>"AC004854.2"</f>
        <v>AC004854.2</v>
      </c>
      <c r="I1644" s="3" t="str">
        <f>"antisense"</f>
        <v>antisense</v>
      </c>
    </row>
    <row r="1645" spans="1:9" x14ac:dyDescent="0.2">
      <c r="A1645" s="3" t="str">
        <f>"ENSG00000136286.16"</f>
        <v>ENSG00000136286.16</v>
      </c>
      <c r="B1645" s="3">
        <v>46.3167327835802</v>
      </c>
      <c r="C1645" s="3">
        <v>4.7785438720954296</v>
      </c>
      <c r="D1645" s="3">
        <v>0.75654314726876704</v>
      </c>
      <c r="E1645" s="3">
        <v>6.3162872988099696</v>
      </c>
      <c r="F1645" s="4">
        <v>2.67921767327656E-10</v>
      </c>
      <c r="G1645" s="4">
        <v>5.8912343156706197E-9</v>
      </c>
      <c r="H1645" s="3" t="str">
        <f>"MYO1G"</f>
        <v>MYO1G</v>
      </c>
      <c r="I1645" s="3" t="str">
        <f>"protein_coding"</f>
        <v>protein_coding</v>
      </c>
    </row>
    <row r="1646" spans="1:9" x14ac:dyDescent="0.2">
      <c r="A1646" s="3" t="str">
        <f>"ENSG00000136274.9"</f>
        <v>ENSG00000136274.9</v>
      </c>
      <c r="B1646" s="3">
        <v>523.66323117545403</v>
      </c>
      <c r="C1646" s="3">
        <v>4.4170262081877798</v>
      </c>
      <c r="D1646" s="3">
        <v>0.31783498260517101</v>
      </c>
      <c r="E1646" s="3">
        <v>13.8972311102545</v>
      </c>
      <c r="F1646" s="4">
        <v>6.5839472231250201E-44</v>
      </c>
      <c r="G1646" s="4">
        <v>1.3144380349024599E-41</v>
      </c>
      <c r="H1646" s="3" t="str">
        <f>"NACAD"</f>
        <v>NACAD</v>
      </c>
      <c r="I1646" s="3" t="str">
        <f>"protein_coding"</f>
        <v>protein_coding</v>
      </c>
    </row>
    <row r="1647" spans="1:9" x14ac:dyDescent="0.2">
      <c r="A1647" s="3" t="str">
        <f>"ENSG00000136270.14"</f>
        <v>ENSG00000136270.14</v>
      </c>
      <c r="B1647" s="3">
        <v>3222.6188570672998</v>
      </c>
      <c r="C1647" s="3">
        <v>-1.0233202870595699</v>
      </c>
      <c r="D1647" s="3">
        <v>0.27959440303038002</v>
      </c>
      <c r="E1647" s="3">
        <v>-3.6600170674674701</v>
      </c>
      <c r="F1647" s="3">
        <v>2.5219844948701599E-4</v>
      </c>
      <c r="G1647" s="3">
        <v>1.8330112675081999E-3</v>
      </c>
      <c r="H1647" s="3" t="str">
        <f>"TBRG4"</f>
        <v>TBRG4</v>
      </c>
      <c r="I1647" s="3" t="str">
        <f>"protein_coding"</f>
        <v>protein_coding</v>
      </c>
    </row>
    <row r="1648" spans="1:9" x14ac:dyDescent="0.2">
      <c r="A1648" s="3" t="str">
        <f>"ENSG00000201772.1"</f>
        <v>ENSG00000201772.1</v>
      </c>
      <c r="B1648" s="3">
        <v>62.3154054778499</v>
      </c>
      <c r="C1648" s="3">
        <v>-1.69782492035359</v>
      </c>
      <c r="D1648" s="3">
        <v>0.48127023793277401</v>
      </c>
      <c r="E1648" s="3">
        <v>-3.5277995324339</v>
      </c>
      <c r="F1648" s="3">
        <v>4.1902937109008299E-4</v>
      </c>
      <c r="G1648" s="3">
        <v>2.8697750693631998E-3</v>
      </c>
      <c r="H1648" s="3" t="str">
        <f>"SNORA5C"</f>
        <v>SNORA5C</v>
      </c>
      <c r="I1648" s="3" t="str">
        <f>"snoRNA"</f>
        <v>snoRNA</v>
      </c>
    </row>
    <row r="1649" spans="1:9" x14ac:dyDescent="0.2">
      <c r="A1649" s="3" t="str">
        <f>"ENSG00000164742.16"</f>
        <v>ENSG00000164742.16</v>
      </c>
      <c r="B1649" s="3">
        <v>500.60423089340799</v>
      </c>
      <c r="C1649" s="3">
        <v>1.1336470918311099</v>
      </c>
      <c r="D1649" s="3">
        <v>0.302200911173163</v>
      </c>
      <c r="E1649" s="3">
        <v>3.7513026927358402</v>
      </c>
      <c r="F1649" s="3">
        <v>1.7591816318476199E-4</v>
      </c>
      <c r="G1649" s="3">
        <v>1.3304935041830101E-3</v>
      </c>
      <c r="H1649" s="3" t="str">
        <f>"ADCY1"</f>
        <v>ADCY1</v>
      </c>
      <c r="I1649" s="3" t="str">
        <f t="shared" ref="I1649:I1659" si="69">"protein_coding"</f>
        <v>protein_coding</v>
      </c>
    </row>
    <row r="1650" spans="1:9" x14ac:dyDescent="0.2">
      <c r="A1650" s="3" t="str">
        <f>"ENSG00000283247.2"</f>
        <v>ENSG00000283247.2</v>
      </c>
      <c r="B1650" s="3">
        <v>35.048383795498502</v>
      </c>
      <c r="C1650" s="3">
        <v>2.9457660965766799</v>
      </c>
      <c r="D1650" s="3">
        <v>0.65648564094253803</v>
      </c>
      <c r="E1650" s="3">
        <v>4.4871752142931003</v>
      </c>
      <c r="F1650" s="4">
        <v>7.2173716987701098E-6</v>
      </c>
      <c r="G1650" s="4">
        <v>7.6864091906249797E-5</v>
      </c>
      <c r="H1650" s="3" t="str">
        <f>"AC096582.3"</f>
        <v>AC096582.3</v>
      </c>
      <c r="I1650" s="3" t="str">
        <f t="shared" si="69"/>
        <v>protein_coding</v>
      </c>
    </row>
    <row r="1651" spans="1:9" x14ac:dyDescent="0.2">
      <c r="A1651" s="3" t="str">
        <f>"ENSG00000146678.10"</f>
        <v>ENSG00000146678.10</v>
      </c>
      <c r="B1651" s="3">
        <v>33175.537664886899</v>
      </c>
      <c r="C1651" s="3">
        <v>1.7545485320909699</v>
      </c>
      <c r="D1651" s="3">
        <v>0.23412583188008099</v>
      </c>
      <c r="E1651" s="3">
        <v>7.4940407814104297</v>
      </c>
      <c r="F1651" s="4">
        <v>6.6784958373447798E-14</v>
      </c>
      <c r="G1651" s="4">
        <v>2.1705111471370601E-12</v>
      </c>
      <c r="H1651" s="3" t="str">
        <f>"IGFBP1"</f>
        <v>IGFBP1</v>
      </c>
      <c r="I1651" s="3" t="str">
        <f t="shared" si="69"/>
        <v>protein_coding</v>
      </c>
    </row>
    <row r="1652" spans="1:9" x14ac:dyDescent="0.2">
      <c r="A1652" s="3" t="str">
        <f>"ENSG00000146674.15"</f>
        <v>ENSG00000146674.15</v>
      </c>
      <c r="B1652" s="3">
        <v>1656.6083004099301</v>
      </c>
      <c r="C1652" s="3">
        <v>2.04069291501377</v>
      </c>
      <c r="D1652" s="3">
        <v>0.24993114914203801</v>
      </c>
      <c r="E1652" s="3">
        <v>8.1650203346763508</v>
      </c>
      <c r="F1652" s="4">
        <v>3.2138107511318898E-16</v>
      </c>
      <c r="G1652" s="4">
        <v>1.31881581475893E-14</v>
      </c>
      <c r="H1652" s="3" t="str">
        <f>"IGFBP3"</f>
        <v>IGFBP3</v>
      </c>
      <c r="I1652" s="3" t="str">
        <f t="shared" si="69"/>
        <v>protein_coding</v>
      </c>
    </row>
    <row r="1653" spans="1:9" x14ac:dyDescent="0.2">
      <c r="A1653" s="3" t="str">
        <f>"ENSG00000183696.14"</f>
        <v>ENSG00000183696.14</v>
      </c>
      <c r="B1653" s="3">
        <v>456.07802703678999</v>
      </c>
      <c r="C1653" s="3">
        <v>-1.10172567875035</v>
      </c>
      <c r="D1653" s="3">
        <v>0.315278900549259</v>
      </c>
      <c r="E1653" s="3">
        <v>-3.4944478581693499</v>
      </c>
      <c r="F1653" s="3">
        <v>4.7504339207190302E-4</v>
      </c>
      <c r="G1653" s="3">
        <v>3.1985322611265301E-3</v>
      </c>
      <c r="H1653" s="3" t="str">
        <f>"UPP1"</f>
        <v>UPP1</v>
      </c>
      <c r="I1653" s="3" t="str">
        <f t="shared" si="69"/>
        <v>protein_coding</v>
      </c>
    </row>
    <row r="1654" spans="1:9" x14ac:dyDescent="0.2">
      <c r="A1654" s="3" t="str">
        <f>"ENSG00000132436.11"</f>
        <v>ENSG00000132436.11</v>
      </c>
      <c r="B1654" s="3">
        <v>776.95383107274802</v>
      </c>
      <c r="C1654" s="3">
        <v>-1.1684641007869401</v>
      </c>
      <c r="D1654" s="3">
        <v>0.30362213844932101</v>
      </c>
      <c r="E1654" s="3">
        <v>-3.8484153584932601</v>
      </c>
      <c r="F1654" s="3">
        <v>1.18884358776645E-4</v>
      </c>
      <c r="G1654" s="3">
        <v>9.4667174581402203E-4</v>
      </c>
      <c r="H1654" s="3" t="str">
        <f>"FIGNL1"</f>
        <v>FIGNL1</v>
      </c>
      <c r="I1654" s="3" t="str">
        <f t="shared" si="69"/>
        <v>protein_coding</v>
      </c>
    </row>
    <row r="1655" spans="1:9" x14ac:dyDescent="0.2">
      <c r="A1655" s="3" t="str">
        <f>"ENSG00000132437.18"</f>
        <v>ENSG00000132437.18</v>
      </c>
      <c r="B1655" s="3">
        <v>323.20863368680602</v>
      </c>
      <c r="C1655" s="3">
        <v>-3.5929191737200901</v>
      </c>
      <c r="D1655" s="3">
        <v>0.35536513794108698</v>
      </c>
      <c r="E1655" s="3">
        <v>-10.1104998496384</v>
      </c>
      <c r="F1655" s="4">
        <v>4.9630408920141802E-24</v>
      </c>
      <c r="G1655" s="4">
        <v>3.5772290440864402E-22</v>
      </c>
      <c r="H1655" s="3" t="str">
        <f>"DDC"</f>
        <v>DDC</v>
      </c>
      <c r="I1655" s="3" t="str">
        <f t="shared" si="69"/>
        <v>protein_coding</v>
      </c>
    </row>
    <row r="1656" spans="1:9" x14ac:dyDescent="0.2">
      <c r="A1656" s="3" t="str">
        <f>"ENSG00000106070.19"</f>
        <v>ENSG00000106070.19</v>
      </c>
      <c r="B1656" s="3">
        <v>319.78153567838899</v>
      </c>
      <c r="C1656" s="3">
        <v>-2.31847748429082</v>
      </c>
      <c r="D1656" s="3">
        <v>0.31396505278599701</v>
      </c>
      <c r="E1656" s="3">
        <v>-7.3845081282696903</v>
      </c>
      <c r="F1656" s="4">
        <v>1.5301800804958701E-13</v>
      </c>
      <c r="G1656" s="4">
        <v>4.8600605965749401E-12</v>
      </c>
      <c r="H1656" s="3" t="str">
        <f>"GRB10"</f>
        <v>GRB10</v>
      </c>
      <c r="I1656" s="3" t="str">
        <f t="shared" si="69"/>
        <v>protein_coding</v>
      </c>
    </row>
    <row r="1657" spans="1:9" x14ac:dyDescent="0.2">
      <c r="A1657" s="3" t="str">
        <f>"ENSG00000106078.19"</f>
        <v>ENSG00000106078.19</v>
      </c>
      <c r="B1657" s="3">
        <v>95.864918665012993</v>
      </c>
      <c r="C1657" s="3">
        <v>1.4145790943098</v>
      </c>
      <c r="D1657" s="3">
        <v>0.40536163188858498</v>
      </c>
      <c r="E1657" s="3">
        <v>3.48967189548567</v>
      </c>
      <c r="F1657" s="3">
        <v>4.8361391746429001E-4</v>
      </c>
      <c r="G1657" s="3">
        <v>3.2449474776778402E-3</v>
      </c>
      <c r="H1657" s="3" t="str">
        <f>"COBL"</f>
        <v>COBL</v>
      </c>
      <c r="I1657" s="3" t="str">
        <f t="shared" si="69"/>
        <v>protein_coding</v>
      </c>
    </row>
    <row r="1658" spans="1:9" x14ac:dyDescent="0.2">
      <c r="A1658" s="3" t="str">
        <f>"ENSG00000132432.14"</f>
        <v>ENSG00000132432.14</v>
      </c>
      <c r="B1658" s="3">
        <v>1775.24599464634</v>
      </c>
      <c r="C1658" s="3">
        <v>-1.0003721121531299</v>
      </c>
      <c r="D1658" s="3">
        <v>0.29230540532633797</v>
      </c>
      <c r="E1658" s="3">
        <v>-3.42235242292658</v>
      </c>
      <c r="F1658" s="3">
        <v>6.2081788755806899E-4</v>
      </c>
      <c r="G1658" s="3">
        <v>4.0468188550202696E-3</v>
      </c>
      <c r="H1658" s="3" t="str">
        <f>"SEC61G"</f>
        <v>SEC61G</v>
      </c>
      <c r="I1658" s="3" t="str">
        <f t="shared" si="69"/>
        <v>protein_coding</v>
      </c>
    </row>
    <row r="1659" spans="1:9" x14ac:dyDescent="0.2">
      <c r="A1659" s="3" t="str">
        <f>"ENSG00000146648.18"</f>
        <v>ENSG00000146648.18</v>
      </c>
      <c r="B1659" s="3">
        <v>1358.0931027512299</v>
      </c>
      <c r="C1659" s="3">
        <v>-2.5880199121652199</v>
      </c>
      <c r="D1659" s="3">
        <v>0.26277018315835599</v>
      </c>
      <c r="E1659" s="3">
        <v>-9.8489862170000109</v>
      </c>
      <c r="F1659" s="4">
        <v>6.9238819369445598E-23</v>
      </c>
      <c r="G1659" s="4">
        <v>4.4773843219496201E-21</v>
      </c>
      <c r="H1659" s="3" t="str">
        <f>"EGFR"</f>
        <v>EGFR</v>
      </c>
      <c r="I1659" s="3" t="str">
        <f t="shared" si="69"/>
        <v>protein_coding</v>
      </c>
    </row>
    <row r="1660" spans="1:9" x14ac:dyDescent="0.2">
      <c r="A1660" s="3" t="str">
        <f>"ENSG00000224057.1"</f>
        <v>ENSG00000224057.1</v>
      </c>
      <c r="B1660" s="3">
        <v>188.87704251089201</v>
      </c>
      <c r="C1660" s="3">
        <v>-1.88849820077029</v>
      </c>
      <c r="D1660" s="3">
        <v>0.40116402881597302</v>
      </c>
      <c r="E1660" s="3">
        <v>-4.7075462033426803</v>
      </c>
      <c r="F1660" s="4">
        <v>2.50716466153225E-6</v>
      </c>
      <c r="G1660" s="4">
        <v>2.9077881704472799E-5</v>
      </c>
      <c r="H1660" s="3" t="str">
        <f>"EGFR-AS1"</f>
        <v>EGFR-AS1</v>
      </c>
      <c r="I1660" s="3" t="str">
        <f>"antisense"</f>
        <v>antisense</v>
      </c>
    </row>
    <row r="1661" spans="1:9" x14ac:dyDescent="0.2">
      <c r="A1661" s="3" t="str">
        <f>"ENSG00000132434.9"</f>
        <v>ENSG00000132434.9</v>
      </c>
      <c r="B1661" s="3">
        <v>719.70230573979597</v>
      </c>
      <c r="C1661" s="3">
        <v>-1.10969722719705</v>
      </c>
      <c r="D1661" s="3">
        <v>0.26994643960465903</v>
      </c>
      <c r="E1661" s="3">
        <v>-4.1108051983282996</v>
      </c>
      <c r="F1661" s="4">
        <v>3.94281744416827E-5</v>
      </c>
      <c r="G1661" s="3">
        <v>3.5402490087639397E-4</v>
      </c>
      <c r="H1661" s="3" t="str">
        <f>"LANCL2"</f>
        <v>LANCL2</v>
      </c>
      <c r="I1661" s="3" t="str">
        <f>"protein_coding"</f>
        <v>protein_coding</v>
      </c>
    </row>
    <row r="1662" spans="1:9" x14ac:dyDescent="0.2">
      <c r="A1662" s="3" t="str">
        <f>"ENSG00000223475.1"</f>
        <v>ENSG00000223475.1</v>
      </c>
      <c r="B1662" s="3">
        <v>37.142214025247398</v>
      </c>
      <c r="C1662" s="3">
        <v>4.9327544224084399</v>
      </c>
      <c r="D1662" s="3">
        <v>0.85759323655737996</v>
      </c>
      <c r="E1662" s="3">
        <v>5.75185788802382</v>
      </c>
      <c r="F1662" s="4">
        <v>8.8267985617559501E-9</v>
      </c>
      <c r="G1662" s="4">
        <v>1.5647506541294601E-7</v>
      </c>
      <c r="H1662" s="3" t="str">
        <f>"AC099681.1"</f>
        <v>AC099681.1</v>
      </c>
      <c r="I1662" s="3" t="str">
        <f>"antisense"</f>
        <v>antisense</v>
      </c>
    </row>
    <row r="1663" spans="1:9" x14ac:dyDescent="0.2">
      <c r="A1663" s="3" t="str">
        <f>"ENSG00000233977.1"</f>
        <v>ENSG00000233977.1</v>
      </c>
      <c r="B1663" s="3">
        <v>20.758944274614901</v>
      </c>
      <c r="C1663" s="3">
        <v>7.8955389644871499</v>
      </c>
      <c r="D1663" s="3">
        <v>1.6135860360666501</v>
      </c>
      <c r="E1663" s="3">
        <v>4.8931626749408901</v>
      </c>
      <c r="F1663" s="4">
        <v>9.9228320659342903E-7</v>
      </c>
      <c r="G1663" s="4">
        <v>1.24493187340936E-5</v>
      </c>
      <c r="H1663" s="3" t="str">
        <f>"AC099681.3"</f>
        <v>AC099681.3</v>
      </c>
      <c r="I1663" s="3" t="str">
        <f>"lincRNA"</f>
        <v>lincRNA</v>
      </c>
    </row>
    <row r="1664" spans="1:9" x14ac:dyDescent="0.2">
      <c r="A1664" s="3" t="str">
        <f>"ENSG00000231394.1"</f>
        <v>ENSG00000231394.1</v>
      </c>
      <c r="B1664" s="3">
        <v>29.740226534847199</v>
      </c>
      <c r="C1664" s="3">
        <v>5.3781742751211103</v>
      </c>
      <c r="D1664" s="3">
        <v>1.04927930698133</v>
      </c>
      <c r="E1664" s="3">
        <v>5.1255888106605001</v>
      </c>
      <c r="F1664" s="4">
        <v>2.9660930905494702E-7</v>
      </c>
      <c r="G1664" s="4">
        <v>4.0950643080555396E-6</v>
      </c>
      <c r="H1664" s="3" t="str">
        <f>"AC099681.2"</f>
        <v>AC099681.2</v>
      </c>
      <c r="I1664" s="3" t="str">
        <f>"lincRNA"</f>
        <v>lincRNA</v>
      </c>
    </row>
    <row r="1665" spans="1:9" x14ac:dyDescent="0.2">
      <c r="A1665" s="3" t="str">
        <f>"ENSG00000146733.14"</f>
        <v>ENSG00000146733.14</v>
      </c>
      <c r="B1665" s="3">
        <v>3146.9890376450899</v>
      </c>
      <c r="C1665" s="3">
        <v>1.3767341744860599</v>
      </c>
      <c r="D1665" s="3">
        <v>0.23935385114195401</v>
      </c>
      <c r="E1665" s="3">
        <v>5.7518780997994501</v>
      </c>
      <c r="F1665" s="4">
        <v>8.8257430857212892E-9</v>
      </c>
      <c r="G1665" s="4">
        <v>1.5647506541294601E-7</v>
      </c>
      <c r="H1665" s="3" t="str">
        <f>"PSPH"</f>
        <v>PSPH</v>
      </c>
      <c r="I1665" s="3" t="str">
        <f>"protein_coding"</f>
        <v>protein_coding</v>
      </c>
    </row>
    <row r="1666" spans="1:9" x14ac:dyDescent="0.2">
      <c r="A1666" s="3" t="str">
        <f>"ENSG00000198039.11"</f>
        <v>ENSG00000198039.11</v>
      </c>
      <c r="B1666" s="3">
        <v>409.48992320939197</v>
      </c>
      <c r="C1666" s="3">
        <v>-1.14272427286331</v>
      </c>
      <c r="D1666" s="3">
        <v>0.29184893186052302</v>
      </c>
      <c r="E1666" s="3">
        <v>-3.91546498244315</v>
      </c>
      <c r="F1666" s="4">
        <v>9.02301407442564E-5</v>
      </c>
      <c r="G1666" s="3">
        <v>7.4174483347116699E-4</v>
      </c>
      <c r="H1666" s="3" t="str">
        <f>"ZNF273"</f>
        <v>ZNF273</v>
      </c>
      <c r="I1666" s="3" t="str">
        <f>"protein_coding"</f>
        <v>protein_coding</v>
      </c>
    </row>
    <row r="1667" spans="1:9" x14ac:dyDescent="0.2">
      <c r="A1667" s="3" t="str">
        <f>"ENSG00000146757.13"</f>
        <v>ENSG00000146757.13</v>
      </c>
      <c r="B1667" s="3">
        <v>979.15639435965898</v>
      </c>
      <c r="C1667" s="3">
        <v>-1.11275927228909</v>
      </c>
      <c r="D1667" s="3">
        <v>0.29098660250431002</v>
      </c>
      <c r="E1667" s="3">
        <v>-3.8240910843055298</v>
      </c>
      <c r="F1667" s="3">
        <v>1.31255388833811E-4</v>
      </c>
      <c r="G1667" s="3">
        <v>1.0298594217450099E-3</v>
      </c>
      <c r="H1667" s="3" t="str">
        <f>"ZNF92"</f>
        <v>ZNF92</v>
      </c>
      <c r="I1667" s="3" t="str">
        <f>"protein_coding"</f>
        <v>protein_coding</v>
      </c>
    </row>
    <row r="1668" spans="1:9" x14ac:dyDescent="0.2">
      <c r="A1668" s="3" t="str">
        <f>"ENSG00000226767.1"</f>
        <v>ENSG00000226767.1</v>
      </c>
      <c r="B1668" s="3">
        <v>24.386434719691799</v>
      </c>
      <c r="C1668" s="3">
        <v>-3.8932124071491399</v>
      </c>
      <c r="D1668" s="3">
        <v>0.89962873659528597</v>
      </c>
      <c r="E1668" s="3">
        <v>-4.3275767533652898</v>
      </c>
      <c r="F1668" s="4">
        <v>1.5075881703253E-5</v>
      </c>
      <c r="G1668" s="3">
        <v>1.4825402824289601E-4</v>
      </c>
      <c r="H1668" s="3" t="str">
        <f>"AC114501.1"</f>
        <v>AC114501.1</v>
      </c>
      <c r="I1668" s="3" t="str">
        <f>"processed_pseudogene"</f>
        <v>processed_pseudogene</v>
      </c>
    </row>
    <row r="1669" spans="1:9" x14ac:dyDescent="0.2">
      <c r="A1669" s="3" t="str">
        <f>"ENSG00000196715.7"</f>
        <v>ENSG00000196715.7</v>
      </c>
      <c r="B1669" s="3">
        <v>2104.7453700492301</v>
      </c>
      <c r="C1669" s="3">
        <v>-1.31490324289425</v>
      </c>
      <c r="D1669" s="3">
        <v>0.24013041626058201</v>
      </c>
      <c r="E1669" s="3">
        <v>-5.4757879629349402</v>
      </c>
      <c r="F1669" s="4">
        <v>4.35569003469636E-8</v>
      </c>
      <c r="G1669" s="4">
        <v>6.9127686323524898E-7</v>
      </c>
      <c r="H1669" s="3" t="str">
        <f>"VKORC1L1"</f>
        <v>VKORC1L1</v>
      </c>
      <c r="I1669" s="3" t="str">
        <f>"protein_coding"</f>
        <v>protein_coding</v>
      </c>
    </row>
    <row r="1670" spans="1:9" x14ac:dyDescent="0.2">
      <c r="A1670" s="3" t="str">
        <f>"ENSG00000188763.4"</f>
        <v>ENSG00000188763.4</v>
      </c>
      <c r="B1670" s="3">
        <v>80.9389392547466</v>
      </c>
      <c r="C1670" s="3">
        <v>-1.47798288720392</v>
      </c>
      <c r="D1670" s="3">
        <v>0.48093266609171598</v>
      </c>
      <c r="E1670" s="3">
        <v>-3.0731596986636398</v>
      </c>
      <c r="F1670" s="3">
        <v>2.1180510629602101E-3</v>
      </c>
      <c r="G1670" s="3">
        <v>1.1502498810182201E-2</v>
      </c>
      <c r="H1670" s="3" t="str">
        <f>"FZD9"</f>
        <v>FZD9</v>
      </c>
      <c r="I1670" s="3" t="str">
        <f>"protein_coding"</f>
        <v>protein_coding</v>
      </c>
    </row>
    <row r="1671" spans="1:9" x14ac:dyDescent="0.2">
      <c r="A1671" s="3" t="str">
        <f>"ENSG00000009950.16"</f>
        <v>ENSG00000009950.16</v>
      </c>
      <c r="B1671" s="3">
        <v>3948.1810840600701</v>
      </c>
      <c r="C1671" s="3">
        <v>-1.14110930351463</v>
      </c>
      <c r="D1671" s="3">
        <v>0.320844692037563</v>
      </c>
      <c r="E1671" s="3">
        <v>-3.5565784064179899</v>
      </c>
      <c r="F1671" s="3">
        <v>3.7571638116974399E-4</v>
      </c>
      <c r="G1671" s="3">
        <v>2.6064935378722798E-3</v>
      </c>
      <c r="H1671" s="3" t="str">
        <f>"MLXIPL"</f>
        <v>MLXIPL</v>
      </c>
      <c r="I1671" s="3" t="str">
        <f>"protein_coding"</f>
        <v>protein_coding</v>
      </c>
    </row>
    <row r="1672" spans="1:9" x14ac:dyDescent="0.2">
      <c r="A1672" s="3" t="str">
        <f>"ENSG00000274080.1"</f>
        <v>ENSG00000274080.1</v>
      </c>
      <c r="B1672" s="3">
        <v>263.68578286642003</v>
      </c>
      <c r="C1672" s="3">
        <v>-1.0630320454492901</v>
      </c>
      <c r="D1672" s="3">
        <v>0.36400786256310402</v>
      </c>
      <c r="E1672" s="3">
        <v>-2.9203546263097602</v>
      </c>
      <c r="F1672" s="3">
        <v>3.4963327679414101E-3</v>
      </c>
      <c r="G1672" s="3">
        <v>1.7604133462283102E-2</v>
      </c>
      <c r="H1672" s="3" t="str">
        <f>"AC005089.1"</f>
        <v>AC005089.1</v>
      </c>
      <c r="I1672" s="3" t="str">
        <f>"sense_intronic"</f>
        <v>sense_intronic</v>
      </c>
    </row>
    <row r="1673" spans="1:9" x14ac:dyDescent="0.2">
      <c r="A1673" s="3" t="str">
        <f>"ENSG00000176428.6"</f>
        <v>ENSG00000176428.6</v>
      </c>
      <c r="B1673" s="3">
        <v>158.71672019251699</v>
      </c>
      <c r="C1673" s="3">
        <v>1.92866245207468</v>
      </c>
      <c r="D1673" s="3">
        <v>0.41463324444168298</v>
      </c>
      <c r="E1673" s="3">
        <v>4.6514901492563201</v>
      </c>
      <c r="F1673" s="4">
        <v>3.2954501915306999E-6</v>
      </c>
      <c r="G1673" s="4">
        <v>3.7374684205570298E-5</v>
      </c>
      <c r="H1673" s="3" t="str">
        <f>"VPS37D"</f>
        <v>VPS37D</v>
      </c>
      <c r="I1673" s="3" t="str">
        <f t="shared" ref="I1673:I1681" si="70">"protein_coding"</f>
        <v>protein_coding</v>
      </c>
    </row>
    <row r="1674" spans="1:9" x14ac:dyDescent="0.2">
      <c r="A1674" s="3" t="str">
        <f>"ENSG00000071462.11"</f>
        <v>ENSG00000071462.11</v>
      </c>
      <c r="B1674" s="3">
        <v>1779.41134834889</v>
      </c>
      <c r="C1674" s="3">
        <v>-1.0185878614514201</v>
      </c>
      <c r="D1674" s="3">
        <v>0.26903845341522897</v>
      </c>
      <c r="E1674" s="3">
        <v>-3.7860307644548898</v>
      </c>
      <c r="F1674" s="3">
        <v>1.53072732005436E-4</v>
      </c>
      <c r="G1674" s="3">
        <v>1.17942311667061E-3</v>
      </c>
      <c r="H1674" s="3" t="str">
        <f>"BUD23"</f>
        <v>BUD23</v>
      </c>
      <c r="I1674" s="3" t="str">
        <f t="shared" si="70"/>
        <v>protein_coding</v>
      </c>
    </row>
    <row r="1675" spans="1:9" x14ac:dyDescent="0.2">
      <c r="A1675" s="3" t="str">
        <f>"ENSG00000165171.11"</f>
        <v>ENSG00000165171.11</v>
      </c>
      <c r="B1675" s="3">
        <v>292.30917084930098</v>
      </c>
      <c r="C1675" s="3">
        <v>2.1107903132693</v>
      </c>
      <c r="D1675" s="3">
        <v>0.39806378080720101</v>
      </c>
      <c r="E1675" s="3">
        <v>5.3026434833860101</v>
      </c>
      <c r="F1675" s="4">
        <v>1.1413769181986301E-7</v>
      </c>
      <c r="G1675" s="4">
        <v>1.7009085531567899E-6</v>
      </c>
      <c r="H1675" s="3" t="str">
        <f>"METTL27"</f>
        <v>METTL27</v>
      </c>
      <c r="I1675" s="3" t="str">
        <f t="shared" si="70"/>
        <v>protein_coding</v>
      </c>
    </row>
    <row r="1676" spans="1:9" x14ac:dyDescent="0.2">
      <c r="A1676" s="3" t="str">
        <f>"ENSG00000106683.15"</f>
        <v>ENSG00000106683.15</v>
      </c>
      <c r="B1676" s="3">
        <v>953.46786851897502</v>
      </c>
      <c r="C1676" s="3">
        <v>-1.3943431559730699</v>
      </c>
      <c r="D1676" s="3">
        <v>0.33097454519345298</v>
      </c>
      <c r="E1676" s="3">
        <v>-4.2128410665481297</v>
      </c>
      <c r="F1676" s="4">
        <v>2.5217851257853601E-5</v>
      </c>
      <c r="G1676" s="3">
        <v>2.36876418368673E-4</v>
      </c>
      <c r="H1676" s="3" t="str">
        <f>"LIMK1"</f>
        <v>LIMK1</v>
      </c>
      <c r="I1676" s="3" t="str">
        <f t="shared" si="70"/>
        <v>protein_coding</v>
      </c>
    </row>
    <row r="1677" spans="1:9" x14ac:dyDescent="0.2">
      <c r="A1677" s="3" t="str">
        <f>"ENSG00000049541.11"</f>
        <v>ENSG00000049541.11</v>
      </c>
      <c r="B1677" s="3">
        <v>1056.6850148404801</v>
      </c>
      <c r="C1677" s="3">
        <v>-1.72724180040624</v>
      </c>
      <c r="D1677" s="3">
        <v>0.276208449933115</v>
      </c>
      <c r="E1677" s="3">
        <v>-6.2533995640774203</v>
      </c>
      <c r="F1677" s="4">
        <v>4.0161287885821001E-10</v>
      </c>
      <c r="G1677" s="4">
        <v>8.6420632743184599E-9</v>
      </c>
      <c r="H1677" s="3" t="str">
        <f>"RFC2"</f>
        <v>RFC2</v>
      </c>
      <c r="I1677" s="3" t="str">
        <f t="shared" si="70"/>
        <v>protein_coding</v>
      </c>
    </row>
    <row r="1678" spans="1:9" x14ac:dyDescent="0.2">
      <c r="A1678" s="3" t="str">
        <f>"ENSG00000274523.5"</f>
        <v>ENSG00000274523.5</v>
      </c>
      <c r="B1678" s="3">
        <v>1960.9467923802599</v>
      </c>
      <c r="C1678" s="3">
        <v>-1.20621696557484</v>
      </c>
      <c r="D1678" s="3">
        <v>0.28348461692804</v>
      </c>
      <c r="E1678" s="3">
        <v>-4.2549644444411996</v>
      </c>
      <c r="F1678" s="4">
        <v>2.0908223711105901E-5</v>
      </c>
      <c r="G1678" s="3">
        <v>1.99071297294803E-4</v>
      </c>
      <c r="H1678" s="3" t="str">
        <f>"RCC1L"</f>
        <v>RCC1L</v>
      </c>
      <c r="I1678" s="3" t="str">
        <f t="shared" si="70"/>
        <v>protein_coding</v>
      </c>
    </row>
    <row r="1679" spans="1:9" x14ac:dyDescent="0.2">
      <c r="A1679" s="3" t="str">
        <f>"ENSG00000174428.17"</f>
        <v>ENSG00000174428.17</v>
      </c>
      <c r="B1679" s="3">
        <v>159.259311367023</v>
      </c>
      <c r="C1679" s="3">
        <v>-1.3687132223085401</v>
      </c>
      <c r="D1679" s="3">
        <v>0.34915606223795398</v>
      </c>
      <c r="E1679" s="3">
        <v>-3.9200614577207098</v>
      </c>
      <c r="F1679" s="4">
        <v>8.8526390241204896E-5</v>
      </c>
      <c r="G1679" s="3">
        <v>7.2869154009080797E-4</v>
      </c>
      <c r="H1679" s="3" t="str">
        <f>"GTF2IRD2B"</f>
        <v>GTF2IRD2B</v>
      </c>
      <c r="I1679" s="3" t="str">
        <f t="shared" si="70"/>
        <v>protein_coding</v>
      </c>
    </row>
    <row r="1680" spans="1:9" x14ac:dyDescent="0.2">
      <c r="A1680" s="3" t="str">
        <f>"ENSG00000177679.16"</f>
        <v>ENSG00000177679.16</v>
      </c>
      <c r="B1680" s="3">
        <v>164.65307670530601</v>
      </c>
      <c r="C1680" s="3">
        <v>2.4276409746197598</v>
      </c>
      <c r="D1680" s="3">
        <v>0.39043232987355397</v>
      </c>
      <c r="E1680" s="3">
        <v>6.2178277485524296</v>
      </c>
      <c r="F1680" s="4">
        <v>5.0408447522367301E-10</v>
      </c>
      <c r="G1680" s="4">
        <v>1.07277876262703E-8</v>
      </c>
      <c r="H1680" s="3" t="str">
        <f>"SRRM3"</f>
        <v>SRRM3</v>
      </c>
      <c r="I1680" s="3" t="str">
        <f t="shared" si="70"/>
        <v>protein_coding</v>
      </c>
    </row>
    <row r="1681" spans="1:9" x14ac:dyDescent="0.2">
      <c r="A1681" s="3" t="str">
        <f>"ENSG00000146707.14"</f>
        <v>ENSG00000146707.14</v>
      </c>
      <c r="B1681" s="3">
        <v>299.38214972416699</v>
      </c>
      <c r="C1681" s="3">
        <v>1.1727772905092499</v>
      </c>
      <c r="D1681" s="3">
        <v>0.29674277057807802</v>
      </c>
      <c r="E1681" s="3">
        <v>3.9521680283047602</v>
      </c>
      <c r="F1681" s="4">
        <v>7.7446327161188498E-5</v>
      </c>
      <c r="G1681" s="3">
        <v>6.4756441385864798E-4</v>
      </c>
      <c r="H1681" s="3" t="str">
        <f>"POMZP3"</f>
        <v>POMZP3</v>
      </c>
      <c r="I1681" s="3" t="str">
        <f t="shared" si="70"/>
        <v>protein_coding</v>
      </c>
    </row>
    <row r="1682" spans="1:9" x14ac:dyDescent="0.2">
      <c r="A1682" s="3" t="str">
        <f>"ENSG00000214439.4"</f>
        <v>ENSG00000214439.4</v>
      </c>
      <c r="B1682" s="3">
        <v>135.55456392312701</v>
      </c>
      <c r="C1682" s="3">
        <v>1.65301000014763</v>
      </c>
      <c r="D1682" s="3">
        <v>0.36491799393705099</v>
      </c>
      <c r="E1682" s="3">
        <v>4.5298122526475799</v>
      </c>
      <c r="F1682" s="4">
        <v>5.9036123931403001E-6</v>
      </c>
      <c r="G1682" s="4">
        <v>6.3818379780594903E-5</v>
      </c>
      <c r="H1682" s="3" t="str">
        <f>"FAM185BP"</f>
        <v>FAM185BP</v>
      </c>
      <c r="I1682" s="3" t="str">
        <f>"transcribed_unprocessed_pseudogene"</f>
        <v>transcribed_unprocessed_pseudogene</v>
      </c>
    </row>
    <row r="1683" spans="1:9" x14ac:dyDescent="0.2">
      <c r="A1683" s="3" t="str">
        <f>"ENSG00000127955.17"</f>
        <v>ENSG00000127955.17</v>
      </c>
      <c r="B1683" s="3">
        <v>1059.93932129565</v>
      </c>
      <c r="C1683" s="3">
        <v>3.60116129895329</v>
      </c>
      <c r="D1683" s="3">
        <v>0.26534833761372401</v>
      </c>
      <c r="E1683" s="3">
        <v>13.5714485017638</v>
      </c>
      <c r="F1683" s="4">
        <v>5.9141605632255103E-42</v>
      </c>
      <c r="G1683" s="4">
        <v>1.08591758370758E-39</v>
      </c>
      <c r="H1683" s="3" t="str">
        <f>"GNAI1"</f>
        <v>GNAI1</v>
      </c>
      <c r="I1683" s="3" t="str">
        <f>"protein_coding"</f>
        <v>protein_coding</v>
      </c>
    </row>
    <row r="1684" spans="1:9" x14ac:dyDescent="0.2">
      <c r="A1684" s="3" t="str">
        <f>"ENSG00000135218.19"</f>
        <v>ENSG00000135218.19</v>
      </c>
      <c r="B1684" s="3">
        <v>99.216020358416202</v>
      </c>
      <c r="C1684" s="3">
        <v>1.72971163118039</v>
      </c>
      <c r="D1684" s="3">
        <v>0.42207702769417699</v>
      </c>
      <c r="E1684" s="3">
        <v>4.0980947023576899</v>
      </c>
      <c r="F1684" s="4">
        <v>4.1656485673658397E-5</v>
      </c>
      <c r="G1684" s="3">
        <v>3.71848437587252E-4</v>
      </c>
      <c r="H1684" s="3" t="str">
        <f>"CD36"</f>
        <v>CD36</v>
      </c>
      <c r="I1684" s="3" t="str">
        <f>"protein_coding"</f>
        <v>protein_coding</v>
      </c>
    </row>
    <row r="1685" spans="1:9" x14ac:dyDescent="0.2">
      <c r="A1685" s="3" t="str">
        <f>"ENSG00000186472.20"</f>
        <v>ENSG00000186472.20</v>
      </c>
      <c r="B1685" s="3">
        <v>126.891609333319</v>
      </c>
      <c r="C1685" s="3">
        <v>1.86521036506923</v>
      </c>
      <c r="D1685" s="3">
        <v>0.38201613035074899</v>
      </c>
      <c r="E1685" s="3">
        <v>4.8825434762576299</v>
      </c>
      <c r="F1685" s="4">
        <v>1.0472613918343799E-6</v>
      </c>
      <c r="G1685" s="4">
        <v>1.3054440194050501E-5</v>
      </c>
      <c r="H1685" s="3" t="str">
        <f>"PCLO"</f>
        <v>PCLO</v>
      </c>
      <c r="I1685" s="3" t="str">
        <f>"protein_coding"</f>
        <v>protein_coding</v>
      </c>
    </row>
    <row r="1686" spans="1:9" x14ac:dyDescent="0.2">
      <c r="A1686" s="3" t="str">
        <f>"ENSG00000164659.15"</f>
        <v>ENSG00000164659.15</v>
      </c>
      <c r="B1686" s="3">
        <v>526.28397255288496</v>
      </c>
      <c r="C1686" s="3">
        <v>2.1482222449039101</v>
      </c>
      <c r="D1686" s="3">
        <v>0.31160261605226097</v>
      </c>
      <c r="E1686" s="3">
        <v>6.8941085030673301</v>
      </c>
      <c r="F1686" s="4">
        <v>5.4203641801154797E-12</v>
      </c>
      <c r="G1686" s="4">
        <v>1.4428493222307401E-10</v>
      </c>
      <c r="H1686" s="3" t="str">
        <f>"KIAA1324L"</f>
        <v>KIAA1324L</v>
      </c>
      <c r="I1686" s="3" t="str">
        <f>"protein_coding"</f>
        <v>protein_coding</v>
      </c>
    </row>
    <row r="1687" spans="1:9" x14ac:dyDescent="0.2">
      <c r="A1687" s="3" t="str">
        <f>"ENSG00000182165.17"</f>
        <v>ENSG00000182165.17</v>
      </c>
      <c r="B1687" s="3">
        <v>577.94762877109497</v>
      </c>
      <c r="C1687" s="3">
        <v>3.3549934502766701</v>
      </c>
      <c r="D1687" s="3">
        <v>0.28593357456948598</v>
      </c>
      <c r="E1687" s="3">
        <v>11.733471507597899</v>
      </c>
      <c r="F1687" s="4">
        <v>8.5863447975182199E-32</v>
      </c>
      <c r="G1687" s="4">
        <v>9.5995334836253696E-30</v>
      </c>
      <c r="H1687" s="3" t="str">
        <f>"TP53TG1"</f>
        <v>TP53TG1</v>
      </c>
      <c r="I1687" s="3" t="str">
        <f>"lincRNA"</f>
        <v>lincRNA</v>
      </c>
    </row>
    <row r="1688" spans="1:9" x14ac:dyDescent="0.2">
      <c r="A1688" s="3" t="str">
        <f>"ENSG00000005469.11"</f>
        <v>ENSG00000005469.11</v>
      </c>
      <c r="B1688" s="3">
        <v>620.82056763664104</v>
      </c>
      <c r="C1688" s="3">
        <v>2.1450732508873802</v>
      </c>
      <c r="D1688" s="3">
        <v>0.32066316838336101</v>
      </c>
      <c r="E1688" s="3">
        <v>6.6894906006881598</v>
      </c>
      <c r="F1688" s="4">
        <v>2.2394876791938499E-11</v>
      </c>
      <c r="G1688" s="4">
        <v>5.5392637728732898E-10</v>
      </c>
      <c r="H1688" s="3" t="str">
        <f>"CROT"</f>
        <v>CROT</v>
      </c>
      <c r="I1688" s="3" t="str">
        <f t="shared" ref="I1688:I1693" si="71">"protein_coding"</f>
        <v>protein_coding</v>
      </c>
    </row>
    <row r="1689" spans="1:9" x14ac:dyDescent="0.2">
      <c r="A1689" s="3" t="str">
        <f>"ENSG00000005471.17"</f>
        <v>ENSG00000005471.17</v>
      </c>
      <c r="B1689" s="3">
        <v>221.053503665829</v>
      </c>
      <c r="C1689" s="3">
        <v>-2.2686260531168898</v>
      </c>
      <c r="D1689" s="3">
        <v>0.353167737429323</v>
      </c>
      <c r="E1689" s="3">
        <v>-6.4236503300953203</v>
      </c>
      <c r="F1689" s="4">
        <v>1.3304462595765901E-10</v>
      </c>
      <c r="G1689" s="4">
        <v>3.0096560845008101E-9</v>
      </c>
      <c r="H1689" s="3" t="str">
        <f>"ABCB4"</f>
        <v>ABCB4</v>
      </c>
      <c r="I1689" s="3" t="str">
        <f t="shared" si="71"/>
        <v>protein_coding</v>
      </c>
    </row>
    <row r="1690" spans="1:9" x14ac:dyDescent="0.2">
      <c r="A1690" s="3" t="str">
        <f>"ENSG00000085563.14"</f>
        <v>ENSG00000085563.14</v>
      </c>
      <c r="B1690" s="3">
        <v>314.45472984098302</v>
      </c>
      <c r="C1690" s="3">
        <v>-1.0506975888388199</v>
      </c>
      <c r="D1690" s="3">
        <v>0.30767003557549999</v>
      </c>
      <c r="E1690" s="3">
        <v>-3.4150143574218301</v>
      </c>
      <c r="F1690" s="3">
        <v>6.3778649636462496E-4</v>
      </c>
      <c r="G1690" s="3">
        <v>4.14882837239518E-3</v>
      </c>
      <c r="H1690" s="3" t="str">
        <f>"ABCB1"</f>
        <v>ABCB1</v>
      </c>
      <c r="I1690" s="3" t="str">
        <f t="shared" si="71"/>
        <v>protein_coding</v>
      </c>
    </row>
    <row r="1691" spans="1:9" x14ac:dyDescent="0.2">
      <c r="A1691" s="3" t="str">
        <f>"ENSG00000008277.14"</f>
        <v>ENSG00000008277.14</v>
      </c>
      <c r="B1691" s="3">
        <v>341.95112181055703</v>
      </c>
      <c r="C1691" s="3">
        <v>-1.4982950530606201</v>
      </c>
      <c r="D1691" s="3">
        <v>0.310246359594257</v>
      </c>
      <c r="E1691" s="3">
        <v>-4.8293719063137699</v>
      </c>
      <c r="F1691" s="4">
        <v>1.3696438791190501E-6</v>
      </c>
      <c r="G1691" s="4">
        <v>1.6556170965516499E-5</v>
      </c>
      <c r="H1691" s="3" t="str">
        <f>"ADAM22"</f>
        <v>ADAM22</v>
      </c>
      <c r="I1691" s="3" t="str">
        <f t="shared" si="71"/>
        <v>protein_coding</v>
      </c>
    </row>
    <row r="1692" spans="1:9" x14ac:dyDescent="0.2">
      <c r="A1692" s="3" t="str">
        <f>"ENSG00000164647.9"</f>
        <v>ENSG00000164647.9</v>
      </c>
      <c r="B1692" s="3">
        <v>163.78785871050101</v>
      </c>
      <c r="C1692" s="3">
        <v>-2.9550114970280799</v>
      </c>
      <c r="D1692" s="3">
        <v>0.401164782056109</v>
      </c>
      <c r="E1692" s="3">
        <v>-7.3660790508145304</v>
      </c>
      <c r="F1692" s="4">
        <v>1.75719648565656E-13</v>
      </c>
      <c r="G1692" s="4">
        <v>5.553049949333E-12</v>
      </c>
      <c r="H1692" s="3" t="str">
        <f>"STEAP1"</f>
        <v>STEAP1</v>
      </c>
      <c r="I1692" s="3" t="str">
        <f t="shared" si="71"/>
        <v>protein_coding</v>
      </c>
    </row>
    <row r="1693" spans="1:9" x14ac:dyDescent="0.2">
      <c r="A1693" s="3" t="str">
        <f>"ENSG00000157214.14"</f>
        <v>ENSG00000157214.14</v>
      </c>
      <c r="B1693" s="3">
        <v>78.477097345321994</v>
      </c>
      <c r="C1693" s="3">
        <v>-1.89088595406311</v>
      </c>
      <c r="D1693" s="3">
        <v>0.451063648632202</v>
      </c>
      <c r="E1693" s="3">
        <v>-4.19206016666827</v>
      </c>
      <c r="F1693" s="4">
        <v>2.7643265624434099E-5</v>
      </c>
      <c r="G1693" s="3">
        <v>2.5659274789027303E-4</v>
      </c>
      <c r="H1693" s="3" t="str">
        <f>"STEAP2"</f>
        <v>STEAP2</v>
      </c>
      <c r="I1693" s="3" t="str">
        <f t="shared" si="71"/>
        <v>protein_coding</v>
      </c>
    </row>
    <row r="1694" spans="1:9" x14ac:dyDescent="0.2">
      <c r="A1694" s="3" t="str">
        <f>"ENSG00000243144.6"</f>
        <v>ENSG00000243144.6</v>
      </c>
      <c r="B1694" s="3">
        <v>20.1291537714797</v>
      </c>
      <c r="C1694" s="3">
        <v>2.11514944115229</v>
      </c>
      <c r="D1694" s="3">
        <v>0.78418582705686801</v>
      </c>
      <c r="E1694" s="3">
        <v>2.6972553802593899</v>
      </c>
      <c r="F1694" s="3">
        <v>6.9913630158781898E-3</v>
      </c>
      <c r="G1694" s="3">
        <v>3.1287624384347297E-2</v>
      </c>
      <c r="H1694" s="3" t="str">
        <f>"AC079760.2"</f>
        <v>AC079760.2</v>
      </c>
      <c r="I1694" s="3" t="str">
        <f>"lincRNA"</f>
        <v>lincRNA</v>
      </c>
    </row>
    <row r="1695" spans="1:9" x14ac:dyDescent="0.2">
      <c r="A1695" s="3" t="str">
        <f>"ENSG00000127914.16"</f>
        <v>ENSG00000127914.16</v>
      </c>
      <c r="B1695" s="3">
        <v>6042.0744384806603</v>
      </c>
      <c r="C1695" s="3">
        <v>1.60347195403556</v>
      </c>
      <c r="D1695" s="3">
        <v>0.27828378636042</v>
      </c>
      <c r="E1695" s="3">
        <v>5.7620027922101604</v>
      </c>
      <c r="F1695" s="4">
        <v>8.3121622947096993E-9</v>
      </c>
      <c r="G1695" s="4">
        <v>1.48292512427959E-7</v>
      </c>
      <c r="H1695" s="3" t="str">
        <f>"AKAP9"</f>
        <v>AKAP9</v>
      </c>
      <c r="I1695" s="3" t="str">
        <f>"protein_coding"</f>
        <v>protein_coding</v>
      </c>
    </row>
    <row r="1696" spans="1:9" x14ac:dyDescent="0.2">
      <c r="A1696" s="3" t="str">
        <f>"ENSG00000001630.17"</f>
        <v>ENSG00000001630.17</v>
      </c>
      <c r="B1696" s="3">
        <v>198.77315186413199</v>
      </c>
      <c r="C1696" s="3">
        <v>-1.3406691934644199</v>
      </c>
      <c r="D1696" s="3">
        <v>0.35140090199774299</v>
      </c>
      <c r="E1696" s="3">
        <v>-3.8152127266680602</v>
      </c>
      <c r="F1696" s="3">
        <v>1.36065666500016E-4</v>
      </c>
      <c r="G1696" s="3">
        <v>1.06342005269051E-3</v>
      </c>
      <c r="H1696" s="3" t="str">
        <f>"CYP51A1"</f>
        <v>CYP51A1</v>
      </c>
      <c r="I1696" s="3" t="str">
        <f>"protein_coding"</f>
        <v>protein_coding</v>
      </c>
    </row>
    <row r="1697" spans="1:9" x14ac:dyDescent="0.2">
      <c r="A1697" s="3" t="str">
        <f>"ENSG00000127980.16"</f>
        <v>ENSG00000127980.16</v>
      </c>
      <c r="B1697" s="3">
        <v>1093.43411824546</v>
      </c>
      <c r="C1697" s="3">
        <v>1.25919493407961</v>
      </c>
      <c r="D1697" s="3">
        <v>0.27924418295437697</v>
      </c>
      <c r="E1697" s="3">
        <v>4.5092969198407102</v>
      </c>
      <c r="F1697" s="4">
        <v>6.5042823139547097E-6</v>
      </c>
      <c r="G1697" s="4">
        <v>6.9742208698862199E-5</v>
      </c>
      <c r="H1697" s="3" t="str">
        <f>"PEX1"</f>
        <v>PEX1</v>
      </c>
      <c r="I1697" s="3" t="str">
        <f>"protein_coding"</f>
        <v>protein_coding</v>
      </c>
    </row>
    <row r="1698" spans="1:9" x14ac:dyDescent="0.2">
      <c r="A1698" s="3" t="str">
        <f>"ENSG00000206763.1"</f>
        <v>ENSG00000206763.1</v>
      </c>
      <c r="B1698" s="3">
        <v>37.587605295798099</v>
      </c>
      <c r="C1698" s="3">
        <v>2.5210203827819</v>
      </c>
      <c r="D1698" s="3">
        <v>0.64700345770627998</v>
      </c>
      <c r="E1698" s="3">
        <v>3.8964558114098402</v>
      </c>
      <c r="F1698" s="4">
        <v>9.7610606887011994E-5</v>
      </c>
      <c r="G1698" s="3">
        <v>7.9462615412387902E-4</v>
      </c>
      <c r="H1698" s="3" t="str">
        <f>"RNU6-10P"</f>
        <v>RNU6-10P</v>
      </c>
      <c r="I1698" s="3" t="str">
        <f>"snRNA"</f>
        <v>snRNA</v>
      </c>
    </row>
    <row r="1699" spans="1:9" x14ac:dyDescent="0.2">
      <c r="A1699" s="3" t="str">
        <f>"ENSG00000205413.8"</f>
        <v>ENSG00000205413.8</v>
      </c>
      <c r="B1699" s="3">
        <v>174.487460615576</v>
      </c>
      <c r="C1699" s="3">
        <v>-2.5885405861327602</v>
      </c>
      <c r="D1699" s="3">
        <v>0.45148484417439799</v>
      </c>
      <c r="E1699" s="3">
        <v>-5.7333941981291998</v>
      </c>
      <c r="F1699" s="4">
        <v>9.8440481913118399E-9</v>
      </c>
      <c r="G1699" s="4">
        <v>1.73529805362613E-7</v>
      </c>
      <c r="H1699" s="3" t="str">
        <f>"SAMD9"</f>
        <v>SAMD9</v>
      </c>
      <c r="I1699" s="3" t="str">
        <f>"protein_coding"</f>
        <v>protein_coding</v>
      </c>
    </row>
    <row r="1700" spans="1:9" x14ac:dyDescent="0.2">
      <c r="A1700" s="3" t="str">
        <f>"ENSG00000158528.12"</f>
        <v>ENSG00000158528.12</v>
      </c>
      <c r="B1700" s="3">
        <v>1928.53904997983</v>
      </c>
      <c r="C1700" s="3">
        <v>1.0038315946962899</v>
      </c>
      <c r="D1700" s="3">
        <v>0.27549439600257303</v>
      </c>
      <c r="E1700" s="3">
        <v>3.6437459682007902</v>
      </c>
      <c r="F1700" s="3">
        <v>2.6869862762406502E-4</v>
      </c>
      <c r="G1700" s="3">
        <v>1.9394875115877599E-3</v>
      </c>
      <c r="H1700" s="3" t="str">
        <f>"PPP1R9A"</f>
        <v>PPP1R9A</v>
      </c>
      <c r="I1700" s="3" t="str">
        <f>"protein_coding"</f>
        <v>protein_coding</v>
      </c>
    </row>
    <row r="1701" spans="1:9" x14ac:dyDescent="0.2">
      <c r="A1701" s="3" t="str">
        <f>"ENSG00000005421.8"</f>
        <v>ENSG00000005421.8</v>
      </c>
      <c r="B1701" s="3">
        <v>13.4420581646221</v>
      </c>
      <c r="C1701" s="3">
        <v>-2.6869351279465299</v>
      </c>
      <c r="D1701" s="3">
        <v>0.99670891854274501</v>
      </c>
      <c r="E1701" s="3">
        <v>-2.6958072491966898</v>
      </c>
      <c r="F1701" s="3">
        <v>7.0218286016567998E-3</v>
      </c>
      <c r="G1701" s="3">
        <v>3.1384878904526799E-2</v>
      </c>
      <c r="H1701" s="3" t="str">
        <f>"PON1"</f>
        <v>PON1</v>
      </c>
      <c r="I1701" s="3" t="str">
        <f>"protein_coding"</f>
        <v>protein_coding</v>
      </c>
    </row>
    <row r="1702" spans="1:9" x14ac:dyDescent="0.2">
      <c r="A1702" s="3" t="str">
        <f>"ENSG00000005981.13"</f>
        <v>ENSG00000005981.13</v>
      </c>
      <c r="B1702" s="3">
        <v>203.994033315857</v>
      </c>
      <c r="C1702" s="3">
        <v>-1.12269848835136</v>
      </c>
      <c r="D1702" s="3">
        <v>0.33943210013888497</v>
      </c>
      <c r="E1702" s="3">
        <v>-3.30757900591014</v>
      </c>
      <c r="F1702" s="3">
        <v>9.4106162844387201E-4</v>
      </c>
      <c r="G1702" s="3">
        <v>5.7977970275546404E-3</v>
      </c>
      <c r="H1702" s="3" t="str">
        <f>"ASB4"</f>
        <v>ASB4</v>
      </c>
      <c r="I1702" s="3" t="str">
        <f>"protein_coding"</f>
        <v>protein_coding</v>
      </c>
    </row>
    <row r="1703" spans="1:9" x14ac:dyDescent="0.2">
      <c r="A1703" s="3" t="str">
        <f>"ENSG00000208025.1"</f>
        <v>ENSG00000208025.1</v>
      </c>
      <c r="B1703" s="3">
        <v>14.5163161653809</v>
      </c>
      <c r="C1703" s="3">
        <v>2.7524390299719199</v>
      </c>
      <c r="D1703" s="3">
        <v>0.95778703959215195</v>
      </c>
      <c r="E1703" s="3">
        <v>2.8737484599331999</v>
      </c>
      <c r="F1703" s="3">
        <v>4.0563188305525197E-3</v>
      </c>
      <c r="G1703" s="3">
        <v>1.9932936155996998E-2</v>
      </c>
      <c r="H1703" s="3" t="str">
        <f>"MIR591"</f>
        <v>MIR591</v>
      </c>
      <c r="I1703" s="3" t="str">
        <f>"miRNA"</f>
        <v>miRNA</v>
      </c>
    </row>
    <row r="1704" spans="1:9" x14ac:dyDescent="0.2">
      <c r="A1704" s="3" t="str">
        <f>"ENSG00000180535.3"</f>
        <v>ENSG00000180535.3</v>
      </c>
      <c r="B1704" s="3">
        <v>35.589094665977498</v>
      </c>
      <c r="C1704" s="3">
        <v>-2.7543039711018902</v>
      </c>
      <c r="D1704" s="3">
        <v>0.69507290662756405</v>
      </c>
      <c r="E1704" s="3">
        <v>-3.9626116121624402</v>
      </c>
      <c r="F1704" s="4">
        <v>7.41343303879779E-5</v>
      </c>
      <c r="G1704" s="3">
        <v>6.2327843613288296E-4</v>
      </c>
      <c r="H1704" s="3" t="str">
        <f>"BHLHA15"</f>
        <v>BHLHA15</v>
      </c>
      <c r="I1704" s="3" t="str">
        <f>"protein_coding"</f>
        <v>protein_coding</v>
      </c>
    </row>
    <row r="1705" spans="1:9" x14ac:dyDescent="0.2">
      <c r="A1705" s="3" t="str">
        <f>"ENSG00000205356.9"</f>
        <v>ENSG00000205356.9</v>
      </c>
      <c r="B1705" s="3">
        <v>476.75917847045599</v>
      </c>
      <c r="C1705" s="3">
        <v>1.21861492483553</v>
      </c>
      <c r="D1705" s="3">
        <v>0.31843934590684397</v>
      </c>
      <c r="E1705" s="3">
        <v>3.82683528433079</v>
      </c>
      <c r="F1705" s="3">
        <v>1.2980130865698999E-4</v>
      </c>
      <c r="G1705" s="3">
        <v>1.0201952292704099E-3</v>
      </c>
      <c r="H1705" s="3" t="str">
        <f>"TECPR1"</f>
        <v>TECPR1</v>
      </c>
      <c r="I1705" s="3" t="str">
        <f>"protein_coding"</f>
        <v>protein_coding</v>
      </c>
    </row>
    <row r="1706" spans="1:9" x14ac:dyDescent="0.2">
      <c r="A1706" s="3" t="str">
        <f>"ENSG00000006453.14"</f>
        <v>ENSG00000006453.14</v>
      </c>
      <c r="B1706" s="3">
        <v>1686.5660114257601</v>
      </c>
      <c r="C1706" s="3">
        <v>1.1943722790458799</v>
      </c>
      <c r="D1706" s="3">
        <v>0.243498399321005</v>
      </c>
      <c r="E1706" s="3">
        <v>4.9050518704697001</v>
      </c>
      <c r="F1706" s="4">
        <v>9.3402653116507399E-7</v>
      </c>
      <c r="G1706" s="4">
        <v>1.1747718695728701E-5</v>
      </c>
      <c r="H1706" s="3" t="str">
        <f>"BAIAP2L1"</f>
        <v>BAIAP2L1</v>
      </c>
      <c r="I1706" s="3" t="str">
        <f>"protein_coding"</f>
        <v>protein_coding</v>
      </c>
    </row>
    <row r="1707" spans="1:9" x14ac:dyDescent="0.2">
      <c r="A1707" s="3" t="str">
        <f>"ENSG00000002079.14"</f>
        <v>ENSG00000002079.14</v>
      </c>
      <c r="B1707" s="3">
        <v>238.897540464147</v>
      </c>
      <c r="C1707" s="3">
        <v>6.3950012088797896</v>
      </c>
      <c r="D1707" s="3">
        <v>0.53182710438681302</v>
      </c>
      <c r="E1707" s="3">
        <v>12.0245868556344</v>
      </c>
      <c r="F1707" s="4">
        <v>2.6390482716994601E-33</v>
      </c>
      <c r="G1707" s="4">
        <v>3.0876864778883702E-31</v>
      </c>
      <c r="H1707" s="3" t="str">
        <f>"MYH16"</f>
        <v>MYH16</v>
      </c>
      <c r="I1707" s="3" t="str">
        <f>"transcribed_unitary_pseudogene"</f>
        <v>transcribed_unitary_pseudogene</v>
      </c>
    </row>
    <row r="1708" spans="1:9" x14ac:dyDescent="0.2">
      <c r="A1708" s="3" t="str">
        <f>"ENSG00000160917.15"</f>
        <v>ENSG00000160917.15</v>
      </c>
      <c r="B1708" s="3">
        <v>3252.59261581695</v>
      </c>
      <c r="C1708" s="3">
        <v>2.90504242536776</v>
      </c>
      <c r="D1708" s="3">
        <v>0.29178724079048501</v>
      </c>
      <c r="E1708" s="3">
        <v>9.9560296656483906</v>
      </c>
      <c r="F1708" s="4">
        <v>2.3735296849577301E-23</v>
      </c>
      <c r="G1708" s="4">
        <v>1.61805255352606E-21</v>
      </c>
      <c r="H1708" s="3" t="str">
        <f>"CPSF4"</f>
        <v>CPSF4</v>
      </c>
      <c r="I1708" s="3" t="str">
        <f>"protein_coding"</f>
        <v>protein_coding</v>
      </c>
    </row>
    <row r="1709" spans="1:9" x14ac:dyDescent="0.2">
      <c r="A1709" s="3" t="str">
        <f>"ENSG00000197343.11"</f>
        <v>ENSG00000197343.11</v>
      </c>
      <c r="B1709" s="3">
        <v>2735.9612696639902</v>
      </c>
      <c r="C1709" s="3">
        <v>1.3449198547933701</v>
      </c>
      <c r="D1709" s="3">
        <v>0.26713170352360699</v>
      </c>
      <c r="E1709" s="3">
        <v>5.0346695545799101</v>
      </c>
      <c r="F1709" s="4">
        <v>4.7867383069317704E-7</v>
      </c>
      <c r="G1709" s="4">
        <v>6.3878197406296302E-6</v>
      </c>
      <c r="H1709" s="3" t="str">
        <f>"ZNF655"</f>
        <v>ZNF655</v>
      </c>
      <c r="I1709" s="3" t="str">
        <f>"protein_coding"</f>
        <v>protein_coding</v>
      </c>
    </row>
    <row r="1710" spans="1:9" x14ac:dyDescent="0.2">
      <c r="A1710" s="3" t="str">
        <f>"ENSG00000106258.15"</f>
        <v>ENSG00000106258.15</v>
      </c>
      <c r="B1710" s="3">
        <v>204.15868472354401</v>
      </c>
      <c r="C1710" s="3">
        <v>1.4556150451685701</v>
      </c>
      <c r="D1710" s="3">
        <v>0.35481998063716003</v>
      </c>
      <c r="E1710" s="3">
        <v>4.1024043870209299</v>
      </c>
      <c r="F1710" s="4">
        <v>4.0887883877406497E-5</v>
      </c>
      <c r="G1710" s="3">
        <v>3.6524670416767101E-4</v>
      </c>
      <c r="H1710" s="3" t="str">
        <f>"CYP3A5"</f>
        <v>CYP3A5</v>
      </c>
      <c r="I1710" s="3" t="str">
        <f>"protein_coding"</f>
        <v>protein_coding</v>
      </c>
    </row>
    <row r="1711" spans="1:9" x14ac:dyDescent="0.2">
      <c r="A1711" s="3" t="str">
        <f>"ENSG00000160870.14"</f>
        <v>ENSG00000160870.14</v>
      </c>
      <c r="B1711" s="3">
        <v>58.268201538354198</v>
      </c>
      <c r="C1711" s="3">
        <v>1.7044593753232899</v>
      </c>
      <c r="D1711" s="3">
        <v>0.50381776160952196</v>
      </c>
      <c r="E1711" s="3">
        <v>3.3830871104626001</v>
      </c>
      <c r="F1711" s="3">
        <v>7.16758936901389E-4</v>
      </c>
      <c r="G1711" s="3">
        <v>4.6018558085131299E-3</v>
      </c>
      <c r="H1711" s="3" t="str">
        <f>"CYP3A7"</f>
        <v>CYP3A7</v>
      </c>
      <c r="I1711" s="3" t="str">
        <f>"protein_coding"</f>
        <v>protein_coding</v>
      </c>
    </row>
    <row r="1712" spans="1:9" x14ac:dyDescent="0.2">
      <c r="A1712" s="3" t="str">
        <f>"ENSG00000021461.16"</f>
        <v>ENSG00000021461.16</v>
      </c>
      <c r="B1712" s="3">
        <v>157.534769035339</v>
      </c>
      <c r="C1712" s="3">
        <v>3.41513806548368</v>
      </c>
      <c r="D1712" s="3">
        <v>0.41646637599024899</v>
      </c>
      <c r="E1712" s="3">
        <v>8.2002732090036297</v>
      </c>
      <c r="F1712" s="4">
        <v>2.3984131296025999E-16</v>
      </c>
      <c r="G1712" s="4">
        <v>1.00053204436407E-14</v>
      </c>
      <c r="H1712" s="3" t="str">
        <f>"CYP3A43"</f>
        <v>CYP3A43</v>
      </c>
      <c r="I1712" s="3" t="str">
        <f>"protein_coding"</f>
        <v>protein_coding</v>
      </c>
    </row>
    <row r="1713" spans="1:9" x14ac:dyDescent="0.2">
      <c r="A1713" s="3" t="str">
        <f>"ENSG00000237640.1"</f>
        <v>ENSG00000237640.1</v>
      </c>
      <c r="B1713" s="3">
        <v>6.6563487352621404</v>
      </c>
      <c r="C1713" s="3">
        <v>-6.1282861281756</v>
      </c>
      <c r="D1713" s="3">
        <v>1.90794921249851</v>
      </c>
      <c r="E1713" s="3">
        <v>-3.2119755012505999</v>
      </c>
      <c r="F1713" s="3">
        <v>1.31825616318725E-3</v>
      </c>
      <c r="G1713" s="3">
        <v>7.7189790002270301E-3</v>
      </c>
      <c r="H1713" s="3" t="str">
        <f>"AC004522.2"</f>
        <v>AC004522.2</v>
      </c>
      <c r="I1713" s="3" t="str">
        <f>"antisense"</f>
        <v>antisense</v>
      </c>
    </row>
    <row r="1714" spans="1:9" x14ac:dyDescent="0.2">
      <c r="A1714" s="3" t="str">
        <f>"ENSG00000166508.17"</f>
        <v>ENSG00000166508.17</v>
      </c>
      <c r="B1714" s="3">
        <v>5387.42176301372</v>
      </c>
      <c r="C1714" s="3">
        <v>-1.49573280893352</v>
      </c>
      <c r="D1714" s="3">
        <v>0.28947260190040902</v>
      </c>
      <c r="E1714" s="3">
        <v>-5.1670962955178803</v>
      </c>
      <c r="F1714" s="4">
        <v>2.3775878311648901E-7</v>
      </c>
      <c r="G1714" s="4">
        <v>3.3431091052517002E-6</v>
      </c>
      <c r="H1714" s="3" t="str">
        <f>"MCM7"</f>
        <v>MCM7</v>
      </c>
      <c r="I1714" s="3" t="str">
        <f t="shared" ref="I1714:I1721" si="72">"protein_coding"</f>
        <v>protein_coding</v>
      </c>
    </row>
    <row r="1715" spans="1:9" x14ac:dyDescent="0.2">
      <c r="A1715" s="3" t="str">
        <f>"ENSG00000221838.9"</f>
        <v>ENSG00000221838.9</v>
      </c>
      <c r="B1715" s="3">
        <v>308.13465120258002</v>
      </c>
      <c r="C1715" s="3">
        <v>-1.14025490520802</v>
      </c>
      <c r="D1715" s="3">
        <v>0.32140170704350302</v>
      </c>
      <c r="E1715" s="3">
        <v>-3.5477562197691901</v>
      </c>
      <c r="F1715" s="3">
        <v>3.8852764858817698E-4</v>
      </c>
      <c r="G1715" s="3">
        <v>2.68352910495211E-3</v>
      </c>
      <c r="H1715" s="3" t="str">
        <f>"AP4M1"</f>
        <v>AP4M1</v>
      </c>
      <c r="I1715" s="3" t="str">
        <f t="shared" si="72"/>
        <v>protein_coding</v>
      </c>
    </row>
    <row r="1716" spans="1:9" x14ac:dyDescent="0.2">
      <c r="A1716" s="3" t="str">
        <f>"ENSG00000166997.8"</f>
        <v>ENSG00000166997.8</v>
      </c>
      <c r="B1716" s="3">
        <v>190.20498130701901</v>
      </c>
      <c r="C1716" s="3">
        <v>-1.2669615763019999</v>
      </c>
      <c r="D1716" s="3">
        <v>0.36210468428926501</v>
      </c>
      <c r="E1716" s="3">
        <v>-3.4988820395648199</v>
      </c>
      <c r="F1716" s="3">
        <v>4.6721322958287697E-4</v>
      </c>
      <c r="G1716" s="3">
        <v>3.1517159533808702E-3</v>
      </c>
      <c r="H1716" s="3" t="str">
        <f>"CNPY4"</f>
        <v>CNPY4</v>
      </c>
      <c r="I1716" s="3" t="str">
        <f t="shared" si="72"/>
        <v>protein_coding</v>
      </c>
    </row>
    <row r="1717" spans="1:9" x14ac:dyDescent="0.2">
      <c r="A1717" s="3" t="str">
        <f>"ENSG00000214309.5"</f>
        <v>ENSG00000214309.5</v>
      </c>
      <c r="B1717" s="3">
        <v>65.140717998308901</v>
      </c>
      <c r="C1717" s="3">
        <v>-1.7374028266206301</v>
      </c>
      <c r="D1717" s="3">
        <v>0.473555787739045</v>
      </c>
      <c r="E1717" s="3">
        <v>-3.6688450898588401</v>
      </c>
      <c r="F1717" s="3">
        <v>2.4364865075550101E-4</v>
      </c>
      <c r="G1717" s="3">
        <v>1.77766844920547E-3</v>
      </c>
      <c r="H1717" s="3" t="str">
        <f>"MBLAC1"</f>
        <v>MBLAC1</v>
      </c>
      <c r="I1717" s="3" t="str">
        <f t="shared" si="72"/>
        <v>protein_coding</v>
      </c>
    </row>
    <row r="1718" spans="1:9" x14ac:dyDescent="0.2">
      <c r="A1718" s="3" t="str">
        <f>"ENSG00000197093.11"</f>
        <v>ENSG00000197093.11</v>
      </c>
      <c r="B1718" s="3">
        <v>707.53932994549905</v>
      </c>
      <c r="C1718" s="3">
        <v>6.8898832885318999</v>
      </c>
      <c r="D1718" s="3">
        <v>0.40405728149515702</v>
      </c>
      <c r="E1718" s="3">
        <v>17.051748858569901</v>
      </c>
      <c r="F1718" s="4">
        <v>3.3922967422761099E-65</v>
      </c>
      <c r="G1718" s="4">
        <v>1.4712624922750999E-62</v>
      </c>
      <c r="H1718" s="3" t="str">
        <f>"GAL3ST4"</f>
        <v>GAL3ST4</v>
      </c>
      <c r="I1718" s="3" t="str">
        <f t="shared" si="72"/>
        <v>protein_coding</v>
      </c>
    </row>
    <row r="1719" spans="1:9" x14ac:dyDescent="0.2">
      <c r="A1719" s="3" t="str">
        <f>"ENSG00000239521.8"</f>
        <v>ENSG00000239521.8</v>
      </c>
      <c r="B1719" s="3">
        <v>1483.51452425967</v>
      </c>
      <c r="C1719" s="3">
        <v>1.72222800627441</v>
      </c>
      <c r="D1719" s="3">
        <v>0.26070997278430602</v>
      </c>
      <c r="E1719" s="3">
        <v>6.6059153314371697</v>
      </c>
      <c r="F1719" s="4">
        <v>3.95068646133185E-11</v>
      </c>
      <c r="G1719" s="4">
        <v>9.491835523858901E-10</v>
      </c>
      <c r="H1719" s="3" t="str">
        <f>"CASTOR3"</f>
        <v>CASTOR3</v>
      </c>
      <c r="I1719" s="3" t="str">
        <f t="shared" si="72"/>
        <v>protein_coding</v>
      </c>
    </row>
    <row r="1720" spans="1:9" x14ac:dyDescent="0.2">
      <c r="A1720" s="3" t="str">
        <f>"ENSG00000166924.9"</f>
        <v>ENSG00000166924.9</v>
      </c>
      <c r="B1720" s="3">
        <v>82.737144274489793</v>
      </c>
      <c r="C1720" s="3">
        <v>2.52352146068197</v>
      </c>
      <c r="D1720" s="3">
        <v>0.49364713045618203</v>
      </c>
      <c r="E1720" s="3">
        <v>5.1119945908527296</v>
      </c>
      <c r="F1720" s="4">
        <v>3.1877495709657401E-7</v>
      </c>
      <c r="G1720" s="4">
        <v>4.3675294366908102E-6</v>
      </c>
      <c r="H1720" s="3" t="str">
        <f>"NYAP1"</f>
        <v>NYAP1</v>
      </c>
      <c r="I1720" s="3" t="str">
        <f t="shared" si="72"/>
        <v>protein_coding</v>
      </c>
    </row>
    <row r="1721" spans="1:9" x14ac:dyDescent="0.2">
      <c r="A1721" s="3" t="str">
        <f>"ENSG00000196411.10"</f>
        <v>ENSG00000196411.10</v>
      </c>
      <c r="B1721" s="3">
        <v>5284.4252896182697</v>
      </c>
      <c r="C1721" s="3">
        <v>2.0231880211936901</v>
      </c>
      <c r="D1721" s="3">
        <v>0.286365088345856</v>
      </c>
      <c r="E1721" s="3">
        <v>7.0650652035844397</v>
      </c>
      <c r="F1721" s="4">
        <v>1.60540593029906E-12</v>
      </c>
      <c r="G1721" s="4">
        <v>4.5222828865254997E-11</v>
      </c>
      <c r="H1721" s="3" t="str">
        <f>"EPHB4"</f>
        <v>EPHB4</v>
      </c>
      <c r="I1721" s="3" t="str">
        <f t="shared" si="72"/>
        <v>protein_coding</v>
      </c>
    </row>
    <row r="1722" spans="1:9" x14ac:dyDescent="0.2">
      <c r="A1722" s="3" t="str">
        <f>"ENSG00000263672.2"</f>
        <v>ENSG00000263672.2</v>
      </c>
      <c r="B1722" s="3">
        <v>8.5119667513570807</v>
      </c>
      <c r="C1722" s="3">
        <v>4.1346042431190604</v>
      </c>
      <c r="D1722" s="3">
        <v>1.5119378900484099</v>
      </c>
      <c r="E1722" s="3">
        <v>2.73463894934644</v>
      </c>
      <c r="F1722" s="3">
        <v>6.2448732201400101E-3</v>
      </c>
      <c r="G1722" s="3">
        <v>2.8485568326235399E-2</v>
      </c>
      <c r="H1722" s="3" t="str">
        <f>"RN7SL750P"</f>
        <v>RN7SL750P</v>
      </c>
      <c r="I1722" s="3" t="str">
        <f>"misc_RNA"</f>
        <v>misc_RNA</v>
      </c>
    </row>
    <row r="1723" spans="1:9" x14ac:dyDescent="0.2">
      <c r="A1723" s="3" t="str">
        <f>"ENSG00000146828.18"</f>
        <v>ENSG00000146828.18</v>
      </c>
      <c r="B1723" s="3">
        <v>805.06126220230203</v>
      </c>
      <c r="C1723" s="3">
        <v>1.5053057087000601</v>
      </c>
      <c r="D1723" s="3">
        <v>0.30084056572171902</v>
      </c>
      <c r="E1723" s="3">
        <v>5.0036659952716702</v>
      </c>
      <c r="F1723" s="4">
        <v>5.6250185078653198E-7</v>
      </c>
      <c r="G1723" s="4">
        <v>7.3966199981888201E-6</v>
      </c>
      <c r="H1723" s="3" t="str">
        <f>"SLC12A9"</f>
        <v>SLC12A9</v>
      </c>
      <c r="I1723" s="3" t="str">
        <f t="shared" ref="I1723:I1732" si="73">"protein_coding"</f>
        <v>protein_coding</v>
      </c>
    </row>
    <row r="1724" spans="1:9" x14ac:dyDescent="0.2">
      <c r="A1724" s="3" t="str">
        <f>"ENSG00000087087.20"</f>
        <v>ENSG00000087087.20</v>
      </c>
      <c r="B1724" s="3">
        <v>3872.2336203859199</v>
      </c>
      <c r="C1724" s="3">
        <v>-1.10507308252764</v>
      </c>
      <c r="D1724" s="3">
        <v>0.29140090218118803</v>
      </c>
      <c r="E1724" s="3">
        <v>-3.7922774921284499</v>
      </c>
      <c r="F1724" s="3">
        <v>1.49271980184031E-4</v>
      </c>
      <c r="G1724" s="3">
        <v>1.1528819961711099E-3</v>
      </c>
      <c r="H1724" s="3" t="str">
        <f>"SRRT"</f>
        <v>SRRT</v>
      </c>
      <c r="I1724" s="3" t="str">
        <f t="shared" si="73"/>
        <v>protein_coding</v>
      </c>
    </row>
    <row r="1725" spans="1:9" x14ac:dyDescent="0.2">
      <c r="A1725" s="3" t="str">
        <f>"ENSG00000087085.15"</f>
        <v>ENSG00000087085.15</v>
      </c>
      <c r="B1725" s="3">
        <v>784.10670178866496</v>
      </c>
      <c r="C1725" s="3">
        <v>4.0842401697125998</v>
      </c>
      <c r="D1725" s="3">
        <v>0.33540709200934699</v>
      </c>
      <c r="E1725" s="3">
        <v>12.1769642533342</v>
      </c>
      <c r="F1725" s="4">
        <v>4.1234600620202701E-34</v>
      </c>
      <c r="G1725" s="4">
        <v>4.9868095125057696E-32</v>
      </c>
      <c r="H1725" s="3" t="str">
        <f>"ACHE"</f>
        <v>ACHE</v>
      </c>
      <c r="I1725" s="3" t="str">
        <f t="shared" si="73"/>
        <v>protein_coding</v>
      </c>
    </row>
    <row r="1726" spans="1:9" x14ac:dyDescent="0.2">
      <c r="A1726" s="3" t="str">
        <f>"ENSG00000205277.9"</f>
        <v>ENSG00000205277.9</v>
      </c>
      <c r="B1726" s="3">
        <v>64.6934128851304</v>
      </c>
      <c r="C1726" s="3">
        <v>-2.2688071050066601</v>
      </c>
      <c r="D1726" s="3">
        <v>0.49393717637661899</v>
      </c>
      <c r="E1726" s="3">
        <v>-4.59331107986237</v>
      </c>
      <c r="F1726" s="4">
        <v>4.3626797456920804E-6</v>
      </c>
      <c r="G1726" s="4">
        <v>4.8537465282124901E-5</v>
      </c>
      <c r="H1726" s="3" t="str">
        <f>"MUC12"</f>
        <v>MUC12</v>
      </c>
      <c r="I1726" s="3" t="str">
        <f t="shared" si="73"/>
        <v>protein_coding</v>
      </c>
    </row>
    <row r="1727" spans="1:9" x14ac:dyDescent="0.2">
      <c r="A1727" s="3" t="str">
        <f>"ENSG00000169876.13"</f>
        <v>ENSG00000169876.13</v>
      </c>
      <c r="B1727" s="3">
        <v>12.1125468200862</v>
      </c>
      <c r="C1727" s="3">
        <v>2.6855554487661002</v>
      </c>
      <c r="D1727" s="3">
        <v>1.05229704475999</v>
      </c>
      <c r="E1727" s="3">
        <v>2.5520887492168298</v>
      </c>
      <c r="F1727" s="3">
        <v>1.07079239057036E-2</v>
      </c>
      <c r="G1727" s="3">
        <v>4.4691857615393099E-2</v>
      </c>
      <c r="H1727" s="3" t="str">
        <f>"MUC17"</f>
        <v>MUC17</v>
      </c>
      <c r="I1727" s="3" t="str">
        <f t="shared" si="73"/>
        <v>protein_coding</v>
      </c>
    </row>
    <row r="1728" spans="1:9" x14ac:dyDescent="0.2">
      <c r="A1728" s="3" t="str">
        <f>"ENSG00000106366.8"</f>
        <v>ENSG00000106366.8</v>
      </c>
      <c r="B1728" s="3">
        <v>25914.846061785898</v>
      </c>
      <c r="C1728" s="3">
        <v>3.5945858237600299</v>
      </c>
      <c r="D1728" s="3">
        <v>0.27018429112515202</v>
      </c>
      <c r="E1728" s="3">
        <v>13.304199917733101</v>
      </c>
      <c r="F1728" s="4">
        <v>2.1882297179105901E-40</v>
      </c>
      <c r="G1728" s="4">
        <v>3.7192512536514001E-38</v>
      </c>
      <c r="H1728" s="3" t="str">
        <f>"SERPINE1"</f>
        <v>SERPINE1</v>
      </c>
      <c r="I1728" s="3" t="str">
        <f t="shared" si="73"/>
        <v>protein_coding</v>
      </c>
    </row>
    <row r="1729" spans="1:9" x14ac:dyDescent="0.2">
      <c r="A1729" s="3" t="str">
        <f>"ENSG00000128564.7"</f>
        <v>ENSG00000128564.7</v>
      </c>
      <c r="B1729" s="3">
        <v>35.812140791839397</v>
      </c>
      <c r="C1729" s="3">
        <v>-1.7781738396854301</v>
      </c>
      <c r="D1729" s="3">
        <v>0.60895408419040598</v>
      </c>
      <c r="E1729" s="3">
        <v>-2.92004583900522</v>
      </c>
      <c r="F1729" s="3">
        <v>3.4997990296052701E-3</v>
      </c>
      <c r="G1729" s="3">
        <v>1.76110111201681E-2</v>
      </c>
      <c r="H1729" s="3" t="str">
        <f>"VGF"</f>
        <v>VGF</v>
      </c>
      <c r="I1729" s="3" t="str">
        <f t="shared" si="73"/>
        <v>protein_coding</v>
      </c>
    </row>
    <row r="1730" spans="1:9" x14ac:dyDescent="0.2">
      <c r="A1730" s="3" t="str">
        <f>"ENSG00000106384.12"</f>
        <v>ENSG00000106384.12</v>
      </c>
      <c r="B1730" s="3">
        <v>874.78161813236295</v>
      </c>
      <c r="C1730" s="3">
        <v>1.79092041001557</v>
      </c>
      <c r="D1730" s="3">
        <v>0.26469708568635902</v>
      </c>
      <c r="E1730" s="3">
        <v>6.7659241709130296</v>
      </c>
      <c r="F1730" s="4">
        <v>1.3246091161163799E-11</v>
      </c>
      <c r="G1730" s="4">
        <v>3.3601080507354802E-10</v>
      </c>
      <c r="H1730" s="3" t="str">
        <f>"MOGAT3"</f>
        <v>MOGAT3</v>
      </c>
      <c r="I1730" s="3" t="str">
        <f t="shared" si="73"/>
        <v>protein_coding</v>
      </c>
    </row>
    <row r="1731" spans="1:9" x14ac:dyDescent="0.2">
      <c r="A1731" s="3" t="str">
        <f>"ENSG00000160991.16"</f>
        <v>ENSG00000160991.16</v>
      </c>
      <c r="B1731" s="3">
        <v>983.38247051829603</v>
      </c>
      <c r="C1731" s="3">
        <v>1.1906622663119</v>
      </c>
      <c r="D1731" s="3">
        <v>0.28740069446640598</v>
      </c>
      <c r="E1731" s="3">
        <v>4.14286495905134</v>
      </c>
      <c r="F1731" s="4">
        <v>3.42993928082313E-5</v>
      </c>
      <c r="G1731" s="3">
        <v>3.1306285416946998E-4</v>
      </c>
      <c r="H1731" s="3" t="str">
        <f>"ORAI2"</f>
        <v>ORAI2</v>
      </c>
      <c r="I1731" s="3" t="str">
        <f t="shared" si="73"/>
        <v>protein_coding</v>
      </c>
    </row>
    <row r="1732" spans="1:9" x14ac:dyDescent="0.2">
      <c r="A1732" s="3" t="str">
        <f>"ENSG00000222011.9"</f>
        <v>ENSG00000222011.9</v>
      </c>
      <c r="B1732" s="3">
        <v>439.76081243129801</v>
      </c>
      <c r="C1732" s="3">
        <v>1.97615639733642</v>
      </c>
      <c r="D1732" s="3">
        <v>0.28819219832627602</v>
      </c>
      <c r="E1732" s="3">
        <v>6.8570780500418804</v>
      </c>
      <c r="F1732" s="4">
        <v>7.0283236445474198E-12</v>
      </c>
      <c r="G1732" s="4">
        <v>1.8397240507657699E-10</v>
      </c>
      <c r="H1732" s="3" t="str">
        <f>"FAM185A"</f>
        <v>FAM185A</v>
      </c>
      <c r="I1732" s="3" t="str">
        <f t="shared" si="73"/>
        <v>protein_coding</v>
      </c>
    </row>
    <row r="1733" spans="1:9" x14ac:dyDescent="0.2">
      <c r="A1733" s="3" t="str">
        <f>"ENSG00000213385.3"</f>
        <v>ENSG00000213385.3</v>
      </c>
      <c r="B1733" s="3">
        <v>60.7537694023626</v>
      </c>
      <c r="C1733" s="3">
        <v>2.2993193176653599</v>
      </c>
      <c r="D1733" s="3">
        <v>0.50251632190437201</v>
      </c>
      <c r="E1733" s="3">
        <v>4.57561121388395</v>
      </c>
      <c r="F1733" s="4">
        <v>4.7483163738458902E-6</v>
      </c>
      <c r="G1733" s="4">
        <v>5.2295927488657301E-5</v>
      </c>
      <c r="H1733" s="3" t="str">
        <f>"AC105052.2"</f>
        <v>AC105052.2</v>
      </c>
      <c r="I1733" s="3" t="str">
        <f>"processed_pseudogene"</f>
        <v>processed_pseudogene</v>
      </c>
    </row>
    <row r="1734" spans="1:9" x14ac:dyDescent="0.2">
      <c r="A1734" s="3" t="str">
        <f>"ENSG00000238324.1"</f>
        <v>ENSG00000238324.1</v>
      </c>
      <c r="B1734" s="3">
        <v>6.6680752973750002</v>
      </c>
      <c r="C1734" s="3">
        <v>4.7433560328925104</v>
      </c>
      <c r="D1734" s="3">
        <v>1.8491679740279801</v>
      </c>
      <c r="E1734" s="3">
        <v>2.5651298851776101</v>
      </c>
      <c r="F1734" s="3">
        <v>1.03137189063402E-2</v>
      </c>
      <c r="G1734" s="3">
        <v>4.3334157188740403E-2</v>
      </c>
      <c r="H1734" s="3" t="str">
        <f>"RN7SKP198"</f>
        <v>RN7SKP198</v>
      </c>
      <c r="I1734" s="3" t="str">
        <f>"misc_RNA"</f>
        <v>misc_RNA</v>
      </c>
    </row>
    <row r="1735" spans="1:9" x14ac:dyDescent="0.2">
      <c r="A1735" s="3" t="str">
        <f>"ENSG00000005483.20"</f>
        <v>ENSG00000005483.20</v>
      </c>
      <c r="B1735" s="3">
        <v>2237.43172713801</v>
      </c>
      <c r="C1735" s="3">
        <v>1.16307029364079</v>
      </c>
      <c r="D1735" s="3">
        <v>0.27011120918707199</v>
      </c>
      <c r="E1735" s="3">
        <v>4.3058942172047399</v>
      </c>
      <c r="F1735" s="4">
        <v>1.66312523173217E-5</v>
      </c>
      <c r="G1735" s="3">
        <v>1.6221758512688101E-4</v>
      </c>
      <c r="H1735" s="3" t="str">
        <f>"KMT2E"</f>
        <v>KMT2E</v>
      </c>
      <c r="I1735" s="3" t="str">
        <f>"protein_coding"</f>
        <v>protein_coding</v>
      </c>
    </row>
    <row r="1736" spans="1:9" x14ac:dyDescent="0.2">
      <c r="A1736" s="3" t="str">
        <f>"ENSG00000185055.11"</f>
        <v>ENSG00000185055.11</v>
      </c>
      <c r="B1736" s="3">
        <v>155.750885524083</v>
      </c>
      <c r="C1736" s="3">
        <v>6.0120565216193</v>
      </c>
      <c r="D1736" s="3">
        <v>0.57024203062426804</v>
      </c>
      <c r="E1736" s="3">
        <v>10.542990868346999</v>
      </c>
      <c r="F1736" s="4">
        <v>5.4730113983204303E-26</v>
      </c>
      <c r="G1736" s="4">
        <v>4.5891200574916798E-24</v>
      </c>
      <c r="H1736" s="3" t="str">
        <f>"EFCAB10"</f>
        <v>EFCAB10</v>
      </c>
      <c r="I1736" s="3" t="str">
        <f>"protein_coding"</f>
        <v>protein_coding</v>
      </c>
    </row>
    <row r="1737" spans="1:9" x14ac:dyDescent="0.2">
      <c r="A1737" s="3" t="str">
        <f>"ENSG00000105856.14"</f>
        <v>ENSG00000105856.14</v>
      </c>
      <c r="B1737" s="3">
        <v>1216.2513108593701</v>
      </c>
      <c r="C1737" s="3">
        <v>1.0381247192085801</v>
      </c>
      <c r="D1737" s="3">
        <v>0.25112721395675702</v>
      </c>
      <c r="E1737" s="3">
        <v>4.1338598985426502</v>
      </c>
      <c r="F1737" s="4">
        <v>3.5672097902166802E-5</v>
      </c>
      <c r="G1737" s="3">
        <v>3.2382952823132699E-4</v>
      </c>
      <c r="H1737" s="3" t="str">
        <f>"HBP1"</f>
        <v>HBP1</v>
      </c>
      <c r="I1737" s="3" t="str">
        <f>"protein_coding"</f>
        <v>protein_coding</v>
      </c>
    </row>
    <row r="1738" spans="1:9" x14ac:dyDescent="0.2">
      <c r="A1738" s="3" t="str">
        <f>"ENSG00000091129.20"</f>
        <v>ENSG00000091129.20</v>
      </c>
      <c r="B1738" s="3">
        <v>403.77092068080401</v>
      </c>
      <c r="C1738" s="3">
        <v>-2.29741244345677</v>
      </c>
      <c r="D1738" s="3">
        <v>0.322672543996954</v>
      </c>
      <c r="E1738" s="3">
        <v>-7.1199501978031696</v>
      </c>
      <c r="F1738" s="4">
        <v>1.07966068098275E-12</v>
      </c>
      <c r="G1738" s="4">
        <v>3.1003269897398401E-11</v>
      </c>
      <c r="H1738" s="3" t="str">
        <f>"NRCAM"</f>
        <v>NRCAM</v>
      </c>
      <c r="I1738" s="3" t="str">
        <f>"protein_coding"</f>
        <v>protein_coding</v>
      </c>
    </row>
    <row r="1739" spans="1:9" x14ac:dyDescent="0.2">
      <c r="A1739" s="3" t="str">
        <f>"ENSG00000226965.1"</f>
        <v>ENSG00000226965.1</v>
      </c>
      <c r="B1739" s="3">
        <v>144.031126200177</v>
      </c>
      <c r="C1739" s="3">
        <v>10.6876735205272</v>
      </c>
      <c r="D1739" s="3">
        <v>1.49298028091797</v>
      </c>
      <c r="E1739" s="3">
        <v>7.1586166656908201</v>
      </c>
      <c r="F1739" s="4">
        <v>8.1495216796925198E-13</v>
      </c>
      <c r="G1739" s="4">
        <v>2.3672196056889801E-11</v>
      </c>
      <c r="H1739" s="3" t="str">
        <f>"AC092167.1"</f>
        <v>AC092167.1</v>
      </c>
      <c r="I1739" s="3" t="str">
        <f>"lincRNA"</f>
        <v>lincRNA</v>
      </c>
    </row>
    <row r="1740" spans="1:9" x14ac:dyDescent="0.2">
      <c r="A1740" s="3" t="str">
        <f>"ENSG00000128512.21"</f>
        <v>ENSG00000128512.21</v>
      </c>
      <c r="B1740" s="3">
        <v>3167.74749306494</v>
      </c>
      <c r="C1740" s="3">
        <v>1.54199275561625</v>
      </c>
      <c r="D1740" s="3">
        <v>0.24400197412781899</v>
      </c>
      <c r="E1740" s="3">
        <v>6.31959131121</v>
      </c>
      <c r="F1740" s="4">
        <v>2.6225594941932302E-10</v>
      </c>
      <c r="G1740" s="4">
        <v>5.7716958947008603E-9</v>
      </c>
      <c r="H1740" s="3" t="str">
        <f>"DOCK4"</f>
        <v>DOCK4</v>
      </c>
      <c r="I1740" s="3" t="str">
        <f>"protein_coding"</f>
        <v>protein_coding</v>
      </c>
    </row>
    <row r="1741" spans="1:9" x14ac:dyDescent="0.2">
      <c r="A1741" s="3" t="str">
        <f>"ENSG00000222346.1"</f>
        <v>ENSG00000222346.1</v>
      </c>
      <c r="B1741" s="3">
        <v>21.210677248186698</v>
      </c>
      <c r="C1741" s="3">
        <v>2.1188765964185698</v>
      </c>
      <c r="D1741" s="3">
        <v>0.772994807023341</v>
      </c>
      <c r="E1741" s="3">
        <v>2.7411265601873498</v>
      </c>
      <c r="F1741" s="3">
        <v>6.1228918093403804E-3</v>
      </c>
      <c r="G1741" s="3">
        <v>2.8034463681098899E-2</v>
      </c>
      <c r="H1741" s="3" t="str">
        <f>"RNA5SP237"</f>
        <v>RNA5SP237</v>
      </c>
      <c r="I1741" s="3" t="str">
        <f>"rRNA_pseudogene"</f>
        <v>rRNA_pseudogene</v>
      </c>
    </row>
    <row r="1742" spans="1:9" x14ac:dyDescent="0.2">
      <c r="A1742" s="3" t="str">
        <f>"ENSG00000234358.1"</f>
        <v>ENSG00000234358.1</v>
      </c>
      <c r="B1742" s="3">
        <v>59.810308863721801</v>
      </c>
      <c r="C1742" s="3">
        <v>1.9812740141621501</v>
      </c>
      <c r="D1742" s="3">
        <v>0.50528974478022803</v>
      </c>
      <c r="E1742" s="3">
        <v>3.9210651603940399</v>
      </c>
      <c r="F1742" s="4">
        <v>8.8158418069961698E-5</v>
      </c>
      <c r="G1742" s="3">
        <v>7.2637569818207902E-4</v>
      </c>
      <c r="H1742" s="3" t="str">
        <f>"AC003080.1"</f>
        <v>AC003080.1</v>
      </c>
      <c r="I1742" s="3" t="str">
        <f>"processed_pseudogene"</f>
        <v>processed_pseudogene</v>
      </c>
    </row>
    <row r="1743" spans="1:9" x14ac:dyDescent="0.2">
      <c r="A1743" s="3" t="str">
        <f>"ENSG00000181016.9"</f>
        <v>ENSG00000181016.9</v>
      </c>
      <c r="B1743" s="3">
        <v>66.024125479956197</v>
      </c>
      <c r="C1743" s="3">
        <v>1.6331298515535499</v>
      </c>
      <c r="D1743" s="3">
        <v>0.48319222588702998</v>
      </c>
      <c r="E1743" s="3">
        <v>3.3798760908363099</v>
      </c>
      <c r="F1743" s="3">
        <v>7.2518515484300901E-4</v>
      </c>
      <c r="G1743" s="3">
        <v>4.6429199720223703E-3</v>
      </c>
      <c r="H1743" s="3" t="str">
        <f>"LSMEM1"</f>
        <v>LSMEM1</v>
      </c>
      <c r="I1743" s="3" t="str">
        <f t="shared" ref="I1743:I1749" si="74">"protein_coding"</f>
        <v>protein_coding</v>
      </c>
    </row>
    <row r="1744" spans="1:9" x14ac:dyDescent="0.2">
      <c r="A1744" s="3" t="str">
        <f>"ENSG00000135272.10"</f>
        <v>ENSG00000135272.10</v>
      </c>
      <c r="B1744" s="3">
        <v>16.199362115838799</v>
      </c>
      <c r="C1744" s="3">
        <v>3.1793109192975901</v>
      </c>
      <c r="D1744" s="3">
        <v>0.98348430116933105</v>
      </c>
      <c r="E1744" s="3">
        <v>3.2327012393766701</v>
      </c>
      <c r="F1744" s="3">
        <v>1.2262573301090099E-3</v>
      </c>
      <c r="G1744" s="3">
        <v>7.2751186648330503E-3</v>
      </c>
      <c r="H1744" s="3" t="str">
        <f>"MDFIC"</f>
        <v>MDFIC</v>
      </c>
      <c r="I1744" s="3" t="str">
        <f t="shared" si="74"/>
        <v>protein_coding</v>
      </c>
    </row>
    <row r="1745" spans="1:9" x14ac:dyDescent="0.2">
      <c r="A1745" s="3" t="str">
        <f>"ENSG00000135269.18"</f>
        <v>ENSG00000135269.18</v>
      </c>
      <c r="B1745" s="3">
        <v>645.604101068305</v>
      </c>
      <c r="C1745" s="3">
        <v>1.2893080713579199</v>
      </c>
      <c r="D1745" s="3">
        <v>0.26987937310063098</v>
      </c>
      <c r="E1745" s="3">
        <v>4.7773494378066896</v>
      </c>
      <c r="F1745" s="4">
        <v>1.7762095311661201E-6</v>
      </c>
      <c r="G1745" s="4">
        <v>2.1075731488907401E-5</v>
      </c>
      <c r="H1745" s="3" t="str">
        <f>"TES"</f>
        <v>TES</v>
      </c>
      <c r="I1745" s="3" t="str">
        <f t="shared" si="74"/>
        <v>protein_coding</v>
      </c>
    </row>
    <row r="1746" spans="1:9" x14ac:dyDescent="0.2">
      <c r="A1746" s="3" t="str">
        <f>"ENSG00000105971.15"</f>
        <v>ENSG00000105971.15</v>
      </c>
      <c r="B1746" s="3">
        <v>55.904865695146498</v>
      </c>
      <c r="C1746" s="3">
        <v>2.0387626492063999</v>
      </c>
      <c r="D1746" s="3">
        <v>0.52676754999914599</v>
      </c>
      <c r="E1746" s="3">
        <v>3.87032695770593</v>
      </c>
      <c r="F1746" s="3">
        <v>1.0868948380407801E-4</v>
      </c>
      <c r="G1746" s="3">
        <v>8.7406776377607902E-4</v>
      </c>
      <c r="H1746" s="3" t="str">
        <f>"CAV2"</f>
        <v>CAV2</v>
      </c>
      <c r="I1746" s="3" t="str">
        <f t="shared" si="74"/>
        <v>protein_coding</v>
      </c>
    </row>
    <row r="1747" spans="1:9" x14ac:dyDescent="0.2">
      <c r="A1747" s="3" t="str">
        <f>"ENSG00000105976.15"</f>
        <v>ENSG00000105976.15</v>
      </c>
      <c r="B1747" s="3">
        <v>3408.5247767985302</v>
      </c>
      <c r="C1747" s="3">
        <v>-1.38860263975304</v>
      </c>
      <c r="D1747" s="3">
        <v>0.24432160160152699</v>
      </c>
      <c r="E1747" s="3">
        <v>-5.6835033441609504</v>
      </c>
      <c r="F1747" s="4">
        <v>1.31963142760579E-8</v>
      </c>
      <c r="G1747" s="4">
        <v>2.29091294419762E-7</v>
      </c>
      <c r="H1747" s="3" t="str">
        <f>"MET"</f>
        <v>MET</v>
      </c>
      <c r="I1747" s="3" t="str">
        <f t="shared" si="74"/>
        <v>protein_coding</v>
      </c>
    </row>
    <row r="1748" spans="1:9" x14ac:dyDescent="0.2">
      <c r="A1748" s="3" t="str">
        <f>"ENSG00000004866.20"</f>
        <v>ENSG00000004866.20</v>
      </c>
      <c r="B1748" s="3">
        <v>558.54783326010397</v>
      </c>
      <c r="C1748" s="3">
        <v>-1.08582626124668</v>
      </c>
      <c r="D1748" s="3">
        <v>0.28506230600586202</v>
      </c>
      <c r="E1748" s="3">
        <v>-3.8090839734677102</v>
      </c>
      <c r="F1748" s="3">
        <v>1.39482584311949E-4</v>
      </c>
      <c r="G1748" s="3">
        <v>1.08717455043788E-3</v>
      </c>
      <c r="H1748" s="3" t="str">
        <f>"ST7"</f>
        <v>ST7</v>
      </c>
      <c r="I1748" s="3" t="str">
        <f t="shared" si="74"/>
        <v>protein_coding</v>
      </c>
    </row>
    <row r="1749" spans="1:9" x14ac:dyDescent="0.2">
      <c r="A1749" s="3" t="str">
        <f>"ENSG00000106034.18"</f>
        <v>ENSG00000106034.18</v>
      </c>
      <c r="B1749" s="3">
        <v>1156.53777012875</v>
      </c>
      <c r="C1749" s="3">
        <v>1.4699534637856799</v>
      </c>
      <c r="D1749" s="3">
        <v>0.32197431024126899</v>
      </c>
      <c r="E1749" s="3">
        <v>4.5654371079611202</v>
      </c>
      <c r="F1749" s="4">
        <v>4.9845462287935401E-6</v>
      </c>
      <c r="G1749" s="4">
        <v>5.4586965775055098E-5</v>
      </c>
      <c r="H1749" s="3" t="str">
        <f>"CPED1"</f>
        <v>CPED1</v>
      </c>
      <c r="I1749" s="3" t="str">
        <f t="shared" si="74"/>
        <v>protein_coding</v>
      </c>
    </row>
    <row r="1750" spans="1:9" x14ac:dyDescent="0.2">
      <c r="A1750" s="3" t="str">
        <f>"ENSG00000280828.1"</f>
        <v>ENSG00000280828.1</v>
      </c>
      <c r="B1750" s="3">
        <v>71.399658838654702</v>
      </c>
      <c r="C1750" s="3">
        <v>2.1596368950962699</v>
      </c>
      <c r="D1750" s="3">
        <v>0.51635779546416705</v>
      </c>
      <c r="E1750" s="3">
        <v>4.1824427055563698</v>
      </c>
      <c r="F1750" s="4">
        <v>2.8839370883535498E-5</v>
      </c>
      <c r="G1750" s="3">
        <v>2.66417324485984E-4</v>
      </c>
      <c r="H1750" s="3" t="str">
        <f>"AC090114.3"</f>
        <v>AC090114.3</v>
      </c>
      <c r="I1750" s="3" t="str">
        <f>"unprocessed_pseudogene"</f>
        <v>unprocessed_pseudogene</v>
      </c>
    </row>
    <row r="1751" spans="1:9" x14ac:dyDescent="0.2">
      <c r="A1751" s="3" t="str">
        <f>"ENSG00000242588.6"</f>
        <v>ENSG00000242588.6</v>
      </c>
      <c r="B1751" s="3">
        <v>261.48744635192003</v>
      </c>
      <c r="C1751" s="3">
        <v>1.1766176827643</v>
      </c>
      <c r="D1751" s="3">
        <v>0.38231550421067001</v>
      </c>
      <c r="E1751" s="3">
        <v>3.07760912075369</v>
      </c>
      <c r="F1751" s="3">
        <v>2.0866842478690002E-3</v>
      </c>
      <c r="G1751" s="3">
        <v>1.13542163649459E-2</v>
      </c>
      <c r="H1751" s="3" t="str">
        <f>"AC108010.1"</f>
        <v>AC108010.1</v>
      </c>
      <c r="I1751" s="3" t="str">
        <f>"processed_transcript"</f>
        <v>processed_transcript</v>
      </c>
    </row>
    <row r="1752" spans="1:9" x14ac:dyDescent="0.2">
      <c r="A1752" s="3" t="str">
        <f>"ENSG00000243302.3"</f>
        <v>ENSG00000243302.3</v>
      </c>
      <c r="B1752" s="3">
        <v>376.99132373439699</v>
      </c>
      <c r="C1752" s="3">
        <v>1.09371690357281</v>
      </c>
      <c r="D1752" s="3">
        <v>0.35692961256820399</v>
      </c>
      <c r="E1752" s="3">
        <v>3.06423693933161</v>
      </c>
      <c r="F1752" s="3">
        <v>2.1822599996659101E-3</v>
      </c>
      <c r="G1752" s="3">
        <v>1.17875779024256E-2</v>
      </c>
      <c r="H1752" s="3" t="str">
        <f>"AC018638.4"</f>
        <v>AC018638.4</v>
      </c>
      <c r="I1752" s="3" t="str">
        <f>"processed_pseudogene"</f>
        <v>processed_pseudogene</v>
      </c>
    </row>
    <row r="1753" spans="1:9" x14ac:dyDescent="0.2">
      <c r="A1753" s="3" t="str">
        <f>"ENSG00000230715.3"</f>
        <v>ENSG00000230715.3</v>
      </c>
      <c r="B1753" s="3">
        <v>145.02783061734399</v>
      </c>
      <c r="C1753" s="3">
        <v>1.09874637854754</v>
      </c>
      <c r="D1753" s="3">
        <v>0.42508903497872902</v>
      </c>
      <c r="E1753" s="3">
        <v>2.5847441080255602</v>
      </c>
      <c r="F1753" s="3">
        <v>9.7451293303100692E-3</v>
      </c>
      <c r="G1753" s="3">
        <v>4.1359663962198402E-2</v>
      </c>
      <c r="H1753" s="3" t="str">
        <f>"AC018638.2"</f>
        <v>AC018638.2</v>
      </c>
      <c r="I1753" s="3" t="str">
        <f>"processed_pseudogene"</f>
        <v>processed_pseudogene</v>
      </c>
    </row>
    <row r="1754" spans="1:9" x14ac:dyDescent="0.2">
      <c r="A1754" s="3" t="str">
        <f>"ENSG00000135253.13"</f>
        <v>ENSG00000135253.13</v>
      </c>
      <c r="B1754" s="3">
        <v>316.98885074660802</v>
      </c>
      <c r="C1754" s="3">
        <v>1.8589550950348801</v>
      </c>
      <c r="D1754" s="3">
        <v>0.35186634303126701</v>
      </c>
      <c r="E1754" s="3">
        <v>5.2831284715107998</v>
      </c>
      <c r="F1754" s="4">
        <v>1.2699626621301999E-7</v>
      </c>
      <c r="G1754" s="4">
        <v>1.8780664765364601E-6</v>
      </c>
      <c r="H1754" s="3" t="str">
        <f>"KCP"</f>
        <v>KCP</v>
      </c>
      <c r="I1754" s="3" t="str">
        <f>"protein_coding"</f>
        <v>protein_coding</v>
      </c>
    </row>
    <row r="1755" spans="1:9" x14ac:dyDescent="0.2">
      <c r="A1755" s="3" t="str">
        <f>"ENSG00000158457.6"</f>
        <v>ENSG00000158457.6</v>
      </c>
      <c r="B1755" s="3">
        <v>671.23521110758395</v>
      </c>
      <c r="C1755" s="3">
        <v>1.4908487931082199</v>
      </c>
      <c r="D1755" s="3">
        <v>0.276774686363702</v>
      </c>
      <c r="E1755" s="3">
        <v>5.3865070274133897</v>
      </c>
      <c r="F1755" s="4">
        <v>7.1840121723996504E-8</v>
      </c>
      <c r="G1755" s="4">
        <v>1.0992325194447301E-6</v>
      </c>
      <c r="H1755" s="3" t="str">
        <f>"TSPAN33"</f>
        <v>TSPAN33</v>
      </c>
      <c r="I1755" s="3" t="str">
        <f>"protein_coding"</f>
        <v>protein_coding</v>
      </c>
    </row>
    <row r="1756" spans="1:9" x14ac:dyDescent="0.2">
      <c r="A1756" s="3" t="str">
        <f>"ENSG00000128602.10"</f>
        <v>ENSG00000128602.10</v>
      </c>
      <c r="B1756" s="3">
        <v>814.98021303851897</v>
      </c>
      <c r="C1756" s="3">
        <v>-1.2850445040694101</v>
      </c>
      <c r="D1756" s="3">
        <v>0.31112564188005198</v>
      </c>
      <c r="E1756" s="3">
        <v>-4.1303072813421</v>
      </c>
      <c r="F1756" s="4">
        <v>3.6227868065034497E-5</v>
      </c>
      <c r="G1756" s="3">
        <v>3.28046083936624E-4</v>
      </c>
      <c r="H1756" s="3" t="str">
        <f>"SMO"</f>
        <v>SMO</v>
      </c>
      <c r="I1756" s="3" t="str">
        <f>"protein_coding"</f>
        <v>protein_coding</v>
      </c>
    </row>
    <row r="1757" spans="1:9" x14ac:dyDescent="0.2">
      <c r="A1757" s="3" t="str">
        <f>"ENSG00000186591.12"</f>
        <v>ENSG00000186591.12</v>
      </c>
      <c r="B1757" s="3">
        <v>2493.4670366454998</v>
      </c>
      <c r="C1757" s="3">
        <v>1.1424131515462399</v>
      </c>
      <c r="D1757" s="3">
        <v>0.23925875261694901</v>
      </c>
      <c r="E1757" s="3">
        <v>4.7748019207273504</v>
      </c>
      <c r="F1757" s="4">
        <v>1.7988422104215E-6</v>
      </c>
      <c r="G1757" s="4">
        <v>2.1314119549294702E-5</v>
      </c>
      <c r="H1757" s="3" t="str">
        <f>"UBE2H"</f>
        <v>UBE2H</v>
      </c>
      <c r="I1757" s="3" t="str">
        <f>"protein_coding"</f>
        <v>protein_coding</v>
      </c>
    </row>
    <row r="1758" spans="1:9" x14ac:dyDescent="0.2">
      <c r="A1758" s="3" t="str">
        <f>"ENSG00000091704.10"</f>
        <v>ENSG00000091704.10</v>
      </c>
      <c r="B1758" s="3">
        <v>264.365768380193</v>
      </c>
      <c r="C1758" s="3">
        <v>5.9475054036378996</v>
      </c>
      <c r="D1758" s="3">
        <v>0.47213830747792401</v>
      </c>
      <c r="E1758" s="3">
        <v>12.596955827220199</v>
      </c>
      <c r="F1758" s="4">
        <v>2.1945197348334699E-36</v>
      </c>
      <c r="G1758" s="4">
        <v>2.9839537259316698E-34</v>
      </c>
      <c r="H1758" s="3" t="str">
        <f>"CPA1"</f>
        <v>CPA1</v>
      </c>
      <c r="I1758" s="3" t="str">
        <f>"protein_coding"</f>
        <v>protein_coding</v>
      </c>
    </row>
    <row r="1759" spans="1:9" x14ac:dyDescent="0.2">
      <c r="A1759" s="3" t="str">
        <f>"ENSG00000285106.1"</f>
        <v>ENSG00000285106.1</v>
      </c>
      <c r="B1759" s="3">
        <v>244.383736967771</v>
      </c>
      <c r="C1759" s="3">
        <v>2.33590581828371</v>
      </c>
      <c r="D1759" s="3">
        <v>0.32108928908101297</v>
      </c>
      <c r="E1759" s="3">
        <v>7.2749415745672801</v>
      </c>
      <c r="F1759" s="4">
        <v>3.4657041370781798E-13</v>
      </c>
      <c r="G1759" s="4">
        <v>1.06187317379052E-11</v>
      </c>
      <c r="H1759" s="3" t="str">
        <f>"AC016831.7"</f>
        <v>AC016831.7</v>
      </c>
      <c r="I1759" s="3" t="str">
        <f>"lincRNA"</f>
        <v>lincRNA</v>
      </c>
    </row>
    <row r="1760" spans="1:9" x14ac:dyDescent="0.2">
      <c r="A1760" s="3" t="str">
        <f>"ENSG00000233559.1"</f>
        <v>ENSG00000233559.1</v>
      </c>
      <c r="B1760" s="3">
        <v>939.14979551574299</v>
      </c>
      <c r="C1760" s="3">
        <v>1.7001702005266801</v>
      </c>
      <c r="D1760" s="3">
        <v>0.26837385565724198</v>
      </c>
      <c r="E1760" s="3">
        <v>6.3350813228918899</v>
      </c>
      <c r="F1760" s="4">
        <v>2.3721612139508401E-10</v>
      </c>
      <c r="G1760" s="4">
        <v>5.2343609944678401E-9</v>
      </c>
      <c r="H1760" s="3" t="str">
        <f>"LINC00513"</f>
        <v>LINC00513</v>
      </c>
      <c r="I1760" s="3" t="str">
        <f>"lincRNA"</f>
        <v>lincRNA</v>
      </c>
    </row>
    <row r="1761" spans="1:9" x14ac:dyDescent="0.2">
      <c r="A1761" s="3" t="str">
        <f>"ENSG00000226380.9"</f>
        <v>ENSG00000226380.9</v>
      </c>
      <c r="B1761" s="3">
        <v>660.87781537681497</v>
      </c>
      <c r="C1761" s="3">
        <v>2.4656288824638701</v>
      </c>
      <c r="D1761" s="3">
        <v>0.26960399688210901</v>
      </c>
      <c r="E1761" s="3">
        <v>9.1453721420236604</v>
      </c>
      <c r="F1761" s="4">
        <v>5.9424906300616806E-20</v>
      </c>
      <c r="G1761" s="4">
        <v>3.1940887136581498E-18</v>
      </c>
      <c r="H1761" s="3" t="str">
        <f>"AC016831.1"</f>
        <v>AC016831.1</v>
      </c>
      <c r="I1761" s="3" t="str">
        <f>"lincRNA"</f>
        <v>lincRNA</v>
      </c>
    </row>
    <row r="1762" spans="1:9" x14ac:dyDescent="0.2">
      <c r="A1762" s="3" t="str">
        <f>"ENSG00000273319.1"</f>
        <v>ENSG00000273319.1</v>
      </c>
      <c r="B1762" s="3">
        <v>133.10355618502101</v>
      </c>
      <c r="C1762" s="3">
        <v>1.2388361320424299</v>
      </c>
      <c r="D1762" s="3">
        <v>0.41339125400787002</v>
      </c>
      <c r="E1762" s="3">
        <v>2.99676425186016</v>
      </c>
      <c r="F1762" s="3">
        <v>2.7286163601210598E-3</v>
      </c>
      <c r="G1762" s="3">
        <v>1.4237366633239001E-2</v>
      </c>
      <c r="H1762" s="3" t="str">
        <f>"AC058791.1"</f>
        <v>AC058791.1</v>
      </c>
      <c r="I1762" s="3" t="str">
        <f>"lincRNA"</f>
        <v>lincRNA</v>
      </c>
    </row>
    <row r="1763" spans="1:9" x14ac:dyDescent="0.2">
      <c r="A1763" s="3" t="str">
        <f>"ENSG00000128567.17"</f>
        <v>ENSG00000128567.17</v>
      </c>
      <c r="B1763" s="3">
        <v>1124.52334413586</v>
      </c>
      <c r="C1763" s="3">
        <v>2.73528706473114</v>
      </c>
      <c r="D1763" s="3">
        <v>0.256489289763558</v>
      </c>
      <c r="E1763" s="3">
        <v>10.6643324844192</v>
      </c>
      <c r="F1763" s="4">
        <v>1.4946844542965001E-26</v>
      </c>
      <c r="G1763" s="4">
        <v>1.28762970711742E-24</v>
      </c>
      <c r="H1763" s="3" t="str">
        <f>"PODXL"</f>
        <v>PODXL</v>
      </c>
      <c r="I1763" s="3" t="str">
        <f>"protein_coding"</f>
        <v>protein_coding</v>
      </c>
    </row>
    <row r="1764" spans="1:9" x14ac:dyDescent="0.2">
      <c r="A1764" s="3" t="str">
        <f>"ENSG00000198074.10"</f>
        <v>ENSG00000198074.10</v>
      </c>
      <c r="B1764" s="3">
        <v>1404.34370443425</v>
      </c>
      <c r="C1764" s="3">
        <v>1.7625907806857199</v>
      </c>
      <c r="D1764" s="3">
        <v>0.24851345895209301</v>
      </c>
      <c r="E1764" s="3">
        <v>7.0925365093626702</v>
      </c>
      <c r="F1764" s="4">
        <v>1.3167588664623499E-12</v>
      </c>
      <c r="G1764" s="4">
        <v>3.7469535391244898E-11</v>
      </c>
      <c r="H1764" s="3" t="str">
        <f>"AKR1B10"</f>
        <v>AKR1B10</v>
      </c>
      <c r="I1764" s="3" t="str">
        <f>"protein_coding"</f>
        <v>protein_coding</v>
      </c>
    </row>
    <row r="1765" spans="1:9" x14ac:dyDescent="0.2">
      <c r="A1765" s="3" t="str">
        <f>"ENSG00000146859.6"</f>
        <v>ENSG00000146859.6</v>
      </c>
      <c r="B1765" s="3">
        <v>352.34879953796701</v>
      </c>
      <c r="C1765" s="3">
        <v>-1.1014746231878501</v>
      </c>
      <c r="D1765" s="3">
        <v>0.35212338070933702</v>
      </c>
      <c r="E1765" s="3">
        <v>-3.1280928320322801</v>
      </c>
      <c r="F1765" s="3">
        <v>1.7594460074704E-3</v>
      </c>
      <c r="G1765" s="3">
        <v>9.8374892904907595E-3</v>
      </c>
      <c r="H1765" s="3" t="str">
        <f>"TMEM140"</f>
        <v>TMEM140</v>
      </c>
      <c r="I1765" s="3" t="str">
        <f>"protein_coding"</f>
        <v>protein_coding</v>
      </c>
    </row>
    <row r="1766" spans="1:9" x14ac:dyDescent="0.2">
      <c r="A1766" s="3" t="str">
        <f>"ENSG00000122787.15"</f>
        <v>ENSG00000122787.15</v>
      </c>
      <c r="B1766" s="3">
        <v>295.29043046188099</v>
      </c>
      <c r="C1766" s="3">
        <v>-2.07325046720872</v>
      </c>
      <c r="D1766" s="3">
        <v>0.32338366208091002</v>
      </c>
      <c r="E1766" s="3">
        <v>-6.4111169187328896</v>
      </c>
      <c r="F1766" s="4">
        <v>1.4445735336158601E-10</v>
      </c>
      <c r="G1766" s="4">
        <v>3.2561153439163801E-9</v>
      </c>
      <c r="H1766" s="3" t="str">
        <f>"AKR1D1"</f>
        <v>AKR1D1</v>
      </c>
      <c r="I1766" s="3" t="str">
        <f>"protein_coding"</f>
        <v>protein_coding</v>
      </c>
    </row>
    <row r="1767" spans="1:9" x14ac:dyDescent="0.2">
      <c r="A1767" s="3" t="str">
        <f>"ENSG00000122779.18"</f>
        <v>ENSG00000122779.18</v>
      </c>
      <c r="B1767" s="3">
        <v>8322.6322062917807</v>
      </c>
      <c r="C1767" s="3">
        <v>1.1118296494368001</v>
      </c>
      <c r="D1767" s="3">
        <v>0.264096902122614</v>
      </c>
      <c r="E1767" s="3">
        <v>4.2099306750694296</v>
      </c>
      <c r="F1767" s="4">
        <v>2.55449058928302E-5</v>
      </c>
      <c r="G1767" s="3">
        <v>2.3968001034470099E-4</v>
      </c>
      <c r="H1767" s="3" t="str">
        <f>"TRIM24"</f>
        <v>TRIM24</v>
      </c>
      <c r="I1767" s="3" t="str">
        <f>"protein_coding"</f>
        <v>protein_coding</v>
      </c>
    </row>
    <row r="1768" spans="1:9" x14ac:dyDescent="0.2">
      <c r="A1768" s="3" t="str">
        <f>"ENSG00000229677.1"</f>
        <v>ENSG00000229677.1</v>
      </c>
      <c r="B1768" s="3">
        <v>35.282871963311798</v>
      </c>
      <c r="C1768" s="3">
        <v>2.3588434932078601</v>
      </c>
      <c r="D1768" s="3">
        <v>0.63612317078352598</v>
      </c>
      <c r="E1768" s="3">
        <v>3.70815527801388</v>
      </c>
      <c r="F1768" s="3">
        <v>2.0877462676863201E-4</v>
      </c>
      <c r="G1768" s="3">
        <v>1.5505538046545399E-3</v>
      </c>
      <c r="H1768" s="3" t="str">
        <f>"AC018644.1"</f>
        <v>AC018644.1</v>
      </c>
      <c r="I1768" s="3" t="str">
        <f>"processed_pseudogene"</f>
        <v>processed_pseudogene</v>
      </c>
    </row>
    <row r="1769" spans="1:9" x14ac:dyDescent="0.2">
      <c r="A1769" s="3" t="str">
        <f>"ENSG00000236279.7"</f>
        <v>ENSG00000236279.7</v>
      </c>
      <c r="B1769" s="3">
        <v>17.618724286646799</v>
      </c>
      <c r="C1769" s="3">
        <v>-2.2740966017776101</v>
      </c>
      <c r="D1769" s="3">
        <v>0.89536915111797399</v>
      </c>
      <c r="E1769" s="3">
        <v>-2.53984247607608</v>
      </c>
      <c r="F1769" s="3">
        <v>1.1090240630769001E-2</v>
      </c>
      <c r="G1769" s="3">
        <v>4.59975272987624E-2</v>
      </c>
      <c r="H1769" s="3" t="str">
        <f>"CLEC2L"</f>
        <v>CLEC2L</v>
      </c>
      <c r="I1769" s="3" t="str">
        <f>"protein_coding"</f>
        <v>protein_coding</v>
      </c>
    </row>
    <row r="1770" spans="1:9" x14ac:dyDescent="0.2">
      <c r="A1770" s="3" t="str">
        <f>"ENSG00000059377.17"</f>
        <v>ENSG00000059377.17</v>
      </c>
      <c r="B1770" s="3">
        <v>201.502260535375</v>
      </c>
      <c r="C1770" s="3">
        <v>-2.7986875706396099</v>
      </c>
      <c r="D1770" s="3">
        <v>0.345255199577363</v>
      </c>
      <c r="E1770" s="3">
        <v>-8.1061417005900704</v>
      </c>
      <c r="F1770" s="4">
        <v>5.2252502838617197E-16</v>
      </c>
      <c r="G1770" s="4">
        <v>2.08636779191336E-14</v>
      </c>
      <c r="H1770" s="3" t="str">
        <f>"TBXAS1"</f>
        <v>TBXAS1</v>
      </c>
      <c r="I1770" s="3" t="str">
        <f>"protein_coding"</f>
        <v>protein_coding</v>
      </c>
    </row>
    <row r="1771" spans="1:9" x14ac:dyDescent="0.2">
      <c r="A1771" s="3" t="str">
        <f>"ENSG00000059378.12"</f>
        <v>ENSG00000059378.12</v>
      </c>
      <c r="B1771" s="3">
        <v>516.132448693078</v>
      </c>
      <c r="C1771" s="3">
        <v>-1.1204784174806699</v>
      </c>
      <c r="D1771" s="3">
        <v>0.293091396951143</v>
      </c>
      <c r="E1771" s="3">
        <v>-3.82296590461661</v>
      </c>
      <c r="F1771" s="3">
        <v>1.31856017927951E-4</v>
      </c>
      <c r="G1771" s="3">
        <v>1.0342494951598401E-3</v>
      </c>
      <c r="H1771" s="3" t="str">
        <f>"PARP12"</f>
        <v>PARP12</v>
      </c>
      <c r="I1771" s="3" t="str">
        <f>"protein_coding"</f>
        <v>protein_coding</v>
      </c>
    </row>
    <row r="1772" spans="1:9" x14ac:dyDescent="0.2">
      <c r="A1772" s="3" t="str">
        <f>"ENSG00000260231.2"</f>
        <v>ENSG00000260231.2</v>
      </c>
      <c r="B1772" s="3">
        <v>667.97806637341796</v>
      </c>
      <c r="C1772" s="3">
        <v>1.2372437637942999</v>
      </c>
      <c r="D1772" s="3">
        <v>0.27017022613777297</v>
      </c>
      <c r="E1772" s="3">
        <v>4.5794970877485497</v>
      </c>
      <c r="F1772" s="4">
        <v>4.6609527800123397E-6</v>
      </c>
      <c r="G1772" s="4">
        <v>5.1483549886062298E-5</v>
      </c>
      <c r="H1772" s="3" t="str">
        <f>"KDM7A-DT"</f>
        <v>KDM7A-DT</v>
      </c>
      <c r="I1772" s="3" t="str">
        <f>"bidirectional_promoter_lncRNA"</f>
        <v>bidirectional_promoter_lncRNA</v>
      </c>
    </row>
    <row r="1773" spans="1:9" x14ac:dyDescent="0.2">
      <c r="A1773" s="3" t="str">
        <f>"ENSG00000257093.7"</f>
        <v>ENSG00000257093.7</v>
      </c>
      <c r="B1773" s="3">
        <v>786.80466460685898</v>
      </c>
      <c r="C1773" s="3">
        <v>-1.0111345288737399</v>
      </c>
      <c r="D1773" s="3">
        <v>0.25885235882020502</v>
      </c>
      <c r="E1773" s="3">
        <v>-3.90622103457848</v>
      </c>
      <c r="F1773" s="4">
        <v>9.3750761604737001E-5</v>
      </c>
      <c r="G1773" s="3">
        <v>7.67176450282094E-4</v>
      </c>
      <c r="H1773" s="3" t="str">
        <f>"KIAA1147"</f>
        <v>KIAA1147</v>
      </c>
      <c r="I1773" s="3" t="str">
        <f t="shared" ref="I1773:I1779" si="75">"protein_coding"</f>
        <v>protein_coding</v>
      </c>
    </row>
    <row r="1774" spans="1:9" x14ac:dyDescent="0.2">
      <c r="A1774" s="3" t="str">
        <f>"ENSG00000127362.2"</f>
        <v>ENSG00000127362.2</v>
      </c>
      <c r="B1774" s="3">
        <v>93.273662322013607</v>
      </c>
      <c r="C1774" s="3">
        <v>1.12938828859044</v>
      </c>
      <c r="D1774" s="3">
        <v>0.439242723400873</v>
      </c>
      <c r="E1774" s="3">
        <v>2.5712168430385298</v>
      </c>
      <c r="F1774" s="3">
        <v>1.0134185054954101E-2</v>
      </c>
      <c r="G1774" s="3">
        <v>4.2751203263016901E-2</v>
      </c>
      <c r="H1774" s="3" t="str">
        <f>"TAS2R3"</f>
        <v>TAS2R3</v>
      </c>
      <c r="I1774" s="3" t="str">
        <f t="shared" si="75"/>
        <v>protein_coding</v>
      </c>
    </row>
    <row r="1775" spans="1:9" x14ac:dyDescent="0.2">
      <c r="A1775" s="3" t="str">
        <f>"ENSG00000197993.9"</f>
        <v>ENSG00000197993.9</v>
      </c>
      <c r="B1775" s="3">
        <v>54.526576233074302</v>
      </c>
      <c r="C1775" s="3">
        <v>3.8604724269649102</v>
      </c>
      <c r="D1775" s="3">
        <v>0.60474861859316498</v>
      </c>
      <c r="E1775" s="3">
        <v>6.3835985867079401</v>
      </c>
      <c r="F1775" s="4">
        <v>1.7297414747812E-10</v>
      </c>
      <c r="G1775" s="4">
        <v>3.8574154962873399E-9</v>
      </c>
      <c r="H1775" s="3" t="str">
        <f>"KEL"</f>
        <v>KEL</v>
      </c>
      <c r="I1775" s="3" t="str">
        <f t="shared" si="75"/>
        <v>protein_coding</v>
      </c>
    </row>
    <row r="1776" spans="1:9" x14ac:dyDescent="0.2">
      <c r="A1776" s="3" t="str">
        <f>"ENSG00000198420.10"</f>
        <v>ENSG00000198420.10</v>
      </c>
      <c r="B1776" s="3">
        <v>2696.8835329564399</v>
      </c>
      <c r="C1776" s="3">
        <v>1.5058540523315</v>
      </c>
      <c r="D1776" s="3">
        <v>0.251740315344748</v>
      </c>
      <c r="E1776" s="3">
        <v>5.9817755065147198</v>
      </c>
      <c r="F1776" s="4">
        <v>2.2071833891082598E-9</v>
      </c>
      <c r="G1776" s="4">
        <v>4.25453625693627E-8</v>
      </c>
      <c r="H1776" s="3" t="str">
        <f>"TCAF1"</f>
        <v>TCAF1</v>
      </c>
      <c r="I1776" s="3" t="str">
        <f t="shared" si="75"/>
        <v>protein_coding</v>
      </c>
    </row>
    <row r="1777" spans="1:9" x14ac:dyDescent="0.2">
      <c r="A1777" s="3" t="str">
        <f>"ENSG00000174469.22"</f>
        <v>ENSG00000174469.22</v>
      </c>
      <c r="B1777" s="3">
        <v>213.81670215810101</v>
      </c>
      <c r="C1777" s="3">
        <v>-2.92852882644027</v>
      </c>
      <c r="D1777" s="3">
        <v>0.34119996746826903</v>
      </c>
      <c r="E1777" s="3">
        <v>-8.5830278594989</v>
      </c>
      <c r="F1777" s="4">
        <v>9.2407965117939593E-18</v>
      </c>
      <c r="G1777" s="4">
        <v>4.24958384376923E-16</v>
      </c>
      <c r="H1777" s="3" t="str">
        <f>"CNTNAP2"</f>
        <v>CNTNAP2</v>
      </c>
      <c r="I1777" s="3" t="str">
        <f t="shared" si="75"/>
        <v>protein_coding</v>
      </c>
    </row>
    <row r="1778" spans="1:9" x14ac:dyDescent="0.2">
      <c r="A1778" s="3" t="str">
        <f>"ENSG00000197362.14"</f>
        <v>ENSG00000197362.14</v>
      </c>
      <c r="B1778" s="3">
        <v>407.210402243705</v>
      </c>
      <c r="C1778" s="3">
        <v>1.31443398598195</v>
      </c>
      <c r="D1778" s="3">
        <v>0.286998931188583</v>
      </c>
      <c r="E1778" s="3">
        <v>4.57992641484178</v>
      </c>
      <c r="F1778" s="4">
        <v>4.6513954987411899E-6</v>
      </c>
      <c r="G1778" s="4">
        <v>5.1431144514652601E-5</v>
      </c>
      <c r="H1778" s="3" t="str">
        <f>"ZNF786"</f>
        <v>ZNF786</v>
      </c>
      <c r="I1778" s="3" t="str">
        <f t="shared" si="75"/>
        <v>protein_coding</v>
      </c>
    </row>
    <row r="1779" spans="1:9" x14ac:dyDescent="0.2">
      <c r="A1779" s="3" t="str">
        <f>"ENSG00000204947.9"</f>
        <v>ENSG00000204947.9</v>
      </c>
      <c r="B1779" s="3">
        <v>132.14133217579899</v>
      </c>
      <c r="C1779" s="3">
        <v>1.9551801858037099</v>
      </c>
      <c r="D1779" s="3">
        <v>0.37318965927522602</v>
      </c>
      <c r="E1779" s="3">
        <v>5.23910600738746</v>
      </c>
      <c r="F1779" s="4">
        <v>1.6135633662792001E-7</v>
      </c>
      <c r="G1779" s="4">
        <v>2.3434865172490402E-6</v>
      </c>
      <c r="H1779" s="3" t="str">
        <f>"ZNF425"</f>
        <v>ZNF425</v>
      </c>
      <c r="I1779" s="3" t="str">
        <f t="shared" si="75"/>
        <v>protein_coding</v>
      </c>
    </row>
    <row r="1780" spans="1:9" x14ac:dyDescent="0.2">
      <c r="A1780" s="3" t="str">
        <f>"ENSG00000244560.7"</f>
        <v>ENSG00000244560.7</v>
      </c>
      <c r="B1780" s="3">
        <v>152.54434005882899</v>
      </c>
      <c r="C1780" s="3">
        <v>1.0411436825273399</v>
      </c>
      <c r="D1780" s="3">
        <v>0.390552465216151</v>
      </c>
      <c r="E1780" s="3">
        <v>2.66582284137194</v>
      </c>
      <c r="F1780" s="3">
        <v>7.6800152300916802E-3</v>
      </c>
      <c r="G1780" s="3">
        <v>3.3833762366542203E-2</v>
      </c>
      <c r="H1780" s="3" t="str">
        <f>"AC004890.2"</f>
        <v>AC004890.2</v>
      </c>
      <c r="I1780" s="3" t="str">
        <f>"transcribed_unprocessed_pseudogene"</f>
        <v>transcribed_unprocessed_pseudogene</v>
      </c>
    </row>
    <row r="1781" spans="1:9" x14ac:dyDescent="0.2">
      <c r="A1781" s="3" t="str">
        <f>"ENSG00000181220.17"</f>
        <v>ENSG00000181220.17</v>
      </c>
      <c r="B1781" s="3">
        <v>1099.1700697408701</v>
      </c>
      <c r="C1781" s="3">
        <v>1.3420552757114601</v>
      </c>
      <c r="D1781" s="3">
        <v>0.27648130985513503</v>
      </c>
      <c r="E1781" s="3">
        <v>4.85405424480461</v>
      </c>
      <c r="F1781" s="4">
        <v>1.20962625005105E-6</v>
      </c>
      <c r="G1781" s="4">
        <v>1.4814093631954301E-5</v>
      </c>
      <c r="H1781" s="3" t="str">
        <f>"ZNF746"</f>
        <v>ZNF746</v>
      </c>
      <c r="I1781" s="3" t="str">
        <f>"protein_coding"</f>
        <v>protein_coding</v>
      </c>
    </row>
    <row r="1782" spans="1:9" x14ac:dyDescent="0.2">
      <c r="A1782" s="3" t="str">
        <f>"ENSG00000133624.13"</f>
        <v>ENSG00000133624.13</v>
      </c>
      <c r="B1782" s="3">
        <v>1239.7466399919001</v>
      </c>
      <c r="C1782" s="3">
        <v>2.3997565073352201</v>
      </c>
      <c r="D1782" s="3">
        <v>0.26329148385557899</v>
      </c>
      <c r="E1782" s="3">
        <v>9.1144478818446508</v>
      </c>
      <c r="F1782" s="4">
        <v>7.9072053405561903E-20</v>
      </c>
      <c r="G1782" s="4">
        <v>4.1963238468711201E-18</v>
      </c>
      <c r="H1782" s="3" t="str">
        <f>"ZNF767P"</f>
        <v>ZNF767P</v>
      </c>
      <c r="I1782" s="3" t="str">
        <f>"transcribed_unprocessed_pseudogene"</f>
        <v>transcribed_unprocessed_pseudogene</v>
      </c>
    </row>
    <row r="1783" spans="1:9" x14ac:dyDescent="0.2">
      <c r="A1783" s="3" t="str">
        <f>"ENSG00000133619.17"</f>
        <v>ENSG00000133619.17</v>
      </c>
      <c r="B1783" s="3">
        <v>949.97383177199504</v>
      </c>
      <c r="C1783" s="3">
        <v>2.3268083728706399</v>
      </c>
      <c r="D1783" s="3">
        <v>0.31300307712032099</v>
      </c>
      <c r="E1783" s="3">
        <v>7.4338194827911996</v>
      </c>
      <c r="F1783" s="4">
        <v>1.05505931577242E-13</v>
      </c>
      <c r="G1783" s="4">
        <v>3.3895296409010498E-12</v>
      </c>
      <c r="H1783" s="3" t="str">
        <f>"KRBA1"</f>
        <v>KRBA1</v>
      </c>
      <c r="I1783" s="3" t="str">
        <f t="shared" ref="I1783:I1788" si="76">"protein_coding"</f>
        <v>protein_coding</v>
      </c>
    </row>
    <row r="1784" spans="1:9" x14ac:dyDescent="0.2">
      <c r="A1784" s="3" t="str">
        <f>"ENSG00000181444.13"</f>
        <v>ENSG00000181444.13</v>
      </c>
      <c r="B1784" s="3">
        <v>12.979715839907501</v>
      </c>
      <c r="C1784" s="3">
        <v>3.6633846771903902</v>
      </c>
      <c r="D1784" s="3">
        <v>1.1211227105292401</v>
      </c>
      <c r="E1784" s="3">
        <v>3.26760366442051</v>
      </c>
      <c r="F1784" s="3">
        <v>1.0846213708313401E-3</v>
      </c>
      <c r="G1784" s="3">
        <v>6.5381381699646099E-3</v>
      </c>
      <c r="H1784" s="3" t="str">
        <f>"ZNF467"</f>
        <v>ZNF467</v>
      </c>
      <c r="I1784" s="3" t="str">
        <f t="shared" si="76"/>
        <v>protein_coding</v>
      </c>
    </row>
    <row r="1785" spans="1:9" x14ac:dyDescent="0.2">
      <c r="A1785" s="3" t="str">
        <f>"ENSG00000197558.11"</f>
        <v>ENSG00000197558.11</v>
      </c>
      <c r="B1785" s="3">
        <v>1323.0058230959501</v>
      </c>
      <c r="C1785" s="3">
        <v>6.6581276126315503</v>
      </c>
      <c r="D1785" s="3">
        <v>0.36683170042493102</v>
      </c>
      <c r="E1785" s="3">
        <v>18.150360519330501</v>
      </c>
      <c r="F1785" s="4">
        <v>1.2756090162631101E-73</v>
      </c>
      <c r="G1785" s="4">
        <v>7.4623127451391906E-71</v>
      </c>
      <c r="H1785" s="3" t="str">
        <f>"SSPO"</f>
        <v>SSPO</v>
      </c>
      <c r="I1785" s="3" t="str">
        <f t="shared" si="76"/>
        <v>protein_coding</v>
      </c>
    </row>
    <row r="1786" spans="1:9" x14ac:dyDescent="0.2">
      <c r="A1786" s="3" t="str">
        <f>"ENSG00000278685.4"</f>
        <v>ENSG00000278685.4</v>
      </c>
      <c r="B1786" s="3">
        <v>18.126936653582</v>
      </c>
      <c r="C1786" s="3">
        <v>7.6985106656215399</v>
      </c>
      <c r="D1786" s="3">
        <v>1.63125028036519</v>
      </c>
      <c r="E1786" s="3">
        <v>4.7193927003635796</v>
      </c>
      <c r="F1786" s="4">
        <v>2.36549778762106E-6</v>
      </c>
      <c r="G1786" s="4">
        <v>2.7497272110724501E-5</v>
      </c>
      <c r="H1786" s="3" t="str">
        <f>"IQCA1L"</f>
        <v>IQCA1L</v>
      </c>
      <c r="I1786" s="3" t="str">
        <f t="shared" si="76"/>
        <v>protein_coding</v>
      </c>
    </row>
    <row r="1787" spans="1:9" x14ac:dyDescent="0.2">
      <c r="A1787" s="3" t="str">
        <f>"ENSG00000082014.16"</f>
        <v>ENSG00000082014.16</v>
      </c>
      <c r="B1787" s="3">
        <v>94.817558129843206</v>
      </c>
      <c r="C1787" s="3">
        <v>2.3027105309585298</v>
      </c>
      <c r="D1787" s="3">
        <v>0.475998950819849</v>
      </c>
      <c r="E1787" s="3">
        <v>4.8376378288069599</v>
      </c>
      <c r="F1787" s="4">
        <v>1.31391271132608E-6</v>
      </c>
      <c r="G1787" s="4">
        <v>1.5951483713034502E-5</v>
      </c>
      <c r="H1787" s="3" t="str">
        <f>"SMARCD3"</f>
        <v>SMARCD3</v>
      </c>
      <c r="I1787" s="3" t="str">
        <f t="shared" si="76"/>
        <v>protein_coding</v>
      </c>
    </row>
    <row r="1788" spans="1:9" x14ac:dyDescent="0.2">
      <c r="A1788" s="3" t="str">
        <f>"ENSG00000187260.15"</f>
        <v>ENSG00000187260.15</v>
      </c>
      <c r="B1788" s="3">
        <v>20.460735699386401</v>
      </c>
      <c r="C1788" s="3">
        <v>-2.49305864598408</v>
      </c>
      <c r="D1788" s="3">
        <v>0.82363061596935305</v>
      </c>
      <c r="E1788" s="3">
        <v>-3.0269135188107801</v>
      </c>
      <c r="F1788" s="3">
        <v>2.4706463198619199E-3</v>
      </c>
      <c r="G1788" s="3">
        <v>1.3089534156724199E-2</v>
      </c>
      <c r="H1788" s="3" t="str">
        <f>"WDR86"</f>
        <v>WDR86</v>
      </c>
      <c r="I1788" s="3" t="str">
        <f t="shared" si="76"/>
        <v>protein_coding</v>
      </c>
    </row>
    <row r="1789" spans="1:9" x14ac:dyDescent="0.2">
      <c r="A1789" s="3" t="str">
        <f>"ENSG00000243836.5"</f>
        <v>ENSG00000243836.5</v>
      </c>
      <c r="B1789" s="3">
        <v>11.2039463020818</v>
      </c>
      <c r="C1789" s="3">
        <v>-3.2384389831854601</v>
      </c>
      <c r="D1789" s="3">
        <v>1.2490549742098001</v>
      </c>
      <c r="E1789" s="3">
        <v>-2.59271132980694</v>
      </c>
      <c r="F1789" s="3">
        <v>9.5222658803023608E-3</v>
      </c>
      <c r="G1789" s="3">
        <v>4.0564368877054301E-2</v>
      </c>
      <c r="H1789" s="3" t="str">
        <f>"WDR86-AS1"</f>
        <v>WDR86-AS1</v>
      </c>
      <c r="I1789" s="3" t="str">
        <f>"processed_transcript"</f>
        <v>processed_transcript</v>
      </c>
    </row>
    <row r="1790" spans="1:9" x14ac:dyDescent="0.2">
      <c r="A1790" s="3" t="str">
        <f>"ENSG00000178234.13"</f>
        <v>ENSG00000178234.13</v>
      </c>
      <c r="B1790" s="3">
        <v>2779.68304472114</v>
      </c>
      <c r="C1790" s="3">
        <v>3.2909859698978101</v>
      </c>
      <c r="D1790" s="3">
        <v>0.24720708585192999</v>
      </c>
      <c r="E1790" s="3">
        <v>13.312668439726799</v>
      </c>
      <c r="F1790" s="4">
        <v>1.95376985387008E-40</v>
      </c>
      <c r="G1790" s="4">
        <v>3.3662384023357497E-38</v>
      </c>
      <c r="H1790" s="3" t="str">
        <f>"GALNT11"</f>
        <v>GALNT11</v>
      </c>
      <c r="I1790" s="3" t="str">
        <f>"protein_coding"</f>
        <v>protein_coding</v>
      </c>
    </row>
    <row r="1791" spans="1:9" x14ac:dyDescent="0.2">
      <c r="A1791" s="3" t="str">
        <f>"ENSG00000229591.1"</f>
        <v>ENSG00000229591.1</v>
      </c>
      <c r="B1791" s="3">
        <v>19.266819273015599</v>
      </c>
      <c r="C1791" s="3">
        <v>2.0227165581764202</v>
      </c>
      <c r="D1791" s="3">
        <v>0.803453781465442</v>
      </c>
      <c r="E1791" s="3">
        <v>2.51752696276708</v>
      </c>
      <c r="F1791" s="3">
        <v>1.18181923621504E-2</v>
      </c>
      <c r="G1791" s="3">
        <v>4.8425904686413598E-2</v>
      </c>
      <c r="H1791" s="3" t="str">
        <f>"AC006017.1"</f>
        <v>AC006017.1</v>
      </c>
      <c r="I1791" s="3" t="str">
        <f>"antisense"</f>
        <v>antisense</v>
      </c>
    </row>
    <row r="1792" spans="1:9" x14ac:dyDescent="0.2">
      <c r="A1792" s="3" t="str">
        <f>"ENSG00000213188.3"</f>
        <v>ENSG00000213188.3</v>
      </c>
      <c r="B1792" s="3">
        <v>22.2515688004002</v>
      </c>
      <c r="C1792" s="3">
        <v>3.9077642061171098</v>
      </c>
      <c r="D1792" s="3">
        <v>0.91528908381569296</v>
      </c>
      <c r="E1792" s="3">
        <v>4.2694316748827301</v>
      </c>
      <c r="F1792" s="4">
        <v>1.9597166821485302E-5</v>
      </c>
      <c r="G1792" s="3">
        <v>1.8786841897654801E-4</v>
      </c>
      <c r="H1792" s="3" t="str">
        <f>"YBX1P4"</f>
        <v>YBX1P4</v>
      </c>
      <c r="I1792" s="3" t="str">
        <f>"processed_pseudogene"</f>
        <v>processed_pseudogene</v>
      </c>
    </row>
    <row r="1793" spans="1:9" x14ac:dyDescent="0.2">
      <c r="A1793" s="3" t="str">
        <f>"ENSG00000055609.18"</f>
        <v>ENSG00000055609.18</v>
      </c>
      <c r="B1793" s="3">
        <v>4122.37627400171</v>
      </c>
      <c r="C1793" s="3">
        <v>1.30960096427271</v>
      </c>
      <c r="D1793" s="3">
        <v>0.238926931368796</v>
      </c>
      <c r="E1793" s="3">
        <v>5.4811776837801203</v>
      </c>
      <c r="F1793" s="4">
        <v>4.2250388475894102E-8</v>
      </c>
      <c r="G1793" s="4">
        <v>6.7223815440298198E-7</v>
      </c>
      <c r="H1793" s="3" t="str">
        <f>"KMT2C"</f>
        <v>KMT2C</v>
      </c>
      <c r="I1793" s="3" t="str">
        <f>"protein_coding"</f>
        <v>protein_coding</v>
      </c>
    </row>
    <row r="1794" spans="1:9" x14ac:dyDescent="0.2">
      <c r="A1794" s="3" t="str">
        <f>"ENSG00000196584.3"</f>
        <v>ENSG00000196584.3</v>
      </c>
      <c r="B1794" s="3">
        <v>1229.4116168852199</v>
      </c>
      <c r="C1794" s="3">
        <v>-1.37180775472372</v>
      </c>
      <c r="D1794" s="3">
        <v>0.24962264936518999</v>
      </c>
      <c r="E1794" s="3">
        <v>-5.4955259797631903</v>
      </c>
      <c r="F1794" s="4">
        <v>3.8954758719970398E-8</v>
      </c>
      <c r="G1794" s="4">
        <v>6.2374726645503297E-7</v>
      </c>
      <c r="H1794" s="3" t="str">
        <f>"XRCC2"</f>
        <v>XRCC2</v>
      </c>
      <c r="I1794" s="3" t="str">
        <f>"protein_coding"</f>
        <v>protein_coding</v>
      </c>
    </row>
    <row r="1795" spans="1:9" x14ac:dyDescent="0.2">
      <c r="A1795" s="3" t="str">
        <f>"ENSG00000204876.4"</f>
        <v>ENSG00000204876.4</v>
      </c>
      <c r="B1795" s="3">
        <v>131.13905401375999</v>
      </c>
      <c r="C1795" s="3">
        <v>1.0823086307001999</v>
      </c>
      <c r="D1795" s="3">
        <v>0.41595323627399899</v>
      </c>
      <c r="E1795" s="3">
        <v>2.6019959368395398</v>
      </c>
      <c r="F1795" s="3">
        <v>9.2682950323693305E-3</v>
      </c>
      <c r="G1795" s="3">
        <v>3.9636851672772901E-2</v>
      </c>
      <c r="H1795" s="3" t="str">
        <f>"AC021218.1"</f>
        <v>AC021218.1</v>
      </c>
      <c r="I1795" s="3" t="str">
        <f>"lincRNA"</f>
        <v>lincRNA</v>
      </c>
    </row>
    <row r="1796" spans="1:9" x14ac:dyDescent="0.2">
      <c r="A1796" s="3" t="str">
        <f>"ENSG00000117868.16"</f>
        <v>ENSG00000117868.16</v>
      </c>
      <c r="B1796" s="3">
        <v>6646.9298959347097</v>
      </c>
      <c r="C1796" s="3">
        <v>2.3029545775945102</v>
      </c>
      <c r="D1796" s="3">
        <v>0.23864565321506301</v>
      </c>
      <c r="E1796" s="3">
        <v>9.6501006683709996</v>
      </c>
      <c r="F1796" s="4">
        <v>4.9107498451868801E-22</v>
      </c>
      <c r="G1796" s="4">
        <v>3.0129246916018602E-20</v>
      </c>
      <c r="H1796" s="3" t="str">
        <f>"ESYT2"</f>
        <v>ESYT2</v>
      </c>
      <c r="I1796" s="3" t="str">
        <f>"protein_coding"</f>
        <v>protein_coding</v>
      </c>
    </row>
    <row r="1797" spans="1:9" x14ac:dyDescent="0.2">
      <c r="A1797" s="3" t="str">
        <f>"ENSG00000126870.16"</f>
        <v>ENSG00000126870.16</v>
      </c>
      <c r="B1797" s="3">
        <v>438.917063155162</v>
      </c>
      <c r="C1797" s="3">
        <v>1.41317948654558</v>
      </c>
      <c r="D1797" s="3">
        <v>0.27997331802282599</v>
      </c>
      <c r="E1797" s="3">
        <v>5.0475505899114301</v>
      </c>
      <c r="F1797" s="4">
        <v>4.4751029470127501E-7</v>
      </c>
      <c r="G1797" s="4">
        <v>5.9919408776859901E-6</v>
      </c>
      <c r="H1797" s="3" t="str">
        <f>"WDR60"</f>
        <v>WDR60</v>
      </c>
      <c r="I1797" s="3" t="str">
        <f>"protein_coding"</f>
        <v>protein_coding</v>
      </c>
    </row>
    <row r="1798" spans="1:9" x14ac:dyDescent="0.2">
      <c r="A1798" s="3" t="str">
        <f>"ENSG00000253620.2"</f>
        <v>ENSG00000253620.2</v>
      </c>
      <c r="B1798" s="3">
        <v>13.893675732844899</v>
      </c>
      <c r="C1798" s="3">
        <v>3.3861857444135999</v>
      </c>
      <c r="D1798" s="3">
        <v>1.09164447393721</v>
      </c>
      <c r="E1798" s="3">
        <v>3.10191259632427</v>
      </c>
      <c r="F1798" s="3">
        <v>1.92274719400238E-3</v>
      </c>
      <c r="G1798" s="3">
        <v>1.0592795809270699E-2</v>
      </c>
      <c r="H1798" s="3" t="str">
        <f>"AC144568.1"</f>
        <v>AC144568.1</v>
      </c>
      <c r="I1798" s="3" t="str">
        <f>"processed_pseudogene"</f>
        <v>processed_pseudogene</v>
      </c>
    </row>
    <row r="1799" spans="1:9" x14ac:dyDescent="0.2">
      <c r="A1799" s="3" t="str">
        <f>"ENSG00000223508.5"</f>
        <v>ENSG00000223508.5</v>
      </c>
      <c r="B1799" s="3">
        <v>350.05571833182103</v>
      </c>
      <c r="C1799" s="3">
        <v>1.48909091574701</v>
      </c>
      <c r="D1799" s="3">
        <v>0.296915148300812</v>
      </c>
      <c r="E1799" s="3">
        <v>5.0152069514431696</v>
      </c>
      <c r="F1799" s="4">
        <v>5.29764123804923E-7</v>
      </c>
      <c r="G1799" s="4">
        <v>7.0027412161391602E-6</v>
      </c>
      <c r="H1799" s="3" t="str">
        <f>"RPL23AP53"</f>
        <v>RPL23AP53</v>
      </c>
      <c r="I1799" s="3" t="str">
        <f>"transcribed_processed_pseudogene"</f>
        <v>transcribed_processed_pseudogene</v>
      </c>
    </row>
    <row r="1800" spans="1:9" x14ac:dyDescent="0.2">
      <c r="A1800" s="3" t="str">
        <f>"ENSG00000182366.9"</f>
        <v>ENSG00000182366.9</v>
      </c>
      <c r="B1800" s="3">
        <v>105.442598459504</v>
      </c>
      <c r="C1800" s="3">
        <v>5.5961081725770399</v>
      </c>
      <c r="D1800" s="3">
        <v>0.61261703098527498</v>
      </c>
      <c r="E1800" s="3">
        <v>9.1347577516361191</v>
      </c>
      <c r="F1800" s="4">
        <v>6.5553374393541704E-20</v>
      </c>
      <c r="G1800" s="4">
        <v>3.5010512375149497E-18</v>
      </c>
      <c r="H1800" s="3" t="str">
        <f>"FAM87A"</f>
        <v>FAM87A</v>
      </c>
      <c r="I1800" s="3" t="str">
        <f>"lincRNA"</f>
        <v>lincRNA</v>
      </c>
    </row>
    <row r="1801" spans="1:9" x14ac:dyDescent="0.2">
      <c r="A1801" s="3" t="str">
        <f>"ENSG00000147364.16"</f>
        <v>ENSG00000147364.16</v>
      </c>
      <c r="B1801" s="3">
        <v>2225.90110227488</v>
      </c>
      <c r="C1801" s="3">
        <v>1.54396372984583</v>
      </c>
      <c r="D1801" s="3">
        <v>0.24007165879971201</v>
      </c>
      <c r="E1801" s="3">
        <v>6.4312619722177802</v>
      </c>
      <c r="F1801" s="4">
        <v>1.26548834861576E-10</v>
      </c>
      <c r="G1801" s="4">
        <v>2.86787021706572E-9</v>
      </c>
      <c r="H1801" s="3" t="str">
        <f>"FBXO25"</f>
        <v>FBXO25</v>
      </c>
      <c r="I1801" s="3" t="str">
        <f>"protein_coding"</f>
        <v>protein_coding</v>
      </c>
    </row>
    <row r="1802" spans="1:9" x14ac:dyDescent="0.2">
      <c r="A1802" s="3" t="str">
        <f>"ENSG00000279852.1"</f>
        <v>ENSG00000279852.1</v>
      </c>
      <c r="B1802" s="3">
        <v>94.547803449108898</v>
      </c>
      <c r="C1802" s="3">
        <v>-1.1066238495962899</v>
      </c>
      <c r="D1802" s="3">
        <v>0.43657795271444499</v>
      </c>
      <c r="E1802" s="3">
        <v>-2.5347680585238002</v>
      </c>
      <c r="F1802" s="3">
        <v>1.12521800809863E-2</v>
      </c>
      <c r="G1802" s="3">
        <v>4.6600031270531701E-2</v>
      </c>
      <c r="H1802" s="3" t="str">
        <f>"AC083964.2"</f>
        <v>AC083964.2</v>
      </c>
      <c r="I1802" s="3" t="str">
        <f>"TEC"</f>
        <v>TEC</v>
      </c>
    </row>
    <row r="1803" spans="1:9" x14ac:dyDescent="0.2">
      <c r="A1803" s="3" t="str">
        <f>"ENSG00000182372.9"</f>
        <v>ENSG00000182372.9</v>
      </c>
      <c r="B1803" s="3">
        <v>1762.19102457797</v>
      </c>
      <c r="C1803" s="3">
        <v>2.2904629911208101</v>
      </c>
      <c r="D1803" s="3">
        <v>0.26808728615979099</v>
      </c>
      <c r="E1803" s="3">
        <v>8.5437210541778708</v>
      </c>
      <c r="F1803" s="4">
        <v>1.2996754527848901E-17</v>
      </c>
      <c r="G1803" s="4">
        <v>5.9442429117825401E-16</v>
      </c>
      <c r="H1803" s="3" t="str">
        <f>"CLN8"</f>
        <v>CLN8</v>
      </c>
      <c r="I1803" s="3" t="str">
        <f>"protein_coding"</f>
        <v>protein_coding</v>
      </c>
    </row>
    <row r="1804" spans="1:9" x14ac:dyDescent="0.2">
      <c r="A1804" s="3" t="str">
        <f>"ENSG00000253982.1"</f>
        <v>ENSG00000253982.1</v>
      </c>
      <c r="B1804" s="3">
        <v>128.995863079115</v>
      </c>
      <c r="C1804" s="3">
        <v>1.2844460092618799</v>
      </c>
      <c r="D1804" s="3">
        <v>0.39898146413510899</v>
      </c>
      <c r="E1804" s="3">
        <v>3.2193124862234801</v>
      </c>
      <c r="F1804" s="3">
        <v>1.28498371340302E-3</v>
      </c>
      <c r="G1804" s="3">
        <v>7.5593464243809702E-3</v>
      </c>
      <c r="H1804" s="3" t="str">
        <f>"AC100810.1"</f>
        <v>AC100810.1</v>
      </c>
      <c r="I1804" s="3" t="str">
        <f>"antisense"</f>
        <v>antisense</v>
      </c>
    </row>
    <row r="1805" spans="1:9" x14ac:dyDescent="0.2">
      <c r="A1805" s="3" t="str">
        <f>"ENSG00000091879.13"</f>
        <v>ENSG00000091879.13</v>
      </c>
      <c r="B1805" s="3">
        <v>84.421560182478004</v>
      </c>
      <c r="C1805" s="3">
        <v>-3.7081399931685199</v>
      </c>
      <c r="D1805" s="3">
        <v>0.52216680290328699</v>
      </c>
      <c r="E1805" s="3">
        <v>-7.1014472244328504</v>
      </c>
      <c r="F1805" s="4">
        <v>1.23457156586824E-12</v>
      </c>
      <c r="G1805" s="4">
        <v>3.52504514635817E-11</v>
      </c>
      <c r="H1805" s="3" t="str">
        <f>"ANGPT2"</f>
        <v>ANGPT2</v>
      </c>
      <c r="I1805" s="3" t="str">
        <f>"protein_coding"</f>
        <v>protein_coding</v>
      </c>
    </row>
    <row r="1806" spans="1:9" x14ac:dyDescent="0.2">
      <c r="A1806" s="3" t="str">
        <f>"ENSG00000164825.4"</f>
        <v>ENSG00000164825.4</v>
      </c>
      <c r="B1806" s="3">
        <v>239.61657184838299</v>
      </c>
      <c r="C1806" s="3">
        <v>4.3365987140080202</v>
      </c>
      <c r="D1806" s="3">
        <v>0.38513272700145701</v>
      </c>
      <c r="E1806" s="3">
        <v>11.2600109260297</v>
      </c>
      <c r="F1806" s="4">
        <v>2.0673308265432E-29</v>
      </c>
      <c r="G1806" s="4">
        <v>2.0234905424783799E-27</v>
      </c>
      <c r="H1806" s="3" t="str">
        <f>"DEFB1"</f>
        <v>DEFB1</v>
      </c>
      <c r="I1806" s="3" t="str">
        <f>"protein_coding"</f>
        <v>protein_coding</v>
      </c>
    </row>
    <row r="1807" spans="1:9" x14ac:dyDescent="0.2">
      <c r="A1807" s="3" t="str">
        <f>"ENSG00000254625.1"</f>
        <v>ENSG00000254625.1</v>
      </c>
      <c r="B1807" s="3">
        <v>16.209418203318599</v>
      </c>
      <c r="C1807" s="3">
        <v>2.52810050781921</v>
      </c>
      <c r="D1807" s="3">
        <v>0.90610456009032203</v>
      </c>
      <c r="E1807" s="3">
        <v>2.7900759130571</v>
      </c>
      <c r="F1807" s="3">
        <v>5.2695684510668198E-3</v>
      </c>
      <c r="G1807" s="3">
        <v>2.47536870936668E-2</v>
      </c>
      <c r="H1807" s="3" t="str">
        <f>"AF233439.2"</f>
        <v>AF233439.2</v>
      </c>
      <c r="I1807" s="3" t="str">
        <f>"antisense"</f>
        <v>antisense</v>
      </c>
    </row>
    <row r="1808" spans="1:9" x14ac:dyDescent="0.2">
      <c r="A1808" s="3" t="str">
        <f>"ENSG00000284606.1"</f>
        <v>ENSG00000284606.1</v>
      </c>
      <c r="B1808" s="3">
        <v>27.838211564520801</v>
      </c>
      <c r="C1808" s="3">
        <v>2.1019913000455999</v>
      </c>
      <c r="D1808" s="3">
        <v>0.69371249310081995</v>
      </c>
      <c r="E1808" s="3">
        <v>3.03006118665951</v>
      </c>
      <c r="F1808" s="3">
        <v>2.4450419946668699E-3</v>
      </c>
      <c r="G1808" s="3">
        <v>1.29784830926029E-2</v>
      </c>
      <c r="H1808" s="3" t="str">
        <f>"AC105233.5"</f>
        <v>AC105233.5</v>
      </c>
      <c r="I1808" s="3" t="str">
        <f>"processed_transcript"</f>
        <v>processed_transcript</v>
      </c>
    </row>
    <row r="1809" spans="1:9" x14ac:dyDescent="0.2">
      <c r="A1809" s="3" t="str">
        <f>"ENSG00000173281.5"</f>
        <v>ENSG00000173281.5</v>
      </c>
      <c r="B1809" s="3">
        <v>27.557822018471299</v>
      </c>
      <c r="C1809" s="3">
        <v>-1.70377188607934</v>
      </c>
      <c r="D1809" s="3">
        <v>0.67479786738532399</v>
      </c>
      <c r="E1809" s="3">
        <v>-2.5248625824516</v>
      </c>
      <c r="F1809" s="3">
        <v>1.15743538217333E-2</v>
      </c>
      <c r="G1809" s="3">
        <v>4.7637810602557597E-2</v>
      </c>
      <c r="H1809" s="3" t="str">
        <f>"PPP1R3B"</f>
        <v>PPP1R3B</v>
      </c>
      <c r="I1809" s="3" t="str">
        <f>"protein_coding"</f>
        <v>protein_coding</v>
      </c>
    </row>
    <row r="1810" spans="1:9" x14ac:dyDescent="0.2">
      <c r="A1810" s="3" t="str">
        <f>"ENSG00000272267.2"</f>
        <v>ENSG00000272267.2</v>
      </c>
      <c r="B1810" s="3">
        <v>66.740625334780006</v>
      </c>
      <c r="C1810" s="3">
        <v>-1.67958515145609</v>
      </c>
      <c r="D1810" s="3">
        <v>0.47124646164564199</v>
      </c>
      <c r="E1810" s="3">
        <v>-3.5641331832833298</v>
      </c>
      <c r="F1810" s="3">
        <v>3.65060573540101E-4</v>
      </c>
      <c r="G1810" s="3">
        <v>2.5437946613299802E-3</v>
      </c>
      <c r="H1810" s="3" t="str">
        <f>"AC021242.3"</f>
        <v>AC021242.3</v>
      </c>
      <c r="I1810" s="3" t="str">
        <f>"antisense"</f>
        <v>antisense</v>
      </c>
    </row>
    <row r="1811" spans="1:9" x14ac:dyDescent="0.2">
      <c r="A1811" s="3" t="str">
        <f>"ENSG00000171056.8"</f>
        <v>ENSG00000171056.8</v>
      </c>
      <c r="B1811" s="3">
        <v>98.1362650352484</v>
      </c>
      <c r="C1811" s="3">
        <v>3.40924888223081</v>
      </c>
      <c r="D1811" s="3">
        <v>0.48560318927472701</v>
      </c>
      <c r="E1811" s="3">
        <v>7.0206476347956004</v>
      </c>
      <c r="F1811" s="4">
        <v>2.20842167459679E-12</v>
      </c>
      <c r="G1811" s="4">
        <v>6.1181549806698494E-11</v>
      </c>
      <c r="H1811" s="3" t="str">
        <f>"SOX7"</f>
        <v>SOX7</v>
      </c>
      <c r="I1811" s="3" t="str">
        <f>"protein_coding"</f>
        <v>protein_coding</v>
      </c>
    </row>
    <row r="1812" spans="1:9" x14ac:dyDescent="0.2">
      <c r="A1812" s="3" t="str">
        <f>"ENSG00000205879.5"</f>
        <v>ENSG00000205879.5</v>
      </c>
      <c r="B1812" s="3">
        <v>7.1297196754970598</v>
      </c>
      <c r="C1812" s="3">
        <v>3.8132017607231399</v>
      </c>
      <c r="D1812" s="3">
        <v>1.5222020695309499</v>
      </c>
      <c r="E1812" s="3">
        <v>2.5050562189145702</v>
      </c>
      <c r="F1812" s="3">
        <v>1.2243193138030999E-2</v>
      </c>
      <c r="G1812" s="3">
        <v>4.9834550709897903E-2</v>
      </c>
      <c r="H1812" s="3" t="str">
        <f>"FAM90A2P"</f>
        <v>FAM90A2P</v>
      </c>
      <c r="I1812" s="3" t="str">
        <f>"unprocessed_pseudogene"</f>
        <v>unprocessed_pseudogene</v>
      </c>
    </row>
    <row r="1813" spans="1:9" x14ac:dyDescent="0.2">
      <c r="A1813" s="3" t="str">
        <f>"ENSG00000251402.3"</f>
        <v>ENSG00000251402.3</v>
      </c>
      <c r="B1813" s="3">
        <v>9.2911088963574802</v>
      </c>
      <c r="C1813" s="3">
        <v>3.6096072043617302</v>
      </c>
      <c r="D1813" s="3">
        <v>1.3031046374426201</v>
      </c>
      <c r="E1813" s="3">
        <v>2.7700056470105801</v>
      </c>
      <c r="F1813" s="3">
        <v>5.6055320789720302E-3</v>
      </c>
      <c r="G1813" s="3">
        <v>2.6016081078697701E-2</v>
      </c>
      <c r="H1813" s="3" t="str">
        <f>"FAM90A25P"</f>
        <v>FAM90A25P</v>
      </c>
      <c r="I1813" s="3" t="str">
        <f>"unprocessed_pseudogene"</f>
        <v>unprocessed_pseudogene</v>
      </c>
    </row>
    <row r="1814" spans="1:9" x14ac:dyDescent="0.2">
      <c r="A1814" s="3" t="str">
        <f>"ENSG00000104213.12"</f>
        <v>ENSG00000104213.12</v>
      </c>
      <c r="B1814" s="3">
        <v>67.457526866204304</v>
      </c>
      <c r="C1814" s="3">
        <v>-1.3770824393257699</v>
      </c>
      <c r="D1814" s="3">
        <v>0.46561186632489598</v>
      </c>
      <c r="E1814" s="3">
        <v>-2.9575759101570398</v>
      </c>
      <c r="F1814" s="3">
        <v>3.1006839246903598E-3</v>
      </c>
      <c r="G1814" s="3">
        <v>1.5849970356753899E-2</v>
      </c>
      <c r="H1814" s="3" t="str">
        <f>"PDGFRL"</f>
        <v>PDGFRL</v>
      </c>
      <c r="I1814" s="3" t="str">
        <f>"protein_coding"</f>
        <v>protein_coding</v>
      </c>
    </row>
    <row r="1815" spans="1:9" x14ac:dyDescent="0.2">
      <c r="A1815" s="3" t="str">
        <f>"ENSG00000265520.1"</f>
        <v>ENSG00000265520.1</v>
      </c>
      <c r="B1815" s="3">
        <v>39.161704835056398</v>
      </c>
      <c r="C1815" s="3">
        <v>1.47197118945481</v>
      </c>
      <c r="D1815" s="3">
        <v>0.57916412868363099</v>
      </c>
      <c r="E1815" s="3">
        <v>2.5415441263608902</v>
      </c>
      <c r="F1815" s="3">
        <v>1.10364014270733E-2</v>
      </c>
      <c r="G1815" s="3">
        <v>4.5796878571103303E-2</v>
      </c>
      <c r="H1815" s="3" t="str">
        <f>"MIR548V"</f>
        <v>MIR548V</v>
      </c>
      <c r="I1815" s="3" t="str">
        <f>"miRNA"</f>
        <v>miRNA</v>
      </c>
    </row>
    <row r="1816" spans="1:9" x14ac:dyDescent="0.2">
      <c r="A1816" s="3" t="str">
        <f>"ENSG00000253671.2"</f>
        <v>ENSG00000253671.2</v>
      </c>
      <c r="B1816" s="3">
        <v>152.148846329989</v>
      </c>
      <c r="C1816" s="3">
        <v>2.1279136690297702</v>
      </c>
      <c r="D1816" s="3">
        <v>0.39724946863396798</v>
      </c>
      <c r="E1816" s="3">
        <v>5.3566180373936803</v>
      </c>
      <c r="F1816" s="4">
        <v>8.4794112474326705E-8</v>
      </c>
      <c r="G1816" s="4">
        <v>1.28416369614189E-6</v>
      </c>
      <c r="H1816" s="3" t="str">
        <f>"AC027117.1"</f>
        <v>AC027117.1</v>
      </c>
      <c r="I1816" s="3" t="str">
        <f>"processed_transcript"</f>
        <v>processed_transcript</v>
      </c>
    </row>
    <row r="1817" spans="1:9" x14ac:dyDescent="0.2">
      <c r="A1817" s="3" t="str">
        <f>"ENSG00000156006.5"</f>
        <v>ENSG00000156006.5</v>
      </c>
      <c r="B1817" s="3">
        <v>7.8745423214445198</v>
      </c>
      <c r="C1817" s="3">
        <v>-3.7843012181832698</v>
      </c>
      <c r="D1817" s="3">
        <v>1.50726581061394</v>
      </c>
      <c r="E1817" s="3">
        <v>-2.5107059362288902</v>
      </c>
      <c r="F1817" s="3">
        <v>1.20490020386501E-2</v>
      </c>
      <c r="G1817" s="3">
        <v>4.92033516691954E-2</v>
      </c>
      <c r="H1817" s="3" t="str">
        <f>"NAT2"</f>
        <v>NAT2</v>
      </c>
      <c r="I1817" s="3" t="str">
        <f t="shared" ref="I1817:I1826" si="77">"protein_coding"</f>
        <v>protein_coding</v>
      </c>
    </row>
    <row r="1818" spans="1:9" x14ac:dyDescent="0.2">
      <c r="A1818" s="3" t="str">
        <f>"ENSG00000156011.17"</f>
        <v>ENSG00000156011.17</v>
      </c>
      <c r="B1818" s="3">
        <v>999.46048527532798</v>
      </c>
      <c r="C1818" s="3">
        <v>1.3692082247811601</v>
      </c>
      <c r="D1818" s="3">
        <v>0.25416082286719899</v>
      </c>
      <c r="E1818" s="3">
        <v>5.3871726150988204</v>
      </c>
      <c r="F1818" s="4">
        <v>7.1574687124587595E-8</v>
      </c>
      <c r="G1818" s="4">
        <v>1.0958376473639701E-6</v>
      </c>
      <c r="H1818" s="3" t="str">
        <f>"PSD3"</f>
        <v>PSD3</v>
      </c>
      <c r="I1818" s="3" t="str">
        <f t="shared" si="77"/>
        <v>protein_coding</v>
      </c>
    </row>
    <row r="1819" spans="1:9" x14ac:dyDescent="0.2">
      <c r="A1819" s="3" t="str">
        <f>"ENSG00000104611.12"</f>
        <v>ENSG00000104611.12</v>
      </c>
      <c r="B1819" s="3">
        <v>634.72790653518996</v>
      </c>
      <c r="C1819" s="3">
        <v>-2.1868766097830101</v>
      </c>
      <c r="D1819" s="3">
        <v>0.26979581650828799</v>
      </c>
      <c r="E1819" s="3">
        <v>-8.10567279391387</v>
      </c>
      <c r="F1819" s="4">
        <v>5.2454436282130703E-16</v>
      </c>
      <c r="G1819" s="4">
        <v>2.0911114812630699E-14</v>
      </c>
      <c r="H1819" s="3" t="str">
        <f>"SH2D4A"</f>
        <v>SH2D4A</v>
      </c>
      <c r="I1819" s="3" t="str">
        <f t="shared" si="77"/>
        <v>protein_coding</v>
      </c>
    </row>
    <row r="1820" spans="1:9" x14ac:dyDescent="0.2">
      <c r="A1820" s="3" t="str">
        <f>"ENSG00000158806.14"</f>
        <v>ENSG00000158806.14</v>
      </c>
      <c r="B1820" s="3">
        <v>1145.6165283713699</v>
      </c>
      <c r="C1820" s="3">
        <v>1.06221865378952</v>
      </c>
      <c r="D1820" s="3">
        <v>0.30462191259066701</v>
      </c>
      <c r="E1820" s="3">
        <v>3.4870067118804702</v>
      </c>
      <c r="F1820" s="3">
        <v>4.8845909861227601E-4</v>
      </c>
      <c r="G1820" s="3">
        <v>3.2748370537291601E-3</v>
      </c>
      <c r="H1820" s="3" t="str">
        <f>"NPM2"</f>
        <v>NPM2</v>
      </c>
      <c r="I1820" s="3" t="str">
        <f t="shared" si="77"/>
        <v>protein_coding</v>
      </c>
    </row>
    <row r="1821" spans="1:9" x14ac:dyDescent="0.2">
      <c r="A1821" s="3" t="str">
        <f>"ENSG00000158856.18"</f>
        <v>ENSG00000158856.18</v>
      </c>
      <c r="B1821" s="3">
        <v>2337.8833535364001</v>
      </c>
      <c r="C1821" s="3">
        <v>2.3464981322680201</v>
      </c>
      <c r="D1821" s="3">
        <v>0.28309951892011398</v>
      </c>
      <c r="E1821" s="3">
        <v>8.2885980916490301</v>
      </c>
      <c r="F1821" s="4">
        <v>1.1459103836178199E-16</v>
      </c>
      <c r="G1821" s="4">
        <v>4.9274146495566303E-15</v>
      </c>
      <c r="H1821" s="3" t="str">
        <f>"DMTN"</f>
        <v>DMTN</v>
      </c>
      <c r="I1821" s="3" t="str">
        <f t="shared" si="77"/>
        <v>protein_coding</v>
      </c>
    </row>
    <row r="1822" spans="1:9" x14ac:dyDescent="0.2">
      <c r="A1822" s="3" t="str">
        <f>"ENSG00000158863.22"</f>
        <v>ENSG00000158863.22</v>
      </c>
      <c r="B1822" s="3">
        <v>1556.44753622245</v>
      </c>
      <c r="C1822" s="3">
        <v>1.3090313028762901</v>
      </c>
      <c r="D1822" s="3">
        <v>0.31139030289678599</v>
      </c>
      <c r="E1822" s="3">
        <v>4.2038280919434401</v>
      </c>
      <c r="F1822" s="4">
        <v>2.6243828618854602E-5</v>
      </c>
      <c r="G1822" s="3">
        <v>2.4568794525764301E-4</v>
      </c>
      <c r="H1822" s="3" t="str">
        <f>"FAM160B2"</f>
        <v>FAM160B2</v>
      </c>
      <c r="I1822" s="3" t="str">
        <f t="shared" si="77"/>
        <v>protein_coding</v>
      </c>
    </row>
    <row r="1823" spans="1:9" x14ac:dyDescent="0.2">
      <c r="A1823" s="3" t="str">
        <f>"ENSG00000275074.2"</f>
        <v>ENSG00000275074.2</v>
      </c>
      <c r="B1823" s="3">
        <v>158.77767253052801</v>
      </c>
      <c r="C1823" s="3">
        <v>2.4831370308872902</v>
      </c>
      <c r="D1823" s="3">
        <v>0.38710023793945503</v>
      </c>
      <c r="E1823" s="3">
        <v>6.4147132642053997</v>
      </c>
      <c r="F1823" s="4">
        <v>1.4108815680269601E-10</v>
      </c>
      <c r="G1823" s="4">
        <v>3.1858820326497398E-9</v>
      </c>
      <c r="H1823" s="3" t="str">
        <f>"NUDT18"</f>
        <v>NUDT18</v>
      </c>
      <c r="I1823" s="3" t="str">
        <f t="shared" si="77"/>
        <v>protein_coding</v>
      </c>
    </row>
    <row r="1824" spans="1:9" x14ac:dyDescent="0.2">
      <c r="A1824" s="3" t="str">
        <f>"ENSG00000168453.15"</f>
        <v>ENSG00000168453.15</v>
      </c>
      <c r="B1824" s="3">
        <v>386.41226660603797</v>
      </c>
      <c r="C1824" s="3">
        <v>1.27961253542905</v>
      </c>
      <c r="D1824" s="3">
        <v>0.30961887849826703</v>
      </c>
      <c r="E1824" s="3">
        <v>4.1328634146454899</v>
      </c>
      <c r="F1824" s="4">
        <v>3.5827165056963798E-5</v>
      </c>
      <c r="G1824" s="3">
        <v>3.2476840973258501E-4</v>
      </c>
      <c r="H1824" s="3" t="str">
        <f>"HR"</f>
        <v>HR</v>
      </c>
      <c r="I1824" s="3" t="str">
        <f t="shared" si="77"/>
        <v>protein_coding</v>
      </c>
    </row>
    <row r="1825" spans="1:9" x14ac:dyDescent="0.2">
      <c r="A1825" s="3" t="str">
        <f>"ENSG00000168476.12"</f>
        <v>ENSG00000168476.12</v>
      </c>
      <c r="B1825" s="3">
        <v>1461.4791572589299</v>
      </c>
      <c r="C1825" s="3">
        <v>1.09607337394773</v>
      </c>
      <c r="D1825" s="3">
        <v>0.27141845141887799</v>
      </c>
      <c r="E1825" s="3">
        <v>4.0383156274669503</v>
      </c>
      <c r="F1825" s="4">
        <v>5.3836383536917203E-5</v>
      </c>
      <c r="G1825" s="3">
        <v>4.6924955920691301E-4</v>
      </c>
      <c r="H1825" s="3" t="str">
        <f>"REEP4"</f>
        <v>REEP4</v>
      </c>
      <c r="I1825" s="3" t="str">
        <f t="shared" si="77"/>
        <v>protein_coding</v>
      </c>
    </row>
    <row r="1826" spans="1:9" x14ac:dyDescent="0.2">
      <c r="A1826" s="3" t="str">
        <f>"ENSG00000168487.19"</f>
        <v>ENSG00000168487.19</v>
      </c>
      <c r="B1826" s="3">
        <v>1392.9443803914701</v>
      </c>
      <c r="C1826" s="3">
        <v>1.8071797736191</v>
      </c>
      <c r="D1826" s="3">
        <v>0.31283042588415999</v>
      </c>
      <c r="E1826" s="3">
        <v>5.7768670311125598</v>
      </c>
      <c r="F1826" s="4">
        <v>7.6104381655376794E-9</v>
      </c>
      <c r="G1826" s="4">
        <v>1.3664566170885099E-7</v>
      </c>
      <c r="H1826" s="3" t="str">
        <f>"BMP1"</f>
        <v>BMP1</v>
      </c>
      <c r="I1826" s="3" t="str">
        <f t="shared" si="77"/>
        <v>protein_coding</v>
      </c>
    </row>
    <row r="1827" spans="1:9" x14ac:dyDescent="0.2">
      <c r="A1827" s="3" t="str">
        <f>"ENSG00000177725.5"</f>
        <v>ENSG00000177725.5</v>
      </c>
      <c r="B1827" s="3">
        <v>37.253090999358697</v>
      </c>
      <c r="C1827" s="3">
        <v>1.92908198108769</v>
      </c>
      <c r="D1827" s="3">
        <v>0.60247437788700597</v>
      </c>
      <c r="E1827" s="3">
        <v>3.2019319856445199</v>
      </c>
      <c r="F1827" s="3">
        <v>1.3650922506548101E-3</v>
      </c>
      <c r="G1827" s="3">
        <v>7.9525001308989596E-3</v>
      </c>
      <c r="H1827" s="3" t="str">
        <f>"AC105206.1"</f>
        <v>AC105206.1</v>
      </c>
      <c r="I1827" s="3" t="str">
        <f>"sense_overlapping"</f>
        <v>sense_overlapping</v>
      </c>
    </row>
    <row r="1828" spans="1:9" x14ac:dyDescent="0.2">
      <c r="A1828" s="3" t="str">
        <f>"ENSG00000168490.14"</f>
        <v>ENSG00000168490.14</v>
      </c>
      <c r="B1828" s="3">
        <v>31.383172288506501</v>
      </c>
      <c r="C1828" s="3">
        <v>2.6749991723581501</v>
      </c>
      <c r="D1828" s="3">
        <v>0.66923651112409399</v>
      </c>
      <c r="E1828" s="3">
        <v>3.9970909056725699</v>
      </c>
      <c r="F1828" s="4">
        <v>6.4125680012712901E-5</v>
      </c>
      <c r="G1828" s="3">
        <v>5.4792169861405998E-4</v>
      </c>
      <c r="H1828" s="3" t="str">
        <f>"PHYHIP"</f>
        <v>PHYHIP</v>
      </c>
      <c r="I1828" s="3" t="str">
        <f>"protein_coding"</f>
        <v>protein_coding</v>
      </c>
    </row>
    <row r="1829" spans="1:9" x14ac:dyDescent="0.2">
      <c r="A1829" s="3" t="str">
        <f>"ENSG00000197181.12"</f>
        <v>ENSG00000197181.12</v>
      </c>
      <c r="B1829" s="3">
        <v>90.706741846562906</v>
      </c>
      <c r="C1829" s="3">
        <v>-2.3831039843725801</v>
      </c>
      <c r="D1829" s="3">
        <v>0.45851374577683601</v>
      </c>
      <c r="E1829" s="3">
        <v>-5.1974537433659904</v>
      </c>
      <c r="F1829" s="4">
        <v>2.0203679184309899E-7</v>
      </c>
      <c r="G1829" s="4">
        <v>2.8810858836809302E-6</v>
      </c>
      <c r="H1829" s="3" t="str">
        <f>"PIWIL2"</f>
        <v>PIWIL2</v>
      </c>
      <c r="I1829" s="3" t="str">
        <f>"protein_coding"</f>
        <v>protein_coding</v>
      </c>
    </row>
    <row r="1830" spans="1:9" x14ac:dyDescent="0.2">
      <c r="A1830" s="3" t="str">
        <f>"ENSG00000104635.14"</f>
        <v>ENSG00000104635.14</v>
      </c>
      <c r="B1830" s="3">
        <v>12146.7453520954</v>
      </c>
      <c r="C1830" s="3">
        <v>-1.8894042081053299</v>
      </c>
      <c r="D1830" s="3">
        <v>0.25041792247079703</v>
      </c>
      <c r="E1830" s="3">
        <v>-7.5450039256901302</v>
      </c>
      <c r="F1830" s="4">
        <v>4.5227387625862297E-14</v>
      </c>
      <c r="G1830" s="4">
        <v>1.4969670206954801E-12</v>
      </c>
      <c r="H1830" s="3" t="str">
        <f>"SLC39A14"</f>
        <v>SLC39A14</v>
      </c>
      <c r="I1830" s="3" t="str">
        <f>"protein_coding"</f>
        <v>protein_coding</v>
      </c>
    </row>
    <row r="1831" spans="1:9" x14ac:dyDescent="0.2">
      <c r="A1831" s="3" t="str">
        <f>"ENSG00000120896.13"</f>
        <v>ENSG00000120896.13</v>
      </c>
      <c r="B1831" s="3">
        <v>1481.99107030966</v>
      </c>
      <c r="C1831" s="3">
        <v>-1.12314968684246</v>
      </c>
      <c r="D1831" s="3">
        <v>0.297312907114681</v>
      </c>
      <c r="E1831" s="3">
        <v>-3.7776687791399302</v>
      </c>
      <c r="F1831" s="3">
        <v>1.5830322067871E-4</v>
      </c>
      <c r="G1831" s="3">
        <v>1.2166567418799099E-3</v>
      </c>
      <c r="H1831" s="3" t="str">
        <f>"SORBS3"</f>
        <v>SORBS3</v>
      </c>
      <c r="I1831" s="3" t="str">
        <f>"protein_coding"</f>
        <v>protein_coding</v>
      </c>
    </row>
    <row r="1832" spans="1:9" x14ac:dyDescent="0.2">
      <c r="A1832" s="3" t="str">
        <f>"ENSG00000179388.9"</f>
        <v>ENSG00000179388.9</v>
      </c>
      <c r="B1832" s="3">
        <v>74.565442494806504</v>
      </c>
      <c r="C1832" s="3">
        <v>-2.5457590462574999</v>
      </c>
      <c r="D1832" s="3">
        <v>0.46992833762846098</v>
      </c>
      <c r="E1832" s="3">
        <v>-5.4173346070273602</v>
      </c>
      <c r="F1832" s="4">
        <v>6.0494064949478796E-8</v>
      </c>
      <c r="G1832" s="4">
        <v>9.34722483909176E-7</v>
      </c>
      <c r="H1832" s="3" t="str">
        <f>"EGR3"</f>
        <v>EGR3</v>
      </c>
      <c r="I1832" s="3" t="str">
        <f>"protein_coding"</f>
        <v>protein_coding</v>
      </c>
    </row>
    <row r="1833" spans="1:9" x14ac:dyDescent="0.2">
      <c r="A1833" s="3" t="str">
        <f>"ENSG00000253125.1"</f>
        <v>ENSG00000253125.1</v>
      </c>
      <c r="B1833" s="3">
        <v>25.0350393221735</v>
      </c>
      <c r="C1833" s="3">
        <v>4.6705338362375004</v>
      </c>
      <c r="D1833" s="3">
        <v>0.98610955624056096</v>
      </c>
      <c r="E1833" s="3">
        <v>4.7363234710384701</v>
      </c>
      <c r="F1833" s="4">
        <v>2.1763013368735099E-6</v>
      </c>
      <c r="G1833" s="4">
        <v>2.5486433952073101E-5</v>
      </c>
      <c r="H1833" s="3" t="str">
        <f>"AC055854.1"</f>
        <v>AC055854.1</v>
      </c>
      <c r="I1833" s="3" t="str">
        <f>"processed_transcript"</f>
        <v>processed_transcript</v>
      </c>
    </row>
    <row r="1834" spans="1:9" x14ac:dyDescent="0.2">
      <c r="A1834" s="3" t="str">
        <f>"ENSG00000245025.2"</f>
        <v>ENSG00000245025.2</v>
      </c>
      <c r="B1834" s="3">
        <v>78.786652034685702</v>
      </c>
      <c r="C1834" s="3">
        <v>1.8704364421889299</v>
      </c>
      <c r="D1834" s="3">
        <v>0.52187783881517302</v>
      </c>
      <c r="E1834" s="3">
        <v>3.5840503333795799</v>
      </c>
      <c r="F1834" s="3">
        <v>3.3830684752819901E-4</v>
      </c>
      <c r="G1834" s="3">
        <v>2.3824492579988402E-3</v>
      </c>
      <c r="H1834" s="3" t="str">
        <f>"AC107959.1"</f>
        <v>AC107959.1</v>
      </c>
      <c r="I1834" s="3" t="str">
        <f>"antisense"</f>
        <v>antisense</v>
      </c>
    </row>
    <row r="1835" spans="1:9" x14ac:dyDescent="0.2">
      <c r="A1835" s="3" t="str">
        <f>"ENSG00000120889.13"</f>
        <v>ENSG00000120889.13</v>
      </c>
      <c r="B1835" s="3">
        <v>14422.8120677147</v>
      </c>
      <c r="C1835" s="3">
        <v>1.9682571423769599</v>
      </c>
      <c r="D1835" s="3">
        <v>0.244650628500688</v>
      </c>
      <c r="E1835" s="3">
        <v>8.0451750908599298</v>
      </c>
      <c r="F1835" s="4">
        <v>8.61222011601316E-16</v>
      </c>
      <c r="G1835" s="4">
        <v>3.3692130173920802E-14</v>
      </c>
      <c r="H1835" s="3" t="str">
        <f>"TNFRSF10B"</f>
        <v>TNFRSF10B</v>
      </c>
      <c r="I1835" s="3" t="str">
        <f>"protein_coding"</f>
        <v>protein_coding</v>
      </c>
    </row>
    <row r="1836" spans="1:9" x14ac:dyDescent="0.2">
      <c r="A1836" s="3" t="str">
        <f>"ENSG00000253616.5"</f>
        <v>ENSG00000253616.5</v>
      </c>
      <c r="B1836" s="3">
        <v>93.110696640970104</v>
      </c>
      <c r="C1836" s="3">
        <v>-3.6974676750259099</v>
      </c>
      <c r="D1836" s="3">
        <v>0.50143418273891904</v>
      </c>
      <c r="E1836" s="3">
        <v>-7.3737846407472798</v>
      </c>
      <c r="F1836" s="4">
        <v>1.6585102893877801E-13</v>
      </c>
      <c r="G1836" s="4">
        <v>5.2543861876007202E-12</v>
      </c>
      <c r="H1836" s="3" t="str">
        <f>"AC107959.3"</f>
        <v>AC107959.3</v>
      </c>
      <c r="I1836" s="3" t="str">
        <f>"antisense"</f>
        <v>antisense</v>
      </c>
    </row>
    <row r="1837" spans="1:9" x14ac:dyDescent="0.2">
      <c r="A1837" s="3" t="str">
        <f>"ENSG00000173530.6"</f>
        <v>ENSG00000173530.6</v>
      </c>
      <c r="B1837" s="3">
        <v>2162.6632568273099</v>
      </c>
      <c r="C1837" s="3">
        <v>1.0315111791761999</v>
      </c>
      <c r="D1837" s="3">
        <v>0.24385586023830699</v>
      </c>
      <c r="E1837" s="3">
        <v>4.2300036512067303</v>
      </c>
      <c r="F1837" s="4">
        <v>2.3368751892541E-5</v>
      </c>
      <c r="G1837" s="3">
        <v>2.20661018715041E-4</v>
      </c>
      <c r="H1837" s="3" t="str">
        <f>"TNFRSF10D"</f>
        <v>TNFRSF10D</v>
      </c>
      <c r="I1837" s="3" t="str">
        <f t="shared" ref="I1837:I1851" si="78">"protein_coding"</f>
        <v>protein_coding</v>
      </c>
    </row>
    <row r="1838" spans="1:9" x14ac:dyDescent="0.2">
      <c r="A1838" s="3" t="str">
        <f>"ENSG00000104689.9"</f>
        <v>ENSG00000104689.9</v>
      </c>
      <c r="B1838" s="3">
        <v>1340.7970675905201</v>
      </c>
      <c r="C1838" s="3">
        <v>2.3988404795067502</v>
      </c>
      <c r="D1838" s="3">
        <v>0.25625601643065898</v>
      </c>
      <c r="E1838" s="3">
        <v>9.3611089133427594</v>
      </c>
      <c r="F1838" s="4">
        <v>7.8904156755489697E-21</v>
      </c>
      <c r="G1838" s="4">
        <v>4.5007575128896705E-19</v>
      </c>
      <c r="H1838" s="3" t="str">
        <f>"TNFRSF10A"</f>
        <v>TNFRSF10A</v>
      </c>
      <c r="I1838" s="3" t="str">
        <f t="shared" si="78"/>
        <v>protein_coding</v>
      </c>
    </row>
    <row r="1839" spans="1:9" x14ac:dyDescent="0.2">
      <c r="A1839" s="3" t="str">
        <f>"ENSG00000240694.9"</f>
        <v>ENSG00000240694.9</v>
      </c>
      <c r="B1839" s="3">
        <v>43.703626287169499</v>
      </c>
      <c r="C1839" s="3">
        <v>-4.7733813399897</v>
      </c>
      <c r="D1839" s="3">
        <v>0.80029460807303898</v>
      </c>
      <c r="E1839" s="3">
        <v>-5.9645301765597596</v>
      </c>
      <c r="F1839" s="4">
        <v>2.4533892732748699E-9</v>
      </c>
      <c r="G1839" s="4">
        <v>4.6931564387246602E-8</v>
      </c>
      <c r="H1839" s="3" t="str">
        <f>"PNMA2"</f>
        <v>PNMA2</v>
      </c>
      <c r="I1839" s="3" t="str">
        <f t="shared" si="78"/>
        <v>protein_coding</v>
      </c>
    </row>
    <row r="1840" spans="1:9" x14ac:dyDescent="0.2">
      <c r="A1840" s="3" t="str">
        <f>"ENSG00000092964.18"</f>
        <v>ENSG00000092964.18</v>
      </c>
      <c r="B1840" s="3">
        <v>4746.53242676437</v>
      </c>
      <c r="C1840" s="3">
        <v>-2.5032381658807701</v>
      </c>
      <c r="D1840" s="3">
        <v>0.24609930459894</v>
      </c>
      <c r="E1840" s="3">
        <v>-10.171658834876499</v>
      </c>
      <c r="F1840" s="4">
        <v>2.6535056145780902E-24</v>
      </c>
      <c r="G1840" s="4">
        <v>1.9689950954192299E-22</v>
      </c>
      <c r="H1840" s="3" t="str">
        <f>"DPYSL2"</f>
        <v>DPYSL2</v>
      </c>
      <c r="I1840" s="3" t="str">
        <f t="shared" si="78"/>
        <v>protein_coding</v>
      </c>
    </row>
    <row r="1841" spans="1:9" x14ac:dyDescent="0.2">
      <c r="A1841" s="3" t="str">
        <f>"ENSG00000120899.18"</f>
        <v>ENSG00000120899.18</v>
      </c>
      <c r="B1841" s="3">
        <v>464.615251363955</v>
      </c>
      <c r="C1841" s="3">
        <v>2.0810756411908602</v>
      </c>
      <c r="D1841" s="3">
        <v>0.30296151146390299</v>
      </c>
      <c r="E1841" s="3">
        <v>6.8691089872609403</v>
      </c>
      <c r="F1841" s="4">
        <v>6.4604136776862699E-12</v>
      </c>
      <c r="G1841" s="4">
        <v>1.6999132433284299E-10</v>
      </c>
      <c r="H1841" s="3" t="str">
        <f>"PTK2B"</f>
        <v>PTK2B</v>
      </c>
      <c r="I1841" s="3" t="str">
        <f t="shared" si="78"/>
        <v>protein_coding</v>
      </c>
    </row>
    <row r="1842" spans="1:9" x14ac:dyDescent="0.2">
      <c r="A1842" s="3" t="str">
        <f>"ENSG00000120915.13"</f>
        <v>ENSG00000120915.13</v>
      </c>
      <c r="B1842" s="3">
        <v>518.24982696870904</v>
      </c>
      <c r="C1842" s="3">
        <v>-1.30062787282583</v>
      </c>
      <c r="D1842" s="3">
        <v>0.29116353284556701</v>
      </c>
      <c r="E1842" s="3">
        <v>-4.4670012762748099</v>
      </c>
      <c r="F1842" s="4">
        <v>7.9323656795534795E-6</v>
      </c>
      <c r="G1842" s="4">
        <v>8.3488978522664302E-5</v>
      </c>
      <c r="H1842" s="3" t="str">
        <f>"EPHX2"</f>
        <v>EPHX2</v>
      </c>
      <c r="I1842" s="3" t="str">
        <f t="shared" si="78"/>
        <v>protein_coding</v>
      </c>
    </row>
    <row r="1843" spans="1:9" x14ac:dyDescent="0.2">
      <c r="A1843" s="3" t="str">
        <f>"ENSG00000120885.21"</f>
        <v>ENSG00000120885.21</v>
      </c>
      <c r="B1843" s="3">
        <v>9977.2331287830693</v>
      </c>
      <c r="C1843" s="3">
        <v>-3.00299229007656</v>
      </c>
      <c r="D1843" s="3">
        <v>0.28175093392272799</v>
      </c>
      <c r="E1843" s="3">
        <v>-10.658322399386099</v>
      </c>
      <c r="F1843" s="4">
        <v>1.5944754652756901E-26</v>
      </c>
      <c r="G1843" s="4">
        <v>1.36890888494914E-24</v>
      </c>
      <c r="H1843" s="3" t="str">
        <f>"CLU"</f>
        <v>CLU</v>
      </c>
      <c r="I1843" s="3" t="str">
        <f t="shared" si="78"/>
        <v>protein_coding</v>
      </c>
    </row>
    <row r="1844" spans="1:9" x14ac:dyDescent="0.2">
      <c r="A1844" s="3" t="str">
        <f>"ENSG00000168077.14"</f>
        <v>ENSG00000168077.14</v>
      </c>
      <c r="B1844" s="3">
        <v>507.29639725799501</v>
      </c>
      <c r="C1844" s="3">
        <v>-5.2676780429413901</v>
      </c>
      <c r="D1844" s="3">
        <v>0.36879018133055302</v>
      </c>
      <c r="E1844" s="3">
        <v>-14.283672151835001</v>
      </c>
      <c r="F1844" s="4">
        <v>2.76632031738129E-46</v>
      </c>
      <c r="G1844" s="4">
        <v>6.2690799624978804E-44</v>
      </c>
      <c r="H1844" s="3" t="str">
        <f>"SCARA3"</f>
        <v>SCARA3</v>
      </c>
      <c r="I1844" s="3" t="str">
        <f t="shared" si="78"/>
        <v>protein_coding</v>
      </c>
    </row>
    <row r="1845" spans="1:9" x14ac:dyDescent="0.2">
      <c r="A1845" s="3" t="str">
        <f>"ENSG00000171320.14"</f>
        <v>ENSG00000171320.14</v>
      </c>
      <c r="B1845" s="3">
        <v>1960.7839400781099</v>
      </c>
      <c r="C1845" s="3">
        <v>-2.3095429668681202</v>
      </c>
      <c r="D1845" s="3">
        <v>0.26693887045888498</v>
      </c>
      <c r="E1845" s="3">
        <v>-8.6519545201411496</v>
      </c>
      <c r="F1845" s="4">
        <v>5.0624820735036303E-18</v>
      </c>
      <c r="G1845" s="4">
        <v>2.3803128328782001E-16</v>
      </c>
      <c r="H1845" s="3" t="str">
        <f>"ESCO2"</f>
        <v>ESCO2</v>
      </c>
      <c r="I1845" s="3" t="str">
        <f t="shared" si="78"/>
        <v>protein_coding</v>
      </c>
    </row>
    <row r="1846" spans="1:9" x14ac:dyDescent="0.2">
      <c r="A1846" s="3" t="str">
        <f>"ENSG00000168078.10"</f>
        <v>ENSG00000168078.10</v>
      </c>
      <c r="B1846" s="3">
        <v>1016.07828000734</v>
      </c>
      <c r="C1846" s="3">
        <v>-1.2847110504616801</v>
      </c>
      <c r="D1846" s="3">
        <v>0.26980655270501203</v>
      </c>
      <c r="E1846" s="3">
        <v>-4.7616006267508801</v>
      </c>
      <c r="F1846" s="4">
        <v>1.9206348826614899E-6</v>
      </c>
      <c r="G1846" s="4">
        <v>2.26717834225011E-5</v>
      </c>
      <c r="H1846" s="3" t="str">
        <f>"PBK"</f>
        <v>PBK</v>
      </c>
      <c r="I1846" s="3" t="str">
        <f t="shared" si="78"/>
        <v>protein_coding</v>
      </c>
    </row>
    <row r="1847" spans="1:9" x14ac:dyDescent="0.2">
      <c r="A1847" s="3" t="str">
        <f>"ENSG00000186918.14"</f>
        <v>ENSG00000186918.14</v>
      </c>
      <c r="B1847" s="3">
        <v>448.31640242603601</v>
      </c>
      <c r="C1847" s="3">
        <v>-1.5158164588287</v>
      </c>
      <c r="D1847" s="3">
        <v>0.30002009840511101</v>
      </c>
      <c r="E1847" s="3">
        <v>-5.0523830466248301</v>
      </c>
      <c r="F1847" s="4">
        <v>4.3633153426456698E-7</v>
      </c>
      <c r="G1847" s="4">
        <v>5.8538238636934401E-6</v>
      </c>
      <c r="H1847" s="3" t="str">
        <f>"ZNF395"</f>
        <v>ZNF395</v>
      </c>
      <c r="I1847" s="3" t="str">
        <f t="shared" si="78"/>
        <v>protein_coding</v>
      </c>
    </row>
    <row r="1848" spans="1:9" x14ac:dyDescent="0.2">
      <c r="A1848" s="3" t="str">
        <f>"ENSG00000214050.8"</f>
        <v>ENSG00000214050.8</v>
      </c>
      <c r="B1848" s="3">
        <v>20.560262442492199</v>
      </c>
      <c r="C1848" s="3">
        <v>-1.9912778215119</v>
      </c>
      <c r="D1848" s="3">
        <v>0.77854564208251298</v>
      </c>
      <c r="E1848" s="3">
        <v>-2.5576892527270201</v>
      </c>
      <c r="F1848" s="3">
        <v>1.05370204598761E-2</v>
      </c>
      <c r="G1848" s="3">
        <v>4.4124979135705497E-2</v>
      </c>
      <c r="H1848" s="3" t="str">
        <f>"FBXO16"</f>
        <v>FBXO16</v>
      </c>
      <c r="I1848" s="3" t="str">
        <f t="shared" si="78"/>
        <v>protein_coding</v>
      </c>
    </row>
    <row r="1849" spans="1:9" x14ac:dyDescent="0.2">
      <c r="A1849" s="3" t="str">
        <f>"ENSG00000104290.11"</f>
        <v>ENSG00000104290.11</v>
      </c>
      <c r="B1849" s="3">
        <v>332.50675344983199</v>
      </c>
      <c r="C1849" s="3">
        <v>-2.1121168782898199</v>
      </c>
      <c r="D1849" s="3">
        <v>0.30601453213639501</v>
      </c>
      <c r="E1849" s="3">
        <v>-6.9020149583890298</v>
      </c>
      <c r="F1849" s="4">
        <v>5.1270035039841799E-12</v>
      </c>
      <c r="G1849" s="4">
        <v>1.36941433649747E-10</v>
      </c>
      <c r="H1849" s="3" t="str">
        <f>"FZD3"</f>
        <v>FZD3</v>
      </c>
      <c r="I1849" s="3" t="str">
        <f t="shared" si="78"/>
        <v>protein_coding</v>
      </c>
    </row>
    <row r="1850" spans="1:9" x14ac:dyDescent="0.2">
      <c r="A1850" s="3" t="str">
        <f>"ENSG00000120875.9"</f>
        <v>ENSG00000120875.9</v>
      </c>
      <c r="B1850" s="3">
        <v>344.85625083996803</v>
      </c>
      <c r="C1850" s="3">
        <v>-2.43202277766924</v>
      </c>
      <c r="D1850" s="3">
        <v>0.33314131489278598</v>
      </c>
      <c r="E1850" s="3">
        <v>-7.3002736945188804</v>
      </c>
      <c r="F1850" s="4">
        <v>2.8718294306211498E-13</v>
      </c>
      <c r="G1850" s="4">
        <v>8.9296501022589496E-12</v>
      </c>
      <c r="H1850" s="3" t="str">
        <f>"DUSP4"</f>
        <v>DUSP4</v>
      </c>
      <c r="I1850" s="3" t="str">
        <f t="shared" si="78"/>
        <v>protein_coding</v>
      </c>
    </row>
    <row r="1851" spans="1:9" x14ac:dyDescent="0.2">
      <c r="A1851" s="3" t="str">
        <f>"ENSG00000177669.3"</f>
        <v>ENSG00000177669.3</v>
      </c>
      <c r="B1851" s="3">
        <v>577.51702666781398</v>
      </c>
      <c r="C1851" s="3">
        <v>-1.76312426645717</v>
      </c>
      <c r="D1851" s="3">
        <v>0.27779022594561598</v>
      </c>
      <c r="E1851" s="3">
        <v>-6.3469629302304504</v>
      </c>
      <c r="F1851" s="4">
        <v>2.1960701984064799E-10</v>
      </c>
      <c r="G1851" s="4">
        <v>4.8714414321794504E-9</v>
      </c>
      <c r="H1851" s="3" t="str">
        <f>"MBOAT4"</f>
        <v>MBOAT4</v>
      </c>
      <c r="I1851" s="3" t="str">
        <f t="shared" si="78"/>
        <v>protein_coding</v>
      </c>
    </row>
    <row r="1852" spans="1:9" x14ac:dyDescent="0.2">
      <c r="A1852" s="3" t="str">
        <f>"ENSG00000127589.4"</f>
        <v>ENSG00000127589.4</v>
      </c>
      <c r="B1852" s="3">
        <v>165.440990700453</v>
      </c>
      <c r="C1852" s="3">
        <v>-1.5896106342818299</v>
      </c>
      <c r="D1852" s="3">
        <v>0.38522317931915601</v>
      </c>
      <c r="E1852" s="3">
        <v>-4.1264667331060201</v>
      </c>
      <c r="F1852" s="4">
        <v>3.68379263799353E-5</v>
      </c>
      <c r="G1852" s="3">
        <v>3.3273179105467598E-4</v>
      </c>
      <c r="H1852" s="3" t="str">
        <f>"TUBBP1"</f>
        <v>TUBBP1</v>
      </c>
      <c r="I1852" s="3" t="str">
        <f>"transcribed_processed_pseudogene"</f>
        <v>transcribed_processed_pseudogene</v>
      </c>
    </row>
    <row r="1853" spans="1:9" x14ac:dyDescent="0.2">
      <c r="A1853" s="3" t="str">
        <f>"ENSG00000254109.5"</f>
        <v>ENSG00000254109.5</v>
      </c>
      <c r="B1853" s="3">
        <v>167.81532289564501</v>
      </c>
      <c r="C1853" s="3">
        <v>2.3923458356585998</v>
      </c>
      <c r="D1853" s="3">
        <v>0.35403512756370797</v>
      </c>
      <c r="E1853" s="3">
        <v>6.7573685473572001</v>
      </c>
      <c r="F1853" s="4">
        <v>1.4052043172759599E-11</v>
      </c>
      <c r="G1853" s="4">
        <v>3.5525542312639901E-10</v>
      </c>
      <c r="H1853" s="3" t="str">
        <f>"RBPMS-AS1"</f>
        <v>RBPMS-AS1</v>
      </c>
      <c r="I1853" s="3" t="str">
        <f>"antisense"</f>
        <v>antisense</v>
      </c>
    </row>
    <row r="1854" spans="1:9" x14ac:dyDescent="0.2">
      <c r="A1854" s="3" t="str">
        <f>"ENSG00000104691.15"</f>
        <v>ENSG00000104691.15</v>
      </c>
      <c r="B1854" s="3">
        <v>638.19244026649199</v>
      </c>
      <c r="C1854" s="3">
        <v>-1.07449552746823</v>
      </c>
      <c r="D1854" s="3">
        <v>0.28436918889943202</v>
      </c>
      <c r="E1854" s="3">
        <v>-3.7785230236325802</v>
      </c>
      <c r="F1854" s="3">
        <v>1.5776126866936399E-4</v>
      </c>
      <c r="G1854" s="3">
        <v>1.2132328686572499E-3</v>
      </c>
      <c r="H1854" s="3" t="str">
        <f>"UBXN8"</f>
        <v>UBXN8</v>
      </c>
      <c r="I1854" s="3" t="str">
        <f>"protein_coding"</f>
        <v>protein_coding</v>
      </c>
    </row>
    <row r="1855" spans="1:9" x14ac:dyDescent="0.2">
      <c r="A1855" s="3" t="str">
        <f>"ENSG00000133863.8"</f>
        <v>ENSG00000133863.8</v>
      </c>
      <c r="B1855" s="3">
        <v>456.898045213724</v>
      </c>
      <c r="C1855" s="3">
        <v>-2.0560984106022899</v>
      </c>
      <c r="D1855" s="3">
        <v>0.28985742116073498</v>
      </c>
      <c r="E1855" s="3">
        <v>-7.0934820380607704</v>
      </c>
      <c r="F1855" s="4">
        <v>1.3077893633277001E-12</v>
      </c>
      <c r="G1855" s="4">
        <v>3.7256445565694499E-11</v>
      </c>
      <c r="H1855" s="3" t="str">
        <f>"TEX15"</f>
        <v>TEX15</v>
      </c>
      <c r="I1855" s="3" t="str">
        <f>"protein_coding"</f>
        <v>protein_coding</v>
      </c>
    </row>
    <row r="1856" spans="1:9" x14ac:dyDescent="0.2">
      <c r="A1856" s="3" t="str">
        <f>"ENSG00000172733.11"</f>
        <v>ENSG00000172733.11</v>
      </c>
      <c r="B1856" s="3">
        <v>28.945463753470701</v>
      </c>
      <c r="C1856" s="3">
        <v>-2.12641548835464</v>
      </c>
      <c r="D1856" s="3">
        <v>0.67894477933062802</v>
      </c>
      <c r="E1856" s="3">
        <v>-3.1319417323616099</v>
      </c>
      <c r="F1856" s="3">
        <v>1.73654335478546E-3</v>
      </c>
      <c r="G1856" s="3">
        <v>9.7354018474767896E-3</v>
      </c>
      <c r="H1856" s="3" t="str">
        <f>"PURG"</f>
        <v>PURG</v>
      </c>
      <c r="I1856" s="3" t="str">
        <f>"protein_coding"</f>
        <v>protein_coding</v>
      </c>
    </row>
    <row r="1857" spans="1:9" x14ac:dyDescent="0.2">
      <c r="A1857" s="3" t="str">
        <f>"ENSG00000247134.6"</f>
        <v>ENSG00000247134.6</v>
      </c>
      <c r="B1857" s="3">
        <v>13.5464945658643</v>
      </c>
      <c r="C1857" s="3">
        <v>2.6366973139248699</v>
      </c>
      <c r="D1857" s="3">
        <v>0.97931192295581604</v>
      </c>
      <c r="E1857" s="3">
        <v>2.6923978480386901</v>
      </c>
      <c r="F1857" s="3">
        <v>7.0940263853413897E-3</v>
      </c>
      <c r="G1857" s="3">
        <v>3.1645723306129199E-2</v>
      </c>
      <c r="H1857" s="3" t="str">
        <f>"AC090204.1"</f>
        <v>AC090204.1</v>
      </c>
      <c r="I1857" s="3" t="str">
        <f>"lincRNA"</f>
        <v>lincRNA</v>
      </c>
    </row>
    <row r="1858" spans="1:9" x14ac:dyDescent="0.2">
      <c r="A1858" s="3" t="str">
        <f>"ENSG00000133874.2"</f>
        <v>ENSG00000133874.2</v>
      </c>
      <c r="B1858" s="3">
        <v>236.45083265160901</v>
      </c>
      <c r="C1858" s="3">
        <v>-1.29721027576071</v>
      </c>
      <c r="D1858" s="3">
        <v>0.36057645144161199</v>
      </c>
      <c r="E1858" s="3">
        <v>-3.5976012037790102</v>
      </c>
      <c r="F1858" s="3">
        <v>3.2116554579630799E-4</v>
      </c>
      <c r="G1858" s="3">
        <v>2.2783190368037601E-3</v>
      </c>
      <c r="H1858" s="3" t="str">
        <f>"RNF122"</f>
        <v>RNF122</v>
      </c>
      <c r="I1858" s="3" t="str">
        <f t="shared" ref="I1858:I1864" si="79">"protein_coding"</f>
        <v>protein_coding</v>
      </c>
    </row>
    <row r="1859" spans="1:9" x14ac:dyDescent="0.2">
      <c r="A1859" s="3" t="str">
        <f>"ENSG00000020181.17"</f>
        <v>ENSG00000020181.17</v>
      </c>
      <c r="B1859" s="3">
        <v>327.46854128105599</v>
      </c>
      <c r="C1859" s="3">
        <v>3.6274019034918599</v>
      </c>
      <c r="D1859" s="3">
        <v>0.31969684439748702</v>
      </c>
      <c r="E1859" s="3">
        <v>11.346380069306599</v>
      </c>
      <c r="F1859" s="4">
        <v>7.7297005796045901E-30</v>
      </c>
      <c r="G1859" s="4">
        <v>7.9040901658517603E-28</v>
      </c>
      <c r="H1859" s="3" t="str">
        <f>"ADGRA2"</f>
        <v>ADGRA2</v>
      </c>
      <c r="I1859" s="3" t="str">
        <f t="shared" si="79"/>
        <v>protein_coding</v>
      </c>
    </row>
    <row r="1860" spans="1:9" x14ac:dyDescent="0.2">
      <c r="A1860" s="3" t="str">
        <f>"ENSG00000187840.5"</f>
        <v>ENSG00000187840.5</v>
      </c>
      <c r="B1860" s="3">
        <v>1000.38002978936</v>
      </c>
      <c r="C1860" s="3">
        <v>-1.42790499575126</v>
      </c>
      <c r="D1860" s="3">
        <v>0.31953138041865697</v>
      </c>
      <c r="E1860" s="3">
        <v>-4.4687473070106201</v>
      </c>
      <c r="F1860" s="4">
        <v>7.8679010733710297E-6</v>
      </c>
      <c r="G1860" s="4">
        <v>8.2914558651298005E-5</v>
      </c>
      <c r="H1860" s="3" t="str">
        <f>"EIF4EBP1"</f>
        <v>EIF4EBP1</v>
      </c>
      <c r="I1860" s="3" t="str">
        <f t="shared" si="79"/>
        <v>protein_coding</v>
      </c>
    </row>
    <row r="1861" spans="1:9" x14ac:dyDescent="0.2">
      <c r="A1861" s="3" t="str">
        <f>"ENSG00000169499.15"</f>
        <v>ENSG00000169499.15</v>
      </c>
      <c r="B1861" s="3">
        <v>469.65546251307302</v>
      </c>
      <c r="C1861" s="3">
        <v>-1.1180121739939299</v>
      </c>
      <c r="D1861" s="3">
        <v>0.28169616229604999</v>
      </c>
      <c r="E1861" s="3">
        <v>-3.9688583787625298</v>
      </c>
      <c r="F1861" s="4">
        <v>7.2217783961866605E-5</v>
      </c>
      <c r="G1861" s="3">
        <v>6.0899710209881195E-4</v>
      </c>
      <c r="H1861" s="3" t="str">
        <f>"PLEKHA2"</f>
        <v>PLEKHA2</v>
      </c>
      <c r="I1861" s="3" t="str">
        <f t="shared" si="79"/>
        <v>protein_coding</v>
      </c>
    </row>
    <row r="1862" spans="1:9" x14ac:dyDescent="0.2">
      <c r="A1862" s="3" t="str">
        <f>"ENSG00000169495.5"</f>
        <v>ENSG00000169495.5</v>
      </c>
      <c r="B1862" s="3">
        <v>8.4236065712476993</v>
      </c>
      <c r="C1862" s="3">
        <v>6.59052873087394</v>
      </c>
      <c r="D1862" s="3">
        <v>1.81680412208613</v>
      </c>
      <c r="E1862" s="3">
        <v>3.6275395078399599</v>
      </c>
      <c r="F1862" s="3">
        <v>2.8613500227617E-4</v>
      </c>
      <c r="G1862" s="3">
        <v>2.0547319389828899E-3</v>
      </c>
      <c r="H1862" s="3" t="str">
        <f>"HTRA4"</f>
        <v>HTRA4</v>
      </c>
      <c r="I1862" s="3" t="str">
        <f t="shared" si="79"/>
        <v>protein_coding</v>
      </c>
    </row>
    <row r="1863" spans="1:9" x14ac:dyDescent="0.2">
      <c r="A1863" s="3" t="str">
        <f>"ENSG00000176907.4"</f>
        <v>ENSG00000176907.4</v>
      </c>
      <c r="B1863" s="3">
        <v>3647.2198940467301</v>
      </c>
      <c r="C1863" s="3">
        <v>-1.21016605750805</v>
      </c>
      <c r="D1863" s="3">
        <v>0.26845949451365803</v>
      </c>
      <c r="E1863" s="3">
        <v>-4.5078161966310502</v>
      </c>
      <c r="F1863" s="4">
        <v>6.5498277524164897E-6</v>
      </c>
      <c r="G1863" s="4">
        <v>7.0140875739479295E-5</v>
      </c>
      <c r="H1863" s="3" t="str">
        <f>"TCIM"</f>
        <v>TCIM</v>
      </c>
      <c r="I1863" s="3" t="str">
        <f t="shared" si="79"/>
        <v>protein_coding</v>
      </c>
    </row>
    <row r="1864" spans="1:9" x14ac:dyDescent="0.2">
      <c r="A1864" s="3" t="str">
        <f>"ENSG00000029534.20"</f>
        <v>ENSG00000029534.20</v>
      </c>
      <c r="B1864" s="3">
        <v>610.96511558920099</v>
      </c>
      <c r="C1864" s="3">
        <v>5.5989580742953304</v>
      </c>
      <c r="D1864" s="3">
        <v>0.34374950843847901</v>
      </c>
      <c r="E1864" s="3">
        <v>16.2879013259662</v>
      </c>
      <c r="F1864" s="4">
        <v>1.2028662474760601E-59</v>
      </c>
      <c r="G1864" s="4">
        <v>4.2025139521194897E-57</v>
      </c>
      <c r="H1864" s="3" t="str">
        <f>"ANK1"</f>
        <v>ANK1</v>
      </c>
      <c r="I1864" s="3" t="str">
        <f t="shared" si="79"/>
        <v>protein_coding</v>
      </c>
    </row>
    <row r="1865" spans="1:9" x14ac:dyDescent="0.2">
      <c r="A1865" s="3" t="str">
        <f>"ENSG00000260588.1"</f>
        <v>ENSG00000260588.1</v>
      </c>
      <c r="B1865" s="3">
        <v>22.695039308086798</v>
      </c>
      <c r="C1865" s="3">
        <v>2.9667770466053001</v>
      </c>
      <c r="D1865" s="3">
        <v>0.80965555170511305</v>
      </c>
      <c r="E1865" s="3">
        <v>3.6642459134101402</v>
      </c>
      <c r="F1865" s="3">
        <v>2.4806836122912398E-4</v>
      </c>
      <c r="G1865" s="3">
        <v>1.8066472573012801E-3</v>
      </c>
      <c r="H1865" s="3" t="str">
        <f>"AC027702.1"</f>
        <v>AC027702.1</v>
      </c>
      <c r="I1865" s="3" t="str">
        <f>"lincRNA"</f>
        <v>lincRNA</v>
      </c>
    </row>
    <row r="1866" spans="1:9" x14ac:dyDescent="0.2">
      <c r="A1866" s="3" t="str">
        <f>"ENSG00000104371.5"</f>
        <v>ENSG00000104371.5</v>
      </c>
      <c r="B1866" s="3">
        <v>58.192220037765203</v>
      </c>
      <c r="C1866" s="3">
        <v>-5.2036410992621001</v>
      </c>
      <c r="D1866" s="3">
        <v>0.759329159079284</v>
      </c>
      <c r="E1866" s="3">
        <v>-6.8529451780460002</v>
      </c>
      <c r="F1866" s="4">
        <v>7.2344816608391197E-12</v>
      </c>
      <c r="G1866" s="4">
        <v>1.8897547889762E-10</v>
      </c>
      <c r="H1866" s="3" t="str">
        <f>"DKK4"</f>
        <v>DKK4</v>
      </c>
      <c r="I1866" s="3" t="str">
        <f>"protein_coding"</f>
        <v>protein_coding</v>
      </c>
    </row>
    <row r="1867" spans="1:9" x14ac:dyDescent="0.2">
      <c r="A1867" s="3" t="str">
        <f>"ENSG00000221869.4"</f>
        <v>ENSG00000221869.4</v>
      </c>
      <c r="B1867" s="3">
        <v>201.12849311746299</v>
      </c>
      <c r="C1867" s="3">
        <v>-2.24792249075186</v>
      </c>
      <c r="D1867" s="3">
        <v>0.367015404561993</v>
      </c>
      <c r="E1867" s="3">
        <v>-6.1248723154675204</v>
      </c>
      <c r="F1867" s="4">
        <v>9.0756356655669299E-10</v>
      </c>
      <c r="G1867" s="4">
        <v>1.8621338920663599E-8</v>
      </c>
      <c r="H1867" s="3" t="str">
        <f>"CEBPD"</f>
        <v>CEBPD</v>
      </c>
      <c r="I1867" s="3" t="str">
        <f>"protein_coding"</f>
        <v>protein_coding</v>
      </c>
    </row>
    <row r="1868" spans="1:9" x14ac:dyDescent="0.2">
      <c r="A1868" s="3" t="str">
        <f>"ENSG00000104738.17"</f>
        <v>ENSG00000104738.17</v>
      </c>
      <c r="B1868" s="3">
        <v>7871.03321455679</v>
      </c>
      <c r="C1868" s="3">
        <v>-1.20006225134065</v>
      </c>
      <c r="D1868" s="3">
        <v>0.24268710489195899</v>
      </c>
      <c r="E1868" s="3">
        <v>-4.9448949991591098</v>
      </c>
      <c r="F1868" s="4">
        <v>7.6184916863452901E-7</v>
      </c>
      <c r="G1868" s="4">
        <v>9.7777121617355007E-6</v>
      </c>
      <c r="H1868" s="3" t="str">
        <f>"MCM4"</f>
        <v>MCM4</v>
      </c>
      <c r="I1868" s="3" t="str">
        <f>"protein_coding"</f>
        <v>protein_coding</v>
      </c>
    </row>
    <row r="1869" spans="1:9" x14ac:dyDescent="0.2">
      <c r="A1869" s="3" t="str">
        <f>"ENSG00000253474.1"</f>
        <v>ENSG00000253474.1</v>
      </c>
      <c r="B1869" s="3">
        <v>7.4537849717311504</v>
      </c>
      <c r="C1869" s="3">
        <v>6.4125875721430496</v>
      </c>
      <c r="D1869" s="3">
        <v>1.87157758446309</v>
      </c>
      <c r="E1869" s="3">
        <v>3.42630069166096</v>
      </c>
      <c r="F1869" s="3">
        <v>6.11862620158038E-4</v>
      </c>
      <c r="G1869" s="3">
        <v>3.9967292158076999E-3</v>
      </c>
      <c r="H1869" s="3" t="str">
        <f>"AC022568.1"</f>
        <v>AC022568.1</v>
      </c>
      <c r="I1869" s="3" t="str">
        <f>"lincRNA"</f>
        <v>lincRNA</v>
      </c>
    </row>
    <row r="1870" spans="1:9" x14ac:dyDescent="0.2">
      <c r="A1870" s="3" t="str">
        <f>"ENSG00000147509.14"</f>
        <v>ENSG00000147509.14</v>
      </c>
      <c r="B1870" s="3">
        <v>144.12867068322601</v>
      </c>
      <c r="C1870" s="3">
        <v>1.8486477281285301</v>
      </c>
      <c r="D1870" s="3">
        <v>0.37548051635851998</v>
      </c>
      <c r="E1870" s="3">
        <v>4.9234185199729099</v>
      </c>
      <c r="F1870" s="4">
        <v>8.5045296490492596E-7</v>
      </c>
      <c r="G1870" s="4">
        <v>1.07719759980783E-5</v>
      </c>
      <c r="H1870" s="3" t="str">
        <f>"RGS20"</f>
        <v>RGS20</v>
      </c>
      <c r="I1870" s="3" t="str">
        <f>"protein_coding"</f>
        <v>protein_coding</v>
      </c>
    </row>
    <row r="1871" spans="1:9" x14ac:dyDescent="0.2">
      <c r="A1871" s="3" t="str">
        <f>"ENSG00000272457.1"</f>
        <v>ENSG00000272457.1</v>
      </c>
      <c r="B1871" s="3">
        <v>10.3075386145913</v>
      </c>
      <c r="C1871" s="3">
        <v>5.4177074998977197</v>
      </c>
      <c r="D1871" s="3">
        <v>1.73544716229504</v>
      </c>
      <c r="E1871" s="3">
        <v>3.12179340149607</v>
      </c>
      <c r="F1871" s="3">
        <v>1.79753033764162E-3</v>
      </c>
      <c r="G1871" s="3">
        <v>1.0019250087164901E-2</v>
      </c>
      <c r="H1871" s="3" t="str">
        <f>"AC113194.1"</f>
        <v>AC113194.1</v>
      </c>
      <c r="I1871" s="3" t="str">
        <f>"antisense"</f>
        <v>antisense</v>
      </c>
    </row>
    <row r="1872" spans="1:9" x14ac:dyDescent="0.2">
      <c r="A1872" s="3" t="str">
        <f>"ENSG00000167904.15"</f>
        <v>ENSG00000167904.15</v>
      </c>
      <c r="B1872" s="3">
        <v>1569.53376262495</v>
      </c>
      <c r="C1872" s="3">
        <v>2.69806536606619</v>
      </c>
      <c r="D1872" s="3">
        <v>0.265889136995412</v>
      </c>
      <c r="E1872" s="3">
        <v>10.147332066871</v>
      </c>
      <c r="F1872" s="4">
        <v>3.4054582668256103E-24</v>
      </c>
      <c r="G1872" s="4">
        <v>2.49024135761623E-22</v>
      </c>
      <c r="H1872" s="3" t="str">
        <f>"TMEM68"</f>
        <v>TMEM68</v>
      </c>
      <c r="I1872" s="3" t="str">
        <f>"protein_coding"</f>
        <v>protein_coding</v>
      </c>
    </row>
    <row r="1873" spans="1:9" x14ac:dyDescent="0.2">
      <c r="A1873" s="3" t="str">
        <f>"ENSG00000137574.10"</f>
        <v>ENSG00000137574.10</v>
      </c>
      <c r="B1873" s="3">
        <v>1545.4388795908401</v>
      </c>
      <c r="C1873" s="3">
        <v>1.3613171231240799</v>
      </c>
      <c r="D1873" s="3">
        <v>0.28732562633818698</v>
      </c>
      <c r="E1873" s="3">
        <v>4.7378896914742503</v>
      </c>
      <c r="F1873" s="4">
        <v>2.1595530267189701E-6</v>
      </c>
      <c r="G1873" s="4">
        <v>2.5313865977220701E-5</v>
      </c>
      <c r="H1873" s="3" t="str">
        <f>"TGS1"</f>
        <v>TGS1</v>
      </c>
      <c r="I1873" s="3" t="str">
        <f>"protein_coding"</f>
        <v>protein_coding</v>
      </c>
    </row>
    <row r="1874" spans="1:9" x14ac:dyDescent="0.2">
      <c r="A1874" s="3" t="str">
        <f>"ENSG00000254087.8"</f>
        <v>ENSG00000254087.8</v>
      </c>
      <c r="B1874" s="3">
        <v>312.56349706749802</v>
      </c>
      <c r="C1874" s="3">
        <v>-1.97020888690178</v>
      </c>
      <c r="D1874" s="3">
        <v>0.31539213370438302</v>
      </c>
      <c r="E1874" s="3">
        <v>-6.24685487161977</v>
      </c>
      <c r="F1874" s="4">
        <v>4.1879985173967699E-10</v>
      </c>
      <c r="G1874" s="4">
        <v>8.9811681760542001E-9</v>
      </c>
      <c r="H1874" s="3" t="str">
        <f>"LYN"</f>
        <v>LYN</v>
      </c>
      <c r="I1874" s="3" t="str">
        <f>"protein_coding"</f>
        <v>protein_coding</v>
      </c>
    </row>
    <row r="1875" spans="1:9" x14ac:dyDescent="0.2">
      <c r="A1875" s="3" t="str">
        <f>"ENSG00000169122.11"</f>
        <v>ENSG00000169122.11</v>
      </c>
      <c r="B1875" s="3">
        <v>515.333371731856</v>
      </c>
      <c r="C1875" s="3">
        <v>2.52450610080556</v>
      </c>
      <c r="D1875" s="3">
        <v>0.29950600830426499</v>
      </c>
      <c r="E1875" s="3">
        <v>8.4288996908567704</v>
      </c>
      <c r="F1875" s="4">
        <v>3.4893052167418502E-17</v>
      </c>
      <c r="G1875" s="4">
        <v>1.55076806938412E-15</v>
      </c>
      <c r="H1875" s="3" t="str">
        <f>"FAM110B"</f>
        <v>FAM110B</v>
      </c>
      <c r="I1875" s="3" t="str">
        <f>"protein_coding"</f>
        <v>protein_coding</v>
      </c>
    </row>
    <row r="1876" spans="1:9" x14ac:dyDescent="0.2">
      <c r="A1876" s="3" t="str">
        <f>"ENSG00000254777.5"</f>
        <v>ENSG00000254777.5</v>
      </c>
      <c r="B1876" s="3">
        <v>11.5022106752224</v>
      </c>
      <c r="C1876" s="3">
        <v>-4.4040885170639603</v>
      </c>
      <c r="D1876" s="3">
        <v>1.3656552144758001</v>
      </c>
      <c r="E1876" s="3">
        <v>-3.2248904924032602</v>
      </c>
      <c r="F1876" s="3">
        <v>1.2602086291083E-3</v>
      </c>
      <c r="G1876" s="3">
        <v>7.44319043559974E-3</v>
      </c>
      <c r="H1876" s="3" t="str">
        <f>"AC022182.1"</f>
        <v>AC022182.1</v>
      </c>
      <c r="I1876" s="3" t="str">
        <f>"lincRNA"</f>
        <v>lincRNA</v>
      </c>
    </row>
    <row r="1877" spans="1:9" x14ac:dyDescent="0.2">
      <c r="A1877" s="3" t="str">
        <f>"ENSG00000137563.12"</f>
        <v>ENSG00000137563.12</v>
      </c>
      <c r="B1877" s="3">
        <v>2555.3864461696999</v>
      </c>
      <c r="C1877" s="3">
        <v>-1.50155330137776</v>
      </c>
      <c r="D1877" s="3">
        <v>0.27981535401700802</v>
      </c>
      <c r="E1877" s="3">
        <v>-5.3662291215316502</v>
      </c>
      <c r="F1877" s="4">
        <v>8.0399797650759899E-8</v>
      </c>
      <c r="G1877" s="4">
        <v>1.2205533554042599E-6</v>
      </c>
      <c r="H1877" s="3" t="str">
        <f>"GGH"</f>
        <v>GGH</v>
      </c>
      <c r="I1877" s="3" t="str">
        <f>"protein_coding"</f>
        <v>protein_coding</v>
      </c>
    </row>
    <row r="1878" spans="1:9" x14ac:dyDescent="0.2">
      <c r="A1878" s="3" t="str">
        <f>"ENSG00000137561.4"</f>
        <v>ENSG00000137561.4</v>
      </c>
      <c r="B1878" s="3">
        <v>75.827034293783399</v>
      </c>
      <c r="C1878" s="3">
        <v>-1.46157552675372</v>
      </c>
      <c r="D1878" s="3">
        <v>0.46537992616832802</v>
      </c>
      <c r="E1878" s="3">
        <v>-3.1406071567965901</v>
      </c>
      <c r="F1878" s="3">
        <v>1.6859801678279899E-3</v>
      </c>
      <c r="G1878" s="3">
        <v>9.5091549600253705E-3</v>
      </c>
      <c r="H1878" s="3" t="str">
        <f>"TTPA"</f>
        <v>TTPA</v>
      </c>
      <c r="I1878" s="3" t="str">
        <f>"protein_coding"</f>
        <v>protein_coding</v>
      </c>
    </row>
    <row r="1879" spans="1:9" x14ac:dyDescent="0.2">
      <c r="A1879" s="3" t="str">
        <f>"ENSG00000172817.4"</f>
        <v>ENSG00000172817.4</v>
      </c>
      <c r="B1879" s="3">
        <v>88.755073925669194</v>
      </c>
      <c r="C1879" s="3">
        <v>-1.6081211584644399</v>
      </c>
      <c r="D1879" s="3">
        <v>0.43734411174225701</v>
      </c>
      <c r="E1879" s="3">
        <v>-3.6770156846473601</v>
      </c>
      <c r="F1879" s="3">
        <v>2.35978536111107E-4</v>
      </c>
      <c r="G1879" s="3">
        <v>1.7306239288265E-3</v>
      </c>
      <c r="H1879" s="3" t="str">
        <f>"CYP7B1"</f>
        <v>CYP7B1</v>
      </c>
      <c r="I1879" s="3" t="str">
        <f>"protein_coding"</f>
        <v>protein_coding</v>
      </c>
    </row>
    <row r="1880" spans="1:9" x14ac:dyDescent="0.2">
      <c r="A1880" s="3" t="str">
        <f>"ENSG00000253190.3"</f>
        <v>ENSG00000253190.3</v>
      </c>
      <c r="B1880" s="3">
        <v>45.997646691633001</v>
      </c>
      <c r="C1880" s="3">
        <v>2.7460495840692398</v>
      </c>
      <c r="D1880" s="3">
        <v>0.58428844317416995</v>
      </c>
      <c r="E1880" s="3">
        <v>4.6998184135753398</v>
      </c>
      <c r="F1880" s="4">
        <v>2.6039292428329698E-6</v>
      </c>
      <c r="G1880" s="4">
        <v>3.0005423776208601E-5</v>
      </c>
      <c r="H1880" s="3" t="str">
        <f>"AC084082.1"</f>
        <v>AC084082.1</v>
      </c>
      <c r="I1880" s="3" t="str">
        <f>"lincRNA"</f>
        <v>lincRNA</v>
      </c>
    </row>
    <row r="1881" spans="1:9" x14ac:dyDescent="0.2">
      <c r="A1881" s="3" t="str">
        <f>"ENSG00000147573.17"</f>
        <v>ENSG00000147573.17</v>
      </c>
      <c r="B1881" s="3">
        <v>24.5129782819265</v>
      </c>
      <c r="C1881" s="3">
        <v>3.2688275864823901</v>
      </c>
      <c r="D1881" s="3">
        <v>0.84554398126620101</v>
      </c>
      <c r="E1881" s="3">
        <v>3.8659462534253</v>
      </c>
      <c r="F1881" s="3">
        <v>1.1065930780133801E-4</v>
      </c>
      <c r="G1881" s="3">
        <v>8.8905617621931198E-4</v>
      </c>
      <c r="H1881" s="3" t="str">
        <f>"TRIM55"</f>
        <v>TRIM55</v>
      </c>
      <c r="I1881" s="3" t="str">
        <f>"protein_coding"</f>
        <v>protein_coding</v>
      </c>
    </row>
    <row r="1882" spans="1:9" x14ac:dyDescent="0.2">
      <c r="A1882" s="3" t="str">
        <f>"ENSG00000147576.17"</f>
        <v>ENSG00000147576.17</v>
      </c>
      <c r="B1882" s="3">
        <v>19.186609079370701</v>
      </c>
      <c r="C1882" s="3">
        <v>2.4054641087955799</v>
      </c>
      <c r="D1882" s="3">
        <v>0.82372502097237899</v>
      </c>
      <c r="E1882" s="3">
        <v>2.9202270752392701</v>
      </c>
      <c r="F1882" s="3">
        <v>3.49776420111708E-3</v>
      </c>
      <c r="G1882" s="3">
        <v>1.7604293413185299E-2</v>
      </c>
      <c r="H1882" s="3" t="str">
        <f>"ADHFE1"</f>
        <v>ADHFE1</v>
      </c>
      <c r="I1882" s="3" t="str">
        <f>"protein_coding"</f>
        <v>protein_coding</v>
      </c>
    </row>
    <row r="1883" spans="1:9" x14ac:dyDescent="0.2">
      <c r="A1883" s="3" t="str">
        <f>"ENSG00000104205.14"</f>
        <v>ENSG00000104205.14</v>
      </c>
      <c r="B1883" s="3">
        <v>469.67845819279898</v>
      </c>
      <c r="C1883" s="3">
        <v>-1.8599695351808101</v>
      </c>
      <c r="D1883" s="3">
        <v>0.28757650037347299</v>
      </c>
      <c r="E1883" s="3">
        <v>-6.4677382636108396</v>
      </c>
      <c r="F1883" s="4">
        <v>9.9480610392207305E-11</v>
      </c>
      <c r="G1883" s="4">
        <v>2.28532854284564E-9</v>
      </c>
      <c r="H1883" s="3" t="str">
        <f>"SGK3"</f>
        <v>SGK3</v>
      </c>
      <c r="I1883" s="3" t="str">
        <f>"protein_coding"</f>
        <v>protein_coding</v>
      </c>
    </row>
    <row r="1884" spans="1:9" x14ac:dyDescent="0.2">
      <c r="A1884" s="3" t="str">
        <f>"ENSG00000066777.9"</f>
        <v>ENSG00000066777.9</v>
      </c>
      <c r="B1884" s="3">
        <v>3252.4726008320599</v>
      </c>
      <c r="C1884" s="3">
        <v>1.5272143425723499</v>
      </c>
      <c r="D1884" s="3">
        <v>0.25669509497357701</v>
      </c>
      <c r="E1884" s="3">
        <v>5.9495267828532397</v>
      </c>
      <c r="F1884" s="4">
        <v>2.6891883759413599E-9</v>
      </c>
      <c r="G1884" s="4">
        <v>5.12862271393517E-8</v>
      </c>
      <c r="H1884" s="3" t="str">
        <f>"ARFGEF1"</f>
        <v>ARFGEF1</v>
      </c>
      <c r="I1884" s="3" t="str">
        <f>"protein_coding"</f>
        <v>protein_coding</v>
      </c>
    </row>
    <row r="1885" spans="1:9" x14ac:dyDescent="0.2">
      <c r="A1885" s="3" t="str">
        <f>"ENSG00000165078.12"</f>
        <v>ENSG00000165078.12</v>
      </c>
      <c r="B1885" s="3">
        <v>127.479603696967</v>
      </c>
      <c r="C1885" s="3">
        <v>2.2354121216834599</v>
      </c>
      <c r="D1885" s="3">
        <v>0.38471677626895001</v>
      </c>
      <c r="E1885" s="3">
        <v>5.8105397517697801</v>
      </c>
      <c r="F1885" s="4">
        <v>6.2271743739058103E-9</v>
      </c>
      <c r="G1885" s="4">
        <v>1.13675305787809E-7</v>
      </c>
      <c r="H1885" s="3" t="str">
        <f>"CPA6"</f>
        <v>CPA6</v>
      </c>
      <c r="I1885" s="3" t="str">
        <f>"protein_coding"</f>
        <v>protein_coding</v>
      </c>
    </row>
    <row r="1886" spans="1:9" x14ac:dyDescent="0.2">
      <c r="A1886" s="3" t="str">
        <f>"ENSG00000253339.1"</f>
        <v>ENSG00000253339.1</v>
      </c>
      <c r="B1886" s="3">
        <v>21.361302503768599</v>
      </c>
      <c r="C1886" s="3">
        <v>-2.0843788744566698</v>
      </c>
      <c r="D1886" s="3">
        <v>0.785310534867799</v>
      </c>
      <c r="E1886" s="3">
        <v>-2.65420974494829</v>
      </c>
      <c r="F1886" s="3">
        <v>7.9494397268202593E-3</v>
      </c>
      <c r="G1886" s="3">
        <v>3.4813397689443498E-2</v>
      </c>
      <c r="H1886" s="3" t="str">
        <f>"AC111149.2"</f>
        <v>AC111149.2</v>
      </c>
      <c r="I1886" s="3" t="str">
        <f>"lincRNA"</f>
        <v>lincRNA</v>
      </c>
    </row>
    <row r="1887" spans="1:9" x14ac:dyDescent="0.2">
      <c r="A1887" s="3" t="str">
        <f>"ENSG00000164749.11"</f>
        <v>ENSG00000164749.11</v>
      </c>
      <c r="B1887" s="3">
        <v>348.586223186128</v>
      </c>
      <c r="C1887" s="3">
        <v>-1.87140882567962</v>
      </c>
      <c r="D1887" s="3">
        <v>0.29185824524189002</v>
      </c>
      <c r="E1887" s="3">
        <v>-6.4120471365426397</v>
      </c>
      <c r="F1887" s="4">
        <v>1.4357842565908901E-10</v>
      </c>
      <c r="G1887" s="4">
        <v>3.23920654480213E-9</v>
      </c>
      <c r="H1887" s="3" t="str">
        <f>"HNF4G"</f>
        <v>HNF4G</v>
      </c>
      <c r="I1887" s="3" t="str">
        <f>"protein_coding"</f>
        <v>protein_coding</v>
      </c>
    </row>
    <row r="1888" spans="1:9" x14ac:dyDescent="0.2">
      <c r="A1888" s="3" t="str">
        <f>"ENSG00000104432.14"</f>
        <v>ENSG00000104432.14</v>
      </c>
      <c r="B1888" s="3">
        <v>77.093859117471595</v>
      </c>
      <c r="C1888" s="3">
        <v>1.19711115304808</v>
      </c>
      <c r="D1888" s="3">
        <v>0.46629670145345398</v>
      </c>
      <c r="E1888" s="3">
        <v>2.56727347484266</v>
      </c>
      <c r="F1888" s="3">
        <v>1.02501737166298E-2</v>
      </c>
      <c r="G1888" s="3">
        <v>4.3139220318190001E-2</v>
      </c>
      <c r="H1888" s="3" t="str">
        <f>"IL7"</f>
        <v>IL7</v>
      </c>
      <c r="I1888" s="3" t="str">
        <f>"protein_coding"</f>
        <v>protein_coding</v>
      </c>
    </row>
    <row r="1889" spans="1:9" x14ac:dyDescent="0.2">
      <c r="A1889" s="3" t="str">
        <f>"ENSG00000164684.13"</f>
        <v>ENSG00000164684.13</v>
      </c>
      <c r="B1889" s="3">
        <v>1030.4795389161</v>
      </c>
      <c r="C1889" s="3">
        <v>-2.75349852541266</v>
      </c>
      <c r="D1889" s="3">
        <v>0.266690146929005</v>
      </c>
      <c r="E1889" s="3">
        <v>-10.324710369392299</v>
      </c>
      <c r="F1889" s="4">
        <v>5.4482983796562296E-25</v>
      </c>
      <c r="G1889" s="4">
        <v>4.2299983253164298E-23</v>
      </c>
      <c r="H1889" s="3" t="str">
        <f>"ZNF704"</f>
        <v>ZNF704</v>
      </c>
      <c r="I1889" s="3" t="str">
        <f>"protein_coding"</f>
        <v>protein_coding</v>
      </c>
    </row>
    <row r="1890" spans="1:9" x14ac:dyDescent="0.2">
      <c r="A1890" s="3" t="str">
        <f>"ENSG00000253516.1"</f>
        <v>ENSG00000253516.1</v>
      </c>
      <c r="B1890" s="3">
        <v>24.5277419342769</v>
      </c>
      <c r="C1890" s="3">
        <v>-1.8951503380722301</v>
      </c>
      <c r="D1890" s="3">
        <v>0.71724367919601595</v>
      </c>
      <c r="E1890" s="3">
        <v>-2.6422684410360602</v>
      </c>
      <c r="F1890" s="3">
        <v>8.2352756106344599E-3</v>
      </c>
      <c r="G1890" s="3">
        <v>3.5908885072891299E-2</v>
      </c>
      <c r="H1890" s="3" t="str">
        <f>"HMGB1P41"</f>
        <v>HMGB1P41</v>
      </c>
      <c r="I1890" s="3" t="str">
        <f>"processed_pseudogene"</f>
        <v>processed_pseudogene</v>
      </c>
    </row>
    <row r="1891" spans="1:9" x14ac:dyDescent="0.2">
      <c r="A1891" s="3" t="str">
        <f>"ENSG00000076641.4"</f>
        <v>ENSG00000076641.4</v>
      </c>
      <c r="B1891" s="3">
        <v>44.9323578972405</v>
      </c>
      <c r="C1891" s="3">
        <v>-1.93410235244149</v>
      </c>
      <c r="D1891" s="3">
        <v>0.55160702717614896</v>
      </c>
      <c r="E1891" s="3">
        <v>-3.5063047734231501</v>
      </c>
      <c r="F1891" s="3">
        <v>4.54374620792128E-4</v>
      </c>
      <c r="G1891" s="3">
        <v>3.07718686351396E-3</v>
      </c>
      <c r="H1891" s="3" t="str">
        <f>"PAG1"</f>
        <v>PAG1</v>
      </c>
      <c r="I1891" s="3" t="str">
        <f>"protein_coding"</f>
        <v>protein_coding</v>
      </c>
    </row>
    <row r="1892" spans="1:9" x14ac:dyDescent="0.2">
      <c r="A1892" s="3" t="str">
        <f>"ENSG00000164687.11"</f>
        <v>ENSG00000164687.11</v>
      </c>
      <c r="B1892" s="3">
        <v>1756.56210025929</v>
      </c>
      <c r="C1892" s="3">
        <v>-1.7693308691318701</v>
      </c>
      <c r="D1892" s="3">
        <v>0.24473332393071801</v>
      </c>
      <c r="E1892" s="3">
        <v>-7.2296279097355498</v>
      </c>
      <c r="F1892" s="4">
        <v>4.8431916000130701E-13</v>
      </c>
      <c r="G1892" s="4">
        <v>1.45036291307534E-11</v>
      </c>
      <c r="H1892" s="3" t="str">
        <f>"FABP5"</f>
        <v>FABP5</v>
      </c>
      <c r="I1892" s="3" t="str">
        <f>"protein_coding"</f>
        <v>protein_coding</v>
      </c>
    </row>
    <row r="1893" spans="1:9" x14ac:dyDescent="0.2">
      <c r="A1893" s="3" t="str">
        <f>"ENSG00000253598.1"</f>
        <v>ENSG00000253598.1</v>
      </c>
      <c r="B1893" s="3">
        <v>84.399857624014302</v>
      </c>
      <c r="C1893" s="3">
        <v>-1.6146556149601901</v>
      </c>
      <c r="D1893" s="3">
        <v>0.45396888849150902</v>
      </c>
      <c r="E1893" s="3">
        <v>-3.5567539007475202</v>
      </c>
      <c r="F1893" s="3">
        <v>3.7546558673731602E-4</v>
      </c>
      <c r="G1893" s="3">
        <v>2.6059774020197502E-3</v>
      </c>
      <c r="H1893" s="3" t="str">
        <f>"SLC10A5"</f>
        <v>SLC10A5</v>
      </c>
      <c r="I1893" s="3" t="str">
        <f>"protein_coding"</f>
        <v>protein_coding</v>
      </c>
    </row>
    <row r="1894" spans="1:9" x14ac:dyDescent="0.2">
      <c r="A1894" s="3" t="str">
        <f>"ENSG00000185015.8"</f>
        <v>ENSG00000185015.8</v>
      </c>
      <c r="B1894" s="3">
        <v>476.36141911464802</v>
      </c>
      <c r="C1894" s="3">
        <v>-1.31626616005286</v>
      </c>
      <c r="D1894" s="3">
        <v>0.27783422228712101</v>
      </c>
      <c r="E1894" s="3">
        <v>-4.7375954956787103</v>
      </c>
      <c r="F1894" s="4">
        <v>2.1626895253092501E-6</v>
      </c>
      <c r="G1894" s="4">
        <v>2.5338823944645598E-5</v>
      </c>
      <c r="H1894" s="3" t="str">
        <f>"CA13"</f>
        <v>CA13</v>
      </c>
      <c r="I1894" s="3" t="str">
        <f>"protein_coding"</f>
        <v>protein_coding</v>
      </c>
    </row>
    <row r="1895" spans="1:9" x14ac:dyDescent="0.2">
      <c r="A1895" s="3" t="str">
        <f>"ENSG00000254231.2"</f>
        <v>ENSG00000254231.2</v>
      </c>
      <c r="B1895" s="3">
        <v>132.00778056119501</v>
      </c>
      <c r="C1895" s="3">
        <v>-1.04638184193267</v>
      </c>
      <c r="D1895" s="3">
        <v>0.374383815778489</v>
      </c>
      <c r="E1895" s="3">
        <v>-2.7949441130536998</v>
      </c>
      <c r="F1895" s="3">
        <v>5.1908687929732196E-3</v>
      </c>
      <c r="G1895" s="3">
        <v>2.44502753373676E-2</v>
      </c>
      <c r="H1895" s="3" t="str">
        <f>"AC103760.1"</f>
        <v>AC103760.1</v>
      </c>
      <c r="I1895" s="3" t="str">
        <f>"processed_transcript"</f>
        <v>processed_transcript</v>
      </c>
    </row>
    <row r="1896" spans="1:9" x14ac:dyDescent="0.2">
      <c r="A1896" s="3" t="str">
        <f>"ENSG00000104312.8"</f>
        <v>ENSG00000104312.8</v>
      </c>
      <c r="B1896" s="3">
        <v>730.82770770289801</v>
      </c>
      <c r="C1896" s="3">
        <v>-1.85107262270396</v>
      </c>
      <c r="D1896" s="3">
        <v>0.27268691178402199</v>
      </c>
      <c r="E1896" s="3">
        <v>-6.7882708803056904</v>
      </c>
      <c r="F1896" s="4">
        <v>1.1348542675610499E-11</v>
      </c>
      <c r="G1896" s="4">
        <v>2.8981988934516098E-10</v>
      </c>
      <c r="H1896" s="3" t="str">
        <f>"RIPK2"</f>
        <v>RIPK2</v>
      </c>
      <c r="I1896" s="3" t="str">
        <f>"protein_coding"</f>
        <v>protein_coding</v>
      </c>
    </row>
    <row r="1897" spans="1:9" x14ac:dyDescent="0.2">
      <c r="A1897" s="3" t="str">
        <f>"ENSG00000253250.3"</f>
        <v>ENSG00000253250.3</v>
      </c>
      <c r="B1897" s="3">
        <v>14.3872136397924</v>
      </c>
      <c r="C1897" s="3">
        <v>-3.3446620893557499</v>
      </c>
      <c r="D1897" s="3">
        <v>1.0397482306758501</v>
      </c>
      <c r="E1897" s="3">
        <v>-3.21679998164718</v>
      </c>
      <c r="F1897" s="3">
        <v>1.29628937379121E-3</v>
      </c>
      <c r="G1897" s="3">
        <v>7.6169491235033504E-3</v>
      </c>
      <c r="H1897" s="3" t="str">
        <f>"C8orf88"</f>
        <v>C8orf88</v>
      </c>
      <c r="I1897" s="3" t="str">
        <f>"protein_coding"</f>
        <v>protein_coding</v>
      </c>
    </row>
    <row r="1898" spans="1:9" x14ac:dyDescent="0.2">
      <c r="A1898" s="3" t="str">
        <f>"ENSG00000248858.7"</f>
        <v>ENSG00000248858.7</v>
      </c>
      <c r="B1898" s="3">
        <v>59.952404829686401</v>
      </c>
      <c r="C1898" s="3">
        <v>1.62902573316248</v>
      </c>
      <c r="D1898" s="3">
        <v>0.50665503146878998</v>
      </c>
      <c r="E1898" s="3">
        <v>3.21525620389072</v>
      </c>
      <c r="F1898" s="3">
        <v>1.3032814602837099E-3</v>
      </c>
      <c r="G1898" s="3">
        <v>7.6455329135813E-3</v>
      </c>
      <c r="H1898" s="3" t="str">
        <f>"AC104211.1"</f>
        <v>AC104211.1</v>
      </c>
      <c r="I1898" s="3" t="str">
        <f>"processed_transcript"</f>
        <v>processed_transcript</v>
      </c>
    </row>
    <row r="1899" spans="1:9" x14ac:dyDescent="0.2">
      <c r="A1899" s="3" t="str">
        <f>"ENSG00000188343.12"</f>
        <v>ENSG00000188343.12</v>
      </c>
      <c r="B1899" s="3">
        <v>268.29717196373099</v>
      </c>
      <c r="C1899" s="3">
        <v>-1.10022933406923</v>
      </c>
      <c r="D1899" s="3">
        <v>0.321057338563771</v>
      </c>
      <c r="E1899" s="3">
        <v>-3.4268935853982798</v>
      </c>
      <c r="F1899" s="3">
        <v>6.1052827584801201E-4</v>
      </c>
      <c r="G1899" s="3">
        <v>3.9900854193184601E-3</v>
      </c>
      <c r="H1899" s="3" t="str">
        <f>"FAM92A"</f>
        <v>FAM92A</v>
      </c>
      <c r="I1899" s="3" t="str">
        <f>"protein_coding"</f>
        <v>protein_coding</v>
      </c>
    </row>
    <row r="1900" spans="1:9" x14ac:dyDescent="0.2">
      <c r="A1900" s="3" t="str">
        <f>"ENSG00000271971.1"</f>
        <v>ENSG00000271971.1</v>
      </c>
      <c r="B1900" s="3">
        <v>109.137293193102</v>
      </c>
      <c r="C1900" s="3">
        <v>1.0418391708683901</v>
      </c>
      <c r="D1900" s="3">
        <v>0.39102512980349302</v>
      </c>
      <c r="E1900" s="3">
        <v>2.6643790678925301</v>
      </c>
      <c r="F1900" s="3">
        <v>7.7130593311550899E-3</v>
      </c>
      <c r="G1900" s="3">
        <v>3.3961492644005997E-2</v>
      </c>
      <c r="H1900" s="3" t="str">
        <f>"AC120053.1"</f>
        <v>AC120053.1</v>
      </c>
      <c r="I1900" s="3" t="str">
        <f>"antisense"</f>
        <v>antisense</v>
      </c>
    </row>
    <row r="1901" spans="1:9" x14ac:dyDescent="0.2">
      <c r="A1901" s="3" t="str">
        <f>"ENSG00000175305.17"</f>
        <v>ENSG00000175305.17</v>
      </c>
      <c r="B1901" s="3">
        <v>361.05315860252801</v>
      </c>
      <c r="C1901" s="3">
        <v>-3.09548404800036</v>
      </c>
      <c r="D1901" s="3">
        <v>0.31272227738080299</v>
      </c>
      <c r="E1901" s="3">
        <v>-9.8985082672283795</v>
      </c>
      <c r="F1901" s="4">
        <v>4.22530236054814E-23</v>
      </c>
      <c r="G1901" s="4">
        <v>2.7970389705154899E-21</v>
      </c>
      <c r="H1901" s="3" t="str">
        <f>"CCNE2"</f>
        <v>CCNE2</v>
      </c>
      <c r="I1901" s="3" t="str">
        <f>"protein_coding"</f>
        <v>protein_coding</v>
      </c>
    </row>
    <row r="1902" spans="1:9" x14ac:dyDescent="0.2">
      <c r="A1902" s="3" t="str">
        <f>"ENSG00000164938.14"</f>
        <v>ENSG00000164938.14</v>
      </c>
      <c r="B1902" s="3">
        <v>9632.2192978557705</v>
      </c>
      <c r="C1902" s="3">
        <v>2.92061497743462</v>
      </c>
      <c r="D1902" s="3">
        <v>0.24941435576680901</v>
      </c>
      <c r="E1902" s="3">
        <v>11.709891230821</v>
      </c>
      <c r="F1902" s="4">
        <v>1.13425033561409E-31</v>
      </c>
      <c r="G1902" s="4">
        <v>1.25691925957588E-29</v>
      </c>
      <c r="H1902" s="3" t="str">
        <f>"TP53INP1"</f>
        <v>TP53INP1</v>
      </c>
      <c r="I1902" s="3" t="str">
        <f>"protein_coding"</f>
        <v>protein_coding</v>
      </c>
    </row>
    <row r="1903" spans="1:9" x14ac:dyDescent="0.2">
      <c r="A1903" s="3" t="str">
        <f>"ENSG00000253878.5"</f>
        <v>ENSG00000253878.5</v>
      </c>
      <c r="B1903" s="3">
        <v>204.93548658007401</v>
      </c>
      <c r="C1903" s="3">
        <v>2.4428518583844601</v>
      </c>
      <c r="D1903" s="3">
        <v>0.340131894732569</v>
      </c>
      <c r="E1903" s="3">
        <v>7.1820722967046997</v>
      </c>
      <c r="F1903" s="4">
        <v>6.8662593244976403E-13</v>
      </c>
      <c r="G1903" s="4">
        <v>2.0154113571497998E-11</v>
      </c>
      <c r="H1903" s="3" t="str">
        <f>"AC087752.3"</f>
        <v>AC087752.3</v>
      </c>
      <c r="I1903" s="3" t="str">
        <f>"sense_intronic"</f>
        <v>sense_intronic</v>
      </c>
    </row>
    <row r="1904" spans="1:9" x14ac:dyDescent="0.2">
      <c r="A1904" s="3" t="str">
        <f>"ENSG00000156471.12"</f>
        <v>ENSG00000156471.12</v>
      </c>
      <c r="B1904" s="3">
        <v>1992.3672643587399</v>
      </c>
      <c r="C1904" s="3">
        <v>-1.7593852283159801</v>
      </c>
      <c r="D1904" s="3">
        <v>0.24866386871263699</v>
      </c>
      <c r="E1904" s="3">
        <v>-7.0753553277544299</v>
      </c>
      <c r="F1904" s="4">
        <v>1.4906630386076201E-12</v>
      </c>
      <c r="G1904" s="4">
        <v>4.2084880736447602E-11</v>
      </c>
      <c r="H1904" s="3" t="str">
        <f>"PTDSS1"</f>
        <v>PTDSS1</v>
      </c>
      <c r="I1904" s="3" t="str">
        <f>"protein_coding"</f>
        <v>protein_coding</v>
      </c>
    </row>
    <row r="1905" spans="1:9" x14ac:dyDescent="0.2">
      <c r="A1905" s="3" t="str">
        <f>"ENSG00000104324.16"</f>
        <v>ENSG00000104324.16</v>
      </c>
      <c r="B1905" s="3">
        <v>761.266608204627</v>
      </c>
      <c r="C1905" s="3">
        <v>1.2178287739795499</v>
      </c>
      <c r="D1905" s="3">
        <v>0.26162769249108297</v>
      </c>
      <c r="E1905" s="3">
        <v>4.6548160188396404</v>
      </c>
      <c r="F1905" s="4">
        <v>3.2427012830146901E-6</v>
      </c>
      <c r="G1905" s="4">
        <v>3.6842886528561198E-5</v>
      </c>
      <c r="H1905" s="3" t="str">
        <f>"CPQ"</f>
        <v>CPQ</v>
      </c>
      <c r="I1905" s="3" t="str">
        <f>"protein_coding"</f>
        <v>protein_coding</v>
      </c>
    </row>
    <row r="1906" spans="1:9" x14ac:dyDescent="0.2">
      <c r="A1906" s="3" t="str">
        <f>"ENSG00000156509.14"</f>
        <v>ENSG00000156509.14</v>
      </c>
      <c r="B1906" s="3">
        <v>254.50750763845599</v>
      </c>
      <c r="C1906" s="3">
        <v>-2.17544138831573</v>
      </c>
      <c r="D1906" s="3">
        <v>0.33283441531760199</v>
      </c>
      <c r="E1906" s="3">
        <v>-6.5361071097165597</v>
      </c>
      <c r="F1906" s="4">
        <v>6.3140704621385205E-11</v>
      </c>
      <c r="G1906" s="4">
        <v>1.4830106673678299E-9</v>
      </c>
      <c r="H1906" s="3" t="str">
        <f>"FBXO43"</f>
        <v>FBXO43</v>
      </c>
      <c r="I1906" s="3" t="str">
        <f>"protein_coding"</f>
        <v>protein_coding</v>
      </c>
    </row>
    <row r="1907" spans="1:9" x14ac:dyDescent="0.2">
      <c r="A1907" s="3" t="str">
        <f>"ENSG00000253666.1"</f>
        <v>ENSG00000253666.1</v>
      </c>
      <c r="B1907" s="3">
        <v>209.36272689109299</v>
      </c>
      <c r="C1907" s="3">
        <v>2.3233972480199698</v>
      </c>
      <c r="D1907" s="3">
        <v>0.33290184229508002</v>
      </c>
      <c r="E1907" s="3">
        <v>6.9792261646919496</v>
      </c>
      <c r="F1907" s="4">
        <v>2.9681034093904699E-12</v>
      </c>
      <c r="G1907" s="4">
        <v>8.1243352843544499E-11</v>
      </c>
      <c r="H1907" s="3" t="str">
        <f>"AP000424.1"</f>
        <v>AP000424.1</v>
      </c>
      <c r="I1907" s="3" t="str">
        <f>"antisense"</f>
        <v>antisense</v>
      </c>
    </row>
    <row r="1908" spans="1:9" x14ac:dyDescent="0.2">
      <c r="A1908" s="3" t="str">
        <f>"ENSG00000254364.1"</f>
        <v>ENSG00000254364.1</v>
      </c>
      <c r="B1908" s="3">
        <v>18.106410029928799</v>
      </c>
      <c r="C1908" s="3">
        <v>3.3207536657944199</v>
      </c>
      <c r="D1908" s="3">
        <v>0.93709632228213302</v>
      </c>
      <c r="E1908" s="3">
        <v>3.5436631078727401</v>
      </c>
      <c r="F1908" s="3">
        <v>3.9460913432017302E-4</v>
      </c>
      <c r="G1908" s="3">
        <v>2.7225432731277999E-3</v>
      </c>
      <c r="H1908" s="3" t="str">
        <f>"AP000424.2"</f>
        <v>AP000424.2</v>
      </c>
      <c r="I1908" s="3" t="str">
        <f>"antisense"</f>
        <v>antisense</v>
      </c>
    </row>
    <row r="1909" spans="1:9" x14ac:dyDescent="0.2">
      <c r="A1909" s="3" t="str">
        <f>"ENSG00000048392.11"</f>
        <v>ENSG00000048392.11</v>
      </c>
      <c r="B1909" s="3">
        <v>9263.6923646322703</v>
      </c>
      <c r="C1909" s="3">
        <v>4.2484201471087903</v>
      </c>
      <c r="D1909" s="3">
        <v>0.24352708313268301</v>
      </c>
      <c r="E1909" s="3">
        <v>17.445370315522901</v>
      </c>
      <c r="F1909" s="4">
        <v>3.7329123541005198E-68</v>
      </c>
      <c r="G1909" s="4">
        <v>1.80579635129613E-65</v>
      </c>
      <c r="H1909" s="3" t="str">
        <f>"RRM2B"</f>
        <v>RRM2B</v>
      </c>
      <c r="I1909" s="3" t="str">
        <f>"protein_coding"</f>
        <v>protein_coding</v>
      </c>
    </row>
    <row r="1910" spans="1:9" x14ac:dyDescent="0.2">
      <c r="A1910" s="3" t="str">
        <f>"ENSG00000246263.2"</f>
        <v>ENSG00000246263.2</v>
      </c>
      <c r="B1910" s="3">
        <v>170.46889820836299</v>
      </c>
      <c r="C1910" s="3">
        <v>3.0551780164129001</v>
      </c>
      <c r="D1910" s="3">
        <v>0.37199041328662702</v>
      </c>
      <c r="E1910" s="3">
        <v>8.2130557866254001</v>
      </c>
      <c r="F1910" s="4">
        <v>2.15629304171713E-16</v>
      </c>
      <c r="G1910" s="4">
        <v>9.0102244957465707E-15</v>
      </c>
      <c r="H1910" s="3" t="str">
        <f>"UBR5-AS1"</f>
        <v>UBR5-AS1</v>
      </c>
      <c r="I1910" s="3" t="str">
        <f>"antisense"</f>
        <v>antisense</v>
      </c>
    </row>
    <row r="1911" spans="1:9" x14ac:dyDescent="0.2">
      <c r="A1911" s="3" t="str">
        <f>"ENSG00000272037.1"</f>
        <v>ENSG00000272037.1</v>
      </c>
      <c r="B1911" s="3">
        <v>9.6760531749267198</v>
      </c>
      <c r="C1911" s="3">
        <v>3.6346748595815899</v>
      </c>
      <c r="D1911" s="3">
        <v>1.29501695101361</v>
      </c>
      <c r="E1911" s="3">
        <v>2.8066619952246401</v>
      </c>
      <c r="F1911" s="3">
        <v>5.0057735950459802E-3</v>
      </c>
      <c r="G1911" s="3">
        <v>2.3733554671711801E-2</v>
      </c>
      <c r="H1911" s="3" t="str">
        <f>"AP002907.1"</f>
        <v>AP002907.1</v>
      </c>
      <c r="I1911" s="3" t="str">
        <f>"antisense"</f>
        <v>antisense</v>
      </c>
    </row>
    <row r="1912" spans="1:9" x14ac:dyDescent="0.2">
      <c r="A1912" s="3" t="str">
        <f>"ENSG00000247081.7"</f>
        <v>ENSG00000247081.7</v>
      </c>
      <c r="B1912" s="3">
        <v>116.386525575108</v>
      </c>
      <c r="C1912" s="3">
        <v>3.11625847437911</v>
      </c>
      <c r="D1912" s="3">
        <v>0.44586486548769599</v>
      </c>
      <c r="E1912" s="3">
        <v>6.9892443105389797</v>
      </c>
      <c r="F1912" s="4">
        <v>2.7637079456527202E-12</v>
      </c>
      <c r="G1912" s="4">
        <v>7.58136023695682E-11</v>
      </c>
      <c r="H1912" s="3" t="str">
        <f>"BAALC-AS1"</f>
        <v>BAALC-AS1</v>
      </c>
      <c r="I1912" s="3" t="str">
        <f>"antisense"</f>
        <v>antisense</v>
      </c>
    </row>
    <row r="1913" spans="1:9" x14ac:dyDescent="0.2">
      <c r="A1913" s="3" t="str">
        <f>"ENSG00000176406.22"</f>
        <v>ENSG00000176406.22</v>
      </c>
      <c r="B1913" s="3">
        <v>70.072585322828999</v>
      </c>
      <c r="C1913" s="3">
        <v>2.4515353316906801</v>
      </c>
      <c r="D1913" s="3">
        <v>0.50378906730358597</v>
      </c>
      <c r="E1913" s="3">
        <v>4.8661939902982603</v>
      </c>
      <c r="F1913" s="4">
        <v>1.13767853272846E-6</v>
      </c>
      <c r="G1913" s="4">
        <v>1.40423471495508E-5</v>
      </c>
      <c r="H1913" s="3" t="str">
        <f>"RIMS2"</f>
        <v>RIMS2</v>
      </c>
      <c r="I1913" s="3" t="str">
        <f t="shared" ref="I1913:I1920" si="80">"protein_coding"</f>
        <v>protein_coding</v>
      </c>
    </row>
    <row r="1914" spans="1:9" x14ac:dyDescent="0.2">
      <c r="A1914" s="3" t="str">
        <f>"ENSG00000164841.5"</f>
        <v>ENSG00000164841.5</v>
      </c>
      <c r="B1914" s="3">
        <v>13.3703216013483</v>
      </c>
      <c r="C1914" s="3">
        <v>-2.6570935046522601</v>
      </c>
      <c r="D1914" s="3">
        <v>1.0069141382098501</v>
      </c>
      <c r="E1914" s="3">
        <v>-2.6388481438707401</v>
      </c>
      <c r="F1914" s="3">
        <v>8.3188235195997603E-3</v>
      </c>
      <c r="G1914" s="3">
        <v>3.62166849490363E-2</v>
      </c>
      <c r="H1914" s="3" t="str">
        <f>"TMEM74"</f>
        <v>TMEM74</v>
      </c>
      <c r="I1914" s="3" t="str">
        <f t="shared" si="80"/>
        <v>protein_coding</v>
      </c>
    </row>
    <row r="1915" spans="1:9" x14ac:dyDescent="0.2">
      <c r="A1915" s="3" t="str">
        <f>"ENSG00000164796.18"</f>
        <v>ENSG00000164796.18</v>
      </c>
      <c r="B1915" s="3">
        <v>228.802648099891</v>
      </c>
      <c r="C1915" s="3">
        <v>3.6777889093193301</v>
      </c>
      <c r="D1915" s="3">
        <v>0.39229964460399902</v>
      </c>
      <c r="E1915" s="3">
        <v>9.3749483587521993</v>
      </c>
      <c r="F1915" s="4">
        <v>6.9209641304562905E-21</v>
      </c>
      <c r="G1915" s="4">
        <v>3.9657597426338898E-19</v>
      </c>
      <c r="H1915" s="3" t="str">
        <f>"CSMD3"</f>
        <v>CSMD3</v>
      </c>
      <c r="I1915" s="3" t="str">
        <f t="shared" si="80"/>
        <v>protein_coding</v>
      </c>
    </row>
    <row r="1916" spans="1:9" x14ac:dyDescent="0.2">
      <c r="A1916" s="3" t="str">
        <f>"ENSG00000136960.12"</f>
        <v>ENSG00000136960.12</v>
      </c>
      <c r="B1916" s="3">
        <v>166.019408634314</v>
      </c>
      <c r="C1916" s="3">
        <v>-1.65965052495743</v>
      </c>
      <c r="D1916" s="3">
        <v>0.36342626414287399</v>
      </c>
      <c r="E1916" s="3">
        <v>-4.5666774493352698</v>
      </c>
      <c r="F1916" s="4">
        <v>4.9551558436423902E-6</v>
      </c>
      <c r="G1916" s="4">
        <v>5.4288739219000098E-5</v>
      </c>
      <c r="H1916" s="3" t="str">
        <f>"ENPP2"</f>
        <v>ENPP2</v>
      </c>
      <c r="I1916" s="3" t="str">
        <f t="shared" si="80"/>
        <v>protein_coding</v>
      </c>
    </row>
    <row r="1917" spans="1:9" x14ac:dyDescent="0.2">
      <c r="A1917" s="3" t="str">
        <f>"ENSG00000136982.6"</f>
        <v>ENSG00000136982.6</v>
      </c>
      <c r="B1917" s="3">
        <v>930.69689818895995</v>
      </c>
      <c r="C1917" s="3">
        <v>-1.79712198046061</v>
      </c>
      <c r="D1917" s="3">
        <v>0.25765769171511599</v>
      </c>
      <c r="E1917" s="3">
        <v>-6.9748431280973504</v>
      </c>
      <c r="F1917" s="4">
        <v>3.0621230280987402E-12</v>
      </c>
      <c r="G1917" s="4">
        <v>8.3725766056330202E-11</v>
      </c>
      <c r="H1917" s="3" t="str">
        <f>"DSCC1"</f>
        <v>DSCC1</v>
      </c>
      <c r="I1917" s="3" t="str">
        <f t="shared" si="80"/>
        <v>protein_coding</v>
      </c>
    </row>
    <row r="1918" spans="1:9" x14ac:dyDescent="0.2">
      <c r="A1918" s="3" t="str">
        <f>"ENSG00000155792.10"</f>
        <v>ENSG00000155792.10</v>
      </c>
      <c r="B1918" s="3">
        <v>42.221319965564099</v>
      </c>
      <c r="C1918" s="3">
        <v>-2.9075292479074402</v>
      </c>
      <c r="D1918" s="3">
        <v>0.61840578397853396</v>
      </c>
      <c r="E1918" s="3">
        <v>-4.7016527387595897</v>
      </c>
      <c r="F1918" s="4">
        <v>2.5806411695931002E-6</v>
      </c>
      <c r="G1918" s="4">
        <v>2.9805339128151701E-5</v>
      </c>
      <c r="H1918" s="3" t="str">
        <f>"DEPTOR"</f>
        <v>DEPTOR</v>
      </c>
      <c r="I1918" s="3" t="str">
        <f t="shared" si="80"/>
        <v>protein_coding</v>
      </c>
    </row>
    <row r="1919" spans="1:9" x14ac:dyDescent="0.2">
      <c r="A1919" s="3" t="str">
        <f>"ENSG00000165156.15"</f>
        <v>ENSG00000165156.15</v>
      </c>
      <c r="B1919" s="3">
        <v>1428.79547236294</v>
      </c>
      <c r="C1919" s="3">
        <v>-1.13550032081426</v>
      </c>
      <c r="D1919" s="3">
        <v>0.28260663177654699</v>
      </c>
      <c r="E1919" s="3">
        <v>-4.0179535550039001</v>
      </c>
      <c r="F1919" s="4">
        <v>5.8705764309003302E-5</v>
      </c>
      <c r="G1919" s="3">
        <v>5.0712345508000596E-4</v>
      </c>
      <c r="H1919" s="3" t="str">
        <f>"ZHX1"</f>
        <v>ZHX1</v>
      </c>
      <c r="I1919" s="3" t="str">
        <f t="shared" si="80"/>
        <v>protein_coding</v>
      </c>
    </row>
    <row r="1920" spans="1:9" x14ac:dyDescent="0.2">
      <c r="A1920" s="3" t="str">
        <f>"ENSG00000156802.13"</f>
        <v>ENSG00000156802.13</v>
      </c>
      <c r="B1920" s="3">
        <v>7598.9885382606399</v>
      </c>
      <c r="C1920" s="3">
        <v>-1.85918886324836</v>
      </c>
      <c r="D1920" s="3">
        <v>0.24296163631665299</v>
      </c>
      <c r="E1920" s="3">
        <v>-7.6521910678329297</v>
      </c>
      <c r="F1920" s="4">
        <v>1.9758336175106499E-14</v>
      </c>
      <c r="G1920" s="4">
        <v>6.7255879091312999E-13</v>
      </c>
      <c r="H1920" s="3" t="str">
        <f>"ATAD2"</f>
        <v>ATAD2</v>
      </c>
      <c r="I1920" s="3" t="str">
        <f t="shared" si="80"/>
        <v>protein_coding</v>
      </c>
    </row>
    <row r="1921" spans="1:9" x14ac:dyDescent="0.2">
      <c r="A1921" s="3" t="str">
        <f>"ENSG00000283172.1"</f>
        <v>ENSG00000283172.1</v>
      </c>
      <c r="B1921" s="3">
        <v>54.992895956454703</v>
      </c>
      <c r="C1921" s="3">
        <v>-2.2701838704834501</v>
      </c>
      <c r="D1921" s="3">
        <v>0.53533564198339501</v>
      </c>
      <c r="E1921" s="3">
        <v>-4.2406738734460596</v>
      </c>
      <c r="F1921" s="4">
        <v>2.22849729497314E-5</v>
      </c>
      <c r="G1921" s="3">
        <v>2.1122023155632801E-4</v>
      </c>
      <c r="H1921" s="3" t="str">
        <f>"MIR548D1"</f>
        <v>MIR548D1</v>
      </c>
      <c r="I1921" s="3" t="str">
        <f>"miRNA"</f>
        <v>miRNA</v>
      </c>
    </row>
    <row r="1922" spans="1:9" x14ac:dyDescent="0.2">
      <c r="A1922" s="3" t="str">
        <f>"ENSG00000245149.3"</f>
        <v>ENSG00000245149.3</v>
      </c>
      <c r="B1922" s="3">
        <v>114.378904289266</v>
      </c>
      <c r="C1922" s="3">
        <v>-1.3282957896538801</v>
      </c>
      <c r="D1922" s="3">
        <v>0.40839324317716302</v>
      </c>
      <c r="E1922" s="3">
        <v>-3.2524920817009102</v>
      </c>
      <c r="F1922" s="3">
        <v>1.14397783214475E-3</v>
      </c>
      <c r="G1922" s="3">
        <v>6.8418360360440198E-3</v>
      </c>
      <c r="H1922" s="3" t="str">
        <f>"RNF139-AS1"</f>
        <v>RNF139-AS1</v>
      </c>
      <c r="I1922" s="3" t="str">
        <f>"lincRNA"</f>
        <v>lincRNA</v>
      </c>
    </row>
    <row r="1923" spans="1:9" x14ac:dyDescent="0.2">
      <c r="A1923" s="3" t="str">
        <f>"ENSG00000255491.2"</f>
        <v>ENSG00000255491.2</v>
      </c>
      <c r="B1923" s="3">
        <v>34.983017236680901</v>
      </c>
      <c r="C1923" s="3">
        <v>-3.8379715971223001</v>
      </c>
      <c r="D1923" s="3">
        <v>0.79910314277406702</v>
      </c>
      <c r="E1923" s="3">
        <v>-4.80284883350462</v>
      </c>
      <c r="F1923" s="4">
        <v>1.56423978675495E-6</v>
      </c>
      <c r="G1923" s="4">
        <v>1.8746284819352398E-5</v>
      </c>
      <c r="H1923" s="3" t="str">
        <f>"AC100858.3"</f>
        <v>AC100858.3</v>
      </c>
      <c r="I1923" s="3" t="str">
        <f>"lincRNA"</f>
        <v>lincRNA</v>
      </c>
    </row>
    <row r="1924" spans="1:9" x14ac:dyDescent="0.2">
      <c r="A1924" s="3" t="str">
        <f>"ENSG00000104549.12"</f>
        <v>ENSG00000104549.12</v>
      </c>
      <c r="B1924" s="3">
        <v>2671.8287654157498</v>
      </c>
      <c r="C1924" s="3">
        <v>-1.76223051624728</v>
      </c>
      <c r="D1924" s="3">
        <v>0.24182547415087799</v>
      </c>
      <c r="E1924" s="3">
        <v>-7.2871996733801403</v>
      </c>
      <c r="F1924" s="4">
        <v>3.16463720186989E-13</v>
      </c>
      <c r="G1924" s="4">
        <v>9.7676624310475104E-12</v>
      </c>
      <c r="H1924" s="3" t="str">
        <f>"SQLE"</f>
        <v>SQLE</v>
      </c>
      <c r="I1924" s="3" t="str">
        <f>"protein_coding"</f>
        <v>protein_coding</v>
      </c>
    </row>
    <row r="1925" spans="1:9" x14ac:dyDescent="0.2">
      <c r="A1925" s="3" t="str">
        <f>"ENSG00000168672.4"</f>
        <v>ENSG00000168672.4</v>
      </c>
      <c r="B1925" s="3">
        <v>550.429418478446</v>
      </c>
      <c r="C1925" s="3">
        <v>3.6630238587841499</v>
      </c>
      <c r="D1925" s="3">
        <v>0.29372955752685398</v>
      </c>
      <c r="E1925" s="3">
        <v>12.4707363114087</v>
      </c>
      <c r="F1925" s="4">
        <v>1.07825088766984E-35</v>
      </c>
      <c r="G1925" s="4">
        <v>1.43510058620819E-33</v>
      </c>
      <c r="H1925" s="3" t="str">
        <f>"FAM84B"</f>
        <v>FAM84B</v>
      </c>
      <c r="I1925" s="3" t="str">
        <f>"protein_coding"</f>
        <v>protein_coding</v>
      </c>
    </row>
    <row r="1926" spans="1:9" x14ac:dyDescent="0.2">
      <c r="A1926" s="3" t="str">
        <f>"ENSG00000253438.3"</f>
        <v>ENSG00000253438.3</v>
      </c>
      <c r="B1926" s="3">
        <v>126.86032881426</v>
      </c>
      <c r="C1926" s="3">
        <v>1.9713758293083301</v>
      </c>
      <c r="D1926" s="3">
        <v>0.416460133019394</v>
      </c>
      <c r="E1926" s="3">
        <v>4.7336483687299999</v>
      </c>
      <c r="F1926" s="4">
        <v>2.2051963027044701E-6</v>
      </c>
      <c r="G1926" s="4">
        <v>2.58007967416423E-5</v>
      </c>
      <c r="H1926" s="3" t="str">
        <f>"PCAT1"</f>
        <v>PCAT1</v>
      </c>
      <c r="I1926" s="3" t="str">
        <f>"antisense"</f>
        <v>antisense</v>
      </c>
    </row>
    <row r="1927" spans="1:9" x14ac:dyDescent="0.2">
      <c r="A1927" s="3" t="str">
        <f>"ENSG00000282961.1"</f>
        <v>ENSG00000282961.1</v>
      </c>
      <c r="B1927" s="3">
        <v>99.4295411183342</v>
      </c>
      <c r="C1927" s="3">
        <v>1.68602851103576</v>
      </c>
      <c r="D1927" s="3">
        <v>0.45105747366415699</v>
      </c>
      <c r="E1927" s="3">
        <v>3.7379460700192899</v>
      </c>
      <c r="F1927" s="3">
        <v>1.8552972940943501E-4</v>
      </c>
      <c r="G1927" s="3">
        <v>1.3973054920042899E-3</v>
      </c>
      <c r="H1927" s="3" t="str">
        <f>"PRNCR1"</f>
        <v>PRNCR1</v>
      </c>
      <c r="I1927" s="3" t="str">
        <f>"lincRNA"</f>
        <v>lincRNA</v>
      </c>
    </row>
    <row r="1928" spans="1:9" x14ac:dyDescent="0.2">
      <c r="A1928" s="3" t="str">
        <f>"ENSG00000249859.10"</f>
        <v>ENSG00000249859.10</v>
      </c>
      <c r="B1928" s="3">
        <v>3209.6840486536698</v>
      </c>
      <c r="C1928" s="3">
        <v>2.6024397682213198</v>
      </c>
      <c r="D1928" s="3">
        <v>0.28254132538495402</v>
      </c>
      <c r="E1928" s="3">
        <v>9.2108287687671009</v>
      </c>
      <c r="F1928" s="4">
        <v>3.2361652527919099E-20</v>
      </c>
      <c r="G1928" s="4">
        <v>1.7658511265505502E-18</v>
      </c>
      <c r="H1928" s="3" t="str">
        <f>"PVT1"</f>
        <v>PVT1</v>
      </c>
      <c r="I1928" s="3" t="str">
        <f>"lincRNA"</f>
        <v>lincRNA</v>
      </c>
    </row>
    <row r="1929" spans="1:9" x14ac:dyDescent="0.2">
      <c r="A1929" s="3" t="str">
        <f>"ENSG00000221771.1"</f>
        <v>ENSG00000221771.1</v>
      </c>
      <c r="B1929" s="3">
        <v>55.263157949104503</v>
      </c>
      <c r="C1929" s="3">
        <v>2.8263779286052602</v>
      </c>
      <c r="D1929" s="3">
        <v>0.53871297407777696</v>
      </c>
      <c r="E1929" s="3">
        <v>5.2465377011640397</v>
      </c>
      <c r="F1929" s="4">
        <v>1.54984145047528E-7</v>
      </c>
      <c r="G1929" s="4">
        <v>2.2613840885560102E-6</v>
      </c>
      <c r="H1929" s="3" t="str">
        <f>"MIR1205"</f>
        <v>MIR1205</v>
      </c>
      <c r="I1929" s="3" t="str">
        <f>"miRNA"</f>
        <v>miRNA</v>
      </c>
    </row>
    <row r="1930" spans="1:9" x14ac:dyDescent="0.2">
      <c r="A1930" s="3" t="str">
        <f>"ENSG00000207110.1"</f>
        <v>ENSG00000207110.1</v>
      </c>
      <c r="B1930" s="3">
        <v>83.728285335895507</v>
      </c>
      <c r="C1930" s="3">
        <v>2.7588700948826399</v>
      </c>
      <c r="D1930" s="3">
        <v>0.46452195822703302</v>
      </c>
      <c r="E1930" s="3">
        <v>5.9391597017556998</v>
      </c>
      <c r="F1930" s="4">
        <v>2.86486684675432E-9</v>
      </c>
      <c r="G1930" s="4">
        <v>5.45126516869175E-8</v>
      </c>
      <c r="H1930" s="3" t="str">
        <f>"RNU1-106P"</f>
        <v>RNU1-106P</v>
      </c>
      <c r="I1930" s="3" t="str">
        <f>"snRNA"</f>
        <v>snRNA</v>
      </c>
    </row>
    <row r="1931" spans="1:9" x14ac:dyDescent="0.2">
      <c r="A1931" s="3" t="str">
        <f>"ENSG00000283200.1"</f>
        <v>ENSG00000283200.1</v>
      </c>
      <c r="B1931" s="3">
        <v>66.831541522301094</v>
      </c>
      <c r="C1931" s="3">
        <v>2.7969483897959901</v>
      </c>
      <c r="D1931" s="3">
        <v>0.51951872483726202</v>
      </c>
      <c r="E1931" s="3">
        <v>5.3837297022780497</v>
      </c>
      <c r="F1931" s="4">
        <v>7.2958038112807096E-8</v>
      </c>
      <c r="G1931" s="4">
        <v>1.1143044618868601E-6</v>
      </c>
      <c r="H1931" s="3" t="str">
        <f>"MIR1206"</f>
        <v>MIR1206</v>
      </c>
      <c r="I1931" s="3" t="str">
        <f>"miRNA"</f>
        <v>miRNA</v>
      </c>
    </row>
    <row r="1932" spans="1:9" x14ac:dyDescent="0.2">
      <c r="A1932" s="3" t="str">
        <f>"ENSG00000221176.1"</f>
        <v>ENSG00000221176.1</v>
      </c>
      <c r="B1932" s="3">
        <v>50.773664282430502</v>
      </c>
      <c r="C1932" s="3">
        <v>2.2546120543874002</v>
      </c>
      <c r="D1932" s="3">
        <v>0.66783402412021597</v>
      </c>
      <c r="E1932" s="3">
        <v>3.3760065719286501</v>
      </c>
      <c r="F1932" s="3">
        <v>7.3546162455852705E-4</v>
      </c>
      <c r="G1932" s="3">
        <v>4.6979525560613897E-3</v>
      </c>
      <c r="H1932" s="3" t="str">
        <f>"MIR1207"</f>
        <v>MIR1207</v>
      </c>
      <c r="I1932" s="3" t="str">
        <f>"miRNA"</f>
        <v>miRNA</v>
      </c>
    </row>
    <row r="1933" spans="1:9" x14ac:dyDescent="0.2">
      <c r="A1933" s="3" t="str">
        <f>"ENSG00000286034.1"</f>
        <v>ENSG00000286034.1</v>
      </c>
      <c r="B1933" s="3">
        <v>64.960540247302305</v>
      </c>
      <c r="C1933" s="3">
        <v>3.1706953812619498</v>
      </c>
      <c r="D1933" s="3">
        <v>0.53738721972564296</v>
      </c>
      <c r="E1933" s="3">
        <v>5.9002061546620199</v>
      </c>
      <c r="F1933" s="4">
        <v>3.6304765852437702E-9</v>
      </c>
      <c r="G1933" s="4">
        <v>6.8459249251729398E-8</v>
      </c>
      <c r="H1933" s="3" t="str">
        <f>"AC100822.1"</f>
        <v>AC100822.1</v>
      </c>
      <c r="I1933" s="3" t="str">
        <f>"lincRNA"</f>
        <v>lincRNA</v>
      </c>
    </row>
    <row r="1934" spans="1:9" x14ac:dyDescent="0.2">
      <c r="A1934" s="3" t="str">
        <f>"ENSG00000254275.6"</f>
        <v>ENSG00000254275.6</v>
      </c>
      <c r="B1934" s="3">
        <v>42.167745414243001</v>
      </c>
      <c r="C1934" s="3">
        <v>1.6753757589817899</v>
      </c>
      <c r="D1934" s="3">
        <v>0.58267472439351298</v>
      </c>
      <c r="E1934" s="3">
        <v>2.87531909115439</v>
      </c>
      <c r="F1934" s="3">
        <v>4.0361936851192404E-3</v>
      </c>
      <c r="G1934" s="3">
        <v>1.9853720295076899E-2</v>
      </c>
      <c r="H1934" s="3" t="str">
        <f>"LINC00824"</f>
        <v>LINC00824</v>
      </c>
      <c r="I1934" s="3" t="str">
        <f>"processed_transcript"</f>
        <v>processed_transcript</v>
      </c>
    </row>
    <row r="1935" spans="1:9" x14ac:dyDescent="0.2">
      <c r="A1935" s="3" t="str">
        <f>"ENSG00000008513.16"</f>
        <v>ENSG00000008513.16</v>
      </c>
      <c r="B1935" s="3">
        <v>1485.7432372094599</v>
      </c>
      <c r="C1935" s="3">
        <v>-1.9802645322924901</v>
      </c>
      <c r="D1935" s="3">
        <v>0.29268425047674501</v>
      </c>
      <c r="E1935" s="3">
        <v>-6.76587322026006</v>
      </c>
      <c r="F1935" s="4">
        <v>1.32507540700839E-11</v>
      </c>
      <c r="G1935" s="4">
        <v>3.3601080507354802E-10</v>
      </c>
      <c r="H1935" s="3" t="str">
        <f>"ST3GAL1"</f>
        <v>ST3GAL1</v>
      </c>
      <c r="I1935" s="3" t="str">
        <f>"protein_coding"</f>
        <v>protein_coding</v>
      </c>
    </row>
    <row r="1936" spans="1:9" x14ac:dyDescent="0.2">
      <c r="A1936" s="3" t="str">
        <f>"ENSG00000261220.2"</f>
        <v>ENSG00000261220.2</v>
      </c>
      <c r="B1936" s="3">
        <v>23.968303821047499</v>
      </c>
      <c r="C1936" s="3">
        <v>-2.3952900703394899</v>
      </c>
      <c r="D1936" s="3">
        <v>0.77134620211589899</v>
      </c>
      <c r="E1936" s="3">
        <v>-3.1053372192264801</v>
      </c>
      <c r="F1936" s="3">
        <v>1.9006220273144799E-3</v>
      </c>
      <c r="G1936" s="3">
        <v>1.05008010316485E-2</v>
      </c>
      <c r="H1936" s="3" t="str">
        <f>"AC103706.1"</f>
        <v>AC103706.1</v>
      </c>
      <c r="I1936" s="3" t="str">
        <f>"lincRNA"</f>
        <v>lincRNA</v>
      </c>
    </row>
    <row r="1937" spans="1:9" x14ac:dyDescent="0.2">
      <c r="A1937" s="3" t="str">
        <f>"ENSG00000169427.8"</f>
        <v>ENSG00000169427.8</v>
      </c>
      <c r="B1937" s="3">
        <v>16.161510119232499</v>
      </c>
      <c r="C1937" s="3">
        <v>-3.2310201880229199</v>
      </c>
      <c r="D1937" s="3">
        <v>0.96904627437212199</v>
      </c>
      <c r="E1937" s="3">
        <v>-3.3342269337100601</v>
      </c>
      <c r="F1937" s="3">
        <v>8.5536840564636601E-4</v>
      </c>
      <c r="G1937" s="3">
        <v>5.3431319205449104E-3</v>
      </c>
      <c r="H1937" s="3" t="str">
        <f>"KCNK9"</f>
        <v>KCNK9</v>
      </c>
      <c r="I1937" s="3" t="str">
        <f>"protein_coding"</f>
        <v>protein_coding</v>
      </c>
    </row>
    <row r="1938" spans="1:9" x14ac:dyDescent="0.2">
      <c r="A1938" s="3" t="str">
        <f>"ENSG00000167632.15"</f>
        <v>ENSG00000167632.15</v>
      </c>
      <c r="B1938" s="3">
        <v>1379.0305097600401</v>
      </c>
      <c r="C1938" s="3">
        <v>1.81711678157025</v>
      </c>
      <c r="D1938" s="3">
        <v>0.294098650854064</v>
      </c>
      <c r="E1938" s="3">
        <v>6.1785961149204001</v>
      </c>
      <c r="F1938" s="4">
        <v>6.4674110900359195E-10</v>
      </c>
      <c r="G1938" s="4">
        <v>1.352350174313E-8</v>
      </c>
      <c r="H1938" s="3" t="str">
        <f>"TRAPPC9"</f>
        <v>TRAPPC9</v>
      </c>
      <c r="I1938" s="3" t="str">
        <f>"protein_coding"</f>
        <v>protein_coding</v>
      </c>
    </row>
    <row r="1939" spans="1:9" x14ac:dyDescent="0.2">
      <c r="A1939" s="3" t="str">
        <f>"ENSG00000282164.3"</f>
        <v>ENSG00000282164.3</v>
      </c>
      <c r="B1939" s="3">
        <v>651.97853565205605</v>
      </c>
      <c r="C1939" s="3">
        <v>-1.35844641984375</v>
      </c>
      <c r="D1939" s="3">
        <v>0.28769821303878701</v>
      </c>
      <c r="E1939" s="3">
        <v>-4.7217756603187704</v>
      </c>
      <c r="F1939" s="4">
        <v>2.3379448231548598E-6</v>
      </c>
      <c r="G1939" s="4">
        <v>2.72147163472746E-5</v>
      </c>
      <c r="H1939" s="3" t="str">
        <f>"PEG13"</f>
        <v>PEG13</v>
      </c>
      <c r="I1939" s="3" t="str">
        <f>"sense_intronic"</f>
        <v>sense_intronic</v>
      </c>
    </row>
    <row r="1940" spans="1:9" x14ac:dyDescent="0.2">
      <c r="A1940" s="3" t="str">
        <f>"ENSG00000104472.10"</f>
        <v>ENSG00000104472.10</v>
      </c>
      <c r="B1940" s="3">
        <v>1277.0812236130801</v>
      </c>
      <c r="C1940" s="3">
        <v>-1.46943932561701</v>
      </c>
      <c r="D1940" s="3">
        <v>0.24768194667180701</v>
      </c>
      <c r="E1940" s="3">
        <v>-5.9327671853455897</v>
      </c>
      <c r="F1940" s="4">
        <v>2.97871092408689E-9</v>
      </c>
      <c r="G1940" s="4">
        <v>5.6636034236890303E-8</v>
      </c>
      <c r="H1940" s="3" t="str">
        <f>"CHRAC1"</f>
        <v>CHRAC1</v>
      </c>
      <c r="I1940" s="3" t="str">
        <f t="shared" ref="I1940:I1945" si="81">"protein_coding"</f>
        <v>protein_coding</v>
      </c>
    </row>
    <row r="1941" spans="1:9" x14ac:dyDescent="0.2">
      <c r="A1941" s="3" t="str">
        <f>"ENSG00000105339.10"</f>
        <v>ENSG00000105339.10</v>
      </c>
      <c r="B1941" s="3">
        <v>322.164272240618</v>
      </c>
      <c r="C1941" s="3">
        <v>1.66666718599829</v>
      </c>
      <c r="D1941" s="3">
        <v>0.34307519979176798</v>
      </c>
      <c r="E1941" s="3">
        <v>4.8580229261977701</v>
      </c>
      <c r="F1941" s="4">
        <v>1.1856368384590399E-6</v>
      </c>
      <c r="G1941" s="4">
        <v>1.45628391950376E-5</v>
      </c>
      <c r="H1941" s="3" t="str">
        <f>"DENND3"</f>
        <v>DENND3</v>
      </c>
      <c r="I1941" s="3" t="str">
        <f t="shared" si="81"/>
        <v>protein_coding</v>
      </c>
    </row>
    <row r="1942" spans="1:9" x14ac:dyDescent="0.2">
      <c r="A1942" s="3" t="str">
        <f>"ENSG00000022567.9"</f>
        <v>ENSG00000022567.9</v>
      </c>
      <c r="B1942" s="3">
        <v>33.579563287004497</v>
      </c>
      <c r="C1942" s="3">
        <v>2.7006074887768601</v>
      </c>
      <c r="D1942" s="3">
        <v>0.65317845327188495</v>
      </c>
      <c r="E1942" s="3">
        <v>4.1345630359498999</v>
      </c>
      <c r="F1942" s="4">
        <v>3.5563063400523802E-5</v>
      </c>
      <c r="G1942" s="3">
        <v>3.2307289990616699E-4</v>
      </c>
      <c r="H1942" s="3" t="str">
        <f>"SLC45A4"</f>
        <v>SLC45A4</v>
      </c>
      <c r="I1942" s="3" t="str">
        <f t="shared" si="81"/>
        <v>protein_coding</v>
      </c>
    </row>
    <row r="1943" spans="1:9" x14ac:dyDescent="0.2">
      <c r="A1943" s="3" t="str">
        <f>"ENSG00000184489.11"</f>
        <v>ENSG00000184489.11</v>
      </c>
      <c r="B1943" s="3">
        <v>206.70452413464699</v>
      </c>
      <c r="C1943" s="3">
        <v>1.7321018191684401</v>
      </c>
      <c r="D1943" s="3">
        <v>0.37153097411590702</v>
      </c>
      <c r="E1943" s="3">
        <v>4.6620657222190802</v>
      </c>
      <c r="F1943" s="4">
        <v>3.1305117812760101E-6</v>
      </c>
      <c r="G1943" s="4">
        <v>3.56003724493662E-5</v>
      </c>
      <c r="H1943" s="3" t="str">
        <f>"PTP4A3"</f>
        <v>PTP4A3</v>
      </c>
      <c r="I1943" s="3" t="str">
        <f t="shared" si="81"/>
        <v>protein_coding</v>
      </c>
    </row>
    <row r="1944" spans="1:9" x14ac:dyDescent="0.2">
      <c r="A1944" s="3" t="str">
        <f>"ENSG00000171045.15"</f>
        <v>ENSG00000171045.15</v>
      </c>
      <c r="B1944" s="3">
        <v>392.09503529533299</v>
      </c>
      <c r="C1944" s="3">
        <v>1.73336940282612</v>
      </c>
      <c r="D1944" s="3">
        <v>0.32373544825720502</v>
      </c>
      <c r="E1944" s="3">
        <v>5.3542774266998903</v>
      </c>
      <c r="F1944" s="4">
        <v>8.5898981936505598E-8</v>
      </c>
      <c r="G1944" s="4">
        <v>1.2993318644695099E-6</v>
      </c>
      <c r="H1944" s="3" t="str">
        <f>"TSNARE1"</f>
        <v>TSNARE1</v>
      </c>
      <c r="I1944" s="3" t="str">
        <f t="shared" si="81"/>
        <v>protein_coding</v>
      </c>
    </row>
    <row r="1945" spans="1:9" x14ac:dyDescent="0.2">
      <c r="A1945" s="3" t="str">
        <f>"ENSG00000181790.11"</f>
        <v>ENSG00000181790.11</v>
      </c>
      <c r="B1945" s="3">
        <v>23.983683101746902</v>
      </c>
      <c r="C1945" s="3">
        <v>4.00720916245269</v>
      </c>
      <c r="D1945" s="3">
        <v>0.90170864656188199</v>
      </c>
      <c r="E1945" s="3">
        <v>4.4440176743693698</v>
      </c>
      <c r="F1945" s="4">
        <v>8.8294346470449195E-6</v>
      </c>
      <c r="G1945" s="4">
        <v>9.1740780068738106E-5</v>
      </c>
      <c r="H1945" s="3" t="str">
        <f>"ADGRB1"</f>
        <v>ADGRB1</v>
      </c>
      <c r="I1945" s="3" t="str">
        <f t="shared" si="81"/>
        <v>protein_coding</v>
      </c>
    </row>
    <row r="1946" spans="1:9" x14ac:dyDescent="0.2">
      <c r="A1946" s="3" t="str">
        <f>"ENSG00000232722.3"</f>
        <v>ENSG00000232722.3</v>
      </c>
      <c r="B1946" s="3">
        <v>7.8778705286311697</v>
      </c>
      <c r="C1946" s="3">
        <v>5.0273717575508403</v>
      </c>
      <c r="D1946" s="3">
        <v>1.7988436908235701</v>
      </c>
      <c r="E1946" s="3">
        <v>2.7947796593983898</v>
      </c>
      <c r="F1946" s="3">
        <v>5.19350993384803E-3</v>
      </c>
      <c r="G1946" s="3">
        <v>2.4455773565321502E-2</v>
      </c>
      <c r="H1946" s="3" t="str">
        <f>"MROH4P"</f>
        <v>MROH4P</v>
      </c>
      <c r="I1946" s="3" t="str">
        <f>"transcribed_unitary_pseudogene"</f>
        <v>transcribed_unitary_pseudogene</v>
      </c>
    </row>
    <row r="1947" spans="1:9" x14ac:dyDescent="0.2">
      <c r="A1947" s="3" t="str">
        <f>"ENSG00000198576.4"</f>
        <v>ENSG00000198576.4</v>
      </c>
      <c r="B1947" s="3">
        <v>92.147504905481696</v>
      </c>
      <c r="C1947" s="3">
        <v>4.6782332015509498</v>
      </c>
      <c r="D1947" s="3">
        <v>0.59169687583966801</v>
      </c>
      <c r="E1947" s="3">
        <v>7.9064693301145903</v>
      </c>
      <c r="F1947" s="4">
        <v>2.6479149838821699E-15</v>
      </c>
      <c r="G1947" s="4">
        <v>9.9267215230336598E-14</v>
      </c>
      <c r="H1947" s="3" t="str">
        <f>"ARC"</f>
        <v>ARC</v>
      </c>
      <c r="I1947" s="3" t="str">
        <f>"protein_coding"</f>
        <v>protein_coding</v>
      </c>
    </row>
    <row r="1948" spans="1:9" x14ac:dyDescent="0.2">
      <c r="A1948" s="3" t="str">
        <f>"ENSG00000253196.1"</f>
        <v>ENSG00000253196.1</v>
      </c>
      <c r="B1948" s="3">
        <v>13.403825858704</v>
      </c>
      <c r="C1948" s="3">
        <v>-2.7246837220833799</v>
      </c>
      <c r="D1948" s="3">
        <v>1.04318407821575</v>
      </c>
      <c r="E1948" s="3">
        <v>-2.6118915913130598</v>
      </c>
      <c r="F1948" s="3">
        <v>9.0042801696987498E-3</v>
      </c>
      <c r="G1948" s="3">
        <v>3.8752827303854598E-2</v>
      </c>
      <c r="H1948" s="3" t="str">
        <f>"AC083841.1"</f>
        <v>AC083841.1</v>
      </c>
      <c r="I1948" s="3" t="str">
        <f>"antisense"</f>
        <v>antisense</v>
      </c>
    </row>
    <row r="1949" spans="1:9" x14ac:dyDescent="0.2">
      <c r="A1949" s="3" t="str">
        <f>"ENSG00000180155.20"</f>
        <v>ENSG00000180155.20</v>
      </c>
      <c r="B1949" s="3">
        <v>402.44529846934398</v>
      </c>
      <c r="C1949" s="3">
        <v>3.4743432976975401</v>
      </c>
      <c r="D1949" s="3">
        <v>0.34002988414705299</v>
      </c>
      <c r="E1949" s="3">
        <v>10.217758672631801</v>
      </c>
      <c r="F1949" s="4">
        <v>1.6511439973533601E-24</v>
      </c>
      <c r="G1949" s="4">
        <v>1.23614664444714E-22</v>
      </c>
      <c r="H1949" s="3" t="str">
        <f>"LYNX1"</f>
        <v>LYNX1</v>
      </c>
      <c r="I1949" s="3" t="str">
        <f>"protein_coding"</f>
        <v>protein_coding</v>
      </c>
    </row>
    <row r="1950" spans="1:9" x14ac:dyDescent="0.2">
      <c r="A1950" s="3" t="str">
        <f>"ENSG00000167656.5"</f>
        <v>ENSG00000167656.5</v>
      </c>
      <c r="B1950" s="3">
        <v>98.908645889401498</v>
      </c>
      <c r="C1950" s="3">
        <v>5.0999371287120798</v>
      </c>
      <c r="D1950" s="3">
        <v>0.59333777543376998</v>
      </c>
      <c r="E1950" s="3">
        <v>8.5953353045551193</v>
      </c>
      <c r="F1950" s="4">
        <v>8.3022017482758604E-18</v>
      </c>
      <c r="G1950" s="4">
        <v>3.83196119225466E-16</v>
      </c>
      <c r="H1950" s="3" t="str">
        <f>"LY6D"</f>
        <v>LY6D</v>
      </c>
      <c r="I1950" s="3" t="str">
        <f>"protein_coding"</f>
        <v>protein_coding</v>
      </c>
    </row>
    <row r="1951" spans="1:9" x14ac:dyDescent="0.2">
      <c r="A1951" s="3" t="str">
        <f>"ENSG00000160882.11"</f>
        <v>ENSG00000160882.11</v>
      </c>
      <c r="B1951" s="3">
        <v>30.810068395029699</v>
      </c>
      <c r="C1951" s="3">
        <v>4.4000628898444498</v>
      </c>
      <c r="D1951" s="3">
        <v>0.85402978274832297</v>
      </c>
      <c r="E1951" s="3">
        <v>5.15211878874383</v>
      </c>
      <c r="F1951" s="4">
        <v>2.5755979825772099E-7</v>
      </c>
      <c r="G1951" s="4">
        <v>3.59540328810931E-6</v>
      </c>
      <c r="H1951" s="3" t="str">
        <f>"CYP11B1"</f>
        <v>CYP11B1</v>
      </c>
      <c r="I1951" s="3" t="str">
        <f>"protein_coding"</f>
        <v>protein_coding</v>
      </c>
    </row>
    <row r="1952" spans="1:9" x14ac:dyDescent="0.2">
      <c r="A1952" s="3" t="str">
        <f>"ENSG00000250571.7"</f>
        <v>ENSG00000250571.7</v>
      </c>
      <c r="B1952" s="3">
        <v>250.26700352815499</v>
      </c>
      <c r="C1952" s="3">
        <v>1.6300492643968001</v>
      </c>
      <c r="D1952" s="3">
        <v>0.370637319989786</v>
      </c>
      <c r="E1952" s="3">
        <v>4.3979631205020597</v>
      </c>
      <c r="F1952" s="4">
        <v>1.09271540511755E-5</v>
      </c>
      <c r="G1952" s="3">
        <v>1.1075231240717E-4</v>
      </c>
      <c r="H1952" s="3" t="str">
        <f>"GLI4"</f>
        <v>GLI4</v>
      </c>
      <c r="I1952" s="3" t="str">
        <f>"protein_coding"</f>
        <v>protein_coding</v>
      </c>
    </row>
    <row r="1953" spans="1:9" x14ac:dyDescent="0.2">
      <c r="A1953" s="3" t="str">
        <f>"ENSG00000253716.5"</f>
        <v>ENSG00000253716.5</v>
      </c>
      <c r="B1953" s="3">
        <v>200.875564940385</v>
      </c>
      <c r="C1953" s="3">
        <v>2.29140072755734</v>
      </c>
      <c r="D1953" s="3">
        <v>0.33926347258467499</v>
      </c>
      <c r="E1953" s="3">
        <v>6.7540449023301399</v>
      </c>
      <c r="F1953" s="4">
        <v>1.43779220317256E-11</v>
      </c>
      <c r="G1953" s="4">
        <v>3.6276492347849299E-10</v>
      </c>
      <c r="H1953" s="3" t="str">
        <f>"MINCR"</f>
        <v>MINCR</v>
      </c>
      <c r="I1953" s="3" t="str">
        <f>"antisense"</f>
        <v>antisense</v>
      </c>
    </row>
    <row r="1954" spans="1:9" x14ac:dyDescent="0.2">
      <c r="A1954" s="3" t="str">
        <f>"ENSG00000272172.1"</f>
        <v>ENSG00000272172.1</v>
      </c>
      <c r="B1954" s="3">
        <v>29.419196270415501</v>
      </c>
      <c r="C1954" s="3">
        <v>1.6596072678018099</v>
      </c>
      <c r="D1954" s="3">
        <v>0.64829720004495694</v>
      </c>
      <c r="E1954" s="3">
        <v>2.55994822696554</v>
      </c>
      <c r="F1954" s="3">
        <v>1.0468775794523899E-2</v>
      </c>
      <c r="G1954" s="3">
        <v>4.3890342518541299E-2</v>
      </c>
      <c r="H1954" s="3" t="str">
        <f>"AC138696.2"</f>
        <v>AC138696.2</v>
      </c>
      <c r="I1954" s="3" t="str">
        <f>"antisense"</f>
        <v>antisense</v>
      </c>
    </row>
    <row r="1955" spans="1:9" x14ac:dyDescent="0.2">
      <c r="A1955" s="3" t="str">
        <f>"ENSG00000158106.14"</f>
        <v>ENSG00000158106.14</v>
      </c>
      <c r="B1955" s="3">
        <v>56.836949512464102</v>
      </c>
      <c r="C1955" s="3">
        <v>1.5423350880607301</v>
      </c>
      <c r="D1955" s="3">
        <v>0.53243454727531203</v>
      </c>
      <c r="E1955" s="3">
        <v>2.89675997914392</v>
      </c>
      <c r="F1955" s="3">
        <v>3.77038097559825E-3</v>
      </c>
      <c r="G1955" s="3">
        <v>1.8729054786961699E-2</v>
      </c>
      <c r="H1955" s="3" t="str">
        <f>"RHPN1"</f>
        <v>RHPN1</v>
      </c>
      <c r="I1955" s="3" t="str">
        <f>"protein_coding"</f>
        <v>protein_coding</v>
      </c>
    </row>
    <row r="1956" spans="1:9" x14ac:dyDescent="0.2">
      <c r="A1956" s="3" t="str">
        <f>"ENSG00000253931.1"</f>
        <v>ENSG00000253931.1</v>
      </c>
      <c r="B1956" s="3">
        <v>50.381092951203101</v>
      </c>
      <c r="C1956" s="3">
        <v>2.1857375970436301</v>
      </c>
      <c r="D1956" s="3">
        <v>0.54904457284752595</v>
      </c>
      <c r="E1956" s="3">
        <v>3.9809838857119999</v>
      </c>
      <c r="F1956" s="4">
        <v>6.8630602329090805E-5</v>
      </c>
      <c r="G1956" s="3">
        <v>5.8245708555609897E-4</v>
      </c>
      <c r="H1956" s="3" t="str">
        <f>"AC105118.1"</f>
        <v>AC105118.1</v>
      </c>
      <c r="I1956" s="3" t="str">
        <f>"antisense"</f>
        <v>antisense</v>
      </c>
    </row>
    <row r="1957" spans="1:9" x14ac:dyDescent="0.2">
      <c r="A1957" s="3" t="str">
        <f>"ENSG00000182759.3"</f>
        <v>ENSG00000182759.3</v>
      </c>
      <c r="B1957" s="3">
        <v>132.98373037958299</v>
      </c>
      <c r="C1957" s="3">
        <v>1.80208080636336</v>
      </c>
      <c r="D1957" s="3">
        <v>0.384435843343438</v>
      </c>
      <c r="E1957" s="3">
        <v>4.6875983016845399</v>
      </c>
      <c r="F1957" s="4">
        <v>2.76429931487046E-6</v>
      </c>
      <c r="G1957" s="4">
        <v>3.1708139199984698E-5</v>
      </c>
      <c r="H1957" s="3" t="str">
        <f>"MAFA"</f>
        <v>MAFA</v>
      </c>
      <c r="I1957" s="3" t="str">
        <f>"protein_coding"</f>
        <v>protein_coding</v>
      </c>
    </row>
    <row r="1958" spans="1:9" x14ac:dyDescent="0.2">
      <c r="A1958" s="3" t="str">
        <f>"ENSG00000014164.7"</f>
        <v>ENSG00000014164.7</v>
      </c>
      <c r="B1958" s="3">
        <v>729.98684413336696</v>
      </c>
      <c r="C1958" s="3">
        <v>1.19793377613851</v>
      </c>
      <c r="D1958" s="3">
        <v>0.31063007271903198</v>
      </c>
      <c r="E1958" s="3">
        <v>3.8564642684227799</v>
      </c>
      <c r="F1958" s="3">
        <v>1.15038904665302E-4</v>
      </c>
      <c r="G1958" s="3">
        <v>9.1983586994776902E-4</v>
      </c>
      <c r="H1958" s="3" t="str">
        <f>"ZC3H3"</f>
        <v>ZC3H3</v>
      </c>
      <c r="I1958" s="3" t="str">
        <f>"protein_coding"</f>
        <v>protein_coding</v>
      </c>
    </row>
    <row r="1959" spans="1:9" x14ac:dyDescent="0.2">
      <c r="A1959" s="3" t="str">
        <f>"ENSG00000179886.5"</f>
        <v>ENSG00000179886.5</v>
      </c>
      <c r="B1959" s="3">
        <v>158.011751572008</v>
      </c>
      <c r="C1959" s="3">
        <v>1.2436008603144799</v>
      </c>
      <c r="D1959" s="3">
        <v>0.36851553201618398</v>
      </c>
      <c r="E1959" s="3">
        <v>3.37462264754654</v>
      </c>
      <c r="F1959" s="3">
        <v>7.3916970231290501E-4</v>
      </c>
      <c r="G1959" s="3">
        <v>4.7192420968733802E-3</v>
      </c>
      <c r="H1959" s="3" t="str">
        <f>"TIGD5"</f>
        <v>TIGD5</v>
      </c>
      <c r="I1959" s="3" t="str">
        <f>"protein_coding"</f>
        <v>protein_coding</v>
      </c>
    </row>
    <row r="1960" spans="1:9" x14ac:dyDescent="0.2">
      <c r="A1960" s="3" t="str">
        <f>"ENSG00000104524.14"</f>
        <v>ENSG00000104524.14</v>
      </c>
      <c r="B1960" s="3">
        <v>164.343149448243</v>
      </c>
      <c r="C1960" s="3">
        <v>1.24954090040083</v>
      </c>
      <c r="D1960" s="3">
        <v>0.382718245947824</v>
      </c>
      <c r="E1960" s="3">
        <v>3.2649107107665301</v>
      </c>
      <c r="F1960" s="3">
        <v>1.09498588055816E-3</v>
      </c>
      <c r="G1960" s="3">
        <v>6.5942949067370003E-3</v>
      </c>
      <c r="H1960" s="3" t="str">
        <f>"PYCR3"</f>
        <v>PYCR3</v>
      </c>
      <c r="I1960" s="3" t="str">
        <f>"protein_coding"</f>
        <v>protein_coding</v>
      </c>
    </row>
    <row r="1961" spans="1:9" x14ac:dyDescent="0.2">
      <c r="A1961" s="3" t="str">
        <f>"ENSG00000180921.7"</f>
        <v>ENSG00000180921.7</v>
      </c>
      <c r="B1961" s="3">
        <v>3814.0748811947501</v>
      </c>
      <c r="C1961" s="3">
        <v>1.6619905051714701</v>
      </c>
      <c r="D1961" s="3">
        <v>0.27791144179439398</v>
      </c>
      <c r="E1961" s="3">
        <v>5.98028816100725</v>
      </c>
      <c r="F1961" s="4">
        <v>2.2274322751905902E-9</v>
      </c>
      <c r="G1961" s="4">
        <v>4.2902801594501803E-8</v>
      </c>
      <c r="H1961" s="3" t="str">
        <f>"FAM83H"</f>
        <v>FAM83H</v>
      </c>
      <c r="I1961" s="3" t="str">
        <f>"protein_coding"</f>
        <v>protein_coding</v>
      </c>
    </row>
    <row r="1962" spans="1:9" x14ac:dyDescent="0.2">
      <c r="A1962" s="3" t="str">
        <f>"ENSG00000265660.1"</f>
        <v>ENSG00000265660.1</v>
      </c>
      <c r="B1962" s="3">
        <v>99.153389619377194</v>
      </c>
      <c r="C1962" s="3">
        <v>1.4711643814684701</v>
      </c>
      <c r="D1962" s="3">
        <v>0.41912547600017103</v>
      </c>
      <c r="E1962" s="3">
        <v>3.5100810275438099</v>
      </c>
      <c r="F1962" s="3">
        <v>4.4797016172962802E-4</v>
      </c>
      <c r="G1962" s="3">
        <v>3.03902087872405E-3</v>
      </c>
      <c r="H1962" s="3" t="str">
        <f>"MIR4664"</f>
        <v>MIR4664</v>
      </c>
      <c r="I1962" s="3" t="str">
        <f>"miRNA"</f>
        <v>miRNA</v>
      </c>
    </row>
    <row r="1963" spans="1:9" x14ac:dyDescent="0.2">
      <c r="A1963" s="3" t="str">
        <f>"ENSG00000203499.11"</f>
        <v>ENSG00000203499.11</v>
      </c>
      <c r="B1963" s="3">
        <v>125.985114067564</v>
      </c>
      <c r="C1963" s="3">
        <v>1.81159826223251</v>
      </c>
      <c r="D1963" s="3">
        <v>0.41223445669061498</v>
      </c>
      <c r="E1963" s="3">
        <v>4.3945823373811903</v>
      </c>
      <c r="F1963" s="4">
        <v>1.1098593194636399E-5</v>
      </c>
      <c r="G1963" s="3">
        <v>1.12167582085608E-4</v>
      </c>
      <c r="H1963" s="3" t="str">
        <f>"IQANK1"</f>
        <v>IQANK1</v>
      </c>
      <c r="I1963" s="3" t="str">
        <f t="shared" ref="I1963:I1976" si="82">"protein_coding"</f>
        <v>protein_coding</v>
      </c>
    </row>
    <row r="1964" spans="1:9" x14ac:dyDescent="0.2">
      <c r="A1964" s="3" t="str">
        <f>"ENSG00000180900.19"</f>
        <v>ENSG00000180900.19</v>
      </c>
      <c r="B1964" s="3">
        <v>3125.68793297195</v>
      </c>
      <c r="C1964" s="3">
        <v>1.7332038170886199</v>
      </c>
      <c r="D1964" s="3">
        <v>0.285846834032432</v>
      </c>
      <c r="E1964" s="3">
        <v>6.0634004324566702</v>
      </c>
      <c r="F1964" s="4">
        <v>1.3327329943664901E-9</v>
      </c>
      <c r="G1964" s="4">
        <v>2.66705636223461E-8</v>
      </c>
      <c r="H1964" s="3" t="str">
        <f>"SCRIB"</f>
        <v>SCRIB</v>
      </c>
      <c r="I1964" s="3" t="str">
        <f t="shared" si="82"/>
        <v>protein_coding</v>
      </c>
    </row>
    <row r="1965" spans="1:9" x14ac:dyDescent="0.2">
      <c r="A1965" s="3" t="str">
        <f>"ENSG00000261150.2"</f>
        <v>ENSG00000261150.2</v>
      </c>
      <c r="B1965" s="3">
        <v>9242.5311943359593</v>
      </c>
      <c r="C1965" s="3">
        <v>4.9613169395140098</v>
      </c>
      <c r="D1965" s="3">
        <v>0.28969947448373401</v>
      </c>
      <c r="E1965" s="3">
        <v>17.125736759983599</v>
      </c>
      <c r="F1965" s="4">
        <v>9.53940957753007E-66</v>
      </c>
      <c r="G1965" s="4">
        <v>4.2850687129065898E-63</v>
      </c>
      <c r="H1965" s="3" t="str">
        <f>"EPPK1"</f>
        <v>EPPK1</v>
      </c>
      <c r="I1965" s="3" t="str">
        <f t="shared" si="82"/>
        <v>protein_coding</v>
      </c>
    </row>
    <row r="1966" spans="1:9" x14ac:dyDescent="0.2">
      <c r="A1966" s="3" t="str">
        <f>"ENSG00000178209.15"</f>
        <v>ENSG00000178209.15</v>
      </c>
      <c r="B1966" s="3">
        <v>10988.5053037948</v>
      </c>
      <c r="C1966" s="3">
        <v>1.58033795070856</v>
      </c>
      <c r="D1966" s="3">
        <v>0.25501050362111399</v>
      </c>
      <c r="E1966" s="3">
        <v>6.1971484635651501</v>
      </c>
      <c r="F1966" s="4">
        <v>5.74952640476816E-10</v>
      </c>
      <c r="G1966" s="4">
        <v>1.21130097748696E-8</v>
      </c>
      <c r="H1966" s="3" t="str">
        <f>"PLEC"</f>
        <v>PLEC</v>
      </c>
      <c r="I1966" s="3" t="str">
        <f t="shared" si="82"/>
        <v>protein_coding</v>
      </c>
    </row>
    <row r="1967" spans="1:9" x14ac:dyDescent="0.2">
      <c r="A1967" s="3" t="str">
        <f>"ENSG00000178814.17"</f>
        <v>ENSG00000178814.17</v>
      </c>
      <c r="B1967" s="3">
        <v>1390.84934375588</v>
      </c>
      <c r="C1967" s="3">
        <v>1.2572737194702901</v>
      </c>
      <c r="D1967" s="3">
        <v>0.33655719919217703</v>
      </c>
      <c r="E1967" s="3">
        <v>3.7356910578292899</v>
      </c>
      <c r="F1967" s="3">
        <v>1.8720038407003199E-4</v>
      </c>
      <c r="G1967" s="3">
        <v>1.40904418350738E-3</v>
      </c>
      <c r="H1967" s="3" t="str">
        <f>"OPLAH"</f>
        <v>OPLAH</v>
      </c>
      <c r="I1967" s="3" t="str">
        <f t="shared" si="82"/>
        <v>protein_coding</v>
      </c>
    </row>
    <row r="1968" spans="1:9" x14ac:dyDescent="0.2">
      <c r="A1968" s="3" t="str">
        <f>"ENSG00000197858.11"</f>
        <v>ENSG00000197858.11</v>
      </c>
      <c r="B1968" s="3">
        <v>2556.15422414161</v>
      </c>
      <c r="C1968" s="3">
        <v>1.5247362428634601</v>
      </c>
      <c r="D1968" s="3">
        <v>0.29557623707265002</v>
      </c>
      <c r="E1968" s="3">
        <v>5.1585210569166904</v>
      </c>
      <c r="F1968" s="4">
        <v>2.4890811875740302E-7</v>
      </c>
      <c r="G1968" s="4">
        <v>3.4842981231733299E-6</v>
      </c>
      <c r="H1968" s="3" t="str">
        <f>"GPAA1"</f>
        <v>GPAA1</v>
      </c>
      <c r="I1968" s="3" t="str">
        <f t="shared" si="82"/>
        <v>protein_coding</v>
      </c>
    </row>
    <row r="1969" spans="1:9" x14ac:dyDescent="0.2">
      <c r="A1969" s="3" t="str">
        <f>"ENSG00000179832.17"</f>
        <v>ENSG00000179832.17</v>
      </c>
      <c r="B1969" s="3">
        <v>776.43448566754398</v>
      </c>
      <c r="C1969" s="3">
        <v>1.58094572095999</v>
      </c>
      <c r="D1969" s="3">
        <v>0.32382496982827202</v>
      </c>
      <c r="E1969" s="3">
        <v>4.8820994928166996</v>
      </c>
      <c r="F1969" s="4">
        <v>1.0496227096065899E-6</v>
      </c>
      <c r="G1969" s="4">
        <v>1.30773943834343E-5</v>
      </c>
      <c r="H1969" s="3" t="str">
        <f>"MROH1"</f>
        <v>MROH1</v>
      </c>
      <c r="I1969" s="3" t="str">
        <f t="shared" si="82"/>
        <v>protein_coding</v>
      </c>
    </row>
    <row r="1970" spans="1:9" x14ac:dyDescent="0.2">
      <c r="A1970" s="3" t="str">
        <f>"ENSG00000173137.12"</f>
        <v>ENSG00000173137.12</v>
      </c>
      <c r="B1970" s="3">
        <v>431.05734847708902</v>
      </c>
      <c r="C1970" s="3">
        <v>1.5791295790656801</v>
      </c>
      <c r="D1970" s="3">
        <v>0.32638764214696098</v>
      </c>
      <c r="E1970" s="3">
        <v>4.83820272323499</v>
      </c>
      <c r="F1970" s="4">
        <v>1.31018473037795E-6</v>
      </c>
      <c r="G1970" s="4">
        <v>1.5913904825039799E-5</v>
      </c>
      <c r="H1970" s="3" t="str">
        <f>"ADCK5"</f>
        <v>ADCK5</v>
      </c>
      <c r="I1970" s="3" t="str">
        <f t="shared" si="82"/>
        <v>protein_coding</v>
      </c>
    </row>
    <row r="1971" spans="1:9" x14ac:dyDescent="0.2">
      <c r="A1971" s="3" t="str">
        <f>"ENSG00000147804.9"</f>
        <v>ENSG00000147804.9</v>
      </c>
      <c r="B1971" s="3">
        <v>1075.85496957534</v>
      </c>
      <c r="C1971" s="3">
        <v>1.80070141731164</v>
      </c>
      <c r="D1971" s="3">
        <v>0.33265225625846101</v>
      </c>
      <c r="E1971" s="3">
        <v>5.4131645988673203</v>
      </c>
      <c r="F1971" s="4">
        <v>6.1920521723820701E-8</v>
      </c>
      <c r="G1971" s="4">
        <v>9.5558940120411693E-7</v>
      </c>
      <c r="H1971" s="3" t="str">
        <f>"SLC39A4"</f>
        <v>SLC39A4</v>
      </c>
      <c r="I1971" s="3" t="str">
        <f t="shared" si="82"/>
        <v>protein_coding</v>
      </c>
    </row>
    <row r="1972" spans="1:9" x14ac:dyDescent="0.2">
      <c r="A1972" s="3" t="str">
        <f>"ENSG00000187954.12"</f>
        <v>ENSG00000187954.12</v>
      </c>
      <c r="B1972" s="3">
        <v>891.99223644599397</v>
      </c>
      <c r="C1972" s="3">
        <v>2.2589662195264899</v>
      </c>
      <c r="D1972" s="3">
        <v>0.32656922356872298</v>
      </c>
      <c r="E1972" s="3">
        <v>6.9172661000956701</v>
      </c>
      <c r="F1972" s="4">
        <v>4.6044272179541301E-12</v>
      </c>
      <c r="G1972" s="4">
        <v>1.2414187209821699E-10</v>
      </c>
      <c r="H1972" s="3" t="str">
        <f>"CYHR1"</f>
        <v>CYHR1</v>
      </c>
      <c r="I1972" s="3" t="str">
        <f t="shared" si="82"/>
        <v>protein_coding</v>
      </c>
    </row>
    <row r="1973" spans="1:9" x14ac:dyDescent="0.2">
      <c r="A1973" s="3" t="str">
        <f>"ENSG00000167702.12"</f>
        <v>ENSG00000167702.12</v>
      </c>
      <c r="B1973" s="3">
        <v>322.48451172524801</v>
      </c>
      <c r="C1973" s="3">
        <v>1.41396328980675</v>
      </c>
      <c r="D1973" s="3">
        <v>0.35453425514084802</v>
      </c>
      <c r="E1973" s="3">
        <v>3.9882275670231402</v>
      </c>
      <c r="F1973" s="4">
        <v>6.6568791582530403E-5</v>
      </c>
      <c r="G1973" s="3">
        <v>5.66679510070576E-4</v>
      </c>
      <c r="H1973" s="3" t="str">
        <f>"KIFC2"</f>
        <v>KIFC2</v>
      </c>
      <c r="I1973" s="3" t="str">
        <f t="shared" si="82"/>
        <v>protein_coding</v>
      </c>
    </row>
    <row r="1974" spans="1:9" x14ac:dyDescent="0.2">
      <c r="A1974" s="3" t="str">
        <f>"ENSG00000167700.9"</f>
        <v>ENSG00000167700.9</v>
      </c>
      <c r="B1974" s="3">
        <v>257.22077515185998</v>
      </c>
      <c r="C1974" s="3">
        <v>1.6062802863059999</v>
      </c>
      <c r="D1974" s="3">
        <v>0.33390383275060098</v>
      </c>
      <c r="E1974" s="3">
        <v>4.8106075125701402</v>
      </c>
      <c r="F1974" s="4">
        <v>1.50472237649786E-6</v>
      </c>
      <c r="G1974" s="4">
        <v>1.8084706823126499E-5</v>
      </c>
      <c r="H1974" s="3" t="str">
        <f>"MFSD3"</f>
        <v>MFSD3</v>
      </c>
      <c r="I1974" s="3" t="str">
        <f t="shared" si="82"/>
        <v>protein_coding</v>
      </c>
    </row>
    <row r="1975" spans="1:9" x14ac:dyDescent="0.2">
      <c r="A1975" s="3" t="str">
        <f>"ENSG00000107099.15"</f>
        <v>ENSG00000107099.15</v>
      </c>
      <c r="B1975" s="3">
        <v>641.68041038237698</v>
      </c>
      <c r="C1975" s="3">
        <v>2.2371892617356099</v>
      </c>
      <c r="D1975" s="3">
        <v>0.26876968279982</v>
      </c>
      <c r="E1975" s="3">
        <v>8.3238155376396108</v>
      </c>
      <c r="F1975" s="4">
        <v>8.5176123497197794E-17</v>
      </c>
      <c r="G1975" s="4">
        <v>3.7069297345536504E-15</v>
      </c>
      <c r="H1975" s="3" t="str">
        <f>"DOCK8"</f>
        <v>DOCK8</v>
      </c>
      <c r="I1975" s="3" t="str">
        <f t="shared" si="82"/>
        <v>protein_coding</v>
      </c>
    </row>
    <row r="1976" spans="1:9" x14ac:dyDescent="0.2">
      <c r="A1976" s="3" t="str">
        <f>"ENSG00000107249.23"</f>
        <v>ENSG00000107249.23</v>
      </c>
      <c r="B1976" s="3">
        <v>204.30363750526399</v>
      </c>
      <c r="C1976" s="3">
        <v>2.8395829070393899</v>
      </c>
      <c r="D1976" s="3">
        <v>0.34872640794854998</v>
      </c>
      <c r="E1976" s="3">
        <v>8.1427240447426303</v>
      </c>
      <c r="F1976" s="4">
        <v>3.8648244094566902E-16</v>
      </c>
      <c r="G1976" s="4">
        <v>1.56805900032069E-14</v>
      </c>
      <c r="H1976" s="3" t="str">
        <f>"GLIS3"</f>
        <v>GLIS3</v>
      </c>
      <c r="I1976" s="3" t="str">
        <f t="shared" si="82"/>
        <v>protein_coding</v>
      </c>
    </row>
    <row r="1977" spans="1:9" x14ac:dyDescent="0.2">
      <c r="A1977" s="3" t="str">
        <f>"ENSG00000230001.1"</f>
        <v>ENSG00000230001.1</v>
      </c>
      <c r="B1977" s="3">
        <v>15.8409147871863</v>
      </c>
      <c r="C1977" s="3">
        <v>3.5644819667282599</v>
      </c>
      <c r="D1977" s="3">
        <v>1.07570543465455</v>
      </c>
      <c r="E1977" s="3">
        <v>3.3136227185400098</v>
      </c>
      <c r="F1977" s="3">
        <v>9.2095682935287805E-4</v>
      </c>
      <c r="G1977" s="3">
        <v>5.6894565429677297E-3</v>
      </c>
      <c r="H1977" s="3" t="str">
        <f>"AL359095.1"</f>
        <v>AL359095.1</v>
      </c>
      <c r="I1977" s="3" t="str">
        <f>"sense_intronic"</f>
        <v>sense_intronic</v>
      </c>
    </row>
    <row r="1978" spans="1:9" x14ac:dyDescent="0.2">
      <c r="A1978" s="3" t="str">
        <f>"ENSG00000106686.16"</f>
        <v>ENSG00000106686.16</v>
      </c>
      <c r="B1978" s="3">
        <v>216.94805032736701</v>
      </c>
      <c r="C1978" s="3">
        <v>1.28763155377427</v>
      </c>
      <c r="D1978" s="3">
        <v>0.31957927746241799</v>
      </c>
      <c r="E1978" s="3">
        <v>4.0291459571426396</v>
      </c>
      <c r="F1978" s="4">
        <v>5.5979855031387402E-5</v>
      </c>
      <c r="G1978" s="3">
        <v>4.8574448199880998E-4</v>
      </c>
      <c r="H1978" s="3" t="str">
        <f>"SPATA6L"</f>
        <v>SPATA6L</v>
      </c>
      <c r="I1978" s="3" t="str">
        <f>"protein_coding"</f>
        <v>protein_coding</v>
      </c>
    </row>
    <row r="1979" spans="1:9" x14ac:dyDescent="0.2">
      <c r="A1979" s="3" t="str">
        <f>"ENSG00000107036.12"</f>
        <v>ENSG00000107036.12</v>
      </c>
      <c r="B1979" s="3">
        <v>2373.8829560368299</v>
      </c>
      <c r="C1979" s="3">
        <v>1.0436548445464799</v>
      </c>
      <c r="D1979" s="3">
        <v>0.24484322783134299</v>
      </c>
      <c r="E1979" s="3">
        <v>4.2625432354836699</v>
      </c>
      <c r="F1979" s="4">
        <v>2.02113377543934E-5</v>
      </c>
      <c r="G1979" s="3">
        <v>1.93167249700519E-4</v>
      </c>
      <c r="H1979" s="3" t="str">
        <f>"RIC1"</f>
        <v>RIC1</v>
      </c>
      <c r="I1979" s="3" t="str">
        <f>"protein_coding"</f>
        <v>protein_coding</v>
      </c>
    </row>
    <row r="1980" spans="1:9" x14ac:dyDescent="0.2">
      <c r="A1980" s="3" t="str">
        <f>"ENSG00000099219.14"</f>
        <v>ENSG00000099219.14</v>
      </c>
      <c r="B1980" s="3">
        <v>2353.2360266885498</v>
      </c>
      <c r="C1980" s="3">
        <v>-1.0057243097778601</v>
      </c>
      <c r="D1980" s="3">
        <v>0.266969738052724</v>
      </c>
      <c r="E1980" s="3">
        <v>-3.7671846895967098</v>
      </c>
      <c r="F1980" s="3">
        <v>1.65098863296692E-4</v>
      </c>
      <c r="G1980" s="3">
        <v>1.2585655294240501E-3</v>
      </c>
      <c r="H1980" s="3" t="str">
        <f>"ERMP1"</f>
        <v>ERMP1</v>
      </c>
      <c r="I1980" s="3" t="str">
        <f>"protein_coding"</f>
        <v>protein_coding</v>
      </c>
    </row>
    <row r="1981" spans="1:9" x14ac:dyDescent="0.2">
      <c r="A1981" s="3" t="str">
        <f>"ENSG00000137033.11"</f>
        <v>ENSG00000137033.11</v>
      </c>
      <c r="B1981" s="3">
        <v>225.65982801250601</v>
      </c>
      <c r="C1981" s="3">
        <v>5.3233714401888701</v>
      </c>
      <c r="D1981" s="3">
        <v>0.47661723790980698</v>
      </c>
      <c r="E1981" s="3">
        <v>11.1690703079359</v>
      </c>
      <c r="F1981" s="4">
        <v>5.7782488816478003E-29</v>
      </c>
      <c r="G1981" s="4">
        <v>5.5266863352794801E-27</v>
      </c>
      <c r="H1981" s="3" t="str">
        <f>"IL33"</f>
        <v>IL33</v>
      </c>
      <c r="I1981" s="3" t="str">
        <f>"protein_coding"</f>
        <v>protein_coding</v>
      </c>
    </row>
    <row r="1982" spans="1:9" x14ac:dyDescent="0.2">
      <c r="A1982" s="3" t="str">
        <f>"ENSG00000178445.9"</f>
        <v>ENSG00000178445.9</v>
      </c>
      <c r="B1982" s="3">
        <v>4747.9703674632301</v>
      </c>
      <c r="C1982" s="3">
        <v>-1.04683458805063</v>
      </c>
      <c r="D1982" s="3">
        <v>0.24136898008763899</v>
      </c>
      <c r="E1982" s="3">
        <v>-4.3370717632006297</v>
      </c>
      <c r="F1982" s="4">
        <v>1.44393491291711E-5</v>
      </c>
      <c r="G1982" s="3">
        <v>1.42495813002863E-4</v>
      </c>
      <c r="H1982" s="3" t="str">
        <f>"GLDC"</f>
        <v>GLDC</v>
      </c>
      <c r="I1982" s="3" t="str">
        <f>"protein_coding"</f>
        <v>protein_coding</v>
      </c>
    </row>
    <row r="1983" spans="1:9" x14ac:dyDescent="0.2">
      <c r="A1983" s="3" t="str">
        <f>"ENSG00000236924.1"</f>
        <v>ENSG00000236924.1</v>
      </c>
      <c r="B1983" s="3">
        <v>84.180330247467296</v>
      </c>
      <c r="C1983" s="3">
        <v>-1.86070258115638</v>
      </c>
      <c r="D1983" s="3">
        <v>0.43348430052653902</v>
      </c>
      <c r="E1983" s="3">
        <v>-4.2924336103896898</v>
      </c>
      <c r="F1983" s="4">
        <v>1.76725400328596E-5</v>
      </c>
      <c r="G1983" s="3">
        <v>1.7177463080625299E-4</v>
      </c>
      <c r="H1983" s="3" t="str">
        <f>"AL162411.1"</f>
        <v>AL162411.1</v>
      </c>
      <c r="I1983" s="3" t="str">
        <f>"lincRNA"</f>
        <v>lincRNA</v>
      </c>
    </row>
    <row r="1984" spans="1:9" x14ac:dyDescent="0.2">
      <c r="A1984" s="3" t="str">
        <f>"ENSG00000232946.1"</f>
        <v>ENSG00000232946.1</v>
      </c>
      <c r="B1984" s="3">
        <v>19.492003039418499</v>
      </c>
      <c r="C1984" s="3">
        <v>-2.1481111998431599</v>
      </c>
      <c r="D1984" s="3">
        <v>0.81007491254596498</v>
      </c>
      <c r="E1984" s="3">
        <v>-2.6517438900705002</v>
      </c>
      <c r="F1984" s="3">
        <v>8.0077256735180194E-3</v>
      </c>
      <c r="G1984" s="3">
        <v>3.5049731427766802E-2</v>
      </c>
      <c r="H1984" s="3" t="str">
        <f>"AL354707.3"</f>
        <v>AL354707.3</v>
      </c>
      <c r="I1984" s="3" t="str">
        <f>"processed_pseudogene"</f>
        <v>processed_pseudogene</v>
      </c>
    </row>
    <row r="1985" spans="1:9" x14ac:dyDescent="0.2">
      <c r="A1985" s="3" t="str">
        <f>"ENSG00000224972.1"</f>
        <v>ENSG00000224972.1</v>
      </c>
      <c r="B1985" s="3">
        <v>37.895170122158198</v>
      </c>
      <c r="C1985" s="3">
        <v>1.46287033291293</v>
      </c>
      <c r="D1985" s="3">
        <v>0.58191608239678305</v>
      </c>
      <c r="E1985" s="3">
        <v>2.51388538169918</v>
      </c>
      <c r="F1985" s="3">
        <v>1.1940923494250201E-2</v>
      </c>
      <c r="G1985" s="3">
        <v>4.8849232476478099E-2</v>
      </c>
      <c r="H1985" s="3" t="str">
        <f>"AL513412.1"</f>
        <v>AL513412.1</v>
      </c>
      <c r="I1985" s="3" t="str">
        <f>"sense_intronic"</f>
        <v>sense_intronic</v>
      </c>
    </row>
    <row r="1986" spans="1:9" x14ac:dyDescent="0.2">
      <c r="A1986" s="3" t="str">
        <f>"ENSG00000107165.12"</f>
        <v>ENSG00000107165.12</v>
      </c>
      <c r="B1986" s="3">
        <v>78.453531727765295</v>
      </c>
      <c r="C1986" s="3">
        <v>4.48513580256897</v>
      </c>
      <c r="D1986" s="3">
        <v>0.58683976081080902</v>
      </c>
      <c r="E1986" s="3">
        <v>7.6428628427836403</v>
      </c>
      <c r="F1986" s="4">
        <v>2.12444264026472E-14</v>
      </c>
      <c r="G1986" s="4">
        <v>7.2216695426836505E-13</v>
      </c>
      <c r="H1986" s="3" t="str">
        <f>"TYRP1"</f>
        <v>TYRP1</v>
      </c>
      <c r="I1986" s="3" t="str">
        <f t="shared" ref="I1986:I1991" si="83">"protein_coding"</f>
        <v>protein_coding</v>
      </c>
    </row>
    <row r="1987" spans="1:9" x14ac:dyDescent="0.2">
      <c r="A1987" s="3" t="str">
        <f>"ENSG00000153714.6"</f>
        <v>ENSG00000153714.6</v>
      </c>
      <c r="B1987" s="3">
        <v>325.60696465083601</v>
      </c>
      <c r="C1987" s="3">
        <v>-1.45542533620342</v>
      </c>
      <c r="D1987" s="3">
        <v>0.30696548357047698</v>
      </c>
      <c r="E1987" s="3">
        <v>-4.7413322151878603</v>
      </c>
      <c r="F1987" s="4">
        <v>2.1231745009344799E-6</v>
      </c>
      <c r="G1987" s="4">
        <v>2.4922283980871099E-5</v>
      </c>
      <c r="H1987" s="3" t="str">
        <f>"LURAP1L"</f>
        <v>LURAP1L</v>
      </c>
      <c r="I1987" s="3" t="str">
        <f t="shared" si="83"/>
        <v>protein_coding</v>
      </c>
    </row>
    <row r="1988" spans="1:9" x14ac:dyDescent="0.2">
      <c r="A1988" s="3" t="str">
        <f>"ENSG00000164946.19"</f>
        <v>ENSG00000164946.19</v>
      </c>
      <c r="B1988" s="3">
        <v>4628.1026688186603</v>
      </c>
      <c r="C1988" s="3">
        <v>-3.6968814055550698</v>
      </c>
      <c r="D1988" s="3">
        <v>0.25919737176575802</v>
      </c>
      <c r="E1988" s="3">
        <v>-14.262804365532</v>
      </c>
      <c r="F1988" s="4">
        <v>3.7315247373767301E-46</v>
      </c>
      <c r="G1988" s="4">
        <v>8.3067703335143204E-44</v>
      </c>
      <c r="H1988" s="3" t="str">
        <f>"FREM1"</f>
        <v>FREM1</v>
      </c>
      <c r="I1988" s="3" t="str">
        <f t="shared" si="83"/>
        <v>protein_coding</v>
      </c>
    </row>
    <row r="1989" spans="1:9" x14ac:dyDescent="0.2">
      <c r="A1989" s="3" t="str">
        <f>"ENSG00000155158.20"</f>
        <v>ENSG00000155158.20</v>
      </c>
      <c r="B1989" s="3">
        <v>1378.43063547055</v>
      </c>
      <c r="C1989" s="3">
        <v>-3.2149014196400301</v>
      </c>
      <c r="D1989" s="3">
        <v>0.26167353109749403</v>
      </c>
      <c r="E1989" s="3">
        <v>-12.285925160853299</v>
      </c>
      <c r="F1989" s="4">
        <v>1.0780461617978801E-34</v>
      </c>
      <c r="G1989" s="4">
        <v>1.3491667263694301E-32</v>
      </c>
      <c r="H1989" s="3" t="str">
        <f>"TTC39B"</f>
        <v>TTC39B</v>
      </c>
      <c r="I1989" s="3" t="str">
        <f t="shared" si="83"/>
        <v>protein_coding</v>
      </c>
    </row>
    <row r="1990" spans="1:9" x14ac:dyDescent="0.2">
      <c r="A1990" s="3" t="str">
        <f>"ENSG00000164985.15"</f>
        <v>ENSG00000164985.15</v>
      </c>
      <c r="B1990" s="3">
        <v>2464.7098492575801</v>
      </c>
      <c r="C1990" s="3">
        <v>-1.3733111535926299</v>
      </c>
      <c r="D1990" s="3">
        <v>0.27069140491326699</v>
      </c>
      <c r="E1990" s="3">
        <v>-5.0733459898095203</v>
      </c>
      <c r="F1990" s="4">
        <v>3.9088084952417599E-7</v>
      </c>
      <c r="G1990" s="4">
        <v>5.2863482633229304E-6</v>
      </c>
      <c r="H1990" s="3" t="str">
        <f>"PSIP1"</f>
        <v>PSIP1</v>
      </c>
      <c r="I1990" s="3" t="str">
        <f t="shared" si="83"/>
        <v>protein_coding</v>
      </c>
    </row>
    <row r="1991" spans="1:9" x14ac:dyDescent="0.2">
      <c r="A1991" s="3" t="str">
        <f>"ENSG00000147874.11"</f>
        <v>ENSG00000147874.11</v>
      </c>
      <c r="B1991" s="3">
        <v>3963.2865722368902</v>
      </c>
      <c r="C1991" s="3">
        <v>-1.3668918450334899</v>
      </c>
      <c r="D1991" s="3">
        <v>0.25700296563407099</v>
      </c>
      <c r="E1991" s="3">
        <v>-5.3185839379756796</v>
      </c>
      <c r="F1991" s="4">
        <v>1.04577972275379E-7</v>
      </c>
      <c r="G1991" s="4">
        <v>1.56122189471048E-6</v>
      </c>
      <c r="H1991" s="3" t="str">
        <f>"HAUS6"</f>
        <v>HAUS6</v>
      </c>
      <c r="I1991" s="3" t="str">
        <f t="shared" si="83"/>
        <v>protein_coding</v>
      </c>
    </row>
    <row r="1992" spans="1:9" x14ac:dyDescent="0.2">
      <c r="A1992" s="3" t="str">
        <f>"ENSG00000285911.1"</f>
        <v>ENSG00000285911.1</v>
      </c>
      <c r="B1992" s="3">
        <v>14.385100322482</v>
      </c>
      <c r="C1992" s="3">
        <v>7.3635440361004303</v>
      </c>
      <c r="D1992" s="3">
        <v>1.6760223825867899</v>
      </c>
      <c r="E1992" s="3">
        <v>4.3934640208894198</v>
      </c>
      <c r="F1992" s="4">
        <v>1.11558659325307E-5</v>
      </c>
      <c r="G1992" s="3">
        <v>1.12701127523216E-4</v>
      </c>
      <c r="H1992" s="3" t="str">
        <f>"AL391834.3"</f>
        <v>AL391834.3</v>
      </c>
      <c r="I1992" s="3" t="str">
        <f>"bidirectional_promoter_lncRNA"</f>
        <v>bidirectional_promoter_lncRNA</v>
      </c>
    </row>
    <row r="1993" spans="1:9" x14ac:dyDescent="0.2">
      <c r="A1993" s="3" t="str">
        <f>"ENSG00000177076.6"</f>
        <v>ENSG00000177076.6</v>
      </c>
      <c r="B1993" s="3">
        <v>1749.5585715632601</v>
      </c>
      <c r="C1993" s="3">
        <v>4.8438405675756098</v>
      </c>
      <c r="D1993" s="3">
        <v>0.26542716099729702</v>
      </c>
      <c r="E1993" s="3">
        <v>18.2492272055946</v>
      </c>
      <c r="F1993" s="4">
        <v>2.09856864288389E-74</v>
      </c>
      <c r="G1993" s="4">
        <v>1.28754863931083E-71</v>
      </c>
      <c r="H1993" s="3" t="str">
        <f>"ACER2"</f>
        <v>ACER2</v>
      </c>
      <c r="I1993" s="3" t="str">
        <f>"protein_coding"</f>
        <v>protein_coding</v>
      </c>
    </row>
    <row r="1994" spans="1:9" x14ac:dyDescent="0.2">
      <c r="A1994" s="3" t="str">
        <f>"ENSG00000260912.1"</f>
        <v>ENSG00000260912.1</v>
      </c>
      <c r="B1994" s="3">
        <v>988.69827699103598</v>
      </c>
      <c r="C1994" s="3">
        <v>4.7670036063807899</v>
      </c>
      <c r="D1994" s="3">
        <v>0.30938719142174098</v>
      </c>
      <c r="E1994" s="3">
        <v>15.407889332699099</v>
      </c>
      <c r="F1994" s="4">
        <v>1.4486662070507901E-53</v>
      </c>
      <c r="G1994" s="4">
        <v>4.0945166784677098E-51</v>
      </c>
      <c r="H1994" s="3" t="str">
        <f>"AL158206.1"</f>
        <v>AL158206.1</v>
      </c>
      <c r="I1994" s="3" t="str">
        <f>"sense_overlapping"</f>
        <v>sense_overlapping</v>
      </c>
    </row>
    <row r="1995" spans="1:9" x14ac:dyDescent="0.2">
      <c r="A1995" s="3" t="str">
        <f>"ENSG00000147889.17"</f>
        <v>ENSG00000147889.17</v>
      </c>
      <c r="B1995" s="3">
        <v>356.23992709602902</v>
      </c>
      <c r="C1995" s="3">
        <v>-4.0767367157907497</v>
      </c>
      <c r="D1995" s="3">
        <v>0.36656299962463601</v>
      </c>
      <c r="E1995" s="3">
        <v>-11.1215172288675</v>
      </c>
      <c r="F1995" s="4">
        <v>9.85810819404388E-29</v>
      </c>
      <c r="G1995" s="4">
        <v>9.3225831436531498E-27</v>
      </c>
      <c r="H1995" s="3" t="str">
        <f>"CDKN2A"</f>
        <v>CDKN2A</v>
      </c>
      <c r="I1995" s="3" t="str">
        <f>"protein_coding"</f>
        <v>protein_coding</v>
      </c>
    </row>
    <row r="1996" spans="1:9" x14ac:dyDescent="0.2">
      <c r="A1996" s="3" t="str">
        <f>"ENSG00000240498.8"</f>
        <v>ENSG00000240498.8</v>
      </c>
      <c r="B1996" s="3">
        <v>78.751248857779203</v>
      </c>
      <c r="C1996" s="3">
        <v>-3.0160424558607302</v>
      </c>
      <c r="D1996" s="3">
        <v>0.49689372807536902</v>
      </c>
      <c r="E1996" s="3">
        <v>-6.0697937716840196</v>
      </c>
      <c r="F1996" s="4">
        <v>1.2807460839370601E-9</v>
      </c>
      <c r="G1996" s="4">
        <v>2.57120253323518E-8</v>
      </c>
      <c r="H1996" s="3" t="str">
        <f>"CDKN2B-AS1"</f>
        <v>CDKN2B-AS1</v>
      </c>
      <c r="I1996" s="3" t="str">
        <f>"antisense"</f>
        <v>antisense</v>
      </c>
    </row>
    <row r="1997" spans="1:9" x14ac:dyDescent="0.2">
      <c r="A1997" s="3" t="str">
        <f>"ENSG00000235453.10"</f>
        <v>ENSG00000235453.10</v>
      </c>
      <c r="B1997" s="3">
        <v>94.578379286122598</v>
      </c>
      <c r="C1997" s="3">
        <v>-1.24542958974591</v>
      </c>
      <c r="D1997" s="3">
        <v>0.43860079921393402</v>
      </c>
      <c r="E1997" s="3">
        <v>-2.8395515739551498</v>
      </c>
      <c r="F1997" s="3">
        <v>4.5176991579751599E-3</v>
      </c>
      <c r="G1997" s="3">
        <v>2.1804052632169099E-2</v>
      </c>
      <c r="H1997" s="3" t="str">
        <f>"SMIM27"</f>
        <v>SMIM27</v>
      </c>
      <c r="I1997" s="3" t="str">
        <f>"protein_coding"</f>
        <v>protein_coding</v>
      </c>
    </row>
    <row r="1998" spans="1:9" x14ac:dyDescent="0.2">
      <c r="A1998" s="3" t="str">
        <f>"ENSG00000236184.1"</f>
        <v>ENSG00000236184.1</v>
      </c>
      <c r="B1998" s="3">
        <v>61.6672757689783</v>
      </c>
      <c r="C1998" s="3">
        <v>1.61793467063715</v>
      </c>
      <c r="D1998" s="3">
        <v>0.47811698807136899</v>
      </c>
      <c r="E1998" s="3">
        <v>3.3839723561456898</v>
      </c>
      <c r="F1998" s="3">
        <v>7.1445196113458203E-4</v>
      </c>
      <c r="G1998" s="3">
        <v>4.5893868953882496E-3</v>
      </c>
      <c r="H1998" s="3" t="str">
        <f>"TCEA1P4"</f>
        <v>TCEA1P4</v>
      </c>
      <c r="I1998" s="3" t="str">
        <f>"processed_pseudogene"</f>
        <v>processed_pseudogene</v>
      </c>
    </row>
    <row r="1999" spans="1:9" x14ac:dyDescent="0.2">
      <c r="A1999" s="3" t="str">
        <f>"ENSG00000225693.1"</f>
        <v>ENSG00000225693.1</v>
      </c>
      <c r="B1999" s="3">
        <v>43.821171365457403</v>
      </c>
      <c r="C1999" s="3">
        <v>1.4797069218563701</v>
      </c>
      <c r="D1999" s="3">
        <v>0.57702399356841105</v>
      </c>
      <c r="E1999" s="3">
        <v>2.56437676483021</v>
      </c>
      <c r="F1999" s="3">
        <v>1.0336127712394999E-2</v>
      </c>
      <c r="G1999" s="3">
        <v>4.3413807414475897E-2</v>
      </c>
      <c r="H1999" s="3" t="str">
        <f>"LAGE3P1"</f>
        <v>LAGE3P1</v>
      </c>
      <c r="I1999" s="3" t="str">
        <f>"processed_pseudogene"</f>
        <v>processed_pseudogene</v>
      </c>
    </row>
    <row r="2000" spans="1:9" x14ac:dyDescent="0.2">
      <c r="A2000" s="3" t="str">
        <f>"ENSG00000086062.12"</f>
        <v>ENSG00000086062.12</v>
      </c>
      <c r="B2000" s="3">
        <v>2735.2508578653801</v>
      </c>
      <c r="C2000" s="3">
        <v>-1.45110337010222</v>
      </c>
      <c r="D2000" s="3">
        <v>0.251964435352239</v>
      </c>
      <c r="E2000" s="3">
        <v>-5.7591594943691904</v>
      </c>
      <c r="F2000" s="4">
        <v>8.45337995093963E-9</v>
      </c>
      <c r="G2000" s="4">
        <v>1.5049170040048601E-7</v>
      </c>
      <c r="H2000" s="3" t="str">
        <f>"B4GALT1"</f>
        <v>B4GALT1</v>
      </c>
      <c r="I2000" s="3" t="str">
        <f>"protein_coding"</f>
        <v>protein_coding</v>
      </c>
    </row>
    <row r="2001" spans="1:9" x14ac:dyDescent="0.2">
      <c r="A2001" s="3" t="str">
        <f>"ENSG00000122711.9"</f>
        <v>ENSG00000122711.9</v>
      </c>
      <c r="B2001" s="3">
        <v>62.963509580000199</v>
      </c>
      <c r="C2001" s="3">
        <v>-4.14216311378574</v>
      </c>
      <c r="D2001" s="3">
        <v>0.60649791256951102</v>
      </c>
      <c r="E2001" s="3">
        <v>-6.8296411709595297</v>
      </c>
      <c r="F2001" s="4">
        <v>8.5127289842930697E-12</v>
      </c>
      <c r="G2001" s="4">
        <v>2.20306273250918E-10</v>
      </c>
      <c r="H2001" s="3" t="str">
        <f>"SPINK4"</f>
        <v>SPINK4</v>
      </c>
      <c r="I2001" s="3" t="str">
        <f>"protein_coding"</f>
        <v>protein_coding</v>
      </c>
    </row>
    <row r="2002" spans="1:9" x14ac:dyDescent="0.2">
      <c r="A2002" s="3" t="str">
        <f>"ENSG00000165269.13"</f>
        <v>ENSG00000165269.13</v>
      </c>
      <c r="B2002" s="3">
        <v>483.916471110749</v>
      </c>
      <c r="C2002" s="3">
        <v>3.8019699419851598</v>
      </c>
      <c r="D2002" s="3">
        <v>0.35105151845703197</v>
      </c>
      <c r="E2002" s="3">
        <v>10.8302335756754</v>
      </c>
      <c r="F2002" s="4">
        <v>2.4752311704009902E-27</v>
      </c>
      <c r="G2002" s="4">
        <v>2.2079588684906702E-25</v>
      </c>
      <c r="H2002" s="3" t="str">
        <f>"AQP7"</f>
        <v>AQP7</v>
      </c>
      <c r="I2002" s="3" t="str">
        <f>"protein_coding"</f>
        <v>protein_coding</v>
      </c>
    </row>
    <row r="2003" spans="1:9" x14ac:dyDescent="0.2">
      <c r="A2003" s="3" t="str">
        <f>"ENSG00000165272.16"</f>
        <v>ENSG00000165272.16</v>
      </c>
      <c r="B2003" s="3">
        <v>705.39968678463197</v>
      </c>
      <c r="C2003" s="3">
        <v>1.9550899856683099</v>
      </c>
      <c r="D2003" s="3">
        <v>0.298582790963765</v>
      </c>
      <c r="E2003" s="3">
        <v>6.5478990914301303</v>
      </c>
      <c r="F2003" s="4">
        <v>5.8352123555643999E-11</v>
      </c>
      <c r="G2003" s="4">
        <v>1.38215411303411E-9</v>
      </c>
      <c r="H2003" s="3" t="str">
        <f>"AQP3"</f>
        <v>AQP3</v>
      </c>
      <c r="I2003" s="3" t="str">
        <f>"protein_coding"</f>
        <v>protein_coding</v>
      </c>
    </row>
    <row r="2004" spans="1:9" x14ac:dyDescent="0.2">
      <c r="A2004" s="3" t="str">
        <f>"ENSG00000168913.7"</f>
        <v>ENSG00000168913.7</v>
      </c>
      <c r="B2004" s="3">
        <v>24.3883456363912</v>
      </c>
      <c r="C2004" s="3">
        <v>2.45220767495932</v>
      </c>
      <c r="D2004" s="3">
        <v>0.75111771660129401</v>
      </c>
      <c r="E2004" s="3">
        <v>3.2647448206324099</v>
      </c>
      <c r="F2004" s="3">
        <v>1.0956273358536199E-3</v>
      </c>
      <c r="G2004" s="3">
        <v>6.5965786580655297E-3</v>
      </c>
      <c r="H2004" s="3" t="str">
        <f>"ENHO"</f>
        <v>ENHO</v>
      </c>
      <c r="I2004" s="3" t="str">
        <f>"protein_coding"</f>
        <v>protein_coding</v>
      </c>
    </row>
    <row r="2005" spans="1:9" x14ac:dyDescent="0.2">
      <c r="A2005" s="3" t="str">
        <f>"ENSG00000230074.1"</f>
        <v>ENSG00000230074.1</v>
      </c>
      <c r="B2005" s="3">
        <v>50.138908323246902</v>
      </c>
      <c r="C2005" s="3">
        <v>3.9447302925828298</v>
      </c>
      <c r="D2005" s="3">
        <v>0.62887650974143605</v>
      </c>
      <c r="E2005" s="3">
        <v>6.2726628065734404</v>
      </c>
      <c r="F2005" s="4">
        <v>3.5492501043130902E-10</v>
      </c>
      <c r="G2005" s="4">
        <v>7.6702221970786693E-9</v>
      </c>
      <c r="H2005" s="3" t="str">
        <f>"AL162231.2"</f>
        <v>AL162231.2</v>
      </c>
      <c r="I2005" s="3" t="str">
        <f>"antisense"</f>
        <v>antisense</v>
      </c>
    </row>
    <row r="2006" spans="1:9" x14ac:dyDescent="0.2">
      <c r="A2006" s="3" t="str">
        <f>"ENSG00000137094.14"</f>
        <v>ENSG00000137094.14</v>
      </c>
      <c r="B2006" s="3">
        <v>296.03853021571001</v>
      </c>
      <c r="C2006" s="3">
        <v>1.7378857064112401</v>
      </c>
      <c r="D2006" s="3">
        <v>0.32834093318075203</v>
      </c>
      <c r="E2006" s="3">
        <v>5.2929303988258303</v>
      </c>
      <c r="F2006" s="4">
        <v>1.20371742211916E-7</v>
      </c>
      <c r="G2006" s="4">
        <v>1.78429650874528E-6</v>
      </c>
      <c r="H2006" s="3" t="str">
        <f>"DNAJB5"</f>
        <v>DNAJB5</v>
      </c>
      <c r="I2006" s="3" t="str">
        <f>"protein_coding"</f>
        <v>protein_coding</v>
      </c>
    </row>
    <row r="2007" spans="1:9" x14ac:dyDescent="0.2">
      <c r="A2007" s="3" t="str">
        <f>"ENSG00000198722.14"</f>
        <v>ENSG00000198722.14</v>
      </c>
      <c r="B2007" s="3">
        <v>2468.8840523671702</v>
      </c>
      <c r="C2007" s="3">
        <v>1.13325083308474</v>
      </c>
      <c r="D2007" s="3">
        <v>0.249429933201886</v>
      </c>
      <c r="E2007" s="3">
        <v>4.5433634148773097</v>
      </c>
      <c r="F2007" s="4">
        <v>5.5363682932377801E-6</v>
      </c>
      <c r="G2007" s="4">
        <v>6.0236740664531298E-5</v>
      </c>
      <c r="H2007" s="3" t="str">
        <f>"UNC13B"</f>
        <v>UNC13B</v>
      </c>
      <c r="I2007" s="3" t="str">
        <f>"protein_coding"</f>
        <v>protein_coding</v>
      </c>
    </row>
    <row r="2008" spans="1:9" x14ac:dyDescent="0.2">
      <c r="A2008" s="3" t="str">
        <f>"ENSG00000137103.20"</f>
        <v>ENSG00000137103.20</v>
      </c>
      <c r="B2008" s="3">
        <v>437.21802180352802</v>
      </c>
      <c r="C2008" s="3">
        <v>1.83734877192569</v>
      </c>
      <c r="D2008" s="3">
        <v>0.30019432217699998</v>
      </c>
      <c r="E2008" s="3">
        <v>6.1205313898054401</v>
      </c>
      <c r="F2008" s="4">
        <v>9.3263807564022994E-10</v>
      </c>
      <c r="G2008" s="4">
        <v>1.91046504826791E-8</v>
      </c>
      <c r="H2008" s="3" t="str">
        <f>"TMEM8B"</f>
        <v>TMEM8B</v>
      </c>
      <c r="I2008" s="3" t="str">
        <f>"protein_coding"</f>
        <v>protein_coding</v>
      </c>
    </row>
    <row r="2009" spans="1:9" x14ac:dyDescent="0.2">
      <c r="A2009" s="3" t="str">
        <f>"ENSG00000196196.3"</f>
        <v>ENSG00000196196.3</v>
      </c>
      <c r="B2009" s="3">
        <v>33.536503333848401</v>
      </c>
      <c r="C2009" s="3">
        <v>3.71688101494283</v>
      </c>
      <c r="D2009" s="3">
        <v>0.72731279958698003</v>
      </c>
      <c r="E2009" s="3">
        <v>5.1104298137658803</v>
      </c>
      <c r="F2009" s="4">
        <v>3.2142670778065702E-7</v>
      </c>
      <c r="G2009" s="4">
        <v>4.4014637094297401E-6</v>
      </c>
      <c r="H2009" s="3" t="str">
        <f>"HRCT1"</f>
        <v>HRCT1</v>
      </c>
      <c r="I2009" s="3" t="str">
        <f>"protein_coding"</f>
        <v>protein_coding</v>
      </c>
    </row>
    <row r="2010" spans="1:9" x14ac:dyDescent="0.2">
      <c r="A2010" s="3" t="str">
        <f>"ENSG00000213866.3"</f>
        <v>ENSG00000213866.3</v>
      </c>
      <c r="B2010" s="3">
        <v>149.774276819861</v>
      </c>
      <c r="C2010" s="3">
        <v>-1.4951488698048001</v>
      </c>
      <c r="D2010" s="3">
        <v>0.35585278174863999</v>
      </c>
      <c r="E2010" s="3">
        <v>-4.20159387951872</v>
      </c>
      <c r="F2010" s="4">
        <v>2.6504229329521399E-5</v>
      </c>
      <c r="G2010" s="3">
        <v>2.4775692634117799E-4</v>
      </c>
      <c r="H2010" s="3" t="str">
        <f>"YBX1P10"</f>
        <v>YBX1P10</v>
      </c>
      <c r="I2010" s="3" t="str">
        <f>"processed_pseudogene"</f>
        <v>processed_pseudogene</v>
      </c>
    </row>
    <row r="2011" spans="1:9" x14ac:dyDescent="0.2">
      <c r="A2011" s="3" t="str">
        <f>"ENSG00000122694.16"</f>
        <v>ENSG00000122694.16</v>
      </c>
      <c r="B2011" s="3">
        <v>180.141617169477</v>
      </c>
      <c r="C2011" s="3">
        <v>2.7923798354942502</v>
      </c>
      <c r="D2011" s="3">
        <v>0.361316504266192</v>
      </c>
      <c r="E2011" s="3">
        <v>7.7283484217400398</v>
      </c>
      <c r="F2011" s="4">
        <v>1.08950809189904E-14</v>
      </c>
      <c r="G2011" s="4">
        <v>3.83308755968117E-13</v>
      </c>
      <c r="H2011" s="3" t="str">
        <f>"GLIPR2"</f>
        <v>GLIPR2</v>
      </c>
      <c r="I2011" s="3" t="str">
        <f>"protein_coding"</f>
        <v>protein_coding</v>
      </c>
    </row>
    <row r="2012" spans="1:9" x14ac:dyDescent="0.2">
      <c r="A2012" s="3" t="str">
        <f>"ENSG00000168795.5"</f>
        <v>ENSG00000168795.5</v>
      </c>
      <c r="B2012" s="3">
        <v>2684.9321168935699</v>
      </c>
      <c r="C2012" s="3">
        <v>2.3056399675407402</v>
      </c>
      <c r="D2012" s="3">
        <v>0.239848928413116</v>
      </c>
      <c r="E2012" s="3">
        <v>9.6128841716961801</v>
      </c>
      <c r="F2012" s="4">
        <v>7.0544735225149603E-22</v>
      </c>
      <c r="G2012" s="4">
        <v>4.2657519581457702E-20</v>
      </c>
      <c r="H2012" s="3" t="str">
        <f>"ZBTB5"</f>
        <v>ZBTB5</v>
      </c>
      <c r="I2012" s="3" t="str">
        <f>"protein_coding"</f>
        <v>protein_coding</v>
      </c>
    </row>
    <row r="2013" spans="1:9" x14ac:dyDescent="0.2">
      <c r="A2013" s="3" t="str">
        <f>"ENSG00000255872.3"</f>
        <v>ENSG00000255872.3</v>
      </c>
      <c r="B2013" s="3">
        <v>93.893815985943206</v>
      </c>
      <c r="C2013" s="3">
        <v>1.22069695016448</v>
      </c>
      <c r="D2013" s="3">
        <v>0.41333001428731198</v>
      </c>
      <c r="E2013" s="3">
        <v>2.9533227880130499</v>
      </c>
      <c r="F2013" s="3">
        <v>3.1437304994674899E-3</v>
      </c>
      <c r="G2013" s="3">
        <v>1.6034172894181801E-2</v>
      </c>
      <c r="H2013" s="3" t="str">
        <f>"AL138752.2"</f>
        <v>AL138752.2</v>
      </c>
      <c r="I2013" s="3" t="str">
        <f>"protein_coding"</f>
        <v>protein_coding</v>
      </c>
    </row>
    <row r="2014" spans="1:9" x14ac:dyDescent="0.2">
      <c r="A2014" s="3" t="str">
        <f>"ENSG00000137142.5"</f>
        <v>ENSG00000137142.5</v>
      </c>
      <c r="B2014" s="3">
        <v>60.297442518179402</v>
      </c>
      <c r="C2014" s="3">
        <v>-1.45581605544159</v>
      </c>
      <c r="D2014" s="3">
        <v>0.48259079597146598</v>
      </c>
      <c r="E2014" s="3">
        <v>-3.0166676770347398</v>
      </c>
      <c r="F2014" s="3">
        <v>2.5556982681641601E-3</v>
      </c>
      <c r="G2014" s="3">
        <v>1.34494958024413E-2</v>
      </c>
      <c r="H2014" s="3" t="str">
        <f>"IGFBPL1"</f>
        <v>IGFBPL1</v>
      </c>
      <c r="I2014" s="3" t="str">
        <f>"protein_coding"</f>
        <v>protein_coding</v>
      </c>
    </row>
    <row r="2015" spans="1:9" x14ac:dyDescent="0.2">
      <c r="A2015" s="3" t="str">
        <f>"ENSG00000283162.1"</f>
        <v>ENSG00000283162.1</v>
      </c>
      <c r="B2015" s="3">
        <v>200.795159527594</v>
      </c>
      <c r="C2015" s="3">
        <v>1.38865201530294</v>
      </c>
      <c r="D2015" s="3">
        <v>0.33926057498887202</v>
      </c>
      <c r="E2015" s="3">
        <v>4.0931723803996203</v>
      </c>
      <c r="F2015" s="4">
        <v>4.2551114076211903E-5</v>
      </c>
      <c r="G2015" s="3">
        <v>3.7929598674242099E-4</v>
      </c>
      <c r="H2015" s="3" t="str">
        <f>"AL390726.6"</f>
        <v>AL390726.6</v>
      </c>
      <c r="I2015" s="3" t="str">
        <f>"transcribed_unprocessed_pseudogene"</f>
        <v>transcribed_unprocessed_pseudogene</v>
      </c>
    </row>
    <row r="2016" spans="1:9" x14ac:dyDescent="0.2">
      <c r="A2016" s="3" t="str">
        <f>"ENSG00000215165.3"</f>
        <v>ENSG00000215165.3</v>
      </c>
      <c r="B2016" s="3">
        <v>60.233479580249004</v>
      </c>
      <c r="C2016" s="3">
        <v>1.3857623937785599</v>
      </c>
      <c r="D2016" s="3">
        <v>0.50830242953308502</v>
      </c>
      <c r="E2016" s="3">
        <v>2.7262556959475601</v>
      </c>
      <c r="F2016" s="3">
        <v>6.4057353418747898E-3</v>
      </c>
      <c r="G2016" s="3">
        <v>2.9064984221655901E-2</v>
      </c>
      <c r="H2016" s="3" t="str">
        <f>"TCEA1P3"</f>
        <v>TCEA1P3</v>
      </c>
      <c r="I2016" s="3" t="str">
        <f>"processed_pseudogene"</f>
        <v>processed_pseudogene</v>
      </c>
    </row>
    <row r="2017" spans="1:9" x14ac:dyDescent="0.2">
      <c r="A2017" s="3" t="str">
        <f>"ENSG00000106714.17"</f>
        <v>ENSG00000106714.17</v>
      </c>
      <c r="B2017" s="3">
        <v>44.576757861628202</v>
      </c>
      <c r="C2017" s="3">
        <v>1.6080090804523799</v>
      </c>
      <c r="D2017" s="3">
        <v>0.58037418495372295</v>
      </c>
      <c r="E2017" s="3">
        <v>2.7706419791579799</v>
      </c>
      <c r="F2017" s="3">
        <v>5.5945903654188401E-3</v>
      </c>
      <c r="G2017" s="3">
        <v>2.5984475746327701E-2</v>
      </c>
      <c r="H2017" s="3" t="str">
        <f>"CNTNAP3"</f>
        <v>CNTNAP3</v>
      </c>
      <c r="I2017" s="3" t="str">
        <f>"protein_coding"</f>
        <v>protein_coding</v>
      </c>
    </row>
    <row r="2018" spans="1:9" x14ac:dyDescent="0.2">
      <c r="A2018" s="3" t="str">
        <f>"ENSG00000279561.2"</f>
        <v>ENSG00000279561.2</v>
      </c>
      <c r="B2018" s="3">
        <v>173.58167539128101</v>
      </c>
      <c r="C2018" s="3">
        <v>-1.40241355360808</v>
      </c>
      <c r="D2018" s="3">
        <v>0.34316082771226802</v>
      </c>
      <c r="E2018" s="3">
        <v>-4.0867530334318101</v>
      </c>
      <c r="F2018" s="4">
        <v>4.3745234482777503E-5</v>
      </c>
      <c r="G2018" s="3">
        <v>3.8856333807001E-4</v>
      </c>
      <c r="H2018" s="3" t="str">
        <f>"AL845472.2"</f>
        <v>AL845472.2</v>
      </c>
      <c r="I2018" s="3" t="str">
        <f>"TEC"</f>
        <v>TEC</v>
      </c>
    </row>
    <row r="2019" spans="1:9" x14ac:dyDescent="0.2">
      <c r="A2019" s="3" t="str">
        <f>"ENSG00000231527.6"</f>
        <v>ENSG00000231527.6</v>
      </c>
      <c r="B2019" s="3">
        <v>74.476099817929494</v>
      </c>
      <c r="C2019" s="3">
        <v>1.1348619573833001</v>
      </c>
      <c r="D2019" s="3">
        <v>0.44124436416453999</v>
      </c>
      <c r="E2019" s="3">
        <v>2.5719579660401202</v>
      </c>
      <c r="F2019" s="3">
        <v>1.01125168821727E-2</v>
      </c>
      <c r="G2019" s="3">
        <v>4.2666951051837203E-2</v>
      </c>
      <c r="H2019" s="3" t="str">
        <f>"FAM27C"</f>
        <v>FAM27C</v>
      </c>
      <c r="I2019" s="3" t="str">
        <f>"processed_transcript"</f>
        <v>processed_transcript</v>
      </c>
    </row>
    <row r="2020" spans="1:9" x14ac:dyDescent="0.2">
      <c r="A2020" s="3" t="str">
        <f>"ENSG00000229422.2"</f>
        <v>ENSG00000229422.2</v>
      </c>
      <c r="B2020" s="3">
        <v>87.300774291692505</v>
      </c>
      <c r="C2020" s="3">
        <v>-1.3158016507449699</v>
      </c>
      <c r="D2020" s="3">
        <v>0.42569288224349</v>
      </c>
      <c r="E2020" s="3">
        <v>-3.0909646499383001</v>
      </c>
      <c r="F2020" s="3">
        <v>1.99507384188263E-3</v>
      </c>
      <c r="G2020" s="3">
        <v>1.09258999530685E-2</v>
      </c>
      <c r="H2020" s="3" t="str">
        <f>"AL512625.2"</f>
        <v>AL512625.2</v>
      </c>
      <c r="I2020" s="3" t="str">
        <f>"lincRNA"</f>
        <v>lincRNA</v>
      </c>
    </row>
    <row r="2021" spans="1:9" x14ac:dyDescent="0.2">
      <c r="A2021" s="3" t="str">
        <f>"ENSG00000232815.1"</f>
        <v>ENSG00000232815.1</v>
      </c>
      <c r="B2021" s="3">
        <v>47.5028530124669</v>
      </c>
      <c r="C2021" s="3">
        <v>6.6487861351161399</v>
      </c>
      <c r="D2021" s="3">
        <v>1.1438840000241599</v>
      </c>
      <c r="E2021" s="3">
        <v>5.81246536797061</v>
      </c>
      <c r="F2021" s="4">
        <v>6.1559422021432403E-9</v>
      </c>
      <c r="G2021" s="4">
        <v>1.12538318382931E-7</v>
      </c>
      <c r="H2021" s="3" t="str">
        <f>"DUX4L50"</f>
        <v>DUX4L50</v>
      </c>
      <c r="I2021" s="3" t="str">
        <f>"unprocessed_pseudogene"</f>
        <v>unprocessed_pseudogene</v>
      </c>
    </row>
    <row r="2022" spans="1:9" x14ac:dyDescent="0.2">
      <c r="A2022" s="3" t="str">
        <f>"ENSG00000266017.1"</f>
        <v>ENSG00000266017.1</v>
      </c>
      <c r="B2022" s="3">
        <v>101.975861737019</v>
      </c>
      <c r="C2022" s="3">
        <v>1.76741159428718</v>
      </c>
      <c r="D2022" s="3">
        <v>0.41527416856979799</v>
      </c>
      <c r="E2022" s="3">
        <v>4.2560113969384101</v>
      </c>
      <c r="F2022" s="4">
        <v>2.0810610306561899E-5</v>
      </c>
      <c r="G2022" s="3">
        <v>1.98367147503435E-4</v>
      </c>
      <c r="H2022" s="3" t="str">
        <f>"MIR4477B"</f>
        <v>MIR4477B</v>
      </c>
      <c r="I2022" s="3" t="str">
        <f>"miRNA"</f>
        <v>miRNA</v>
      </c>
    </row>
    <row r="2023" spans="1:9" x14ac:dyDescent="0.2">
      <c r="A2023" s="3" t="str">
        <f>"ENSG00000274349.4"</f>
        <v>ENSG00000274349.4</v>
      </c>
      <c r="B2023" s="3">
        <v>303.89277104321502</v>
      </c>
      <c r="C2023" s="3">
        <v>2.8439902421649199</v>
      </c>
      <c r="D2023" s="3">
        <v>0.33598373332974502</v>
      </c>
      <c r="E2023" s="3">
        <v>8.4646664705452892</v>
      </c>
      <c r="F2023" s="4">
        <v>2.5688675945446001E-17</v>
      </c>
      <c r="G2023" s="4">
        <v>1.15599041754507E-15</v>
      </c>
      <c r="H2023" s="3" t="str">
        <f>"ZNF658"</f>
        <v>ZNF658</v>
      </c>
      <c r="I2023" s="3" t="str">
        <f>"protein_coding"</f>
        <v>protein_coding</v>
      </c>
    </row>
    <row r="2024" spans="1:9" x14ac:dyDescent="0.2">
      <c r="A2024" s="3" t="str">
        <f>"ENSG00000276386.1"</f>
        <v>ENSG00000276386.1</v>
      </c>
      <c r="B2024" s="3">
        <v>80.912395409458597</v>
      </c>
      <c r="C2024" s="3">
        <v>2.0769656743767202</v>
      </c>
      <c r="D2024" s="3">
        <v>0.44449690100515699</v>
      </c>
      <c r="E2024" s="3">
        <v>4.67262127065454</v>
      </c>
      <c r="F2024" s="4">
        <v>2.9737982220297299E-6</v>
      </c>
      <c r="G2024" s="4">
        <v>3.3940968364409198E-5</v>
      </c>
      <c r="H2024" s="3" t="str">
        <f>"CNTNAP3P2"</f>
        <v>CNTNAP3P2</v>
      </c>
      <c r="I2024" s="3" t="str">
        <f>"unprocessed_pseudogene"</f>
        <v>unprocessed_pseudogene</v>
      </c>
    </row>
    <row r="2025" spans="1:9" x14ac:dyDescent="0.2">
      <c r="A2025" s="3" t="str">
        <f>"ENSG00000278763.1"</f>
        <v>ENSG00000278763.1</v>
      </c>
      <c r="B2025" s="3">
        <v>34.7077486219058</v>
      </c>
      <c r="C2025" s="3">
        <v>2.5975447257141302</v>
      </c>
      <c r="D2025" s="3">
        <v>0.64363875132371795</v>
      </c>
      <c r="E2025" s="3">
        <v>4.035718359673</v>
      </c>
      <c r="F2025" s="4">
        <v>5.44354846852743E-5</v>
      </c>
      <c r="G2025" s="3">
        <v>4.7397875294499E-4</v>
      </c>
      <c r="H2025" s="3" t="str">
        <f>"FAM27B"</f>
        <v>FAM27B</v>
      </c>
      <c r="I2025" s="3" t="str">
        <f>"processed_pseudogene"</f>
        <v>processed_pseudogene</v>
      </c>
    </row>
    <row r="2026" spans="1:9" x14ac:dyDescent="0.2">
      <c r="A2026" s="3" t="str">
        <f>"ENSG00000107242.18"</f>
        <v>ENSG00000107242.18</v>
      </c>
      <c r="B2026" s="3">
        <v>299.70841489538799</v>
      </c>
      <c r="C2026" s="3">
        <v>-1.49897576494719</v>
      </c>
      <c r="D2026" s="3">
        <v>0.30112647350995397</v>
      </c>
      <c r="E2026" s="3">
        <v>-4.9778943294988496</v>
      </c>
      <c r="F2026" s="4">
        <v>6.4279731010758197E-7</v>
      </c>
      <c r="G2026" s="4">
        <v>8.3736749537836504E-6</v>
      </c>
      <c r="H2026" s="3" t="str">
        <f>"PIP5K1B"</f>
        <v>PIP5K1B</v>
      </c>
      <c r="I2026" s="3" t="str">
        <f t="shared" ref="I2026:I2036" si="84">"protein_coding"</f>
        <v>protein_coding</v>
      </c>
    </row>
    <row r="2027" spans="1:9" x14ac:dyDescent="0.2">
      <c r="A2027" s="3" t="str">
        <f>"ENSG00000165060.13"</f>
        <v>ENSG00000165060.13</v>
      </c>
      <c r="B2027" s="3">
        <v>474.64267152019102</v>
      </c>
      <c r="C2027" s="3">
        <v>-1.0534533798894501</v>
      </c>
      <c r="D2027" s="3">
        <v>0.27500626528994498</v>
      </c>
      <c r="E2027" s="3">
        <v>-3.8306522899715398</v>
      </c>
      <c r="F2027" s="3">
        <v>1.27804003249058E-4</v>
      </c>
      <c r="G2027" s="3">
        <v>1.00844093529801E-3</v>
      </c>
      <c r="H2027" s="3" t="str">
        <f>"FXN"</f>
        <v>FXN</v>
      </c>
      <c r="I2027" s="3" t="str">
        <f t="shared" si="84"/>
        <v>protein_coding</v>
      </c>
    </row>
    <row r="2028" spans="1:9" x14ac:dyDescent="0.2">
      <c r="A2028" s="3" t="str">
        <f>"ENSG00000119139.19"</f>
        <v>ENSG00000119139.19</v>
      </c>
      <c r="B2028" s="3">
        <v>814.53829200651001</v>
      </c>
      <c r="C2028" s="3">
        <v>-1.00817368805455</v>
      </c>
      <c r="D2028" s="3">
        <v>0.26098375792127798</v>
      </c>
      <c r="E2028" s="3">
        <v>-3.8629748306354501</v>
      </c>
      <c r="F2028" s="3">
        <v>1.12014552874798E-4</v>
      </c>
      <c r="G2028" s="3">
        <v>8.9879619699060405E-4</v>
      </c>
      <c r="H2028" s="3" t="str">
        <f>"TJP2"</f>
        <v>TJP2</v>
      </c>
      <c r="I2028" s="3" t="str">
        <f t="shared" si="84"/>
        <v>protein_coding</v>
      </c>
    </row>
    <row r="2029" spans="1:9" x14ac:dyDescent="0.2">
      <c r="A2029" s="3" t="str">
        <f>"ENSG00000119138.4"</f>
        <v>ENSG00000119138.4</v>
      </c>
      <c r="B2029" s="3">
        <v>220.64589565069201</v>
      </c>
      <c r="C2029" s="3">
        <v>-2.8109618123307998</v>
      </c>
      <c r="D2029" s="3">
        <v>0.33782787260927599</v>
      </c>
      <c r="E2029" s="3">
        <v>-8.3206924005997998</v>
      </c>
      <c r="F2029" s="4">
        <v>8.7450930418219294E-17</v>
      </c>
      <c r="G2029" s="4">
        <v>3.7993577800868803E-15</v>
      </c>
      <c r="H2029" s="3" t="str">
        <f>"KLF9"</f>
        <v>KLF9</v>
      </c>
      <c r="I2029" s="3" t="str">
        <f t="shared" si="84"/>
        <v>protein_coding</v>
      </c>
    </row>
    <row r="2030" spans="1:9" x14ac:dyDescent="0.2">
      <c r="A2030" s="3" t="str">
        <f>"ENSG00000204669.10"</f>
        <v>ENSG00000204669.10</v>
      </c>
      <c r="B2030" s="3">
        <v>28.678364771372401</v>
      </c>
      <c r="C2030" s="3">
        <v>-3.3618619808104002</v>
      </c>
      <c r="D2030" s="3">
        <v>0.80522602187289205</v>
      </c>
      <c r="E2030" s="3">
        <v>-4.1750538227651601</v>
      </c>
      <c r="F2030" s="4">
        <v>2.9791560955488701E-5</v>
      </c>
      <c r="G2030" s="3">
        <v>2.7400611182278598E-4</v>
      </c>
      <c r="H2030" s="3" t="str">
        <f>"C9orf57"</f>
        <v>C9orf57</v>
      </c>
      <c r="I2030" s="3" t="str">
        <f t="shared" si="84"/>
        <v>protein_coding</v>
      </c>
    </row>
    <row r="2031" spans="1:9" x14ac:dyDescent="0.2">
      <c r="A2031" s="3" t="str">
        <f>"ENSG00000119125.16"</f>
        <v>ENSG00000119125.16</v>
      </c>
      <c r="B2031" s="3">
        <v>2244.8060941440499</v>
      </c>
      <c r="C2031" s="3">
        <v>-3.4823891410552399</v>
      </c>
      <c r="D2031" s="3">
        <v>0.26195950116081901</v>
      </c>
      <c r="E2031" s="3">
        <v>-13.2936164774469</v>
      </c>
      <c r="F2031" s="4">
        <v>2.5209306212558801E-40</v>
      </c>
      <c r="G2031" s="4">
        <v>4.25597381058334E-38</v>
      </c>
      <c r="H2031" s="3" t="str">
        <f>"GDA"</f>
        <v>GDA</v>
      </c>
      <c r="I2031" s="3" t="str">
        <f t="shared" si="84"/>
        <v>protein_coding</v>
      </c>
    </row>
    <row r="2032" spans="1:9" x14ac:dyDescent="0.2">
      <c r="A2032" s="3" t="str">
        <f>"ENSG00000119121.22"</f>
        <v>ENSG00000119121.22</v>
      </c>
      <c r="B2032" s="3">
        <v>85.021165441661594</v>
      </c>
      <c r="C2032" s="3">
        <v>3.0736121164071601</v>
      </c>
      <c r="D2032" s="3">
        <v>0.46954828508846702</v>
      </c>
      <c r="E2032" s="3">
        <v>6.54589147488434</v>
      </c>
      <c r="F2032" s="4">
        <v>5.9141517971671506E-11</v>
      </c>
      <c r="G2032" s="4">
        <v>1.39821887648252E-9</v>
      </c>
      <c r="H2032" s="3" t="str">
        <f>"TRPM6"</f>
        <v>TRPM6</v>
      </c>
      <c r="I2032" s="3" t="str">
        <f t="shared" si="84"/>
        <v>protein_coding</v>
      </c>
    </row>
    <row r="2033" spans="1:9" x14ac:dyDescent="0.2">
      <c r="A2033" s="3" t="str">
        <f>"ENSG00000135045.7"</f>
        <v>ENSG00000135045.7</v>
      </c>
      <c r="B2033" s="3">
        <v>559.84081922146697</v>
      </c>
      <c r="C2033" s="3">
        <v>-1.2148162847306501</v>
      </c>
      <c r="D2033" s="3">
        <v>0.271641821115574</v>
      </c>
      <c r="E2033" s="3">
        <v>-4.4721253882839704</v>
      </c>
      <c r="F2033" s="4">
        <v>7.7445992077696596E-6</v>
      </c>
      <c r="G2033" s="4">
        <v>8.1786479039230002E-5</v>
      </c>
      <c r="H2033" s="3" t="str">
        <f>"C9orf40"</f>
        <v>C9orf40</v>
      </c>
      <c r="I2033" s="3" t="str">
        <f t="shared" si="84"/>
        <v>protein_coding</v>
      </c>
    </row>
    <row r="2034" spans="1:9" x14ac:dyDescent="0.2">
      <c r="A2034" s="3" t="str">
        <f>"ENSG00000099139.13"</f>
        <v>ENSG00000099139.13</v>
      </c>
      <c r="B2034" s="3">
        <v>448.035465761615</v>
      </c>
      <c r="C2034" s="3">
        <v>-1.90952317857275</v>
      </c>
      <c r="D2034" s="3">
        <v>0.28370915433183502</v>
      </c>
      <c r="E2034" s="3">
        <v>-6.7305659666494799</v>
      </c>
      <c r="F2034" s="4">
        <v>1.69004405292684E-11</v>
      </c>
      <c r="G2034" s="4">
        <v>4.2301550399377598E-10</v>
      </c>
      <c r="H2034" s="3" t="str">
        <f>"PCSK5"</f>
        <v>PCSK5</v>
      </c>
      <c r="I2034" s="3" t="str">
        <f t="shared" si="84"/>
        <v>protein_coding</v>
      </c>
    </row>
    <row r="2035" spans="1:9" x14ac:dyDescent="0.2">
      <c r="A2035" s="3" t="str">
        <f>"ENSG00000187210.14"</f>
        <v>ENSG00000187210.14</v>
      </c>
      <c r="B2035" s="3">
        <v>73.899777393320704</v>
      </c>
      <c r="C2035" s="3">
        <v>-1.50925686679803</v>
      </c>
      <c r="D2035" s="3">
        <v>0.46082674050942002</v>
      </c>
      <c r="E2035" s="3">
        <v>-3.2751069634753098</v>
      </c>
      <c r="F2035" s="3">
        <v>1.0562197365837601E-3</v>
      </c>
      <c r="G2035" s="3">
        <v>6.39605379724709E-3</v>
      </c>
      <c r="H2035" s="3" t="str">
        <f>"GCNT1"</f>
        <v>GCNT1</v>
      </c>
      <c r="I2035" s="3" t="str">
        <f t="shared" si="84"/>
        <v>protein_coding</v>
      </c>
    </row>
    <row r="2036" spans="1:9" x14ac:dyDescent="0.2">
      <c r="A2036" s="3" t="str">
        <f>"ENSG00000196781.15"</f>
        <v>ENSG00000196781.15</v>
      </c>
      <c r="B2036" s="3">
        <v>5124.2189442422996</v>
      </c>
      <c r="C2036" s="3">
        <v>1.28990871294055</v>
      </c>
      <c r="D2036" s="3">
        <v>0.26439784471940803</v>
      </c>
      <c r="E2036" s="3">
        <v>4.8786657633668096</v>
      </c>
      <c r="F2036" s="4">
        <v>1.06805879838884E-6</v>
      </c>
      <c r="G2036" s="4">
        <v>1.32676637399858E-5</v>
      </c>
      <c r="H2036" s="3" t="str">
        <f>"TLE1"</f>
        <v>TLE1</v>
      </c>
      <c r="I2036" s="3" t="str">
        <f t="shared" si="84"/>
        <v>protein_coding</v>
      </c>
    </row>
    <row r="2037" spans="1:9" x14ac:dyDescent="0.2">
      <c r="A2037" s="3" t="str">
        <f>"ENSG00000229109.1"</f>
        <v>ENSG00000229109.1</v>
      </c>
      <c r="B2037" s="3">
        <v>29.636357006840601</v>
      </c>
      <c r="C2037" s="3">
        <v>3.3557051536366802</v>
      </c>
      <c r="D2037" s="3">
        <v>0.74700987007156505</v>
      </c>
      <c r="E2037" s="3">
        <v>4.4921831532362404</v>
      </c>
      <c r="F2037" s="4">
        <v>7.0496754869804803E-6</v>
      </c>
      <c r="G2037" s="4">
        <v>7.5204898276618501E-5</v>
      </c>
      <c r="H2037" s="3" t="str">
        <f>"AL137847.1"</f>
        <v>AL137847.1</v>
      </c>
      <c r="I2037" s="3" t="str">
        <f>"antisense"</f>
        <v>antisense</v>
      </c>
    </row>
    <row r="2038" spans="1:9" x14ac:dyDescent="0.2">
      <c r="A2038" s="3" t="str">
        <f>"ENSG00000172159.16"</f>
        <v>ENSG00000172159.16</v>
      </c>
      <c r="B2038" s="3">
        <v>357.53155239931903</v>
      </c>
      <c r="C2038" s="3">
        <v>-1.73750174128359</v>
      </c>
      <c r="D2038" s="3">
        <v>0.295010502276916</v>
      </c>
      <c r="E2038" s="3">
        <v>-5.8896267348904701</v>
      </c>
      <c r="F2038" s="4">
        <v>3.87068873961423E-9</v>
      </c>
      <c r="G2038" s="4">
        <v>7.2716337001490598E-8</v>
      </c>
      <c r="H2038" s="3" t="str">
        <f>"FRMD3"</f>
        <v>FRMD3</v>
      </c>
      <c r="I2038" s="3" t="str">
        <f>"protein_coding"</f>
        <v>protein_coding</v>
      </c>
    </row>
    <row r="2039" spans="1:9" x14ac:dyDescent="0.2">
      <c r="A2039" s="3" t="str">
        <f>"ENSG00000254473.1"</f>
        <v>ENSG00000254473.1</v>
      </c>
      <c r="B2039" s="3">
        <v>74.6996601137228</v>
      </c>
      <c r="C2039" s="3">
        <v>-1.4084279217634901</v>
      </c>
      <c r="D2039" s="3">
        <v>0.46437856011990197</v>
      </c>
      <c r="E2039" s="3">
        <v>-3.0329305500233099</v>
      </c>
      <c r="F2039" s="3">
        <v>2.4219133167284902E-3</v>
      </c>
      <c r="G2039" s="3">
        <v>1.28720112998743E-2</v>
      </c>
      <c r="H2039" s="3" t="str">
        <f>"AL354920.1"</f>
        <v>AL354920.1</v>
      </c>
      <c r="I2039" s="3" t="str">
        <f>"antisense"</f>
        <v>antisense</v>
      </c>
    </row>
    <row r="2040" spans="1:9" x14ac:dyDescent="0.2">
      <c r="A2040" s="3" t="str">
        <f>"ENSG00000178966.16"</f>
        <v>ENSG00000178966.16</v>
      </c>
      <c r="B2040" s="3">
        <v>1056.81501300028</v>
      </c>
      <c r="C2040" s="3">
        <v>-1.4012938205301599</v>
      </c>
      <c r="D2040" s="3">
        <v>0.26568510170055998</v>
      </c>
      <c r="E2040" s="3">
        <v>-5.2742657061346501</v>
      </c>
      <c r="F2040" s="4">
        <v>1.3328867835099001E-7</v>
      </c>
      <c r="G2040" s="4">
        <v>1.9676506478398798E-6</v>
      </c>
      <c r="H2040" s="3" t="str">
        <f>"RMI1"</f>
        <v>RMI1</v>
      </c>
      <c r="I2040" s="3" t="str">
        <f>"protein_coding"</f>
        <v>protein_coding</v>
      </c>
    </row>
    <row r="2041" spans="1:9" x14ac:dyDescent="0.2">
      <c r="A2041" s="3" t="str">
        <f>"ENSG00000213694.5"</f>
        <v>ENSG00000213694.5</v>
      </c>
      <c r="B2041" s="3">
        <v>157.54048998698201</v>
      </c>
      <c r="C2041" s="3">
        <v>3.5798005558977302</v>
      </c>
      <c r="D2041" s="3">
        <v>0.40104265094956199</v>
      </c>
      <c r="E2041" s="3">
        <v>8.9262340237920395</v>
      </c>
      <c r="F2041" s="4">
        <v>4.4075752679562398E-19</v>
      </c>
      <c r="G2041" s="4">
        <v>2.2263565434827199E-17</v>
      </c>
      <c r="H2041" s="3" t="str">
        <f>"S1PR3"</f>
        <v>S1PR3</v>
      </c>
      <c r="I2041" s="3" t="str">
        <f>"protein_coding"</f>
        <v>protein_coding</v>
      </c>
    </row>
    <row r="2042" spans="1:9" x14ac:dyDescent="0.2">
      <c r="A2042" s="3" t="str">
        <f>"ENSG00000148082.10"</f>
        <v>ENSG00000148082.10</v>
      </c>
      <c r="B2042" s="3">
        <v>52.929232844320502</v>
      </c>
      <c r="C2042" s="3">
        <v>-1.7723463655505101</v>
      </c>
      <c r="D2042" s="3">
        <v>0.53587494812761904</v>
      </c>
      <c r="E2042" s="3">
        <v>-3.3073879862143101</v>
      </c>
      <c r="F2042" s="3">
        <v>9.4170364683205299E-4</v>
      </c>
      <c r="G2042" s="3">
        <v>5.8003318403673596E-3</v>
      </c>
      <c r="H2042" s="3" t="str">
        <f>"SHC3"</f>
        <v>SHC3</v>
      </c>
      <c r="I2042" s="3" t="str">
        <f>"protein_coding"</f>
        <v>protein_coding</v>
      </c>
    </row>
    <row r="2043" spans="1:9" x14ac:dyDescent="0.2">
      <c r="A2043" s="3" t="str">
        <f>"ENSG00000225511.7"</f>
        <v>ENSG00000225511.7</v>
      </c>
      <c r="B2043" s="3">
        <v>44.239564242136098</v>
      </c>
      <c r="C2043" s="3">
        <v>4.6988599014633703</v>
      </c>
      <c r="D2043" s="3">
        <v>0.75168605425300195</v>
      </c>
      <c r="E2043" s="3">
        <v>6.2510936246288704</v>
      </c>
      <c r="F2043" s="4">
        <v>4.0758843605694801E-10</v>
      </c>
      <c r="G2043" s="4">
        <v>8.75566789838816E-9</v>
      </c>
      <c r="H2043" s="3" t="str">
        <f>"LINC00475"</f>
        <v>LINC00475</v>
      </c>
      <c r="I2043" s="3" t="str">
        <f>"transcribed_unprocessed_pseudogene"</f>
        <v>transcribed_unprocessed_pseudogene</v>
      </c>
    </row>
    <row r="2044" spans="1:9" x14ac:dyDescent="0.2">
      <c r="A2044" s="3" t="str">
        <f>"ENSG00000127084.19"</f>
        <v>ENSG00000127084.19</v>
      </c>
      <c r="B2044" s="3">
        <v>134.99558607167299</v>
      </c>
      <c r="C2044" s="3">
        <v>2.6830664073030599</v>
      </c>
      <c r="D2044" s="3">
        <v>0.446809640655002</v>
      </c>
      <c r="E2044" s="3">
        <v>6.0049429626670703</v>
      </c>
      <c r="F2044" s="4">
        <v>1.9139917724293299E-9</v>
      </c>
      <c r="G2044" s="4">
        <v>3.7265064268931701E-8</v>
      </c>
      <c r="H2044" s="3" t="str">
        <f>"FGD3"</f>
        <v>FGD3</v>
      </c>
      <c r="I2044" s="3" t="str">
        <f>"protein_coding"</f>
        <v>protein_coding</v>
      </c>
    </row>
    <row r="2045" spans="1:9" x14ac:dyDescent="0.2">
      <c r="A2045" s="3" t="str">
        <f>"ENSG00000131669.10"</f>
        <v>ENSG00000131669.10</v>
      </c>
      <c r="B2045" s="3">
        <v>3138.5851768062598</v>
      </c>
      <c r="C2045" s="3">
        <v>1.4931237380483999</v>
      </c>
      <c r="D2045" s="3">
        <v>0.290555241395476</v>
      </c>
      <c r="E2045" s="3">
        <v>5.1388635458002598</v>
      </c>
      <c r="F2045" s="4">
        <v>2.7640501628514199E-7</v>
      </c>
      <c r="G2045" s="4">
        <v>3.8329482826090097E-6</v>
      </c>
      <c r="H2045" s="3" t="str">
        <f>"NINJ1"</f>
        <v>NINJ1</v>
      </c>
      <c r="I2045" s="3" t="str">
        <f>"protein_coding"</f>
        <v>protein_coding</v>
      </c>
    </row>
    <row r="2046" spans="1:9" x14ac:dyDescent="0.2">
      <c r="A2046" s="3" t="str">
        <f>"ENSG00000286203.1"</f>
        <v>ENSG00000286203.1</v>
      </c>
      <c r="B2046" s="3">
        <v>16.6773720809529</v>
      </c>
      <c r="C2046" s="3">
        <v>4.4751781922637299</v>
      </c>
      <c r="D2046" s="3">
        <v>1.1371852793730901</v>
      </c>
      <c r="E2046" s="3">
        <v>3.93531139862348</v>
      </c>
      <c r="F2046" s="4">
        <v>8.3088892370154904E-5</v>
      </c>
      <c r="G2046" s="3">
        <v>6.8798587477657898E-4</v>
      </c>
      <c r="H2046" s="3" t="str">
        <f>"AL158152.2"</f>
        <v>AL158152.2</v>
      </c>
      <c r="I2046" s="3" t="str">
        <f>"transcribed_unitary_pseudogene"</f>
        <v>transcribed_unitary_pseudogene</v>
      </c>
    </row>
    <row r="2047" spans="1:9" x14ac:dyDescent="0.2">
      <c r="A2047" s="3" t="str">
        <f>"ENSG00000165140.10"</f>
        <v>ENSG00000165140.10</v>
      </c>
      <c r="B2047" s="3">
        <v>34.033002916922797</v>
      </c>
      <c r="C2047" s="3">
        <v>-2.73715489689571</v>
      </c>
      <c r="D2047" s="3">
        <v>0.67547935041557305</v>
      </c>
      <c r="E2047" s="3">
        <v>-4.0521666505596903</v>
      </c>
      <c r="F2047" s="4">
        <v>5.0745497165215297E-5</v>
      </c>
      <c r="G2047" s="3">
        <v>4.4508472147524098E-4</v>
      </c>
      <c r="H2047" s="3" t="str">
        <f>"FBP1"</f>
        <v>FBP1</v>
      </c>
      <c r="I2047" s="3" t="str">
        <f>"protein_coding"</f>
        <v>protein_coding</v>
      </c>
    </row>
    <row r="2048" spans="1:9" x14ac:dyDescent="0.2">
      <c r="A2048" s="3" t="str">
        <f>"ENSG00000185920.15"</f>
        <v>ENSG00000185920.15</v>
      </c>
      <c r="B2048" s="3">
        <v>682.94041628849504</v>
      </c>
      <c r="C2048" s="3">
        <v>-3.1600934571919699</v>
      </c>
      <c r="D2048" s="3">
        <v>0.29882858138107499</v>
      </c>
      <c r="E2048" s="3">
        <v>-10.574937118086901</v>
      </c>
      <c r="F2048" s="4">
        <v>3.8943865512292902E-26</v>
      </c>
      <c r="G2048" s="4">
        <v>3.2873588488648598E-24</v>
      </c>
      <c r="H2048" s="3" t="str">
        <f>"PTCH1"</f>
        <v>PTCH1</v>
      </c>
      <c r="I2048" s="3" t="str">
        <f>"protein_coding"</f>
        <v>protein_coding</v>
      </c>
    </row>
    <row r="2049" spans="1:9" x14ac:dyDescent="0.2">
      <c r="A2049" s="3" t="str">
        <f>"ENSG00000271155.1"</f>
        <v>ENSG00000271155.1</v>
      </c>
      <c r="B2049" s="3">
        <v>67.5541895034373</v>
      </c>
      <c r="C2049" s="3">
        <v>-2.6098424813159098</v>
      </c>
      <c r="D2049" s="3">
        <v>0.51373565749869399</v>
      </c>
      <c r="E2049" s="3">
        <v>-5.0801271884121597</v>
      </c>
      <c r="F2049" s="4">
        <v>3.7718225353886501E-7</v>
      </c>
      <c r="G2049" s="4">
        <v>5.1038297943895399E-6</v>
      </c>
      <c r="H2049" s="3" t="str">
        <f>"AL161729.1"</f>
        <v>AL161729.1</v>
      </c>
      <c r="I2049" s="3" t="str">
        <f>"antisense"</f>
        <v>antisense</v>
      </c>
    </row>
    <row r="2050" spans="1:9" x14ac:dyDescent="0.2">
      <c r="A2050" s="3" t="str">
        <f>"ENSG00000232283.1"</f>
        <v>ENSG00000232283.1</v>
      </c>
      <c r="B2050" s="3">
        <v>34.564469102080601</v>
      </c>
      <c r="C2050" s="3">
        <v>-2.8011662688450198</v>
      </c>
      <c r="D2050" s="3">
        <v>0.67041005802412201</v>
      </c>
      <c r="E2050" s="3">
        <v>-4.1782879527506003</v>
      </c>
      <c r="F2050" s="4">
        <v>2.93711652290261E-5</v>
      </c>
      <c r="G2050" s="3">
        <v>2.7063430818174001E-4</v>
      </c>
      <c r="H2050" s="3" t="str">
        <f>"HSD17B3-AS1"</f>
        <v>HSD17B3-AS1</v>
      </c>
      <c r="I2050" s="3" t="str">
        <f>"antisense"</f>
        <v>antisense</v>
      </c>
    </row>
    <row r="2051" spans="1:9" x14ac:dyDescent="0.2">
      <c r="A2051" s="3" t="str">
        <f>"ENSG00000207276.1"</f>
        <v>ENSG00000207276.1</v>
      </c>
      <c r="B2051" s="3">
        <v>5.0616757069930296</v>
      </c>
      <c r="C2051" s="3">
        <v>5.85403489036681</v>
      </c>
      <c r="D2051" s="3">
        <v>2.0313787912258401</v>
      </c>
      <c r="E2051" s="3">
        <v>2.8818036870583699</v>
      </c>
      <c r="F2051" s="3">
        <v>3.9540599889902597E-3</v>
      </c>
      <c r="G2051" s="3">
        <v>1.95142984153522E-2</v>
      </c>
      <c r="H2051" s="3" t="str">
        <f>"RNU6-1160P"</f>
        <v>RNU6-1160P</v>
      </c>
      <c r="I2051" s="3" t="str">
        <f>"snRNA"</f>
        <v>snRNA</v>
      </c>
    </row>
    <row r="2052" spans="1:9" x14ac:dyDescent="0.2">
      <c r="A2052" s="3" t="str">
        <f>"ENSG00000165244.7"</f>
        <v>ENSG00000165244.7</v>
      </c>
      <c r="B2052" s="3">
        <v>615.037397902875</v>
      </c>
      <c r="C2052" s="3">
        <v>-2.1166975093626701</v>
      </c>
      <c r="D2052" s="3">
        <v>0.27201454366248101</v>
      </c>
      <c r="E2052" s="3">
        <v>-7.7815600624248296</v>
      </c>
      <c r="F2052" s="4">
        <v>7.1635605754831393E-15</v>
      </c>
      <c r="G2052" s="4">
        <v>2.5779594603187198E-13</v>
      </c>
      <c r="H2052" s="3" t="str">
        <f>"ZNF367"</f>
        <v>ZNF367</v>
      </c>
      <c r="I2052" s="3" t="str">
        <f t="shared" ref="I2052:I2059" si="85">"protein_coding"</f>
        <v>protein_coding</v>
      </c>
    </row>
    <row r="2053" spans="1:9" x14ac:dyDescent="0.2">
      <c r="A2053" s="3" t="str">
        <f>"ENSG00000130956.14"</f>
        <v>ENSG00000130956.14</v>
      </c>
      <c r="B2053" s="3">
        <v>936.62942155908195</v>
      </c>
      <c r="C2053" s="3">
        <v>-1.0256550861677201</v>
      </c>
      <c r="D2053" s="3">
        <v>0.264865781730173</v>
      </c>
      <c r="E2053" s="3">
        <v>-3.8723578390076399</v>
      </c>
      <c r="F2053" s="3">
        <v>1.07787546090458E-4</v>
      </c>
      <c r="G2053" s="3">
        <v>8.6736907290642395E-4</v>
      </c>
      <c r="H2053" s="3" t="str">
        <f>"HABP4"</f>
        <v>HABP4</v>
      </c>
      <c r="I2053" s="3" t="str">
        <f t="shared" si="85"/>
        <v>protein_coding</v>
      </c>
    </row>
    <row r="2054" spans="1:9" x14ac:dyDescent="0.2">
      <c r="A2054" s="3" t="str">
        <f>"ENSG00000158122.12"</f>
        <v>ENSG00000158122.12</v>
      </c>
      <c r="B2054" s="3">
        <v>404.48731296961</v>
      </c>
      <c r="C2054" s="3">
        <v>-1.13590537218629</v>
      </c>
      <c r="D2054" s="3">
        <v>0.28167503372191399</v>
      </c>
      <c r="E2054" s="3">
        <v>-4.0326803450664501</v>
      </c>
      <c r="F2054" s="4">
        <v>5.51442660333926E-5</v>
      </c>
      <c r="G2054" s="3">
        <v>4.7932066761229898E-4</v>
      </c>
      <c r="H2054" s="3" t="str">
        <f>"PRXL2C"</f>
        <v>PRXL2C</v>
      </c>
      <c r="I2054" s="3" t="str">
        <f t="shared" si="85"/>
        <v>protein_coding</v>
      </c>
    </row>
    <row r="2055" spans="1:9" x14ac:dyDescent="0.2">
      <c r="A2055" s="3" t="str">
        <f>"ENSG00000095380.11"</f>
        <v>ENSG00000095380.11</v>
      </c>
      <c r="B2055" s="3">
        <v>2025.8531680516401</v>
      </c>
      <c r="C2055" s="3">
        <v>-1.0688033913641799</v>
      </c>
      <c r="D2055" s="3">
        <v>0.25539889783590602</v>
      </c>
      <c r="E2055" s="3">
        <v>-4.1848394821613102</v>
      </c>
      <c r="F2055" s="4">
        <v>2.8536767946412701E-5</v>
      </c>
      <c r="G2055" s="3">
        <v>2.6400970860316697E-4</v>
      </c>
      <c r="H2055" s="3" t="s">
        <v>0</v>
      </c>
      <c r="I2055" s="3" t="str">
        <f t="shared" si="85"/>
        <v>protein_coding</v>
      </c>
    </row>
    <row r="2056" spans="1:9" x14ac:dyDescent="0.2">
      <c r="A2056" s="3" t="str">
        <f>"ENSG00000095383.20"</f>
        <v>ENSG00000095383.20</v>
      </c>
      <c r="B2056" s="3">
        <v>357.065402043554</v>
      </c>
      <c r="C2056" s="3">
        <v>1.6478120339979401</v>
      </c>
      <c r="D2056" s="3">
        <v>0.33476783545407601</v>
      </c>
      <c r="E2056" s="3">
        <v>4.9222531542281098</v>
      </c>
      <c r="F2056" s="4">
        <v>8.5553442765123001E-7</v>
      </c>
      <c r="G2056" s="4">
        <v>1.08254368850939E-5</v>
      </c>
      <c r="H2056" s="3" t="str">
        <f>"TBC1D2"</f>
        <v>TBC1D2</v>
      </c>
      <c r="I2056" s="3" t="str">
        <f t="shared" si="85"/>
        <v>protein_coding</v>
      </c>
    </row>
    <row r="2057" spans="1:9" x14ac:dyDescent="0.2">
      <c r="A2057" s="3" t="str">
        <f>"ENSG00000136928.7"</f>
        <v>ENSG00000136928.7</v>
      </c>
      <c r="B2057" s="3">
        <v>634.33368109759601</v>
      </c>
      <c r="C2057" s="3">
        <v>4.57779001126874</v>
      </c>
      <c r="D2057" s="3">
        <v>0.296808180680043</v>
      </c>
      <c r="E2057" s="3">
        <v>15.423395678583301</v>
      </c>
      <c r="F2057" s="4">
        <v>1.1395180387676701E-53</v>
      </c>
      <c r="G2057" s="4">
        <v>3.2573382119546403E-51</v>
      </c>
      <c r="H2057" s="3" t="str">
        <f>"GABBR2"</f>
        <v>GABBR2</v>
      </c>
      <c r="I2057" s="3" t="str">
        <f t="shared" si="85"/>
        <v>protein_coding</v>
      </c>
    </row>
    <row r="2058" spans="1:9" x14ac:dyDescent="0.2">
      <c r="A2058" s="3" t="str">
        <f>"ENSG00000106799.13"</f>
        <v>ENSG00000106799.13</v>
      </c>
      <c r="B2058" s="3">
        <v>4408.0794786270399</v>
      </c>
      <c r="C2058" s="3">
        <v>1.5450254875751701</v>
      </c>
      <c r="D2058" s="3">
        <v>0.25209040945725703</v>
      </c>
      <c r="E2058" s="3">
        <v>6.1288546871004197</v>
      </c>
      <c r="F2058" s="4">
        <v>8.8513920411801596E-10</v>
      </c>
      <c r="G2058" s="4">
        <v>1.8176062595582601E-8</v>
      </c>
      <c r="H2058" s="3" t="str">
        <f>"TGFBR1"</f>
        <v>TGFBR1</v>
      </c>
      <c r="I2058" s="3" t="str">
        <f t="shared" si="85"/>
        <v>protein_coding</v>
      </c>
    </row>
    <row r="2059" spans="1:9" x14ac:dyDescent="0.2">
      <c r="A2059" s="3" t="str">
        <f>"ENSG00000119508.18"</f>
        <v>ENSG00000119508.18</v>
      </c>
      <c r="B2059" s="3">
        <v>44.456163089689099</v>
      </c>
      <c r="C2059" s="3">
        <v>-1.66469419176413</v>
      </c>
      <c r="D2059" s="3">
        <v>0.54819599300641997</v>
      </c>
      <c r="E2059" s="3">
        <v>-3.0366770516409698</v>
      </c>
      <c r="F2059" s="3">
        <v>2.3920158373310499E-3</v>
      </c>
      <c r="G2059" s="3">
        <v>1.27410276898341E-2</v>
      </c>
      <c r="H2059" s="3" t="str">
        <f>"NR4A3"</f>
        <v>NR4A3</v>
      </c>
      <c r="I2059" s="3" t="str">
        <f t="shared" si="85"/>
        <v>protein_coding</v>
      </c>
    </row>
    <row r="2060" spans="1:9" x14ac:dyDescent="0.2">
      <c r="A2060" s="3" t="str">
        <f>"ENSG00000231697.3"</f>
        <v>ENSG00000231697.3</v>
      </c>
      <c r="B2060" s="3">
        <v>42.855948799581597</v>
      </c>
      <c r="C2060" s="3">
        <v>1.6037028708006</v>
      </c>
      <c r="D2060" s="3">
        <v>0.57324063409637305</v>
      </c>
      <c r="E2060" s="3">
        <v>2.7976085005359002</v>
      </c>
      <c r="F2060" s="3">
        <v>5.1482472621158402E-3</v>
      </c>
      <c r="G2060" s="3">
        <v>2.4299080899027398E-2</v>
      </c>
      <c r="H2060" s="3" t="str">
        <f>"NANOGP5"</f>
        <v>NANOGP5</v>
      </c>
      <c r="I2060" s="3" t="str">
        <f>"transcribed_processed_pseudogene"</f>
        <v>transcribed_processed_pseudogene</v>
      </c>
    </row>
    <row r="2061" spans="1:9" x14ac:dyDescent="0.2">
      <c r="A2061" s="3" t="str">
        <f>"ENSG00000148123.15"</f>
        <v>ENSG00000148123.15</v>
      </c>
      <c r="B2061" s="3">
        <v>459.37703904413797</v>
      </c>
      <c r="C2061" s="3">
        <v>-2.2340103559407001</v>
      </c>
      <c r="D2061" s="3">
        <v>0.29677712125280498</v>
      </c>
      <c r="E2061" s="3">
        <v>-7.5275693305134999</v>
      </c>
      <c r="F2061" s="4">
        <v>5.1693562385167403E-14</v>
      </c>
      <c r="G2061" s="4">
        <v>1.6998059631358001E-12</v>
      </c>
      <c r="H2061" s="3" t="str">
        <f>"PLPPR1"</f>
        <v>PLPPR1</v>
      </c>
      <c r="I2061" s="3" t="str">
        <f>"protein_coding"</f>
        <v>protein_coding</v>
      </c>
    </row>
    <row r="2062" spans="1:9" x14ac:dyDescent="0.2">
      <c r="A2062" s="3" t="str">
        <f>"ENSG00000136897.8"</f>
        <v>ENSG00000136897.8</v>
      </c>
      <c r="B2062" s="3">
        <v>2611.8228051103101</v>
      </c>
      <c r="C2062" s="3">
        <v>-1.06075696516909</v>
      </c>
      <c r="D2062" s="3">
        <v>0.33561046014331702</v>
      </c>
      <c r="E2062" s="3">
        <v>-3.16067909419781</v>
      </c>
      <c r="F2062" s="3">
        <v>1.57401806964585E-3</v>
      </c>
      <c r="G2062" s="3">
        <v>8.9783275605309198E-3</v>
      </c>
      <c r="H2062" s="3" t="str">
        <f>"MRPL50"</f>
        <v>MRPL50</v>
      </c>
      <c r="I2062" s="3" t="str">
        <f>"protein_coding"</f>
        <v>protein_coding</v>
      </c>
    </row>
    <row r="2063" spans="1:9" x14ac:dyDescent="0.2">
      <c r="A2063" s="3" t="str">
        <f>"ENSG00000136824.19"</f>
        <v>ENSG00000136824.19</v>
      </c>
      <c r="B2063" s="3">
        <v>3678.3286147323302</v>
      </c>
      <c r="C2063" s="3">
        <v>-1.05171203357984</v>
      </c>
      <c r="D2063" s="3">
        <v>0.26164218643743697</v>
      </c>
      <c r="E2063" s="3">
        <v>-4.01965771613561</v>
      </c>
      <c r="F2063" s="4">
        <v>5.8282754801472398E-5</v>
      </c>
      <c r="G2063" s="3">
        <v>5.0398855174666097E-4</v>
      </c>
      <c r="H2063" s="3" t="str">
        <f>"SMC2"</f>
        <v>SMC2</v>
      </c>
      <c r="I2063" s="3" t="str">
        <f>"protein_coding"</f>
        <v>protein_coding</v>
      </c>
    </row>
    <row r="2064" spans="1:9" x14ac:dyDescent="0.2">
      <c r="A2064" s="3" t="str">
        <f>"ENSG00000136783.10"</f>
        <v>ENSG00000136783.10</v>
      </c>
      <c r="B2064" s="3">
        <v>415.42367442109702</v>
      </c>
      <c r="C2064" s="3">
        <v>-1.1387696714766999</v>
      </c>
      <c r="D2064" s="3">
        <v>0.287367626208203</v>
      </c>
      <c r="E2064" s="3">
        <v>-3.9627625648118099</v>
      </c>
      <c r="F2064" s="4">
        <v>7.4087455332539005E-5</v>
      </c>
      <c r="G2064" s="3">
        <v>6.2309259073554696E-4</v>
      </c>
      <c r="H2064" s="3" t="str">
        <f>"NIPSNAP3A"</f>
        <v>NIPSNAP3A</v>
      </c>
      <c r="I2064" s="3" t="str">
        <f>"protein_coding"</f>
        <v>protein_coding</v>
      </c>
    </row>
    <row r="2065" spans="1:9" x14ac:dyDescent="0.2">
      <c r="A2065" s="3" t="str">
        <f>"ENSG00000165029.16"</f>
        <v>ENSG00000165029.16</v>
      </c>
      <c r="B2065" s="3">
        <v>5896.6875992253499</v>
      </c>
      <c r="C2065" s="3">
        <v>1.0032522337677099</v>
      </c>
      <c r="D2065" s="3">
        <v>0.23514907726253401</v>
      </c>
      <c r="E2065" s="3">
        <v>4.2664519267818397</v>
      </c>
      <c r="F2065" s="4">
        <v>1.9860626605391E-5</v>
      </c>
      <c r="G2065" s="3">
        <v>1.90249071690255E-4</v>
      </c>
      <c r="H2065" s="3" t="str">
        <f>"ABCA1"</f>
        <v>ABCA1</v>
      </c>
      <c r="I2065" s="3" t="str">
        <f>"protein_coding"</f>
        <v>protein_coding</v>
      </c>
    </row>
    <row r="2066" spans="1:9" x14ac:dyDescent="0.2">
      <c r="A2066" s="3" t="str">
        <f>"ENSG00000226535.1"</f>
        <v>ENSG00000226535.1</v>
      </c>
      <c r="B2066" s="3">
        <v>137.11809219881499</v>
      </c>
      <c r="C2066" s="3">
        <v>8.1731557282153808</v>
      </c>
      <c r="D2066" s="3">
        <v>1.08597190553899</v>
      </c>
      <c r="E2066" s="3">
        <v>7.5261207831697101</v>
      </c>
      <c r="F2066" s="4">
        <v>5.2269991788879897E-14</v>
      </c>
      <c r="G2066" s="4">
        <v>1.71427854426242E-12</v>
      </c>
      <c r="H2066" s="3" t="str">
        <f>"AL445487.1"</f>
        <v>AL445487.1</v>
      </c>
      <c r="I2066" s="3" t="str">
        <f>"processed_pseudogene"</f>
        <v>processed_pseudogene</v>
      </c>
    </row>
    <row r="2067" spans="1:9" x14ac:dyDescent="0.2">
      <c r="A2067" s="3" t="str">
        <f>"ENSG00000070159.14"</f>
        <v>ENSG00000070159.14</v>
      </c>
      <c r="B2067" s="3">
        <v>1864.0909255096001</v>
      </c>
      <c r="C2067" s="3">
        <v>1.81577595674609</v>
      </c>
      <c r="D2067" s="3">
        <v>0.24191023294765099</v>
      </c>
      <c r="E2067" s="3">
        <v>7.5059906917580603</v>
      </c>
      <c r="F2067" s="4">
        <v>6.0965750020945796E-14</v>
      </c>
      <c r="G2067" s="4">
        <v>1.9865200023016699E-12</v>
      </c>
      <c r="H2067" s="3" t="str">
        <f>"PTPN3"</f>
        <v>PTPN3</v>
      </c>
      <c r="I2067" s="3" t="str">
        <f>"protein_coding"</f>
        <v>protein_coding</v>
      </c>
    </row>
    <row r="2068" spans="1:9" x14ac:dyDescent="0.2">
      <c r="A2068" s="3" t="str">
        <f>"ENSG00000188959.9"</f>
        <v>ENSG00000188959.9</v>
      </c>
      <c r="B2068" s="3">
        <v>44.346754358279298</v>
      </c>
      <c r="C2068" s="3">
        <v>-2.2975943465940798</v>
      </c>
      <c r="D2068" s="3">
        <v>0.56866179297817698</v>
      </c>
      <c r="E2068" s="3">
        <v>-4.04035293906629</v>
      </c>
      <c r="F2068" s="4">
        <v>5.3370822958983301E-5</v>
      </c>
      <c r="G2068" s="3">
        <v>4.6567570292515599E-4</v>
      </c>
      <c r="H2068" s="3" t="str">
        <f>"C9orf152"</f>
        <v>C9orf152</v>
      </c>
      <c r="I2068" s="3" t="str">
        <f>"protein_coding"</f>
        <v>protein_coding</v>
      </c>
    </row>
    <row r="2069" spans="1:9" x14ac:dyDescent="0.2">
      <c r="A2069" s="3" t="str">
        <f>"ENSG00000106853.20"</f>
        <v>ENSG00000106853.20</v>
      </c>
      <c r="B2069" s="3">
        <v>1062.9804769778</v>
      </c>
      <c r="C2069" s="3">
        <v>2.1054552276018299</v>
      </c>
      <c r="D2069" s="3">
        <v>0.27428645042389999</v>
      </c>
      <c r="E2069" s="3">
        <v>7.6761182491804396</v>
      </c>
      <c r="F2069" s="4">
        <v>1.6398176539908099E-14</v>
      </c>
      <c r="G2069" s="4">
        <v>5.6506319296080703E-13</v>
      </c>
      <c r="H2069" s="3" t="str">
        <f>"PTGR1"</f>
        <v>PTGR1</v>
      </c>
      <c r="I2069" s="3" t="str">
        <f>"protein_coding"</f>
        <v>protein_coding</v>
      </c>
    </row>
    <row r="2070" spans="1:9" x14ac:dyDescent="0.2">
      <c r="A2070" s="3" t="str">
        <f>"ENSG00000243911.3"</f>
        <v>ENSG00000243911.3</v>
      </c>
      <c r="B2070" s="3">
        <v>21.276466027323998</v>
      </c>
      <c r="C2070" s="3">
        <v>2.2001626080758498</v>
      </c>
      <c r="D2070" s="3">
        <v>0.77201901851027599</v>
      </c>
      <c r="E2070" s="3">
        <v>2.8498813569662902</v>
      </c>
      <c r="F2070" s="3">
        <v>4.3735539973494501E-3</v>
      </c>
      <c r="G2070" s="3">
        <v>2.1210092693912701E-2</v>
      </c>
      <c r="H2070" s="3" t="str">
        <f>"RN7SL430P"</f>
        <v>RN7SL430P</v>
      </c>
      <c r="I2070" s="3" t="str">
        <f>"misc_RNA"</f>
        <v>misc_RNA</v>
      </c>
    </row>
    <row r="2071" spans="1:9" x14ac:dyDescent="0.2">
      <c r="A2071" s="3" t="str">
        <f>"ENSG00000230081.2"</f>
        <v>ENSG00000230081.2</v>
      </c>
      <c r="B2071" s="3">
        <v>39.183290982011897</v>
      </c>
      <c r="C2071" s="3">
        <v>1.76107768393109</v>
      </c>
      <c r="D2071" s="3">
        <v>0.687347387038302</v>
      </c>
      <c r="E2071" s="3">
        <v>2.5621362896560398</v>
      </c>
      <c r="F2071" s="3">
        <v>1.04030485942552E-2</v>
      </c>
      <c r="G2071" s="3">
        <v>4.3658439671086E-2</v>
      </c>
      <c r="H2071" s="3" t="str">
        <f>"HSPE1P28"</f>
        <v>HSPE1P28</v>
      </c>
      <c r="I2071" s="3" t="str">
        <f>"processed_pseudogene"</f>
        <v>processed_pseudogene</v>
      </c>
    </row>
    <row r="2072" spans="1:9" x14ac:dyDescent="0.2">
      <c r="A2072" s="3" t="str">
        <f>"ENSG00000136875.12"</f>
        <v>ENSG00000136875.12</v>
      </c>
      <c r="B2072" s="3">
        <v>1699.8567773452201</v>
      </c>
      <c r="C2072" s="3">
        <v>-1.02660068403191</v>
      </c>
      <c r="D2072" s="3">
        <v>0.242693258080621</v>
      </c>
      <c r="E2072" s="3">
        <v>-4.23003379719301</v>
      </c>
      <c r="F2072" s="4">
        <v>2.33656204727385E-5</v>
      </c>
      <c r="G2072" s="3">
        <v>2.20661018715041E-4</v>
      </c>
      <c r="H2072" s="3" t="str">
        <f>"PRPF4"</f>
        <v>PRPF4</v>
      </c>
      <c r="I2072" s="3" t="str">
        <f>"protein_coding"</f>
        <v>protein_coding</v>
      </c>
    </row>
    <row r="2073" spans="1:9" x14ac:dyDescent="0.2">
      <c r="A2073" s="3" t="str">
        <f>"ENSG00000148229.13"</f>
        <v>ENSG00000148229.13</v>
      </c>
      <c r="B2073" s="3">
        <v>1845.94665442208</v>
      </c>
      <c r="C2073" s="3">
        <v>-1.04598742173556</v>
      </c>
      <c r="D2073" s="3">
        <v>0.25954089137291297</v>
      </c>
      <c r="E2073" s="3">
        <v>-4.0301449848712396</v>
      </c>
      <c r="F2073" s="4">
        <v>5.5742459945168997E-5</v>
      </c>
      <c r="G2073" s="3">
        <v>4.8401849496745798E-4</v>
      </c>
      <c r="H2073" s="3" t="str">
        <f>"POLE3"</f>
        <v>POLE3</v>
      </c>
      <c r="I2073" s="3" t="str">
        <f>"protein_coding"</f>
        <v>protein_coding</v>
      </c>
    </row>
    <row r="2074" spans="1:9" x14ac:dyDescent="0.2">
      <c r="A2074" s="3" t="str">
        <f>"ENSG00000227482.1"</f>
        <v>ENSG00000227482.1</v>
      </c>
      <c r="B2074" s="3">
        <v>24.024323958794799</v>
      </c>
      <c r="C2074" s="3">
        <v>-1.8930170849118999</v>
      </c>
      <c r="D2074" s="3">
        <v>0.74704658376281796</v>
      </c>
      <c r="E2074" s="3">
        <v>-2.5340013943667601</v>
      </c>
      <c r="F2074" s="3">
        <v>1.12768283000555E-2</v>
      </c>
      <c r="G2074" s="3">
        <v>4.6656022349982999E-2</v>
      </c>
      <c r="H2074" s="3" t="str">
        <f>"AL157702.2"</f>
        <v>AL157702.2</v>
      </c>
      <c r="I2074" s="3" t="str">
        <f>"lincRNA"</f>
        <v>lincRNA</v>
      </c>
    </row>
    <row r="2075" spans="1:9" x14ac:dyDescent="0.2">
      <c r="A2075" s="3" t="str">
        <f>"ENSG00000136883.14"</f>
        <v>ENSG00000136883.14</v>
      </c>
      <c r="B2075" s="3">
        <v>122.748772907571</v>
      </c>
      <c r="C2075" s="3">
        <v>-1.75829266522332</v>
      </c>
      <c r="D2075" s="3">
        <v>0.41775475937710799</v>
      </c>
      <c r="E2075" s="3">
        <v>-4.20891115123385</v>
      </c>
      <c r="F2075" s="4">
        <v>2.56604258619487E-5</v>
      </c>
      <c r="G2075" s="3">
        <v>2.4058442510522499E-4</v>
      </c>
      <c r="H2075" s="3" t="str">
        <f>"KIF12"</f>
        <v>KIF12</v>
      </c>
      <c r="I2075" s="3" t="str">
        <f t="shared" ref="I2075:I2080" si="86">"protein_coding"</f>
        <v>protein_coding</v>
      </c>
    </row>
    <row r="2076" spans="1:9" x14ac:dyDescent="0.2">
      <c r="A2076" s="3" t="str">
        <f>"ENSG00000229314.5"</f>
        <v>ENSG00000229314.5</v>
      </c>
      <c r="B2076" s="3">
        <v>2932.35102491512</v>
      </c>
      <c r="C2076" s="3">
        <v>-1.3397030155512499</v>
      </c>
      <c r="D2076" s="3">
        <v>0.24313830580314999</v>
      </c>
      <c r="E2076" s="3">
        <v>-5.5100450384642397</v>
      </c>
      <c r="F2076" s="4">
        <v>3.5874189552155802E-8</v>
      </c>
      <c r="G2076" s="4">
        <v>5.7699184027140702E-7</v>
      </c>
      <c r="H2076" s="3" t="str">
        <f>"ORM1"</f>
        <v>ORM1</v>
      </c>
      <c r="I2076" s="3" t="str">
        <f t="shared" si="86"/>
        <v>protein_coding</v>
      </c>
    </row>
    <row r="2077" spans="1:9" x14ac:dyDescent="0.2">
      <c r="A2077" s="3" t="str">
        <f>"ENSG00000106948.16"</f>
        <v>ENSG00000106948.16</v>
      </c>
      <c r="B2077" s="3">
        <v>781.04579387174499</v>
      </c>
      <c r="C2077" s="3">
        <v>1.43205225051275</v>
      </c>
      <c r="D2077" s="3">
        <v>0.33419398648146598</v>
      </c>
      <c r="E2077" s="3">
        <v>4.28509281567269</v>
      </c>
      <c r="F2077" s="4">
        <v>1.8266291257957101E-5</v>
      </c>
      <c r="G2077" s="3">
        <v>1.76862415932991E-4</v>
      </c>
      <c r="H2077" s="3" t="str">
        <f>"AKNA"</f>
        <v>AKNA</v>
      </c>
      <c r="I2077" s="3" t="str">
        <f t="shared" si="86"/>
        <v>protein_coding</v>
      </c>
    </row>
    <row r="2078" spans="1:9" x14ac:dyDescent="0.2">
      <c r="A2078" s="3" t="str">
        <f>"ENSG00000095397.14"</f>
        <v>ENSG00000095397.14</v>
      </c>
      <c r="B2078" s="3">
        <v>1262.90810556418</v>
      </c>
      <c r="C2078" s="3">
        <v>3.5520704552753499</v>
      </c>
      <c r="D2078" s="3">
        <v>0.32549107087567802</v>
      </c>
      <c r="E2078" s="3">
        <v>10.9129582133209</v>
      </c>
      <c r="F2078" s="4">
        <v>9.9949943971860301E-28</v>
      </c>
      <c r="G2078" s="4">
        <v>9.0766817350618996E-26</v>
      </c>
      <c r="H2078" s="3" t="str">
        <f>"WHRN"</f>
        <v>WHRN</v>
      </c>
      <c r="I2078" s="3" t="str">
        <f t="shared" si="86"/>
        <v>protein_coding</v>
      </c>
    </row>
    <row r="2079" spans="1:9" x14ac:dyDescent="0.2">
      <c r="A2079" s="3" t="str">
        <f>"ENSG00000181634.8"</f>
        <v>ENSG00000181634.8</v>
      </c>
      <c r="B2079" s="3">
        <v>41.4304590161668</v>
      </c>
      <c r="C2079" s="3">
        <v>2.2701505279521199</v>
      </c>
      <c r="D2079" s="3">
        <v>0.66474098067871601</v>
      </c>
      <c r="E2079" s="3">
        <v>3.4150903794651599</v>
      </c>
      <c r="F2079" s="3">
        <v>6.3760851196011201E-4</v>
      </c>
      <c r="G2079" s="3">
        <v>4.1487434346499296E-3</v>
      </c>
      <c r="H2079" s="3" t="str">
        <f>"TNFSF15"</f>
        <v>TNFSF15</v>
      </c>
      <c r="I2079" s="3" t="str">
        <f t="shared" si="86"/>
        <v>protein_coding</v>
      </c>
    </row>
    <row r="2080" spans="1:9" x14ac:dyDescent="0.2">
      <c r="A2080" s="3" t="str">
        <f>"ENSG00000182752.10"</f>
        <v>ENSG00000182752.10</v>
      </c>
      <c r="B2080" s="3">
        <v>101.658719817556</v>
      </c>
      <c r="C2080" s="3">
        <v>1.5750602330464301</v>
      </c>
      <c r="D2080" s="3">
        <v>0.397828139496685</v>
      </c>
      <c r="E2080" s="3">
        <v>3.9591473721268802</v>
      </c>
      <c r="F2080" s="4">
        <v>7.5217813958106504E-5</v>
      </c>
      <c r="G2080" s="3">
        <v>6.3133270274146405E-4</v>
      </c>
      <c r="H2080" s="3" t="str">
        <f>"PAPPA"</f>
        <v>PAPPA</v>
      </c>
      <c r="I2080" s="3" t="str">
        <f t="shared" si="86"/>
        <v>protein_coding</v>
      </c>
    </row>
    <row r="2081" spans="1:9" x14ac:dyDescent="0.2">
      <c r="A2081" s="3" t="str">
        <f>"ENSG00000256040.2"</f>
        <v>ENSG00000256040.2</v>
      </c>
      <c r="B2081" s="3">
        <v>187.79400403697099</v>
      </c>
      <c r="C2081" s="3">
        <v>4.5796084622689701</v>
      </c>
      <c r="D2081" s="3">
        <v>0.442836101891666</v>
      </c>
      <c r="E2081" s="3">
        <v>10.3415427123178</v>
      </c>
      <c r="F2081" s="4">
        <v>4.57118655858909E-25</v>
      </c>
      <c r="G2081" s="4">
        <v>3.5933811837908899E-23</v>
      </c>
      <c r="H2081" s="3" t="str">
        <f>"PAPPA-AS1"</f>
        <v>PAPPA-AS1</v>
      </c>
      <c r="I2081" s="3" t="str">
        <f>"antisense"</f>
        <v>antisense</v>
      </c>
    </row>
    <row r="2082" spans="1:9" x14ac:dyDescent="0.2">
      <c r="A2082" s="3" t="str">
        <f>"ENSG00000148219.16"</f>
        <v>ENSG00000148219.16</v>
      </c>
      <c r="B2082" s="3">
        <v>1427.0481564678601</v>
      </c>
      <c r="C2082" s="3">
        <v>4.1768948211022003</v>
      </c>
      <c r="D2082" s="3">
        <v>0.26170401406696397</v>
      </c>
      <c r="E2082" s="3">
        <v>15.960377359872799</v>
      </c>
      <c r="F2082" s="4">
        <v>2.41268228418257E-57</v>
      </c>
      <c r="G2082" s="4">
        <v>7.8819510205990501E-55</v>
      </c>
      <c r="H2082" s="3" t="str">
        <f>"ASTN2"</f>
        <v>ASTN2</v>
      </c>
      <c r="I2082" s="3" t="str">
        <f>"protein_coding"</f>
        <v>protein_coding</v>
      </c>
    </row>
    <row r="2083" spans="1:9" x14ac:dyDescent="0.2">
      <c r="A2083" s="3" t="str">
        <f>"ENSG00000119401.10"</f>
        <v>ENSG00000119401.10</v>
      </c>
      <c r="B2083" s="3">
        <v>917.27564061400096</v>
      </c>
      <c r="C2083" s="3">
        <v>1.7420795109429099</v>
      </c>
      <c r="D2083" s="3">
        <v>0.27037747404677398</v>
      </c>
      <c r="E2083" s="3">
        <v>6.4431384940061101</v>
      </c>
      <c r="F2083" s="4">
        <v>1.1702781281530099E-10</v>
      </c>
      <c r="G2083" s="4">
        <v>2.6616949650713301E-9</v>
      </c>
      <c r="H2083" s="3" t="str">
        <f>"TRIM32"</f>
        <v>TRIM32</v>
      </c>
      <c r="I2083" s="3" t="str">
        <f>"protein_coding"</f>
        <v>protein_coding</v>
      </c>
    </row>
    <row r="2084" spans="1:9" x14ac:dyDescent="0.2">
      <c r="A2084" s="3" t="str">
        <f>"ENSG00000285820.1"</f>
        <v>ENSG00000285820.1</v>
      </c>
      <c r="B2084" s="3">
        <v>113.26437078767999</v>
      </c>
      <c r="C2084" s="3">
        <v>7.8892837152804596</v>
      </c>
      <c r="D2084" s="3">
        <v>1.0860542450429</v>
      </c>
      <c r="E2084" s="3">
        <v>7.2641709668644197</v>
      </c>
      <c r="F2084" s="4">
        <v>3.7533304677920802E-13</v>
      </c>
      <c r="G2084" s="4">
        <v>1.14027811494336E-11</v>
      </c>
      <c r="H2084" s="3" t="str">
        <f>"AL157829.1"</f>
        <v>AL157829.1</v>
      </c>
      <c r="I2084" s="3" t="str">
        <f>"antisense"</f>
        <v>antisense</v>
      </c>
    </row>
    <row r="2085" spans="1:9" x14ac:dyDescent="0.2">
      <c r="A2085" s="3" t="str">
        <f>"ENSG00000119402.17"</f>
        <v>ENSG00000119402.17</v>
      </c>
      <c r="B2085" s="3">
        <v>6311.3352192046495</v>
      </c>
      <c r="C2085" s="3">
        <v>1.1621206968519999</v>
      </c>
      <c r="D2085" s="3">
        <v>0.23718277439840599</v>
      </c>
      <c r="E2085" s="3">
        <v>4.8996842194784804</v>
      </c>
      <c r="F2085" s="4">
        <v>9.5990809807519795E-7</v>
      </c>
      <c r="G2085" s="4">
        <v>1.20611829206202E-5</v>
      </c>
      <c r="H2085" s="3" t="str">
        <f>"FBXW2"</f>
        <v>FBXW2</v>
      </c>
      <c r="I2085" s="3" t="str">
        <f t="shared" ref="I2085:I2095" si="87">"protein_coding"</f>
        <v>protein_coding</v>
      </c>
    </row>
    <row r="2086" spans="1:9" x14ac:dyDescent="0.2">
      <c r="A2086" s="3" t="str">
        <f>"ENSG00000106804.7"</f>
        <v>ENSG00000106804.7</v>
      </c>
      <c r="B2086" s="3">
        <v>5150.3372854549598</v>
      </c>
      <c r="C2086" s="3">
        <v>1.6513668738314999</v>
      </c>
      <c r="D2086" s="3">
        <v>0.27270902124933399</v>
      </c>
      <c r="E2086" s="3">
        <v>6.0554171118588496</v>
      </c>
      <c r="F2086" s="4">
        <v>1.4005427745580699E-9</v>
      </c>
      <c r="G2086" s="4">
        <v>2.7872352447791299E-8</v>
      </c>
      <c r="H2086" s="3" t="str">
        <f>"C5"</f>
        <v>C5</v>
      </c>
      <c r="I2086" s="3" t="str">
        <f t="shared" si="87"/>
        <v>protein_coding</v>
      </c>
    </row>
    <row r="2087" spans="1:9" x14ac:dyDescent="0.2">
      <c r="A2087" s="3" t="str">
        <f>"ENSG00000148180.19"</f>
        <v>ENSG00000148180.19</v>
      </c>
      <c r="B2087" s="3">
        <v>15173.605070563401</v>
      </c>
      <c r="C2087" s="3">
        <v>1.4751496793391501</v>
      </c>
      <c r="D2087" s="3">
        <v>0.28559684047192402</v>
      </c>
      <c r="E2087" s="3">
        <v>5.1651470545038096</v>
      </c>
      <c r="F2087" s="4">
        <v>2.4024996379199902E-7</v>
      </c>
      <c r="G2087" s="4">
        <v>3.3743650693398898E-6</v>
      </c>
      <c r="H2087" s="3" t="str">
        <f>"GSN"</f>
        <v>GSN</v>
      </c>
      <c r="I2087" s="3" t="str">
        <f t="shared" si="87"/>
        <v>protein_coding</v>
      </c>
    </row>
    <row r="2088" spans="1:9" x14ac:dyDescent="0.2">
      <c r="A2088" s="3" t="str">
        <f>"ENSG00000148175.12"</f>
        <v>ENSG00000148175.12</v>
      </c>
      <c r="B2088" s="3">
        <v>3143.2769894989901</v>
      </c>
      <c r="C2088" s="3">
        <v>3.3065008683677499</v>
      </c>
      <c r="D2088" s="3">
        <v>0.27478100863350702</v>
      </c>
      <c r="E2088" s="3">
        <v>12.0332219639598</v>
      </c>
      <c r="F2088" s="4">
        <v>2.3770000019155098E-33</v>
      </c>
      <c r="G2088" s="4">
        <v>2.7940857499151801E-31</v>
      </c>
      <c r="H2088" s="3" t="str">
        <f>"STOM"</f>
        <v>STOM</v>
      </c>
      <c r="I2088" s="3" t="str">
        <f t="shared" si="87"/>
        <v>protein_coding</v>
      </c>
    </row>
    <row r="2089" spans="1:9" x14ac:dyDescent="0.2">
      <c r="A2089" s="3" t="str">
        <f>"ENSG00000106852.15"</f>
        <v>ENSG00000106852.15</v>
      </c>
      <c r="B2089" s="3">
        <v>100.246925091969</v>
      </c>
      <c r="C2089" s="3">
        <v>2.3861427396838599</v>
      </c>
      <c r="D2089" s="3">
        <v>0.42958421991423101</v>
      </c>
      <c r="E2089" s="3">
        <v>5.5545400158326803</v>
      </c>
      <c r="F2089" s="4">
        <v>2.78343747111047E-8</v>
      </c>
      <c r="G2089" s="4">
        <v>4.5643656835582602E-7</v>
      </c>
      <c r="H2089" s="3" t="str">
        <f>"LHX6"</f>
        <v>LHX6</v>
      </c>
      <c r="I2089" s="3" t="str">
        <f t="shared" si="87"/>
        <v>protein_coding</v>
      </c>
    </row>
    <row r="2090" spans="1:9" x14ac:dyDescent="0.2">
      <c r="A2090" s="3" t="str">
        <f>"ENSG00000119446.14"</f>
        <v>ENSG00000119446.14</v>
      </c>
      <c r="B2090" s="3">
        <v>1020.11182852792</v>
      </c>
      <c r="C2090" s="3">
        <v>1.42036017690864</v>
      </c>
      <c r="D2090" s="3">
        <v>0.27196759697855799</v>
      </c>
      <c r="E2090" s="3">
        <v>5.22253456914805</v>
      </c>
      <c r="F2090" s="4">
        <v>1.7649059586192699E-7</v>
      </c>
      <c r="G2090" s="4">
        <v>2.5427382238870401E-6</v>
      </c>
      <c r="H2090" s="3" t="str">
        <f>"RBM18"</f>
        <v>RBM18</v>
      </c>
      <c r="I2090" s="3" t="str">
        <f t="shared" si="87"/>
        <v>protein_coding</v>
      </c>
    </row>
    <row r="2091" spans="1:9" x14ac:dyDescent="0.2">
      <c r="A2091" s="3" t="str">
        <f>"ENSG00000136931.10"</f>
        <v>ENSG00000136931.10</v>
      </c>
      <c r="B2091" s="3">
        <v>6925.3651213921303</v>
      </c>
      <c r="C2091" s="3">
        <v>2.1264274113639998</v>
      </c>
      <c r="D2091" s="3">
        <v>0.27894916925235902</v>
      </c>
      <c r="E2091" s="3">
        <v>7.6229924507868896</v>
      </c>
      <c r="F2091" s="4">
        <v>2.4786138138851001E-14</v>
      </c>
      <c r="G2091" s="4">
        <v>8.3915922595262004E-13</v>
      </c>
      <c r="H2091" s="3" t="str">
        <f>"NR5A1"</f>
        <v>NR5A1</v>
      </c>
      <c r="I2091" s="3" t="str">
        <f t="shared" si="87"/>
        <v>protein_coding</v>
      </c>
    </row>
    <row r="2092" spans="1:9" x14ac:dyDescent="0.2">
      <c r="A2092" s="3" t="str">
        <f>"ENSG00000136935.13"</f>
        <v>ENSG00000136935.13</v>
      </c>
      <c r="B2092" s="3">
        <v>1865.52740777294</v>
      </c>
      <c r="C2092" s="3">
        <v>1.94646680058179</v>
      </c>
      <c r="D2092" s="3">
        <v>0.242705223448753</v>
      </c>
      <c r="E2092" s="3">
        <v>8.0198801365838097</v>
      </c>
      <c r="F2092" s="4">
        <v>1.0584840307054001E-15</v>
      </c>
      <c r="G2092" s="4">
        <v>4.1280877197510603E-14</v>
      </c>
      <c r="H2092" s="3" t="str">
        <f>"GOLGA1"</f>
        <v>GOLGA1</v>
      </c>
      <c r="I2092" s="3" t="str">
        <f t="shared" si="87"/>
        <v>protein_coding</v>
      </c>
    </row>
    <row r="2093" spans="1:9" x14ac:dyDescent="0.2">
      <c r="A2093" s="3" t="str">
        <f>"ENSG00000136933.16"</f>
        <v>ENSG00000136933.16</v>
      </c>
      <c r="B2093" s="3">
        <v>671.48217762204604</v>
      </c>
      <c r="C2093" s="3">
        <v>-1.21795964140617</v>
      </c>
      <c r="D2093" s="3">
        <v>0.27750851598814602</v>
      </c>
      <c r="E2093" s="3">
        <v>-4.3889090648958504</v>
      </c>
      <c r="F2093" s="4">
        <v>1.13920688493212E-5</v>
      </c>
      <c r="G2093" s="3">
        <v>1.14856710182234E-4</v>
      </c>
      <c r="H2093" s="3" t="str">
        <f>"RABEPK"</f>
        <v>RABEPK</v>
      </c>
      <c r="I2093" s="3" t="str">
        <f t="shared" si="87"/>
        <v>protein_coding</v>
      </c>
    </row>
    <row r="2094" spans="1:9" x14ac:dyDescent="0.2">
      <c r="A2094" s="3" t="str">
        <f>"ENSG00000167081.17"</f>
        <v>ENSG00000167081.17</v>
      </c>
      <c r="B2094" s="3">
        <v>422.97729511799201</v>
      </c>
      <c r="C2094" s="3">
        <v>-1.0274882799161</v>
      </c>
      <c r="D2094" s="3">
        <v>0.29374352014258998</v>
      </c>
      <c r="E2094" s="3">
        <v>-3.49790960296703</v>
      </c>
      <c r="F2094" s="3">
        <v>4.6892004159028E-4</v>
      </c>
      <c r="G2094" s="3">
        <v>3.16153407831774E-3</v>
      </c>
      <c r="H2094" s="3" t="str">
        <f>"PBX3"</f>
        <v>PBX3</v>
      </c>
      <c r="I2094" s="3" t="str">
        <f t="shared" si="87"/>
        <v>protein_coding</v>
      </c>
    </row>
    <row r="2095" spans="1:9" x14ac:dyDescent="0.2">
      <c r="A2095" s="3" t="str">
        <f>"ENSG00000196814.15"</f>
        <v>ENSG00000196814.15</v>
      </c>
      <c r="B2095" s="3">
        <v>1564.3530456512001</v>
      </c>
      <c r="C2095" s="3">
        <v>1.2581109783409501</v>
      </c>
      <c r="D2095" s="3">
        <v>0.29574724024597798</v>
      </c>
      <c r="E2095" s="3">
        <v>4.25400750077858</v>
      </c>
      <c r="F2095" s="4">
        <v>2.0997826249891899E-5</v>
      </c>
      <c r="G2095" s="3">
        <v>1.99773191874444E-4</v>
      </c>
      <c r="H2095" s="3" t="str">
        <f>"MVB12B"</f>
        <v>MVB12B</v>
      </c>
      <c r="I2095" s="3" t="str">
        <f t="shared" si="87"/>
        <v>protein_coding</v>
      </c>
    </row>
    <row r="2096" spans="1:9" x14ac:dyDescent="0.2">
      <c r="A2096" s="3" t="str">
        <f>"ENSG00000252985.1"</f>
        <v>ENSG00000252985.1</v>
      </c>
      <c r="B2096" s="3">
        <v>38.962838190100001</v>
      </c>
      <c r="C2096" s="3">
        <v>1.9893955017934399</v>
      </c>
      <c r="D2096" s="3">
        <v>0.60949634240025896</v>
      </c>
      <c r="E2096" s="3">
        <v>3.2639990815350801</v>
      </c>
      <c r="F2096" s="3">
        <v>1.0985152155308299E-3</v>
      </c>
      <c r="G2096" s="3">
        <v>6.6076399442080097E-3</v>
      </c>
      <c r="H2096" s="3" t="str">
        <f>"RF00108"</f>
        <v>RF00108</v>
      </c>
      <c r="I2096" s="3" t="str">
        <f>"snoRNA"</f>
        <v>snoRNA</v>
      </c>
    </row>
    <row r="2097" spans="1:9" x14ac:dyDescent="0.2">
      <c r="A2097" s="3" t="str">
        <f>"ENSG00000279137.1"</f>
        <v>ENSG00000279137.1</v>
      </c>
      <c r="B2097" s="3">
        <v>9.0630084294296598</v>
      </c>
      <c r="C2097" s="3">
        <v>-3.40034427868023</v>
      </c>
      <c r="D2097" s="3">
        <v>1.3292123617154501</v>
      </c>
      <c r="E2097" s="3">
        <v>-2.5581648024186499</v>
      </c>
      <c r="F2097" s="3">
        <v>1.0522621085768799E-2</v>
      </c>
      <c r="G2097" s="3">
        <v>4.4079356105331001E-2</v>
      </c>
      <c r="H2097" s="3" t="str">
        <f>"AL356309.3"</f>
        <v>AL356309.3</v>
      </c>
      <c r="I2097" s="3" t="str">
        <f>"TEC"</f>
        <v>TEC</v>
      </c>
    </row>
    <row r="2098" spans="1:9" x14ac:dyDescent="0.2">
      <c r="A2098" s="3" t="str">
        <f>"ENSG00000136828.19"</f>
        <v>ENSG00000136828.19</v>
      </c>
      <c r="B2098" s="3">
        <v>427.78057889411298</v>
      </c>
      <c r="C2098" s="3">
        <v>1.6120893354732699</v>
      </c>
      <c r="D2098" s="3">
        <v>0.28643578744082099</v>
      </c>
      <c r="E2098" s="3">
        <v>5.62810027991471</v>
      </c>
      <c r="F2098" s="4">
        <v>1.8220515769268701E-8</v>
      </c>
      <c r="G2098" s="4">
        <v>3.0906073781251198E-7</v>
      </c>
      <c r="H2098" s="3" t="str">
        <f>"RALGPS1"</f>
        <v>RALGPS1</v>
      </c>
      <c r="I2098" s="3" t="str">
        <f t="shared" ref="I2098:I2106" si="88">"protein_coding"</f>
        <v>protein_coding</v>
      </c>
    </row>
    <row r="2099" spans="1:9" x14ac:dyDescent="0.2">
      <c r="A2099" s="3" t="str">
        <f>"ENSG00000196152.10"</f>
        <v>ENSG00000196152.10</v>
      </c>
      <c r="B2099" s="3">
        <v>888.18856865281805</v>
      </c>
      <c r="C2099" s="3">
        <v>2.2030708281487699</v>
      </c>
      <c r="D2099" s="3">
        <v>0.270519861655039</v>
      </c>
      <c r="E2099" s="3">
        <v>8.1438413234074503</v>
      </c>
      <c r="F2099" s="4">
        <v>3.8293098385234002E-16</v>
      </c>
      <c r="G2099" s="4">
        <v>1.5561597574807101E-14</v>
      </c>
      <c r="H2099" s="3" t="str">
        <f>"ZNF79"</f>
        <v>ZNF79</v>
      </c>
      <c r="I2099" s="3" t="str">
        <f t="shared" si="88"/>
        <v>protein_coding</v>
      </c>
    </row>
    <row r="2100" spans="1:9" x14ac:dyDescent="0.2">
      <c r="A2100" s="3" t="str">
        <f>"ENSG00000136854.21"</f>
        <v>ENSG00000136854.21</v>
      </c>
      <c r="B2100" s="3">
        <v>476.49526647459498</v>
      </c>
      <c r="C2100" s="3">
        <v>-1.2216256631661899</v>
      </c>
      <c r="D2100" s="3">
        <v>0.30058292012468102</v>
      </c>
      <c r="E2100" s="3">
        <v>-4.06418855289402</v>
      </c>
      <c r="F2100" s="4">
        <v>4.81998509510971E-5</v>
      </c>
      <c r="G2100" s="3">
        <v>4.2468204927315198E-4</v>
      </c>
      <c r="H2100" s="3" t="str">
        <f>"STXBP1"</f>
        <v>STXBP1</v>
      </c>
      <c r="I2100" s="3" t="str">
        <f t="shared" si="88"/>
        <v>protein_coding</v>
      </c>
    </row>
    <row r="2101" spans="1:9" x14ac:dyDescent="0.2">
      <c r="A2101" s="3" t="str">
        <f>"ENSG00000106991.13"</f>
        <v>ENSG00000106991.13</v>
      </c>
      <c r="B2101" s="3">
        <v>146.71784490626499</v>
      </c>
      <c r="C2101" s="3">
        <v>3.1501447049956401</v>
      </c>
      <c r="D2101" s="3">
        <v>0.41534733756619902</v>
      </c>
      <c r="E2101" s="3">
        <v>7.5843623398538504</v>
      </c>
      <c r="F2101" s="4">
        <v>3.3412620525600201E-14</v>
      </c>
      <c r="G2101" s="4">
        <v>1.12215549976165E-12</v>
      </c>
      <c r="H2101" s="3" t="str">
        <f>"ENG"</f>
        <v>ENG</v>
      </c>
      <c r="I2101" s="3" t="str">
        <f t="shared" si="88"/>
        <v>protein_coding</v>
      </c>
    </row>
    <row r="2102" spans="1:9" x14ac:dyDescent="0.2">
      <c r="A2102" s="3" t="str">
        <f>"ENSG00000106992.19"</f>
        <v>ENSG00000106992.19</v>
      </c>
      <c r="B2102" s="3">
        <v>410.148220892062</v>
      </c>
      <c r="C2102" s="3">
        <v>2.0357900171776202</v>
      </c>
      <c r="D2102" s="3">
        <v>0.30161690149908499</v>
      </c>
      <c r="E2102" s="3">
        <v>6.7495886571986397</v>
      </c>
      <c r="F2102" s="4">
        <v>1.48264891200833E-11</v>
      </c>
      <c r="G2102" s="4">
        <v>3.7296033381569601E-10</v>
      </c>
      <c r="H2102" s="3" t="str">
        <f>"AK1"</f>
        <v>AK1</v>
      </c>
      <c r="I2102" s="3" t="str">
        <f t="shared" si="88"/>
        <v>protein_coding</v>
      </c>
    </row>
    <row r="2103" spans="1:9" x14ac:dyDescent="0.2">
      <c r="A2103" s="3" t="str">
        <f>"ENSG00000167106.12"</f>
        <v>ENSG00000167106.12</v>
      </c>
      <c r="B2103" s="3">
        <v>2158.89350510334</v>
      </c>
      <c r="C2103" s="3">
        <v>1.2096006733057501</v>
      </c>
      <c r="D2103" s="3">
        <v>0.29717983617326799</v>
      </c>
      <c r="E2103" s="3">
        <v>4.0702649576820704</v>
      </c>
      <c r="F2103" s="4">
        <v>4.6959698519123398E-5</v>
      </c>
      <c r="G2103" s="3">
        <v>4.1436630144943702E-4</v>
      </c>
      <c r="H2103" s="3" t="str">
        <f>"FAM102A"</f>
        <v>FAM102A</v>
      </c>
      <c r="I2103" s="3" t="str">
        <f t="shared" si="88"/>
        <v>protein_coding</v>
      </c>
    </row>
    <row r="2104" spans="1:9" x14ac:dyDescent="0.2">
      <c r="A2104" s="3" t="str">
        <f>"ENSG00000160447.7"</f>
        <v>ENSG00000160447.7</v>
      </c>
      <c r="B2104" s="3">
        <v>1125.35810945104</v>
      </c>
      <c r="C2104" s="3">
        <v>-1.54762246819716</v>
      </c>
      <c r="D2104" s="3">
        <v>0.30797871335610799</v>
      </c>
      <c r="E2104" s="3">
        <v>-5.0250955701853304</v>
      </c>
      <c r="F2104" s="4">
        <v>5.0318189391105103E-7</v>
      </c>
      <c r="G2104" s="4">
        <v>6.6794409189089599E-6</v>
      </c>
      <c r="H2104" s="3" t="str">
        <f>"PKN3"</f>
        <v>PKN3</v>
      </c>
      <c r="I2104" s="3" t="str">
        <f t="shared" si="88"/>
        <v>protein_coding</v>
      </c>
    </row>
    <row r="2105" spans="1:9" x14ac:dyDescent="0.2">
      <c r="A2105" s="3" t="str">
        <f>"ENSG00000107021.16"</f>
        <v>ENSG00000107021.16</v>
      </c>
      <c r="B2105" s="3">
        <v>2167.22033234335</v>
      </c>
      <c r="C2105" s="3">
        <v>1.15099973673697</v>
      </c>
      <c r="D2105" s="3">
        <v>0.27406015436182402</v>
      </c>
      <c r="E2105" s="3">
        <v>4.1998069344198896</v>
      </c>
      <c r="F2105" s="4">
        <v>2.6714267016969301E-5</v>
      </c>
      <c r="G2105" s="3">
        <v>2.4944223712392802E-4</v>
      </c>
      <c r="H2105" s="3" t="str">
        <f>"TBC1D13"</f>
        <v>TBC1D13</v>
      </c>
      <c r="I2105" s="3" t="str">
        <f t="shared" si="88"/>
        <v>protein_coding</v>
      </c>
    </row>
    <row r="2106" spans="1:9" x14ac:dyDescent="0.2">
      <c r="A2106" s="3" t="str">
        <f>"ENSG00000167136.7"</f>
        <v>ENSG00000167136.7</v>
      </c>
      <c r="B2106" s="3">
        <v>322.19456406350798</v>
      </c>
      <c r="C2106" s="3">
        <v>-1.4914042745392699</v>
      </c>
      <c r="D2106" s="3">
        <v>0.33132033966143398</v>
      </c>
      <c r="E2106" s="3">
        <v>-4.5013966726681698</v>
      </c>
      <c r="F2106" s="4">
        <v>6.7508381690301701E-6</v>
      </c>
      <c r="G2106" s="4">
        <v>7.2139904053506395E-5</v>
      </c>
      <c r="H2106" s="3" t="str">
        <f>"ENDOG"</f>
        <v>ENDOG</v>
      </c>
      <c r="I2106" s="3" t="str">
        <f t="shared" si="88"/>
        <v>protein_coding</v>
      </c>
    </row>
    <row r="2107" spans="1:9" x14ac:dyDescent="0.2">
      <c r="A2107" s="3" t="str">
        <f>"ENSG00000233901.5"</f>
        <v>ENSG00000233901.5</v>
      </c>
      <c r="B2107" s="3">
        <v>229.53953245180099</v>
      </c>
      <c r="C2107" s="3">
        <v>4.1130501327466797</v>
      </c>
      <c r="D2107" s="3">
        <v>0.37255192727962599</v>
      </c>
      <c r="E2107" s="3">
        <v>11.040206294945699</v>
      </c>
      <c r="F2107" s="4">
        <v>2.4447123557261501E-28</v>
      </c>
      <c r="G2107" s="4">
        <v>2.2692523729996799E-26</v>
      </c>
      <c r="H2107" s="3" t="str">
        <f>"LINC01503"</f>
        <v>LINC01503</v>
      </c>
      <c r="I2107" s="3" t="str">
        <f>"lincRNA"</f>
        <v>lincRNA</v>
      </c>
    </row>
    <row r="2108" spans="1:9" x14ac:dyDescent="0.2">
      <c r="A2108" s="3" t="str">
        <f>"ENSG00000148344.11"</f>
        <v>ENSG00000148344.11</v>
      </c>
      <c r="B2108" s="3">
        <v>131.06220333330401</v>
      </c>
      <c r="C2108" s="3">
        <v>7.1030382824969998</v>
      </c>
      <c r="D2108" s="3">
        <v>0.80538561740126502</v>
      </c>
      <c r="E2108" s="3">
        <v>8.8194252902309707</v>
      </c>
      <c r="F2108" s="4">
        <v>1.1504867985665E-18</v>
      </c>
      <c r="G2108" s="4">
        <v>5.6195136733864495E-17</v>
      </c>
      <c r="H2108" s="3" t="str">
        <f>"PTGES"</f>
        <v>PTGES</v>
      </c>
      <c r="I2108" s="3" t="str">
        <f t="shared" ref="I2108:I2115" si="89">"protein_coding"</f>
        <v>protein_coding</v>
      </c>
    </row>
    <row r="2109" spans="1:9" x14ac:dyDescent="0.2">
      <c r="A2109" s="3" t="str">
        <f>"ENSG00000136816.16"</f>
        <v>ENSG00000136816.16</v>
      </c>
      <c r="B2109" s="3">
        <v>1006.23948535984</v>
      </c>
      <c r="C2109" s="3">
        <v>-1.1412573157058099</v>
      </c>
      <c r="D2109" s="3">
        <v>0.263030070714109</v>
      </c>
      <c r="E2109" s="3">
        <v>-4.33888533203588</v>
      </c>
      <c r="F2109" s="4">
        <v>1.43207215091218E-5</v>
      </c>
      <c r="G2109" s="3">
        <v>1.4138059244974899E-4</v>
      </c>
      <c r="H2109" s="3" t="str">
        <f>"TOR1B"</f>
        <v>TOR1B</v>
      </c>
      <c r="I2109" s="3" t="str">
        <f t="shared" si="89"/>
        <v>protein_coding</v>
      </c>
    </row>
    <row r="2110" spans="1:9" x14ac:dyDescent="0.2">
      <c r="A2110" s="3" t="str">
        <f>"ENSG00000107130.10"</f>
        <v>ENSG00000107130.10</v>
      </c>
      <c r="B2110" s="3">
        <v>709.24304247689702</v>
      </c>
      <c r="C2110" s="3">
        <v>1.8784248629296201</v>
      </c>
      <c r="D2110" s="3">
        <v>0.31905265868844701</v>
      </c>
      <c r="E2110" s="3">
        <v>5.8875073182320303</v>
      </c>
      <c r="F2110" s="4">
        <v>3.9206381581260896E-9</v>
      </c>
      <c r="G2110" s="4">
        <v>7.3599740946016298E-8</v>
      </c>
      <c r="H2110" s="3" t="str">
        <f>"NCS1"</f>
        <v>NCS1</v>
      </c>
      <c r="I2110" s="3" t="str">
        <f t="shared" si="89"/>
        <v>protein_coding</v>
      </c>
    </row>
    <row r="2111" spans="1:9" x14ac:dyDescent="0.2">
      <c r="A2111" s="3" t="str">
        <f>"ENSG00000148357.16"</f>
        <v>ENSG00000148357.16</v>
      </c>
      <c r="B2111" s="3">
        <v>43.172477847944499</v>
      </c>
      <c r="C2111" s="3">
        <v>2.5757591808860898</v>
      </c>
      <c r="D2111" s="3">
        <v>0.58534651586987096</v>
      </c>
      <c r="E2111" s="3">
        <v>4.4004006362937096</v>
      </c>
      <c r="F2111" s="4">
        <v>1.0805119702497599E-5</v>
      </c>
      <c r="G2111" s="3">
        <v>1.09642108155033E-4</v>
      </c>
      <c r="H2111" s="3" t="str">
        <f>"HMCN2"</f>
        <v>HMCN2</v>
      </c>
      <c r="I2111" s="3" t="str">
        <f t="shared" si="89"/>
        <v>protein_coding</v>
      </c>
    </row>
    <row r="2112" spans="1:9" x14ac:dyDescent="0.2">
      <c r="A2112" s="3" t="str">
        <f>"ENSG00000130707.17"</f>
        <v>ENSG00000130707.17</v>
      </c>
      <c r="B2112" s="3">
        <v>991.72809418029897</v>
      </c>
      <c r="C2112" s="3">
        <v>1.0233527616095199</v>
      </c>
      <c r="D2112" s="3">
        <v>0.31750883986343997</v>
      </c>
      <c r="E2112" s="3">
        <v>3.2230685673182</v>
      </c>
      <c r="F2112" s="3">
        <v>1.2682519086423E-3</v>
      </c>
      <c r="G2112" s="3">
        <v>7.4801586780532401E-3</v>
      </c>
      <c r="H2112" s="3" t="str">
        <f>"ASS1"</f>
        <v>ASS1</v>
      </c>
      <c r="I2112" s="3" t="str">
        <f t="shared" si="89"/>
        <v>protein_coding</v>
      </c>
    </row>
    <row r="2113" spans="1:9" x14ac:dyDescent="0.2">
      <c r="A2113" s="3" t="str">
        <f>"ENSG00000130720.13"</f>
        <v>ENSG00000130720.13</v>
      </c>
      <c r="B2113" s="3">
        <v>142.76776706903701</v>
      </c>
      <c r="C2113" s="3">
        <v>5.8961362424574997</v>
      </c>
      <c r="D2113" s="3">
        <v>0.58275912607750602</v>
      </c>
      <c r="E2113" s="3">
        <v>10.117621464195301</v>
      </c>
      <c r="F2113" s="4">
        <v>4.6149415500681398E-24</v>
      </c>
      <c r="G2113" s="4">
        <v>3.3358866290794302E-22</v>
      </c>
      <c r="H2113" s="3" t="str">
        <f>"FIBCD1"</f>
        <v>FIBCD1</v>
      </c>
      <c r="I2113" s="3" t="str">
        <f t="shared" si="89"/>
        <v>protein_coding</v>
      </c>
    </row>
    <row r="2114" spans="1:9" x14ac:dyDescent="0.2">
      <c r="A2114" s="3" t="str">
        <f>"ENSG00000050555.18"</f>
        <v>ENSG00000050555.18</v>
      </c>
      <c r="B2114" s="3">
        <v>1386.2293266577899</v>
      </c>
      <c r="C2114" s="3">
        <v>7.3774083965683497</v>
      </c>
      <c r="D2114" s="3">
        <v>0.354194407429127</v>
      </c>
      <c r="E2114" s="3">
        <v>20.828698143814002</v>
      </c>
      <c r="F2114" s="4">
        <v>2.37838276493464E-96</v>
      </c>
      <c r="G2114" s="4">
        <v>2.71946447508777E-93</v>
      </c>
      <c r="H2114" s="3" t="str">
        <f>"LAMC3"</f>
        <v>LAMC3</v>
      </c>
      <c r="I2114" s="3" t="str">
        <f t="shared" si="89"/>
        <v>protein_coding</v>
      </c>
    </row>
    <row r="2115" spans="1:9" x14ac:dyDescent="0.2">
      <c r="A2115" s="3" t="str">
        <f>"ENSG00000126878.13"</f>
        <v>ENSG00000126878.13</v>
      </c>
      <c r="B2115" s="3">
        <v>1029.0613152665001</v>
      </c>
      <c r="C2115" s="3">
        <v>-1.5835858042775901</v>
      </c>
      <c r="D2115" s="3">
        <v>0.26998923667848901</v>
      </c>
      <c r="E2115" s="3">
        <v>-5.8653664263045098</v>
      </c>
      <c r="F2115" s="4">
        <v>4.4814191032171802E-9</v>
      </c>
      <c r="G2115" s="4">
        <v>8.3565676457693205E-8</v>
      </c>
      <c r="H2115" s="3" t="str">
        <f>"AIF1L"</f>
        <v>AIF1L</v>
      </c>
      <c r="I2115" s="3" t="str">
        <f t="shared" si="89"/>
        <v>protein_coding</v>
      </c>
    </row>
    <row r="2116" spans="1:9" x14ac:dyDescent="0.2">
      <c r="A2116" s="3" t="str">
        <f>"ENSG00000240853.3"</f>
        <v>ENSG00000240853.3</v>
      </c>
      <c r="B2116" s="3">
        <v>33.436137025814602</v>
      </c>
      <c r="C2116" s="3">
        <v>1.73239245498728</v>
      </c>
      <c r="D2116" s="3">
        <v>0.62018256987957499</v>
      </c>
      <c r="E2116" s="3">
        <v>2.79335882548855</v>
      </c>
      <c r="F2116" s="3">
        <v>5.21637927027945E-3</v>
      </c>
      <c r="G2116" s="3">
        <v>2.4535905112916898E-2</v>
      </c>
      <c r="H2116" s="3" t="str">
        <f>"RN7SL328P"</f>
        <v>RN7SL328P</v>
      </c>
      <c r="I2116" s="3" t="str">
        <f>"misc_RNA"</f>
        <v>misc_RNA</v>
      </c>
    </row>
    <row r="2117" spans="1:9" x14ac:dyDescent="0.2">
      <c r="A2117" s="3" t="str">
        <f>"ENSG00000165698.16"</f>
        <v>ENSG00000165698.16</v>
      </c>
      <c r="B2117" s="3">
        <v>53.889872153215499</v>
      </c>
      <c r="C2117" s="3">
        <v>1.5374612768337499</v>
      </c>
      <c r="D2117" s="3">
        <v>0.52090326316913405</v>
      </c>
      <c r="E2117" s="3">
        <v>2.9515293635903901</v>
      </c>
      <c r="F2117" s="3">
        <v>3.1620447957320099E-3</v>
      </c>
      <c r="G2117" s="3">
        <v>1.6114513135461701E-2</v>
      </c>
      <c r="H2117" s="3" t="str">
        <f>"SPACA9"</f>
        <v>SPACA9</v>
      </c>
      <c r="I2117" s="3" t="str">
        <f>"protein_coding"</f>
        <v>protein_coding</v>
      </c>
    </row>
    <row r="2118" spans="1:9" x14ac:dyDescent="0.2">
      <c r="A2118" s="3" t="str">
        <f>"ENSG00000170835.14"</f>
        <v>ENSG00000170835.14</v>
      </c>
      <c r="B2118" s="3">
        <v>1383.4903476397401</v>
      </c>
      <c r="C2118" s="3">
        <v>5.2483096170841401</v>
      </c>
      <c r="D2118" s="3">
        <v>0.29873588113405503</v>
      </c>
      <c r="E2118" s="3">
        <v>17.568393850650299</v>
      </c>
      <c r="F2118" s="4">
        <v>4.3017986908144401E-69</v>
      </c>
      <c r="G2118" s="4">
        <v>2.2544113764049399E-66</v>
      </c>
      <c r="H2118" s="3" t="str">
        <f>"CEL"</f>
        <v>CEL</v>
      </c>
      <c r="I2118" s="3" t="str">
        <f>"protein_coding"</f>
        <v>protein_coding</v>
      </c>
    </row>
    <row r="2119" spans="1:9" x14ac:dyDescent="0.2">
      <c r="A2119" s="3" t="str">
        <f>"ENSG00000170827.9"</f>
        <v>ENSG00000170827.9</v>
      </c>
      <c r="B2119" s="3">
        <v>494.65030038048297</v>
      </c>
      <c r="C2119" s="3">
        <v>7.6966975713298096</v>
      </c>
      <c r="D2119" s="3">
        <v>0.53861834500693695</v>
      </c>
      <c r="E2119" s="3">
        <v>14.2897055822165</v>
      </c>
      <c r="F2119" s="4">
        <v>2.5367963820529299E-46</v>
      </c>
      <c r="G2119" s="4">
        <v>5.8011920900492298E-44</v>
      </c>
      <c r="H2119" s="3" t="str">
        <f>"CELP"</f>
        <v>CELP</v>
      </c>
      <c r="I2119" s="3" t="str">
        <f>"transcribed_unprocessed_pseudogene"</f>
        <v>transcribed_unprocessed_pseudogene</v>
      </c>
    </row>
    <row r="2120" spans="1:9" x14ac:dyDescent="0.2">
      <c r="A2120" s="3" t="str">
        <f>"ENSG00000160271.16"</f>
        <v>ENSG00000160271.16</v>
      </c>
      <c r="B2120" s="3">
        <v>363.79950639345299</v>
      </c>
      <c r="C2120" s="3">
        <v>3.7227344492785002</v>
      </c>
      <c r="D2120" s="3">
        <v>0.35752050527822099</v>
      </c>
      <c r="E2120" s="3">
        <v>10.412645972240099</v>
      </c>
      <c r="F2120" s="4">
        <v>2.171020499354E-25</v>
      </c>
      <c r="G2120" s="4">
        <v>1.7392363267914E-23</v>
      </c>
      <c r="H2120" s="3" t="str">
        <f>"RALGDS"</f>
        <v>RALGDS</v>
      </c>
      <c r="I2120" s="3" t="str">
        <f t="shared" ref="I2120:I2127" si="90">"protein_coding"</f>
        <v>protein_coding</v>
      </c>
    </row>
    <row r="2121" spans="1:9" x14ac:dyDescent="0.2">
      <c r="A2121" s="3" t="str">
        <f>"ENSG00000148290.10"</f>
        <v>ENSG00000148290.10</v>
      </c>
      <c r="B2121" s="3">
        <v>983.92647061088201</v>
      </c>
      <c r="C2121" s="3">
        <v>1.08548546762589</v>
      </c>
      <c r="D2121" s="3">
        <v>0.29018624817348299</v>
      </c>
      <c r="E2121" s="3">
        <v>3.7406509593692201</v>
      </c>
      <c r="F2121" s="3">
        <v>1.8354426628551301E-4</v>
      </c>
      <c r="G2121" s="3">
        <v>1.3831803530293799E-3</v>
      </c>
      <c r="H2121" s="3" t="str">
        <f>"SURF1"</f>
        <v>SURF1</v>
      </c>
      <c r="I2121" s="3" t="str">
        <f t="shared" si="90"/>
        <v>protein_coding</v>
      </c>
    </row>
    <row r="2122" spans="1:9" x14ac:dyDescent="0.2">
      <c r="A2122" s="3" t="str">
        <f>"ENSG00000160323.18"</f>
        <v>ENSG00000160323.18</v>
      </c>
      <c r="B2122" s="3">
        <v>105.660930176389</v>
      </c>
      <c r="C2122" s="3">
        <v>1.5899634802034099</v>
      </c>
      <c r="D2122" s="3">
        <v>0.439759590751928</v>
      </c>
      <c r="E2122" s="3">
        <v>3.61552883357197</v>
      </c>
      <c r="F2122" s="3">
        <v>2.99735109123112E-4</v>
      </c>
      <c r="G2122" s="3">
        <v>2.1432167907879099E-3</v>
      </c>
      <c r="H2122" s="3" t="str">
        <f>"ADAMTS13"</f>
        <v>ADAMTS13</v>
      </c>
      <c r="I2122" s="3" t="str">
        <f t="shared" si="90"/>
        <v>protein_coding</v>
      </c>
    </row>
    <row r="2123" spans="1:9" x14ac:dyDescent="0.2">
      <c r="A2123" s="3" t="str">
        <f>"ENSG00000160326.14"</f>
        <v>ENSG00000160326.14</v>
      </c>
      <c r="B2123" s="3">
        <v>879.82986215840697</v>
      </c>
      <c r="C2123" s="3">
        <v>-1.06151845084299</v>
      </c>
      <c r="D2123" s="3">
        <v>0.304483415955351</v>
      </c>
      <c r="E2123" s="3">
        <v>-3.4862931615252402</v>
      </c>
      <c r="F2123" s="3">
        <v>4.8976396154500003E-4</v>
      </c>
      <c r="G2123" s="3">
        <v>3.2818360289463199E-3</v>
      </c>
      <c r="H2123" s="3" t="str">
        <f>"SLC2A6"</f>
        <v>SLC2A6</v>
      </c>
      <c r="I2123" s="3" t="str">
        <f t="shared" si="90"/>
        <v>protein_coding</v>
      </c>
    </row>
    <row r="2124" spans="1:9" x14ac:dyDescent="0.2">
      <c r="A2124" s="3" t="str">
        <f>"ENSG00000197859.10"</f>
        <v>ENSG00000197859.10</v>
      </c>
      <c r="B2124" s="3">
        <v>310.63278013062802</v>
      </c>
      <c r="C2124" s="3">
        <v>-1.83313203149821</v>
      </c>
      <c r="D2124" s="3">
        <v>0.35189772055345803</v>
      </c>
      <c r="E2124" s="3">
        <v>-5.2092750945220399</v>
      </c>
      <c r="F2124" s="4">
        <v>1.89579854247289E-7</v>
      </c>
      <c r="G2124" s="4">
        <v>2.71972008796718E-6</v>
      </c>
      <c r="H2124" s="3" t="str">
        <f>"ADAMTSL2"</f>
        <v>ADAMTSL2</v>
      </c>
      <c r="I2124" s="3" t="str">
        <f t="shared" si="90"/>
        <v>protein_coding</v>
      </c>
    </row>
    <row r="2125" spans="1:9" x14ac:dyDescent="0.2">
      <c r="A2125" s="3" t="str">
        <f>"ENSG00000160293.17"</f>
        <v>ENSG00000160293.17</v>
      </c>
      <c r="B2125" s="3">
        <v>3182.2532859292901</v>
      </c>
      <c r="C2125" s="3">
        <v>2.1797722588744102</v>
      </c>
      <c r="D2125" s="3">
        <v>0.28692915282649101</v>
      </c>
      <c r="E2125" s="3">
        <v>7.5969006195495998</v>
      </c>
      <c r="F2125" s="4">
        <v>3.0330728172226798E-14</v>
      </c>
      <c r="G2125" s="4">
        <v>1.02137813543824E-12</v>
      </c>
      <c r="H2125" s="3" t="str">
        <f>"VAV2"</f>
        <v>VAV2</v>
      </c>
      <c r="I2125" s="3" t="str">
        <f t="shared" si="90"/>
        <v>protein_coding</v>
      </c>
    </row>
    <row r="2126" spans="1:9" x14ac:dyDescent="0.2">
      <c r="A2126" s="3" t="str">
        <f>"ENSG00000186350.11"</f>
        <v>ENSG00000186350.11</v>
      </c>
      <c r="B2126" s="3">
        <v>668.78627584745198</v>
      </c>
      <c r="C2126" s="3">
        <v>1.5738362641946699</v>
      </c>
      <c r="D2126" s="3">
        <v>0.330439790602293</v>
      </c>
      <c r="E2126" s="3">
        <v>4.7628533516682099</v>
      </c>
      <c r="F2126" s="4">
        <v>1.9087455832430098E-6</v>
      </c>
      <c r="G2126" s="4">
        <v>2.25420165006939E-5</v>
      </c>
      <c r="H2126" s="3" t="str">
        <f>"RXRA"</f>
        <v>RXRA</v>
      </c>
      <c r="I2126" s="3" t="str">
        <f t="shared" si="90"/>
        <v>protein_coding</v>
      </c>
    </row>
    <row r="2127" spans="1:9" x14ac:dyDescent="0.2">
      <c r="A2127" s="3" t="str">
        <f>"ENSG00000130635.15"</f>
        <v>ENSG00000130635.15</v>
      </c>
      <c r="B2127" s="3">
        <v>401.15074132436399</v>
      </c>
      <c r="C2127" s="3">
        <v>5.8804627335796802</v>
      </c>
      <c r="D2127" s="3">
        <v>0.40563330208304699</v>
      </c>
      <c r="E2127" s="3">
        <v>14.4969919959278</v>
      </c>
      <c r="F2127" s="4">
        <v>1.2657634696485299E-47</v>
      </c>
      <c r="G2127" s="4">
        <v>3.0615653922123797E-45</v>
      </c>
      <c r="H2127" s="3" t="str">
        <f>"COL5A1"</f>
        <v>COL5A1</v>
      </c>
      <c r="I2127" s="3" t="str">
        <f t="shared" si="90"/>
        <v>protein_coding</v>
      </c>
    </row>
    <row r="2128" spans="1:9" x14ac:dyDescent="0.2">
      <c r="A2128" s="3" t="str">
        <f>"ENSG00000225361.3"</f>
        <v>ENSG00000225361.3</v>
      </c>
      <c r="B2128" s="3">
        <v>115.944243619556</v>
      </c>
      <c r="C2128" s="3">
        <v>-1.14194380463789</v>
      </c>
      <c r="D2128" s="3">
        <v>0.41928348507911101</v>
      </c>
      <c r="E2128" s="3">
        <v>-2.7235601812993502</v>
      </c>
      <c r="F2128" s="3">
        <v>6.4582448040211597E-3</v>
      </c>
      <c r="G2128" s="3">
        <v>2.92610136968934E-2</v>
      </c>
      <c r="H2128" s="3" t="str">
        <f>"PPP1R26-AS1"</f>
        <v>PPP1R26-AS1</v>
      </c>
      <c r="I2128" s="3" t="str">
        <f>"antisense"</f>
        <v>antisense</v>
      </c>
    </row>
    <row r="2129" spans="1:9" x14ac:dyDescent="0.2">
      <c r="A2129" s="3" t="str">
        <f>"ENSG00000160345.13"</f>
        <v>ENSG00000160345.13</v>
      </c>
      <c r="B2129" s="3">
        <v>67.503130982199707</v>
      </c>
      <c r="C2129" s="3">
        <v>-1.5077278208441001</v>
      </c>
      <c r="D2129" s="3">
        <v>0.51337806303409395</v>
      </c>
      <c r="E2129" s="3">
        <v>-2.9368762115259601</v>
      </c>
      <c r="F2129" s="3">
        <v>3.3153641413054698E-3</v>
      </c>
      <c r="G2129" s="3">
        <v>1.6820892491839198E-2</v>
      </c>
      <c r="H2129" s="3" t="str">
        <f>"C9orf116"</f>
        <v>C9orf116</v>
      </c>
      <c r="I2129" s="3" t="str">
        <f>"protein_coding"</f>
        <v>protein_coding</v>
      </c>
    </row>
    <row r="2130" spans="1:9" x14ac:dyDescent="0.2">
      <c r="A2130" s="3" t="str">
        <f>"ENSG00000130559.19"</f>
        <v>ENSG00000130559.19</v>
      </c>
      <c r="B2130" s="3">
        <v>3613.3924201864202</v>
      </c>
      <c r="C2130" s="3">
        <v>1.1775508465645701</v>
      </c>
      <c r="D2130" s="3">
        <v>0.28440802969566098</v>
      </c>
      <c r="E2130" s="3">
        <v>4.1403572459773601</v>
      </c>
      <c r="F2130" s="4">
        <v>3.4676535416610101E-5</v>
      </c>
      <c r="G2130" s="3">
        <v>3.1616101790678703E-4</v>
      </c>
      <c r="H2130" s="3" t="str">
        <f>"CAMSAP1"</f>
        <v>CAMSAP1</v>
      </c>
      <c r="I2130" s="3" t="str">
        <f>"protein_coding"</f>
        <v>protein_coding</v>
      </c>
    </row>
    <row r="2131" spans="1:9" x14ac:dyDescent="0.2">
      <c r="A2131" s="3" t="str">
        <f>"ENSG00000148411.8"</f>
        <v>ENSG00000148411.8</v>
      </c>
      <c r="B2131" s="3">
        <v>1554.07851453172</v>
      </c>
      <c r="C2131" s="3">
        <v>2.8036025351508602</v>
      </c>
      <c r="D2131" s="3">
        <v>0.28180937029293102</v>
      </c>
      <c r="E2131" s="3">
        <v>9.9485781194451093</v>
      </c>
      <c r="F2131" s="4">
        <v>2.5581198025700699E-23</v>
      </c>
      <c r="G2131" s="4">
        <v>1.7251877649772101E-21</v>
      </c>
      <c r="H2131" s="3" t="str">
        <f>"NACC2"</f>
        <v>NACC2</v>
      </c>
      <c r="I2131" s="3" t="str">
        <f>"protein_coding"</f>
        <v>protein_coding</v>
      </c>
    </row>
    <row r="2132" spans="1:9" x14ac:dyDescent="0.2">
      <c r="A2132" s="3" t="str">
        <f>"ENSG00000260193.1"</f>
        <v>ENSG00000260193.1</v>
      </c>
      <c r="B2132" s="3">
        <v>11.263401119810499</v>
      </c>
      <c r="C2132" s="3">
        <v>2.8444809321532101</v>
      </c>
      <c r="D2132" s="3">
        <v>1.12659349175642</v>
      </c>
      <c r="E2132" s="3">
        <v>2.5248512022899399</v>
      </c>
      <c r="F2132" s="3">
        <v>1.1574728618677499E-2</v>
      </c>
      <c r="G2132" s="3">
        <v>4.7637810602557597E-2</v>
      </c>
      <c r="H2132" s="3" t="str">
        <f>"AL138781.1"</f>
        <v>AL138781.1</v>
      </c>
      <c r="I2132" s="3" t="str">
        <f>"lincRNA"</f>
        <v>lincRNA</v>
      </c>
    </row>
    <row r="2133" spans="1:9" x14ac:dyDescent="0.2">
      <c r="A2133" s="3" t="str">
        <f>"ENSG00000238227.8"</f>
        <v>ENSG00000238227.8</v>
      </c>
      <c r="B2133" s="3">
        <v>295.61753228526402</v>
      </c>
      <c r="C2133" s="3">
        <v>1.8344517431465801</v>
      </c>
      <c r="D2133" s="3">
        <v>0.35428332014746999</v>
      </c>
      <c r="E2133" s="3">
        <v>5.1779229752701603</v>
      </c>
      <c r="F2133" s="4">
        <v>2.2436982347059201E-7</v>
      </c>
      <c r="G2133" s="4">
        <v>3.1725817365951399E-6</v>
      </c>
      <c r="H2133" s="3" t="str">
        <f>"TMEM250"</f>
        <v>TMEM250</v>
      </c>
      <c r="I2133" s="3" t="str">
        <f>"protein_coding"</f>
        <v>protein_coding</v>
      </c>
    </row>
    <row r="2134" spans="1:9" x14ac:dyDescent="0.2">
      <c r="A2134" s="3" t="str">
        <f>"ENSG00000107187.16"</f>
        <v>ENSG00000107187.16</v>
      </c>
      <c r="B2134" s="3">
        <v>23.986035854964602</v>
      </c>
      <c r="C2134" s="3">
        <v>5.0255141349846504</v>
      </c>
      <c r="D2134" s="3">
        <v>1.06754889473787</v>
      </c>
      <c r="E2134" s="3">
        <v>4.7075259594724503</v>
      </c>
      <c r="F2134" s="4">
        <v>2.5074135794688299E-6</v>
      </c>
      <c r="G2134" s="4">
        <v>2.9077881704472799E-5</v>
      </c>
      <c r="H2134" s="3" t="str">
        <f>"LHX3"</f>
        <v>LHX3</v>
      </c>
      <c r="I2134" s="3" t="str">
        <f>"protein_coding"</f>
        <v>protein_coding</v>
      </c>
    </row>
    <row r="2135" spans="1:9" x14ac:dyDescent="0.2">
      <c r="A2135" s="3" t="str">
        <f>"ENSG00000260220.6"</f>
        <v>ENSG00000260220.6</v>
      </c>
      <c r="B2135" s="3">
        <v>147.174563819577</v>
      </c>
      <c r="C2135" s="3">
        <v>3.5082992314122401</v>
      </c>
      <c r="D2135" s="3">
        <v>0.48517188847046699</v>
      </c>
      <c r="E2135" s="3">
        <v>7.2310439140906704</v>
      </c>
      <c r="F2135" s="4">
        <v>4.7929532081970001E-13</v>
      </c>
      <c r="G2135" s="4">
        <v>1.43702905783308E-11</v>
      </c>
      <c r="H2135" s="3" t="str">
        <f>"CCDC187"</f>
        <v>CCDC187</v>
      </c>
      <c r="I2135" s="3" t="str">
        <f>"protein_coding"</f>
        <v>protein_coding</v>
      </c>
    </row>
    <row r="2136" spans="1:9" x14ac:dyDescent="0.2">
      <c r="A2136" s="3" t="str">
        <f>"ENSG00000262075.3"</f>
        <v>ENSG00000262075.3</v>
      </c>
      <c r="B2136" s="3">
        <v>20.778257789495299</v>
      </c>
      <c r="C2136" s="3">
        <v>-4.2559448042294497</v>
      </c>
      <c r="D2136" s="3">
        <v>1.1046422153686399</v>
      </c>
      <c r="E2136" s="3">
        <v>-3.8527812399502999</v>
      </c>
      <c r="F2136" s="3">
        <v>1.16783720198689E-4</v>
      </c>
      <c r="G2136" s="3">
        <v>9.3053357035097401E-4</v>
      </c>
      <c r="H2136" s="3" t="str">
        <f>"AC174065.1"</f>
        <v>AC174065.1</v>
      </c>
      <c r="I2136" s="3" t="str">
        <f>"lincRNA"</f>
        <v>lincRNA</v>
      </c>
    </row>
    <row r="2137" spans="1:9" x14ac:dyDescent="0.2">
      <c r="A2137" s="3" t="str">
        <f>"ENSG00000160360.13"</f>
        <v>ENSG00000160360.13</v>
      </c>
      <c r="B2137" s="3">
        <v>130.81314612602199</v>
      </c>
      <c r="C2137" s="3">
        <v>3.6509769303389299</v>
      </c>
      <c r="D2137" s="3">
        <v>0.43394323564200499</v>
      </c>
      <c r="E2137" s="3">
        <v>8.4134896697661894</v>
      </c>
      <c r="F2137" s="4">
        <v>3.97989338349884E-17</v>
      </c>
      <c r="G2137" s="4">
        <v>1.7625742616534E-15</v>
      </c>
      <c r="H2137" s="3" t="str">
        <f>"GPSM1"</f>
        <v>GPSM1</v>
      </c>
      <c r="I2137" s="3" t="str">
        <f>"protein_coding"</f>
        <v>protein_coding</v>
      </c>
    </row>
    <row r="2138" spans="1:9" x14ac:dyDescent="0.2">
      <c r="A2138" s="3" t="str">
        <f>"ENSG00000148400.11"</f>
        <v>ENSG00000148400.11</v>
      </c>
      <c r="B2138" s="3">
        <v>1477.2086042911101</v>
      </c>
      <c r="C2138" s="3">
        <v>3.75510359868598</v>
      </c>
      <c r="D2138" s="3">
        <v>0.30837020910095903</v>
      </c>
      <c r="E2138" s="3">
        <v>12.1772580095653</v>
      </c>
      <c r="F2138" s="4">
        <v>4.1086385508433001E-34</v>
      </c>
      <c r="G2138" s="4">
        <v>4.9868095125057696E-32</v>
      </c>
      <c r="H2138" s="3" t="str">
        <f>"NOTCH1"</f>
        <v>NOTCH1</v>
      </c>
      <c r="I2138" s="3" t="str">
        <f>"protein_coding"</f>
        <v>protein_coding</v>
      </c>
    </row>
    <row r="2139" spans="1:9" x14ac:dyDescent="0.2">
      <c r="A2139" s="3" t="str">
        <f>"ENSG00000227512.1"</f>
        <v>ENSG00000227512.1</v>
      </c>
      <c r="B2139" s="3">
        <v>4.2452699745899496</v>
      </c>
      <c r="C2139" s="3">
        <v>-5.4758153515363803</v>
      </c>
      <c r="D2139" s="3">
        <v>2.09611245500018</v>
      </c>
      <c r="E2139" s="3">
        <v>-2.6123671649744198</v>
      </c>
      <c r="F2139" s="3">
        <v>8.9917627588681007E-3</v>
      </c>
      <c r="G2139" s="3">
        <v>3.8710900598892199E-2</v>
      </c>
      <c r="H2139" s="3" t="str">
        <f>"AL592301.1"</f>
        <v>AL592301.1</v>
      </c>
      <c r="I2139" s="3" t="str">
        <f>"antisense"</f>
        <v>antisense</v>
      </c>
    </row>
    <row r="2140" spans="1:9" x14ac:dyDescent="0.2">
      <c r="A2140" s="3" t="str">
        <f>"ENSG00000237886.1"</f>
        <v>ENSG00000237886.1</v>
      </c>
      <c r="B2140" s="3">
        <v>37.8953499506285</v>
      </c>
      <c r="C2140" s="3">
        <v>7.3163541667818404</v>
      </c>
      <c r="D2140" s="3">
        <v>1.51893226510075</v>
      </c>
      <c r="E2140" s="3">
        <v>4.8167744769689103</v>
      </c>
      <c r="F2140" s="4">
        <v>1.4589742625497E-6</v>
      </c>
      <c r="G2140" s="4">
        <v>1.7576866654424199E-5</v>
      </c>
      <c r="H2140" s="3" t="str">
        <f>"NALT1"</f>
        <v>NALT1</v>
      </c>
      <c r="I2140" s="3" t="str">
        <f>"antisense"</f>
        <v>antisense</v>
      </c>
    </row>
    <row r="2141" spans="1:9" x14ac:dyDescent="0.2">
      <c r="A2141" s="3" t="str">
        <f>"ENSG00000279141.3"</f>
        <v>ENSG00000279141.3</v>
      </c>
      <c r="B2141" s="3">
        <v>71.381864086589303</v>
      </c>
      <c r="C2141" s="3">
        <v>4.3891827066579703</v>
      </c>
      <c r="D2141" s="3">
        <v>0.60682268470906997</v>
      </c>
      <c r="E2141" s="3">
        <v>7.2330564055334898</v>
      </c>
      <c r="F2141" s="4">
        <v>4.7224313832873896E-13</v>
      </c>
      <c r="G2141" s="4">
        <v>1.42096604601189E-11</v>
      </c>
      <c r="H2141" s="3" t="str">
        <f>"AL590226.2"</f>
        <v>AL590226.2</v>
      </c>
      <c r="I2141" s="3" t="str">
        <f>"lincRNA"</f>
        <v>lincRNA</v>
      </c>
    </row>
    <row r="2142" spans="1:9" x14ac:dyDescent="0.2">
      <c r="A2142" s="3" t="str">
        <f>"ENSG00000228401.4"</f>
        <v>ENSG00000228401.4</v>
      </c>
      <c r="B2142" s="3">
        <v>6.4746433027963803</v>
      </c>
      <c r="C2142" s="3">
        <v>-6.0874256423498299</v>
      </c>
      <c r="D2142" s="3">
        <v>1.91022759262704</v>
      </c>
      <c r="E2142" s="3">
        <v>-3.1867541155020702</v>
      </c>
      <c r="F2142" s="3">
        <v>1.43879034640487E-3</v>
      </c>
      <c r="G2142" s="3">
        <v>8.3144431802927802E-3</v>
      </c>
      <c r="H2142" s="3" t="str">
        <f>"AL590226.1"</f>
        <v>AL590226.1</v>
      </c>
      <c r="I2142" s="3" t="str">
        <f>"antisense"</f>
        <v>antisense</v>
      </c>
    </row>
    <row r="2143" spans="1:9" x14ac:dyDescent="0.2">
      <c r="A2143" s="3" t="str">
        <f>"ENSG00000172889.16"</f>
        <v>ENSG00000172889.16</v>
      </c>
      <c r="B2143" s="3">
        <v>19.629072797072801</v>
      </c>
      <c r="C2143" s="3">
        <v>2.48765931414481</v>
      </c>
      <c r="D2143" s="3">
        <v>0.86675377553437705</v>
      </c>
      <c r="E2143" s="3">
        <v>2.8700876585291999</v>
      </c>
      <c r="F2143" s="3">
        <v>4.1035802067167504E-3</v>
      </c>
      <c r="G2143" s="3">
        <v>2.0132379938806899E-2</v>
      </c>
      <c r="H2143" s="3" t="str">
        <f>"EGFL7"</f>
        <v>EGFL7</v>
      </c>
      <c r="I2143" s="3" t="str">
        <f>"protein_coding"</f>
        <v>protein_coding</v>
      </c>
    </row>
    <row r="2144" spans="1:9" x14ac:dyDescent="0.2">
      <c r="A2144" s="3" t="str">
        <f>"ENSG00000169692.13"</f>
        <v>ENSG00000169692.13</v>
      </c>
      <c r="B2144" s="3">
        <v>214.196340047858</v>
      </c>
      <c r="C2144" s="3">
        <v>1.4170115580493801</v>
      </c>
      <c r="D2144" s="3">
        <v>0.36173536629033298</v>
      </c>
      <c r="E2144" s="3">
        <v>3.9172602131251799</v>
      </c>
      <c r="F2144" s="4">
        <v>8.9561058720329697E-5</v>
      </c>
      <c r="G2144" s="3">
        <v>7.36726105987539E-4</v>
      </c>
      <c r="H2144" s="3" t="str">
        <f>"AGPAT2"</f>
        <v>AGPAT2</v>
      </c>
      <c r="I2144" s="3" t="str">
        <f>"protein_coding"</f>
        <v>protein_coding</v>
      </c>
    </row>
    <row r="2145" spans="1:9" x14ac:dyDescent="0.2">
      <c r="A2145" s="3" t="str">
        <f>"ENSG00000165716.11"</f>
        <v>ENSG00000165716.11</v>
      </c>
      <c r="B2145" s="3">
        <v>19.2965779485627</v>
      </c>
      <c r="C2145" s="3">
        <v>2.3871588375099799</v>
      </c>
      <c r="D2145" s="3">
        <v>0.81873102930722597</v>
      </c>
      <c r="E2145" s="3">
        <v>2.91568140458764</v>
      </c>
      <c r="F2145" s="3">
        <v>3.5491271563720299E-3</v>
      </c>
      <c r="G2145" s="3">
        <v>1.7834257614570199E-2</v>
      </c>
      <c r="H2145" s="3" t="str">
        <f>"DIPK1B"</f>
        <v>DIPK1B</v>
      </c>
      <c r="I2145" s="3" t="str">
        <f>"protein_coding"</f>
        <v>protein_coding</v>
      </c>
    </row>
    <row r="2146" spans="1:9" x14ac:dyDescent="0.2">
      <c r="A2146" s="3" t="str">
        <f>"ENSG00000177984.7"</f>
        <v>ENSG00000177984.7</v>
      </c>
      <c r="B2146" s="3">
        <v>2100.08742722846</v>
      </c>
      <c r="C2146" s="3">
        <v>4.8100931921876597</v>
      </c>
      <c r="D2146" s="3">
        <v>0.28651186621214397</v>
      </c>
      <c r="E2146" s="3">
        <v>16.788460651839401</v>
      </c>
      <c r="F2146" s="4">
        <v>2.9643422474953801E-63</v>
      </c>
      <c r="G2146" s="4">
        <v>1.1836195116785101E-60</v>
      </c>
      <c r="H2146" s="3" t="str">
        <f>"LCN15"</f>
        <v>LCN15</v>
      </c>
      <c r="I2146" s="3" t="str">
        <f>"protein_coding"</f>
        <v>protein_coding</v>
      </c>
    </row>
    <row r="2147" spans="1:9" x14ac:dyDescent="0.2">
      <c r="A2147" s="3" t="str">
        <f>"ENSG00000213212.3"</f>
        <v>ENSG00000213212.3</v>
      </c>
      <c r="B2147" s="3">
        <v>19.676705293551802</v>
      </c>
      <c r="C2147" s="3">
        <v>-2.6943615691511602</v>
      </c>
      <c r="D2147" s="3">
        <v>0.88727990623606801</v>
      </c>
      <c r="E2147" s="3">
        <v>-3.03665342831995</v>
      </c>
      <c r="F2147" s="3">
        <v>2.39220329076074E-3</v>
      </c>
      <c r="G2147" s="3">
        <v>1.27410276898341E-2</v>
      </c>
      <c r="H2147" s="3" t="str">
        <f>"NCLP1"</f>
        <v>NCLP1</v>
      </c>
      <c r="I2147" s="3" t="str">
        <f>"processed_pseudogene"</f>
        <v>processed_pseudogene</v>
      </c>
    </row>
    <row r="2148" spans="1:9" x14ac:dyDescent="0.2">
      <c r="A2148" s="3" t="str">
        <f>"ENSG00000232434.2"</f>
        <v>ENSG00000232434.2</v>
      </c>
      <c r="B2148" s="3">
        <v>73.022487416887401</v>
      </c>
      <c r="C2148" s="3">
        <v>2.1590445932588902</v>
      </c>
      <c r="D2148" s="3">
        <v>0.51207952729130002</v>
      </c>
      <c r="E2148" s="3">
        <v>4.2162290780875198</v>
      </c>
      <c r="F2148" s="4">
        <v>2.4842141296196501E-5</v>
      </c>
      <c r="G2148" s="3">
        <v>2.3387128155158001E-4</v>
      </c>
      <c r="H2148" s="3" t="str">
        <f>"AJM1"</f>
        <v>AJM1</v>
      </c>
      <c r="I2148" s="3" t="str">
        <f t="shared" ref="I2148:I2163" si="91">"protein_coding"</f>
        <v>protein_coding</v>
      </c>
    </row>
    <row r="2149" spans="1:9" x14ac:dyDescent="0.2">
      <c r="A2149" s="3" t="str">
        <f>"ENSG00000054148.17"</f>
        <v>ENSG00000054148.17</v>
      </c>
      <c r="B2149" s="3">
        <v>2668.5971040560598</v>
      </c>
      <c r="C2149" s="3">
        <v>2.5292469483407301</v>
      </c>
      <c r="D2149" s="3">
        <v>0.31593695892167301</v>
      </c>
      <c r="E2149" s="3">
        <v>8.0055431215560393</v>
      </c>
      <c r="F2149" s="4">
        <v>1.18940542784061E-15</v>
      </c>
      <c r="G2149" s="4">
        <v>4.6172057927979198E-14</v>
      </c>
      <c r="H2149" s="3" t="str">
        <f>"PHPT1"</f>
        <v>PHPT1</v>
      </c>
      <c r="I2149" s="3" t="str">
        <f t="shared" si="91"/>
        <v>protein_coding</v>
      </c>
    </row>
    <row r="2150" spans="1:9" x14ac:dyDescent="0.2">
      <c r="A2150" s="3" t="str">
        <f>"ENSG00000177943.14"</f>
        <v>ENSG00000177943.14</v>
      </c>
      <c r="B2150" s="3">
        <v>418.01297067036802</v>
      </c>
      <c r="C2150" s="3">
        <v>4.9882028533616998</v>
      </c>
      <c r="D2150" s="3">
        <v>0.38952503113557302</v>
      </c>
      <c r="E2150" s="3">
        <v>12.8058595844784</v>
      </c>
      <c r="F2150" s="4">
        <v>1.5203289756965E-37</v>
      </c>
      <c r="G2150" s="4">
        <v>2.1979238726233001E-35</v>
      </c>
      <c r="H2150" s="3" t="str">
        <f>"MAMDC4"</f>
        <v>MAMDC4</v>
      </c>
      <c r="I2150" s="3" t="str">
        <f t="shared" si="91"/>
        <v>protein_coding</v>
      </c>
    </row>
    <row r="2151" spans="1:9" x14ac:dyDescent="0.2">
      <c r="A2151" s="3" t="str">
        <f>"ENSG00000107223.13"</f>
        <v>ENSG00000107223.13</v>
      </c>
      <c r="B2151" s="3">
        <v>1944.9167157552199</v>
      </c>
      <c r="C2151" s="3">
        <v>1.81970455342398</v>
      </c>
      <c r="D2151" s="3">
        <v>0.32116447433437301</v>
      </c>
      <c r="E2151" s="3">
        <v>5.6659584071226901</v>
      </c>
      <c r="F2151" s="4">
        <v>1.4620499015353101E-8</v>
      </c>
      <c r="G2151" s="4">
        <v>2.5207584148814802E-7</v>
      </c>
      <c r="H2151" s="3" t="str">
        <f>"EDF1"</f>
        <v>EDF1</v>
      </c>
      <c r="I2151" s="3" t="str">
        <f t="shared" si="91"/>
        <v>protein_coding</v>
      </c>
    </row>
    <row r="2152" spans="1:9" x14ac:dyDescent="0.2">
      <c r="A2152" s="3" t="str">
        <f>"ENSG00000107281.10"</f>
        <v>ENSG00000107281.10</v>
      </c>
      <c r="B2152" s="3">
        <v>114.418354103643</v>
      </c>
      <c r="C2152" s="3">
        <v>2.6647017346000799</v>
      </c>
      <c r="D2152" s="3">
        <v>0.43335739551107</v>
      </c>
      <c r="E2152" s="3">
        <v>6.1489702545805702</v>
      </c>
      <c r="F2152" s="4">
        <v>7.7987601534899704E-10</v>
      </c>
      <c r="G2152" s="4">
        <v>1.6172944077579599E-8</v>
      </c>
      <c r="H2152" s="3" t="str">
        <f>"NPDC1"</f>
        <v>NPDC1</v>
      </c>
      <c r="I2152" s="3" t="str">
        <f t="shared" si="91"/>
        <v>protein_coding</v>
      </c>
    </row>
    <row r="2153" spans="1:9" x14ac:dyDescent="0.2">
      <c r="A2153" s="3" t="str">
        <f>"ENSG00000054179.12"</f>
        <v>ENSG00000054179.12</v>
      </c>
      <c r="B2153" s="3">
        <v>153.15742479556499</v>
      </c>
      <c r="C2153" s="3">
        <v>1.1060462757121601</v>
      </c>
      <c r="D2153" s="3">
        <v>0.42003838221085699</v>
      </c>
      <c r="E2153" s="3">
        <v>2.63320287515281</v>
      </c>
      <c r="F2153" s="3">
        <v>8.4583806956230693E-3</v>
      </c>
      <c r="G2153" s="3">
        <v>3.6763430179879902E-2</v>
      </c>
      <c r="H2153" s="3" t="str">
        <f>"ENTPD2"</f>
        <v>ENTPD2</v>
      </c>
      <c r="I2153" s="3" t="str">
        <f t="shared" si="91"/>
        <v>protein_coding</v>
      </c>
    </row>
    <row r="2154" spans="1:9" x14ac:dyDescent="0.2">
      <c r="A2154" s="3" t="str">
        <f>"ENSG00000186193.9"</f>
        <v>ENSG00000186193.9</v>
      </c>
      <c r="B2154" s="3">
        <v>394.958066941835</v>
      </c>
      <c r="C2154" s="3">
        <v>1.8069654415048599</v>
      </c>
      <c r="D2154" s="3">
        <v>0.32198147126080601</v>
      </c>
      <c r="E2154" s="3">
        <v>5.6120168481409696</v>
      </c>
      <c r="F2154" s="4">
        <v>1.9998196153078399E-8</v>
      </c>
      <c r="G2154" s="4">
        <v>3.35593478472774E-7</v>
      </c>
      <c r="H2154" s="3" t="str">
        <f>"SAPCD2"</f>
        <v>SAPCD2</v>
      </c>
      <c r="I2154" s="3" t="str">
        <f t="shared" si="91"/>
        <v>protein_coding</v>
      </c>
    </row>
    <row r="2155" spans="1:9" x14ac:dyDescent="0.2">
      <c r="A2155" s="3" t="str">
        <f>"ENSG00000197355.11"</f>
        <v>ENSG00000197355.11</v>
      </c>
      <c r="B2155" s="3">
        <v>752.47421169056599</v>
      </c>
      <c r="C2155" s="3">
        <v>2.6033474025044199</v>
      </c>
      <c r="D2155" s="3">
        <v>0.30327029245751003</v>
      </c>
      <c r="E2155" s="3">
        <v>8.5842480033522008</v>
      </c>
      <c r="F2155" s="4">
        <v>9.1432534904698901E-18</v>
      </c>
      <c r="G2155" s="4">
        <v>4.21242750096648E-16</v>
      </c>
      <c r="H2155" s="3" t="str">
        <f>"UAP1L1"</f>
        <v>UAP1L1</v>
      </c>
      <c r="I2155" s="3" t="str">
        <f t="shared" si="91"/>
        <v>protein_coding</v>
      </c>
    </row>
    <row r="2156" spans="1:9" x14ac:dyDescent="0.2">
      <c r="A2156" s="3" t="str">
        <f>"ENSG00000177239.15"</f>
        <v>ENSG00000177239.15</v>
      </c>
      <c r="B2156" s="3">
        <v>1238.1241471180399</v>
      </c>
      <c r="C2156" s="3">
        <v>1.56135976337895</v>
      </c>
      <c r="D2156" s="3">
        <v>0.30515827302932902</v>
      </c>
      <c r="E2156" s="3">
        <v>5.1165572143242803</v>
      </c>
      <c r="F2156" s="4">
        <v>3.1116292776934702E-7</v>
      </c>
      <c r="G2156" s="4">
        <v>4.2702146470474301E-6</v>
      </c>
      <c r="H2156" s="3" t="str">
        <f>"MAN1B1"</f>
        <v>MAN1B1</v>
      </c>
      <c r="I2156" s="3" t="str">
        <f t="shared" si="91"/>
        <v>protein_coding</v>
      </c>
    </row>
    <row r="2157" spans="1:9" x14ac:dyDescent="0.2">
      <c r="A2157" s="3" t="str">
        <f>"ENSG00000176978.14"</f>
        <v>ENSG00000176978.14</v>
      </c>
      <c r="B2157" s="3">
        <v>16.3811965632263</v>
      </c>
      <c r="C2157" s="3">
        <v>2.4762514970623699</v>
      </c>
      <c r="D2157" s="3">
        <v>0.95724711297835297</v>
      </c>
      <c r="E2157" s="3">
        <v>2.5868466600623399</v>
      </c>
      <c r="F2157" s="3">
        <v>9.6858685356257298E-3</v>
      </c>
      <c r="G2157" s="3">
        <v>4.11624635071779E-2</v>
      </c>
      <c r="H2157" s="3" t="str">
        <f>"DPP7"</f>
        <v>DPP7</v>
      </c>
      <c r="I2157" s="3" t="str">
        <f t="shared" si="91"/>
        <v>protein_coding</v>
      </c>
    </row>
    <row r="2158" spans="1:9" x14ac:dyDescent="0.2">
      <c r="A2158" s="3" t="str">
        <f>"ENSG00000176884.15"</f>
        <v>ENSG00000176884.15</v>
      </c>
      <c r="B2158" s="3">
        <v>20.366032763979799</v>
      </c>
      <c r="C2158" s="3">
        <v>3.4692291362753802</v>
      </c>
      <c r="D2158" s="3">
        <v>0.90637200588990896</v>
      </c>
      <c r="E2158" s="3">
        <v>3.8275996100179199</v>
      </c>
      <c r="F2158" s="3">
        <v>1.2939902335032901E-4</v>
      </c>
      <c r="G2158" s="3">
        <v>1.0178337812312499E-3</v>
      </c>
      <c r="H2158" s="3" t="str">
        <f>"GRIN1"</f>
        <v>GRIN1</v>
      </c>
      <c r="I2158" s="3" t="str">
        <f t="shared" si="91"/>
        <v>protein_coding</v>
      </c>
    </row>
    <row r="2159" spans="1:9" x14ac:dyDescent="0.2">
      <c r="A2159" s="3" t="str">
        <f>"ENSG00000176248.9"</f>
        <v>ENSG00000176248.9</v>
      </c>
      <c r="B2159" s="3">
        <v>970.36061218418899</v>
      </c>
      <c r="C2159" s="3">
        <v>1.5567573382128299</v>
      </c>
      <c r="D2159" s="3">
        <v>0.310028284176326</v>
      </c>
      <c r="E2159" s="3">
        <v>5.0213397217894897</v>
      </c>
      <c r="F2159" s="4">
        <v>5.1312311527052104E-7</v>
      </c>
      <c r="G2159" s="4">
        <v>6.8006385482771096E-6</v>
      </c>
      <c r="H2159" s="3" t="str">
        <f>"ANAPC2"</f>
        <v>ANAPC2</v>
      </c>
      <c r="I2159" s="3" t="str">
        <f t="shared" si="91"/>
        <v>protein_coding</v>
      </c>
    </row>
    <row r="2160" spans="1:9" x14ac:dyDescent="0.2">
      <c r="A2160" s="3" t="str">
        <f>"ENSG00000176058.13"</f>
        <v>ENSG00000176058.13</v>
      </c>
      <c r="B2160" s="3">
        <v>361.07932549359299</v>
      </c>
      <c r="C2160" s="3">
        <v>1.3350086470562299</v>
      </c>
      <c r="D2160" s="3">
        <v>0.32373984325609501</v>
      </c>
      <c r="E2160" s="3">
        <v>4.1237082023301204</v>
      </c>
      <c r="F2160" s="4">
        <v>3.7282114952720499E-5</v>
      </c>
      <c r="G2160" s="3">
        <v>3.3638149269572598E-4</v>
      </c>
      <c r="H2160" s="3" t="str">
        <f>"TPRN"</f>
        <v>TPRN</v>
      </c>
      <c r="I2160" s="3" t="str">
        <f t="shared" si="91"/>
        <v>protein_coding</v>
      </c>
    </row>
    <row r="2161" spans="1:9" x14ac:dyDescent="0.2">
      <c r="A2161" s="3" t="str">
        <f>"ENSG00000187713.7"</f>
        <v>ENSG00000187713.7</v>
      </c>
      <c r="B2161" s="3">
        <v>300.57030579781798</v>
      </c>
      <c r="C2161" s="3">
        <v>1.5049809807529799</v>
      </c>
      <c r="D2161" s="3">
        <v>0.30869708918297001</v>
      </c>
      <c r="E2161" s="3">
        <v>4.8752678061727703</v>
      </c>
      <c r="F2161" s="4">
        <v>1.08660939744539E-6</v>
      </c>
      <c r="G2161" s="4">
        <v>1.34648568437137E-5</v>
      </c>
      <c r="H2161" s="3" t="str">
        <f>"TMEM203"</f>
        <v>TMEM203</v>
      </c>
      <c r="I2161" s="3" t="str">
        <f t="shared" si="91"/>
        <v>protein_coding</v>
      </c>
    </row>
    <row r="2162" spans="1:9" x14ac:dyDescent="0.2">
      <c r="A2162" s="3" t="str">
        <f>"ENSG00000212864.3"</f>
        <v>ENSG00000212864.3</v>
      </c>
      <c r="B2162" s="3">
        <v>260.474907874569</v>
      </c>
      <c r="C2162" s="3">
        <v>2.1796725354123301</v>
      </c>
      <c r="D2162" s="3">
        <v>0.37629856595774702</v>
      </c>
      <c r="E2162" s="3">
        <v>5.7924019185794</v>
      </c>
      <c r="F2162" s="4">
        <v>6.93868485429224E-9</v>
      </c>
      <c r="G2162" s="4">
        <v>1.2566063175645899E-7</v>
      </c>
      <c r="H2162" s="3" t="str">
        <f>"RNF208"</f>
        <v>RNF208</v>
      </c>
      <c r="I2162" s="3" t="str">
        <f t="shared" si="91"/>
        <v>protein_coding</v>
      </c>
    </row>
    <row r="2163" spans="1:9" x14ac:dyDescent="0.2">
      <c r="A2163" s="3" t="str">
        <f>"ENSG00000197191.5"</f>
        <v>ENSG00000197191.5</v>
      </c>
      <c r="B2163" s="3">
        <v>632.59748430412003</v>
      </c>
      <c r="C2163" s="3">
        <v>6.6277265620264396</v>
      </c>
      <c r="D2163" s="3">
        <v>0.41712218225280201</v>
      </c>
      <c r="E2163" s="3">
        <v>15.8891731104572</v>
      </c>
      <c r="F2163" s="4">
        <v>7.5314492362743502E-57</v>
      </c>
      <c r="G2163" s="4">
        <v>2.3981469055503999E-54</v>
      </c>
      <c r="H2163" s="3" t="str">
        <f>"CYSRT1"</f>
        <v>CYSRT1</v>
      </c>
      <c r="I2163" s="3" t="str">
        <f t="shared" si="91"/>
        <v>protein_coding</v>
      </c>
    </row>
    <row r="2164" spans="1:9" x14ac:dyDescent="0.2">
      <c r="A2164" s="3" t="str">
        <f>"ENSG00000275549.1"</f>
        <v>ENSG00000275549.1</v>
      </c>
      <c r="B2164" s="3">
        <v>30.536433080925399</v>
      </c>
      <c r="C2164" s="3">
        <v>2.7134273665957802</v>
      </c>
      <c r="D2164" s="3">
        <v>0.72526101571982304</v>
      </c>
      <c r="E2164" s="3">
        <v>3.7413114834287602</v>
      </c>
      <c r="F2164" s="3">
        <v>1.83062467069632E-4</v>
      </c>
      <c r="G2164" s="3">
        <v>1.37996294849763E-3</v>
      </c>
      <c r="H2164" s="3" t="str">
        <f>"STPG3-AS1"</f>
        <v>STPG3-AS1</v>
      </c>
      <c r="I2164" s="3" t="str">
        <f>"antisense"</f>
        <v>antisense</v>
      </c>
    </row>
    <row r="2165" spans="1:9" x14ac:dyDescent="0.2">
      <c r="A2165" s="3" t="str">
        <f>"ENSG00000197768.10"</f>
        <v>ENSG00000197768.10</v>
      </c>
      <c r="B2165" s="3">
        <v>79.029070537934203</v>
      </c>
      <c r="C2165" s="3">
        <v>-3.1208702344528998</v>
      </c>
      <c r="D2165" s="3">
        <v>0.50759792299391504</v>
      </c>
      <c r="E2165" s="3">
        <v>-6.1483116716581003</v>
      </c>
      <c r="F2165" s="4">
        <v>7.8312037326990697E-10</v>
      </c>
      <c r="G2165" s="4">
        <v>1.6213492172514002E-8</v>
      </c>
      <c r="H2165" s="3" t="str">
        <f>"STPG3"</f>
        <v>STPG3</v>
      </c>
      <c r="I2165" s="3" t="str">
        <f t="shared" ref="I2165:I2172" si="92">"protein_coding"</f>
        <v>protein_coding</v>
      </c>
    </row>
    <row r="2166" spans="1:9" x14ac:dyDescent="0.2">
      <c r="A2166" s="3" t="str">
        <f>"ENSG00000198113.3"</f>
        <v>ENSG00000198113.3</v>
      </c>
      <c r="B2166" s="3">
        <v>702.97361442621104</v>
      </c>
      <c r="C2166" s="3">
        <v>1.48081781259284</v>
      </c>
      <c r="D2166" s="3">
        <v>0.321875226409083</v>
      </c>
      <c r="E2166" s="3">
        <v>4.6005957933239996</v>
      </c>
      <c r="F2166" s="4">
        <v>4.2128422452791299E-6</v>
      </c>
      <c r="G2166" s="4">
        <v>4.7036860488236398E-5</v>
      </c>
      <c r="H2166" s="3" t="str">
        <f>"TOR4A"</f>
        <v>TOR4A</v>
      </c>
      <c r="I2166" s="3" t="str">
        <f t="shared" si="92"/>
        <v>protein_coding</v>
      </c>
    </row>
    <row r="2167" spans="1:9" x14ac:dyDescent="0.2">
      <c r="A2167" s="3" t="str">
        <f>"ENSG00000198435.4"</f>
        <v>ENSG00000198435.4</v>
      </c>
      <c r="B2167" s="3">
        <v>351.23270211318101</v>
      </c>
      <c r="C2167" s="3">
        <v>1.4853205661864399</v>
      </c>
      <c r="D2167" s="3">
        <v>0.31793760143503003</v>
      </c>
      <c r="E2167" s="3">
        <v>4.6717360874661003</v>
      </c>
      <c r="F2167" s="4">
        <v>2.9866455059125498E-6</v>
      </c>
      <c r="G2167" s="4">
        <v>3.40721395470432E-5</v>
      </c>
      <c r="H2167" s="3" t="str">
        <f>"NRARP"</f>
        <v>NRARP</v>
      </c>
      <c r="I2167" s="3" t="str">
        <f t="shared" si="92"/>
        <v>protein_coding</v>
      </c>
    </row>
    <row r="2168" spans="1:9" x14ac:dyDescent="0.2">
      <c r="A2168" s="3" t="str">
        <f>"ENSG00000187609.16"</f>
        <v>ENSG00000187609.16</v>
      </c>
      <c r="B2168" s="3">
        <v>187.19323602044901</v>
      </c>
      <c r="C2168" s="3">
        <v>1.4749985074473599</v>
      </c>
      <c r="D2168" s="3">
        <v>0.35228767142846801</v>
      </c>
      <c r="E2168" s="3">
        <v>4.1869149194647903</v>
      </c>
      <c r="F2168" s="4">
        <v>2.8277176228630701E-5</v>
      </c>
      <c r="G2168" s="3">
        <v>2.6189704272135703E-4</v>
      </c>
      <c r="H2168" s="3" t="str">
        <f>"EXD3"</f>
        <v>EXD3</v>
      </c>
      <c r="I2168" s="3" t="str">
        <f t="shared" si="92"/>
        <v>protein_coding</v>
      </c>
    </row>
    <row r="2169" spans="1:9" x14ac:dyDescent="0.2">
      <c r="A2169" s="3" t="str">
        <f>"ENSG00000188747.8"</f>
        <v>ENSG00000188747.8</v>
      </c>
      <c r="B2169" s="3">
        <v>149.232961287493</v>
      </c>
      <c r="C2169" s="3">
        <v>3.1964067331327102</v>
      </c>
      <c r="D2169" s="3">
        <v>0.41413941720604103</v>
      </c>
      <c r="E2169" s="3">
        <v>7.7181900595143</v>
      </c>
      <c r="F2169" s="4">
        <v>1.17993170643188E-14</v>
      </c>
      <c r="G2169" s="4">
        <v>4.1396348780047202E-13</v>
      </c>
      <c r="H2169" s="3" t="str">
        <f>"NOXA1"</f>
        <v>NOXA1</v>
      </c>
      <c r="I2169" s="3" t="str">
        <f t="shared" si="92"/>
        <v>protein_coding</v>
      </c>
    </row>
    <row r="2170" spans="1:9" x14ac:dyDescent="0.2">
      <c r="A2170" s="3" t="str">
        <f>"ENSG00000188833.9"</f>
        <v>ENSG00000188833.9</v>
      </c>
      <c r="B2170" s="3">
        <v>53.262356201924703</v>
      </c>
      <c r="C2170" s="3">
        <v>3.0675671386877399</v>
      </c>
      <c r="D2170" s="3">
        <v>0.55500907758800599</v>
      </c>
      <c r="E2170" s="3">
        <v>5.5270575970017903</v>
      </c>
      <c r="F2170" s="4">
        <v>3.2564607659943497E-8</v>
      </c>
      <c r="G2170" s="4">
        <v>5.2781102170481898E-7</v>
      </c>
      <c r="H2170" s="3" t="str">
        <f>"ENTPD8"</f>
        <v>ENTPD8</v>
      </c>
      <c r="I2170" s="3" t="str">
        <f t="shared" si="92"/>
        <v>protein_coding</v>
      </c>
    </row>
    <row r="2171" spans="1:9" x14ac:dyDescent="0.2">
      <c r="A2171" s="3" t="str">
        <f>"ENSG00000165724.6"</f>
        <v>ENSG00000165724.6</v>
      </c>
      <c r="B2171" s="3">
        <v>656.30407665416806</v>
      </c>
      <c r="C2171" s="3">
        <v>-1.01100687683947</v>
      </c>
      <c r="D2171" s="3">
        <v>0.32189197456938201</v>
      </c>
      <c r="E2171" s="3">
        <v>-3.14082660244005</v>
      </c>
      <c r="F2171" s="3">
        <v>1.6847174555991999E-3</v>
      </c>
      <c r="G2171" s="3">
        <v>9.5041640716747797E-3</v>
      </c>
      <c r="H2171" s="3" t="str">
        <f>"ZMYND19"</f>
        <v>ZMYND19</v>
      </c>
      <c r="I2171" s="3" t="str">
        <f t="shared" si="92"/>
        <v>protein_coding</v>
      </c>
    </row>
    <row r="2172" spans="1:9" x14ac:dyDescent="0.2">
      <c r="A2172" s="3" t="str">
        <f>"ENSG00000148408.13"</f>
        <v>ENSG00000148408.13</v>
      </c>
      <c r="B2172" s="3">
        <v>46.102849440793399</v>
      </c>
      <c r="C2172" s="3">
        <v>1.9528277609768201</v>
      </c>
      <c r="D2172" s="3">
        <v>0.57841168678117305</v>
      </c>
      <c r="E2172" s="3">
        <v>3.3761900141475301</v>
      </c>
      <c r="F2172" s="3">
        <v>7.3497140967479101E-4</v>
      </c>
      <c r="G2172" s="3">
        <v>4.6960136678611602E-3</v>
      </c>
      <c r="H2172" s="3" t="str">
        <f>"CACNA1B"</f>
        <v>CACNA1B</v>
      </c>
      <c r="I2172" s="3" t="str">
        <f t="shared" si="92"/>
        <v>protein_coding</v>
      </c>
    </row>
    <row r="2173" spans="1:9" x14ac:dyDescent="0.2">
      <c r="A2173" s="3" t="str">
        <f>"ENSG00000233013.10"</f>
        <v>ENSG00000233013.10</v>
      </c>
      <c r="B2173" s="3">
        <v>49.597547407705797</v>
      </c>
      <c r="C2173" s="3">
        <v>1.67355203126088</v>
      </c>
      <c r="D2173" s="3">
        <v>0.53812394596867796</v>
      </c>
      <c r="E2173" s="3">
        <v>3.10997502303734</v>
      </c>
      <c r="F2173" s="3">
        <v>1.87103164640314E-3</v>
      </c>
      <c r="G2173" s="3">
        <v>1.0353233846298099E-2</v>
      </c>
      <c r="H2173" s="3" t="str">
        <f>"FAM157B"</f>
        <v>FAM157B</v>
      </c>
      <c r="I2173" s="3" t="str">
        <f>"transcribed_unprocessed_pseudogene"</f>
        <v>transcribed_unprocessed_pseudogene</v>
      </c>
    </row>
    <row r="2174" spans="1:9" x14ac:dyDescent="0.2">
      <c r="A2174" s="3" t="str">
        <f>"ENSG00000151240.17"</f>
        <v>ENSG00000151240.17</v>
      </c>
      <c r="B2174" s="3">
        <v>1497.39338303608</v>
      </c>
      <c r="C2174" s="3">
        <v>1.8512870300980599</v>
      </c>
      <c r="D2174" s="3">
        <v>0.28964934341618198</v>
      </c>
      <c r="E2174" s="3">
        <v>6.39147670166835</v>
      </c>
      <c r="F2174" s="4">
        <v>1.6429131770274601E-10</v>
      </c>
      <c r="G2174" s="4">
        <v>3.67803728372147E-9</v>
      </c>
      <c r="H2174" s="3" t="str">
        <f>"DIP2C"</f>
        <v>DIP2C</v>
      </c>
      <c r="I2174" s="3" t="str">
        <f>"protein_coding"</f>
        <v>protein_coding</v>
      </c>
    </row>
    <row r="2175" spans="1:9" x14ac:dyDescent="0.2">
      <c r="A2175" s="3" t="str">
        <f>"ENSG00000263511.1"</f>
        <v>ENSG00000263511.1</v>
      </c>
      <c r="B2175" s="3">
        <v>25.861456196468101</v>
      </c>
      <c r="C2175" s="3">
        <v>2.6871024420409801</v>
      </c>
      <c r="D2175" s="3">
        <v>0.74949868227966998</v>
      </c>
      <c r="E2175" s="3">
        <v>3.5851996882341499</v>
      </c>
      <c r="F2175" s="3">
        <v>3.3682038800505603E-4</v>
      </c>
      <c r="G2175" s="3">
        <v>2.3733100448927701E-3</v>
      </c>
      <c r="H2175" s="3" t="str">
        <f>"MIR5699"</f>
        <v>MIR5699</v>
      </c>
      <c r="I2175" s="3" t="str">
        <f>"miRNA"</f>
        <v>miRNA</v>
      </c>
    </row>
    <row r="2176" spans="1:9" x14ac:dyDescent="0.2">
      <c r="A2176" s="3" t="str">
        <f>"ENSG00000180525.12"</f>
        <v>ENSG00000180525.12</v>
      </c>
      <c r="B2176" s="3">
        <v>4698.42375768687</v>
      </c>
      <c r="C2176" s="3">
        <v>3.7509226000170601</v>
      </c>
      <c r="D2176" s="3">
        <v>0.26325854523546399</v>
      </c>
      <c r="E2176" s="3">
        <v>14.2480563989372</v>
      </c>
      <c r="F2176" s="4">
        <v>4.6093191159941999E-46</v>
      </c>
      <c r="G2176" s="4">
        <v>1.01708265230556E-43</v>
      </c>
      <c r="H2176" s="3" t="str">
        <f>"PRR26"</f>
        <v>PRR26</v>
      </c>
      <c r="I2176" s="3" t="str">
        <f>"protein_coding"</f>
        <v>protein_coding</v>
      </c>
    </row>
    <row r="2177" spans="1:9" x14ac:dyDescent="0.2">
      <c r="A2177" s="3" t="str">
        <f>"ENSG00000067064.11"</f>
        <v>ENSG00000067064.11</v>
      </c>
      <c r="B2177" s="3">
        <v>2777.42426534373</v>
      </c>
      <c r="C2177" s="3">
        <v>-1.1260569471917701</v>
      </c>
      <c r="D2177" s="3">
        <v>0.24244002329832601</v>
      </c>
      <c r="E2177" s="3">
        <v>-4.6446825564199203</v>
      </c>
      <c r="F2177" s="4">
        <v>3.4059975710662099E-6</v>
      </c>
      <c r="G2177" s="4">
        <v>3.8576257946947599E-5</v>
      </c>
      <c r="H2177" s="3" t="str">
        <f>"IDI1"</f>
        <v>IDI1</v>
      </c>
      <c r="I2177" s="3" t="str">
        <f>"protein_coding"</f>
        <v>protein_coding</v>
      </c>
    </row>
    <row r="2178" spans="1:9" x14ac:dyDescent="0.2">
      <c r="A2178" s="3" t="str">
        <f>"ENSG00000231298.6"</f>
        <v>ENSG00000231298.6</v>
      </c>
      <c r="B2178" s="3">
        <v>73.608767521242299</v>
      </c>
      <c r="C2178" s="3">
        <v>4.0265391958149603</v>
      </c>
      <c r="D2178" s="3">
        <v>0.55928158984716703</v>
      </c>
      <c r="E2178" s="3">
        <v>7.1994846047324401</v>
      </c>
      <c r="F2178" s="4">
        <v>6.0440579940300496E-13</v>
      </c>
      <c r="G2178" s="4">
        <v>1.7865837701507201E-11</v>
      </c>
      <c r="H2178" s="3" t="str">
        <f>"MANCR"</f>
        <v>MANCR</v>
      </c>
      <c r="I2178" s="3" t="str">
        <f>"lincRNA"</f>
        <v>lincRNA</v>
      </c>
    </row>
    <row r="2179" spans="1:9" x14ac:dyDescent="0.2">
      <c r="A2179" s="3" t="str">
        <f>"ENSG00000173848.19"</f>
        <v>ENSG00000173848.19</v>
      </c>
      <c r="B2179" s="3">
        <v>3869.5118344367202</v>
      </c>
      <c r="C2179" s="3">
        <v>-1.40692946065671</v>
      </c>
      <c r="D2179" s="3">
        <v>0.244337414537701</v>
      </c>
      <c r="E2179" s="3">
        <v>-5.7581417210241801</v>
      </c>
      <c r="F2179" s="4">
        <v>8.5044942717012893E-9</v>
      </c>
      <c r="G2179" s="4">
        <v>1.5129459222393601E-7</v>
      </c>
      <c r="H2179" s="3" t="str">
        <f>"NET1"</f>
        <v>NET1</v>
      </c>
      <c r="I2179" s="3" t="str">
        <f>"protein_coding"</f>
        <v>protein_coding</v>
      </c>
    </row>
    <row r="2180" spans="1:9" x14ac:dyDescent="0.2">
      <c r="A2180" s="3" t="str">
        <f>"ENSG00000205488.9"</f>
        <v>ENSG00000205488.9</v>
      </c>
      <c r="B2180" s="3">
        <v>29.973424537339401</v>
      </c>
      <c r="C2180" s="3">
        <v>-1.63414411862431</v>
      </c>
      <c r="D2180" s="3">
        <v>0.65134003729065904</v>
      </c>
      <c r="E2180" s="3">
        <v>-2.5088955462062001</v>
      </c>
      <c r="F2180" s="3">
        <v>1.21109290883106E-2</v>
      </c>
      <c r="G2180" s="3">
        <v>4.9408112425633199E-2</v>
      </c>
      <c r="H2180" s="3" t="str">
        <f>"CALML3-AS1"</f>
        <v>CALML3-AS1</v>
      </c>
      <c r="I2180" s="3" t="str">
        <f>"antisense"</f>
        <v>antisense</v>
      </c>
    </row>
    <row r="2181" spans="1:9" x14ac:dyDescent="0.2">
      <c r="A2181" s="3" t="str">
        <f>"ENSG00000228951.1"</f>
        <v>ENSG00000228951.1</v>
      </c>
      <c r="B2181" s="3">
        <v>42.4087325714206</v>
      </c>
      <c r="C2181" s="3">
        <v>6.4842197659889997</v>
      </c>
      <c r="D2181" s="3">
        <v>1.15385850688228</v>
      </c>
      <c r="E2181" s="3">
        <v>5.6195969673173396</v>
      </c>
      <c r="F2181" s="4">
        <v>1.9140343028250099E-8</v>
      </c>
      <c r="G2181" s="4">
        <v>3.2378973024588503E-7</v>
      </c>
      <c r="H2181" s="3" t="str">
        <f>"AL365356.3"</f>
        <v>AL365356.3</v>
      </c>
      <c r="I2181" s="3" t="str">
        <f>"lincRNA"</f>
        <v>lincRNA</v>
      </c>
    </row>
    <row r="2182" spans="1:9" x14ac:dyDescent="0.2">
      <c r="A2182" s="3" t="str">
        <f>"ENSG00000134470.21"</f>
        <v>ENSG00000134470.21</v>
      </c>
      <c r="B2182" s="3">
        <v>36.952492605602401</v>
      </c>
      <c r="C2182" s="3">
        <v>-2.3215708639889701</v>
      </c>
      <c r="D2182" s="3">
        <v>0.61853441292045697</v>
      </c>
      <c r="E2182" s="3">
        <v>-3.7533414721866398</v>
      </c>
      <c r="F2182" s="3">
        <v>1.7449289926020899E-4</v>
      </c>
      <c r="G2182" s="3">
        <v>1.32130309478945E-3</v>
      </c>
      <c r="H2182" s="3" t="str">
        <f>"IL15RA"</f>
        <v>IL15RA</v>
      </c>
      <c r="I2182" s="3" t="str">
        <f>"protein_coding"</f>
        <v>protein_coding</v>
      </c>
    </row>
    <row r="2183" spans="1:9" x14ac:dyDescent="0.2">
      <c r="A2183" s="3" t="str">
        <f>"ENSG00000170525.21"</f>
        <v>ENSG00000170525.21</v>
      </c>
      <c r="B2183" s="3">
        <v>558.12293360307604</v>
      </c>
      <c r="C2183" s="3">
        <v>1.20448880537975</v>
      </c>
      <c r="D2183" s="3">
        <v>0.306293602527755</v>
      </c>
      <c r="E2183" s="3">
        <v>3.9324647835914299</v>
      </c>
      <c r="F2183" s="4">
        <v>8.4079300307705901E-5</v>
      </c>
      <c r="G2183" s="3">
        <v>6.9527286785795003E-4</v>
      </c>
      <c r="H2183" s="3" t="str">
        <f>"PFKFB3"</f>
        <v>PFKFB3</v>
      </c>
      <c r="I2183" s="3" t="str">
        <f>"protein_coding"</f>
        <v>protein_coding</v>
      </c>
    </row>
    <row r="2184" spans="1:9" x14ac:dyDescent="0.2">
      <c r="A2184" s="3" t="str">
        <f>"ENSG00000215244.2"</f>
        <v>ENSG00000215244.2</v>
      </c>
      <c r="B2184" s="3">
        <v>19.142428989315999</v>
      </c>
      <c r="C2184" s="3">
        <v>2.5299472314817</v>
      </c>
      <c r="D2184" s="3">
        <v>0.825951380939702</v>
      </c>
      <c r="E2184" s="3">
        <v>3.0630704056736699</v>
      </c>
      <c r="F2184" s="3">
        <v>2.1907850945665401E-3</v>
      </c>
      <c r="G2184" s="3">
        <v>1.1828546695389901E-2</v>
      </c>
      <c r="H2184" s="3" t="str">
        <f>"LINC02649"</f>
        <v>LINC02649</v>
      </c>
      <c r="I2184" s="3" t="str">
        <f>"lincRNA"</f>
        <v>lincRNA</v>
      </c>
    </row>
    <row r="2185" spans="1:9" x14ac:dyDescent="0.2">
      <c r="A2185" s="3" t="str">
        <f>"ENSG00000123243.15"</f>
        <v>ENSG00000123243.15</v>
      </c>
      <c r="B2185" s="3">
        <v>3868.51047452392</v>
      </c>
      <c r="C2185" s="3">
        <v>1.52108945538594</v>
      </c>
      <c r="D2185" s="3">
        <v>0.27188514368636502</v>
      </c>
      <c r="E2185" s="3">
        <v>5.5946030546656296</v>
      </c>
      <c r="F2185" s="4">
        <v>2.2112709420053999E-8</v>
      </c>
      <c r="G2185" s="4">
        <v>3.6837430825262198E-7</v>
      </c>
      <c r="H2185" s="3" t="str">
        <f>"ITIH5"</f>
        <v>ITIH5</v>
      </c>
      <c r="I2185" s="3" t="str">
        <f t="shared" ref="I2185:I2190" si="93">"protein_coding"</f>
        <v>protein_coding</v>
      </c>
    </row>
    <row r="2186" spans="1:9" x14ac:dyDescent="0.2">
      <c r="A2186" s="3" t="str">
        <f>"ENSG00000165632.8"</f>
        <v>ENSG00000165632.8</v>
      </c>
      <c r="B2186" s="3">
        <v>1376.33354193895</v>
      </c>
      <c r="C2186" s="3">
        <v>1.12158987062619</v>
      </c>
      <c r="D2186" s="3">
        <v>0.24535181775224199</v>
      </c>
      <c r="E2186" s="3">
        <v>4.5713534177227002</v>
      </c>
      <c r="F2186" s="4">
        <v>4.8458420507916998E-6</v>
      </c>
      <c r="G2186" s="4">
        <v>5.3316574419078603E-5</v>
      </c>
      <c r="H2186" s="3" t="str">
        <f>"TAF3"</f>
        <v>TAF3</v>
      </c>
      <c r="I2186" s="3" t="str">
        <f t="shared" si="93"/>
        <v>protein_coding</v>
      </c>
    </row>
    <row r="2187" spans="1:9" x14ac:dyDescent="0.2">
      <c r="A2187" s="3" t="str">
        <f>"ENSG00000048740.18"</f>
        <v>ENSG00000048740.18</v>
      </c>
      <c r="B2187" s="3">
        <v>76.822431734989607</v>
      </c>
      <c r="C2187" s="3">
        <v>2.3265011844742101</v>
      </c>
      <c r="D2187" s="3">
        <v>0.45400638382258901</v>
      </c>
      <c r="E2187" s="3">
        <v>5.1243798928240096</v>
      </c>
      <c r="F2187" s="4">
        <v>2.9851856584370102E-7</v>
      </c>
      <c r="G2187" s="4">
        <v>4.1169048924332699E-6</v>
      </c>
      <c r="H2187" s="3" t="str">
        <f>"CELF2"</f>
        <v>CELF2</v>
      </c>
      <c r="I2187" s="3" t="str">
        <f t="shared" si="93"/>
        <v>protein_coding</v>
      </c>
    </row>
    <row r="2188" spans="1:9" x14ac:dyDescent="0.2">
      <c r="A2188" s="3" t="str">
        <f>"ENSG00000151468.11"</f>
        <v>ENSG00000151468.11</v>
      </c>
      <c r="B2188" s="3">
        <v>79.675632114186897</v>
      </c>
      <c r="C2188" s="3">
        <v>3.3543875006419999</v>
      </c>
      <c r="D2188" s="3">
        <v>0.48470236985923898</v>
      </c>
      <c r="E2188" s="3">
        <v>6.9205097998925398</v>
      </c>
      <c r="F2188" s="4">
        <v>4.5002118430746704E-12</v>
      </c>
      <c r="G2188" s="4">
        <v>1.21723471948971E-10</v>
      </c>
      <c r="H2188" s="3" t="str">
        <f>"CCDC3"</f>
        <v>CCDC3</v>
      </c>
      <c r="I2188" s="3" t="str">
        <f t="shared" si="93"/>
        <v>protein_coding</v>
      </c>
    </row>
    <row r="2189" spans="1:9" x14ac:dyDescent="0.2">
      <c r="A2189" s="3" t="str">
        <f>"ENSG00000065328.16"</f>
        <v>ENSG00000065328.16</v>
      </c>
      <c r="B2189" s="3">
        <v>2345.55107705915</v>
      </c>
      <c r="C2189" s="3">
        <v>-2.38351031825324</v>
      </c>
      <c r="D2189" s="3">
        <v>0.25477876878058398</v>
      </c>
      <c r="E2189" s="3">
        <v>-9.3552156235825397</v>
      </c>
      <c r="F2189" s="4">
        <v>8.3429369307998004E-21</v>
      </c>
      <c r="G2189" s="4">
        <v>4.74811263561695E-19</v>
      </c>
      <c r="H2189" s="3" t="str">
        <f>"MCM10"</f>
        <v>MCM10</v>
      </c>
      <c r="I2189" s="3" t="str">
        <f t="shared" si="93"/>
        <v>protein_coding</v>
      </c>
    </row>
    <row r="2190" spans="1:9" x14ac:dyDescent="0.2">
      <c r="A2190" s="3" t="str">
        <f>"ENSG00000165626.17"</f>
        <v>ENSG00000165626.17</v>
      </c>
      <c r="B2190" s="3">
        <v>1303.1608835838499</v>
      </c>
      <c r="C2190" s="3">
        <v>1.31132590400729</v>
      </c>
      <c r="D2190" s="3">
        <v>0.25055539263648802</v>
      </c>
      <c r="E2190" s="3">
        <v>5.2336766341716601</v>
      </c>
      <c r="F2190" s="4">
        <v>1.6617105869136699E-7</v>
      </c>
      <c r="G2190" s="4">
        <v>2.4046733038869801E-6</v>
      </c>
      <c r="H2190" s="3" t="str">
        <f>"BEND7"</f>
        <v>BEND7</v>
      </c>
      <c r="I2190" s="3" t="str">
        <f t="shared" si="93"/>
        <v>protein_coding</v>
      </c>
    </row>
    <row r="2191" spans="1:9" x14ac:dyDescent="0.2">
      <c r="A2191" s="3" t="str">
        <f>"ENSG00000239665.8"</f>
        <v>ENSG00000239665.8</v>
      </c>
      <c r="B2191" s="3">
        <v>1016.40186964164</v>
      </c>
      <c r="C2191" s="3">
        <v>1.5350139406452601</v>
      </c>
      <c r="D2191" s="3">
        <v>0.26127646791689302</v>
      </c>
      <c r="E2191" s="3">
        <v>5.8750562302209204</v>
      </c>
      <c r="F2191" s="4">
        <v>4.22699844034586E-9</v>
      </c>
      <c r="G2191" s="4">
        <v>7.8938489804677093E-8</v>
      </c>
      <c r="H2191" s="3" t="str">
        <f>"AL157392.3"</f>
        <v>AL157392.3</v>
      </c>
      <c r="I2191" s="3" t="str">
        <f>"processed_transcript"</f>
        <v>processed_transcript</v>
      </c>
    </row>
    <row r="2192" spans="1:9" x14ac:dyDescent="0.2">
      <c r="A2192" s="3" t="str">
        <f>"ENSG00000151474.23"</f>
        <v>ENSG00000151474.23</v>
      </c>
      <c r="B2192" s="3">
        <v>69.903351264426306</v>
      </c>
      <c r="C2192" s="3">
        <v>1.50891768790462</v>
      </c>
      <c r="D2192" s="3">
        <v>0.46259985647741297</v>
      </c>
      <c r="E2192" s="3">
        <v>3.26182048432671</v>
      </c>
      <c r="F2192" s="3">
        <v>1.1069922179208699E-3</v>
      </c>
      <c r="G2192" s="3">
        <v>6.65226689961763E-3</v>
      </c>
      <c r="H2192" s="3" t="str">
        <f>"FRMD4A"</f>
        <v>FRMD4A</v>
      </c>
      <c r="I2192" s="3" t="str">
        <f>"protein_coding"</f>
        <v>protein_coding</v>
      </c>
    </row>
    <row r="2193" spans="1:9" x14ac:dyDescent="0.2">
      <c r="A2193" s="3" t="str">
        <f>"ENSG00000187522.16"</f>
        <v>ENSG00000187522.16</v>
      </c>
      <c r="B2193" s="3">
        <v>425.45778468758402</v>
      </c>
      <c r="C2193" s="3">
        <v>-1.1454530850025799</v>
      </c>
      <c r="D2193" s="3">
        <v>0.31333739867974397</v>
      </c>
      <c r="E2193" s="3">
        <v>-3.6556539047971102</v>
      </c>
      <c r="F2193" s="3">
        <v>2.5652725093496301E-4</v>
      </c>
      <c r="G2193" s="3">
        <v>1.8607102068249699E-3</v>
      </c>
      <c r="H2193" s="3" t="str">
        <f>"HSPA14"</f>
        <v>HSPA14</v>
      </c>
      <c r="I2193" s="3" t="str">
        <f>"protein_coding"</f>
        <v>protein_coding</v>
      </c>
    </row>
    <row r="2194" spans="1:9" x14ac:dyDescent="0.2">
      <c r="A2194" s="3" t="str">
        <f>"ENSG00000152455.15"</f>
        <v>ENSG00000152455.15</v>
      </c>
      <c r="B2194" s="3">
        <v>1848.5843205290601</v>
      </c>
      <c r="C2194" s="3">
        <v>-1.4516539288447099</v>
      </c>
      <c r="D2194" s="3">
        <v>0.28129181280842702</v>
      </c>
      <c r="E2194" s="3">
        <v>-5.1606689663355301</v>
      </c>
      <c r="F2194" s="4">
        <v>2.4606895716607098E-7</v>
      </c>
      <c r="G2194" s="4">
        <v>3.4522390504810399E-6</v>
      </c>
      <c r="H2194" s="3" t="str">
        <f>"SUV39H2"</f>
        <v>SUV39H2</v>
      </c>
      <c r="I2194" s="3" t="str">
        <f>"protein_coding"</f>
        <v>protein_coding</v>
      </c>
    </row>
    <row r="2195" spans="1:9" x14ac:dyDescent="0.2">
      <c r="A2195" s="3" t="str">
        <f>"ENSG00000176244.7"</f>
        <v>ENSG00000176244.7</v>
      </c>
      <c r="B2195" s="3">
        <v>562.58028748027095</v>
      </c>
      <c r="C2195" s="3">
        <v>-1.46598981586439</v>
      </c>
      <c r="D2195" s="3">
        <v>0.292606612071242</v>
      </c>
      <c r="E2195" s="3">
        <v>-5.0101048827545203</v>
      </c>
      <c r="F2195" s="4">
        <v>5.4400379456299696E-7</v>
      </c>
      <c r="G2195" s="4">
        <v>7.1731597200569602E-6</v>
      </c>
      <c r="H2195" s="3" t="str">
        <f>"ACBD7"</f>
        <v>ACBD7</v>
      </c>
      <c r="I2195" s="3" t="str">
        <f>"protein_coding"</f>
        <v>protein_coding</v>
      </c>
    </row>
    <row r="2196" spans="1:9" x14ac:dyDescent="0.2">
      <c r="A2196" s="3" t="str">
        <f>"ENSG00000176236.6"</f>
        <v>ENSG00000176236.6</v>
      </c>
      <c r="B2196" s="3">
        <v>14.089827041714599</v>
      </c>
      <c r="C2196" s="3">
        <v>-3.3361985449211899</v>
      </c>
      <c r="D2196" s="3">
        <v>1.0665063535822901</v>
      </c>
      <c r="E2196" s="3">
        <v>-3.1281562774710401</v>
      </c>
      <c r="F2196" s="3">
        <v>1.7590662386815399E-3</v>
      </c>
      <c r="G2196" s="3">
        <v>9.8374892904907595E-3</v>
      </c>
      <c r="H2196" s="3" t="str">
        <f>"C10orf111"</f>
        <v>C10orf111</v>
      </c>
      <c r="I2196" s="3" t="str">
        <f>"bidirectional_promoter_lncRNA"</f>
        <v>bidirectional_promoter_lncRNA</v>
      </c>
    </row>
    <row r="2197" spans="1:9" x14ac:dyDescent="0.2">
      <c r="A2197" s="3" t="str">
        <f>"ENSG00000165985.10"</f>
        <v>ENSG00000165985.10</v>
      </c>
      <c r="B2197" s="3">
        <v>88.308771363042496</v>
      </c>
      <c r="C2197" s="3">
        <v>6.20531212321709</v>
      </c>
      <c r="D2197" s="3">
        <v>0.76218315107114298</v>
      </c>
      <c r="E2197" s="3">
        <v>8.1414973743468106</v>
      </c>
      <c r="F2197" s="4">
        <v>3.9041900878265502E-16</v>
      </c>
      <c r="G2197" s="4">
        <v>1.57893732571185E-14</v>
      </c>
      <c r="H2197" s="3" t="str">
        <f>"C1QL3"</f>
        <v>C1QL3</v>
      </c>
      <c r="I2197" s="3" t="str">
        <f>"protein_coding"</f>
        <v>protein_coding</v>
      </c>
    </row>
    <row r="2198" spans="1:9" x14ac:dyDescent="0.2">
      <c r="A2198" s="3" t="str">
        <f>"ENSG00000230109.1"</f>
        <v>ENSG00000230109.1</v>
      </c>
      <c r="B2198" s="3">
        <v>10.2492704153175</v>
      </c>
      <c r="C2198" s="3">
        <v>4.40434046508057</v>
      </c>
      <c r="D2198" s="3">
        <v>1.44575677657744</v>
      </c>
      <c r="E2198" s="3">
        <v>3.0463910226359201</v>
      </c>
      <c r="F2198" s="3">
        <v>2.3160641933199599E-3</v>
      </c>
      <c r="G2198" s="3">
        <v>1.24170065607339E-2</v>
      </c>
      <c r="H2198" s="3" t="str">
        <f>"LINC02643"</f>
        <v>LINC02643</v>
      </c>
      <c r="I2198" s="3" t="str">
        <f>"lincRNA"</f>
        <v>lincRNA</v>
      </c>
    </row>
    <row r="2199" spans="1:9" x14ac:dyDescent="0.2">
      <c r="A2199" s="3" t="str">
        <f>"ENSG00000180592.16"</f>
        <v>ENSG00000180592.16</v>
      </c>
      <c r="B2199" s="3">
        <v>25.3920137311062</v>
      </c>
      <c r="C2199" s="3">
        <v>-1.9013007481675701</v>
      </c>
      <c r="D2199" s="3">
        <v>0.71406703041640096</v>
      </c>
      <c r="E2199" s="3">
        <v>-2.6626362332662898</v>
      </c>
      <c r="F2199" s="3">
        <v>7.7531178388791297E-3</v>
      </c>
      <c r="G2199" s="3">
        <v>3.4072271005766E-2</v>
      </c>
      <c r="H2199" s="3" t="str">
        <f>"SKIDA1"</f>
        <v>SKIDA1</v>
      </c>
      <c r="I2199" s="3" t="str">
        <f t="shared" ref="I2199:I2204" si="94">"protein_coding"</f>
        <v>protein_coding</v>
      </c>
    </row>
    <row r="2200" spans="1:9" x14ac:dyDescent="0.2">
      <c r="A2200" s="3" t="str">
        <f>"ENSG00000151023.17"</f>
        <v>ENSG00000151023.17</v>
      </c>
      <c r="B2200" s="3">
        <v>44.963989279352099</v>
      </c>
      <c r="C2200" s="3">
        <v>1.6618120841719699</v>
      </c>
      <c r="D2200" s="3">
        <v>0.55990615212130901</v>
      </c>
      <c r="E2200" s="3">
        <v>2.9680189758156499</v>
      </c>
      <c r="F2200" s="3">
        <v>2.9972582628938599E-3</v>
      </c>
      <c r="G2200" s="3">
        <v>1.54089580222962E-2</v>
      </c>
      <c r="H2200" s="3" t="str">
        <f>"ENKUR"</f>
        <v>ENKUR</v>
      </c>
      <c r="I2200" s="3" t="str">
        <f t="shared" si="94"/>
        <v>protein_coding</v>
      </c>
    </row>
    <row r="2201" spans="1:9" x14ac:dyDescent="0.2">
      <c r="A2201" s="3" t="str">
        <f>"ENSG00000185875.13"</f>
        <v>ENSG00000185875.13</v>
      </c>
      <c r="B2201" s="3">
        <v>251.26860588034901</v>
      </c>
      <c r="C2201" s="3">
        <v>1.0639328996814901</v>
      </c>
      <c r="D2201" s="3">
        <v>0.34048546354931702</v>
      </c>
      <c r="E2201" s="3">
        <v>3.1247527826614001</v>
      </c>
      <c r="F2201" s="3">
        <v>1.77954548474373E-3</v>
      </c>
      <c r="G2201" s="3">
        <v>9.9278036524126107E-3</v>
      </c>
      <c r="H2201" s="3" t="str">
        <f>"THNSL1"</f>
        <v>THNSL1</v>
      </c>
      <c r="I2201" s="3" t="str">
        <f t="shared" si="94"/>
        <v>protein_coding</v>
      </c>
    </row>
    <row r="2202" spans="1:9" x14ac:dyDescent="0.2">
      <c r="A2202" s="3" t="str">
        <f>"ENSG00000120539.14"</f>
        <v>ENSG00000120539.14</v>
      </c>
      <c r="B2202" s="3">
        <v>1300.64031600166</v>
      </c>
      <c r="C2202" s="3">
        <v>-1.4190336503648799</v>
      </c>
      <c r="D2202" s="3">
        <v>0.31267738555437402</v>
      </c>
      <c r="E2202" s="3">
        <v>-4.5383315708903904</v>
      </c>
      <c r="F2202" s="4">
        <v>5.6701057287184599E-6</v>
      </c>
      <c r="G2202" s="4">
        <v>6.1585280486145405E-5</v>
      </c>
      <c r="H2202" s="3" t="str">
        <f>"MASTL"</f>
        <v>MASTL</v>
      </c>
      <c r="I2202" s="3" t="str">
        <f t="shared" si="94"/>
        <v>protein_coding</v>
      </c>
    </row>
    <row r="2203" spans="1:9" x14ac:dyDescent="0.2">
      <c r="A2203" s="3" t="str">
        <f>"ENSG00000150054.18"</f>
        <v>ENSG00000150054.18</v>
      </c>
      <c r="B2203" s="3">
        <v>343.12343883934602</v>
      </c>
      <c r="C2203" s="3">
        <v>-1.5554478411035499</v>
      </c>
      <c r="D2203" s="3">
        <v>0.29319432514480898</v>
      </c>
      <c r="E2203" s="3">
        <v>-5.3051771733143704</v>
      </c>
      <c r="F2203" s="4">
        <v>1.1256361211547299E-7</v>
      </c>
      <c r="G2203" s="4">
        <v>1.6784455618048099E-6</v>
      </c>
      <c r="H2203" s="3" t="str">
        <f>"MPP7"</f>
        <v>MPP7</v>
      </c>
      <c r="I2203" s="3" t="str">
        <f t="shared" si="94"/>
        <v>protein_coding</v>
      </c>
    </row>
    <row r="2204" spans="1:9" x14ac:dyDescent="0.2">
      <c r="A2204" s="3" t="str">
        <f>"ENSG00000095739.11"</f>
        <v>ENSG00000095739.11</v>
      </c>
      <c r="B2204" s="3">
        <v>1568.9755988792001</v>
      </c>
      <c r="C2204" s="3">
        <v>-1.9348333255721999</v>
      </c>
      <c r="D2204" s="3">
        <v>0.24604062050560399</v>
      </c>
      <c r="E2204" s="3">
        <v>-7.8638776052352402</v>
      </c>
      <c r="F2204" s="4">
        <v>3.7242144864938097E-15</v>
      </c>
      <c r="G2204" s="4">
        <v>1.36962888023029E-13</v>
      </c>
      <c r="H2204" s="3" t="str">
        <f>"BAMBI"</f>
        <v>BAMBI</v>
      </c>
      <c r="I2204" s="3" t="str">
        <f t="shared" si="94"/>
        <v>protein_coding</v>
      </c>
    </row>
    <row r="2205" spans="1:9" x14ac:dyDescent="0.2">
      <c r="A2205" s="3" t="str">
        <f>"ENSG00000232624.7"</f>
        <v>ENSG00000232624.7</v>
      </c>
      <c r="B2205" s="3">
        <v>61.581503084872303</v>
      </c>
      <c r="C2205" s="3">
        <v>-3.3012208085288499</v>
      </c>
      <c r="D2205" s="3">
        <v>0.54463975718633395</v>
      </c>
      <c r="E2205" s="3">
        <v>-6.0612923771545804</v>
      </c>
      <c r="F2205" s="4">
        <v>1.3503211377391701E-9</v>
      </c>
      <c r="G2205" s="4">
        <v>2.69581969998641E-8</v>
      </c>
      <c r="H2205" s="3" t="str">
        <f>"LINC01517"</f>
        <v>LINC01517</v>
      </c>
      <c r="I2205" s="3" t="str">
        <f>"processed_transcript"</f>
        <v>processed_transcript</v>
      </c>
    </row>
    <row r="2206" spans="1:9" x14ac:dyDescent="0.2">
      <c r="A2206" s="3" t="str">
        <f>"ENSG00000165757.9"</f>
        <v>ENSG00000165757.9</v>
      </c>
      <c r="B2206" s="3">
        <v>184.88298003616401</v>
      </c>
      <c r="C2206" s="3">
        <v>2.9409632147024598</v>
      </c>
      <c r="D2206" s="3">
        <v>0.36318174347718002</v>
      </c>
      <c r="E2206" s="3">
        <v>8.0977727199199201</v>
      </c>
      <c r="F2206" s="4">
        <v>5.5974518485345198E-16</v>
      </c>
      <c r="G2206" s="4">
        <v>2.2243902251166799E-14</v>
      </c>
      <c r="H2206" s="3" t="str">
        <f>"JCAD"</f>
        <v>JCAD</v>
      </c>
      <c r="I2206" s="3" t="str">
        <f>"protein_coding"</f>
        <v>protein_coding</v>
      </c>
    </row>
    <row r="2207" spans="1:9" x14ac:dyDescent="0.2">
      <c r="A2207" s="3" t="str">
        <f>"ENSG00000170759.11"</f>
        <v>ENSG00000170759.11</v>
      </c>
      <c r="B2207" s="3">
        <v>18674.744826754799</v>
      </c>
      <c r="C2207" s="3">
        <v>-1.11300054836006</v>
      </c>
      <c r="D2207" s="3">
        <v>0.26020996854936002</v>
      </c>
      <c r="E2207" s="3">
        <v>-4.2773171011276299</v>
      </c>
      <c r="F2207" s="4">
        <v>1.8915925999469199E-5</v>
      </c>
      <c r="G2207" s="3">
        <v>1.8217079575675701E-4</v>
      </c>
      <c r="H2207" s="3" t="str">
        <f>"KIF5B"</f>
        <v>KIF5B</v>
      </c>
      <c r="I2207" s="3" t="str">
        <f>"protein_coding"</f>
        <v>protein_coding</v>
      </c>
    </row>
    <row r="2208" spans="1:9" x14ac:dyDescent="0.2">
      <c r="A2208" s="3" t="str">
        <f>"ENSG00000206660.1"</f>
        <v>ENSG00000206660.1</v>
      </c>
      <c r="B2208" s="3">
        <v>11.199549777704201</v>
      </c>
      <c r="C2208" s="3">
        <v>-3.7547728687888098</v>
      </c>
      <c r="D2208" s="3">
        <v>1.25691865802554</v>
      </c>
      <c r="E2208" s="3">
        <v>-2.9872838984561598</v>
      </c>
      <c r="F2208" s="3">
        <v>2.8146820867420998E-3</v>
      </c>
      <c r="G2208" s="3">
        <v>1.4598624307628399E-2</v>
      </c>
      <c r="H2208" s="3" t="str">
        <f>"RF00019"</f>
        <v>RF00019</v>
      </c>
      <c r="I2208" s="3" t="str">
        <f>"misc_RNA"</f>
        <v>misc_RNA</v>
      </c>
    </row>
    <row r="2209" spans="1:9" x14ac:dyDescent="0.2">
      <c r="A2209" s="3" t="str">
        <f>"ENSG00000099250.18"</f>
        <v>ENSG00000099250.18</v>
      </c>
      <c r="B2209" s="3">
        <v>1095.37745858731</v>
      </c>
      <c r="C2209" s="3">
        <v>1.33233677622334</v>
      </c>
      <c r="D2209" s="3">
        <v>0.26618649388722698</v>
      </c>
      <c r="E2209" s="3">
        <v>5.0052756500402902</v>
      </c>
      <c r="F2209" s="4">
        <v>5.5782147959926995E-7</v>
      </c>
      <c r="G2209" s="4">
        <v>7.34275212941896E-6</v>
      </c>
      <c r="H2209" s="3" t="str">
        <f>"NRP1"</f>
        <v>NRP1</v>
      </c>
      <c r="I2209" s="3" t="str">
        <f>"protein_coding"</f>
        <v>protein_coding</v>
      </c>
    </row>
    <row r="2210" spans="1:9" x14ac:dyDescent="0.2">
      <c r="A2210" s="3" t="str">
        <f>"ENSG00000229235.1"</f>
        <v>ENSG00000229235.1</v>
      </c>
      <c r="B2210" s="3">
        <v>92.586227019579695</v>
      </c>
      <c r="C2210" s="3">
        <v>1.10791261082349</v>
      </c>
      <c r="D2210" s="3">
        <v>0.43321972157626798</v>
      </c>
      <c r="E2210" s="3">
        <v>2.55739190910412</v>
      </c>
      <c r="F2210" s="3">
        <v>1.0546032758927499E-2</v>
      </c>
      <c r="G2210" s="3">
        <v>4.4148020311336703E-2</v>
      </c>
      <c r="H2210" s="3" t="str">
        <f>"RPL37P18"</f>
        <v>RPL37P18</v>
      </c>
      <c r="I2210" s="3" t="str">
        <f>"processed_pseudogene"</f>
        <v>processed_pseudogene</v>
      </c>
    </row>
    <row r="2211" spans="1:9" x14ac:dyDescent="0.2">
      <c r="A2211" s="3" t="str">
        <f>"ENSG00000215184.2"</f>
        <v>ENSG00000215184.2</v>
      </c>
      <c r="B2211" s="3">
        <v>112.269230231492</v>
      </c>
      <c r="C2211" s="3">
        <v>1.1591144609331501</v>
      </c>
      <c r="D2211" s="3">
        <v>0.39108506289505102</v>
      </c>
      <c r="E2211" s="3">
        <v>2.96384232205821</v>
      </c>
      <c r="F2211" s="3">
        <v>3.0382392272825802E-3</v>
      </c>
      <c r="G2211" s="3">
        <v>1.55814286977153E-2</v>
      </c>
      <c r="H2211" s="3" t="str">
        <f>"RPS12P16"</f>
        <v>RPS12P16</v>
      </c>
      <c r="I2211" s="3" t="str">
        <f>"processed_pseudogene"</f>
        <v>processed_pseudogene</v>
      </c>
    </row>
    <row r="2212" spans="1:9" x14ac:dyDescent="0.2">
      <c r="A2212" s="3" t="str">
        <f>"ENSG00000175395.16"</f>
        <v>ENSG00000175395.16</v>
      </c>
      <c r="B2212" s="3">
        <v>108.809978913317</v>
      </c>
      <c r="C2212" s="3">
        <v>1.4490700107338701</v>
      </c>
      <c r="D2212" s="3">
        <v>0.43717420125094603</v>
      </c>
      <c r="E2212" s="3">
        <v>3.3146283714534199</v>
      </c>
      <c r="F2212" s="3">
        <v>9.1765033910521602E-4</v>
      </c>
      <c r="G2212" s="3">
        <v>5.6744086234492902E-3</v>
      </c>
      <c r="H2212" s="3" t="str">
        <f>"ZNF25"</f>
        <v>ZNF25</v>
      </c>
      <c r="I2212" s="3" t="str">
        <f>"protein_coding"</f>
        <v>protein_coding</v>
      </c>
    </row>
    <row r="2213" spans="1:9" x14ac:dyDescent="0.2">
      <c r="A2213" s="3" t="str">
        <f>"ENSG00000075407.18"</f>
        <v>ENSG00000075407.18</v>
      </c>
      <c r="B2213" s="3">
        <v>3744.21320234921</v>
      </c>
      <c r="C2213" s="3">
        <v>2.0964041566125702</v>
      </c>
      <c r="D2213" s="3">
        <v>0.29111905455229797</v>
      </c>
      <c r="E2213" s="3">
        <v>7.2011918279844602</v>
      </c>
      <c r="F2213" s="4">
        <v>5.9688502625842499E-13</v>
      </c>
      <c r="G2213" s="4">
        <v>1.7685091679070301E-11</v>
      </c>
      <c r="H2213" s="3" t="str">
        <f>"ZNF37A"</f>
        <v>ZNF37A</v>
      </c>
      <c r="I2213" s="3" t="str">
        <f>"protein_coding"</f>
        <v>protein_coding</v>
      </c>
    </row>
    <row r="2214" spans="1:9" x14ac:dyDescent="0.2">
      <c r="A2214" s="3" t="str">
        <f>"ENSG00000283930.1"</f>
        <v>ENSG00000283930.1</v>
      </c>
      <c r="B2214" s="3">
        <v>270.97843029235003</v>
      </c>
      <c r="C2214" s="3">
        <v>2.63446277698797</v>
      </c>
      <c r="D2214" s="3">
        <v>0.38565139338085502</v>
      </c>
      <c r="E2214" s="3">
        <v>6.8312025373295402</v>
      </c>
      <c r="F2214" s="4">
        <v>8.4205746826318008E-12</v>
      </c>
      <c r="G2214" s="4">
        <v>2.1859603316986899E-10</v>
      </c>
      <c r="H2214" s="3" t="str">
        <f>"AL117339.5"</f>
        <v>AL117339.5</v>
      </c>
      <c r="I2214" s="3" t="str">
        <f>"protein_coding"</f>
        <v>protein_coding</v>
      </c>
    </row>
    <row r="2215" spans="1:9" x14ac:dyDescent="0.2">
      <c r="A2215" s="3" t="str">
        <f>"ENSG00000272983.1"</f>
        <v>ENSG00000272983.1</v>
      </c>
      <c r="B2215" s="3">
        <v>132.18131009313001</v>
      </c>
      <c r="C2215" s="3">
        <v>3.36354302406605</v>
      </c>
      <c r="D2215" s="3">
        <v>0.41334423514704199</v>
      </c>
      <c r="E2215" s="3">
        <v>8.1373894639404298</v>
      </c>
      <c r="F2215" s="4">
        <v>4.0389184890871902E-16</v>
      </c>
      <c r="G2215" s="4">
        <v>1.6255839134878099E-14</v>
      </c>
      <c r="H2215" s="3" t="str">
        <f>"AL117339.4"</f>
        <v>AL117339.4</v>
      </c>
      <c r="I2215" s="3" t="str">
        <f>"lincRNA"</f>
        <v>lincRNA</v>
      </c>
    </row>
    <row r="2216" spans="1:9" x14ac:dyDescent="0.2">
      <c r="A2216" s="3" t="str">
        <f>"ENSG00000099251.14"</f>
        <v>ENSG00000099251.14</v>
      </c>
      <c r="B2216" s="3">
        <v>443.08092563620102</v>
      </c>
      <c r="C2216" s="3">
        <v>2.6350018120745999</v>
      </c>
      <c r="D2216" s="3">
        <v>0.29969411587192002</v>
      </c>
      <c r="E2216" s="3">
        <v>8.7923041278552301</v>
      </c>
      <c r="F2216" s="4">
        <v>1.46523492976102E-18</v>
      </c>
      <c r="G2216" s="4">
        <v>7.12920399577147E-17</v>
      </c>
      <c r="H2216" s="3" t="str">
        <f>"HSD17B7P2"</f>
        <v>HSD17B7P2</v>
      </c>
      <c r="I2216" s="3" t="str">
        <f>"transcribed_unprocessed_pseudogene"</f>
        <v>transcribed_unprocessed_pseudogene</v>
      </c>
    </row>
    <row r="2217" spans="1:9" x14ac:dyDescent="0.2">
      <c r="A2217" s="3" t="str">
        <f>"ENSG00000215146.5"</f>
        <v>ENSG00000215146.5</v>
      </c>
      <c r="B2217" s="3">
        <v>313.32143749172502</v>
      </c>
      <c r="C2217" s="3">
        <v>-4.3841110877310498</v>
      </c>
      <c r="D2217" s="3">
        <v>0.35477909162244198</v>
      </c>
      <c r="E2217" s="3">
        <v>-12.3572983618681</v>
      </c>
      <c r="F2217" s="4">
        <v>4.4485752913895302E-35</v>
      </c>
      <c r="G2217" s="4">
        <v>5.6233121334122403E-33</v>
      </c>
      <c r="H2217" s="3" t="str">
        <f>"BX322639.1"</f>
        <v>BX322639.1</v>
      </c>
      <c r="I2217" s="3" t="str">
        <f>"transcribed_unprocessed_pseudogene"</f>
        <v>transcribed_unprocessed_pseudogene</v>
      </c>
    </row>
    <row r="2218" spans="1:9" x14ac:dyDescent="0.2">
      <c r="A2218" s="3" t="str">
        <f>"ENSG00000196693.15"</f>
        <v>ENSG00000196693.15</v>
      </c>
      <c r="B2218" s="3">
        <v>2022.03421000352</v>
      </c>
      <c r="C2218" s="3">
        <v>1.2842284020785499</v>
      </c>
      <c r="D2218" s="3">
        <v>0.289366907824882</v>
      </c>
      <c r="E2218" s="3">
        <v>4.4380624299159299</v>
      </c>
      <c r="F2218" s="4">
        <v>9.0772293893984908E-6</v>
      </c>
      <c r="G2218" s="4">
        <v>9.3966133864328803E-5</v>
      </c>
      <c r="H2218" s="3" t="str">
        <f>"ZNF33B"</f>
        <v>ZNF33B</v>
      </c>
      <c r="I2218" s="3" t="str">
        <f>"protein_coding"</f>
        <v>protein_coding</v>
      </c>
    </row>
    <row r="2219" spans="1:9" x14ac:dyDescent="0.2">
      <c r="A2219" s="3" t="str">
        <f>"ENSG00000012779.11"</f>
        <v>ENSG00000012779.11</v>
      </c>
      <c r="B2219" s="3">
        <v>192.507848501908</v>
      </c>
      <c r="C2219" s="3">
        <v>5.94955619120047</v>
      </c>
      <c r="D2219" s="3">
        <v>0.53021593752603802</v>
      </c>
      <c r="E2219" s="3">
        <v>11.2210059527083</v>
      </c>
      <c r="F2219" s="4">
        <v>3.21591274101709E-29</v>
      </c>
      <c r="G2219" s="4">
        <v>3.0994745210837198E-27</v>
      </c>
      <c r="H2219" s="3" t="str">
        <f>"ALOX5"</f>
        <v>ALOX5</v>
      </c>
      <c r="I2219" s="3" t="str">
        <f>"protein_coding"</f>
        <v>protein_coding</v>
      </c>
    </row>
    <row r="2220" spans="1:9" x14ac:dyDescent="0.2">
      <c r="A2220" s="3" t="str">
        <f>"ENSG00000165406.16"</f>
        <v>ENSG00000165406.16</v>
      </c>
      <c r="B2220" s="3">
        <v>2162.11505577453</v>
      </c>
      <c r="C2220" s="3">
        <v>1.4491166443944099</v>
      </c>
      <c r="D2220" s="3">
        <v>0.25245315841745902</v>
      </c>
      <c r="E2220" s="3">
        <v>5.7401406798727201</v>
      </c>
      <c r="F2220" s="4">
        <v>9.4597934115216204E-9</v>
      </c>
      <c r="G2220" s="4">
        <v>1.6710751633906301E-7</v>
      </c>
      <c r="H2220" s="3" t="str">
        <f>"MARCH8"</f>
        <v>MARCH8</v>
      </c>
      <c r="I2220" s="3" t="str">
        <f>"protein_coding"</f>
        <v>protein_coding</v>
      </c>
    </row>
    <row r="2221" spans="1:9" x14ac:dyDescent="0.2">
      <c r="A2221" s="3" t="str">
        <f>"ENSG00000264230.9"</f>
        <v>ENSG00000264230.9</v>
      </c>
      <c r="B2221" s="3">
        <v>4.5067613519594598</v>
      </c>
      <c r="C2221" s="3">
        <v>5.6871354612422396</v>
      </c>
      <c r="D2221" s="3">
        <v>2.0820890652956998</v>
      </c>
      <c r="E2221" s="3">
        <v>2.7314563800538298</v>
      </c>
      <c r="F2221" s="3">
        <v>6.30550873117635E-3</v>
      </c>
      <c r="G2221" s="3">
        <v>2.8703415152504699E-2</v>
      </c>
      <c r="H2221" s="3" t="str">
        <f>"ANXA8L1"</f>
        <v>ANXA8L1</v>
      </c>
      <c r="I2221" s="3" t="str">
        <f>"protein_coding"</f>
        <v>protein_coding</v>
      </c>
    </row>
    <row r="2222" spans="1:9" x14ac:dyDescent="0.2">
      <c r="A2222" s="3" t="str">
        <f>"ENSG00000285294.1"</f>
        <v>ENSG00000285294.1</v>
      </c>
      <c r="B2222" s="3">
        <v>5.9964955288719297</v>
      </c>
      <c r="C2222" s="3">
        <v>6.1015540212156596</v>
      </c>
      <c r="D2222" s="3">
        <v>1.9346397157810999</v>
      </c>
      <c r="E2222" s="3">
        <v>3.1538451172300999</v>
      </c>
      <c r="F2222" s="3">
        <v>1.6113457876091601E-3</v>
      </c>
      <c r="G2222" s="3">
        <v>9.1464702714660496E-3</v>
      </c>
      <c r="H2222" s="3" t="str">
        <f>"LINC00842"</f>
        <v>LINC00842</v>
      </c>
      <c r="I2222" s="3" t="str">
        <f>"lincRNA"</f>
        <v>lincRNA</v>
      </c>
    </row>
    <row r="2223" spans="1:9" x14ac:dyDescent="0.2">
      <c r="A2223" s="3" t="str">
        <f>"ENSG00000204176.13"</f>
        <v>ENSG00000204176.13</v>
      </c>
      <c r="B2223" s="3">
        <v>15.5264608459989</v>
      </c>
      <c r="C2223" s="3">
        <v>-2.96337903328171</v>
      </c>
      <c r="D2223" s="3">
        <v>0.99529421071728996</v>
      </c>
      <c r="E2223" s="3">
        <v>-2.9773900032494498</v>
      </c>
      <c r="F2223" s="3">
        <v>2.90713941312224E-3</v>
      </c>
      <c r="G2223" s="3">
        <v>1.50224100117276E-2</v>
      </c>
      <c r="H2223" s="3" t="str">
        <f>"SYT15"</f>
        <v>SYT15</v>
      </c>
      <c r="I2223" s="3" t="str">
        <f>"protein_coding"</f>
        <v>protein_coding</v>
      </c>
    </row>
    <row r="2224" spans="1:9" x14ac:dyDescent="0.2">
      <c r="A2224" s="3" t="str">
        <f>"ENSG00000231187.2"</f>
        <v>ENSG00000231187.2</v>
      </c>
      <c r="B2224" s="3">
        <v>60.827828419011297</v>
      </c>
      <c r="C2224" s="3">
        <v>-1.47715150903586</v>
      </c>
      <c r="D2224" s="3">
        <v>0.50689094738663998</v>
      </c>
      <c r="E2224" s="3">
        <v>-2.9141406384382198</v>
      </c>
      <c r="F2224" s="3">
        <v>3.5666918585218E-3</v>
      </c>
      <c r="G2224" s="3">
        <v>1.7908210319583999E-2</v>
      </c>
      <c r="H2224" s="3" t="str">
        <f>"AL356056.2"</f>
        <v>AL356056.2</v>
      </c>
      <c r="I2224" s="3" t="str">
        <f>"antisense"</f>
        <v>antisense</v>
      </c>
    </row>
    <row r="2225" spans="1:9" x14ac:dyDescent="0.2">
      <c r="A2225" s="3" t="str">
        <f>"ENSG00000150175.13"</f>
        <v>ENSG00000150175.13</v>
      </c>
      <c r="B2225" s="3">
        <v>34.858000442295001</v>
      </c>
      <c r="C2225" s="3">
        <v>3.6564741251621</v>
      </c>
      <c r="D2225" s="3">
        <v>0.72248271222748395</v>
      </c>
      <c r="E2225" s="3">
        <v>5.0609849388490398</v>
      </c>
      <c r="F2225" s="4">
        <v>4.1709616645619602E-7</v>
      </c>
      <c r="G2225" s="4">
        <v>5.61673129936061E-6</v>
      </c>
      <c r="H2225" s="3" t="str">
        <f>"FRMPD2B"</f>
        <v>FRMPD2B</v>
      </c>
      <c r="I2225" s="3" t="str">
        <f>"unprocessed_pseudogene"</f>
        <v>unprocessed_pseudogene</v>
      </c>
    </row>
    <row r="2226" spans="1:9" x14ac:dyDescent="0.2">
      <c r="A2226" s="3" t="str">
        <f>"ENSG00000266524.3"</f>
        <v>ENSG00000266524.3</v>
      </c>
      <c r="B2226" s="3">
        <v>5.27196007067029</v>
      </c>
      <c r="C2226" s="3">
        <v>-5.7861201034851701</v>
      </c>
      <c r="D2226" s="3">
        <v>1.99072858327181</v>
      </c>
      <c r="E2226" s="3">
        <v>-2.9065338952312301</v>
      </c>
      <c r="F2226" s="3">
        <v>3.6545730276138001E-3</v>
      </c>
      <c r="G2226" s="3">
        <v>1.8247476083688999E-2</v>
      </c>
      <c r="H2226" s="3" t="str">
        <f>"GDF10"</f>
        <v>GDF10</v>
      </c>
      <c r="I2226" s="3" t="str">
        <f>"protein_coding"</f>
        <v>protein_coding</v>
      </c>
    </row>
    <row r="2227" spans="1:9" x14ac:dyDescent="0.2">
      <c r="A2227" s="3" t="str">
        <f>"ENSG00000265763.4"</f>
        <v>ENSG00000265763.4</v>
      </c>
      <c r="B2227" s="3">
        <v>66.570968778725998</v>
      </c>
      <c r="C2227" s="3">
        <v>1.9966248909595401</v>
      </c>
      <c r="D2227" s="3">
        <v>0.547920024044802</v>
      </c>
      <c r="E2227" s="3">
        <v>3.6440078904586302</v>
      </c>
      <c r="F2227" s="3">
        <v>2.6842518490661701E-4</v>
      </c>
      <c r="G2227" s="3">
        <v>1.9386263354366801E-3</v>
      </c>
      <c r="H2227" s="3" t="str">
        <f>"ZNF488"</f>
        <v>ZNF488</v>
      </c>
      <c r="I2227" s="3" t="str">
        <f>"protein_coding"</f>
        <v>protein_coding</v>
      </c>
    </row>
    <row r="2228" spans="1:9" x14ac:dyDescent="0.2">
      <c r="A2228" s="3" t="str">
        <f>"ENSG00000265190.6"</f>
        <v>ENSG00000265190.6</v>
      </c>
      <c r="B2228" s="3">
        <v>39.989346399274901</v>
      </c>
      <c r="C2228" s="3">
        <v>5.0404560907639002</v>
      </c>
      <c r="D2228" s="3">
        <v>0.83650622572264499</v>
      </c>
      <c r="E2228" s="3">
        <v>6.0256049934470397</v>
      </c>
      <c r="F2228" s="4">
        <v>1.68478203084244E-9</v>
      </c>
      <c r="G2228" s="4">
        <v>3.30324957021369E-8</v>
      </c>
      <c r="H2228" s="3" t="str">
        <f>"ANXA8"</f>
        <v>ANXA8</v>
      </c>
      <c r="I2228" s="3" t="str">
        <f>"protein_coding"</f>
        <v>protein_coding</v>
      </c>
    </row>
    <row r="2229" spans="1:9" x14ac:dyDescent="0.2">
      <c r="A2229" s="3" t="str">
        <f>"ENSG00000189014.7"</f>
        <v>ENSG00000189014.7</v>
      </c>
      <c r="B2229" s="3">
        <v>62.905441970220103</v>
      </c>
      <c r="C2229" s="3">
        <v>-1.94042774652017</v>
      </c>
      <c r="D2229" s="3">
        <v>0.50775080312980003</v>
      </c>
      <c r="E2229" s="3">
        <v>-3.8216143323836902</v>
      </c>
      <c r="F2229" s="3">
        <v>1.3258092096073601E-4</v>
      </c>
      <c r="G2229" s="3">
        <v>1.03961130510203E-3</v>
      </c>
      <c r="H2229" s="3" t="str">
        <f>"SHLD2P3"</f>
        <v>SHLD2P3</v>
      </c>
      <c r="I2229" s="3" t="str">
        <f>"unprocessed_pseudogene"</f>
        <v>unprocessed_pseudogene</v>
      </c>
    </row>
    <row r="2230" spans="1:9" x14ac:dyDescent="0.2">
      <c r="A2230" s="3" t="str">
        <f>"ENSG00000276850.4"</f>
        <v>ENSG00000276850.4</v>
      </c>
      <c r="B2230" s="3">
        <v>104.47509740969601</v>
      </c>
      <c r="C2230" s="3">
        <v>10.2245139682265</v>
      </c>
      <c r="D2230" s="3">
        <v>1.49794334443322</v>
      </c>
      <c r="E2230" s="3">
        <v>6.8257013899916297</v>
      </c>
      <c r="F2230" s="4">
        <v>8.7496760674649599E-12</v>
      </c>
      <c r="G2230" s="4">
        <v>2.2620565413883001E-10</v>
      </c>
      <c r="H2230" s="3" t="str">
        <f>"AC245041.2"</f>
        <v>AC245041.2</v>
      </c>
      <c r="I2230" s="3" t="str">
        <f>"lincRNA"</f>
        <v>lincRNA</v>
      </c>
    </row>
    <row r="2231" spans="1:9" x14ac:dyDescent="0.2">
      <c r="A2231" s="3" t="str">
        <f>"ENSG00000273760.1"</f>
        <v>ENSG00000273760.1</v>
      </c>
      <c r="B2231" s="3">
        <v>54.012973155190501</v>
      </c>
      <c r="C2231" s="3">
        <v>5.00541177663239</v>
      </c>
      <c r="D2231" s="3">
        <v>0.73688644237398704</v>
      </c>
      <c r="E2231" s="3">
        <v>6.7926501137769897</v>
      </c>
      <c r="F2231" s="4">
        <v>1.10092162230497E-11</v>
      </c>
      <c r="G2231" s="4">
        <v>2.8172617913613001E-10</v>
      </c>
      <c r="H2231" s="3" t="str">
        <f>"AC245041.1"</f>
        <v>AC245041.1</v>
      </c>
      <c r="I2231" s="3" t="str">
        <f>"lincRNA"</f>
        <v>lincRNA</v>
      </c>
    </row>
    <row r="2232" spans="1:9" x14ac:dyDescent="0.2">
      <c r="A2232" s="3" t="str">
        <f>"ENSG00000170324.21"</f>
        <v>ENSG00000170324.21</v>
      </c>
      <c r="B2232" s="3">
        <v>857.48208505303</v>
      </c>
      <c r="C2232" s="3">
        <v>6.66871703031204</v>
      </c>
      <c r="D2232" s="3">
        <v>0.36449998757351398</v>
      </c>
      <c r="E2232" s="3">
        <v>18.2955205971497</v>
      </c>
      <c r="F2232" s="4">
        <v>8.9838801899832804E-75</v>
      </c>
      <c r="G2232" s="4">
        <v>5.7946027225392204E-72</v>
      </c>
      <c r="H2232" s="3" t="str">
        <f>"FRMPD2"</f>
        <v>FRMPD2</v>
      </c>
      <c r="I2232" s="3" t="str">
        <f>"protein_coding"</f>
        <v>protein_coding</v>
      </c>
    </row>
    <row r="2233" spans="1:9" x14ac:dyDescent="0.2">
      <c r="A2233" s="3" t="str">
        <f>"ENSG00000128805.14"</f>
        <v>ENSG00000128805.14</v>
      </c>
      <c r="B2233" s="3">
        <v>114.90884131078001</v>
      </c>
      <c r="C2233" s="3">
        <v>2.4626653825616001</v>
      </c>
      <c r="D2233" s="3">
        <v>0.42982179608264298</v>
      </c>
      <c r="E2233" s="3">
        <v>5.7295032615984303</v>
      </c>
      <c r="F2233" s="4">
        <v>1.00725152840429E-8</v>
      </c>
      <c r="G2233" s="4">
        <v>1.7730869277123701E-7</v>
      </c>
      <c r="H2233" s="3" t="str">
        <f>"ARHGAP22"</f>
        <v>ARHGAP22</v>
      </c>
      <c r="I2233" s="3" t="str">
        <f>"protein_coding"</f>
        <v>protein_coding</v>
      </c>
    </row>
    <row r="2234" spans="1:9" x14ac:dyDescent="0.2">
      <c r="A2234" s="3" t="str">
        <f>"ENSG00000251413.1"</f>
        <v>ENSG00000251413.1</v>
      </c>
      <c r="B2234" s="3">
        <v>12.550462456361799</v>
      </c>
      <c r="C2234" s="3">
        <v>7.1641742773016697</v>
      </c>
      <c r="D2234" s="3">
        <v>1.7303895779815901</v>
      </c>
      <c r="E2234" s="3">
        <v>4.1402088688365204</v>
      </c>
      <c r="F2234" s="4">
        <v>3.4698973267951799E-5</v>
      </c>
      <c r="G2234" s="3">
        <v>3.1620193139164502E-4</v>
      </c>
      <c r="H2234" s="3" t="str">
        <f>"AC068898.2"</f>
        <v>AC068898.2</v>
      </c>
      <c r="I2234" s="3" t="str">
        <f>"sense_intronic"</f>
        <v>sense_intronic</v>
      </c>
    </row>
    <row r="2235" spans="1:9" x14ac:dyDescent="0.2">
      <c r="A2235" s="3" t="str">
        <f>"ENSG00000197444.10"</f>
        <v>ENSG00000197444.10</v>
      </c>
      <c r="B2235" s="3">
        <v>108.32235838200999</v>
      </c>
      <c r="C2235" s="3">
        <v>-1.89666705623764</v>
      </c>
      <c r="D2235" s="3">
        <v>0.43492427743960099</v>
      </c>
      <c r="E2235" s="3">
        <v>-4.3609132776016102</v>
      </c>
      <c r="F2235" s="4">
        <v>1.29520697354735E-5</v>
      </c>
      <c r="G2235" s="3">
        <v>1.28880266691391E-4</v>
      </c>
      <c r="H2235" s="3" t="str">
        <f>"OGDHL"</f>
        <v>OGDHL</v>
      </c>
      <c r="I2235" s="3" t="str">
        <f>"protein_coding"</f>
        <v>protein_coding</v>
      </c>
    </row>
    <row r="2236" spans="1:9" x14ac:dyDescent="0.2">
      <c r="A2236" s="3" t="str">
        <f>"ENSG00000188611.14"</f>
        <v>ENSG00000188611.14</v>
      </c>
      <c r="B2236" s="3">
        <v>719.39294257415395</v>
      </c>
      <c r="C2236" s="3">
        <v>-2.9378938644822701</v>
      </c>
      <c r="D2236" s="3">
        <v>0.30512281133710401</v>
      </c>
      <c r="E2236" s="3">
        <v>-9.6285618620511801</v>
      </c>
      <c r="F2236" s="4">
        <v>6.0571240836361595E-22</v>
      </c>
      <c r="G2236" s="4">
        <v>3.6803612638615397E-20</v>
      </c>
      <c r="H2236" s="3" t="str">
        <f>"ASAH2"</f>
        <v>ASAH2</v>
      </c>
      <c r="I2236" s="3" t="str">
        <f>"protein_coding"</f>
        <v>protein_coding</v>
      </c>
    </row>
    <row r="2237" spans="1:9" x14ac:dyDescent="0.2">
      <c r="A2237" s="3" t="str">
        <f>"ENSG00000148584.15"</f>
        <v>ENSG00000148584.15</v>
      </c>
      <c r="B2237" s="3">
        <v>2598.7862357336999</v>
      </c>
      <c r="C2237" s="3">
        <v>-1.2051724261296699</v>
      </c>
      <c r="D2237" s="3">
        <v>0.24061962981805399</v>
      </c>
      <c r="E2237" s="3">
        <v>-5.00862056450244</v>
      </c>
      <c r="F2237" s="4">
        <v>5.4821529737311103E-7</v>
      </c>
      <c r="G2237" s="4">
        <v>7.2238637011108503E-6</v>
      </c>
      <c r="H2237" s="3" t="str">
        <f>"A1CF"</f>
        <v>A1CF</v>
      </c>
      <c r="I2237" s="3" t="str">
        <f>"protein_coding"</f>
        <v>protein_coding</v>
      </c>
    </row>
    <row r="2238" spans="1:9" x14ac:dyDescent="0.2">
      <c r="A2238" s="3" t="str">
        <f>"ENSG00000185532.17"</f>
        <v>ENSG00000185532.17</v>
      </c>
      <c r="B2238" s="3">
        <v>136.030002767485</v>
      </c>
      <c r="C2238" s="3">
        <v>-1.6723957074299001</v>
      </c>
      <c r="D2238" s="3">
        <v>0.41336715205916902</v>
      </c>
      <c r="E2238" s="3">
        <v>-4.0457876226955696</v>
      </c>
      <c r="F2238" s="4">
        <v>5.2147494396701801E-5</v>
      </c>
      <c r="G2238" s="3">
        <v>4.5579229379744102E-4</v>
      </c>
      <c r="H2238" s="3" t="str">
        <f>"PRKG1"</f>
        <v>PRKG1</v>
      </c>
      <c r="I2238" s="3" t="str">
        <f>"protein_coding"</f>
        <v>protein_coding</v>
      </c>
    </row>
    <row r="2239" spans="1:9" x14ac:dyDescent="0.2">
      <c r="A2239" s="3" t="str">
        <f>"ENSG00000236671.8"</f>
        <v>ENSG00000236671.8</v>
      </c>
      <c r="B2239" s="3">
        <v>382.31145737230798</v>
      </c>
      <c r="C2239" s="3">
        <v>-1.48784673473046</v>
      </c>
      <c r="D2239" s="3">
        <v>0.31000614403673898</v>
      </c>
      <c r="E2239" s="3">
        <v>-4.7994104741166996</v>
      </c>
      <c r="F2239" s="4">
        <v>1.5913334948309599E-6</v>
      </c>
      <c r="G2239" s="4">
        <v>1.9025662577220901E-5</v>
      </c>
      <c r="H2239" s="3" t="str">
        <f>"PRKG1-AS1"</f>
        <v>PRKG1-AS1</v>
      </c>
      <c r="I2239" s="3" t="str">
        <f>"antisense"</f>
        <v>antisense</v>
      </c>
    </row>
    <row r="2240" spans="1:9" x14ac:dyDescent="0.2">
      <c r="A2240" s="3" t="str">
        <f>"ENSG00000107984.10"</f>
        <v>ENSG00000107984.10</v>
      </c>
      <c r="B2240" s="3">
        <v>21848.3913550951</v>
      </c>
      <c r="C2240" s="3">
        <v>-1.0958084763400799</v>
      </c>
      <c r="D2240" s="3">
        <v>0.242262051383065</v>
      </c>
      <c r="E2240" s="3">
        <v>-4.52323618199447</v>
      </c>
      <c r="F2240" s="4">
        <v>6.0901216698733198E-6</v>
      </c>
      <c r="G2240" s="4">
        <v>6.5637108228647597E-5</v>
      </c>
      <c r="H2240" s="3" t="str">
        <f>"DKK1"</f>
        <v>DKK1</v>
      </c>
      <c r="I2240" s="3" t="str">
        <f>"protein_coding"</f>
        <v>protein_coding</v>
      </c>
    </row>
    <row r="2241" spans="1:9" x14ac:dyDescent="0.2">
      <c r="A2241" s="3" t="str">
        <f>"ENSG00000227972.1"</f>
        <v>ENSG00000227972.1</v>
      </c>
      <c r="B2241" s="3">
        <v>59.052343540012799</v>
      </c>
      <c r="C2241" s="3">
        <v>-2.5955774912221798</v>
      </c>
      <c r="D2241" s="3">
        <v>0.53298849510580004</v>
      </c>
      <c r="E2241" s="3">
        <v>-4.8698565073284499</v>
      </c>
      <c r="F2241" s="4">
        <v>1.1167931900835E-6</v>
      </c>
      <c r="G2241" s="4">
        <v>1.3811667992404299E-5</v>
      </c>
      <c r="H2241" s="3" t="str">
        <f>"THAP12P3"</f>
        <v>THAP12P3</v>
      </c>
      <c r="I2241" s="3" t="str">
        <f>"processed_pseudogene"</f>
        <v>processed_pseudogene</v>
      </c>
    </row>
    <row r="2242" spans="1:9" x14ac:dyDescent="0.2">
      <c r="A2242" s="3" t="str">
        <f>"ENSG00000122952.17"</f>
        <v>ENSG00000122952.17</v>
      </c>
      <c r="B2242" s="3">
        <v>1945.88530482086</v>
      </c>
      <c r="C2242" s="3">
        <v>-1.3305405879765899</v>
      </c>
      <c r="D2242" s="3">
        <v>0.257100145794602</v>
      </c>
      <c r="E2242" s="3">
        <v>-5.1751841052612901</v>
      </c>
      <c r="F2242" s="4">
        <v>2.2768635468066901E-7</v>
      </c>
      <c r="G2242" s="4">
        <v>3.2158620168400998E-6</v>
      </c>
      <c r="H2242" s="3" t="str">
        <f>"ZWINT"</f>
        <v>ZWINT</v>
      </c>
      <c r="I2242" s="3" t="str">
        <f>"protein_coding"</f>
        <v>protein_coding</v>
      </c>
    </row>
    <row r="2243" spans="1:9" x14ac:dyDescent="0.2">
      <c r="A2243" s="3" t="str">
        <f>"ENSG00000148541.12"</f>
        <v>ENSG00000148541.12</v>
      </c>
      <c r="B2243" s="3">
        <v>403.12927277235099</v>
      </c>
      <c r="C2243" s="3">
        <v>5.7925878819173304</v>
      </c>
      <c r="D2243" s="3">
        <v>0.40078721753347402</v>
      </c>
      <c r="E2243" s="3">
        <v>14.453025517046401</v>
      </c>
      <c r="F2243" s="4">
        <v>2.3991145309601499E-47</v>
      </c>
      <c r="G2243" s="4">
        <v>5.6933703798398804E-45</v>
      </c>
      <c r="H2243" s="3" t="str">
        <f>"FAM13C"</f>
        <v>FAM13C</v>
      </c>
      <c r="I2243" s="3" t="str">
        <f>"protein_coding"</f>
        <v>protein_coding</v>
      </c>
    </row>
    <row r="2244" spans="1:9" x14ac:dyDescent="0.2">
      <c r="A2244" s="3" t="str">
        <f>"ENSG00000165449.11"</f>
        <v>ENSG00000165449.11</v>
      </c>
      <c r="B2244" s="3">
        <v>50.863710743846497</v>
      </c>
      <c r="C2244" s="3">
        <v>1.40902676803599</v>
      </c>
      <c r="D2244" s="3">
        <v>0.52440602784114099</v>
      </c>
      <c r="E2244" s="3">
        <v>2.6869004039420199</v>
      </c>
      <c r="F2244" s="3">
        <v>7.2118453019541498E-3</v>
      </c>
      <c r="G2244" s="3">
        <v>3.2074223122034798E-2</v>
      </c>
      <c r="H2244" s="3" t="str">
        <f>"SLC16A9"</f>
        <v>SLC16A9</v>
      </c>
      <c r="I2244" s="3" t="str">
        <f>"protein_coding"</f>
        <v>protein_coding</v>
      </c>
    </row>
    <row r="2245" spans="1:9" x14ac:dyDescent="0.2">
      <c r="A2245" s="3" t="str">
        <f>"ENSG00000232682.2"</f>
        <v>ENSG00000232682.2</v>
      </c>
      <c r="B2245" s="3">
        <v>12.2925192445535</v>
      </c>
      <c r="C2245" s="3">
        <v>2.66179240598114</v>
      </c>
      <c r="D2245" s="3">
        <v>1.05303481851694</v>
      </c>
      <c r="E2245" s="3">
        <v>2.5277344672514399</v>
      </c>
      <c r="F2245" s="3">
        <v>1.1480114059536301E-2</v>
      </c>
      <c r="G2245" s="3">
        <v>4.7339105126560699E-2</v>
      </c>
      <c r="H2245" s="3" t="str">
        <f>"AL592430.1"</f>
        <v>AL592430.1</v>
      </c>
      <c r="I2245" s="3" t="str">
        <f>"antisense"</f>
        <v>antisense</v>
      </c>
    </row>
    <row r="2246" spans="1:9" x14ac:dyDescent="0.2">
      <c r="A2246" s="3" t="str">
        <f>"ENSG00000233643.2"</f>
        <v>ENSG00000233643.2</v>
      </c>
      <c r="B2246" s="3">
        <v>16.248008276421601</v>
      </c>
      <c r="C2246" s="3">
        <v>-2.8035875897523601</v>
      </c>
      <c r="D2246" s="3">
        <v>0.93816273114745197</v>
      </c>
      <c r="E2246" s="3">
        <v>-2.9883809030905901</v>
      </c>
      <c r="F2246" s="3">
        <v>2.80459781958448E-3</v>
      </c>
      <c r="G2246" s="3">
        <v>1.4561332951836399E-2</v>
      </c>
      <c r="H2246" s="3" t="str">
        <f>"LINC02625"</f>
        <v>LINC02625</v>
      </c>
      <c r="I2246" s="3" t="str">
        <f>"lincRNA"</f>
        <v>lincRNA</v>
      </c>
    </row>
    <row r="2247" spans="1:9" x14ac:dyDescent="0.2">
      <c r="A2247" s="3" t="str">
        <f>"ENSG00000182010.11"</f>
        <v>ENSG00000182010.11</v>
      </c>
      <c r="B2247" s="3">
        <v>735.64062599088402</v>
      </c>
      <c r="C2247" s="3">
        <v>-1.28456737834001</v>
      </c>
      <c r="D2247" s="3">
        <v>0.26590128333913199</v>
      </c>
      <c r="E2247" s="3">
        <v>-4.8309935259006096</v>
      </c>
      <c r="F2247" s="4">
        <v>1.3585342245489901E-6</v>
      </c>
      <c r="G2247" s="4">
        <v>1.6429773278139398E-5</v>
      </c>
      <c r="H2247" s="3" t="str">
        <f>"RTKN2"</f>
        <v>RTKN2</v>
      </c>
      <c r="I2247" s="3" t="str">
        <f>"protein_coding"</f>
        <v>protein_coding</v>
      </c>
    </row>
    <row r="2248" spans="1:9" x14ac:dyDescent="0.2">
      <c r="A2248" s="3" t="str">
        <f>"ENSG00000122877.16"</f>
        <v>ENSG00000122877.16</v>
      </c>
      <c r="B2248" s="3">
        <v>83.816849806371593</v>
      </c>
      <c r="C2248" s="3">
        <v>2.5954096163376299</v>
      </c>
      <c r="D2248" s="3">
        <v>0.450068759274452</v>
      </c>
      <c r="E2248" s="3">
        <v>5.76669578337685</v>
      </c>
      <c r="F2248" s="4">
        <v>8.0840785512578795E-9</v>
      </c>
      <c r="G2248" s="4">
        <v>1.44325760082961E-7</v>
      </c>
      <c r="H2248" s="3" t="str">
        <f>"EGR2"</f>
        <v>EGR2</v>
      </c>
      <c r="I2248" s="3" t="str">
        <f>"protein_coding"</f>
        <v>protein_coding</v>
      </c>
    </row>
    <row r="2249" spans="1:9" x14ac:dyDescent="0.2">
      <c r="A2249" s="3" t="str">
        <f>"ENSG00000226318.1"</f>
        <v>ENSG00000226318.1</v>
      </c>
      <c r="B2249" s="3">
        <v>42.882778048627699</v>
      </c>
      <c r="C2249" s="3">
        <v>1.7399631322373199</v>
      </c>
      <c r="D2249" s="3">
        <v>0.61756395191872104</v>
      </c>
      <c r="E2249" s="3">
        <v>2.8174622673998302</v>
      </c>
      <c r="F2249" s="3">
        <v>4.8404801880377801E-3</v>
      </c>
      <c r="G2249" s="3">
        <v>2.3087273251818401E-2</v>
      </c>
      <c r="H2249" s="3" t="str">
        <f>"RPS3AP38"</f>
        <v>RPS3AP38</v>
      </c>
      <c r="I2249" s="3" t="str">
        <f>"processed_pseudogene"</f>
        <v>processed_pseudogene</v>
      </c>
    </row>
    <row r="2250" spans="1:9" x14ac:dyDescent="0.2">
      <c r="A2250" s="3" t="str">
        <f>"ENSG00000122912.15"</f>
        <v>ENSG00000122912.15</v>
      </c>
      <c r="B2250" s="3">
        <v>894.97026355018204</v>
      </c>
      <c r="C2250" s="3">
        <v>1.13760104378413</v>
      </c>
      <c r="D2250" s="3">
        <v>0.253851920924623</v>
      </c>
      <c r="E2250" s="3">
        <v>4.48135684630852</v>
      </c>
      <c r="F2250" s="4">
        <v>7.4169975860245604E-6</v>
      </c>
      <c r="G2250" s="4">
        <v>7.8723449061792293E-5</v>
      </c>
      <c r="H2250" s="3" t="str">
        <f>"SLC25A16"</f>
        <v>SLC25A16</v>
      </c>
      <c r="I2250" s="3" t="str">
        <f t="shared" ref="I2250:I2262" si="95">"protein_coding"</f>
        <v>protein_coding</v>
      </c>
    </row>
    <row r="2251" spans="1:9" x14ac:dyDescent="0.2">
      <c r="A2251" s="3" t="str">
        <f>"ENSG00000165730.16"</f>
        <v>ENSG00000165730.16</v>
      </c>
      <c r="B2251" s="3">
        <v>145.13869058835499</v>
      </c>
      <c r="C2251" s="3">
        <v>-1.8181644819756799</v>
      </c>
      <c r="D2251" s="3">
        <v>0.37315201344843302</v>
      </c>
      <c r="E2251" s="3">
        <v>-4.8724498768567797</v>
      </c>
      <c r="F2251" s="4">
        <v>1.1022282559172301E-6</v>
      </c>
      <c r="G2251" s="4">
        <v>1.3644956583463599E-5</v>
      </c>
      <c r="H2251" s="3" t="str">
        <f>"STOX1"</f>
        <v>STOX1</v>
      </c>
      <c r="I2251" s="3" t="str">
        <f t="shared" si="95"/>
        <v>protein_coding</v>
      </c>
    </row>
    <row r="2252" spans="1:9" x14ac:dyDescent="0.2">
      <c r="A2252" s="3" t="str">
        <f>"ENSG00000107625.13"</f>
        <v>ENSG00000107625.13</v>
      </c>
      <c r="B2252" s="3">
        <v>1941.2683409014301</v>
      </c>
      <c r="C2252" s="3">
        <v>1.0801407390170901</v>
      </c>
      <c r="D2252" s="3">
        <v>0.24488902896863901</v>
      </c>
      <c r="E2252" s="3">
        <v>4.4107355219878599</v>
      </c>
      <c r="F2252" s="4">
        <v>1.0302008504973E-5</v>
      </c>
      <c r="G2252" s="3">
        <v>1.05173305171508E-4</v>
      </c>
      <c r="H2252" s="3" t="str">
        <f>"DDX50"</f>
        <v>DDX50</v>
      </c>
      <c r="I2252" s="3" t="str">
        <f t="shared" si="95"/>
        <v>protein_coding</v>
      </c>
    </row>
    <row r="2253" spans="1:9" x14ac:dyDescent="0.2">
      <c r="A2253" s="3" t="str">
        <f>"ENSG00000156510.13"</f>
        <v>ENSG00000156510.13</v>
      </c>
      <c r="B2253" s="3">
        <v>323.23980847800198</v>
      </c>
      <c r="C2253" s="3">
        <v>-2.0083222236688498</v>
      </c>
      <c r="D2253" s="3">
        <v>0.31302207537195897</v>
      </c>
      <c r="E2253" s="3">
        <v>-6.4159124281646802</v>
      </c>
      <c r="F2253" s="4">
        <v>1.39981900022308E-10</v>
      </c>
      <c r="G2253" s="4">
        <v>3.1637418643855901E-9</v>
      </c>
      <c r="H2253" s="3" t="str">
        <f>"HKDC1"</f>
        <v>HKDC1</v>
      </c>
      <c r="I2253" s="3" t="str">
        <f t="shared" si="95"/>
        <v>protein_coding</v>
      </c>
    </row>
    <row r="2254" spans="1:9" x14ac:dyDescent="0.2">
      <c r="A2254" s="3" t="str">
        <f>"ENSG00000156515.23"</f>
        <v>ENSG00000156515.23</v>
      </c>
      <c r="B2254" s="3">
        <v>305.01707080430702</v>
      </c>
      <c r="C2254" s="3">
        <v>1.69590957064953</v>
      </c>
      <c r="D2254" s="3">
        <v>0.30731996587977201</v>
      </c>
      <c r="E2254" s="3">
        <v>5.5183839611416499</v>
      </c>
      <c r="F2254" s="4">
        <v>3.4213126709884698E-8</v>
      </c>
      <c r="G2254" s="4">
        <v>5.5168666819689098E-7</v>
      </c>
      <c r="H2254" s="3" t="str">
        <f>"HK1"</f>
        <v>HK1</v>
      </c>
      <c r="I2254" s="3" t="str">
        <f t="shared" si="95"/>
        <v>protein_coding</v>
      </c>
    </row>
    <row r="2255" spans="1:9" x14ac:dyDescent="0.2">
      <c r="A2255" s="3" t="str">
        <f>"ENSG00000099284.14"</f>
        <v>ENSG00000099284.14</v>
      </c>
      <c r="B2255" s="3">
        <v>1057.4074965744601</v>
      </c>
      <c r="C2255" s="3">
        <v>1.1236646968306001</v>
      </c>
      <c r="D2255" s="3">
        <v>0.32131382528432401</v>
      </c>
      <c r="E2255" s="3">
        <v>3.4970941441324501</v>
      </c>
      <c r="F2255" s="3">
        <v>4.7035581005718002E-4</v>
      </c>
      <c r="G2255" s="3">
        <v>3.169515242965E-3</v>
      </c>
      <c r="H2255" s="3" t="str">
        <f>"H2AFY2"</f>
        <v>H2AFY2</v>
      </c>
      <c r="I2255" s="3" t="str">
        <f t="shared" si="95"/>
        <v>protein_coding</v>
      </c>
    </row>
    <row r="2256" spans="1:9" x14ac:dyDescent="0.2">
      <c r="A2256" s="3" t="str">
        <f>"ENSG00000042286.15"</f>
        <v>ENSG00000042286.15</v>
      </c>
      <c r="B2256" s="3">
        <v>4750.1303555239101</v>
      </c>
      <c r="C2256" s="3">
        <v>1.28213201271577</v>
      </c>
      <c r="D2256" s="3">
        <v>0.27473764999450101</v>
      </c>
      <c r="E2256" s="3">
        <v>4.6667503079444401</v>
      </c>
      <c r="F2256" s="4">
        <v>3.06000812254374E-6</v>
      </c>
      <c r="G2256" s="4">
        <v>3.4861641450447402E-5</v>
      </c>
      <c r="H2256" s="3" t="str">
        <f>"AIFM2"</f>
        <v>AIFM2</v>
      </c>
      <c r="I2256" s="3" t="str">
        <f t="shared" si="95"/>
        <v>protein_coding</v>
      </c>
    </row>
    <row r="2257" spans="1:9" x14ac:dyDescent="0.2">
      <c r="A2257" s="3" t="str">
        <f>"ENSG00000156521.14"</f>
        <v>ENSG00000156521.14</v>
      </c>
      <c r="B2257" s="3">
        <v>902.38682992950703</v>
      </c>
      <c r="C2257" s="3">
        <v>1.0701056285055099</v>
      </c>
      <c r="D2257" s="3">
        <v>0.29250090071436602</v>
      </c>
      <c r="E2257" s="3">
        <v>3.6584695154511202</v>
      </c>
      <c r="F2257" s="3">
        <v>2.53725913370885E-4</v>
      </c>
      <c r="G2257" s="3">
        <v>1.84145278443295E-3</v>
      </c>
      <c r="H2257" s="3" t="str">
        <f>"TYSND1"</f>
        <v>TYSND1</v>
      </c>
      <c r="I2257" s="3" t="str">
        <f t="shared" si="95"/>
        <v>protein_coding</v>
      </c>
    </row>
    <row r="2258" spans="1:9" x14ac:dyDescent="0.2">
      <c r="A2258" s="3" t="str">
        <f>"ENSG00000180817.12"</f>
        <v>ENSG00000180817.12</v>
      </c>
      <c r="B2258" s="3">
        <v>2695.6564978107799</v>
      </c>
      <c r="C2258" s="3">
        <v>-1.09576026632214</v>
      </c>
      <c r="D2258" s="3">
        <v>0.24694531016914101</v>
      </c>
      <c r="E2258" s="3">
        <v>-4.4372588633961998</v>
      </c>
      <c r="F2258" s="4">
        <v>9.11116986901608E-6</v>
      </c>
      <c r="G2258" s="4">
        <v>9.4278682869230597E-5</v>
      </c>
      <c r="H2258" s="3" t="str">
        <f>"PPA1"</f>
        <v>PPA1</v>
      </c>
      <c r="I2258" s="3" t="str">
        <f t="shared" si="95"/>
        <v>protein_coding</v>
      </c>
    </row>
    <row r="2259" spans="1:9" x14ac:dyDescent="0.2">
      <c r="A2259" s="3" t="str">
        <f>"ENSG00000156574.9"</f>
        <v>ENSG00000156574.9</v>
      </c>
      <c r="B2259" s="3">
        <v>39.434432044241298</v>
      </c>
      <c r="C2259" s="3">
        <v>5.0198447926887999</v>
      </c>
      <c r="D2259" s="3">
        <v>0.83840012944772702</v>
      </c>
      <c r="E2259" s="3">
        <v>5.9874093721758799</v>
      </c>
      <c r="F2259" s="4">
        <v>2.1320967210812599E-9</v>
      </c>
      <c r="G2259" s="4">
        <v>4.1256071552922397E-8</v>
      </c>
      <c r="H2259" s="3" t="str">
        <f>"NODAL"</f>
        <v>NODAL</v>
      </c>
      <c r="I2259" s="3" t="str">
        <f t="shared" si="95"/>
        <v>protein_coding</v>
      </c>
    </row>
    <row r="2260" spans="1:9" x14ac:dyDescent="0.2">
      <c r="A2260" s="3" t="str">
        <f>"ENSG00000107719.9"</f>
        <v>ENSG00000107719.9</v>
      </c>
      <c r="B2260" s="3">
        <v>62.220730705212603</v>
      </c>
      <c r="C2260" s="3">
        <v>-2.5256760944298899</v>
      </c>
      <c r="D2260" s="3">
        <v>0.55035539609075901</v>
      </c>
      <c r="E2260" s="3">
        <v>-4.5891729460092003</v>
      </c>
      <c r="F2260" s="4">
        <v>4.4500562876123602E-6</v>
      </c>
      <c r="G2260" s="4">
        <v>4.9443977877601099E-5</v>
      </c>
      <c r="H2260" s="3" t="str">
        <f>"PALD1"</f>
        <v>PALD1</v>
      </c>
      <c r="I2260" s="3" t="str">
        <f t="shared" si="95"/>
        <v>protein_coding</v>
      </c>
    </row>
    <row r="2261" spans="1:9" x14ac:dyDescent="0.2">
      <c r="A2261" s="3" t="str">
        <f>"ENSG00000180644.8"</f>
        <v>ENSG00000180644.8</v>
      </c>
      <c r="B2261" s="3">
        <v>186.73641531135999</v>
      </c>
      <c r="C2261" s="3">
        <v>2.72419041821402</v>
      </c>
      <c r="D2261" s="3">
        <v>0.37084301295788102</v>
      </c>
      <c r="E2261" s="3">
        <v>7.3459397184960098</v>
      </c>
      <c r="F2261" s="4">
        <v>2.04318450960615E-13</v>
      </c>
      <c r="G2261" s="4">
        <v>6.4245382923928301E-12</v>
      </c>
      <c r="H2261" s="3" t="str">
        <f>"PRF1"</f>
        <v>PRF1</v>
      </c>
      <c r="I2261" s="3" t="str">
        <f t="shared" si="95"/>
        <v>protein_coding</v>
      </c>
    </row>
    <row r="2262" spans="1:9" x14ac:dyDescent="0.2">
      <c r="A2262" s="3" t="str">
        <f>"ENSG00000107731.12"</f>
        <v>ENSG00000107731.12</v>
      </c>
      <c r="B2262" s="3">
        <v>284.27634415477399</v>
      </c>
      <c r="C2262" s="3">
        <v>2.5569568623627501</v>
      </c>
      <c r="D2262" s="3">
        <v>0.33869273884356699</v>
      </c>
      <c r="E2262" s="3">
        <v>7.54948827982916</v>
      </c>
      <c r="F2262" s="4">
        <v>4.3697171070689198E-14</v>
      </c>
      <c r="G2262" s="4">
        <v>1.44822442461553E-12</v>
      </c>
      <c r="H2262" s="3" t="str">
        <f>"UNC5B"</f>
        <v>UNC5B</v>
      </c>
      <c r="I2262" s="3" t="str">
        <f t="shared" si="95"/>
        <v>protein_coding</v>
      </c>
    </row>
    <row r="2263" spans="1:9" x14ac:dyDescent="0.2">
      <c r="A2263" s="3" t="str">
        <f>"ENSG00000237512.6"</f>
        <v>ENSG00000237512.6</v>
      </c>
      <c r="B2263" s="3">
        <v>83.305563145223005</v>
      </c>
      <c r="C2263" s="3">
        <v>9.9005472579992304</v>
      </c>
      <c r="D2263" s="3">
        <v>1.5123876230555899</v>
      </c>
      <c r="E2263" s="3">
        <v>6.5463027514046903</v>
      </c>
      <c r="F2263" s="4">
        <v>5.8978958021305399E-11</v>
      </c>
      <c r="G2263" s="4">
        <v>1.39568738384378E-9</v>
      </c>
      <c r="H2263" s="3" t="str">
        <f>"UNC5B-AS1"</f>
        <v>UNC5B-AS1</v>
      </c>
      <c r="I2263" s="3" t="str">
        <f>"antisense"</f>
        <v>antisense</v>
      </c>
    </row>
    <row r="2264" spans="1:9" x14ac:dyDescent="0.2">
      <c r="A2264" s="3" t="str">
        <f>"ENSG00000198246.9"</f>
        <v>ENSG00000198246.9</v>
      </c>
      <c r="B2264" s="3">
        <v>777.46373703273105</v>
      </c>
      <c r="C2264" s="3">
        <v>1.55072193190624</v>
      </c>
      <c r="D2264" s="3">
        <v>0.28746982992179798</v>
      </c>
      <c r="E2264" s="3">
        <v>5.39438149849705</v>
      </c>
      <c r="F2264" s="4">
        <v>6.87599879309963E-8</v>
      </c>
      <c r="G2264" s="4">
        <v>1.05595695751173E-6</v>
      </c>
      <c r="H2264" s="3" t="str">
        <f>"SLC29A3"</f>
        <v>SLC29A3</v>
      </c>
      <c r="I2264" s="3" t="str">
        <f>"protein_coding"</f>
        <v>protein_coding</v>
      </c>
    </row>
    <row r="2265" spans="1:9" x14ac:dyDescent="0.2">
      <c r="A2265" s="3" t="str">
        <f>"ENSG00000279406.1"</f>
        <v>ENSG00000279406.1</v>
      </c>
      <c r="B2265" s="3">
        <v>45.815170095565001</v>
      </c>
      <c r="C2265" s="3">
        <v>1.3519052544844901</v>
      </c>
      <c r="D2265" s="3">
        <v>0.53689084807293597</v>
      </c>
      <c r="E2265" s="3">
        <v>2.5180262605274102</v>
      </c>
      <c r="F2265" s="3">
        <v>1.18014521824195E-2</v>
      </c>
      <c r="G2265" s="3">
        <v>4.8396728015774798E-2</v>
      </c>
      <c r="H2265" s="3" t="str">
        <f>"AL359183.1"</f>
        <v>AL359183.1</v>
      </c>
      <c r="I2265" s="3" t="str">
        <f>"TEC"</f>
        <v>TEC</v>
      </c>
    </row>
    <row r="2266" spans="1:9" x14ac:dyDescent="0.2">
      <c r="A2266" s="3" t="str">
        <f>"ENSG00000122863.6"</f>
        <v>ENSG00000122863.6</v>
      </c>
      <c r="B2266" s="3">
        <v>3219.6134202548001</v>
      </c>
      <c r="C2266" s="3">
        <v>1.81965460489297</v>
      </c>
      <c r="D2266" s="3">
        <v>0.29315761323328399</v>
      </c>
      <c r="E2266" s="3">
        <v>6.2070863001772096</v>
      </c>
      <c r="F2266" s="4">
        <v>5.3975961241952896E-10</v>
      </c>
      <c r="G2266" s="4">
        <v>1.14193886042164E-8</v>
      </c>
      <c r="H2266" s="3" t="str">
        <f>"CHST3"</f>
        <v>CHST3</v>
      </c>
      <c r="I2266" s="3" t="str">
        <f t="shared" ref="I2266:I2274" si="96">"protein_coding"</f>
        <v>protein_coding</v>
      </c>
    </row>
    <row r="2267" spans="1:9" x14ac:dyDescent="0.2">
      <c r="A2267" s="3" t="str">
        <f>"ENSG00000168209.5"</f>
        <v>ENSG00000168209.5</v>
      </c>
      <c r="B2267" s="3">
        <v>1257.45750295669</v>
      </c>
      <c r="C2267" s="3">
        <v>2.1772662870879</v>
      </c>
      <c r="D2267" s="3">
        <v>0.28328244220757698</v>
      </c>
      <c r="E2267" s="3">
        <v>7.6858497481199199</v>
      </c>
      <c r="F2267" s="4">
        <v>1.51984796307202E-14</v>
      </c>
      <c r="G2267" s="4">
        <v>5.2516175152577801E-13</v>
      </c>
      <c r="H2267" s="3" t="str">
        <f>"DDIT4"</f>
        <v>DDIT4</v>
      </c>
      <c r="I2267" s="3" t="str">
        <f t="shared" si="96"/>
        <v>protein_coding</v>
      </c>
    </row>
    <row r="2268" spans="1:9" x14ac:dyDescent="0.2">
      <c r="A2268" s="3" t="str">
        <f>"ENSG00000138308.5"</f>
        <v>ENSG00000138308.5</v>
      </c>
      <c r="B2268" s="3">
        <v>158.33458968229701</v>
      </c>
      <c r="C2268" s="3">
        <v>-2.8818311726144801</v>
      </c>
      <c r="D2268" s="3">
        <v>0.371134566313156</v>
      </c>
      <c r="E2268" s="3">
        <v>-7.7649225757722604</v>
      </c>
      <c r="F2268" s="4">
        <v>8.1695113132615401E-15</v>
      </c>
      <c r="G2268" s="4">
        <v>2.90259967634314E-13</v>
      </c>
      <c r="H2268" s="3" t="str">
        <f>"PLA2G12B"</f>
        <v>PLA2G12B</v>
      </c>
      <c r="I2268" s="3" t="str">
        <f t="shared" si="96"/>
        <v>protein_coding</v>
      </c>
    </row>
    <row r="2269" spans="1:9" x14ac:dyDescent="0.2">
      <c r="A2269" s="3" t="str">
        <f>"ENSG00000138286.14"</f>
        <v>ENSG00000138286.14</v>
      </c>
      <c r="B2269" s="3">
        <v>512.70418871758602</v>
      </c>
      <c r="C2269" s="3">
        <v>1.4302590096300201</v>
      </c>
      <c r="D2269" s="3">
        <v>0.29011196739602602</v>
      </c>
      <c r="E2269" s="3">
        <v>4.9300241643516998</v>
      </c>
      <c r="F2269" s="4">
        <v>8.2219446150282201E-7</v>
      </c>
      <c r="G2269" s="4">
        <v>1.04667518618945E-5</v>
      </c>
      <c r="H2269" s="3" t="str">
        <f>"FAM149B1"</f>
        <v>FAM149B1</v>
      </c>
      <c r="I2269" s="3" t="str">
        <f t="shared" si="96"/>
        <v>protein_coding</v>
      </c>
    </row>
    <row r="2270" spans="1:9" x14ac:dyDescent="0.2">
      <c r="A2270" s="3" t="str">
        <f>"ENSG00000213551.5"</f>
        <v>ENSG00000213551.5</v>
      </c>
      <c r="B2270" s="3">
        <v>2080.7667373783302</v>
      </c>
      <c r="C2270" s="3">
        <v>-1.56300316019179</v>
      </c>
      <c r="D2270" s="3">
        <v>0.250856630142753</v>
      </c>
      <c r="E2270" s="3">
        <v>-6.2306631453286503</v>
      </c>
      <c r="F2270" s="4">
        <v>4.6446485015464701E-10</v>
      </c>
      <c r="G2270" s="4">
        <v>9.9266043378420999E-9</v>
      </c>
      <c r="H2270" s="3" t="str">
        <f>"DNAJC9"</f>
        <v>DNAJC9</v>
      </c>
      <c r="I2270" s="3" t="str">
        <f t="shared" si="96"/>
        <v>protein_coding</v>
      </c>
    </row>
    <row r="2271" spans="1:9" x14ac:dyDescent="0.2">
      <c r="A2271" s="3" t="str">
        <f>"ENSG00000166348.18"</f>
        <v>ENSG00000166348.18</v>
      </c>
      <c r="B2271" s="3">
        <v>2016.1123133854601</v>
      </c>
      <c r="C2271" s="3">
        <v>-1.4733607422033299</v>
      </c>
      <c r="D2271" s="3">
        <v>0.24621855435002801</v>
      </c>
      <c r="E2271" s="3">
        <v>-5.9839549707889699</v>
      </c>
      <c r="F2271" s="4">
        <v>2.17783545253246E-9</v>
      </c>
      <c r="G2271" s="4">
        <v>4.20118487794892E-8</v>
      </c>
      <c r="H2271" s="3" t="str">
        <f>"USP54"</f>
        <v>USP54</v>
      </c>
      <c r="I2271" s="3" t="str">
        <f t="shared" si="96"/>
        <v>protein_coding</v>
      </c>
    </row>
    <row r="2272" spans="1:9" x14ac:dyDescent="0.2">
      <c r="A2272" s="3" t="str">
        <f>"ENSG00000122861.16"</f>
        <v>ENSG00000122861.16</v>
      </c>
      <c r="B2272" s="3">
        <v>150.46241068906201</v>
      </c>
      <c r="C2272" s="3">
        <v>-3.6386873299512601</v>
      </c>
      <c r="D2272" s="3">
        <v>0.41185782952555</v>
      </c>
      <c r="E2272" s="3">
        <v>-8.8348140282847893</v>
      </c>
      <c r="F2272" s="4">
        <v>1.00264919894108E-18</v>
      </c>
      <c r="G2272" s="4">
        <v>4.9164991421760098E-17</v>
      </c>
      <c r="H2272" s="3" t="str">
        <f>"PLAU"</f>
        <v>PLAU</v>
      </c>
      <c r="I2272" s="3" t="str">
        <f t="shared" si="96"/>
        <v>protein_coding</v>
      </c>
    </row>
    <row r="2273" spans="1:9" x14ac:dyDescent="0.2">
      <c r="A2273" s="3" t="str">
        <f>"ENSG00000035403.17"</f>
        <v>ENSG00000035403.17</v>
      </c>
      <c r="B2273" s="3">
        <v>2742.8538861028401</v>
      </c>
      <c r="C2273" s="3">
        <v>-1.2670211612186899</v>
      </c>
      <c r="D2273" s="3">
        <v>0.26193365023009402</v>
      </c>
      <c r="E2273" s="3">
        <v>-4.8371836154143599</v>
      </c>
      <c r="F2273" s="4">
        <v>1.3169176584958399E-6</v>
      </c>
      <c r="G2273" s="4">
        <v>1.5980252628780999E-5</v>
      </c>
      <c r="H2273" s="3" t="str">
        <f>"VCL"</f>
        <v>VCL</v>
      </c>
      <c r="I2273" s="3" t="str">
        <f t="shared" si="96"/>
        <v>protein_coding</v>
      </c>
    </row>
    <row r="2274" spans="1:9" x14ac:dyDescent="0.2">
      <c r="A2274" s="3" t="str">
        <f>"ENSG00000156110.13"</f>
        <v>ENSG00000156110.13</v>
      </c>
      <c r="B2274" s="3">
        <v>1378.5105252758499</v>
      </c>
      <c r="C2274" s="3">
        <v>1.3812674128722899</v>
      </c>
      <c r="D2274" s="3">
        <v>0.24597588889893701</v>
      </c>
      <c r="E2274" s="3">
        <v>5.6154585681355202</v>
      </c>
      <c r="F2274" s="4">
        <v>1.9604162877421399E-8</v>
      </c>
      <c r="G2274" s="4">
        <v>3.3061109154013402E-7</v>
      </c>
      <c r="H2274" s="3" t="str">
        <f>"ADK"</f>
        <v>ADK</v>
      </c>
      <c r="I2274" s="3" t="str">
        <f t="shared" si="96"/>
        <v>protein_coding</v>
      </c>
    </row>
    <row r="2275" spans="1:9" x14ac:dyDescent="0.2">
      <c r="A2275" s="3" t="str">
        <f>"ENSG00000214629.3"</f>
        <v>ENSG00000214629.3</v>
      </c>
      <c r="B2275" s="3">
        <v>69.478017423199205</v>
      </c>
      <c r="C2275" s="3">
        <v>2.1347095809227898</v>
      </c>
      <c r="D2275" s="3">
        <v>0.47416679840579101</v>
      </c>
      <c r="E2275" s="3">
        <v>4.5020224699408598</v>
      </c>
      <c r="F2275" s="4">
        <v>6.7309863392820604E-6</v>
      </c>
      <c r="G2275" s="4">
        <v>7.1958334621606605E-5</v>
      </c>
      <c r="H2275" s="3" t="str">
        <f>"RPSAP6"</f>
        <v>RPSAP6</v>
      </c>
      <c r="I2275" s="3" t="str">
        <f>"processed_pseudogene"</f>
        <v>processed_pseudogene</v>
      </c>
    </row>
    <row r="2276" spans="1:9" x14ac:dyDescent="0.2">
      <c r="A2276" s="3" t="str">
        <f>"ENSG00000206756.1"</f>
        <v>ENSG00000206756.1</v>
      </c>
      <c r="B2276" s="3">
        <v>20.697407475591401</v>
      </c>
      <c r="C2276" s="3">
        <v>2.3228365774558899</v>
      </c>
      <c r="D2276" s="3">
        <v>0.83181848979497697</v>
      </c>
      <c r="E2276" s="3">
        <v>2.7924800974650301</v>
      </c>
      <c r="F2276" s="3">
        <v>5.2305685217744497E-3</v>
      </c>
      <c r="G2276" s="3">
        <v>2.4584258438945499E-2</v>
      </c>
      <c r="H2276" s="3" t="str">
        <f>"RF00019"</f>
        <v>RF00019</v>
      </c>
      <c r="I2276" s="3" t="str">
        <f>"misc_RNA"</f>
        <v>misc_RNA</v>
      </c>
    </row>
    <row r="2277" spans="1:9" x14ac:dyDescent="0.2">
      <c r="A2277" s="3" t="str">
        <f>"ENSG00000214626.2"</f>
        <v>ENSG00000214626.2</v>
      </c>
      <c r="B2277" s="3">
        <v>27.600750898270601</v>
      </c>
      <c r="C2277" s="3">
        <v>2.17699353430522</v>
      </c>
      <c r="D2277" s="3">
        <v>0.76551401199632196</v>
      </c>
      <c r="E2277" s="3">
        <v>2.84383237953806</v>
      </c>
      <c r="F2277" s="3">
        <v>4.4574490782584202E-3</v>
      </c>
      <c r="G2277" s="3">
        <v>2.15587639999213E-2</v>
      </c>
      <c r="H2277" s="3" t="str">
        <f>"POLR3DP1"</f>
        <v>POLR3DP1</v>
      </c>
      <c r="I2277" s="3" t="str">
        <f>"processed_pseudogene"</f>
        <v>processed_pseudogene</v>
      </c>
    </row>
    <row r="2278" spans="1:9" x14ac:dyDescent="0.2">
      <c r="A2278" s="3" t="str">
        <f>"ENSG00000079393.20"</f>
        <v>ENSG00000079393.20</v>
      </c>
      <c r="B2278" s="3">
        <v>147.15199534453299</v>
      </c>
      <c r="C2278" s="3">
        <v>2.4684472013336598</v>
      </c>
      <c r="D2278" s="3">
        <v>0.40403341309039698</v>
      </c>
      <c r="E2278" s="3">
        <v>6.1095125337601299</v>
      </c>
      <c r="F2278" s="4">
        <v>9.9935907821225196E-10</v>
      </c>
      <c r="G2278" s="4">
        <v>2.0306040074660101E-8</v>
      </c>
      <c r="H2278" s="3" t="str">
        <f>"DUSP13"</f>
        <v>DUSP13</v>
      </c>
      <c r="I2278" s="3" t="str">
        <f>"protein_coding"</f>
        <v>protein_coding</v>
      </c>
    </row>
    <row r="2279" spans="1:9" x14ac:dyDescent="0.2">
      <c r="A2279" s="3" t="str">
        <f>"ENSG00000148655.15"</f>
        <v>ENSG00000148655.15</v>
      </c>
      <c r="B2279" s="3">
        <v>724.08968291790995</v>
      </c>
      <c r="C2279" s="3">
        <v>1.9263548572957401</v>
      </c>
      <c r="D2279" s="3">
        <v>0.28475541518750103</v>
      </c>
      <c r="E2279" s="3">
        <v>6.76494547444271</v>
      </c>
      <c r="F2279" s="4">
        <v>1.3335941344626201E-11</v>
      </c>
      <c r="G2279" s="4">
        <v>3.3783041744619501E-10</v>
      </c>
      <c r="H2279" s="3" t="str">
        <f>"LRMDA"</f>
        <v>LRMDA</v>
      </c>
      <c r="I2279" s="3" t="str">
        <f>"protein_coding"</f>
        <v>protein_coding</v>
      </c>
    </row>
    <row r="2280" spans="1:9" x14ac:dyDescent="0.2">
      <c r="A2280" s="3" t="str">
        <f>"ENSG00000279814.1"</f>
        <v>ENSG00000279814.1</v>
      </c>
      <c r="B2280" s="3">
        <v>661.54748647183601</v>
      </c>
      <c r="C2280" s="3">
        <v>1.6464699525351301</v>
      </c>
      <c r="D2280" s="3">
        <v>0.26679485349604398</v>
      </c>
      <c r="E2280" s="3">
        <v>6.1712957763615197</v>
      </c>
      <c r="F2280" s="4">
        <v>6.7732578024300105E-10</v>
      </c>
      <c r="G2280" s="4">
        <v>1.4139526972624599E-8</v>
      </c>
      <c r="H2280" s="3" t="str">
        <f>"AC010997.6"</f>
        <v>AC010997.6</v>
      </c>
      <c r="I2280" s="3" t="str">
        <f>"TEC"</f>
        <v>TEC</v>
      </c>
    </row>
    <row r="2281" spans="1:9" x14ac:dyDescent="0.2">
      <c r="A2281" s="3" t="str">
        <f>"ENSG00000207583.1"</f>
        <v>ENSG00000207583.1</v>
      </c>
      <c r="B2281" s="3">
        <v>65.770069606957605</v>
      </c>
      <c r="C2281" s="3">
        <v>2.1714065922985499</v>
      </c>
      <c r="D2281" s="3">
        <v>0.50031159975501704</v>
      </c>
      <c r="E2281" s="3">
        <v>4.3401084311493099</v>
      </c>
      <c r="F2281" s="4">
        <v>1.4241242605853201E-5</v>
      </c>
      <c r="G2281" s="3">
        <v>1.4065114163731301E-4</v>
      </c>
      <c r="H2281" s="3" t="str">
        <f>"MIR606"</f>
        <v>MIR606</v>
      </c>
      <c r="I2281" s="3" t="str">
        <f>"miRNA"</f>
        <v>miRNA</v>
      </c>
    </row>
    <row r="2282" spans="1:9" x14ac:dyDescent="0.2">
      <c r="A2282" s="3" t="str">
        <f>"ENSG00000268659.2"</f>
        <v>ENSG00000268659.2</v>
      </c>
      <c r="B2282" s="3">
        <v>151.473439836273</v>
      </c>
      <c r="C2282" s="3">
        <v>1.91008347909405</v>
      </c>
      <c r="D2282" s="3">
        <v>0.37791075273757702</v>
      </c>
      <c r="E2282" s="3">
        <v>5.0543242425822603</v>
      </c>
      <c r="F2282" s="4">
        <v>4.3191729379537198E-7</v>
      </c>
      <c r="G2282" s="4">
        <v>5.80013124933017E-6</v>
      </c>
      <c r="H2282" s="3" t="str">
        <f>"AL589863.1"</f>
        <v>AL589863.1</v>
      </c>
      <c r="I2282" s="3" t="str">
        <f>"sense_intronic"</f>
        <v>sense_intronic</v>
      </c>
    </row>
    <row r="2283" spans="1:9" x14ac:dyDescent="0.2">
      <c r="A2283" s="3" t="str">
        <f>"ENSG00000228280.1"</f>
        <v>ENSG00000228280.1</v>
      </c>
      <c r="B2283" s="3">
        <v>173.19320327826699</v>
      </c>
      <c r="C2283" s="3">
        <v>1.9393243285645101</v>
      </c>
      <c r="D2283" s="3">
        <v>0.34502225943135501</v>
      </c>
      <c r="E2283" s="3">
        <v>5.6208672790004597</v>
      </c>
      <c r="F2283" s="4">
        <v>1.90001199918725E-8</v>
      </c>
      <c r="G2283" s="4">
        <v>3.2163392893375002E-7</v>
      </c>
      <c r="H2283" s="3" t="str">
        <f>"AL731568.1"</f>
        <v>AL731568.1</v>
      </c>
      <c r="I2283" s="3" t="str">
        <f>"sense_intronic"</f>
        <v>sense_intronic</v>
      </c>
    </row>
    <row r="2284" spans="1:9" x14ac:dyDescent="0.2">
      <c r="A2284" s="3" t="str">
        <f>"ENSG00000229569.1"</f>
        <v>ENSG00000229569.1</v>
      </c>
      <c r="B2284" s="3">
        <v>33.129488045986299</v>
      </c>
      <c r="C2284" s="3">
        <v>5.5388428689568503</v>
      </c>
      <c r="D2284" s="3">
        <v>1.0327409512642201</v>
      </c>
      <c r="E2284" s="3">
        <v>5.3632451218057602</v>
      </c>
      <c r="F2284" s="4">
        <v>8.1739961537867596E-8</v>
      </c>
      <c r="G2284" s="4">
        <v>1.2394024909493999E-6</v>
      </c>
      <c r="H2284" s="3" t="str">
        <f>"AL356753.1"</f>
        <v>AL356753.1</v>
      </c>
      <c r="I2284" s="3" t="str">
        <f>"lincRNA"</f>
        <v>lincRNA</v>
      </c>
    </row>
    <row r="2285" spans="1:9" x14ac:dyDescent="0.2">
      <c r="A2285" s="3" t="str">
        <f>"ENSG00000108175.17"</f>
        <v>ENSG00000108175.17</v>
      </c>
      <c r="B2285" s="3">
        <v>6597.9145333963397</v>
      </c>
      <c r="C2285" s="3">
        <v>1.0231950950903901</v>
      </c>
      <c r="D2285" s="3">
        <v>0.29031290537034099</v>
      </c>
      <c r="E2285" s="3">
        <v>3.52445611670325</v>
      </c>
      <c r="F2285" s="3">
        <v>4.2435309740013698E-4</v>
      </c>
      <c r="G2285" s="3">
        <v>2.9024029090655599E-3</v>
      </c>
      <c r="H2285" s="3" t="str">
        <f>"ZMIZ1"</f>
        <v>ZMIZ1</v>
      </c>
      <c r="I2285" s="3" t="str">
        <f>"protein_coding"</f>
        <v>protein_coding</v>
      </c>
    </row>
    <row r="2286" spans="1:9" x14ac:dyDescent="0.2">
      <c r="A2286" s="3" t="str">
        <f>"ENSG00000165424.6"</f>
        <v>ENSG00000165424.6</v>
      </c>
      <c r="B2286" s="3">
        <v>323.26343633768198</v>
      </c>
      <c r="C2286" s="3">
        <v>-1.53154595170059</v>
      </c>
      <c r="D2286" s="3">
        <v>0.32359211197923199</v>
      </c>
      <c r="E2286" s="3">
        <v>-4.7329520560095899</v>
      </c>
      <c r="F2286" s="4">
        <v>2.2127777019441598E-6</v>
      </c>
      <c r="G2286" s="4">
        <v>2.58654382399653E-5</v>
      </c>
      <c r="H2286" s="3" t="str">
        <f>"ZCCHC24"</f>
        <v>ZCCHC24</v>
      </c>
      <c r="I2286" s="3" t="str">
        <f>"protein_coding"</f>
        <v>protein_coding</v>
      </c>
    </row>
    <row r="2287" spans="1:9" x14ac:dyDescent="0.2">
      <c r="A2287" s="3" t="str">
        <f>"ENSG00000253626.3"</f>
        <v>ENSG00000253626.3</v>
      </c>
      <c r="B2287" s="3">
        <v>235.548129490176</v>
      </c>
      <c r="C2287" s="3">
        <v>-1.40407111031926</v>
      </c>
      <c r="D2287" s="3">
        <v>0.32759866518580699</v>
      </c>
      <c r="E2287" s="3">
        <v>-4.2859488133839099</v>
      </c>
      <c r="F2287" s="4">
        <v>1.8196088483462101E-5</v>
      </c>
      <c r="G2287" s="3">
        <v>1.7625052206449401E-4</v>
      </c>
      <c r="H2287" s="3" t="str">
        <f>"EIF5AL1"</f>
        <v>EIF5AL1</v>
      </c>
      <c r="I2287" s="3" t="str">
        <f>"protein_coding"</f>
        <v>protein_coding</v>
      </c>
    </row>
    <row r="2288" spans="1:9" x14ac:dyDescent="0.2">
      <c r="A2288" s="3" t="str">
        <f>"ENSG00000219430.2"</f>
        <v>ENSG00000219430.2</v>
      </c>
      <c r="B2288" s="3">
        <v>8.6310601934891906</v>
      </c>
      <c r="C2288" s="3">
        <v>6.6265296028082803</v>
      </c>
      <c r="D2288" s="3">
        <v>1.8042329239235899</v>
      </c>
      <c r="E2288" s="3">
        <v>3.6727683631877399</v>
      </c>
      <c r="F2288" s="3">
        <v>2.3993696092302599E-4</v>
      </c>
      <c r="G2288" s="3">
        <v>1.75351953864576E-3</v>
      </c>
      <c r="H2288" s="3" t="str">
        <f>"MBL3P"</f>
        <v>MBL3P</v>
      </c>
      <c r="I2288" s="3" t="str">
        <f>"unprocessed_pseudogene"</f>
        <v>unprocessed_pseudogene</v>
      </c>
    </row>
    <row r="2289" spans="1:9" x14ac:dyDescent="0.2">
      <c r="A2289" s="3" t="str">
        <f>"ENSG00000272447.1"</f>
        <v>ENSG00000272447.1</v>
      </c>
      <c r="B2289" s="3">
        <v>355.882528516994</v>
      </c>
      <c r="C2289" s="3">
        <v>-1.0221021850557599</v>
      </c>
      <c r="D2289" s="3">
        <v>0.30971455744989801</v>
      </c>
      <c r="E2289" s="3">
        <v>-3.3001425359901102</v>
      </c>
      <c r="F2289" s="3">
        <v>9.66357344101323E-4</v>
      </c>
      <c r="G2289" s="3">
        <v>5.9217342243285702E-3</v>
      </c>
      <c r="H2289" s="3" t="str">
        <f>"AL135925.1"</f>
        <v>AL135925.1</v>
      </c>
      <c r="I2289" s="3" t="str">
        <f>"lincRNA"</f>
        <v>lincRNA</v>
      </c>
    </row>
    <row r="2290" spans="1:9" x14ac:dyDescent="0.2">
      <c r="A2290" s="3" t="str">
        <f>"ENSG00000234743.1"</f>
        <v>ENSG00000234743.1</v>
      </c>
      <c r="B2290" s="3">
        <v>199.23816444067899</v>
      </c>
      <c r="C2290" s="3">
        <v>-1.3043106903585</v>
      </c>
      <c r="D2290" s="3">
        <v>0.38241614800324097</v>
      </c>
      <c r="E2290" s="3">
        <v>-3.41071028817393</v>
      </c>
      <c r="F2290" s="3">
        <v>6.4793898072084495E-4</v>
      </c>
      <c r="G2290" s="3">
        <v>4.2050838648175597E-3</v>
      </c>
      <c r="H2290" s="3" t="str">
        <f>"EIF5AP4"</f>
        <v>EIF5AP4</v>
      </c>
      <c r="I2290" s="3" t="str">
        <f>"processed_pseudogene"</f>
        <v>processed_pseudogene</v>
      </c>
    </row>
    <row r="2291" spans="1:9" x14ac:dyDescent="0.2">
      <c r="A2291" s="3" t="str">
        <f>"ENSG00000133665.13"</f>
        <v>ENSG00000133665.13</v>
      </c>
      <c r="B2291" s="3">
        <v>29.547237382945902</v>
      </c>
      <c r="C2291" s="3">
        <v>-3.54999771760404</v>
      </c>
      <c r="D2291" s="3">
        <v>0.76628919145325403</v>
      </c>
      <c r="E2291" s="3">
        <v>-4.6327127632735303</v>
      </c>
      <c r="F2291" s="4">
        <v>3.6090511614437301E-6</v>
      </c>
      <c r="G2291" s="4">
        <v>4.0692820244785697E-5</v>
      </c>
      <c r="H2291" s="3" t="str">
        <f>"DYDC2"</f>
        <v>DYDC2</v>
      </c>
      <c r="I2291" s="3" t="str">
        <f>"protein_coding"</f>
        <v>protein_coding</v>
      </c>
    </row>
    <row r="2292" spans="1:9" x14ac:dyDescent="0.2">
      <c r="A2292" s="3" t="str">
        <f>"ENSG00000285972.1"</f>
        <v>ENSG00000285972.1</v>
      </c>
      <c r="B2292" s="3">
        <v>23.3194948981855</v>
      </c>
      <c r="C2292" s="3">
        <v>5.5699158291459199</v>
      </c>
      <c r="D2292" s="3">
        <v>1.2213375262927</v>
      </c>
      <c r="E2292" s="3">
        <v>4.5605049457974998</v>
      </c>
      <c r="F2292" s="4">
        <v>5.1030760356876797E-6</v>
      </c>
      <c r="G2292" s="4">
        <v>5.5812120729445003E-5</v>
      </c>
      <c r="H2292" s="3" t="str">
        <f>"CERNA2"</f>
        <v>CERNA2</v>
      </c>
      <c r="I2292" s="3" t="str">
        <f>"lincRNA"</f>
        <v>lincRNA</v>
      </c>
    </row>
    <row r="2293" spans="1:9" x14ac:dyDescent="0.2">
      <c r="A2293" s="3" t="str">
        <f>"ENSG00000182771.19"</f>
        <v>ENSG00000182771.19</v>
      </c>
      <c r="B2293" s="3">
        <v>333.34886886220897</v>
      </c>
      <c r="C2293" s="3">
        <v>4.7493227922288996</v>
      </c>
      <c r="D2293" s="3">
        <v>0.36030707939609802</v>
      </c>
      <c r="E2293" s="3">
        <v>13.1813196681817</v>
      </c>
      <c r="F2293" s="4">
        <v>1.1240717590326199E-39</v>
      </c>
      <c r="G2293" s="4">
        <v>1.8242596837719701E-37</v>
      </c>
      <c r="H2293" s="3" t="str">
        <f>"GRID1"</f>
        <v>GRID1</v>
      </c>
      <c r="I2293" s="3" t="str">
        <f>"protein_coding"</f>
        <v>protein_coding</v>
      </c>
    </row>
    <row r="2294" spans="1:9" x14ac:dyDescent="0.2">
      <c r="A2294" s="3" t="str">
        <f>"ENSG00000270002.1"</f>
        <v>ENSG00000270002.1</v>
      </c>
      <c r="B2294" s="3">
        <v>12.901360933729499</v>
      </c>
      <c r="C2294" s="3">
        <v>-3.53873561047397</v>
      </c>
      <c r="D2294" s="3">
        <v>1.12941112681439</v>
      </c>
      <c r="E2294" s="3">
        <v>-3.1332572581034301</v>
      </c>
      <c r="F2294" s="3">
        <v>1.72877847362112E-3</v>
      </c>
      <c r="G2294" s="3">
        <v>9.7070139517721598E-3</v>
      </c>
      <c r="H2294" s="3" t="str">
        <f>"AC022028.2"</f>
        <v>AC022028.2</v>
      </c>
      <c r="I2294" s="3" t="str">
        <f>"antisense"</f>
        <v>antisense</v>
      </c>
    </row>
    <row r="2295" spans="1:9" x14ac:dyDescent="0.2">
      <c r="A2295" s="3" t="str">
        <f>"ENSG00000227896.2"</f>
        <v>ENSG00000227896.2</v>
      </c>
      <c r="B2295" s="3">
        <v>116.90968335654399</v>
      </c>
      <c r="C2295" s="3">
        <v>-1.2425677639268899</v>
      </c>
      <c r="D2295" s="3">
        <v>0.38782298644741697</v>
      </c>
      <c r="E2295" s="3">
        <v>-3.2039559472975201</v>
      </c>
      <c r="F2295" s="3">
        <v>1.3555321592747299E-3</v>
      </c>
      <c r="G2295" s="3">
        <v>7.9096291966030807E-3</v>
      </c>
      <c r="H2295" s="3" t="str">
        <f>"AL731569.1"</f>
        <v>AL731569.1</v>
      </c>
      <c r="I2295" s="3" t="str">
        <f>"antisense"</f>
        <v>antisense</v>
      </c>
    </row>
    <row r="2296" spans="1:9" x14ac:dyDescent="0.2">
      <c r="A2296" s="3" t="str">
        <f>"ENSG00000272631.1"</f>
        <v>ENSG00000272631.1</v>
      </c>
      <c r="B2296" s="3">
        <v>128.69230904587101</v>
      </c>
      <c r="C2296" s="3">
        <v>-1.20153047723766</v>
      </c>
      <c r="D2296" s="3">
        <v>0.37612655759488101</v>
      </c>
      <c r="E2296" s="3">
        <v>-3.19448455041511</v>
      </c>
      <c r="F2296" s="3">
        <v>1.4008078267638E-3</v>
      </c>
      <c r="G2296" s="3">
        <v>8.1266883953513402E-3</v>
      </c>
      <c r="H2296" s="3" t="str">
        <f>"AC067750.1"</f>
        <v>AC067750.1</v>
      </c>
      <c r="I2296" s="3" t="str">
        <f>"antisense"</f>
        <v>antisense</v>
      </c>
    </row>
    <row r="2297" spans="1:9" x14ac:dyDescent="0.2">
      <c r="A2297" s="3" t="str">
        <f>"ENSG00000148672.9"</f>
        <v>ENSG00000148672.9</v>
      </c>
      <c r="B2297" s="3">
        <v>12402.834560171301</v>
      </c>
      <c r="C2297" s="3">
        <v>-1.2337979938569199</v>
      </c>
      <c r="D2297" s="3">
        <v>0.24026117704052299</v>
      </c>
      <c r="E2297" s="3">
        <v>-5.1352366164793501</v>
      </c>
      <c r="F2297" s="4">
        <v>2.8178926467705902E-7</v>
      </c>
      <c r="G2297" s="4">
        <v>3.8990148256058498E-6</v>
      </c>
      <c r="H2297" s="3" t="str">
        <f>"GLUD1"</f>
        <v>GLUD1</v>
      </c>
      <c r="I2297" s="3" t="str">
        <f>"protein_coding"</f>
        <v>protein_coding</v>
      </c>
    </row>
    <row r="2298" spans="1:9" x14ac:dyDescent="0.2">
      <c r="A2298" s="3" t="str">
        <f>"ENSG00000237280.1"</f>
        <v>ENSG00000237280.1</v>
      </c>
      <c r="B2298" s="3">
        <v>75.971803314946499</v>
      </c>
      <c r="C2298" s="3">
        <v>1.2181973501882</v>
      </c>
      <c r="D2298" s="3">
        <v>0.45182126105644099</v>
      </c>
      <c r="E2298" s="3">
        <v>2.69619306391168</v>
      </c>
      <c r="F2298" s="3">
        <v>7.0137002552782702E-3</v>
      </c>
      <c r="G2298" s="3">
        <v>3.1365267541604402E-2</v>
      </c>
      <c r="H2298" s="3" t="str">
        <f>"AL136982.3"</f>
        <v>AL136982.3</v>
      </c>
      <c r="I2298" s="3" t="str">
        <f>"sense_intronic"</f>
        <v>sense_intronic</v>
      </c>
    </row>
    <row r="2299" spans="1:9" x14ac:dyDescent="0.2">
      <c r="A2299" s="3" t="str">
        <f>"ENSG00000198682.13"</f>
        <v>ENSG00000198682.13</v>
      </c>
      <c r="B2299" s="3">
        <v>66.957695266418199</v>
      </c>
      <c r="C2299" s="3">
        <v>-1.6454442528658599</v>
      </c>
      <c r="D2299" s="3">
        <v>0.47248425528597898</v>
      </c>
      <c r="E2299" s="3">
        <v>-3.48253774481846</v>
      </c>
      <c r="F2299" s="3">
        <v>4.9668519640000495E-4</v>
      </c>
      <c r="G2299" s="3">
        <v>3.3211366601387901E-3</v>
      </c>
      <c r="H2299" s="3" t="str">
        <f>"PAPSS2"</f>
        <v>PAPSS2</v>
      </c>
      <c r="I2299" s="3" t="str">
        <f>"protein_coding"</f>
        <v>protein_coding</v>
      </c>
    </row>
    <row r="2300" spans="1:9" x14ac:dyDescent="0.2">
      <c r="A2300" s="3" t="str">
        <f>"ENSG00000227268.3"</f>
        <v>ENSG00000227268.3</v>
      </c>
      <c r="B2300" s="3">
        <v>82.532049412091993</v>
      </c>
      <c r="C2300" s="3">
        <v>2.1685206241988202</v>
      </c>
      <c r="D2300" s="3">
        <v>0.447382487062434</v>
      </c>
      <c r="E2300" s="3">
        <v>4.8471289934426798</v>
      </c>
      <c r="F2300" s="4">
        <v>1.2526098671031201E-6</v>
      </c>
      <c r="G2300" s="4">
        <v>1.5288404273158098E-5</v>
      </c>
      <c r="H2300" s="3" t="str">
        <f>"KLLN"</f>
        <v>KLLN</v>
      </c>
      <c r="I2300" s="3" t="str">
        <f>"protein_coding"</f>
        <v>protein_coding</v>
      </c>
    </row>
    <row r="2301" spans="1:9" x14ac:dyDescent="0.2">
      <c r="A2301" s="3" t="str">
        <f>"ENSG00000224745.1"</f>
        <v>ENSG00000224745.1</v>
      </c>
      <c r="B2301" s="3">
        <v>135.49876095649199</v>
      </c>
      <c r="C2301" s="3">
        <v>1.50167873488533</v>
      </c>
      <c r="D2301" s="3">
        <v>0.37643012781506702</v>
      </c>
      <c r="E2301" s="3">
        <v>3.98926287755341</v>
      </c>
      <c r="F2301" s="4">
        <v>6.6278937666560802E-5</v>
      </c>
      <c r="G2301" s="3">
        <v>5.6440307278345905E-4</v>
      </c>
      <c r="H2301" s="3" t="str">
        <f>"AC063965.1"</f>
        <v>AC063965.1</v>
      </c>
      <c r="I2301" s="3" t="str">
        <f>"sense_intronic"</f>
        <v>sense_intronic</v>
      </c>
    </row>
    <row r="2302" spans="1:9" x14ac:dyDescent="0.2">
      <c r="A2302" s="3" t="str">
        <f>"ENSG00000213613.2"</f>
        <v>ENSG00000213613.2</v>
      </c>
      <c r="B2302" s="3">
        <v>41.1708139937097</v>
      </c>
      <c r="C2302" s="3">
        <v>1.9783420419595801</v>
      </c>
      <c r="D2302" s="3">
        <v>0.574709654717802</v>
      </c>
      <c r="E2302" s="3">
        <v>3.44233305586453</v>
      </c>
      <c r="F2302" s="3">
        <v>5.7671971415186195E-4</v>
      </c>
      <c r="G2302" s="3">
        <v>3.7898078394697199E-3</v>
      </c>
      <c r="H2302" s="3" t="str">
        <f>"RPL11P3"</f>
        <v>RPL11P3</v>
      </c>
      <c r="I2302" s="3" t="str">
        <f>"processed_pseudogene"</f>
        <v>processed_pseudogene</v>
      </c>
    </row>
    <row r="2303" spans="1:9" x14ac:dyDescent="0.2">
      <c r="A2303" s="3" t="str">
        <f>"ENSG00000138134.12"</f>
        <v>ENSG00000138134.12</v>
      </c>
      <c r="B2303" s="3">
        <v>20.712882684107001</v>
      </c>
      <c r="C2303" s="3">
        <v>-2.3412964236756699</v>
      </c>
      <c r="D2303" s="3">
        <v>0.81111133880352504</v>
      </c>
      <c r="E2303" s="3">
        <v>-2.8865290271115298</v>
      </c>
      <c r="F2303" s="3">
        <v>3.8951681529013999E-3</v>
      </c>
      <c r="G2303" s="3">
        <v>1.9253872054673798E-2</v>
      </c>
      <c r="H2303" s="3" t="str">
        <f>"STAMBPL1"</f>
        <v>STAMBPL1</v>
      </c>
      <c r="I2303" s="3" t="str">
        <f>"protein_coding"</f>
        <v>protein_coding</v>
      </c>
    </row>
    <row r="2304" spans="1:9" x14ac:dyDescent="0.2">
      <c r="A2304" s="3" t="str">
        <f>"ENSG00000107796.13"</f>
        <v>ENSG00000107796.13</v>
      </c>
      <c r="B2304" s="3">
        <v>3776.0174685403399</v>
      </c>
      <c r="C2304" s="3">
        <v>9.4306063143145806</v>
      </c>
      <c r="D2304" s="3">
        <v>0.40305153752042899</v>
      </c>
      <c r="E2304" s="3">
        <v>23.398015976645599</v>
      </c>
      <c r="F2304" s="4">
        <v>4.47702838674909E-121</v>
      </c>
      <c r="G2304" s="4">
        <v>1.40774561335842E-117</v>
      </c>
      <c r="H2304" s="3" t="str">
        <f>"ACTA2"</f>
        <v>ACTA2</v>
      </c>
      <c r="I2304" s="3" t="str">
        <f>"protein_coding"</f>
        <v>protein_coding</v>
      </c>
    </row>
    <row r="2305" spans="1:9" x14ac:dyDescent="0.2">
      <c r="A2305" s="3" t="str">
        <f>"ENSG00000286116.1"</f>
        <v>ENSG00000286116.1</v>
      </c>
      <c r="B2305" s="3">
        <v>243.616536220228</v>
      </c>
      <c r="C2305" s="3">
        <v>7.4241348160065703</v>
      </c>
      <c r="D2305" s="3">
        <v>0.66951409836646403</v>
      </c>
      <c r="E2305" s="3">
        <v>11.088840151567499</v>
      </c>
      <c r="F2305" s="4">
        <v>1.4211843740259801E-28</v>
      </c>
      <c r="G2305" s="4">
        <v>1.3339512286799801E-26</v>
      </c>
      <c r="H2305" s="3" t="str">
        <f>"AL157394.2"</f>
        <v>AL157394.2</v>
      </c>
      <c r="I2305" s="3" t="str">
        <f>"antisense"</f>
        <v>antisense</v>
      </c>
    </row>
    <row r="2306" spans="1:9" x14ac:dyDescent="0.2">
      <c r="A2306" s="3" t="str">
        <f>"ENSG00000026103.22"</f>
        <v>ENSG00000026103.22</v>
      </c>
      <c r="B2306" s="3">
        <v>1526.19262068022</v>
      </c>
      <c r="C2306" s="3">
        <v>8.6724158986403204</v>
      </c>
      <c r="D2306" s="3">
        <v>1.1195782776008401</v>
      </c>
      <c r="E2306" s="3">
        <v>7.7461451978369498</v>
      </c>
      <c r="F2306" s="4">
        <v>9.4724190255285798E-15</v>
      </c>
      <c r="G2306" s="4">
        <v>3.3419172592871198E-13</v>
      </c>
      <c r="H2306" s="3" t="str">
        <f>"FAS"</f>
        <v>FAS</v>
      </c>
      <c r="I2306" s="3" t="str">
        <f>"protein_coding"</f>
        <v>protein_coding</v>
      </c>
    </row>
    <row r="2307" spans="1:9" x14ac:dyDescent="0.2">
      <c r="A2307" s="3" t="str">
        <f>"ENSG00000275693.1"</f>
        <v>ENSG00000275693.1</v>
      </c>
      <c r="B2307" s="3">
        <v>39.141121545997997</v>
      </c>
      <c r="C2307" s="3">
        <v>8.8062695161680704</v>
      </c>
      <c r="D2307" s="3">
        <v>1.5675234406184</v>
      </c>
      <c r="E2307" s="3">
        <v>5.6179507674181197</v>
      </c>
      <c r="F2307" s="4">
        <v>1.93235538626499E-8</v>
      </c>
      <c r="G2307" s="4">
        <v>3.2623087074829401E-7</v>
      </c>
      <c r="H2307" s="3" t="str">
        <f>"RF02116"</f>
        <v>RF02116</v>
      </c>
      <c r="I2307" s="3" t="str">
        <f>"misc_RNA"</f>
        <v>misc_RNA</v>
      </c>
    </row>
    <row r="2308" spans="1:9" x14ac:dyDescent="0.2">
      <c r="A2308" s="3" t="str">
        <f>"ENSG00000119917.14"</f>
        <v>ENSG00000119917.14</v>
      </c>
      <c r="B2308" s="3">
        <v>53.309818808646902</v>
      </c>
      <c r="C2308" s="3">
        <v>-2.7255750283209301</v>
      </c>
      <c r="D2308" s="3">
        <v>0.548065268478932</v>
      </c>
      <c r="E2308" s="3">
        <v>-4.9730847493498898</v>
      </c>
      <c r="F2308" s="4">
        <v>6.5895835671513995E-7</v>
      </c>
      <c r="G2308" s="4">
        <v>8.5576135586831908E-6</v>
      </c>
      <c r="H2308" s="3" t="str">
        <f>"IFIT3"</f>
        <v>IFIT3</v>
      </c>
      <c r="I2308" s="3" t="str">
        <f>"protein_coding"</f>
        <v>protein_coding</v>
      </c>
    </row>
    <row r="2309" spans="1:9" x14ac:dyDescent="0.2">
      <c r="A2309" s="3" t="str">
        <f>"ENSG00000185745.10"</f>
        <v>ENSG00000185745.10</v>
      </c>
      <c r="B2309" s="3">
        <v>22.377754764129499</v>
      </c>
      <c r="C2309" s="3">
        <v>-2.0279743150217402</v>
      </c>
      <c r="D2309" s="3">
        <v>0.75615420425046997</v>
      </c>
      <c r="E2309" s="3">
        <v>-2.6819586581971699</v>
      </c>
      <c r="F2309" s="3">
        <v>7.3192504319319202E-3</v>
      </c>
      <c r="G2309" s="3">
        <v>3.2477640609498599E-2</v>
      </c>
      <c r="H2309" s="3" t="str">
        <f>"IFIT1"</f>
        <v>IFIT1</v>
      </c>
      <c r="I2309" s="3" t="str">
        <f>"protein_coding"</f>
        <v>protein_coding</v>
      </c>
    </row>
    <row r="2310" spans="1:9" x14ac:dyDescent="0.2">
      <c r="A2310" s="3" t="str">
        <f>"ENSG00000152778.9"</f>
        <v>ENSG00000152778.9</v>
      </c>
      <c r="B2310" s="3">
        <v>284.095000446109</v>
      </c>
      <c r="C2310" s="3">
        <v>-1.3283326192521001</v>
      </c>
      <c r="D2310" s="3">
        <v>0.31046662099996802</v>
      </c>
      <c r="E2310" s="3">
        <v>-4.2785038049299002</v>
      </c>
      <c r="F2310" s="4">
        <v>1.88153774341117E-5</v>
      </c>
      <c r="G2310" s="3">
        <v>1.8141081615756201E-4</v>
      </c>
      <c r="H2310" s="3" t="str">
        <f>"IFIT5"</f>
        <v>IFIT5</v>
      </c>
      <c r="I2310" s="3" t="str">
        <f>"protein_coding"</f>
        <v>protein_coding</v>
      </c>
    </row>
    <row r="2311" spans="1:9" x14ac:dyDescent="0.2">
      <c r="A2311" s="3" t="str">
        <f>"ENSG00000152782.16"</f>
        <v>ENSG00000152782.16</v>
      </c>
      <c r="B2311" s="3">
        <v>907.89156279091003</v>
      </c>
      <c r="C2311" s="3">
        <v>1.0705689448117801</v>
      </c>
      <c r="D2311" s="3">
        <v>0.25762593952861901</v>
      </c>
      <c r="E2311" s="3">
        <v>4.1555168969809797</v>
      </c>
      <c r="F2311" s="4">
        <v>3.2455295677707599E-5</v>
      </c>
      <c r="G2311" s="3">
        <v>2.9763505751831398E-4</v>
      </c>
      <c r="H2311" s="3" t="str">
        <f>"PANK1"</f>
        <v>PANK1</v>
      </c>
      <c r="I2311" s="3" t="str">
        <f>"protein_coding"</f>
        <v>protein_coding</v>
      </c>
    </row>
    <row r="2312" spans="1:9" x14ac:dyDescent="0.2">
      <c r="A2312" s="3" t="str">
        <f>"ENSG00000224750.6"</f>
        <v>ENSG00000224750.6</v>
      </c>
      <c r="B2312" s="3">
        <v>10.2101828764636</v>
      </c>
      <c r="C2312" s="3">
        <v>3.25151957486925</v>
      </c>
      <c r="D2312" s="3">
        <v>1.21730822636431</v>
      </c>
      <c r="E2312" s="3">
        <v>2.6710733604261101</v>
      </c>
      <c r="F2312" s="3">
        <v>7.5609120398279399E-3</v>
      </c>
      <c r="G2312" s="3">
        <v>3.3380683156008603E-2</v>
      </c>
      <c r="H2312" s="3" t="str">
        <f>"AL391704.1"</f>
        <v>AL391704.1</v>
      </c>
      <c r="I2312" s="3" t="str">
        <f>"lincRNA"</f>
        <v>lincRNA</v>
      </c>
    </row>
    <row r="2313" spans="1:9" x14ac:dyDescent="0.2">
      <c r="A2313" s="3" t="str">
        <f>"ENSG00000148677.6"</f>
        <v>ENSG00000148677.6</v>
      </c>
      <c r="B2313" s="3">
        <v>6339.1408026453901</v>
      </c>
      <c r="C2313" s="3">
        <v>1.26451727019917</v>
      </c>
      <c r="D2313" s="3">
        <v>0.25500544006275799</v>
      </c>
      <c r="E2313" s="3">
        <v>4.9587854670393403</v>
      </c>
      <c r="F2313" s="4">
        <v>7.0935247012355902E-7</v>
      </c>
      <c r="G2313" s="4">
        <v>9.1459566304244607E-6</v>
      </c>
      <c r="H2313" s="3" t="str">
        <f>"ANKRD1"</f>
        <v>ANKRD1</v>
      </c>
      <c r="I2313" s="3" t="str">
        <f t="shared" ref="I2313:I2319" si="97">"protein_coding"</f>
        <v>protein_coding</v>
      </c>
    </row>
    <row r="2314" spans="1:9" x14ac:dyDescent="0.2">
      <c r="A2314" s="3" t="str">
        <f>"ENSG00000119938.9"</f>
        <v>ENSG00000119938.9</v>
      </c>
      <c r="B2314" s="3">
        <v>333.17135652576297</v>
      </c>
      <c r="C2314" s="3">
        <v>1.21050225781693</v>
      </c>
      <c r="D2314" s="3">
        <v>0.33886451520396998</v>
      </c>
      <c r="E2314" s="3">
        <v>3.5722307987553701</v>
      </c>
      <c r="F2314" s="3">
        <v>3.5395325464518499E-4</v>
      </c>
      <c r="G2314" s="3">
        <v>2.4806194104863202E-3</v>
      </c>
      <c r="H2314" s="3" t="str">
        <f>"PPP1R3C"</f>
        <v>PPP1R3C</v>
      </c>
      <c r="I2314" s="3" t="str">
        <f t="shared" si="97"/>
        <v>protein_coding</v>
      </c>
    </row>
    <row r="2315" spans="1:9" x14ac:dyDescent="0.2">
      <c r="A2315" s="3" t="str">
        <f>"ENSG00000152804.11"</f>
        <v>ENSG00000152804.11</v>
      </c>
      <c r="B2315" s="3">
        <v>1732.1088019442</v>
      </c>
      <c r="C2315" s="3">
        <v>-1.4971614360999701</v>
      </c>
      <c r="D2315" s="3">
        <v>0.24269822213862099</v>
      </c>
      <c r="E2315" s="3">
        <v>-6.1688191322837103</v>
      </c>
      <c r="F2315" s="4">
        <v>6.88018722405241E-10</v>
      </c>
      <c r="G2315" s="4">
        <v>1.43389486015773E-8</v>
      </c>
      <c r="H2315" s="3" t="str">
        <f>"HHEX"</f>
        <v>HHEX</v>
      </c>
      <c r="I2315" s="3" t="str">
        <f t="shared" si="97"/>
        <v>protein_coding</v>
      </c>
    </row>
    <row r="2316" spans="1:9" x14ac:dyDescent="0.2">
      <c r="A2316" s="3" t="str">
        <f>"ENSG00000095596.12"</f>
        <v>ENSG00000095596.12</v>
      </c>
      <c r="B2316" s="3">
        <v>10.7575766516337</v>
      </c>
      <c r="C2316" s="3">
        <v>3.4005708560408401</v>
      </c>
      <c r="D2316" s="3">
        <v>1.1878786264974299</v>
      </c>
      <c r="E2316" s="3">
        <v>2.8627258544652201</v>
      </c>
      <c r="F2316" s="3">
        <v>4.2001379683200097E-3</v>
      </c>
      <c r="G2316" s="3">
        <v>2.0511448377614101E-2</v>
      </c>
      <c r="H2316" s="3" t="str">
        <f>"CYP26A1"</f>
        <v>CYP26A1</v>
      </c>
      <c r="I2316" s="3" t="str">
        <f t="shared" si="97"/>
        <v>protein_coding</v>
      </c>
    </row>
    <row r="2317" spans="1:9" x14ac:dyDescent="0.2">
      <c r="A2317" s="3" t="str">
        <f>"ENSG00000186188.10"</f>
        <v>ENSG00000186188.10</v>
      </c>
      <c r="B2317" s="3">
        <v>8.6271122410833101</v>
      </c>
      <c r="C2317" s="3">
        <v>-3.3551320108102098</v>
      </c>
      <c r="D2317" s="3">
        <v>1.3376993747346899</v>
      </c>
      <c r="E2317" s="3">
        <v>-2.5081360387685301</v>
      </c>
      <c r="F2317" s="3">
        <v>1.21369930387098E-2</v>
      </c>
      <c r="G2317" s="3">
        <v>4.94743250508419E-2</v>
      </c>
      <c r="H2317" s="3" t="str">
        <f>"FFAR4"</f>
        <v>FFAR4</v>
      </c>
      <c r="I2317" s="3" t="str">
        <f t="shared" si="97"/>
        <v>protein_coding</v>
      </c>
    </row>
    <row r="2318" spans="1:9" x14ac:dyDescent="0.2">
      <c r="A2318" s="3" t="str">
        <f>"ENSG00000138207.14"</f>
        <v>ENSG00000138207.14</v>
      </c>
      <c r="B2318" s="3">
        <v>10652.572781237301</v>
      </c>
      <c r="C2318" s="3">
        <v>-1.17922445611613</v>
      </c>
      <c r="D2318" s="3">
        <v>0.28534210799507898</v>
      </c>
      <c r="E2318" s="3">
        <v>-4.1326689019079703</v>
      </c>
      <c r="F2318" s="4">
        <v>3.58575085938341E-5</v>
      </c>
      <c r="G2318" s="3">
        <v>3.2492637920673498E-4</v>
      </c>
      <c r="H2318" s="3" t="str">
        <f>"RBP4"</f>
        <v>RBP4</v>
      </c>
      <c r="I2318" s="3" t="str">
        <f t="shared" si="97"/>
        <v>protein_coding</v>
      </c>
    </row>
    <row r="2319" spans="1:9" x14ac:dyDescent="0.2">
      <c r="A2319" s="3" t="str">
        <f>"ENSG00000095464.9"</f>
        <v>ENSG00000095464.9</v>
      </c>
      <c r="B2319" s="3">
        <v>31.2596060403928</v>
      </c>
      <c r="C2319" s="3">
        <v>3.1741493014709299</v>
      </c>
      <c r="D2319" s="3">
        <v>0.71332564985666402</v>
      </c>
      <c r="E2319" s="3">
        <v>4.4497899411141999</v>
      </c>
      <c r="F2319" s="4">
        <v>8.5954317756787703E-6</v>
      </c>
      <c r="G2319" s="4">
        <v>8.9568387041093396E-5</v>
      </c>
      <c r="H2319" s="3" t="str">
        <f>"PDE6C"</f>
        <v>PDE6C</v>
      </c>
      <c r="I2319" s="3" t="str">
        <f t="shared" si="97"/>
        <v>protein_coding</v>
      </c>
    </row>
    <row r="2320" spans="1:9" x14ac:dyDescent="0.2">
      <c r="A2320" s="3" t="str">
        <f>"ENSG00000280660.1"</f>
        <v>ENSG00000280660.1</v>
      </c>
      <c r="B2320" s="3">
        <v>61.121213295192597</v>
      </c>
      <c r="C2320" s="3">
        <v>2.1575468938447</v>
      </c>
      <c r="D2320" s="3">
        <v>0.54289648626235698</v>
      </c>
      <c r="E2320" s="3">
        <v>3.9741404640479701</v>
      </c>
      <c r="F2320" s="4">
        <v>7.0633871175180293E-5</v>
      </c>
      <c r="G2320" s="3">
        <v>5.9764380404024901E-4</v>
      </c>
      <c r="H2320" s="3" t="str">
        <f>"AL157396.1"</f>
        <v>AL157396.1</v>
      </c>
      <c r="I2320" s="3" t="str">
        <f>"sense_intronic"</f>
        <v>sense_intronic</v>
      </c>
    </row>
    <row r="2321" spans="1:9" x14ac:dyDescent="0.2">
      <c r="A2321" s="3" t="str">
        <f>"ENSG00000176273.15"</f>
        <v>ENSG00000176273.15</v>
      </c>
      <c r="B2321" s="3">
        <v>260.478170769553</v>
      </c>
      <c r="C2321" s="3">
        <v>-1.53647814794119</v>
      </c>
      <c r="D2321" s="3">
        <v>0.31913303177729202</v>
      </c>
      <c r="E2321" s="3">
        <v>-4.8145381234413698</v>
      </c>
      <c r="F2321" s="4">
        <v>1.47540736394817E-6</v>
      </c>
      <c r="G2321" s="4">
        <v>1.77493411000078E-5</v>
      </c>
      <c r="H2321" s="3" t="str">
        <f>"SLC35G1"</f>
        <v>SLC35G1</v>
      </c>
      <c r="I2321" s="3" t="str">
        <f t="shared" ref="I2321:I2337" si="98">"protein_coding"</f>
        <v>protein_coding</v>
      </c>
    </row>
    <row r="2322" spans="1:9" x14ac:dyDescent="0.2">
      <c r="A2322" s="3" t="str">
        <f>"ENSG00000119969.15"</f>
        <v>ENSG00000119969.15</v>
      </c>
      <c r="B2322" s="3">
        <v>5827.6955689583201</v>
      </c>
      <c r="C2322" s="3">
        <v>-1.2520379205293899</v>
      </c>
      <c r="D2322" s="3">
        <v>0.241626035032975</v>
      </c>
      <c r="E2322" s="3">
        <v>-5.18171777457062</v>
      </c>
      <c r="F2322" s="4">
        <v>2.1985170034414999E-7</v>
      </c>
      <c r="G2322" s="4">
        <v>3.1104440507070301E-6</v>
      </c>
      <c r="H2322" s="3" t="str">
        <f>"HELLS"</f>
        <v>HELLS</v>
      </c>
      <c r="I2322" s="3" t="str">
        <f t="shared" si="98"/>
        <v>protein_coding</v>
      </c>
    </row>
    <row r="2323" spans="1:9" x14ac:dyDescent="0.2">
      <c r="A2323" s="3" t="str">
        <f>"ENSG00000107438.9"</f>
        <v>ENSG00000107438.9</v>
      </c>
      <c r="B2323" s="3">
        <v>11594.7806928677</v>
      </c>
      <c r="C2323" s="3">
        <v>2.1457316803039501</v>
      </c>
      <c r="D2323" s="3">
        <v>0.27322560168269799</v>
      </c>
      <c r="E2323" s="3">
        <v>7.8533331689605896</v>
      </c>
      <c r="F2323" s="4">
        <v>4.0512358616515599E-15</v>
      </c>
      <c r="G2323" s="4">
        <v>1.4855515757994901E-13</v>
      </c>
      <c r="H2323" s="3" t="str">
        <f>"PDLIM1"</f>
        <v>PDLIM1</v>
      </c>
      <c r="I2323" s="3" t="str">
        <f t="shared" si="98"/>
        <v>protein_coding</v>
      </c>
    </row>
    <row r="2324" spans="1:9" x14ac:dyDescent="0.2">
      <c r="A2324" s="3" t="str">
        <f>"ENSG00000059573.9"</f>
        <v>ENSG00000059573.9</v>
      </c>
      <c r="B2324" s="3">
        <v>4444.3204046213204</v>
      </c>
      <c r="C2324" s="3">
        <v>-1.0394976751348199</v>
      </c>
      <c r="D2324" s="3">
        <v>0.25043971831363598</v>
      </c>
      <c r="E2324" s="3">
        <v>-4.1506901626243398</v>
      </c>
      <c r="F2324" s="4">
        <v>3.3147423488026303E-5</v>
      </c>
      <c r="G2324" s="3">
        <v>3.0365019586354802E-4</v>
      </c>
      <c r="H2324" s="3" t="str">
        <f>"ALDH18A1"</f>
        <v>ALDH18A1</v>
      </c>
      <c r="I2324" s="3" t="str">
        <f t="shared" si="98"/>
        <v>protein_coding</v>
      </c>
    </row>
    <row r="2325" spans="1:9" x14ac:dyDescent="0.2">
      <c r="A2325" s="3" t="str">
        <f>"ENSG00000095585.16"</f>
        <v>ENSG00000095585.16</v>
      </c>
      <c r="B2325" s="3">
        <v>44.966930441773499</v>
      </c>
      <c r="C2325" s="3">
        <v>4.7233243624496799</v>
      </c>
      <c r="D2325" s="3">
        <v>0.74978501978392698</v>
      </c>
      <c r="E2325" s="3">
        <v>6.2995715275971396</v>
      </c>
      <c r="F2325" s="4">
        <v>2.9846954568219503E-10</v>
      </c>
      <c r="G2325" s="4">
        <v>6.5117098192850203E-9</v>
      </c>
      <c r="H2325" s="3" t="str">
        <f>"BLNK"</f>
        <v>BLNK</v>
      </c>
      <c r="I2325" s="3" t="str">
        <f t="shared" si="98"/>
        <v>protein_coding</v>
      </c>
    </row>
    <row r="2326" spans="1:9" x14ac:dyDescent="0.2">
      <c r="A2326" s="3" t="str">
        <f>"ENSG00000155629.15"</f>
        <v>ENSG00000155629.15</v>
      </c>
      <c r="B2326" s="3">
        <v>559.053301970907</v>
      </c>
      <c r="C2326" s="3">
        <v>-3.09299927433563</v>
      </c>
      <c r="D2326" s="3">
        <v>0.28154407812090099</v>
      </c>
      <c r="E2326" s="3">
        <v>-10.9858438329768</v>
      </c>
      <c r="F2326" s="4">
        <v>4.4704121183564799E-28</v>
      </c>
      <c r="G2326" s="4">
        <v>4.1191654519141799E-26</v>
      </c>
      <c r="H2326" s="3" t="str">
        <f>"PIK3AP1"</f>
        <v>PIK3AP1</v>
      </c>
      <c r="I2326" s="3" t="str">
        <f t="shared" si="98"/>
        <v>protein_coding</v>
      </c>
    </row>
    <row r="2327" spans="1:9" x14ac:dyDescent="0.2">
      <c r="A2327" s="3" t="str">
        <f>"ENSG00000187122.17"</f>
        <v>ENSG00000187122.17</v>
      </c>
      <c r="B2327" s="3">
        <v>98.206632239578994</v>
      </c>
      <c r="C2327" s="3">
        <v>-2.5407355737373898</v>
      </c>
      <c r="D2327" s="3">
        <v>0.43958337613130599</v>
      </c>
      <c r="E2327" s="3">
        <v>-5.7798718325018204</v>
      </c>
      <c r="F2327" s="4">
        <v>7.4757554850930705E-9</v>
      </c>
      <c r="G2327" s="4">
        <v>1.3441932039136199E-7</v>
      </c>
      <c r="H2327" s="3" t="str">
        <f>"SLIT1"</f>
        <v>SLIT1</v>
      </c>
      <c r="I2327" s="3" t="str">
        <f t="shared" si="98"/>
        <v>protein_coding</v>
      </c>
    </row>
    <row r="2328" spans="1:9" x14ac:dyDescent="0.2">
      <c r="A2328" s="3" t="str">
        <f>"ENSG00000119986.7"</f>
        <v>ENSG00000119986.7</v>
      </c>
      <c r="B2328" s="3">
        <v>999.47951007814504</v>
      </c>
      <c r="C2328" s="3">
        <v>1.1205826329436099</v>
      </c>
      <c r="D2328" s="3">
        <v>0.32536282784264697</v>
      </c>
      <c r="E2328" s="3">
        <v>3.4441015907494701</v>
      </c>
      <c r="F2328" s="3">
        <v>5.7296037182698995E-4</v>
      </c>
      <c r="G2328" s="3">
        <v>3.7670721780731701E-3</v>
      </c>
      <c r="H2328" s="3" t="str">
        <f>"AVPI1"</f>
        <v>AVPI1</v>
      </c>
      <c r="I2328" s="3" t="str">
        <f t="shared" si="98"/>
        <v>protein_coding</v>
      </c>
    </row>
    <row r="2329" spans="1:9" x14ac:dyDescent="0.2">
      <c r="A2329" s="3" t="str">
        <f>"ENSG00000095713.14"</f>
        <v>ENSG00000095713.14</v>
      </c>
      <c r="B2329" s="3">
        <v>24.366032265262699</v>
      </c>
      <c r="C2329" s="3">
        <v>2.1229020903949301</v>
      </c>
      <c r="D2329" s="3">
        <v>0.73034285526683995</v>
      </c>
      <c r="E2329" s="3">
        <v>2.90671987147639</v>
      </c>
      <c r="F2329" s="3">
        <v>3.65240115947656E-3</v>
      </c>
      <c r="G2329" s="3">
        <v>1.8240252365819502E-2</v>
      </c>
      <c r="H2329" s="3" t="str">
        <f>"CRTAC1"</f>
        <v>CRTAC1</v>
      </c>
      <c r="I2329" s="3" t="str">
        <f t="shared" si="98"/>
        <v>protein_coding</v>
      </c>
    </row>
    <row r="2330" spans="1:9" x14ac:dyDescent="0.2">
      <c r="A2330" s="3" t="str">
        <f>"ENSG00000138131.4"</f>
        <v>ENSG00000138131.4</v>
      </c>
      <c r="B2330" s="3">
        <v>7954.2892847980702</v>
      </c>
      <c r="C2330" s="3">
        <v>3.1455002024717702</v>
      </c>
      <c r="D2330" s="3">
        <v>0.247731706356279</v>
      </c>
      <c r="E2330" s="3">
        <v>12.697204765336</v>
      </c>
      <c r="F2330" s="4">
        <v>6.1279569822356097E-37</v>
      </c>
      <c r="G2330" s="4">
        <v>8.56381988267426E-35</v>
      </c>
      <c r="H2330" s="3" t="str">
        <f>"LOXL4"</f>
        <v>LOXL4</v>
      </c>
      <c r="I2330" s="3" t="str">
        <f t="shared" si="98"/>
        <v>protein_coding</v>
      </c>
    </row>
    <row r="2331" spans="1:9" x14ac:dyDescent="0.2">
      <c r="A2331" s="3" t="str">
        <f>"ENSG00000119943.13"</f>
        <v>ENSG00000119943.13</v>
      </c>
      <c r="B2331" s="3">
        <v>536.89868512892701</v>
      </c>
      <c r="C2331" s="3">
        <v>3.19153878313386</v>
      </c>
      <c r="D2331" s="3">
        <v>0.33588507862190198</v>
      </c>
      <c r="E2331" s="3">
        <v>9.5018772379778795</v>
      </c>
      <c r="F2331" s="4">
        <v>2.0614010654057599E-21</v>
      </c>
      <c r="G2331" s="4">
        <v>1.2201069129478099E-19</v>
      </c>
      <c r="H2331" s="3" t="str">
        <f>"PYROXD2"</f>
        <v>PYROXD2</v>
      </c>
      <c r="I2331" s="3" t="str">
        <f t="shared" si="98"/>
        <v>protein_coding</v>
      </c>
    </row>
    <row r="2332" spans="1:9" x14ac:dyDescent="0.2">
      <c r="A2332" s="3" t="str">
        <f>"ENSG00000119946.11"</f>
        <v>ENSG00000119946.11</v>
      </c>
      <c r="B2332" s="3">
        <v>272.81793521850301</v>
      </c>
      <c r="C2332" s="3">
        <v>-2.5082221311159301</v>
      </c>
      <c r="D2332" s="3">
        <v>0.31732418843747301</v>
      </c>
      <c r="E2332" s="3">
        <v>-7.9042891229521297</v>
      </c>
      <c r="F2332" s="4">
        <v>2.6946693088844199E-15</v>
      </c>
      <c r="G2332" s="4">
        <v>1.0086965247766E-13</v>
      </c>
      <c r="H2332" s="3" t="str">
        <f>"CNNM1"</f>
        <v>CNNM1</v>
      </c>
      <c r="I2332" s="3" t="str">
        <f t="shared" si="98"/>
        <v>protein_coding</v>
      </c>
    </row>
    <row r="2333" spans="1:9" x14ac:dyDescent="0.2">
      <c r="A2333" s="3" t="str">
        <f>"ENSG00000198018.7"</f>
        <v>ENSG00000198018.7</v>
      </c>
      <c r="B2333" s="3">
        <v>1482.8002484358799</v>
      </c>
      <c r="C2333" s="3">
        <v>-1.54807771722668</v>
      </c>
      <c r="D2333" s="3">
        <v>0.248619274379414</v>
      </c>
      <c r="E2333" s="3">
        <v>-6.2267003276028401</v>
      </c>
      <c r="F2333" s="4">
        <v>4.7636101953637901E-10</v>
      </c>
      <c r="G2333" s="4">
        <v>1.0163580531329599E-8</v>
      </c>
      <c r="H2333" s="3" t="str">
        <f>"ENTPD7"</f>
        <v>ENTPD7</v>
      </c>
      <c r="I2333" s="3" t="str">
        <f t="shared" si="98"/>
        <v>protein_coding</v>
      </c>
    </row>
    <row r="2334" spans="1:9" x14ac:dyDescent="0.2">
      <c r="A2334" s="3" t="str">
        <f>"ENSG00000120054.11"</f>
        <v>ENSG00000120054.11</v>
      </c>
      <c r="B2334" s="3">
        <v>239.38335796900401</v>
      </c>
      <c r="C2334" s="3">
        <v>-3.1399976954460902</v>
      </c>
      <c r="D2334" s="3">
        <v>0.384315914142908</v>
      </c>
      <c r="E2334" s="3">
        <v>-8.1703556368432704</v>
      </c>
      <c r="F2334" s="4">
        <v>3.07481684704434E-16</v>
      </c>
      <c r="G2334" s="4">
        <v>1.2638401599248399E-14</v>
      </c>
      <c r="H2334" s="3" t="str">
        <f>"CPN1"</f>
        <v>CPN1</v>
      </c>
      <c r="I2334" s="3" t="str">
        <f t="shared" si="98"/>
        <v>protein_coding</v>
      </c>
    </row>
    <row r="2335" spans="1:9" x14ac:dyDescent="0.2">
      <c r="A2335" s="3" t="str">
        <f>"ENSG00000107566.14"</f>
        <v>ENSG00000107566.14</v>
      </c>
      <c r="B2335" s="3">
        <v>1735.6813599480699</v>
      </c>
      <c r="C2335" s="3">
        <v>-1.16367470724861</v>
      </c>
      <c r="D2335" s="3">
        <v>0.26240659868871702</v>
      </c>
      <c r="E2335" s="3">
        <v>-4.4346244075555203</v>
      </c>
      <c r="F2335" s="4">
        <v>9.22329462660901E-6</v>
      </c>
      <c r="G2335" s="4">
        <v>9.5360450609268196E-5</v>
      </c>
      <c r="H2335" s="3" t="str">
        <f>"ERLIN1"</f>
        <v>ERLIN1</v>
      </c>
      <c r="I2335" s="3" t="str">
        <f t="shared" si="98"/>
        <v>protein_coding</v>
      </c>
    </row>
    <row r="2336" spans="1:9" x14ac:dyDescent="0.2">
      <c r="A2336" s="3" t="str">
        <f>"ENSG00000196072.12"</f>
        <v>ENSG00000196072.12</v>
      </c>
      <c r="B2336" s="3">
        <v>2098.5033204308902</v>
      </c>
      <c r="C2336" s="3">
        <v>2.44334603525812</v>
      </c>
      <c r="D2336" s="3">
        <v>0.27415505206100799</v>
      </c>
      <c r="E2336" s="3">
        <v>8.9122779860879309</v>
      </c>
      <c r="F2336" s="4">
        <v>4.99945958504541E-19</v>
      </c>
      <c r="G2336" s="4">
        <v>2.5152281172363501E-17</v>
      </c>
      <c r="H2336" s="3" t="str">
        <f>"BLOC1S2"</f>
        <v>BLOC1S2</v>
      </c>
      <c r="I2336" s="3" t="str">
        <f t="shared" si="98"/>
        <v>protein_coding</v>
      </c>
    </row>
    <row r="2337" spans="1:9" x14ac:dyDescent="0.2">
      <c r="A2337" s="3" t="str">
        <f>"ENSG00000099194.6"</f>
        <v>ENSG00000099194.6</v>
      </c>
      <c r="B2337" s="3">
        <v>21112.184080195198</v>
      </c>
      <c r="C2337" s="3">
        <v>-2.7770182795059601</v>
      </c>
      <c r="D2337" s="3">
        <v>0.239966737558098</v>
      </c>
      <c r="E2337" s="3">
        <v>-11.5725133731654</v>
      </c>
      <c r="F2337" s="4">
        <v>5.6794161239695002E-31</v>
      </c>
      <c r="G2337" s="4">
        <v>6.0280891391752196E-29</v>
      </c>
      <c r="H2337" s="3" t="str">
        <f>"SCD"</f>
        <v>SCD</v>
      </c>
      <c r="I2337" s="3" t="str">
        <f t="shared" si="98"/>
        <v>protein_coding</v>
      </c>
    </row>
    <row r="2338" spans="1:9" x14ac:dyDescent="0.2">
      <c r="A2338" s="3" t="str">
        <f>"ENSG00000273162.1"</f>
        <v>ENSG00000273162.1</v>
      </c>
      <c r="B2338" s="3">
        <v>65.163720522141404</v>
      </c>
      <c r="C2338" s="3">
        <v>-2.1311622495127098</v>
      </c>
      <c r="D2338" s="3">
        <v>0.53977431635980899</v>
      </c>
      <c r="E2338" s="3">
        <v>-3.9482468596969902</v>
      </c>
      <c r="F2338" s="4">
        <v>7.8725602250098197E-5</v>
      </c>
      <c r="G2338" s="3">
        <v>6.5683002474335695E-4</v>
      </c>
      <c r="H2338" s="3" t="str">
        <f>"AL133215.2"</f>
        <v>AL133215.2</v>
      </c>
      <c r="I2338" s="3" t="str">
        <f>"lincRNA"</f>
        <v>lincRNA</v>
      </c>
    </row>
    <row r="2339" spans="1:9" x14ac:dyDescent="0.2">
      <c r="A2339" s="3" t="str">
        <f>"ENSG00000107829.14"</f>
        <v>ENSG00000107829.14</v>
      </c>
      <c r="B2339" s="3">
        <v>1040.50853959459</v>
      </c>
      <c r="C2339" s="3">
        <v>1.2546147655027999</v>
      </c>
      <c r="D2339" s="3">
        <v>0.270746494568189</v>
      </c>
      <c r="E2339" s="3">
        <v>4.6339095451771897</v>
      </c>
      <c r="F2339" s="4">
        <v>3.58823831302624E-6</v>
      </c>
      <c r="G2339" s="4">
        <v>4.0494452563559899E-5</v>
      </c>
      <c r="H2339" s="3" t="str">
        <f>"FBXW4"</f>
        <v>FBXW4</v>
      </c>
      <c r="I2339" s="3" t="str">
        <f t="shared" ref="I2339:I2348" si="99">"protein_coding"</f>
        <v>protein_coding</v>
      </c>
    </row>
    <row r="2340" spans="1:9" x14ac:dyDescent="0.2">
      <c r="A2340" s="3" t="str">
        <f>"ENSG00000120049.19"</f>
        <v>ENSG00000120049.19</v>
      </c>
      <c r="B2340" s="3">
        <v>101.007751609533</v>
      </c>
      <c r="C2340" s="3">
        <v>1.68024783827518</v>
      </c>
      <c r="D2340" s="3">
        <v>0.41767919048658803</v>
      </c>
      <c r="E2340" s="3">
        <v>4.0228191313953801</v>
      </c>
      <c r="F2340" s="4">
        <v>5.7505657098112602E-5</v>
      </c>
      <c r="G2340" s="3">
        <v>4.97782107468349E-4</v>
      </c>
      <c r="H2340" s="3" t="str">
        <f>"KCNIP2"</f>
        <v>KCNIP2</v>
      </c>
      <c r="I2340" s="3" t="str">
        <f t="shared" si="99"/>
        <v>protein_coding</v>
      </c>
    </row>
    <row r="2341" spans="1:9" x14ac:dyDescent="0.2">
      <c r="A2341" s="3" t="str">
        <f>"ENSG00000198728.10"</f>
        <v>ENSG00000198728.10</v>
      </c>
      <c r="B2341" s="3">
        <v>2125.1824162950702</v>
      </c>
      <c r="C2341" s="3">
        <v>1.43615932333817</v>
      </c>
      <c r="D2341" s="3">
        <v>0.28513071783712701</v>
      </c>
      <c r="E2341" s="3">
        <v>5.0368453256535499</v>
      </c>
      <c r="F2341" s="4">
        <v>4.7326690520024198E-7</v>
      </c>
      <c r="G2341" s="4">
        <v>6.3257327313029198E-6</v>
      </c>
      <c r="H2341" s="3" t="str">
        <f>"LDB1"</f>
        <v>LDB1</v>
      </c>
      <c r="I2341" s="3" t="str">
        <f t="shared" si="99"/>
        <v>protein_coding</v>
      </c>
    </row>
    <row r="2342" spans="1:9" x14ac:dyDescent="0.2">
      <c r="A2342" s="3" t="str">
        <f>"ENSG00000166197.16"</f>
        <v>ENSG00000166197.16</v>
      </c>
      <c r="B2342" s="3">
        <v>7389.0111806055902</v>
      </c>
      <c r="C2342" s="3">
        <v>-1.64337963856798</v>
      </c>
      <c r="D2342" s="3">
        <v>0.248356286985743</v>
      </c>
      <c r="E2342" s="3">
        <v>-6.61702451149272</v>
      </c>
      <c r="F2342" s="4">
        <v>3.6650074536415901E-11</v>
      </c>
      <c r="G2342" s="4">
        <v>8.8392389737635896E-10</v>
      </c>
      <c r="H2342" s="3" t="str">
        <f>"NOLC1"</f>
        <v>NOLC1</v>
      </c>
      <c r="I2342" s="3" t="str">
        <f t="shared" si="99"/>
        <v>protein_coding</v>
      </c>
    </row>
    <row r="2343" spans="1:9" x14ac:dyDescent="0.2">
      <c r="A2343" s="3" t="str">
        <f>"ENSG00000119915.5"</f>
        <v>ENSG00000119915.5</v>
      </c>
      <c r="B2343" s="3">
        <v>25.8740693275323</v>
      </c>
      <c r="C2343" s="3">
        <v>2.3384651708109598</v>
      </c>
      <c r="D2343" s="3">
        <v>0.71378585204220202</v>
      </c>
      <c r="E2343" s="3">
        <v>3.2761439080368602</v>
      </c>
      <c r="F2343" s="3">
        <v>1.05234924380492E-3</v>
      </c>
      <c r="G2343" s="3">
        <v>6.3802953067999104E-3</v>
      </c>
      <c r="H2343" s="3" t="str">
        <f>"ELOVL3"</f>
        <v>ELOVL3</v>
      </c>
      <c r="I2343" s="3" t="str">
        <f t="shared" si="99"/>
        <v>protein_coding</v>
      </c>
    </row>
    <row r="2344" spans="1:9" x14ac:dyDescent="0.2">
      <c r="A2344" s="3" t="str">
        <f>"ENSG00000077150.19"</f>
        <v>ENSG00000077150.19</v>
      </c>
      <c r="B2344" s="3">
        <v>1955.0362540523899</v>
      </c>
      <c r="C2344" s="3">
        <v>-1.66059860161535</v>
      </c>
      <c r="D2344" s="3">
        <v>0.30266961210733601</v>
      </c>
      <c r="E2344" s="3">
        <v>-5.4865058637814199</v>
      </c>
      <c r="F2344" s="4">
        <v>4.0996182088943003E-8</v>
      </c>
      <c r="G2344" s="4">
        <v>6.5393719749357101E-7</v>
      </c>
      <c r="H2344" s="3" t="str">
        <f>"NFKB2"</f>
        <v>NFKB2</v>
      </c>
      <c r="I2344" s="3" t="str">
        <f t="shared" si="99"/>
        <v>protein_coding</v>
      </c>
    </row>
    <row r="2345" spans="1:9" x14ac:dyDescent="0.2">
      <c r="A2345" s="3" t="str">
        <f>"ENSG00000059915.17"</f>
        <v>ENSG00000059915.17</v>
      </c>
      <c r="B2345" s="3">
        <v>23.758057667505099</v>
      </c>
      <c r="C2345" s="3">
        <v>-2.36602800808999</v>
      </c>
      <c r="D2345" s="3">
        <v>0.748464154167919</v>
      </c>
      <c r="E2345" s="3">
        <v>-3.1611774524063199</v>
      </c>
      <c r="F2345" s="3">
        <v>1.5713273892992701E-3</v>
      </c>
      <c r="G2345" s="3">
        <v>8.9654587228894106E-3</v>
      </c>
      <c r="H2345" s="3" t="str">
        <f>"PSD"</f>
        <v>PSD</v>
      </c>
      <c r="I2345" s="3" t="str">
        <f t="shared" si="99"/>
        <v>protein_coding</v>
      </c>
    </row>
    <row r="2346" spans="1:9" x14ac:dyDescent="0.2">
      <c r="A2346" s="3" t="str">
        <f>"ENSG00000138111.14"</f>
        <v>ENSG00000138111.14</v>
      </c>
      <c r="B2346" s="3">
        <v>168.063273758191</v>
      </c>
      <c r="C2346" s="3">
        <v>-1.4715113351876099</v>
      </c>
      <c r="D2346" s="3">
        <v>0.35575341726871001</v>
      </c>
      <c r="E2346" s="3">
        <v>-4.1363238236335498</v>
      </c>
      <c r="F2346" s="4">
        <v>3.52914074544875E-5</v>
      </c>
      <c r="G2346" s="3">
        <v>3.2095276735995401E-4</v>
      </c>
      <c r="H2346" s="3" t="str">
        <f>"MFSD13A"</f>
        <v>MFSD13A</v>
      </c>
      <c r="I2346" s="3" t="str">
        <f t="shared" si="99"/>
        <v>protein_coding</v>
      </c>
    </row>
    <row r="2347" spans="1:9" x14ac:dyDescent="0.2">
      <c r="A2347" s="3" t="str">
        <f>"ENSG00000148798.11"</f>
        <v>ENSG00000148798.11</v>
      </c>
      <c r="B2347" s="3">
        <v>70.465376873659096</v>
      </c>
      <c r="C2347" s="3">
        <v>-2.2947294256883501</v>
      </c>
      <c r="D2347" s="3">
        <v>0.48571769108882001</v>
      </c>
      <c r="E2347" s="3">
        <v>-4.7244098120954199</v>
      </c>
      <c r="F2347" s="4">
        <v>2.3078460596294099E-6</v>
      </c>
      <c r="G2347" s="4">
        <v>2.6901699550499398E-5</v>
      </c>
      <c r="H2347" s="3" t="str">
        <f>"INA"</f>
        <v>INA</v>
      </c>
      <c r="I2347" s="3" t="str">
        <f t="shared" si="99"/>
        <v>protein_coding</v>
      </c>
    </row>
    <row r="2348" spans="1:9" x14ac:dyDescent="0.2">
      <c r="A2348" s="3" t="str">
        <f>"ENSG00000138172.11"</f>
        <v>ENSG00000138172.11</v>
      </c>
      <c r="B2348" s="3">
        <v>64.564203579401905</v>
      </c>
      <c r="C2348" s="3">
        <v>2.80540192244196</v>
      </c>
      <c r="D2348" s="3">
        <v>0.55466302907098597</v>
      </c>
      <c r="E2348" s="3">
        <v>5.0578491361516802</v>
      </c>
      <c r="F2348" s="4">
        <v>4.2401165829461302E-7</v>
      </c>
      <c r="G2348" s="4">
        <v>5.7037504087705899E-6</v>
      </c>
      <c r="H2348" s="3" t="str">
        <f>"CALHM2"</f>
        <v>CALHM2</v>
      </c>
      <c r="I2348" s="3" t="str">
        <f t="shared" si="99"/>
        <v>protein_coding</v>
      </c>
    </row>
    <row r="2349" spans="1:9" x14ac:dyDescent="0.2">
      <c r="A2349" s="3" t="str">
        <f>"ENSG00000234699.1"</f>
        <v>ENSG00000234699.1</v>
      </c>
      <c r="B2349" s="3">
        <v>5.6140330184422096</v>
      </c>
      <c r="C2349" s="3">
        <v>6.0096528458263299</v>
      </c>
      <c r="D2349" s="3">
        <v>1.96693073721274</v>
      </c>
      <c r="E2349" s="3">
        <v>3.0553454334352299</v>
      </c>
      <c r="F2349" s="3">
        <v>2.2480144166834499E-3</v>
      </c>
      <c r="G2349" s="3">
        <v>1.21011775415519E-2</v>
      </c>
      <c r="H2349" s="3" t="str">
        <f>"AL139339.1"</f>
        <v>AL139339.1</v>
      </c>
      <c r="I2349" s="3" t="str">
        <f>"antisense"</f>
        <v>antisense</v>
      </c>
    </row>
    <row r="2350" spans="1:9" x14ac:dyDescent="0.2">
      <c r="A2350" s="3" t="str">
        <f>"ENSG00000185933.6"</f>
        <v>ENSG00000185933.6</v>
      </c>
      <c r="B2350" s="3">
        <v>824.46733565102295</v>
      </c>
      <c r="C2350" s="3">
        <v>9.1831892527783801</v>
      </c>
      <c r="D2350" s="3">
        <v>0.649263878349017</v>
      </c>
      <c r="E2350" s="3">
        <v>14.1440014746083</v>
      </c>
      <c r="F2350" s="4">
        <v>2.03382989516871E-45</v>
      </c>
      <c r="G2350" s="4">
        <v>4.4104302597387003E-43</v>
      </c>
      <c r="H2350" s="3" t="str">
        <f>"CALHM1"</f>
        <v>CALHM1</v>
      </c>
      <c r="I2350" s="3" t="str">
        <f>"protein_coding"</f>
        <v>protein_coding</v>
      </c>
    </row>
    <row r="2351" spans="1:9" x14ac:dyDescent="0.2">
      <c r="A2351" s="3" t="str">
        <f>"ENSG00000107960.11"</f>
        <v>ENSG00000107960.11</v>
      </c>
      <c r="B2351" s="3">
        <v>944.72658959346199</v>
      </c>
      <c r="C2351" s="3">
        <v>1.41307472390481</v>
      </c>
      <c r="D2351" s="3">
        <v>0.26393518973087698</v>
      </c>
      <c r="E2351" s="3">
        <v>5.3538701123774404</v>
      </c>
      <c r="F2351" s="4">
        <v>8.6092670516239697E-8</v>
      </c>
      <c r="G2351" s="4">
        <v>1.30147904256972E-6</v>
      </c>
      <c r="H2351" s="3" t="str">
        <f>"STN1"</f>
        <v>STN1</v>
      </c>
      <c r="I2351" s="3" t="str">
        <f>"protein_coding"</f>
        <v>protein_coding</v>
      </c>
    </row>
    <row r="2352" spans="1:9" x14ac:dyDescent="0.2">
      <c r="A2352" s="3" t="str">
        <f>"ENSG00000065618.20"</f>
        <v>ENSG00000065618.20</v>
      </c>
      <c r="B2352" s="3">
        <v>46.742399930095701</v>
      </c>
      <c r="C2352" s="3">
        <v>2.22214801437128</v>
      </c>
      <c r="D2352" s="3">
        <v>0.55055358346386896</v>
      </c>
      <c r="E2352" s="3">
        <v>4.0362066129701502</v>
      </c>
      <c r="F2352" s="4">
        <v>5.4322381357561001E-5</v>
      </c>
      <c r="G2352" s="3">
        <v>4.7315772266255099E-4</v>
      </c>
      <c r="H2352" s="3" t="str">
        <f>"COL17A1"</f>
        <v>COL17A1</v>
      </c>
      <c r="I2352" s="3" t="str">
        <f>"protein_coding"</f>
        <v>protein_coding</v>
      </c>
    </row>
    <row r="2353" spans="1:9" x14ac:dyDescent="0.2">
      <c r="A2353" s="3" t="str">
        <f>"ENSG00000148700.14"</f>
        <v>ENSG00000148700.14</v>
      </c>
      <c r="B2353" s="3">
        <v>3614.7387468192401</v>
      </c>
      <c r="C2353" s="3">
        <v>-1.03867355859505</v>
      </c>
      <c r="D2353" s="3">
        <v>0.26808085498787998</v>
      </c>
      <c r="E2353" s="3">
        <v>-3.8744786853280302</v>
      </c>
      <c r="F2353" s="3">
        <v>1.06853194754981E-4</v>
      </c>
      <c r="G2353" s="3">
        <v>8.6122784814532003E-4</v>
      </c>
      <c r="H2353" s="3" t="str">
        <f>"ADD3"</f>
        <v>ADD3</v>
      </c>
      <c r="I2353" s="3" t="str">
        <f>"protein_coding"</f>
        <v>protein_coding</v>
      </c>
    </row>
    <row r="2354" spans="1:9" x14ac:dyDescent="0.2">
      <c r="A2354" s="3" t="str">
        <f>"ENSG00000138166.6"</f>
        <v>ENSG00000138166.6</v>
      </c>
      <c r="B2354" s="3">
        <v>1948.1588773412</v>
      </c>
      <c r="C2354" s="3">
        <v>1.4283882988158201</v>
      </c>
      <c r="D2354" s="3">
        <v>0.24587071673427399</v>
      </c>
      <c r="E2354" s="3">
        <v>5.8095096390008703</v>
      </c>
      <c r="F2354" s="4">
        <v>6.2656086909189596E-9</v>
      </c>
      <c r="G2354" s="4">
        <v>1.14211149724686E-7</v>
      </c>
      <c r="H2354" s="3" t="str">
        <f>"DUSP5"</f>
        <v>DUSP5</v>
      </c>
      <c r="I2354" s="3" t="str">
        <f>"protein_coding"</f>
        <v>protein_coding</v>
      </c>
    </row>
    <row r="2355" spans="1:9" x14ac:dyDescent="0.2">
      <c r="A2355" s="3" t="str">
        <f>"ENSG00000203497.2"</f>
        <v>ENSG00000203497.2</v>
      </c>
      <c r="B2355" s="3">
        <v>173.17060553955301</v>
      </c>
      <c r="C2355" s="3">
        <v>-1.3467828429906199</v>
      </c>
      <c r="D2355" s="3">
        <v>0.37774424262867501</v>
      </c>
      <c r="E2355" s="3">
        <v>-3.5653299005129102</v>
      </c>
      <c r="F2355" s="3">
        <v>3.63398790231372E-4</v>
      </c>
      <c r="G2355" s="3">
        <v>2.5343211999640102E-3</v>
      </c>
      <c r="H2355" s="3" t="str">
        <f>"PDCD4-AS1"</f>
        <v>PDCD4-AS1</v>
      </c>
      <c r="I2355" s="3" t="str">
        <f>"antisense"</f>
        <v>antisense</v>
      </c>
    </row>
    <row r="2356" spans="1:9" x14ac:dyDescent="0.2">
      <c r="A2356" s="3" t="str">
        <f>"ENSG00000197142.10"</f>
        <v>ENSG00000197142.10</v>
      </c>
      <c r="B2356" s="3">
        <v>3787.8531711877199</v>
      </c>
      <c r="C2356" s="3">
        <v>-1.03150670121129</v>
      </c>
      <c r="D2356" s="3">
        <v>0.26362777162213802</v>
      </c>
      <c r="E2356" s="3">
        <v>-3.9127391430132201</v>
      </c>
      <c r="F2356" s="4">
        <v>9.1255094309513506E-5</v>
      </c>
      <c r="G2356" s="3">
        <v>7.4943581369762101E-4</v>
      </c>
      <c r="H2356" s="3" t="str">
        <f>"ACSL5"</f>
        <v>ACSL5</v>
      </c>
      <c r="I2356" s="3" t="str">
        <f>"protein_coding"</f>
        <v>protein_coding</v>
      </c>
    </row>
    <row r="2357" spans="1:9" x14ac:dyDescent="0.2">
      <c r="A2357" s="3" t="str">
        <f>"ENSG00000165806.19"</f>
        <v>ENSG00000165806.19</v>
      </c>
      <c r="B2357" s="3">
        <v>1106.5745493684601</v>
      </c>
      <c r="C2357" s="3">
        <v>-1.4458565679439099</v>
      </c>
      <c r="D2357" s="3">
        <v>0.25213427394546301</v>
      </c>
      <c r="E2357" s="3">
        <v>-5.7344705474537996</v>
      </c>
      <c r="F2357" s="4">
        <v>9.7817419965388993E-9</v>
      </c>
      <c r="G2357" s="4">
        <v>1.7267348766521801E-7</v>
      </c>
      <c r="H2357" s="3" t="str">
        <f>"CASP7"</f>
        <v>CASP7</v>
      </c>
      <c r="I2357" s="3" t="str">
        <f>"protein_coding"</f>
        <v>protein_coding</v>
      </c>
    </row>
    <row r="2358" spans="1:9" x14ac:dyDescent="0.2">
      <c r="A2358" s="3" t="str">
        <f>"ENSG00000198924.8"</f>
        <v>ENSG00000198924.8</v>
      </c>
      <c r="B2358" s="3">
        <v>696.995778712365</v>
      </c>
      <c r="C2358" s="3">
        <v>-1.0742981846317601</v>
      </c>
      <c r="D2358" s="3">
        <v>0.30003742686573698</v>
      </c>
      <c r="E2358" s="3">
        <v>-3.5805472532348301</v>
      </c>
      <c r="F2358" s="3">
        <v>3.4287532630195998E-4</v>
      </c>
      <c r="G2358" s="3">
        <v>2.4098990872103401E-3</v>
      </c>
      <c r="H2358" s="3" t="str">
        <f>"DCLRE1A"</f>
        <v>DCLRE1A</v>
      </c>
      <c r="I2358" s="3" t="str">
        <f>"protein_coding"</f>
        <v>protein_coding</v>
      </c>
    </row>
    <row r="2359" spans="1:9" x14ac:dyDescent="0.2">
      <c r="A2359" s="3" t="str">
        <f>"ENSG00000151892.14"</f>
        <v>ENSG00000151892.14</v>
      </c>
      <c r="B2359" s="3">
        <v>29.997301771640402</v>
      </c>
      <c r="C2359" s="3">
        <v>1.75107467267099</v>
      </c>
      <c r="D2359" s="3">
        <v>0.64763903504192</v>
      </c>
      <c r="E2359" s="3">
        <v>2.7037818567524199</v>
      </c>
      <c r="F2359" s="3">
        <v>6.8555278818888104E-3</v>
      </c>
      <c r="G2359" s="3">
        <v>3.07618273044797E-2</v>
      </c>
      <c r="H2359" s="3" t="str">
        <f>"GFRA1"</f>
        <v>GFRA1</v>
      </c>
      <c r="I2359" s="3" t="str">
        <f>"protein_coding"</f>
        <v>protein_coding</v>
      </c>
    </row>
    <row r="2360" spans="1:9" x14ac:dyDescent="0.2">
      <c r="A2360" s="3" t="str">
        <f>"ENSG00000266200.6"</f>
        <v>ENSG00000266200.6</v>
      </c>
      <c r="B2360" s="3">
        <v>40.8688421102297</v>
      </c>
      <c r="C2360" s="3">
        <v>3.41402330994605</v>
      </c>
      <c r="D2360" s="3">
        <v>0.65451869635398596</v>
      </c>
      <c r="E2360" s="3">
        <v>5.2160821821652403</v>
      </c>
      <c r="F2360" s="4">
        <v>1.8274712076099899E-7</v>
      </c>
      <c r="G2360" s="4">
        <v>2.62836124799481E-6</v>
      </c>
      <c r="H2360" s="3" t="str">
        <f>"PNLIPRP2"</f>
        <v>PNLIPRP2</v>
      </c>
      <c r="I2360" s="3" t="str">
        <f>"polymorphic_pseudogene"</f>
        <v>polymorphic_pseudogene</v>
      </c>
    </row>
    <row r="2361" spans="1:9" x14ac:dyDescent="0.2">
      <c r="A2361" s="3" t="str">
        <f>"ENSG00000165868.14"</f>
        <v>ENSG00000165868.14</v>
      </c>
      <c r="B2361" s="3">
        <v>2392.0105338900198</v>
      </c>
      <c r="C2361" s="3">
        <v>1.6202977120776501</v>
      </c>
      <c r="D2361" s="3">
        <v>0.24356154847998299</v>
      </c>
      <c r="E2361" s="3">
        <v>6.6525185202245201</v>
      </c>
      <c r="F2361" s="4">
        <v>2.8811955022613999E-11</v>
      </c>
      <c r="G2361" s="4">
        <v>7.0282042102938395E-10</v>
      </c>
      <c r="H2361" s="3" t="str">
        <f>"HSPA12A"</f>
        <v>HSPA12A</v>
      </c>
      <c r="I2361" s="3" t="str">
        <f>"protein_coding"</f>
        <v>protein_coding</v>
      </c>
    </row>
    <row r="2362" spans="1:9" x14ac:dyDescent="0.2">
      <c r="A2362" s="3" t="str">
        <f>"ENSG00000236058.3"</f>
        <v>ENSG00000236058.3</v>
      </c>
      <c r="B2362" s="3">
        <v>18.6703199429808</v>
      </c>
      <c r="C2362" s="3">
        <v>5.2890786454399104</v>
      </c>
      <c r="D2362" s="3">
        <v>1.27261868519065</v>
      </c>
      <c r="E2362" s="3">
        <v>4.1560592398873801</v>
      </c>
      <c r="F2362" s="4">
        <v>3.2378390334173499E-5</v>
      </c>
      <c r="G2362" s="3">
        <v>2.9703807762805802E-4</v>
      </c>
      <c r="H2362" s="3" t="str">
        <f>"RPL17P36"</f>
        <v>RPL17P36</v>
      </c>
      <c r="I2362" s="3" t="str">
        <f>"processed_pseudogene"</f>
        <v>processed_pseudogene</v>
      </c>
    </row>
    <row r="2363" spans="1:9" x14ac:dyDescent="0.2">
      <c r="A2363" s="3" t="str">
        <f>"ENSG00000213574.2"</f>
        <v>ENSG00000213574.2</v>
      </c>
      <c r="B2363" s="3">
        <v>42.602943655996803</v>
      </c>
      <c r="C2363" s="3">
        <v>8.9295729863959998</v>
      </c>
      <c r="D2363" s="3">
        <v>1.5444762660790301</v>
      </c>
      <c r="E2363" s="3">
        <v>5.7816187807570296</v>
      </c>
      <c r="F2363" s="4">
        <v>7.3985214006551298E-9</v>
      </c>
      <c r="G2363" s="4">
        <v>1.33412047192459E-7</v>
      </c>
      <c r="H2363" s="3" t="str">
        <f>"LDHAP5"</f>
        <v>LDHAP5</v>
      </c>
      <c r="I2363" s="3" t="str">
        <f>"processed_pseudogene"</f>
        <v>processed_pseudogene</v>
      </c>
    </row>
    <row r="2364" spans="1:9" x14ac:dyDescent="0.2">
      <c r="A2364" s="3" t="str">
        <f>"ENSG00000229272.1"</f>
        <v>ENSG00000229272.1</v>
      </c>
      <c r="B2364" s="3">
        <v>143.76992592365301</v>
      </c>
      <c r="C2364" s="3">
        <v>7.2508649722775997</v>
      </c>
      <c r="D2364" s="3">
        <v>0.80916609656555905</v>
      </c>
      <c r="E2364" s="3">
        <v>8.9609105016303996</v>
      </c>
      <c r="F2364" s="4">
        <v>3.2200834000004402E-19</v>
      </c>
      <c r="G2364" s="4">
        <v>1.6430263271199001E-17</v>
      </c>
      <c r="H2364" s="3" t="str">
        <f>"AL157788.1"</f>
        <v>AL157788.1</v>
      </c>
      <c r="I2364" s="3" t="str">
        <f>"antisense"</f>
        <v>antisense</v>
      </c>
    </row>
    <row r="2365" spans="1:9" x14ac:dyDescent="0.2">
      <c r="A2365" s="3" t="str">
        <f>"ENSG00000228485.1"</f>
        <v>ENSG00000228485.1</v>
      </c>
      <c r="B2365" s="3">
        <v>108.312888892617</v>
      </c>
      <c r="C2365" s="3">
        <v>1.13257552417054</v>
      </c>
      <c r="D2365" s="3">
        <v>0.38890370639677702</v>
      </c>
      <c r="E2365" s="3">
        <v>2.9122261000388501</v>
      </c>
      <c r="F2365" s="3">
        <v>3.58862772305398E-3</v>
      </c>
      <c r="G2365" s="3">
        <v>1.7996796326439999E-2</v>
      </c>
      <c r="H2365" s="3" t="str">
        <f>"GRK5-IT1"</f>
        <v>GRK5-IT1</v>
      </c>
      <c r="I2365" s="3" t="str">
        <f>"sense_intronic"</f>
        <v>sense_intronic</v>
      </c>
    </row>
    <row r="2366" spans="1:9" x14ac:dyDescent="0.2">
      <c r="A2366" s="3" t="str">
        <f>"ENSG00000066468.22"</f>
        <v>ENSG00000066468.22</v>
      </c>
      <c r="B2366" s="3">
        <v>633.05903844571401</v>
      </c>
      <c r="C2366" s="3">
        <v>1.7560118849244599</v>
      </c>
      <c r="D2366" s="3">
        <v>0.285246489313146</v>
      </c>
      <c r="E2366" s="3">
        <v>6.1561209365023704</v>
      </c>
      <c r="F2366" s="4">
        <v>7.45483049114744E-10</v>
      </c>
      <c r="G2366" s="4">
        <v>1.5510856989645498E-8</v>
      </c>
      <c r="H2366" s="3" t="str">
        <f>"FGFR2"</f>
        <v>FGFR2</v>
      </c>
      <c r="I2366" s="3" t="str">
        <f t="shared" ref="I2366:I2373" si="100">"protein_coding"</f>
        <v>protein_coding</v>
      </c>
    </row>
    <row r="2367" spans="1:9" x14ac:dyDescent="0.2">
      <c r="A2367" s="3" t="str">
        <f>"ENSG00000187908.18"</f>
        <v>ENSG00000187908.18</v>
      </c>
      <c r="B2367" s="3">
        <v>20.559344537525199</v>
      </c>
      <c r="C2367" s="3">
        <v>3.7498925665009102</v>
      </c>
      <c r="D2367" s="3">
        <v>0.91108304837847898</v>
      </c>
      <c r="E2367" s="3">
        <v>4.1158625145916901</v>
      </c>
      <c r="F2367" s="4">
        <v>3.8573419830779799E-5</v>
      </c>
      <c r="G2367" s="3">
        <v>3.4691254052315602E-4</v>
      </c>
      <c r="H2367" s="3" t="str">
        <f>"DMBT1"</f>
        <v>DMBT1</v>
      </c>
      <c r="I2367" s="3" t="str">
        <f t="shared" si="100"/>
        <v>protein_coding</v>
      </c>
    </row>
    <row r="2368" spans="1:9" x14ac:dyDescent="0.2">
      <c r="A2368" s="3" t="str">
        <f>"ENSG00000119965.13"</f>
        <v>ENSG00000119965.13</v>
      </c>
      <c r="B2368" s="3">
        <v>803.89303509442402</v>
      </c>
      <c r="C2368" s="3">
        <v>1.1039554294954701</v>
      </c>
      <c r="D2368" s="3">
        <v>0.29304099363318198</v>
      </c>
      <c r="E2368" s="3">
        <v>3.7672388965393799</v>
      </c>
      <c r="F2368" s="3">
        <v>1.65063031682749E-4</v>
      </c>
      <c r="G2368" s="3">
        <v>1.2585655294240501E-3</v>
      </c>
      <c r="H2368" s="3" t="str">
        <f>"C10orf88"</f>
        <v>C10orf88</v>
      </c>
      <c r="I2368" s="3" t="str">
        <f t="shared" si="100"/>
        <v>protein_coding</v>
      </c>
    </row>
    <row r="2369" spans="1:9" x14ac:dyDescent="0.2">
      <c r="A2369" s="3" t="str">
        <f>"ENSG00000188620.10"</f>
        <v>ENSG00000188620.10</v>
      </c>
      <c r="B2369" s="3">
        <v>37.561362566199897</v>
      </c>
      <c r="C2369" s="3">
        <v>-1.8344573824169399</v>
      </c>
      <c r="D2369" s="3">
        <v>0.596300062096219</v>
      </c>
      <c r="E2369" s="3">
        <v>-3.0763997843101598</v>
      </c>
      <c r="F2369" s="3">
        <v>2.09516719609305E-3</v>
      </c>
      <c r="G2369" s="3">
        <v>1.1397908913866901E-2</v>
      </c>
      <c r="H2369" s="3" t="str">
        <f>"HMX3"</f>
        <v>HMX3</v>
      </c>
      <c r="I2369" s="3" t="str">
        <f t="shared" si="100"/>
        <v>protein_coding</v>
      </c>
    </row>
    <row r="2370" spans="1:9" x14ac:dyDescent="0.2">
      <c r="A2370" s="3" t="str">
        <f>"ENSG00000182022.18"</f>
        <v>ENSG00000182022.18</v>
      </c>
      <c r="B2370" s="3">
        <v>1997.8457474623899</v>
      </c>
      <c r="C2370" s="3">
        <v>1.39520950059256</v>
      </c>
      <c r="D2370" s="3">
        <v>0.28277911222651603</v>
      </c>
      <c r="E2370" s="3">
        <v>4.9339199405751897</v>
      </c>
      <c r="F2370" s="4">
        <v>8.0595486093981105E-7</v>
      </c>
      <c r="G2370" s="4">
        <v>1.02704126276297E-5</v>
      </c>
      <c r="H2370" s="3" t="str">
        <f>"CHST15"</f>
        <v>CHST15</v>
      </c>
      <c r="I2370" s="3" t="str">
        <f t="shared" si="100"/>
        <v>protein_coding</v>
      </c>
    </row>
    <row r="2371" spans="1:9" x14ac:dyDescent="0.2">
      <c r="A2371" s="3" t="str">
        <f>"ENSG00000065154.11"</f>
        <v>ENSG00000065154.11</v>
      </c>
      <c r="B2371" s="3">
        <v>2328.7487234697401</v>
      </c>
      <c r="C2371" s="3">
        <v>-1.3595403387145399</v>
      </c>
      <c r="D2371" s="3">
        <v>0.26103415835827798</v>
      </c>
      <c r="E2371" s="3">
        <v>-5.2082851810088799</v>
      </c>
      <c r="F2371" s="4">
        <v>1.90593838434284E-7</v>
      </c>
      <c r="G2371" s="4">
        <v>2.7318450175580702E-6</v>
      </c>
      <c r="H2371" s="3" t="str">
        <f>"OAT"</f>
        <v>OAT</v>
      </c>
      <c r="I2371" s="3" t="str">
        <f t="shared" si="100"/>
        <v>protein_coding</v>
      </c>
    </row>
    <row r="2372" spans="1:9" x14ac:dyDescent="0.2">
      <c r="A2372" s="3" t="str">
        <f>"ENSG00000229544.9"</f>
        <v>ENSG00000229544.9</v>
      </c>
      <c r="B2372" s="3">
        <v>36.047577025796798</v>
      </c>
      <c r="C2372" s="3">
        <v>4.8565968146946901</v>
      </c>
      <c r="D2372" s="3">
        <v>0.863716205337554</v>
      </c>
      <c r="E2372" s="3">
        <v>5.62290806248871</v>
      </c>
      <c r="F2372" s="4">
        <v>1.8776934528273199E-8</v>
      </c>
      <c r="G2372" s="4">
        <v>3.18069890948628E-7</v>
      </c>
      <c r="H2372" s="3" t="str">
        <f>"NKX1-2"</f>
        <v>NKX1-2</v>
      </c>
      <c r="I2372" s="3" t="str">
        <f t="shared" si="100"/>
        <v>protein_coding</v>
      </c>
    </row>
    <row r="2373" spans="1:9" x14ac:dyDescent="0.2">
      <c r="A2373" s="3" t="str">
        <f>"ENSG00000107902.14"</f>
        <v>ENSG00000107902.14</v>
      </c>
      <c r="B2373" s="3">
        <v>82.866884271740403</v>
      </c>
      <c r="C2373" s="3">
        <v>1.5026009230730499</v>
      </c>
      <c r="D2373" s="3">
        <v>0.42903785709245801</v>
      </c>
      <c r="E2373" s="3">
        <v>3.5022571976655099</v>
      </c>
      <c r="F2373" s="3">
        <v>4.6133404774761103E-4</v>
      </c>
      <c r="G2373" s="3">
        <v>3.12042429983629E-3</v>
      </c>
      <c r="H2373" s="3" t="str">
        <f>"LHPP"</f>
        <v>LHPP</v>
      </c>
      <c r="I2373" s="3" t="str">
        <f t="shared" si="100"/>
        <v>protein_coding</v>
      </c>
    </row>
    <row r="2374" spans="1:9" x14ac:dyDescent="0.2">
      <c r="A2374" s="3" t="str">
        <f>"ENSG00000279725.1"</f>
        <v>ENSG00000279725.1</v>
      </c>
      <c r="B2374" s="3">
        <v>33.934324641285599</v>
      </c>
      <c r="C2374" s="3">
        <v>8.6021097426495103</v>
      </c>
      <c r="D2374" s="3">
        <v>1.55706348029459</v>
      </c>
      <c r="E2374" s="3">
        <v>5.5245722807794699</v>
      </c>
      <c r="F2374" s="4">
        <v>3.3028924247332998E-8</v>
      </c>
      <c r="G2374" s="4">
        <v>5.3464774095345003E-7</v>
      </c>
      <c r="H2374" s="3" t="str">
        <f>"AL391005.1"</f>
        <v>AL391005.1</v>
      </c>
      <c r="I2374" s="3" t="str">
        <f>"TEC"</f>
        <v>TEC</v>
      </c>
    </row>
    <row r="2375" spans="1:9" x14ac:dyDescent="0.2">
      <c r="A2375" s="3" t="str">
        <f>"ENSG00000132334.16"</f>
        <v>ENSG00000132334.16</v>
      </c>
      <c r="B2375" s="3">
        <v>110.468173787929</v>
      </c>
      <c r="C2375" s="3">
        <v>5.0240895483179697</v>
      </c>
      <c r="D2375" s="3">
        <v>0.54785605995276598</v>
      </c>
      <c r="E2375" s="3">
        <v>9.1704553724405695</v>
      </c>
      <c r="F2375" s="4">
        <v>4.7102502821443199E-20</v>
      </c>
      <c r="G2375" s="4">
        <v>2.5480934590825899E-18</v>
      </c>
      <c r="H2375" s="3" t="str">
        <f>"PTPRE"</f>
        <v>PTPRE</v>
      </c>
      <c r="I2375" s="3" t="str">
        <f>"protein_coding"</f>
        <v>protein_coding</v>
      </c>
    </row>
    <row r="2376" spans="1:9" x14ac:dyDescent="0.2">
      <c r="A2376" s="3" t="str">
        <f>"ENSG00000227076.1"</f>
        <v>ENSG00000227076.1</v>
      </c>
      <c r="B2376" s="3">
        <v>6.6914169944560902</v>
      </c>
      <c r="C2376" s="3">
        <v>6.2562498883128699</v>
      </c>
      <c r="D2376" s="3">
        <v>1.92084257750799</v>
      </c>
      <c r="E2376" s="3">
        <v>3.2570341586396099</v>
      </c>
      <c r="F2376" s="3">
        <v>1.1258288392439E-3</v>
      </c>
      <c r="G2376" s="3">
        <v>6.74451642085742E-3</v>
      </c>
      <c r="H2376" s="3" t="str">
        <f>"AL158166.1"</f>
        <v>AL158166.1</v>
      </c>
      <c r="I2376" s="3" t="str">
        <f>"sense_intronic"</f>
        <v>sense_intronic</v>
      </c>
    </row>
    <row r="2377" spans="1:9" x14ac:dyDescent="0.2">
      <c r="A2377" s="3" t="str">
        <f>"ENSG00000170430.10"</f>
        <v>ENSG00000170430.10</v>
      </c>
      <c r="B2377" s="3">
        <v>358.77087768409899</v>
      </c>
      <c r="C2377" s="3">
        <v>1.2324176887613401</v>
      </c>
      <c r="D2377" s="3">
        <v>0.35348840106441898</v>
      </c>
      <c r="E2377" s="3">
        <v>3.48644449167299</v>
      </c>
      <c r="F2377" s="3">
        <v>4.8948695420653195E-4</v>
      </c>
      <c r="G2377" s="3">
        <v>3.2808538057727999E-3</v>
      </c>
      <c r="H2377" s="3" t="str">
        <f>"MGMT"</f>
        <v>MGMT</v>
      </c>
      <c r="I2377" s="3" t="str">
        <f>"protein_coding"</f>
        <v>protein_coding</v>
      </c>
    </row>
    <row r="2378" spans="1:9" x14ac:dyDescent="0.2">
      <c r="A2378" s="3" t="str">
        <f>"ENSG00000236303.3"</f>
        <v>ENSG00000236303.3</v>
      </c>
      <c r="B2378" s="3">
        <v>20.2614360118002</v>
      </c>
      <c r="C2378" s="3">
        <v>2.4976751564511002</v>
      </c>
      <c r="D2378" s="3">
        <v>0.80687243914431905</v>
      </c>
      <c r="E2378" s="3">
        <v>3.0955018851552998</v>
      </c>
      <c r="F2378" s="3">
        <v>1.9648012393823902E-3</v>
      </c>
      <c r="G2378" s="3">
        <v>1.07881571527009E-2</v>
      </c>
      <c r="H2378" s="3" t="str">
        <f>"LINC02646"</f>
        <v>LINC02646</v>
      </c>
      <c r="I2378" s="3" t="str">
        <f>"lincRNA"</f>
        <v>lincRNA</v>
      </c>
    </row>
    <row r="2379" spans="1:9" x14ac:dyDescent="0.2">
      <c r="A2379" s="3" t="str">
        <f>"ENSG00000230098.1"</f>
        <v>ENSG00000230098.1</v>
      </c>
      <c r="B2379" s="3">
        <v>7.6936833280258998</v>
      </c>
      <c r="C2379" s="3">
        <v>6.4635483968640397</v>
      </c>
      <c r="D2379" s="3">
        <v>1.8408865942246899</v>
      </c>
      <c r="E2379" s="3">
        <v>3.51110623388848</v>
      </c>
      <c r="F2379" s="3">
        <v>4.46246028400277E-4</v>
      </c>
      <c r="G2379" s="3">
        <v>3.02814104246263E-3</v>
      </c>
      <c r="H2379" s="3" t="str">
        <f>"TCERG1L-AS1"</f>
        <v>TCERG1L-AS1</v>
      </c>
      <c r="I2379" s="3" t="str">
        <f>"antisense"</f>
        <v>antisense</v>
      </c>
    </row>
    <row r="2380" spans="1:9" x14ac:dyDescent="0.2">
      <c r="A2380" s="3" t="str">
        <f>"ENSG00000189275.3"</f>
        <v>ENSG00000189275.3</v>
      </c>
      <c r="B2380" s="3">
        <v>12.8045779367975</v>
      </c>
      <c r="C2380" s="3">
        <v>5.7160529400091802</v>
      </c>
      <c r="D2380" s="3">
        <v>1.66703366875259</v>
      </c>
      <c r="E2380" s="3">
        <v>3.4288767210600999</v>
      </c>
      <c r="F2380" s="3">
        <v>6.0608475682298005E-4</v>
      </c>
      <c r="G2380" s="3">
        <v>3.9661972054844102E-3</v>
      </c>
      <c r="H2380" s="3" t="str">
        <f>"LINC01164"</f>
        <v>LINC01164</v>
      </c>
      <c r="I2380" s="3" t="str">
        <f>"lincRNA"</f>
        <v>lincRNA</v>
      </c>
    </row>
    <row r="2381" spans="1:9" x14ac:dyDescent="0.2">
      <c r="A2381" s="3" t="str">
        <f>"ENSG00000151640.13"</f>
        <v>ENSG00000151640.13</v>
      </c>
      <c r="B2381" s="3">
        <v>1631.2164658683801</v>
      </c>
      <c r="C2381" s="3">
        <v>7.4229460690134603</v>
      </c>
      <c r="D2381" s="3">
        <v>0.35635986652278501</v>
      </c>
      <c r="E2381" s="3">
        <v>20.829915953902301</v>
      </c>
      <c r="F2381" s="4">
        <v>2.3186761694585301E-96</v>
      </c>
      <c r="G2381" s="4">
        <v>2.71946447508777E-93</v>
      </c>
      <c r="H2381" s="3" t="str">
        <f>"DPYSL4"</f>
        <v>DPYSL4</v>
      </c>
      <c r="I2381" s="3" t="str">
        <f t="shared" ref="I2381:I2391" si="101">"protein_coding"</f>
        <v>protein_coding</v>
      </c>
    </row>
    <row r="2382" spans="1:9" x14ac:dyDescent="0.2">
      <c r="A2382" s="3" t="str">
        <f>"ENSG00000171813.14"</f>
        <v>ENSG00000171813.14</v>
      </c>
      <c r="B2382" s="3">
        <v>165.52844170945701</v>
      </c>
      <c r="C2382" s="3">
        <v>1.9224597251766999</v>
      </c>
      <c r="D2382" s="3">
        <v>0.39008089631874598</v>
      </c>
      <c r="E2382" s="3">
        <v>4.9283616381095499</v>
      </c>
      <c r="F2382" s="4">
        <v>8.2922025974644699E-7</v>
      </c>
      <c r="G2382" s="4">
        <v>1.05348664817787E-5</v>
      </c>
      <c r="H2382" s="3" t="str">
        <f>"PWWP2B"</f>
        <v>PWWP2B</v>
      </c>
      <c r="I2382" s="3" t="str">
        <f t="shared" si="101"/>
        <v>protein_coding</v>
      </c>
    </row>
    <row r="2383" spans="1:9" x14ac:dyDescent="0.2">
      <c r="A2383" s="3" t="str">
        <f>"ENSG00000068383.19"</f>
        <v>ENSG00000068383.19</v>
      </c>
      <c r="B2383" s="3">
        <v>969.03567190921694</v>
      </c>
      <c r="C2383" s="3">
        <v>1.12838114674057</v>
      </c>
      <c r="D2383" s="3">
        <v>0.28813644565706098</v>
      </c>
      <c r="E2383" s="3">
        <v>3.91613474708979</v>
      </c>
      <c r="F2383" s="4">
        <v>8.9979969344792206E-5</v>
      </c>
      <c r="G2383" s="3">
        <v>7.3993008462512199E-4</v>
      </c>
      <c r="H2383" s="3" t="str">
        <f>"INPP5A"</f>
        <v>INPP5A</v>
      </c>
      <c r="I2383" s="3" t="str">
        <f t="shared" si="101"/>
        <v>protein_coding</v>
      </c>
    </row>
    <row r="2384" spans="1:9" x14ac:dyDescent="0.2">
      <c r="A2384" s="3" t="str">
        <f>"ENSG00000198546.15"</f>
        <v>ENSG00000198546.15</v>
      </c>
      <c r="B2384" s="3">
        <v>384.79871909353301</v>
      </c>
      <c r="C2384" s="3">
        <v>-1.00886352529583</v>
      </c>
      <c r="D2384" s="3">
        <v>0.31636581374595002</v>
      </c>
      <c r="E2384" s="3">
        <v>-3.1889144827322302</v>
      </c>
      <c r="F2384" s="3">
        <v>1.4280811786945399E-3</v>
      </c>
      <c r="G2384" s="3">
        <v>8.2639480216382E-3</v>
      </c>
      <c r="H2384" s="3" t="str">
        <f>"ZNF511"</f>
        <v>ZNF511</v>
      </c>
      <c r="I2384" s="3" t="str">
        <f t="shared" si="101"/>
        <v>protein_coding</v>
      </c>
    </row>
    <row r="2385" spans="1:9" x14ac:dyDescent="0.2">
      <c r="A2385" s="3" t="str">
        <f>"ENSG00000165828.15"</f>
        <v>ENSG00000165828.15</v>
      </c>
      <c r="B2385" s="3">
        <v>47.620093225567302</v>
      </c>
      <c r="C2385" s="3">
        <v>2.8342657186871301</v>
      </c>
      <c r="D2385" s="3">
        <v>0.58078055576138299</v>
      </c>
      <c r="E2385" s="3">
        <v>4.8800974663683503</v>
      </c>
      <c r="F2385" s="4">
        <v>1.0603342502521901E-6</v>
      </c>
      <c r="G2385" s="4">
        <v>1.31912502794728E-5</v>
      </c>
      <c r="H2385" s="3" t="str">
        <f>"PRAP1"</f>
        <v>PRAP1</v>
      </c>
      <c r="I2385" s="3" t="str">
        <f t="shared" si="101"/>
        <v>protein_coding</v>
      </c>
    </row>
    <row r="2386" spans="1:9" x14ac:dyDescent="0.2">
      <c r="A2386" s="3" t="str">
        <f>"ENSG00000203772.7"</f>
        <v>ENSG00000203772.7</v>
      </c>
      <c r="B2386" s="3">
        <v>14.522883694736599</v>
      </c>
      <c r="C2386" s="3">
        <v>3.2476470911503799</v>
      </c>
      <c r="D2386" s="3">
        <v>1.0289358229776899</v>
      </c>
      <c r="E2386" s="3">
        <v>3.15631647632974</v>
      </c>
      <c r="F2386" s="3">
        <v>1.5977539827110501E-3</v>
      </c>
      <c r="G2386" s="3">
        <v>9.0889872082986194E-3</v>
      </c>
      <c r="H2386" s="3" t="str">
        <f>"SPRN"</f>
        <v>SPRN</v>
      </c>
      <c r="I2386" s="3" t="str">
        <f t="shared" si="101"/>
        <v>protein_coding</v>
      </c>
    </row>
    <row r="2387" spans="1:9" x14ac:dyDescent="0.2">
      <c r="A2387" s="3" t="str">
        <f>"ENSG00000214279.13"</f>
        <v>ENSG00000214279.13</v>
      </c>
      <c r="B2387" s="3">
        <v>182.35552319946001</v>
      </c>
      <c r="C2387" s="3">
        <v>1.35866188495038</v>
      </c>
      <c r="D2387" s="3">
        <v>0.36177051494464701</v>
      </c>
      <c r="E2387" s="3">
        <v>3.7555904332288299</v>
      </c>
      <c r="F2387" s="3">
        <v>1.7293330181229901E-4</v>
      </c>
      <c r="G2387" s="3">
        <v>1.3102822912916801E-3</v>
      </c>
      <c r="H2387" s="3" t="str">
        <f>"SCART1"</f>
        <v>SCART1</v>
      </c>
      <c r="I2387" s="3" t="str">
        <f t="shared" si="101"/>
        <v>protein_coding</v>
      </c>
    </row>
    <row r="2388" spans="1:9" x14ac:dyDescent="0.2">
      <c r="A2388" s="3" t="str">
        <f>"ENSG00000174885.12"</f>
        <v>ENSG00000174885.12</v>
      </c>
      <c r="B2388" s="3">
        <v>30.849829418579699</v>
      </c>
      <c r="C2388" s="3">
        <v>5.3813589459498203</v>
      </c>
      <c r="D2388" s="3">
        <v>1.04015955231031</v>
      </c>
      <c r="E2388" s="3">
        <v>5.1735898920480103</v>
      </c>
      <c r="F2388" s="4">
        <v>2.29638564282327E-7</v>
      </c>
      <c r="G2388" s="4">
        <v>3.2361669941299399E-6</v>
      </c>
      <c r="H2388" s="3" t="str">
        <f>"NLRP6"</f>
        <v>NLRP6</v>
      </c>
      <c r="I2388" s="3" t="str">
        <f t="shared" si="101"/>
        <v>protein_coding</v>
      </c>
    </row>
    <row r="2389" spans="1:9" x14ac:dyDescent="0.2">
      <c r="A2389" s="3" t="str">
        <f>"ENSG00000185201.16"</f>
        <v>ENSG00000185201.16</v>
      </c>
      <c r="B2389" s="3">
        <v>838.91900664502896</v>
      </c>
      <c r="C2389" s="3">
        <v>-1.2795998228335701</v>
      </c>
      <c r="D2389" s="3">
        <v>0.309318698124598</v>
      </c>
      <c r="E2389" s="3">
        <v>-4.1368330805470297</v>
      </c>
      <c r="F2389" s="4">
        <v>3.52132069509905E-5</v>
      </c>
      <c r="G2389" s="3">
        <v>3.2047330711004599E-4</v>
      </c>
      <c r="H2389" s="3" t="str">
        <f>"IFITM2"</f>
        <v>IFITM2</v>
      </c>
      <c r="I2389" s="3" t="str">
        <f t="shared" si="101"/>
        <v>protein_coding</v>
      </c>
    </row>
    <row r="2390" spans="1:9" x14ac:dyDescent="0.2">
      <c r="A2390" s="3" t="str">
        <f>"ENSG00000185885.16"</f>
        <v>ENSG00000185885.16</v>
      </c>
      <c r="B2390" s="3">
        <v>10.1296638394267</v>
      </c>
      <c r="C2390" s="3">
        <v>-3.60434480476383</v>
      </c>
      <c r="D2390" s="3">
        <v>1.2730088664982</v>
      </c>
      <c r="E2390" s="3">
        <v>-2.8313587592509601</v>
      </c>
      <c r="F2390" s="3">
        <v>4.6350699549618703E-3</v>
      </c>
      <c r="G2390" s="3">
        <v>2.22764968890076E-2</v>
      </c>
      <c r="H2390" s="3" t="str">
        <f>"IFITM1"</f>
        <v>IFITM1</v>
      </c>
      <c r="I2390" s="3" t="str">
        <f t="shared" si="101"/>
        <v>protein_coding</v>
      </c>
    </row>
    <row r="2391" spans="1:9" x14ac:dyDescent="0.2">
      <c r="A2391" s="3" t="str">
        <f>"ENSG00000142089.16"</f>
        <v>ENSG00000142089.16</v>
      </c>
      <c r="B2391" s="3">
        <v>3897.6396409039698</v>
      </c>
      <c r="C2391" s="3">
        <v>-1.61482537354245</v>
      </c>
      <c r="D2391" s="3">
        <v>0.29841085001567202</v>
      </c>
      <c r="E2391" s="3">
        <v>-5.4114164195358399</v>
      </c>
      <c r="F2391" s="4">
        <v>6.2528177566475501E-8</v>
      </c>
      <c r="G2391" s="4">
        <v>9.6437541795505306E-7</v>
      </c>
      <c r="H2391" s="3" t="str">
        <f>"IFITM3"</f>
        <v>IFITM3</v>
      </c>
      <c r="I2391" s="3" t="str">
        <f t="shared" si="101"/>
        <v>protein_coding</v>
      </c>
    </row>
    <row r="2392" spans="1:9" x14ac:dyDescent="0.2">
      <c r="A2392" s="3" t="str">
        <f>"ENSG00000270030.1"</f>
        <v>ENSG00000270030.1</v>
      </c>
      <c r="B2392" s="3">
        <v>46.4128316121718</v>
      </c>
      <c r="C2392" s="3">
        <v>-2.2093966616622298</v>
      </c>
      <c r="D2392" s="3">
        <v>0.55912328987731397</v>
      </c>
      <c r="E2392" s="3">
        <v>-3.95153752609201</v>
      </c>
      <c r="F2392" s="4">
        <v>7.7650692781692504E-5</v>
      </c>
      <c r="G2392" s="3">
        <v>6.4872241013732104E-4</v>
      </c>
      <c r="H2392" s="3" t="str">
        <f>"AC136475.7"</f>
        <v>AC136475.7</v>
      </c>
      <c r="I2392" s="3" t="str">
        <f>"lincRNA"</f>
        <v>lincRNA</v>
      </c>
    </row>
    <row r="2393" spans="1:9" x14ac:dyDescent="0.2">
      <c r="A2393" s="3" t="str">
        <f>"ENSG00000255328.1"</f>
        <v>ENSG00000255328.1</v>
      </c>
      <c r="B2393" s="3">
        <v>27.885498013631999</v>
      </c>
      <c r="C2393" s="3">
        <v>-3.3218417290043898</v>
      </c>
      <c r="D2393" s="3">
        <v>0.79456704762564001</v>
      </c>
      <c r="E2393" s="3">
        <v>-4.1806940508429804</v>
      </c>
      <c r="F2393" s="4">
        <v>2.9062067640548199E-5</v>
      </c>
      <c r="G2393" s="3">
        <v>2.6818289379685299E-4</v>
      </c>
      <c r="H2393" s="3" t="str">
        <f>"AC136475.5"</f>
        <v>AC136475.5</v>
      </c>
      <c r="I2393" s="3" t="str">
        <f>"lincRNA"</f>
        <v>lincRNA</v>
      </c>
    </row>
    <row r="2394" spans="1:9" x14ac:dyDescent="0.2">
      <c r="A2394" s="3" t="str">
        <f>"ENSG00000182272.12"</f>
        <v>ENSG00000182272.12</v>
      </c>
      <c r="B2394" s="3">
        <v>599.79424875839004</v>
      </c>
      <c r="C2394" s="3">
        <v>-1.63049449074149</v>
      </c>
      <c r="D2394" s="3">
        <v>0.330952075539032</v>
      </c>
      <c r="E2394" s="3">
        <v>-4.9266785472967696</v>
      </c>
      <c r="F2394" s="4">
        <v>8.3639184477263805E-7</v>
      </c>
      <c r="G2394" s="4">
        <v>1.06152557291906E-5</v>
      </c>
      <c r="H2394" s="3" t="str">
        <f>"B4GALNT4"</f>
        <v>B4GALNT4</v>
      </c>
      <c r="I2394" s="3" t="str">
        <f>"protein_coding"</f>
        <v>protein_coding</v>
      </c>
    </row>
    <row r="2395" spans="1:9" x14ac:dyDescent="0.2">
      <c r="A2395" s="3" t="str">
        <f>"ENSG00000185101.13"</f>
        <v>ENSG00000185101.13</v>
      </c>
      <c r="B2395" s="3">
        <v>852.27253921187798</v>
      </c>
      <c r="C2395" s="3">
        <v>1.2348598429506401</v>
      </c>
      <c r="D2395" s="3">
        <v>0.37077579962089502</v>
      </c>
      <c r="E2395" s="3">
        <v>3.3304758406919701</v>
      </c>
      <c r="F2395" s="3">
        <v>8.6697686672476302E-4</v>
      </c>
      <c r="G2395" s="3">
        <v>5.4062476654589504E-3</v>
      </c>
      <c r="H2395" s="3" t="str">
        <f>"ANO9"</f>
        <v>ANO9</v>
      </c>
      <c r="I2395" s="3" t="str">
        <f>"protein_coding"</f>
        <v>protein_coding</v>
      </c>
    </row>
    <row r="2396" spans="1:9" x14ac:dyDescent="0.2">
      <c r="A2396" s="3" t="str">
        <f>"ENSG00000174775.17"</f>
        <v>ENSG00000174775.17</v>
      </c>
      <c r="B2396" s="3">
        <v>786.31760534381601</v>
      </c>
      <c r="C2396" s="3">
        <v>2.2251041696004599</v>
      </c>
      <c r="D2396" s="3">
        <v>0.31141754715564302</v>
      </c>
      <c r="E2396" s="3">
        <v>7.1450828314705701</v>
      </c>
      <c r="F2396" s="4">
        <v>8.9941637302275505E-13</v>
      </c>
      <c r="G2396" s="4">
        <v>2.5916172810294799E-11</v>
      </c>
      <c r="H2396" s="3" t="str">
        <f>"HRAS"</f>
        <v>HRAS</v>
      </c>
      <c r="I2396" s="3" t="str">
        <f>"protein_coding"</f>
        <v>protein_coding</v>
      </c>
    </row>
    <row r="2397" spans="1:9" x14ac:dyDescent="0.2">
      <c r="A2397" s="3" t="str">
        <f>"ENSG00000247095.2"</f>
        <v>ENSG00000247095.2</v>
      </c>
      <c r="B2397" s="3">
        <v>74.442089023602804</v>
      </c>
      <c r="C2397" s="3">
        <v>2.2858000413253299</v>
      </c>
      <c r="D2397" s="3">
        <v>0.51085687212918496</v>
      </c>
      <c r="E2397" s="3">
        <v>4.4744431680020504</v>
      </c>
      <c r="F2397" s="4">
        <v>7.6610699424466403E-6</v>
      </c>
      <c r="G2397" s="4">
        <v>8.0938351281917403E-5</v>
      </c>
      <c r="H2397" s="3" t="str">
        <f>"MIR210HG"</f>
        <v>MIR210HG</v>
      </c>
      <c r="I2397" s="3" t="str">
        <f>"lincRNA"</f>
        <v>lincRNA</v>
      </c>
    </row>
    <row r="2398" spans="1:9" x14ac:dyDescent="0.2">
      <c r="A2398" s="3" t="str">
        <f>"ENSG00000069696.6"</f>
        <v>ENSG00000069696.6</v>
      </c>
      <c r="B2398" s="3">
        <v>28.947474268845699</v>
      </c>
      <c r="C2398" s="3">
        <v>1.70935236876115</v>
      </c>
      <c r="D2398" s="3">
        <v>0.67190626434766698</v>
      </c>
      <c r="E2398" s="3">
        <v>2.5440339813183699</v>
      </c>
      <c r="F2398" s="3">
        <v>1.0958042358163301E-2</v>
      </c>
      <c r="G2398" s="3">
        <v>4.5554380353594201E-2</v>
      </c>
      <c r="H2398" s="3" t="str">
        <f>"DRD4"</f>
        <v>DRD4</v>
      </c>
      <c r="I2398" s="3" t="str">
        <f t="shared" ref="I2398:I2407" si="102">"protein_coding"</f>
        <v>protein_coding</v>
      </c>
    </row>
    <row r="2399" spans="1:9" x14ac:dyDescent="0.2">
      <c r="A2399" s="3" t="str">
        <f>"ENSG00000177030.16"</f>
        <v>ENSG00000177030.16</v>
      </c>
      <c r="B2399" s="3">
        <v>1175.9748970347</v>
      </c>
      <c r="C2399" s="3">
        <v>1.4353737458424001</v>
      </c>
      <c r="D2399" s="3">
        <v>0.29935397466878599</v>
      </c>
      <c r="E2399" s="3">
        <v>4.7949045855514099</v>
      </c>
      <c r="F2399" s="4">
        <v>1.62752276806766E-6</v>
      </c>
      <c r="G2399" s="4">
        <v>1.9430628965705699E-5</v>
      </c>
      <c r="H2399" s="3" t="str">
        <f>"DEAF1"</f>
        <v>DEAF1</v>
      </c>
      <c r="I2399" s="3" t="str">
        <f t="shared" si="102"/>
        <v>protein_coding</v>
      </c>
    </row>
    <row r="2400" spans="1:9" x14ac:dyDescent="0.2">
      <c r="A2400" s="3" t="str">
        <f>"ENSG00000177106.16"</f>
        <v>ENSG00000177106.16</v>
      </c>
      <c r="B2400" s="3">
        <v>6830.5640891511603</v>
      </c>
      <c r="C2400" s="3">
        <v>2.5304263607352202</v>
      </c>
      <c r="D2400" s="3">
        <v>0.30553119857022198</v>
      </c>
      <c r="E2400" s="3">
        <v>8.2820555562794507</v>
      </c>
      <c r="F2400" s="4">
        <v>1.2106708450224001E-16</v>
      </c>
      <c r="G2400" s="4">
        <v>5.1705305783596599E-15</v>
      </c>
      <c r="H2400" s="3" t="str">
        <f>"EPS8L2"</f>
        <v>EPS8L2</v>
      </c>
      <c r="I2400" s="3" t="str">
        <f t="shared" si="102"/>
        <v>protein_coding</v>
      </c>
    </row>
    <row r="2401" spans="1:9" x14ac:dyDescent="0.2">
      <c r="A2401" s="3" t="str">
        <f>"ENSG00000177042.14"</f>
        <v>ENSG00000177042.14</v>
      </c>
      <c r="B2401" s="3">
        <v>151.80950924592</v>
      </c>
      <c r="C2401" s="3">
        <v>-1.7507899007307901</v>
      </c>
      <c r="D2401" s="3">
        <v>0.38369773983633298</v>
      </c>
      <c r="E2401" s="3">
        <v>-4.5629403537211104</v>
      </c>
      <c r="F2401" s="4">
        <v>5.0442148667754598E-6</v>
      </c>
      <c r="G2401" s="4">
        <v>5.5216372921556402E-5</v>
      </c>
      <c r="H2401" s="3" t="str">
        <f>"TMEM80"</f>
        <v>TMEM80</v>
      </c>
      <c r="I2401" s="3" t="str">
        <f t="shared" si="102"/>
        <v>protein_coding</v>
      </c>
    </row>
    <row r="2402" spans="1:9" x14ac:dyDescent="0.2">
      <c r="A2402" s="3" t="str">
        <f>"ENSG00000177595.18"</f>
        <v>ENSG00000177595.18</v>
      </c>
      <c r="B2402" s="3">
        <v>3717.2811871693202</v>
      </c>
      <c r="C2402" s="3">
        <v>3.8832808642411201</v>
      </c>
      <c r="D2402" s="3">
        <v>0.310075370448053</v>
      </c>
      <c r="E2402" s="3">
        <v>12.523667580013999</v>
      </c>
      <c r="F2402" s="4">
        <v>5.5414136714768702E-36</v>
      </c>
      <c r="G2402" s="4">
        <v>7.41458834606387E-34</v>
      </c>
      <c r="H2402" s="3" t="str">
        <f>"PIDD1"</f>
        <v>PIDD1</v>
      </c>
      <c r="I2402" s="3" t="str">
        <f t="shared" si="102"/>
        <v>protein_coding</v>
      </c>
    </row>
    <row r="2403" spans="1:9" x14ac:dyDescent="0.2">
      <c r="A2403" s="3" t="str">
        <f>"ENSG00000177685.17"</f>
        <v>ENSG00000177685.17</v>
      </c>
      <c r="B2403" s="3">
        <v>617.49894609243802</v>
      </c>
      <c r="C2403" s="3">
        <v>1.53578539753636</v>
      </c>
      <c r="D2403" s="3">
        <v>0.30522780693075602</v>
      </c>
      <c r="E2403" s="3">
        <v>5.0316038141464796</v>
      </c>
      <c r="F2403" s="4">
        <v>4.8639360716898404E-7</v>
      </c>
      <c r="G2403" s="4">
        <v>6.4805249938219197E-6</v>
      </c>
      <c r="H2403" s="3" t="str">
        <f>"CRACR2B"</f>
        <v>CRACR2B</v>
      </c>
      <c r="I2403" s="3" t="str">
        <f t="shared" si="102"/>
        <v>protein_coding</v>
      </c>
    </row>
    <row r="2404" spans="1:9" x14ac:dyDescent="0.2">
      <c r="A2404" s="3" t="str">
        <f>"ENSG00000214063.11"</f>
        <v>ENSG00000214063.11</v>
      </c>
      <c r="B2404" s="3">
        <v>760.05827518272395</v>
      </c>
      <c r="C2404" s="3">
        <v>1.5522271600861599</v>
      </c>
      <c r="D2404" s="3">
        <v>0.313752489932698</v>
      </c>
      <c r="E2404" s="3">
        <v>4.9472983000680504</v>
      </c>
      <c r="F2404" s="4">
        <v>7.5250612575205205E-7</v>
      </c>
      <c r="G2404" s="4">
        <v>9.6726068437878803E-6</v>
      </c>
      <c r="H2404" s="3" t="str">
        <f>"TSPAN4"</f>
        <v>TSPAN4</v>
      </c>
      <c r="I2404" s="3" t="str">
        <f t="shared" si="102"/>
        <v>protein_coding</v>
      </c>
    </row>
    <row r="2405" spans="1:9" x14ac:dyDescent="0.2">
      <c r="A2405" s="3" t="str">
        <f>"ENSG00000184956.16"</f>
        <v>ENSG00000184956.16</v>
      </c>
      <c r="B2405" s="3">
        <v>161.30065848102001</v>
      </c>
      <c r="C2405" s="3">
        <v>6.2427063084323997</v>
      </c>
      <c r="D2405" s="3">
        <v>0.59990308416724303</v>
      </c>
      <c r="E2405" s="3">
        <v>10.406191388561099</v>
      </c>
      <c r="F2405" s="4">
        <v>2.3233147057981799E-25</v>
      </c>
      <c r="G2405" s="4">
        <v>1.8494614374795399E-23</v>
      </c>
      <c r="H2405" s="3" t="str">
        <f>"MUC6"</f>
        <v>MUC6</v>
      </c>
      <c r="I2405" s="3" t="str">
        <f t="shared" si="102"/>
        <v>protein_coding</v>
      </c>
    </row>
    <row r="2406" spans="1:9" x14ac:dyDescent="0.2">
      <c r="A2406" s="3" t="str">
        <f>"ENSG00000198788.8"</f>
        <v>ENSG00000198788.8</v>
      </c>
      <c r="B2406" s="3">
        <v>1501.92982732932</v>
      </c>
      <c r="C2406" s="3">
        <v>10.6277993785283</v>
      </c>
      <c r="D2406" s="3">
        <v>0.76738333255168001</v>
      </c>
      <c r="E2406" s="3">
        <v>13.849400850535901</v>
      </c>
      <c r="F2406" s="4">
        <v>1.28277587174716E-43</v>
      </c>
      <c r="G2406" s="4">
        <v>2.5408052798267598E-41</v>
      </c>
      <c r="H2406" s="3" t="str">
        <f>"MUC2"</f>
        <v>MUC2</v>
      </c>
      <c r="I2406" s="3" t="str">
        <f t="shared" si="102"/>
        <v>protein_coding</v>
      </c>
    </row>
    <row r="2407" spans="1:9" x14ac:dyDescent="0.2">
      <c r="A2407" s="3" t="str">
        <f>"ENSG00000215182.8"</f>
        <v>ENSG00000215182.8</v>
      </c>
      <c r="B2407" s="3">
        <v>55.7293416147645</v>
      </c>
      <c r="C2407" s="3">
        <v>4.8280338185591498</v>
      </c>
      <c r="D2407" s="3">
        <v>0.69127031975285602</v>
      </c>
      <c r="E2407" s="3">
        <v>6.9842920787996103</v>
      </c>
      <c r="F2407" s="4">
        <v>2.8629589512243298E-12</v>
      </c>
      <c r="G2407" s="4">
        <v>7.8450688908548994E-11</v>
      </c>
      <c r="H2407" s="3" t="str">
        <f>"MUC5AC"</f>
        <v>MUC5AC</v>
      </c>
      <c r="I2407" s="3" t="str">
        <f t="shared" si="102"/>
        <v>protein_coding</v>
      </c>
    </row>
    <row r="2408" spans="1:9" x14ac:dyDescent="0.2">
      <c r="A2408" s="3" t="str">
        <f>"ENSG00000285581.1"</f>
        <v>ENSG00000285581.1</v>
      </c>
      <c r="B2408" s="3">
        <v>29.0732642552553</v>
      </c>
      <c r="C2408" s="3">
        <v>1.7869794787151501</v>
      </c>
      <c r="D2408" s="3">
        <v>0.66739762842738104</v>
      </c>
      <c r="E2408" s="3">
        <v>2.6775334562184301</v>
      </c>
      <c r="F2408" s="3">
        <v>7.4166445117276403E-3</v>
      </c>
      <c r="G2408" s="3">
        <v>3.2846072657131797E-2</v>
      </c>
      <c r="H2408" s="3" t="str">
        <f>"AC091196.1"</f>
        <v>AC091196.1</v>
      </c>
      <c r="I2408" s="3" t="str">
        <f>"lincRNA"</f>
        <v>lincRNA</v>
      </c>
    </row>
    <row r="2409" spans="1:9" x14ac:dyDescent="0.2">
      <c r="A2409" s="3" t="str">
        <f>"ENSG00000182208.14"</f>
        <v>ENSG00000182208.14</v>
      </c>
      <c r="B2409" s="3">
        <v>424.03554307731298</v>
      </c>
      <c r="C2409" s="3">
        <v>1.27326076668113</v>
      </c>
      <c r="D2409" s="3">
        <v>0.32554551578728502</v>
      </c>
      <c r="E2409" s="3">
        <v>3.9111605134598002</v>
      </c>
      <c r="F2409" s="4">
        <v>9.1853699376796794E-5</v>
      </c>
      <c r="G2409" s="3">
        <v>7.5312249277161795E-4</v>
      </c>
      <c r="H2409" s="3" t="str">
        <f>"MOB2"</f>
        <v>MOB2</v>
      </c>
      <c r="I2409" s="3" t="str">
        <f t="shared" ref="I2409:I2414" si="103">"protein_coding"</f>
        <v>protein_coding</v>
      </c>
    </row>
    <row r="2410" spans="1:9" x14ac:dyDescent="0.2">
      <c r="A2410" s="3" t="str">
        <f>"ENSG00000250644.3"</f>
        <v>ENSG00000250644.3</v>
      </c>
      <c r="B2410" s="3">
        <v>33.025444557469598</v>
      </c>
      <c r="C2410" s="3">
        <v>1.67007911276404</v>
      </c>
      <c r="D2410" s="3">
        <v>0.63589491757424899</v>
      </c>
      <c r="E2410" s="3">
        <v>2.6263444896444499</v>
      </c>
      <c r="F2410" s="3">
        <v>8.6307419819126995E-3</v>
      </c>
      <c r="G2410" s="3">
        <v>3.7399881921621698E-2</v>
      </c>
      <c r="H2410" s="3" t="str">
        <f>"AC068580.4"</f>
        <v>AC068580.4</v>
      </c>
      <c r="I2410" s="3" t="str">
        <f t="shared" si="103"/>
        <v>protein_coding</v>
      </c>
    </row>
    <row r="2411" spans="1:9" x14ac:dyDescent="0.2">
      <c r="A2411" s="3" t="str">
        <f>"ENSG00000149043.16"</f>
        <v>ENSG00000149043.16</v>
      </c>
      <c r="B2411" s="3">
        <v>570.80034192095695</v>
      </c>
      <c r="C2411" s="3">
        <v>8.6519727205327701</v>
      </c>
      <c r="D2411" s="3">
        <v>0.65493136933363505</v>
      </c>
      <c r="E2411" s="3">
        <v>13.210502849078299</v>
      </c>
      <c r="F2411" s="4">
        <v>7.6312921896394893E-40</v>
      </c>
      <c r="G2411" s="4">
        <v>1.25467421588485E-37</v>
      </c>
      <c r="H2411" s="3" t="str">
        <f>"SYT8"</f>
        <v>SYT8</v>
      </c>
      <c r="I2411" s="3" t="str">
        <f t="shared" si="103"/>
        <v>protein_coding</v>
      </c>
    </row>
    <row r="2412" spans="1:9" x14ac:dyDescent="0.2">
      <c r="A2412" s="3" t="str">
        <f>"ENSG00000130598.16"</f>
        <v>ENSG00000130598.16</v>
      </c>
      <c r="B2412" s="3">
        <v>785.13511486179596</v>
      </c>
      <c r="C2412" s="3">
        <v>10.690870638307899</v>
      </c>
      <c r="D2412" s="3">
        <v>1.06696025670254</v>
      </c>
      <c r="E2412" s="3">
        <v>10.019933330364401</v>
      </c>
      <c r="F2412" s="4">
        <v>1.2458695822492899E-23</v>
      </c>
      <c r="G2412" s="4">
        <v>8.5836334113448197E-22</v>
      </c>
      <c r="H2412" s="3" t="str">
        <f>"TNNI2"</f>
        <v>TNNI2</v>
      </c>
      <c r="I2412" s="3" t="str">
        <f t="shared" si="103"/>
        <v>protein_coding</v>
      </c>
    </row>
    <row r="2413" spans="1:9" x14ac:dyDescent="0.2">
      <c r="A2413" s="3" t="str">
        <f>"ENSG00000130592.15"</f>
        <v>ENSG00000130592.15</v>
      </c>
      <c r="B2413" s="3">
        <v>982.79411406018301</v>
      </c>
      <c r="C2413" s="3">
        <v>7.8399634082380398</v>
      </c>
      <c r="D2413" s="3">
        <v>0.42925650586458902</v>
      </c>
      <c r="E2413" s="3">
        <v>18.264052614525099</v>
      </c>
      <c r="F2413" s="4">
        <v>1.59965200195255E-74</v>
      </c>
      <c r="G2413" s="4">
        <v>1.0059811527279101E-71</v>
      </c>
      <c r="H2413" s="3" t="str">
        <f>"LSP1"</f>
        <v>LSP1</v>
      </c>
      <c r="I2413" s="3" t="str">
        <f t="shared" si="103"/>
        <v>protein_coding</v>
      </c>
    </row>
    <row r="2414" spans="1:9" x14ac:dyDescent="0.2">
      <c r="A2414" s="3" t="str">
        <f>"ENSG00000130595.19"</f>
        <v>ENSG00000130595.19</v>
      </c>
      <c r="B2414" s="3">
        <v>65.239177169154701</v>
      </c>
      <c r="C2414" s="3">
        <v>6.4897955306665702</v>
      </c>
      <c r="D2414" s="3">
        <v>0.94707584747709295</v>
      </c>
      <c r="E2414" s="3">
        <v>6.85245595477351</v>
      </c>
      <c r="F2414" s="4">
        <v>7.2592741658805296E-12</v>
      </c>
      <c r="G2414" s="4">
        <v>1.89426391745565E-10</v>
      </c>
      <c r="H2414" s="3" t="str">
        <f>"TNNT3"</f>
        <v>TNNT3</v>
      </c>
      <c r="I2414" s="3" t="str">
        <f t="shared" si="103"/>
        <v>protein_coding</v>
      </c>
    </row>
    <row r="2415" spans="1:9" x14ac:dyDescent="0.2">
      <c r="A2415" s="3" t="str">
        <f>"ENSG00000226416.1"</f>
        <v>ENSG00000226416.1</v>
      </c>
      <c r="B2415" s="3">
        <v>308.68832361135401</v>
      </c>
      <c r="C2415" s="3">
        <v>4.1795761750999798</v>
      </c>
      <c r="D2415" s="3">
        <v>0.36878172159962702</v>
      </c>
      <c r="E2415" s="3">
        <v>11.3334689066764</v>
      </c>
      <c r="F2415" s="4">
        <v>8.9585039058647093E-30</v>
      </c>
      <c r="G2415" s="4">
        <v>9.0140466300810697E-28</v>
      </c>
      <c r="H2415" s="3" t="str">
        <f>"MRPL23-AS1"</f>
        <v>MRPL23-AS1</v>
      </c>
      <c r="I2415" s="3" t="str">
        <f>"antisense"</f>
        <v>antisense</v>
      </c>
    </row>
    <row r="2416" spans="1:9" x14ac:dyDescent="0.2">
      <c r="A2416" s="3" t="str">
        <f>"ENSG00000070985.13"</f>
        <v>ENSG00000070985.13</v>
      </c>
      <c r="B2416" s="3">
        <v>17.500619040563102</v>
      </c>
      <c r="C2416" s="3">
        <v>3.7502838571032502</v>
      </c>
      <c r="D2416" s="3">
        <v>1.00418069009101</v>
      </c>
      <c r="E2416" s="3">
        <v>3.7346703577454501</v>
      </c>
      <c r="F2416" s="3">
        <v>1.8796122252561301E-4</v>
      </c>
      <c r="G2416" s="3">
        <v>1.41392480640903E-3</v>
      </c>
      <c r="H2416" s="3" t="str">
        <f>"TRPM5"</f>
        <v>TRPM5</v>
      </c>
      <c r="I2416" s="3" t="str">
        <f>"protein_coding"</f>
        <v>protein_coding</v>
      </c>
    </row>
    <row r="2417" spans="1:9" x14ac:dyDescent="0.2">
      <c r="A2417" s="3" t="str">
        <f>"ENSG00000053918.16"</f>
        <v>ENSG00000053918.16</v>
      </c>
      <c r="B2417" s="3">
        <v>30.475704649480001</v>
      </c>
      <c r="C2417" s="3">
        <v>2.9436968993367798</v>
      </c>
      <c r="D2417" s="3">
        <v>0.70189570566718695</v>
      </c>
      <c r="E2417" s="3">
        <v>4.1939235068244898</v>
      </c>
      <c r="F2417" s="4">
        <v>2.7417046978215201E-5</v>
      </c>
      <c r="G2417" s="3">
        <v>2.5496333335933599E-4</v>
      </c>
      <c r="H2417" s="3" t="str">
        <f>"KCNQ1"</f>
        <v>KCNQ1</v>
      </c>
      <c r="I2417" s="3" t="str">
        <f>"protein_coding"</f>
        <v>protein_coding</v>
      </c>
    </row>
    <row r="2418" spans="1:9" x14ac:dyDescent="0.2">
      <c r="A2418" s="3" t="str">
        <f>"ENSG00000269821.1"</f>
        <v>ENSG00000269821.1</v>
      </c>
      <c r="B2418" s="3">
        <v>42836.720168960601</v>
      </c>
      <c r="C2418" s="3">
        <v>1.5568266116532501</v>
      </c>
      <c r="D2418" s="3">
        <v>0.23314612330415099</v>
      </c>
      <c r="E2418" s="3">
        <v>6.6774715770087703</v>
      </c>
      <c r="F2418" s="4">
        <v>2.4309973807312301E-11</v>
      </c>
      <c r="G2418" s="4">
        <v>5.9893965829866902E-10</v>
      </c>
      <c r="H2418" s="3" t="str">
        <f>"KCNQ1OT1"</f>
        <v>KCNQ1OT1</v>
      </c>
      <c r="I2418" s="3" t="str">
        <f>"antisense"</f>
        <v>antisense</v>
      </c>
    </row>
    <row r="2419" spans="1:9" x14ac:dyDescent="0.2">
      <c r="A2419" s="3" t="str">
        <f>"ENSG00000224513.2"</f>
        <v>ENSG00000224513.2</v>
      </c>
      <c r="B2419" s="3">
        <v>4.2643059520803197</v>
      </c>
      <c r="C2419" s="3">
        <v>5.6066377597746202</v>
      </c>
      <c r="D2419" s="3">
        <v>2.1190187218197001</v>
      </c>
      <c r="E2419" s="3">
        <v>2.64586513655714</v>
      </c>
      <c r="F2419" s="3">
        <v>8.1482294920486899E-3</v>
      </c>
      <c r="G2419" s="3">
        <v>3.5560151435198598E-2</v>
      </c>
      <c r="H2419" s="3" t="str">
        <f>"AC109309.1"</f>
        <v>AC109309.1</v>
      </c>
      <c r="I2419" s="3" t="str">
        <f>"antisense"</f>
        <v>antisense</v>
      </c>
    </row>
    <row r="2420" spans="1:9" x14ac:dyDescent="0.2">
      <c r="A2420" s="3" t="str">
        <f>"ENSG00000005801.18"</f>
        <v>ENSG00000005801.18</v>
      </c>
      <c r="B2420" s="3">
        <v>3548.2682769561502</v>
      </c>
      <c r="C2420" s="3">
        <v>1.4689938975605401</v>
      </c>
      <c r="D2420" s="3">
        <v>0.26745414248965899</v>
      </c>
      <c r="E2420" s="3">
        <v>5.4925075524576696</v>
      </c>
      <c r="F2420" s="4">
        <v>3.9626659973817502E-8</v>
      </c>
      <c r="G2420" s="4">
        <v>6.32894369296113E-7</v>
      </c>
      <c r="H2420" s="3" t="str">
        <f>"ZNF195"</f>
        <v>ZNF195</v>
      </c>
      <c r="I2420" s="3" t="str">
        <f>"protein_coding"</f>
        <v>protein_coding</v>
      </c>
    </row>
    <row r="2421" spans="1:9" x14ac:dyDescent="0.2">
      <c r="A2421" s="3" t="str">
        <f>"ENSG00000223756.6"</f>
        <v>ENSG00000223756.6</v>
      </c>
      <c r="B2421" s="3">
        <v>26.518372188627801</v>
      </c>
      <c r="C2421" s="3">
        <v>2.0171721018165099</v>
      </c>
      <c r="D2421" s="3">
        <v>0.69327888882955402</v>
      </c>
      <c r="E2421" s="3">
        <v>2.9096113185013501</v>
      </c>
      <c r="F2421" s="3">
        <v>3.6187848941242602E-3</v>
      </c>
      <c r="G2421" s="3">
        <v>1.8115529156556402E-2</v>
      </c>
      <c r="H2421" s="3" t="str">
        <f>"TSSC2"</f>
        <v>TSSC2</v>
      </c>
      <c r="I2421" s="3" t="str">
        <f>"transcribed_unprocessed_pseudogene"</f>
        <v>transcribed_unprocessed_pseudogene</v>
      </c>
    </row>
    <row r="2422" spans="1:9" x14ac:dyDescent="0.2">
      <c r="A2422" s="3" t="str">
        <f>"ENSG00000254757.1"</f>
        <v>ENSG00000254757.1</v>
      </c>
      <c r="B2422" s="3">
        <v>26.550543224829699</v>
      </c>
      <c r="C2422" s="3">
        <v>8.24842728875422</v>
      </c>
      <c r="D2422" s="3">
        <v>1.58051709638574</v>
      </c>
      <c r="E2422" s="3">
        <v>5.21881560637107</v>
      </c>
      <c r="F2422" s="4">
        <v>1.8007092579323401E-7</v>
      </c>
      <c r="G2422" s="4">
        <v>2.5928357975551201E-6</v>
      </c>
      <c r="H2422" s="3" t="str">
        <f>"AC127526.1"</f>
        <v>AC127526.1</v>
      </c>
      <c r="I2422" s="3" t="str">
        <f>"lincRNA"</f>
        <v>lincRNA</v>
      </c>
    </row>
    <row r="2423" spans="1:9" x14ac:dyDescent="0.2">
      <c r="A2423" s="3" t="str">
        <f>"ENSG00000132256.18"</f>
        <v>ENSG00000132256.18</v>
      </c>
      <c r="B2423" s="3">
        <v>1188.5580463633801</v>
      </c>
      <c r="C2423" s="3">
        <v>1.26554510825691</v>
      </c>
      <c r="D2423" s="3">
        <v>0.25319092454480302</v>
      </c>
      <c r="E2423" s="3">
        <v>4.9983825863117302</v>
      </c>
      <c r="F2423" s="4">
        <v>5.7813192165637503E-7</v>
      </c>
      <c r="G2423" s="4">
        <v>7.5783785770016304E-6</v>
      </c>
      <c r="H2423" s="3" t="str">
        <f>"TRIM5"</f>
        <v>TRIM5</v>
      </c>
      <c r="I2423" s="3" t="str">
        <f>"protein_coding"</f>
        <v>protein_coding</v>
      </c>
    </row>
    <row r="2424" spans="1:9" x14ac:dyDescent="0.2">
      <c r="A2424" s="3" t="str">
        <f>"ENSG00000132274.16"</f>
        <v>ENSG00000132274.16</v>
      </c>
      <c r="B2424" s="3">
        <v>851.11799062040905</v>
      </c>
      <c r="C2424" s="3">
        <v>7.9066769307250704</v>
      </c>
      <c r="D2424" s="3">
        <v>0.461904479049983</v>
      </c>
      <c r="E2424" s="3">
        <v>17.117558476564401</v>
      </c>
      <c r="F2424" s="4">
        <v>1.09784222664178E-65</v>
      </c>
      <c r="G2424" s="4">
        <v>4.8449510896796603E-63</v>
      </c>
      <c r="H2424" s="3" t="str">
        <f>"TRIM22"</f>
        <v>TRIM22</v>
      </c>
      <c r="I2424" s="3" t="str">
        <f>"protein_coding"</f>
        <v>protein_coding</v>
      </c>
    </row>
    <row r="2425" spans="1:9" x14ac:dyDescent="0.2">
      <c r="A2425" s="3" t="str">
        <f>"ENSG00000181109.3"</f>
        <v>ENSG00000181109.3</v>
      </c>
      <c r="B2425" s="3">
        <v>20.379038807769501</v>
      </c>
      <c r="C2425" s="3">
        <v>7.8679997264679304</v>
      </c>
      <c r="D2425" s="3">
        <v>1.6136499942163101</v>
      </c>
      <c r="E2425" s="3">
        <v>4.8759023051272896</v>
      </c>
      <c r="F2425" s="4">
        <v>1.0831220718747201E-6</v>
      </c>
      <c r="G2425" s="4">
        <v>1.34348795453691E-5</v>
      </c>
      <c r="H2425" s="3" t="str">
        <f>"OR52P1P"</f>
        <v>OR52P1P</v>
      </c>
      <c r="I2425" s="3" t="str">
        <f>"unprocessed_pseudogene"</f>
        <v>unprocessed_pseudogene</v>
      </c>
    </row>
    <row r="2426" spans="1:9" x14ac:dyDescent="0.2">
      <c r="A2426" s="3" t="str">
        <f>"ENSG00000181023.7"</f>
        <v>ENSG00000181023.7</v>
      </c>
      <c r="B2426" s="3">
        <v>27.3154682456892</v>
      </c>
      <c r="C2426" s="3">
        <v>8.2882914681710496</v>
      </c>
      <c r="D2426" s="3">
        <v>1.5829840663099</v>
      </c>
      <c r="E2426" s="3">
        <v>5.2358653789181204</v>
      </c>
      <c r="F2426" s="4">
        <v>1.6421361587781899E-7</v>
      </c>
      <c r="G2426" s="4">
        <v>2.3794893475844098E-6</v>
      </c>
      <c r="H2426" s="3" t="str">
        <f>"OR56B1"</f>
        <v>OR56B1</v>
      </c>
      <c r="I2426" s="3" t="str">
        <f>"protein_coding"</f>
        <v>protein_coding</v>
      </c>
    </row>
    <row r="2427" spans="1:9" x14ac:dyDescent="0.2">
      <c r="A2427" s="3" t="str">
        <f>"ENSG00000181074.4"</f>
        <v>ENSG00000181074.4</v>
      </c>
      <c r="B2427" s="3">
        <v>90.069416724083993</v>
      </c>
      <c r="C2427" s="3">
        <v>6.5641178010984804</v>
      </c>
      <c r="D2427" s="3">
        <v>0.83708852733182504</v>
      </c>
      <c r="E2427" s="3">
        <v>7.8416052624938697</v>
      </c>
      <c r="F2427" s="4">
        <v>4.4482281434176504E-15</v>
      </c>
      <c r="G2427" s="4">
        <v>1.62638341493708E-13</v>
      </c>
      <c r="H2427" s="3" t="str">
        <f>"OR52N4"</f>
        <v>OR52N4</v>
      </c>
      <c r="I2427" s="3" t="str">
        <f>"protein_coding"</f>
        <v>protein_coding</v>
      </c>
    </row>
    <row r="2428" spans="1:9" x14ac:dyDescent="0.2">
      <c r="A2428" s="3" t="str">
        <f>"ENSG00000181017.5"</f>
        <v>ENSG00000181017.5</v>
      </c>
      <c r="B2428" s="3">
        <v>21.654827108529599</v>
      </c>
      <c r="C2428" s="3">
        <v>5.4818083783417402</v>
      </c>
      <c r="D2428" s="3">
        <v>1.23410469400777</v>
      </c>
      <c r="E2428" s="3">
        <v>4.4419313895804899</v>
      </c>
      <c r="F2428" s="4">
        <v>8.9154990708006806E-6</v>
      </c>
      <c r="G2428" s="4">
        <v>9.2558555148985203E-5</v>
      </c>
      <c r="H2428" s="3" t="str">
        <f>"OR56B2P"</f>
        <v>OR56B2P</v>
      </c>
      <c r="I2428" s="3" t="str">
        <f>"transcribed_unprocessed_pseudogene"</f>
        <v>transcribed_unprocessed_pseudogene</v>
      </c>
    </row>
    <row r="2429" spans="1:9" x14ac:dyDescent="0.2">
      <c r="A2429" s="3" t="str">
        <f>"ENSG00000166313.19"</f>
        <v>ENSG00000166313.19</v>
      </c>
      <c r="B2429" s="3">
        <v>101.31964664739399</v>
      </c>
      <c r="C2429" s="3">
        <v>-2.2646410290241299</v>
      </c>
      <c r="D2429" s="3">
        <v>0.44179474327816098</v>
      </c>
      <c r="E2429" s="3">
        <v>-5.1260026595614603</v>
      </c>
      <c r="F2429" s="4">
        <v>2.9595842640787899E-7</v>
      </c>
      <c r="G2429" s="4">
        <v>4.0883219199836398E-6</v>
      </c>
      <c r="H2429" s="3" t="str">
        <f>"APBB1"</f>
        <v>APBB1</v>
      </c>
      <c r="I2429" s="3" t="str">
        <f t="shared" ref="I2429:I2434" si="104">"protein_coding"</f>
        <v>protein_coding</v>
      </c>
    </row>
    <row r="2430" spans="1:9" x14ac:dyDescent="0.2">
      <c r="A2430" s="3" t="str">
        <f>"ENSG00000110171.20"</f>
        <v>ENSG00000110171.20</v>
      </c>
      <c r="B2430" s="3">
        <v>771.63000229375598</v>
      </c>
      <c r="C2430" s="3">
        <v>2.8562434976947402</v>
      </c>
      <c r="D2430" s="3">
        <v>0.34613369087421703</v>
      </c>
      <c r="E2430" s="3">
        <v>8.2518505797018307</v>
      </c>
      <c r="F2430" s="4">
        <v>1.5596034740616301E-16</v>
      </c>
      <c r="G2430" s="4">
        <v>6.62699753209802E-15</v>
      </c>
      <c r="H2430" s="3" t="str">
        <f>"TRIM3"</f>
        <v>TRIM3</v>
      </c>
      <c r="I2430" s="3" t="str">
        <f t="shared" si="104"/>
        <v>protein_coding</v>
      </c>
    </row>
    <row r="2431" spans="1:9" x14ac:dyDescent="0.2">
      <c r="A2431" s="3" t="str">
        <f>"ENSG00000166405.15"</f>
        <v>ENSG00000166405.15</v>
      </c>
      <c r="B2431" s="3">
        <v>67.937752659322399</v>
      </c>
      <c r="C2431" s="3">
        <v>3.2637672531533601</v>
      </c>
      <c r="D2431" s="3">
        <v>0.54541296530974204</v>
      </c>
      <c r="E2431" s="3">
        <v>5.9840294616022902</v>
      </c>
      <c r="F2431" s="4">
        <v>2.1768391321477399E-9</v>
      </c>
      <c r="G2431" s="4">
        <v>4.20118487794892E-8</v>
      </c>
      <c r="H2431" s="3" t="str">
        <f>"RIC3"</f>
        <v>RIC3</v>
      </c>
      <c r="I2431" s="3" t="str">
        <f t="shared" si="104"/>
        <v>protein_coding</v>
      </c>
    </row>
    <row r="2432" spans="1:9" x14ac:dyDescent="0.2">
      <c r="A2432" s="3" t="str">
        <f>"ENSG00000166436.16"</f>
        <v>ENSG00000166436.16</v>
      </c>
      <c r="B2432" s="3">
        <v>1562.8699232793299</v>
      </c>
      <c r="C2432" s="3">
        <v>1.27627020642722</v>
      </c>
      <c r="D2432" s="3">
        <v>0.25766970114590998</v>
      </c>
      <c r="E2432" s="3">
        <v>4.9531248755728203</v>
      </c>
      <c r="F2432" s="4">
        <v>7.3031073803148899E-7</v>
      </c>
      <c r="G2432" s="4">
        <v>9.3969138696583699E-6</v>
      </c>
      <c r="H2432" s="3" t="str">
        <f>"TRIM66"</f>
        <v>TRIM66</v>
      </c>
      <c r="I2432" s="3" t="str">
        <f t="shared" si="104"/>
        <v>protein_coding</v>
      </c>
    </row>
    <row r="2433" spans="1:9" x14ac:dyDescent="0.2">
      <c r="A2433" s="3" t="str">
        <f>"ENSG00000166483.11"</f>
        <v>ENSG00000166483.11</v>
      </c>
      <c r="B2433" s="3">
        <v>1981.6858434879</v>
      </c>
      <c r="C2433" s="3">
        <v>-1.12890694637759</v>
      </c>
      <c r="D2433" s="3">
        <v>0.28405312254356402</v>
      </c>
      <c r="E2433" s="3">
        <v>-3.974281064995</v>
      </c>
      <c r="F2433" s="4">
        <v>7.0592162295292905E-5</v>
      </c>
      <c r="G2433" s="3">
        <v>5.9749187164808001E-4</v>
      </c>
      <c r="H2433" s="3" t="str">
        <f>"WEE1"</f>
        <v>WEE1</v>
      </c>
      <c r="I2433" s="3" t="str">
        <f t="shared" si="104"/>
        <v>protein_coding</v>
      </c>
    </row>
    <row r="2434" spans="1:9" x14ac:dyDescent="0.2">
      <c r="A2434" s="3" t="str">
        <f>"ENSG00000133812.15"</f>
        <v>ENSG00000133812.15</v>
      </c>
      <c r="B2434" s="3">
        <v>2713.31420705755</v>
      </c>
      <c r="C2434" s="3">
        <v>2.6518030637584098</v>
      </c>
      <c r="D2434" s="3">
        <v>0.26739988679475302</v>
      </c>
      <c r="E2434" s="3">
        <v>9.9169939656475599</v>
      </c>
      <c r="F2434" s="4">
        <v>3.5117326652982697E-23</v>
      </c>
      <c r="G2434" s="4">
        <v>2.35567027188208E-21</v>
      </c>
      <c r="H2434" s="3" t="str">
        <f>"SBF2"</f>
        <v>SBF2</v>
      </c>
      <c r="I2434" s="3" t="str">
        <f t="shared" si="104"/>
        <v>protein_coding</v>
      </c>
    </row>
    <row r="2435" spans="1:9" x14ac:dyDescent="0.2">
      <c r="A2435" s="3" t="str">
        <f>"ENSG00000251381.7"</f>
        <v>ENSG00000251381.7</v>
      </c>
      <c r="B2435" s="3">
        <v>849.87354643309095</v>
      </c>
      <c r="C2435" s="3">
        <v>2.1234158411829802</v>
      </c>
      <c r="D2435" s="3">
        <v>0.329436883593409</v>
      </c>
      <c r="E2435" s="3">
        <v>6.4455923029058901</v>
      </c>
      <c r="F2435" s="4">
        <v>1.15149820237865E-10</v>
      </c>
      <c r="G2435" s="4">
        <v>2.62372620297418E-9</v>
      </c>
      <c r="H2435" s="3" t="str">
        <f>"LINC00958"</f>
        <v>LINC00958</v>
      </c>
      <c r="I2435" s="3" t="str">
        <f>"lincRNA"</f>
        <v>lincRNA</v>
      </c>
    </row>
    <row r="2436" spans="1:9" x14ac:dyDescent="0.2">
      <c r="A2436" s="3" t="str">
        <f>"ENSG00000148925.10"</f>
        <v>ENSG00000148925.10</v>
      </c>
      <c r="B2436" s="3">
        <v>1627.29342564034</v>
      </c>
      <c r="C2436" s="3">
        <v>1.8914402293768899</v>
      </c>
      <c r="D2436" s="3">
        <v>0.257736737124513</v>
      </c>
      <c r="E2436" s="3">
        <v>7.3386520310573102</v>
      </c>
      <c r="F2436" s="4">
        <v>2.1575573742349601E-13</v>
      </c>
      <c r="G2436" s="4">
        <v>6.7672513402593903E-12</v>
      </c>
      <c r="H2436" s="3" t="str">
        <f>"BTBD10"</f>
        <v>BTBD10</v>
      </c>
      <c r="I2436" s="3" t="str">
        <f>"protein_coding"</f>
        <v>protein_coding</v>
      </c>
    </row>
    <row r="2437" spans="1:9" x14ac:dyDescent="0.2">
      <c r="A2437" s="3" t="str">
        <f>"ENSG00000254418.1"</f>
        <v>ENSG00000254418.1</v>
      </c>
      <c r="B2437" s="3">
        <v>30.967069631680101</v>
      </c>
      <c r="C2437" s="3">
        <v>2.0114811278157001</v>
      </c>
      <c r="D2437" s="3">
        <v>0.64919809742467505</v>
      </c>
      <c r="E2437" s="3">
        <v>3.098408845921</v>
      </c>
      <c r="F2437" s="3">
        <v>1.9456281287755701E-3</v>
      </c>
      <c r="G2437" s="3">
        <v>1.0695427355627099E-2</v>
      </c>
      <c r="H2437" s="3" t="str">
        <f>"SPON1-AS1"</f>
        <v>SPON1-AS1</v>
      </c>
      <c r="I2437" s="3" t="str">
        <f>"antisense"</f>
        <v>antisense</v>
      </c>
    </row>
    <row r="2438" spans="1:9" x14ac:dyDescent="0.2">
      <c r="A2438" s="3" t="str">
        <f>"ENSG00000184669.9"</f>
        <v>ENSG00000184669.9</v>
      </c>
      <c r="B2438" s="3">
        <v>150.422159043867</v>
      </c>
      <c r="C2438" s="3">
        <v>-1.3741113673616101</v>
      </c>
      <c r="D2438" s="3">
        <v>0.35178625922887502</v>
      </c>
      <c r="E2438" s="3">
        <v>-3.9060973284564802</v>
      </c>
      <c r="F2438" s="4">
        <v>9.3798743940039101E-5</v>
      </c>
      <c r="G2438" s="3">
        <v>7.6731948091436901E-4</v>
      </c>
      <c r="H2438" s="3" t="str">
        <f>"OR7E14P"</f>
        <v>OR7E14P</v>
      </c>
      <c r="I2438" s="3" t="str">
        <f>"transcribed_unprocessed_pseudogene"</f>
        <v>transcribed_unprocessed_pseudogene</v>
      </c>
    </row>
    <row r="2439" spans="1:9" x14ac:dyDescent="0.2">
      <c r="A2439" s="3" t="str">
        <f>"ENSG00000070081.16"</f>
        <v>ENSG00000070081.16</v>
      </c>
      <c r="B2439" s="3">
        <v>1006.6061794779</v>
      </c>
      <c r="C2439" s="3">
        <v>-1.5918580307089001</v>
      </c>
      <c r="D2439" s="3">
        <v>0.28599778742056098</v>
      </c>
      <c r="E2439" s="3">
        <v>-5.5659802303577699</v>
      </c>
      <c r="F2439" s="4">
        <v>2.6068279946407301E-8</v>
      </c>
      <c r="G2439" s="4">
        <v>4.2971663306151701E-7</v>
      </c>
      <c r="H2439" s="3" t="str">
        <f>"NUCB2"</f>
        <v>NUCB2</v>
      </c>
      <c r="I2439" s="3" t="str">
        <f>"protein_coding"</f>
        <v>protein_coding</v>
      </c>
    </row>
    <row r="2440" spans="1:9" x14ac:dyDescent="0.2">
      <c r="A2440" s="3" t="str">
        <f>"ENSG00000197149.5"</f>
        <v>ENSG00000197149.5</v>
      </c>
      <c r="B2440" s="3">
        <v>26.549223643262302</v>
      </c>
      <c r="C2440" s="3">
        <v>-2.2217734952735402</v>
      </c>
      <c r="D2440" s="3">
        <v>0.74368736443005301</v>
      </c>
      <c r="E2440" s="3">
        <v>-2.9875100768671299</v>
      </c>
      <c r="F2440" s="3">
        <v>2.81260022533618E-3</v>
      </c>
      <c r="G2440" s="3">
        <v>1.45908349491301E-2</v>
      </c>
      <c r="H2440" s="3" t="str">
        <f>"AC107956.1"</f>
        <v>AC107956.1</v>
      </c>
      <c r="I2440" s="3" t="str">
        <f>"processed_pseudogene"</f>
        <v>processed_pseudogene</v>
      </c>
    </row>
    <row r="2441" spans="1:9" x14ac:dyDescent="0.2">
      <c r="A2441" s="3" t="str">
        <f>"ENSG00000188211.8"</f>
        <v>ENSG00000188211.8</v>
      </c>
      <c r="B2441" s="3">
        <v>3695.3388248604201</v>
      </c>
      <c r="C2441" s="3">
        <v>-1.7358683337118701</v>
      </c>
      <c r="D2441" s="3">
        <v>0.26347765049843802</v>
      </c>
      <c r="E2441" s="3">
        <v>-6.5882944167295197</v>
      </c>
      <c r="F2441" s="4">
        <v>4.4490774532136501E-11</v>
      </c>
      <c r="G2441" s="4">
        <v>1.0658718412913299E-9</v>
      </c>
      <c r="H2441" s="3" t="str">
        <f>"NCR3LG1"</f>
        <v>NCR3LG1</v>
      </c>
      <c r="I2441" s="3" t="str">
        <f>"protein_coding"</f>
        <v>protein_coding</v>
      </c>
    </row>
    <row r="2442" spans="1:9" x14ac:dyDescent="0.2">
      <c r="A2442" s="3" t="str">
        <f>"ENSG00000260196.1"</f>
        <v>ENSG00000260196.1</v>
      </c>
      <c r="B2442" s="3">
        <v>455.19073089436603</v>
      </c>
      <c r="C2442" s="3">
        <v>-1.84603860441676</v>
      </c>
      <c r="D2442" s="3">
        <v>0.353069977806172</v>
      </c>
      <c r="E2442" s="3">
        <v>-5.2285346261590098</v>
      </c>
      <c r="F2442" s="4">
        <v>1.7085883746098299E-7</v>
      </c>
      <c r="G2442" s="4">
        <v>2.4658370948542902E-6</v>
      </c>
      <c r="H2442" s="3" t="str">
        <f>"AC124798.1"</f>
        <v>AC124798.1</v>
      </c>
      <c r="I2442" s="3" t="str">
        <f>"antisense"</f>
        <v>antisense</v>
      </c>
    </row>
    <row r="2443" spans="1:9" x14ac:dyDescent="0.2">
      <c r="A2443" s="3" t="str">
        <f>"ENSG00000179826.6"</f>
        <v>ENSG00000179826.6</v>
      </c>
      <c r="B2443" s="3">
        <v>46.093916693472003</v>
      </c>
      <c r="C2443" s="3">
        <v>-1.53505078361143</v>
      </c>
      <c r="D2443" s="3">
        <v>0.56715656808358195</v>
      </c>
      <c r="E2443" s="3">
        <v>-2.70657322862073</v>
      </c>
      <c r="F2443" s="3">
        <v>6.7981587496478996E-3</v>
      </c>
      <c r="G2443" s="3">
        <v>3.05370863120344E-2</v>
      </c>
      <c r="H2443" s="3" t="str">
        <f>"MRGPRX3"</f>
        <v>MRGPRX3</v>
      </c>
      <c r="I2443" s="3" t="str">
        <f>"protein_coding"</f>
        <v>protein_coding</v>
      </c>
    </row>
    <row r="2444" spans="1:9" x14ac:dyDescent="0.2">
      <c r="A2444" s="3" t="str">
        <f>"ENSG00000148965.10"</f>
        <v>ENSG00000148965.10</v>
      </c>
      <c r="B2444" s="3">
        <v>29.9722866739979</v>
      </c>
      <c r="C2444" s="3">
        <v>3.1186409092229899</v>
      </c>
      <c r="D2444" s="3">
        <v>0.71367479648382004</v>
      </c>
      <c r="E2444" s="3">
        <v>4.3698347266683903</v>
      </c>
      <c r="F2444" s="4">
        <v>1.24340608572909E-5</v>
      </c>
      <c r="G2444" s="3">
        <v>1.24315898595053E-4</v>
      </c>
      <c r="H2444" s="3" t="str">
        <f>"SAA4"</f>
        <v>SAA4</v>
      </c>
      <c r="I2444" s="3" t="str">
        <f>"protein_coding"</f>
        <v>protein_coding</v>
      </c>
    </row>
    <row r="2445" spans="1:9" x14ac:dyDescent="0.2">
      <c r="A2445" s="3" t="str">
        <f>"ENSG00000148935.11"</f>
        <v>ENSG00000148935.11</v>
      </c>
      <c r="B2445" s="3">
        <v>601.03862486842502</v>
      </c>
      <c r="C2445" s="3">
        <v>-2.1088815214916701</v>
      </c>
      <c r="D2445" s="3">
        <v>0.29020565538475501</v>
      </c>
      <c r="E2445" s="3">
        <v>-7.2668519112617496</v>
      </c>
      <c r="F2445" s="4">
        <v>3.6796180519661499E-13</v>
      </c>
      <c r="G2445" s="4">
        <v>1.1205907033560399E-11</v>
      </c>
      <c r="H2445" s="3" t="str">
        <f>"GAS2"</f>
        <v>GAS2</v>
      </c>
      <c r="I2445" s="3" t="str">
        <f>"protein_coding"</f>
        <v>protein_coding</v>
      </c>
    </row>
    <row r="2446" spans="1:9" x14ac:dyDescent="0.2">
      <c r="A2446" s="3" t="str">
        <f>"ENSG00000198168.9"</f>
        <v>ENSG00000198168.9</v>
      </c>
      <c r="B2446" s="3">
        <v>673.20729057097799</v>
      </c>
      <c r="C2446" s="3">
        <v>-2.2368441785422299</v>
      </c>
      <c r="D2446" s="3">
        <v>0.27159508437985802</v>
      </c>
      <c r="E2446" s="3">
        <v>-8.2359523687613301</v>
      </c>
      <c r="F2446" s="4">
        <v>1.7813480261706E-16</v>
      </c>
      <c r="G2446" s="4">
        <v>7.5310604366926995E-15</v>
      </c>
      <c r="H2446" s="3" t="str">
        <f>"SVIP"</f>
        <v>SVIP</v>
      </c>
      <c r="I2446" s="3" t="str">
        <f>"protein_coding"</f>
        <v>protein_coding</v>
      </c>
    </row>
    <row r="2447" spans="1:9" x14ac:dyDescent="0.2">
      <c r="A2447" s="3" t="str">
        <f>"ENSG00000245573.8"</f>
        <v>ENSG00000245573.8</v>
      </c>
      <c r="B2447" s="3">
        <v>74.100884189511802</v>
      </c>
      <c r="C2447" s="3">
        <v>1.6286292259409001</v>
      </c>
      <c r="D2447" s="3">
        <v>0.45962612488291499</v>
      </c>
      <c r="E2447" s="3">
        <v>3.5433782758884198</v>
      </c>
      <c r="F2447" s="3">
        <v>3.9503562648514199E-4</v>
      </c>
      <c r="G2447" s="3">
        <v>2.7247384656522398E-3</v>
      </c>
      <c r="H2447" s="3" t="str">
        <f>"BDNF-AS"</f>
        <v>BDNF-AS</v>
      </c>
      <c r="I2447" s="3" t="str">
        <f>"processed_transcript"</f>
        <v>processed_transcript</v>
      </c>
    </row>
    <row r="2448" spans="1:9" x14ac:dyDescent="0.2">
      <c r="A2448" s="3" t="str">
        <f>"ENSG00000049449.9"</f>
        <v>ENSG00000049449.9</v>
      </c>
      <c r="B2448" s="3">
        <v>1382.92228698087</v>
      </c>
      <c r="C2448" s="3">
        <v>-1.37233874131849</v>
      </c>
      <c r="D2448" s="3">
        <v>0.24565338954111901</v>
      </c>
      <c r="E2448" s="3">
        <v>-5.5864840451907698</v>
      </c>
      <c r="F2448" s="4">
        <v>2.3171282519559799E-8</v>
      </c>
      <c r="G2448" s="4">
        <v>3.8498917554790398E-7</v>
      </c>
      <c r="H2448" s="3" t="str">
        <f>"RCN1"</f>
        <v>RCN1</v>
      </c>
      <c r="I2448" s="3" t="str">
        <f>"protein_coding"</f>
        <v>protein_coding</v>
      </c>
    </row>
    <row r="2449" spans="1:9" x14ac:dyDescent="0.2">
      <c r="A2449" s="3" t="str">
        <f>"ENSG00000184937.14"</f>
        <v>ENSG00000184937.14</v>
      </c>
      <c r="B2449" s="3">
        <v>84.825457005482903</v>
      </c>
      <c r="C2449" s="3">
        <v>-1.17153003118536</v>
      </c>
      <c r="D2449" s="3">
        <v>0.436936131601942</v>
      </c>
      <c r="E2449" s="3">
        <v>-2.68123862151241</v>
      </c>
      <c r="F2449" s="3">
        <v>7.3350191058764403E-3</v>
      </c>
      <c r="G2449" s="3">
        <v>3.2531439060432703E-2</v>
      </c>
      <c r="H2449" s="3" t="str">
        <f>"WT1"</f>
        <v>WT1</v>
      </c>
      <c r="I2449" s="3" t="str">
        <f>"protein_coding"</f>
        <v>protein_coding</v>
      </c>
    </row>
    <row r="2450" spans="1:9" x14ac:dyDescent="0.2">
      <c r="A2450" s="3" t="str">
        <f>"ENSG00000176148.16"</f>
        <v>ENSG00000176148.16</v>
      </c>
      <c r="B2450" s="3">
        <v>1102.6008721917401</v>
      </c>
      <c r="C2450" s="3">
        <v>1.2364453163453299</v>
      </c>
      <c r="D2450" s="3">
        <v>0.249980356960841</v>
      </c>
      <c r="E2450" s="3">
        <v>4.9461698966171896</v>
      </c>
      <c r="F2450" s="4">
        <v>7.5687906372829701E-7</v>
      </c>
      <c r="G2450" s="4">
        <v>9.7238472155696193E-6</v>
      </c>
      <c r="H2450" s="3" t="str">
        <f>"TCP11L1"</f>
        <v>TCP11L1</v>
      </c>
      <c r="I2450" s="3" t="str">
        <f>"protein_coding"</f>
        <v>protein_coding</v>
      </c>
    </row>
    <row r="2451" spans="1:9" x14ac:dyDescent="0.2">
      <c r="A2451" s="3" t="str">
        <f>"ENSG00000280798.1"</f>
        <v>ENSG00000280798.1</v>
      </c>
      <c r="B2451" s="3">
        <v>556.61227863333102</v>
      </c>
      <c r="C2451" s="3">
        <v>1.2653459311669399</v>
      </c>
      <c r="D2451" s="3">
        <v>0.28062964675197899</v>
      </c>
      <c r="E2451" s="3">
        <v>4.5089531552069104</v>
      </c>
      <c r="F2451" s="4">
        <v>6.5148290553384802E-6</v>
      </c>
      <c r="G2451" s="4">
        <v>6.9825532546672101E-5</v>
      </c>
      <c r="H2451" s="3" t="str">
        <f>"LINC00294"</f>
        <v>LINC00294</v>
      </c>
      <c r="I2451" s="3" t="str">
        <f>"lincRNA"</f>
        <v>lincRNA</v>
      </c>
    </row>
    <row r="2452" spans="1:9" x14ac:dyDescent="0.2">
      <c r="A2452" s="3" t="str">
        <f>"ENSG00000110427.15"</f>
        <v>ENSG00000110427.15</v>
      </c>
      <c r="B2452" s="3">
        <v>71.204895665254099</v>
      </c>
      <c r="C2452" s="3">
        <v>-2.2062289431281701</v>
      </c>
      <c r="D2452" s="3">
        <v>0.46711847359375502</v>
      </c>
      <c r="E2452" s="3">
        <v>-4.7230607818925403</v>
      </c>
      <c r="F2452" s="4">
        <v>2.3232137796894401E-6</v>
      </c>
      <c r="G2452" s="4">
        <v>2.70682920926762E-5</v>
      </c>
      <c r="H2452" s="3" t="str">
        <f>"KIAA1549L"</f>
        <v>KIAA1549L</v>
      </c>
      <c r="I2452" s="3" t="str">
        <f>"protein_coding"</f>
        <v>protein_coding</v>
      </c>
    </row>
    <row r="2453" spans="1:9" x14ac:dyDescent="0.2">
      <c r="A2453" s="3" t="str">
        <f>"ENSG00000166016.6"</f>
        <v>ENSG00000166016.6</v>
      </c>
      <c r="B2453" s="3">
        <v>2108.1263911623801</v>
      </c>
      <c r="C2453" s="3">
        <v>1.06761808374357</v>
      </c>
      <c r="D2453" s="3">
        <v>0.282766062302581</v>
      </c>
      <c r="E2453" s="3">
        <v>3.7756231248187699</v>
      </c>
      <c r="F2453" s="3">
        <v>1.59608160094974E-4</v>
      </c>
      <c r="G2453" s="3">
        <v>1.2249253684322801E-3</v>
      </c>
      <c r="H2453" s="3" t="str">
        <f>"ABTB2"</f>
        <v>ABTB2</v>
      </c>
      <c r="I2453" s="3" t="str">
        <f>"protein_coding"</f>
        <v>protein_coding</v>
      </c>
    </row>
    <row r="2454" spans="1:9" x14ac:dyDescent="0.2">
      <c r="A2454" s="3" t="str">
        <f>"ENSG00000254708.1"</f>
        <v>ENSG00000254708.1</v>
      </c>
      <c r="B2454" s="3">
        <v>233.81424305927899</v>
      </c>
      <c r="C2454" s="3">
        <v>1.4369234577700301</v>
      </c>
      <c r="D2454" s="3">
        <v>0.37375903584477399</v>
      </c>
      <c r="E2454" s="3">
        <v>3.8445183125065698</v>
      </c>
      <c r="F2454" s="3">
        <v>1.2078946529921899E-4</v>
      </c>
      <c r="G2454" s="3">
        <v>9.6001864126440701E-4</v>
      </c>
      <c r="H2454" s="3" t="str">
        <f>"AL139174.1"</f>
        <v>AL139174.1</v>
      </c>
      <c r="I2454" s="3" t="str">
        <f>"processed_pseudogene"</f>
        <v>processed_pseudogene</v>
      </c>
    </row>
    <row r="2455" spans="1:9" x14ac:dyDescent="0.2">
      <c r="A2455" s="3" t="str">
        <f>"ENSG00000179431.6"</f>
        <v>ENSG00000179431.6</v>
      </c>
      <c r="B2455" s="3">
        <v>298.42665553111101</v>
      </c>
      <c r="C2455" s="3">
        <v>1.71491729525443</v>
      </c>
      <c r="D2455" s="3">
        <v>0.301254237299168</v>
      </c>
      <c r="E2455" s="3">
        <v>5.6925914491001501</v>
      </c>
      <c r="F2455" s="4">
        <v>1.2512554125805201E-8</v>
      </c>
      <c r="G2455" s="4">
        <v>2.1767171440845799E-7</v>
      </c>
      <c r="H2455" s="3" t="str">
        <f>"FJX1"</f>
        <v>FJX1</v>
      </c>
      <c r="I2455" s="3" t="str">
        <f t="shared" ref="I2455:I2475" si="105">"protein_coding"</f>
        <v>protein_coding</v>
      </c>
    </row>
    <row r="2456" spans="1:9" x14ac:dyDescent="0.2">
      <c r="A2456" s="3" t="str">
        <f>"ENSG00000135362.14"</f>
        <v>ENSG00000135362.14</v>
      </c>
      <c r="B2456" s="3">
        <v>29.173925797108399</v>
      </c>
      <c r="C2456" s="3">
        <v>2.0488304316079602</v>
      </c>
      <c r="D2456" s="3">
        <v>0.66675217623921801</v>
      </c>
      <c r="E2456" s="3">
        <v>3.0728515100832299</v>
      </c>
      <c r="F2456" s="3">
        <v>2.1202396120937198E-3</v>
      </c>
      <c r="G2456" s="3">
        <v>1.1506931486994099E-2</v>
      </c>
      <c r="H2456" s="3" t="str">
        <f>"PRR5L"</f>
        <v>PRR5L</v>
      </c>
      <c r="I2456" s="3" t="str">
        <f t="shared" si="105"/>
        <v>protein_coding</v>
      </c>
    </row>
    <row r="2457" spans="1:9" x14ac:dyDescent="0.2">
      <c r="A2457" s="3" t="str">
        <f>"ENSG00000085117.12"</f>
        <v>ENSG00000085117.12</v>
      </c>
      <c r="B2457" s="3">
        <v>84.099125837237807</v>
      </c>
      <c r="C2457" s="3">
        <v>3.37581907401808</v>
      </c>
      <c r="D2457" s="3">
        <v>0.48029896064212901</v>
      </c>
      <c r="E2457" s="3">
        <v>7.0285787616629998</v>
      </c>
      <c r="F2457" s="4">
        <v>2.0864783596783101E-12</v>
      </c>
      <c r="G2457" s="4">
        <v>5.79840471159965E-11</v>
      </c>
      <c r="H2457" s="3" t="str">
        <f>"CD82"</f>
        <v>CD82</v>
      </c>
      <c r="I2457" s="3" t="str">
        <f t="shared" si="105"/>
        <v>protein_coding</v>
      </c>
    </row>
    <row r="2458" spans="1:9" x14ac:dyDescent="0.2">
      <c r="A2458" s="3" t="str">
        <f>"ENSG00000157570.11"</f>
        <v>ENSG00000157570.11</v>
      </c>
      <c r="B2458" s="3">
        <v>134.673527636058</v>
      </c>
      <c r="C2458" s="3">
        <v>4.7143457701398503</v>
      </c>
      <c r="D2458" s="3">
        <v>0.47599504141252502</v>
      </c>
      <c r="E2458" s="3">
        <v>9.9041909263380994</v>
      </c>
      <c r="F2458" s="4">
        <v>3.9918790227460798E-23</v>
      </c>
      <c r="G2458" s="4">
        <v>2.6635468651771198E-21</v>
      </c>
      <c r="H2458" s="3" t="str">
        <f>"TSPAN18"</f>
        <v>TSPAN18</v>
      </c>
      <c r="I2458" s="3" t="str">
        <f t="shared" si="105"/>
        <v>protein_coding</v>
      </c>
    </row>
    <row r="2459" spans="1:9" x14ac:dyDescent="0.2">
      <c r="A2459" s="3" t="str">
        <f>"ENSG00000175274.18"</f>
        <v>ENSG00000175274.18</v>
      </c>
      <c r="B2459" s="3">
        <v>311.49960191683999</v>
      </c>
      <c r="C2459" s="3">
        <v>8.7822184590358905</v>
      </c>
      <c r="D2459" s="3">
        <v>0.88921176238451505</v>
      </c>
      <c r="E2459" s="3">
        <v>9.8764083321226401</v>
      </c>
      <c r="F2459" s="4">
        <v>5.2687577276153098E-23</v>
      </c>
      <c r="G2459" s="4">
        <v>3.4514479332854999E-21</v>
      </c>
      <c r="H2459" s="3" t="str">
        <f>"TP53I11"</f>
        <v>TP53I11</v>
      </c>
      <c r="I2459" s="3" t="str">
        <f t="shared" si="105"/>
        <v>protein_coding</v>
      </c>
    </row>
    <row r="2460" spans="1:9" x14ac:dyDescent="0.2">
      <c r="A2460" s="3" t="str">
        <f>"ENSG00000181830.8"</f>
        <v>ENSG00000181830.8</v>
      </c>
      <c r="B2460" s="3">
        <v>601.42422322484003</v>
      </c>
      <c r="C2460" s="3">
        <v>-1.310363618832</v>
      </c>
      <c r="D2460" s="3">
        <v>0.297251823897908</v>
      </c>
      <c r="E2460" s="3">
        <v>-4.40826098776789</v>
      </c>
      <c r="F2460" s="4">
        <v>1.04203931072285E-5</v>
      </c>
      <c r="G2460" s="3">
        <v>1.06080529588156E-4</v>
      </c>
      <c r="H2460" s="3" t="str">
        <f>"SLC35C1"</f>
        <v>SLC35C1</v>
      </c>
      <c r="I2460" s="3" t="str">
        <f t="shared" si="105"/>
        <v>protein_coding</v>
      </c>
    </row>
    <row r="2461" spans="1:9" x14ac:dyDescent="0.2">
      <c r="A2461" s="3" t="str">
        <f>"ENSG00000165905.18"</f>
        <v>ENSG00000165905.18</v>
      </c>
      <c r="B2461" s="3">
        <v>456.09662732603101</v>
      </c>
      <c r="C2461" s="3">
        <v>-1.4225776849636</v>
      </c>
      <c r="D2461" s="3">
        <v>0.35155836546476998</v>
      </c>
      <c r="E2461" s="3">
        <v>-4.0464907813612001</v>
      </c>
      <c r="F2461" s="4">
        <v>5.19911712080756E-5</v>
      </c>
      <c r="G2461" s="3">
        <v>4.5458391092775201E-4</v>
      </c>
      <c r="H2461" s="3" t="str">
        <f>"LARGE2"</f>
        <v>LARGE2</v>
      </c>
      <c r="I2461" s="3" t="str">
        <f t="shared" si="105"/>
        <v>protein_coding</v>
      </c>
    </row>
    <row r="2462" spans="1:9" x14ac:dyDescent="0.2">
      <c r="A2462" s="3" t="str">
        <f>"ENSG00000135365.15"</f>
        <v>ENSG00000135365.15</v>
      </c>
      <c r="B2462" s="3">
        <v>811.82800674691998</v>
      </c>
      <c r="C2462" s="3">
        <v>1.32846993444659</v>
      </c>
      <c r="D2462" s="3">
        <v>0.26187929026955598</v>
      </c>
      <c r="E2462" s="3">
        <v>5.0728331097857202</v>
      </c>
      <c r="F2462" s="4">
        <v>3.91936215236265E-7</v>
      </c>
      <c r="G2462" s="4">
        <v>5.2977729684407601E-6</v>
      </c>
      <c r="H2462" s="3" t="str">
        <f>"PHF21A"</f>
        <v>PHF21A</v>
      </c>
      <c r="I2462" s="3" t="str">
        <f t="shared" si="105"/>
        <v>protein_coding</v>
      </c>
    </row>
    <row r="2463" spans="1:9" x14ac:dyDescent="0.2">
      <c r="A2463" s="3" t="str">
        <f>"ENSG00000149091.15"</f>
        <v>ENSG00000149091.15</v>
      </c>
      <c r="B2463" s="3">
        <v>3764.3819181159301</v>
      </c>
      <c r="C2463" s="3">
        <v>1.3436146285030099</v>
      </c>
      <c r="D2463" s="3">
        <v>0.28984113639002901</v>
      </c>
      <c r="E2463" s="3">
        <v>4.6356933499424304</v>
      </c>
      <c r="F2463" s="4">
        <v>3.5574301932828901E-6</v>
      </c>
      <c r="G2463" s="4">
        <v>4.0182827351608098E-5</v>
      </c>
      <c r="H2463" s="3" t="str">
        <f>"DGKZ"</f>
        <v>DGKZ</v>
      </c>
      <c r="I2463" s="3" t="str">
        <f t="shared" si="105"/>
        <v>protein_coding</v>
      </c>
    </row>
    <row r="2464" spans="1:9" x14ac:dyDescent="0.2">
      <c r="A2464" s="3" t="str">
        <f>"ENSG00000134569.10"</f>
        <v>ENSG00000134569.10</v>
      </c>
      <c r="B2464" s="3">
        <v>2101.28803106023</v>
      </c>
      <c r="C2464" s="3">
        <v>-2.33918551836565</v>
      </c>
      <c r="D2464" s="3">
        <v>0.26720558199437</v>
      </c>
      <c r="E2464" s="3">
        <v>-8.7542539377599606</v>
      </c>
      <c r="F2464" s="4">
        <v>2.0545802834525698E-18</v>
      </c>
      <c r="G2464" s="4">
        <v>9.93903212120181E-17</v>
      </c>
      <c r="H2464" s="3" t="str">
        <f>"LRP4"</f>
        <v>LRP4</v>
      </c>
      <c r="I2464" s="3" t="str">
        <f t="shared" si="105"/>
        <v>protein_coding</v>
      </c>
    </row>
    <row r="2465" spans="1:9" x14ac:dyDescent="0.2">
      <c r="A2465" s="3" t="str">
        <f>"ENSG00000134574.11"</f>
        <v>ENSG00000134574.11</v>
      </c>
      <c r="B2465" s="3">
        <v>4455.2218670945404</v>
      </c>
      <c r="C2465" s="3">
        <v>4.5476402371461297</v>
      </c>
      <c r="D2465" s="3">
        <v>0.27730058700914101</v>
      </c>
      <c r="E2465" s="3">
        <v>16.399677642933401</v>
      </c>
      <c r="F2465" s="4">
        <v>1.9225547977922499E-60</v>
      </c>
      <c r="G2465" s="4">
        <v>7.2181889460394093E-58</v>
      </c>
      <c r="H2465" s="3" t="str">
        <f>"DDB2"</f>
        <v>DDB2</v>
      </c>
      <c r="I2465" s="3" t="str">
        <f t="shared" si="105"/>
        <v>protein_coding</v>
      </c>
    </row>
    <row r="2466" spans="1:9" x14ac:dyDescent="0.2">
      <c r="A2466" s="3" t="str">
        <f>"ENSG00000030066.13"</f>
        <v>ENSG00000030066.13</v>
      </c>
      <c r="B2466" s="3">
        <v>4396.5429637432298</v>
      </c>
      <c r="C2466" s="3">
        <v>-1.0735844847057401</v>
      </c>
      <c r="D2466" s="3">
        <v>0.24178343412263401</v>
      </c>
      <c r="E2466" s="3">
        <v>-4.4402731254169199</v>
      </c>
      <c r="F2466" s="4">
        <v>8.9844777935068606E-6</v>
      </c>
      <c r="G2466" s="4">
        <v>9.3054848636228504E-5</v>
      </c>
      <c r="H2466" s="3" t="str">
        <f>"NUP160"</f>
        <v>NUP160</v>
      </c>
      <c r="I2466" s="3" t="str">
        <f t="shared" si="105"/>
        <v>protein_coding</v>
      </c>
    </row>
    <row r="2467" spans="1:9" x14ac:dyDescent="0.2">
      <c r="A2467" s="3" t="str">
        <f>"ENSG00000149177.13"</f>
        <v>ENSG00000149177.13</v>
      </c>
      <c r="B2467" s="3">
        <v>245.85551860615399</v>
      </c>
      <c r="C2467" s="3">
        <v>-1.6677042597173499</v>
      </c>
      <c r="D2467" s="3">
        <v>0.32101315785429202</v>
      </c>
      <c r="E2467" s="3">
        <v>-5.1951274236376204</v>
      </c>
      <c r="F2467" s="4">
        <v>2.0457966513098599E-7</v>
      </c>
      <c r="G2467" s="4">
        <v>2.9126090982847399E-6</v>
      </c>
      <c r="H2467" s="3" t="str">
        <f>"PTPRJ"</f>
        <v>PTPRJ</v>
      </c>
      <c r="I2467" s="3" t="str">
        <f t="shared" si="105"/>
        <v>protein_coding</v>
      </c>
    </row>
    <row r="2468" spans="1:9" x14ac:dyDescent="0.2">
      <c r="A2468" s="3" t="str">
        <f>"ENSG00000149115.14"</f>
        <v>ENSG00000149115.14</v>
      </c>
      <c r="B2468" s="3">
        <v>712.49172086030899</v>
      </c>
      <c r="C2468" s="3">
        <v>-1.2581477292515399</v>
      </c>
      <c r="D2468" s="3">
        <v>0.30936339831530901</v>
      </c>
      <c r="E2468" s="3">
        <v>-4.0668926450349003</v>
      </c>
      <c r="F2468" s="4">
        <v>4.76441779526765E-5</v>
      </c>
      <c r="G2468" s="3">
        <v>4.2022766353421402E-4</v>
      </c>
      <c r="H2468" s="3" t="str">
        <f>"TNKS1BP1"</f>
        <v>TNKS1BP1</v>
      </c>
      <c r="I2468" s="3" t="str">
        <f t="shared" si="105"/>
        <v>protein_coding</v>
      </c>
    </row>
    <row r="2469" spans="1:9" x14ac:dyDescent="0.2">
      <c r="A2469" s="3" t="str">
        <f>"ENSG00000149150.9"</f>
        <v>ENSG00000149150.9</v>
      </c>
      <c r="B2469" s="3">
        <v>1321.7050004452301</v>
      </c>
      <c r="C2469" s="3">
        <v>-1.0793555482994199</v>
      </c>
      <c r="D2469" s="3">
        <v>0.31270059607476702</v>
      </c>
      <c r="E2469" s="3">
        <v>-3.4517220684841399</v>
      </c>
      <c r="F2469" s="3">
        <v>5.5702117409345698E-4</v>
      </c>
      <c r="G2469" s="3">
        <v>3.6747620336535299E-3</v>
      </c>
      <c r="H2469" s="3" t="str">
        <f>"SLC43A1"</f>
        <v>SLC43A1</v>
      </c>
      <c r="I2469" s="3" t="str">
        <f t="shared" si="105"/>
        <v>protein_coding</v>
      </c>
    </row>
    <row r="2470" spans="1:9" x14ac:dyDescent="0.2">
      <c r="A2470" s="3" t="str">
        <f>"ENSG00000156587.16"</f>
        <v>ENSG00000156587.16</v>
      </c>
      <c r="B2470" s="3">
        <v>654.73034638163006</v>
      </c>
      <c r="C2470" s="3">
        <v>-1.6548400622842601</v>
      </c>
      <c r="D2470" s="3">
        <v>0.30415433576253398</v>
      </c>
      <c r="E2470" s="3">
        <v>-5.4407906372121104</v>
      </c>
      <c r="F2470" s="4">
        <v>5.30446239006409E-8</v>
      </c>
      <c r="G2470" s="4">
        <v>8.2878106473330505E-7</v>
      </c>
      <c r="H2470" s="3" t="str">
        <f>"UBE2L6"</f>
        <v>UBE2L6</v>
      </c>
      <c r="I2470" s="3" t="str">
        <f t="shared" si="105"/>
        <v>protein_coding</v>
      </c>
    </row>
    <row r="2471" spans="1:9" x14ac:dyDescent="0.2">
      <c r="A2471" s="3" t="str">
        <f>"ENSG00000149131.15"</f>
        <v>ENSG00000149131.15</v>
      </c>
      <c r="B2471" s="3">
        <v>123.65405309866701</v>
      </c>
      <c r="C2471" s="3">
        <v>-1.5662702626025</v>
      </c>
      <c r="D2471" s="3">
        <v>0.46183011848391198</v>
      </c>
      <c r="E2471" s="3">
        <v>-3.3914424371979499</v>
      </c>
      <c r="F2471" s="3">
        <v>6.9525765975567502E-4</v>
      </c>
      <c r="G2471" s="3">
        <v>4.4740870890647199E-3</v>
      </c>
      <c r="H2471" s="3" t="str">
        <f>"SERPING1"</f>
        <v>SERPING1</v>
      </c>
      <c r="I2471" s="3" t="str">
        <f t="shared" si="105"/>
        <v>protein_coding</v>
      </c>
    </row>
    <row r="2472" spans="1:9" x14ac:dyDescent="0.2">
      <c r="A2472" s="3" t="str">
        <f>"ENSG00000172409.6"</f>
        <v>ENSG00000172409.6</v>
      </c>
      <c r="B2472" s="3">
        <v>914.74892442077498</v>
      </c>
      <c r="C2472" s="3">
        <v>1.0193506452523799</v>
      </c>
      <c r="D2472" s="3">
        <v>0.26294764852059699</v>
      </c>
      <c r="E2472" s="3">
        <v>3.8766296294622902</v>
      </c>
      <c r="F2472" s="3">
        <v>1.05913393170637E-4</v>
      </c>
      <c r="G2472" s="3">
        <v>8.5467227782684899E-4</v>
      </c>
      <c r="H2472" s="3" t="str">
        <f>"CLP1"</f>
        <v>CLP1</v>
      </c>
      <c r="I2472" s="3" t="str">
        <f t="shared" si="105"/>
        <v>protein_coding</v>
      </c>
    </row>
    <row r="2473" spans="1:9" x14ac:dyDescent="0.2">
      <c r="A2473" s="3" t="str">
        <f>"ENSG00000211450.10"</f>
        <v>ENSG00000211450.10</v>
      </c>
      <c r="B2473" s="3">
        <v>399.799960168366</v>
      </c>
      <c r="C2473" s="3">
        <v>1.58258554491606</v>
      </c>
      <c r="D2473" s="3">
        <v>0.36042612436489702</v>
      </c>
      <c r="E2473" s="3">
        <v>4.3908735741747904</v>
      </c>
      <c r="F2473" s="4">
        <v>1.1289617122680501E-5</v>
      </c>
      <c r="G2473" s="3">
        <v>1.13960802054988E-4</v>
      </c>
      <c r="H2473" s="3" t="str">
        <f>"SELENOH"</f>
        <v>SELENOH</v>
      </c>
      <c r="I2473" s="3" t="str">
        <f t="shared" si="105"/>
        <v>protein_coding</v>
      </c>
    </row>
    <row r="2474" spans="1:9" x14ac:dyDescent="0.2">
      <c r="A2474" s="3" t="str">
        <f>"ENSG00000254732.1"</f>
        <v>ENSG00000254732.1</v>
      </c>
      <c r="B2474" s="3">
        <v>43.576203000088903</v>
      </c>
      <c r="C2474" s="3">
        <v>1.41471593807458</v>
      </c>
      <c r="D2474" s="3">
        <v>0.54513030744726498</v>
      </c>
      <c r="E2474" s="3">
        <v>2.5951885608771401</v>
      </c>
      <c r="F2474" s="3">
        <v>9.4539037743815099E-3</v>
      </c>
      <c r="G2474" s="3">
        <v>4.0334625075401399E-2</v>
      </c>
      <c r="H2474" s="3" t="str">
        <f>"AP001931.1"</f>
        <v>AP001931.1</v>
      </c>
      <c r="I2474" s="3" t="str">
        <f t="shared" si="105"/>
        <v>protein_coding</v>
      </c>
    </row>
    <row r="2475" spans="1:9" x14ac:dyDescent="0.2">
      <c r="A2475" s="3" t="str">
        <f>"ENSG00000189057.11"</f>
        <v>ENSG00000189057.11</v>
      </c>
      <c r="B2475" s="3">
        <v>1129.4584033782101</v>
      </c>
      <c r="C2475" s="3">
        <v>-3.79102444668478</v>
      </c>
      <c r="D2475" s="3">
        <v>0.32152448483012602</v>
      </c>
      <c r="E2475" s="3">
        <v>-11.7907799422732</v>
      </c>
      <c r="F2475" s="4">
        <v>4.3548921104784902E-32</v>
      </c>
      <c r="G2475" s="4">
        <v>4.9124354726047703E-30</v>
      </c>
      <c r="H2475" s="3" t="str">
        <f>"FAM111B"</f>
        <v>FAM111B</v>
      </c>
      <c r="I2475" s="3" t="str">
        <f t="shared" si="105"/>
        <v>protein_coding</v>
      </c>
    </row>
    <row r="2476" spans="1:9" x14ac:dyDescent="0.2">
      <c r="A2476" s="3" t="str">
        <f>"ENSG00000245571.6"</f>
        <v>ENSG00000245571.6</v>
      </c>
      <c r="B2476" s="3">
        <v>197.114543563089</v>
      </c>
      <c r="C2476" s="3">
        <v>-1.5341578004315199</v>
      </c>
      <c r="D2476" s="3">
        <v>0.33731378408232499</v>
      </c>
      <c r="E2476" s="3">
        <v>-4.5481621944542301</v>
      </c>
      <c r="F2476" s="4">
        <v>5.4116422141227902E-6</v>
      </c>
      <c r="G2476" s="4">
        <v>5.8930675279765699E-5</v>
      </c>
      <c r="H2476" s="3" t="str">
        <f>"FAM111A-DT"</f>
        <v>FAM111A-DT</v>
      </c>
      <c r="I2476" s="3" t="str">
        <f>"lincRNA"</f>
        <v>lincRNA</v>
      </c>
    </row>
    <row r="2477" spans="1:9" x14ac:dyDescent="0.2">
      <c r="A2477" s="3" t="str">
        <f>"ENSG00000110042.8"</f>
        <v>ENSG00000110042.8</v>
      </c>
      <c r="B2477" s="3">
        <v>1250.5149718202299</v>
      </c>
      <c r="C2477" s="3">
        <v>1.57028742197287</v>
      </c>
      <c r="D2477" s="3">
        <v>0.27032348925919703</v>
      </c>
      <c r="E2477" s="3">
        <v>5.8089196254314901</v>
      </c>
      <c r="F2477" s="4">
        <v>6.2877263843136904E-9</v>
      </c>
      <c r="G2477" s="4">
        <v>1.14531323097329E-7</v>
      </c>
      <c r="H2477" s="3" t="str">
        <f>"DTX4"</f>
        <v>DTX4</v>
      </c>
      <c r="I2477" s="3" t="str">
        <f>"protein_coding"</f>
        <v>protein_coding</v>
      </c>
    </row>
    <row r="2478" spans="1:9" x14ac:dyDescent="0.2">
      <c r="A2478" s="3" t="str">
        <f>"ENSG00000234964.4"</f>
        <v>ENSG00000234964.4</v>
      </c>
      <c r="B2478" s="3">
        <v>274.79668365281901</v>
      </c>
      <c r="C2478" s="3">
        <v>-1.75565476110325</v>
      </c>
      <c r="D2478" s="3">
        <v>0.31264924886435602</v>
      </c>
      <c r="E2478" s="3">
        <v>-5.6154133345285704</v>
      </c>
      <c r="F2478" s="4">
        <v>1.96092923306651E-8</v>
      </c>
      <c r="G2478" s="4">
        <v>3.3061109154013402E-7</v>
      </c>
      <c r="H2478" s="3" t="str">
        <f>"FABP5P7"</f>
        <v>FABP5P7</v>
      </c>
      <c r="I2478" s="3" t="str">
        <f>"processed_pseudogene"</f>
        <v>processed_pseudogene</v>
      </c>
    </row>
    <row r="2479" spans="1:9" x14ac:dyDescent="0.2">
      <c r="A2479" s="3" t="str">
        <f>"ENSG00000149506.11"</f>
        <v>ENSG00000149506.11</v>
      </c>
      <c r="B2479" s="3">
        <v>14.198689383580801</v>
      </c>
      <c r="C2479" s="3">
        <v>3.49413224267209</v>
      </c>
      <c r="D2479" s="3">
        <v>1.0653682351863001</v>
      </c>
      <c r="E2479" s="3">
        <v>3.2797413394450201</v>
      </c>
      <c r="F2479" s="3">
        <v>1.0390229994340901E-3</v>
      </c>
      <c r="G2479" s="3">
        <v>6.3101457148151997E-3</v>
      </c>
      <c r="H2479" s="3" t="str">
        <f>"ZP1"</f>
        <v>ZP1</v>
      </c>
      <c r="I2479" s="3" t="str">
        <f>"protein_coding"</f>
        <v>protein_coding</v>
      </c>
    </row>
    <row r="2480" spans="1:9" x14ac:dyDescent="0.2">
      <c r="A2480" s="3" t="str">
        <f>"ENSG00000110108.10"</f>
        <v>ENSG00000110108.10</v>
      </c>
      <c r="B2480" s="3">
        <v>909.245924910648</v>
      </c>
      <c r="C2480" s="3">
        <v>-1.66359224899771</v>
      </c>
      <c r="D2480" s="3">
        <v>0.29069720357274298</v>
      </c>
      <c r="E2480" s="3">
        <v>-5.7227666057730602</v>
      </c>
      <c r="F2480" s="4">
        <v>1.0480319659637799E-8</v>
      </c>
      <c r="G2480" s="4">
        <v>1.8410086664677999E-7</v>
      </c>
      <c r="H2480" s="3" t="str">
        <f>"TMEM109"</f>
        <v>TMEM109</v>
      </c>
      <c r="I2480" s="3" t="str">
        <f>"protein_coding"</f>
        <v>protein_coding</v>
      </c>
    </row>
    <row r="2481" spans="1:9" x14ac:dyDescent="0.2">
      <c r="A2481" s="3" t="str">
        <f>"ENSG00000167992.13"</f>
        <v>ENSG00000167992.13</v>
      </c>
      <c r="B2481" s="3">
        <v>4125.6703616038103</v>
      </c>
      <c r="C2481" s="3">
        <v>2.1925461218156301</v>
      </c>
      <c r="D2481" s="3">
        <v>0.30034459117602802</v>
      </c>
      <c r="E2481" s="3">
        <v>7.3001019037183301</v>
      </c>
      <c r="F2481" s="4">
        <v>2.8754986030890902E-13</v>
      </c>
      <c r="G2481" s="4">
        <v>8.9300206618155698E-12</v>
      </c>
      <c r="H2481" s="3" t="str">
        <f>"VWCE"</f>
        <v>VWCE</v>
      </c>
      <c r="I2481" s="3" t="str">
        <f>"protein_coding"</f>
        <v>protein_coding</v>
      </c>
    </row>
    <row r="2482" spans="1:9" x14ac:dyDescent="0.2">
      <c r="A2482" s="3" t="str">
        <f>"ENSG00000243742.5"</f>
        <v>ENSG00000243742.5</v>
      </c>
      <c r="B2482" s="3">
        <v>53.358374770707897</v>
      </c>
      <c r="C2482" s="3">
        <v>1.5560671381131801</v>
      </c>
      <c r="D2482" s="3">
        <v>0.51395284943081698</v>
      </c>
      <c r="E2482" s="3">
        <v>3.0276457068706999</v>
      </c>
      <c r="F2482" s="3">
        <v>2.4646686233445298E-3</v>
      </c>
      <c r="G2482" s="3">
        <v>1.30661199621142E-2</v>
      </c>
      <c r="H2482" s="3" t="str">
        <f>"RPLP0P2"</f>
        <v>RPLP0P2</v>
      </c>
      <c r="I2482" s="3" t="str">
        <f>"transcribed_processed_pseudogene"</f>
        <v>transcribed_processed_pseudogene</v>
      </c>
    </row>
    <row r="2483" spans="1:9" x14ac:dyDescent="0.2">
      <c r="A2483" s="3" t="str">
        <f>"ENSG00000168496.4"</f>
        <v>ENSG00000168496.4</v>
      </c>
      <c r="B2483" s="3">
        <v>2957.6575429592699</v>
      </c>
      <c r="C2483" s="3">
        <v>-1.4216994168808199</v>
      </c>
      <c r="D2483" s="3">
        <v>0.26154747433374298</v>
      </c>
      <c r="E2483" s="3">
        <v>-5.4357222164060603</v>
      </c>
      <c r="F2483" s="4">
        <v>5.4574922071995199E-8</v>
      </c>
      <c r="G2483" s="4">
        <v>8.5057754939345701E-7</v>
      </c>
      <c r="H2483" s="3" t="str">
        <f>"FEN1"</f>
        <v>FEN1</v>
      </c>
      <c r="I2483" s="3" t="str">
        <f>"protein_coding"</f>
        <v>protein_coding</v>
      </c>
    </row>
    <row r="2484" spans="1:9" x14ac:dyDescent="0.2">
      <c r="A2484" s="3" t="str">
        <f>"ENSG00000221968.9"</f>
        <v>ENSG00000221968.9</v>
      </c>
      <c r="B2484" s="3">
        <v>2931.8444212967902</v>
      </c>
      <c r="C2484" s="3">
        <v>3.7621557738232698</v>
      </c>
      <c r="D2484" s="3">
        <v>0.302055327957993</v>
      </c>
      <c r="E2484" s="3">
        <v>12.455187595123199</v>
      </c>
      <c r="F2484" s="4">
        <v>1.3104299153654499E-35</v>
      </c>
      <c r="G2484" s="4">
        <v>1.7258567812051301E-33</v>
      </c>
      <c r="H2484" s="3" t="str">
        <f>"FADS3"</f>
        <v>FADS3</v>
      </c>
      <c r="I2484" s="3" t="str">
        <f>"protein_coding"</f>
        <v>protein_coding</v>
      </c>
    </row>
    <row r="2485" spans="1:9" x14ac:dyDescent="0.2">
      <c r="A2485" s="3" t="str">
        <f>"ENSG00000167994.12"</f>
        <v>ENSG00000167994.12</v>
      </c>
      <c r="B2485" s="3">
        <v>134.30554312690299</v>
      </c>
      <c r="C2485" s="3">
        <v>-1.0937916766648501</v>
      </c>
      <c r="D2485" s="3">
        <v>0.434312282970303</v>
      </c>
      <c r="E2485" s="3">
        <v>-2.5184451823105398</v>
      </c>
      <c r="F2485" s="3">
        <v>1.17874230319751E-2</v>
      </c>
      <c r="G2485" s="3">
        <v>4.8354961899760997E-2</v>
      </c>
      <c r="H2485" s="3" t="str">
        <f>"RAB3IL1"</f>
        <v>RAB3IL1</v>
      </c>
      <c r="I2485" s="3" t="str">
        <f>"protein_coding"</f>
        <v>protein_coding</v>
      </c>
    </row>
    <row r="2486" spans="1:9" x14ac:dyDescent="0.2">
      <c r="A2486" s="3" t="str">
        <f>"ENSG00000162174.12"</f>
        <v>ENSG00000162174.12</v>
      </c>
      <c r="B2486" s="3">
        <v>1442.7655578486699</v>
      </c>
      <c r="C2486" s="3">
        <v>-1.2133271664801899</v>
      </c>
      <c r="D2486" s="3">
        <v>0.26151253650726303</v>
      </c>
      <c r="E2486" s="3">
        <v>-4.6396520131894103</v>
      </c>
      <c r="F2486" s="4">
        <v>3.4899634320867501E-6</v>
      </c>
      <c r="G2486" s="4">
        <v>3.9473934412833797E-5</v>
      </c>
      <c r="H2486" s="3" t="str">
        <f>"ASRGL1"</f>
        <v>ASRGL1</v>
      </c>
      <c r="I2486" s="3" t="str">
        <f>"protein_coding"</f>
        <v>protein_coding</v>
      </c>
    </row>
    <row r="2487" spans="1:9" x14ac:dyDescent="0.2">
      <c r="A2487" s="3" t="str">
        <f>"ENSG00000149021.7"</f>
        <v>ENSG00000149021.7</v>
      </c>
      <c r="B2487" s="3">
        <v>13.4477234570187</v>
      </c>
      <c r="C2487" s="3">
        <v>7.2679281797192097</v>
      </c>
      <c r="D2487" s="3">
        <v>1.6865590647390001</v>
      </c>
      <c r="E2487" s="3">
        <v>4.3093232437987199</v>
      </c>
      <c r="F2487" s="4">
        <v>1.6375487651462202E-5</v>
      </c>
      <c r="G2487" s="3">
        <v>1.6003317477565301E-4</v>
      </c>
      <c r="H2487" s="3" t="str">
        <f>"SCGB1A1"</f>
        <v>SCGB1A1</v>
      </c>
      <c r="I2487" s="3" t="str">
        <f>"protein_coding"</f>
        <v>protein_coding</v>
      </c>
    </row>
    <row r="2488" spans="1:9" x14ac:dyDescent="0.2">
      <c r="A2488" s="3" t="str">
        <f>"ENSG00000252361.1"</f>
        <v>ENSG00000252361.1</v>
      </c>
      <c r="B2488" s="3">
        <v>29.111722387508099</v>
      </c>
      <c r="C2488" s="3">
        <v>1.8307721893492399</v>
      </c>
      <c r="D2488" s="3">
        <v>0.72428564419626695</v>
      </c>
      <c r="E2488" s="3">
        <v>2.5276936026819001</v>
      </c>
      <c r="F2488" s="3">
        <v>1.14814502236989E-2</v>
      </c>
      <c r="G2488" s="3">
        <v>4.7339105126560699E-2</v>
      </c>
      <c r="H2488" s="3" t="str">
        <f>"RNU6-118P"</f>
        <v>RNU6-118P</v>
      </c>
      <c r="I2488" s="3" t="str">
        <f>"snRNA"</f>
        <v>snRNA</v>
      </c>
    </row>
    <row r="2489" spans="1:9" x14ac:dyDescent="0.2">
      <c r="A2489" s="3" t="str">
        <f>"ENSG00000149452.16"</f>
        <v>ENSG00000149452.16</v>
      </c>
      <c r="B2489" s="3">
        <v>32.834860892103897</v>
      </c>
      <c r="C2489" s="3">
        <v>-6.98097987330378</v>
      </c>
      <c r="D2489" s="3">
        <v>1.5458257639544699</v>
      </c>
      <c r="E2489" s="3">
        <v>-4.5160198749989302</v>
      </c>
      <c r="F2489" s="4">
        <v>6.3012752898100004E-6</v>
      </c>
      <c r="G2489" s="4">
        <v>6.7709773564788802E-5</v>
      </c>
      <c r="H2489" s="3" t="str">
        <f>"SLC22A8"</f>
        <v>SLC22A8</v>
      </c>
      <c r="I2489" s="3" t="str">
        <f>"protein_coding"</f>
        <v>protein_coding</v>
      </c>
    </row>
    <row r="2490" spans="1:9" x14ac:dyDescent="0.2">
      <c r="A2490" s="3" t="str">
        <f>"ENSG00000149742.9"</f>
        <v>ENSG00000149742.9</v>
      </c>
      <c r="B2490" s="3">
        <v>150.04411702209899</v>
      </c>
      <c r="C2490" s="3">
        <v>-3.2521289264484401</v>
      </c>
      <c r="D2490" s="3">
        <v>0.41054805677088502</v>
      </c>
      <c r="E2490" s="3">
        <v>-7.92143300355057</v>
      </c>
      <c r="F2490" s="4">
        <v>2.3478875493110401E-15</v>
      </c>
      <c r="G2490" s="4">
        <v>8.8282677582838995E-14</v>
      </c>
      <c r="H2490" s="3" t="str">
        <f>"SLC22A9"</f>
        <v>SLC22A9</v>
      </c>
      <c r="I2490" s="3" t="str">
        <f>"protein_coding"</f>
        <v>protein_coding</v>
      </c>
    </row>
    <row r="2491" spans="1:9" x14ac:dyDescent="0.2">
      <c r="A2491" s="3" t="str">
        <f>"ENSG00000133321.11"</f>
        <v>ENSG00000133321.11</v>
      </c>
      <c r="B2491" s="3">
        <v>17.0240489080633</v>
      </c>
      <c r="C2491" s="3">
        <v>-3.07592527829879</v>
      </c>
      <c r="D2491" s="3">
        <v>0.93176241670419702</v>
      </c>
      <c r="E2491" s="3">
        <v>-3.3011905429485502</v>
      </c>
      <c r="F2491" s="3">
        <v>9.62754747720648E-4</v>
      </c>
      <c r="G2491" s="3">
        <v>5.9039726179699898E-3</v>
      </c>
      <c r="H2491" s="3" t="str">
        <f>"RARRES3"</f>
        <v>RARRES3</v>
      </c>
      <c r="I2491" s="3" t="str">
        <f>"protein_coding"</f>
        <v>protein_coding</v>
      </c>
    </row>
    <row r="2492" spans="1:9" x14ac:dyDescent="0.2">
      <c r="A2492" s="3" t="str">
        <f>"ENSG00000133318.13"</f>
        <v>ENSG00000133318.13</v>
      </c>
      <c r="B2492" s="3">
        <v>2498.2284394564799</v>
      </c>
      <c r="C2492" s="3">
        <v>-1.4467755076309301</v>
      </c>
      <c r="D2492" s="3">
        <v>0.27605114981974999</v>
      </c>
      <c r="E2492" s="3">
        <v>-5.24096896019313</v>
      </c>
      <c r="F2492" s="4">
        <v>1.5973558602924199E-7</v>
      </c>
      <c r="G2492" s="4">
        <v>2.3226292870321301E-6</v>
      </c>
      <c r="H2492" s="3" t="str">
        <f>"RTN3"</f>
        <v>RTN3</v>
      </c>
      <c r="I2492" s="3" t="str">
        <f>"protein_coding"</f>
        <v>protein_coding</v>
      </c>
    </row>
    <row r="2493" spans="1:9" x14ac:dyDescent="0.2">
      <c r="A2493" s="3" t="str">
        <f>"ENSG00000188070.9"</f>
        <v>ENSG00000188070.9</v>
      </c>
      <c r="B2493" s="3">
        <v>757.24281043548899</v>
      </c>
      <c r="C2493" s="3">
        <v>-1.3041608296457901</v>
      </c>
      <c r="D2493" s="3">
        <v>0.26749668301214602</v>
      </c>
      <c r="E2493" s="3">
        <v>-4.8754280425472398</v>
      </c>
      <c r="F2493" s="4">
        <v>1.0857276897381299E-6</v>
      </c>
      <c r="G2493" s="4">
        <v>1.3460561870558199E-5</v>
      </c>
      <c r="H2493" s="3" t="str">
        <f>"C11orf95"</f>
        <v>C11orf95</v>
      </c>
      <c r="I2493" s="3" t="str">
        <f>"protein_coding"</f>
        <v>protein_coding</v>
      </c>
    </row>
    <row r="2494" spans="1:9" x14ac:dyDescent="0.2">
      <c r="A2494" s="3" t="str">
        <f>"ENSG00000257086.1"</f>
        <v>ENSG00000257086.1</v>
      </c>
      <c r="B2494" s="3">
        <v>40.950252700581501</v>
      </c>
      <c r="C2494" s="3">
        <v>-1.6562927792799</v>
      </c>
      <c r="D2494" s="3">
        <v>0.60727615524831302</v>
      </c>
      <c r="E2494" s="3">
        <v>-2.7274128334623202</v>
      </c>
      <c r="F2494" s="3">
        <v>6.3833120322168199E-3</v>
      </c>
      <c r="G2494" s="3">
        <v>2.8973694364925001E-2</v>
      </c>
      <c r="H2494" s="3" t="str">
        <f>"AP001453.4"</f>
        <v>AP001453.4</v>
      </c>
      <c r="I2494" s="3" t="str">
        <f>"lincRNA"</f>
        <v>lincRNA</v>
      </c>
    </row>
    <row r="2495" spans="1:9" x14ac:dyDescent="0.2">
      <c r="A2495" s="3" t="str">
        <f>"ENSG00000068831.19"</f>
        <v>ENSG00000068831.19</v>
      </c>
      <c r="B2495" s="3">
        <v>26.5377376618816</v>
      </c>
      <c r="C2495" s="3">
        <v>-3.5972523282820701</v>
      </c>
      <c r="D2495" s="3">
        <v>0.84120650379620299</v>
      </c>
      <c r="E2495" s="3">
        <v>-4.2763011365798604</v>
      </c>
      <c r="F2495" s="4">
        <v>1.9002414398010802E-5</v>
      </c>
      <c r="G2495" s="3">
        <v>1.8272390450380801E-4</v>
      </c>
      <c r="H2495" s="3" t="str">
        <f>"RASGRP2"</f>
        <v>RASGRP2</v>
      </c>
      <c r="I2495" s="3" t="str">
        <f>"protein_coding"</f>
        <v>protein_coding</v>
      </c>
    </row>
    <row r="2496" spans="1:9" x14ac:dyDescent="0.2">
      <c r="A2496" s="3" t="str">
        <f>"ENSG00000171219.9"</f>
        <v>ENSG00000171219.9</v>
      </c>
      <c r="B2496" s="3">
        <v>2503.8136614662799</v>
      </c>
      <c r="C2496" s="3">
        <v>5.2763931197560696</v>
      </c>
      <c r="D2496" s="3">
        <v>0.273006302347781</v>
      </c>
      <c r="E2496" s="3">
        <v>19.327001151184099</v>
      </c>
      <c r="F2496" s="4">
        <v>3.1839482700522299E-83</v>
      </c>
      <c r="G2496" s="4">
        <v>2.6697406244387899E-80</v>
      </c>
      <c r="H2496" s="3" t="str">
        <f>"CDC42BPG"</f>
        <v>CDC42BPG</v>
      </c>
      <c r="I2496" s="3" t="str">
        <f>"protein_coding"</f>
        <v>protein_coding</v>
      </c>
    </row>
    <row r="2497" spans="1:9" x14ac:dyDescent="0.2">
      <c r="A2497" s="3" t="str">
        <f>"ENSG00000229719.5"</f>
        <v>ENSG00000229719.5</v>
      </c>
      <c r="B2497" s="3">
        <v>709.48206418904294</v>
      </c>
      <c r="C2497" s="3">
        <v>2.72854939103512</v>
      </c>
      <c r="D2497" s="3">
        <v>0.29100661497173103</v>
      </c>
      <c r="E2497" s="3">
        <v>9.37624524892734</v>
      </c>
      <c r="F2497" s="4">
        <v>6.83639551670666E-21</v>
      </c>
      <c r="G2497" s="4">
        <v>3.9262449594236501E-19</v>
      </c>
      <c r="H2497" s="3" t="str">
        <f>"MIR194-2HG"</f>
        <v>MIR194-2HG</v>
      </c>
      <c r="I2497" s="3" t="str">
        <f>"lincRNA"</f>
        <v>lincRNA</v>
      </c>
    </row>
    <row r="2498" spans="1:9" x14ac:dyDescent="0.2">
      <c r="A2498" s="3" t="str">
        <f>"ENSG00000149735.7"</f>
        <v>ENSG00000149735.7</v>
      </c>
      <c r="B2498" s="3">
        <v>99.921206302613797</v>
      </c>
      <c r="C2498" s="3">
        <v>-2.7121229657695798</v>
      </c>
      <c r="D2498" s="3">
        <v>0.46072528390798201</v>
      </c>
      <c r="E2498" s="3">
        <v>-5.8866380042456203</v>
      </c>
      <c r="F2498" s="4">
        <v>3.9413066908419299E-9</v>
      </c>
      <c r="G2498" s="4">
        <v>7.3932565106732902E-8</v>
      </c>
      <c r="H2498" s="3" t="str">
        <f>"GPHA2"</f>
        <v>GPHA2</v>
      </c>
      <c r="I2498" s="3" t="str">
        <f>"protein_coding"</f>
        <v>protein_coding</v>
      </c>
    </row>
    <row r="2499" spans="1:9" x14ac:dyDescent="0.2">
      <c r="A2499" s="3" t="str">
        <f>"ENSG00000168060.16"</f>
        <v>ENSG00000168060.16</v>
      </c>
      <c r="B2499" s="3">
        <v>154.80050384969601</v>
      </c>
      <c r="C2499" s="3">
        <v>-2.9383141392744898</v>
      </c>
      <c r="D2499" s="3">
        <v>0.388096639742399</v>
      </c>
      <c r="E2499" s="3">
        <v>-7.5710888432964003</v>
      </c>
      <c r="F2499" s="4">
        <v>3.7010881474886298E-14</v>
      </c>
      <c r="G2499" s="4">
        <v>1.2347595802397401E-12</v>
      </c>
      <c r="H2499" s="3" t="str">
        <f>"NAALADL1"</f>
        <v>NAALADL1</v>
      </c>
      <c r="I2499" s="3" t="str">
        <f>"protein_coding"</f>
        <v>protein_coding</v>
      </c>
    </row>
    <row r="2500" spans="1:9" x14ac:dyDescent="0.2">
      <c r="A2500" s="3" t="str">
        <f>"ENSG00000146670.10"</f>
        <v>ENSG00000146670.10</v>
      </c>
      <c r="B2500" s="3">
        <v>2624.0509662449599</v>
      </c>
      <c r="C2500" s="3">
        <v>-1.6087693491927599</v>
      </c>
      <c r="D2500" s="3">
        <v>0.28884255173331302</v>
      </c>
      <c r="E2500" s="3">
        <v>-5.5697103475187903</v>
      </c>
      <c r="F2500" s="4">
        <v>2.5516316987930399E-8</v>
      </c>
      <c r="G2500" s="4">
        <v>4.21723359941781E-7</v>
      </c>
      <c r="H2500" s="3" t="str">
        <f>"CDCA5"</f>
        <v>CDCA5</v>
      </c>
      <c r="I2500" s="3" t="str">
        <f>"protein_coding"</f>
        <v>protein_coding</v>
      </c>
    </row>
    <row r="2501" spans="1:9" x14ac:dyDescent="0.2">
      <c r="A2501" s="3" t="str">
        <f>"ENSG00000149809.14"</f>
        <v>ENSG00000149809.14</v>
      </c>
      <c r="B2501" s="3">
        <v>2100.1370470166999</v>
      </c>
      <c r="C2501" s="3">
        <v>1.2800175020659501</v>
      </c>
      <c r="D2501" s="3">
        <v>0.29358818766521499</v>
      </c>
      <c r="E2501" s="3">
        <v>4.3599080475457797</v>
      </c>
      <c r="F2501" s="4">
        <v>1.30117108881638E-5</v>
      </c>
      <c r="G2501" s="3">
        <v>1.29415816490919E-4</v>
      </c>
      <c r="H2501" s="3" t="str">
        <f>"TM7SF2"</f>
        <v>TM7SF2</v>
      </c>
      <c r="I2501" s="3" t="str">
        <f>"protein_coding"</f>
        <v>protein_coding</v>
      </c>
    </row>
    <row r="2502" spans="1:9" x14ac:dyDescent="0.2">
      <c r="A2502" s="3" t="str">
        <f>"ENSG00000149792.8"</f>
        <v>ENSG00000149792.8</v>
      </c>
      <c r="B2502" s="3">
        <v>2702.34243621727</v>
      </c>
      <c r="C2502" s="3">
        <v>1.0150919860494101</v>
      </c>
      <c r="D2502" s="3">
        <v>0.26728171873580198</v>
      </c>
      <c r="E2502" s="3">
        <v>3.7978354481205501</v>
      </c>
      <c r="F2502" s="3">
        <v>1.45965167518798E-4</v>
      </c>
      <c r="G2502" s="3">
        <v>1.1318599842587401E-3</v>
      </c>
      <c r="H2502" s="3" t="str">
        <f>"MRPL49"</f>
        <v>MRPL49</v>
      </c>
      <c r="I2502" s="3" t="str">
        <f>"protein_coding"</f>
        <v>protein_coding</v>
      </c>
    </row>
    <row r="2503" spans="1:9" x14ac:dyDescent="0.2">
      <c r="A2503" s="3" t="str">
        <f>"ENSG00000197847.12"</f>
        <v>ENSG00000197847.12</v>
      </c>
      <c r="B2503" s="3">
        <v>24.299236696140799</v>
      </c>
      <c r="C2503" s="3">
        <v>2.5959413105152902</v>
      </c>
      <c r="D2503" s="3">
        <v>0.78214190710127296</v>
      </c>
      <c r="E2503" s="3">
        <v>3.3190157526991602</v>
      </c>
      <c r="F2503" s="3">
        <v>9.0335333268624397E-4</v>
      </c>
      <c r="G2503" s="3">
        <v>5.5997666544412199E-3</v>
      </c>
      <c r="H2503" s="3" t="str">
        <f>"SLC22A20P"</f>
        <v>SLC22A20P</v>
      </c>
      <c r="I2503" s="3" t="str">
        <f>"transcribed_unitary_pseudogene"</f>
        <v>transcribed_unitary_pseudogene</v>
      </c>
    </row>
    <row r="2504" spans="1:9" x14ac:dyDescent="0.2">
      <c r="A2504" s="3" t="str">
        <f>"ENSG00000173825.7"</f>
        <v>ENSG00000173825.7</v>
      </c>
      <c r="B2504" s="3">
        <v>230.70026312559</v>
      </c>
      <c r="C2504" s="3">
        <v>3.6268754872911901</v>
      </c>
      <c r="D2504" s="3">
        <v>0.38779755310172098</v>
      </c>
      <c r="E2504" s="3">
        <v>9.3524970910268905</v>
      </c>
      <c r="F2504" s="4">
        <v>8.5602415384880203E-21</v>
      </c>
      <c r="G2504" s="4">
        <v>4.8607872663807297E-19</v>
      </c>
      <c r="H2504" s="3" t="str">
        <f>"TIGD3"</f>
        <v>TIGD3</v>
      </c>
      <c r="I2504" s="3" t="str">
        <f>"protein_coding"</f>
        <v>protein_coding</v>
      </c>
    </row>
    <row r="2505" spans="1:9" x14ac:dyDescent="0.2">
      <c r="A2505" s="3" t="str">
        <f>"ENSG00000162241.12"</f>
        <v>ENSG00000162241.12</v>
      </c>
      <c r="B2505" s="3">
        <v>1788.6077148331799</v>
      </c>
      <c r="C2505" s="3">
        <v>4.18579146029903</v>
      </c>
      <c r="D2505" s="3">
        <v>0.29835830496566901</v>
      </c>
      <c r="E2505" s="3">
        <v>14.0294115854448</v>
      </c>
      <c r="F2505" s="4">
        <v>1.03002633437209E-44</v>
      </c>
      <c r="G2505" s="4">
        <v>2.1413481356305601E-42</v>
      </c>
      <c r="H2505" s="3" t="str">
        <f>"SLC25A45"</f>
        <v>SLC25A45</v>
      </c>
      <c r="I2505" s="3" t="str">
        <f>"protein_coding"</f>
        <v>protein_coding</v>
      </c>
    </row>
    <row r="2506" spans="1:9" x14ac:dyDescent="0.2">
      <c r="A2506" s="3" t="str">
        <f>"ENSG00000126391.14"</f>
        <v>ENSG00000126391.14</v>
      </c>
      <c r="B2506" s="3">
        <v>2782.4860810411501</v>
      </c>
      <c r="C2506" s="3">
        <v>2.1623416014488201</v>
      </c>
      <c r="D2506" s="3">
        <v>0.28728548470491799</v>
      </c>
      <c r="E2506" s="3">
        <v>7.5268042298407298</v>
      </c>
      <c r="F2506" s="4">
        <v>5.1997240446829299E-14</v>
      </c>
      <c r="G2506" s="4">
        <v>1.7075595084072999E-12</v>
      </c>
      <c r="H2506" s="3" t="str">
        <f>"FRMD8"</f>
        <v>FRMD8</v>
      </c>
      <c r="I2506" s="3" t="str">
        <f>"protein_coding"</f>
        <v>protein_coding</v>
      </c>
    </row>
    <row r="2507" spans="1:9" x14ac:dyDescent="0.2">
      <c r="A2507" s="3" t="str">
        <f>"ENSG00000245532.8"</f>
        <v>ENSG00000245532.8</v>
      </c>
      <c r="B2507" s="3">
        <v>157491.882632858</v>
      </c>
      <c r="C2507" s="3">
        <v>1.9762046552476999</v>
      </c>
      <c r="D2507" s="3">
        <v>0.23827886235856899</v>
      </c>
      <c r="E2507" s="3">
        <v>8.29366329722464</v>
      </c>
      <c r="F2507" s="4">
        <v>1.09813009510038E-16</v>
      </c>
      <c r="G2507" s="4">
        <v>4.7462994058848897E-15</v>
      </c>
      <c r="H2507" s="3" t="str">
        <f>"NEAT1"</f>
        <v>NEAT1</v>
      </c>
      <c r="I2507" s="3" t="str">
        <f>"lincRNA"</f>
        <v>lincRNA</v>
      </c>
    </row>
    <row r="2508" spans="1:9" x14ac:dyDescent="0.2">
      <c r="A2508" s="3" t="str">
        <f>"ENSG00000173327.8"</f>
        <v>ENSG00000173327.8</v>
      </c>
      <c r="B2508" s="3">
        <v>3062.9905129577301</v>
      </c>
      <c r="C2508" s="3">
        <v>-1.03149555222283</v>
      </c>
      <c r="D2508" s="3">
        <v>0.29228440216545098</v>
      </c>
      <c r="E2508" s="3">
        <v>-3.5290817593438901</v>
      </c>
      <c r="F2508" s="3">
        <v>4.1700427661336801E-4</v>
      </c>
      <c r="G2508" s="3">
        <v>2.8574618845571402E-3</v>
      </c>
      <c r="H2508" s="3" t="str">
        <f>"MAP3K11"</f>
        <v>MAP3K11</v>
      </c>
      <c r="I2508" s="3" t="str">
        <f>"protein_coding"</f>
        <v>protein_coding</v>
      </c>
    </row>
    <row r="2509" spans="1:9" x14ac:dyDescent="0.2">
      <c r="A2509" s="3" t="str">
        <f>"ENSG00000172922.9"</f>
        <v>ENSG00000172922.9</v>
      </c>
      <c r="B2509" s="3">
        <v>1586.7305840613201</v>
      </c>
      <c r="C2509" s="3">
        <v>-1.04937690188351</v>
      </c>
      <c r="D2509" s="3">
        <v>0.30041631629048099</v>
      </c>
      <c r="E2509" s="3">
        <v>-3.4930755920355501</v>
      </c>
      <c r="F2509" s="3">
        <v>4.7749132213511901E-4</v>
      </c>
      <c r="G2509" s="3">
        <v>3.2115759915264499E-3</v>
      </c>
      <c r="H2509" s="3" t="str">
        <f>"RNASEH2C"</f>
        <v>RNASEH2C</v>
      </c>
      <c r="I2509" s="3" t="str">
        <f>"protein_coding"</f>
        <v>protein_coding</v>
      </c>
    </row>
    <row r="2510" spans="1:9" x14ac:dyDescent="0.2">
      <c r="A2510" s="3" t="str">
        <f>"ENSG00000254470.2"</f>
        <v>ENSG00000254470.2</v>
      </c>
      <c r="B2510" s="3">
        <v>817.74698805264404</v>
      </c>
      <c r="C2510" s="3">
        <v>1.5700005505880399</v>
      </c>
      <c r="D2510" s="3">
        <v>0.306806501093837</v>
      </c>
      <c r="E2510" s="3">
        <v>5.1172336472357003</v>
      </c>
      <c r="F2510" s="4">
        <v>3.1004944998729802E-7</v>
      </c>
      <c r="G2510" s="4">
        <v>4.25725650351008E-6</v>
      </c>
      <c r="H2510" s="3" t="str">
        <f>"AP5B1"</f>
        <v>AP5B1</v>
      </c>
      <c r="I2510" s="3" t="str">
        <f>"protein_coding"</f>
        <v>protein_coding</v>
      </c>
    </row>
    <row r="2511" spans="1:9" x14ac:dyDescent="0.2">
      <c r="A2511" s="3" t="str">
        <f>"ENSG00000172818.10"</f>
        <v>ENSG00000172818.10</v>
      </c>
      <c r="B2511" s="3">
        <v>119.238003475182</v>
      </c>
      <c r="C2511" s="3">
        <v>7.9804359281597197</v>
      </c>
      <c r="D2511" s="3">
        <v>1.0930837562722699</v>
      </c>
      <c r="E2511" s="3">
        <v>7.3008457790785197</v>
      </c>
      <c r="F2511" s="4">
        <v>2.8596437582330899E-13</v>
      </c>
      <c r="G2511" s="4">
        <v>8.9027646953407592E-12</v>
      </c>
      <c r="H2511" s="3" t="str">
        <f>"OVOL1"</f>
        <v>OVOL1</v>
      </c>
      <c r="I2511" s="3" t="str">
        <f>"protein_coding"</f>
        <v>protein_coding</v>
      </c>
    </row>
    <row r="2512" spans="1:9" x14ac:dyDescent="0.2">
      <c r="A2512" s="3" t="str">
        <f>"ENSG00000255120.5"</f>
        <v>ENSG00000255120.5</v>
      </c>
      <c r="B2512" s="3">
        <v>22.6362550491259</v>
      </c>
      <c r="C2512" s="3">
        <v>8.0168971275746603</v>
      </c>
      <c r="D2512" s="3">
        <v>1.60753003492795</v>
      </c>
      <c r="E2512" s="3">
        <v>4.9870901030685602</v>
      </c>
      <c r="F2512" s="4">
        <v>6.12954832809968E-7</v>
      </c>
      <c r="G2512" s="4">
        <v>8.0098071788751895E-6</v>
      </c>
      <c r="H2512" s="3" t="str">
        <f>"OVOL1-AS1"</f>
        <v>OVOL1-AS1</v>
      </c>
      <c r="I2512" s="3" t="str">
        <f>"antisense"</f>
        <v>antisense</v>
      </c>
    </row>
    <row r="2513" spans="1:9" x14ac:dyDescent="0.2">
      <c r="A2513" s="3" t="str">
        <f>"ENSG00000172803.18"</f>
        <v>ENSG00000172803.18</v>
      </c>
      <c r="B2513" s="3">
        <v>181.07380261389099</v>
      </c>
      <c r="C2513" s="3">
        <v>5.07922994156222</v>
      </c>
      <c r="D2513" s="3">
        <v>0.99414729052010098</v>
      </c>
      <c r="E2513" s="3">
        <v>5.1091322080704504</v>
      </c>
      <c r="F2513" s="4">
        <v>3.2364183706792802E-7</v>
      </c>
      <c r="G2513" s="4">
        <v>4.4245708757846399E-6</v>
      </c>
      <c r="H2513" s="3" t="str">
        <f>"SNX32"</f>
        <v>SNX32</v>
      </c>
      <c r="I2513" s="3" t="str">
        <f>"protein_coding"</f>
        <v>protein_coding</v>
      </c>
    </row>
    <row r="2514" spans="1:9" x14ac:dyDescent="0.2">
      <c r="A2514" s="3" t="str">
        <f>"ENSG00000175602.3"</f>
        <v>ENSG00000175602.3</v>
      </c>
      <c r="B2514" s="3">
        <v>369.48539107908999</v>
      </c>
      <c r="C2514" s="3">
        <v>-1.54566150318197</v>
      </c>
      <c r="D2514" s="3">
        <v>0.30940519352971402</v>
      </c>
      <c r="E2514" s="3">
        <v>-4.9955900401960402</v>
      </c>
      <c r="F2514" s="4">
        <v>5.8656148229908803E-7</v>
      </c>
      <c r="G2514" s="4">
        <v>7.6848719204341498E-6</v>
      </c>
      <c r="H2514" s="3" t="str">
        <f>"CCDC85B"</f>
        <v>CCDC85B</v>
      </c>
      <c r="I2514" s="3" t="str">
        <f>"protein_coding"</f>
        <v>protein_coding</v>
      </c>
    </row>
    <row r="2515" spans="1:9" x14ac:dyDescent="0.2">
      <c r="A2515" s="3" t="str">
        <f>"ENSG00000175592.8"</f>
        <v>ENSG00000175592.8</v>
      </c>
      <c r="B2515" s="3">
        <v>1110.8855661258799</v>
      </c>
      <c r="C2515" s="3">
        <v>1.98975526736843</v>
      </c>
      <c r="D2515" s="3">
        <v>0.28617175798603001</v>
      </c>
      <c r="E2515" s="3">
        <v>6.9530106023444898</v>
      </c>
      <c r="F2515" s="4">
        <v>3.5757180447254098E-12</v>
      </c>
      <c r="G2515" s="4">
        <v>9.7135191592945497E-11</v>
      </c>
      <c r="H2515" s="3" t="str">
        <f>"FOSL1"</f>
        <v>FOSL1</v>
      </c>
      <c r="I2515" s="3" t="str">
        <f>"protein_coding"</f>
        <v>protein_coding</v>
      </c>
    </row>
    <row r="2516" spans="1:9" x14ac:dyDescent="0.2">
      <c r="A2516" s="3" t="str">
        <f>"ENSG00000179292.5"</f>
        <v>ENSG00000179292.5</v>
      </c>
      <c r="B2516" s="3">
        <v>46.948443165982901</v>
      </c>
      <c r="C2516" s="3">
        <v>-1.45953508407794</v>
      </c>
      <c r="D2516" s="3">
        <v>0.53611679699328796</v>
      </c>
      <c r="E2516" s="3">
        <v>-2.7224199880762399</v>
      </c>
      <c r="F2516" s="3">
        <v>6.4805724248709097E-3</v>
      </c>
      <c r="G2516" s="3">
        <v>2.9325202257173499E-2</v>
      </c>
      <c r="H2516" s="3" t="str">
        <f>"TMEM151A"</f>
        <v>TMEM151A</v>
      </c>
      <c r="I2516" s="3" t="str">
        <f>"protein_coding"</f>
        <v>protein_coding</v>
      </c>
    </row>
    <row r="2517" spans="1:9" x14ac:dyDescent="0.2">
      <c r="A2517" s="3" t="str">
        <f>"ENSG00000174807.4"</f>
        <v>ENSG00000174807.4</v>
      </c>
      <c r="B2517" s="3">
        <v>200.34340880896801</v>
      </c>
      <c r="C2517" s="3">
        <v>-3.6473065375067599</v>
      </c>
      <c r="D2517" s="3">
        <v>0.420429321300125</v>
      </c>
      <c r="E2517" s="3">
        <v>-8.67519545551181</v>
      </c>
      <c r="F2517" s="4">
        <v>4.1284079044946797E-18</v>
      </c>
      <c r="G2517" s="4">
        <v>1.9484071451700499E-16</v>
      </c>
      <c r="H2517" s="3" t="str">
        <f>"CD248"</f>
        <v>CD248</v>
      </c>
      <c r="I2517" s="3" t="str">
        <f>"protein_coding"</f>
        <v>protein_coding</v>
      </c>
    </row>
    <row r="2518" spans="1:9" x14ac:dyDescent="0.2">
      <c r="A2518" s="3" t="str">
        <f>"ENSG00000255468.7"</f>
        <v>ENSG00000255468.7</v>
      </c>
      <c r="B2518" s="3">
        <v>427.26337418382201</v>
      </c>
      <c r="C2518" s="3">
        <v>-2.0713930936625902</v>
      </c>
      <c r="D2518" s="3">
        <v>0.31161696371741798</v>
      </c>
      <c r="E2518" s="3">
        <v>-6.6472411159906502</v>
      </c>
      <c r="F2518" s="4">
        <v>2.9863760507160202E-11</v>
      </c>
      <c r="G2518" s="4">
        <v>7.2722448747106996E-10</v>
      </c>
      <c r="H2518" s="3" t="str">
        <f>"AP001107.9"</f>
        <v>AP001107.9</v>
      </c>
      <c r="I2518" s="3" t="str">
        <f>"antisense"</f>
        <v>antisense</v>
      </c>
    </row>
    <row r="2519" spans="1:9" x14ac:dyDescent="0.2">
      <c r="A2519" s="3" t="str">
        <f>"ENSG00000174547.13"</f>
        <v>ENSG00000174547.13</v>
      </c>
      <c r="B2519" s="3">
        <v>2613.29104088038</v>
      </c>
      <c r="C2519" s="3">
        <v>-1.1361213131979699</v>
      </c>
      <c r="D2519" s="3">
        <v>0.28153409874743501</v>
      </c>
      <c r="E2519" s="3">
        <v>-4.0354661060690296</v>
      </c>
      <c r="F2519" s="4">
        <v>5.4494006323983001E-5</v>
      </c>
      <c r="G2519" s="3">
        <v>4.7432412770927001E-4</v>
      </c>
      <c r="H2519" s="3" t="str">
        <f>"MRPL11"</f>
        <v>MRPL11</v>
      </c>
      <c r="I2519" s="3" t="str">
        <f t="shared" ref="I2519:I2527" si="106">"protein_coding"</f>
        <v>protein_coding</v>
      </c>
    </row>
    <row r="2520" spans="1:9" x14ac:dyDescent="0.2">
      <c r="A2520" s="3" t="str">
        <f>"ENSG00000174483.20"</f>
        <v>ENSG00000174483.20</v>
      </c>
      <c r="B2520" s="3">
        <v>161.513551738003</v>
      </c>
      <c r="C2520" s="3">
        <v>1.6223870592560501</v>
      </c>
      <c r="D2520" s="3">
        <v>0.35800796340264102</v>
      </c>
      <c r="E2520" s="3">
        <v>4.5317066241663397</v>
      </c>
      <c r="F2520" s="4">
        <v>5.8509069512419902E-6</v>
      </c>
      <c r="G2520" s="4">
        <v>6.3357539543044394E-5</v>
      </c>
      <c r="H2520" s="3" t="str">
        <f>"BBS1"</f>
        <v>BBS1</v>
      </c>
      <c r="I2520" s="3" t="str">
        <f t="shared" si="106"/>
        <v>protein_coding</v>
      </c>
    </row>
    <row r="2521" spans="1:9" x14ac:dyDescent="0.2">
      <c r="A2521" s="3" t="str">
        <f>"ENSG00000174165.8"</f>
        <v>ENSG00000174165.8</v>
      </c>
      <c r="B2521" s="3">
        <v>607.66245236997804</v>
      </c>
      <c r="C2521" s="3">
        <v>1.00032530879552</v>
      </c>
      <c r="D2521" s="3">
        <v>0.28711630677987698</v>
      </c>
      <c r="E2521" s="3">
        <v>3.4840421291795298</v>
      </c>
      <c r="F2521" s="3">
        <v>4.9390173757587303E-4</v>
      </c>
      <c r="G2521" s="3">
        <v>3.3069199384405299E-3</v>
      </c>
      <c r="H2521" s="3" t="str">
        <f>"ZDHHC24"</f>
        <v>ZDHHC24</v>
      </c>
      <c r="I2521" s="3" t="str">
        <f t="shared" si="106"/>
        <v>protein_coding</v>
      </c>
    </row>
    <row r="2522" spans="1:9" x14ac:dyDescent="0.2">
      <c r="A2522" s="3" t="str">
        <f>"ENSG00000182791.5"</f>
        <v>ENSG00000182791.5</v>
      </c>
      <c r="B2522" s="3">
        <v>63.244701625667602</v>
      </c>
      <c r="C2522" s="3">
        <v>-1.2387931330461399</v>
      </c>
      <c r="D2522" s="3">
        <v>0.47131840199637598</v>
      </c>
      <c r="E2522" s="3">
        <v>-2.6283572374830899</v>
      </c>
      <c r="F2522" s="3">
        <v>8.5798360470634195E-3</v>
      </c>
      <c r="G2522" s="3">
        <v>3.7204926006529998E-2</v>
      </c>
      <c r="H2522" s="3" t="str">
        <f>"CCDC87"</f>
        <v>CCDC87</v>
      </c>
      <c r="I2522" s="3" t="str">
        <f t="shared" si="106"/>
        <v>protein_coding</v>
      </c>
    </row>
    <row r="2523" spans="1:9" x14ac:dyDescent="0.2">
      <c r="A2523" s="3" t="str">
        <f>"ENSG00000173227.14"</f>
        <v>ENSG00000173227.14</v>
      </c>
      <c r="B2523" s="3">
        <v>70.643953127609706</v>
      </c>
      <c r="C2523" s="3">
        <v>1.2048571745279899</v>
      </c>
      <c r="D2523" s="3">
        <v>0.474024881228503</v>
      </c>
      <c r="E2523" s="3">
        <v>2.5417593511239902</v>
      </c>
      <c r="F2523" s="3">
        <v>1.1029608412814799E-2</v>
      </c>
      <c r="G2523" s="3">
        <v>4.5791351646205201E-2</v>
      </c>
      <c r="H2523" s="3" t="str">
        <f>"SYT12"</f>
        <v>SYT12</v>
      </c>
      <c r="I2523" s="3" t="str">
        <f t="shared" si="106"/>
        <v>protein_coding</v>
      </c>
    </row>
    <row r="2524" spans="1:9" x14ac:dyDescent="0.2">
      <c r="A2524" s="3" t="str">
        <f>"ENSG00000173156.7"</f>
        <v>ENSG00000173156.7</v>
      </c>
      <c r="B2524" s="3">
        <v>604.92814645835097</v>
      </c>
      <c r="C2524" s="3">
        <v>3.7603108107183898</v>
      </c>
      <c r="D2524" s="3">
        <v>0.31393765810621899</v>
      </c>
      <c r="E2524" s="3">
        <v>11.977890239106401</v>
      </c>
      <c r="F2524" s="4">
        <v>4.6398142165652497E-33</v>
      </c>
      <c r="G2524" s="4">
        <v>5.3538773677843596E-31</v>
      </c>
      <c r="H2524" s="3" t="str">
        <f>"RHOD"</f>
        <v>RHOD</v>
      </c>
      <c r="I2524" s="3" t="str">
        <f t="shared" si="106"/>
        <v>protein_coding</v>
      </c>
    </row>
    <row r="2525" spans="1:9" x14ac:dyDescent="0.2">
      <c r="A2525" s="3" t="str">
        <f>"ENSG00000175482.9"</f>
        <v>ENSG00000175482.9</v>
      </c>
      <c r="B2525" s="3">
        <v>127.383675916868</v>
      </c>
      <c r="C2525" s="3">
        <v>1.2698970966346099</v>
      </c>
      <c r="D2525" s="3">
        <v>0.41256360432337302</v>
      </c>
      <c r="E2525" s="3">
        <v>3.07806380234948</v>
      </c>
      <c r="F2525" s="3">
        <v>2.08350301930581E-3</v>
      </c>
      <c r="G2525" s="3">
        <v>1.1346724063788199E-2</v>
      </c>
      <c r="H2525" s="3" t="str">
        <f>"POLD4"</f>
        <v>POLD4</v>
      </c>
      <c r="I2525" s="3" t="str">
        <f t="shared" si="106"/>
        <v>protein_coding</v>
      </c>
    </row>
    <row r="2526" spans="1:9" x14ac:dyDescent="0.2">
      <c r="A2526" s="3" t="str">
        <f>"ENSG00000167800.9"</f>
        <v>ENSG00000167800.9</v>
      </c>
      <c r="B2526" s="3">
        <v>28.964044146204301</v>
      </c>
      <c r="C2526" s="3">
        <v>1.8274186507349299</v>
      </c>
      <c r="D2526" s="3">
        <v>0.65992439849334505</v>
      </c>
      <c r="E2526" s="3">
        <v>2.7691333354351801</v>
      </c>
      <c r="F2526" s="3">
        <v>5.6205628266287298E-3</v>
      </c>
      <c r="G2526" s="3">
        <v>2.60666035958417E-2</v>
      </c>
      <c r="H2526" s="3" t="str">
        <f>"TBX10"</f>
        <v>TBX10</v>
      </c>
      <c r="I2526" s="3" t="str">
        <f t="shared" si="106"/>
        <v>protein_coding</v>
      </c>
    </row>
    <row r="2527" spans="1:9" x14ac:dyDescent="0.2">
      <c r="A2527" s="3" t="str">
        <f>"ENSG00000132744.8"</f>
        <v>ENSG00000132744.8</v>
      </c>
      <c r="B2527" s="3">
        <v>119.381250106595</v>
      </c>
      <c r="C2527" s="3">
        <v>-2.1144191736166502</v>
      </c>
      <c r="D2527" s="3">
        <v>0.406688948390795</v>
      </c>
      <c r="E2527" s="3">
        <v>-5.1991065456366101</v>
      </c>
      <c r="F2527" s="4">
        <v>2.0024872308725499E-7</v>
      </c>
      <c r="G2527" s="4">
        <v>2.8572073903913202E-6</v>
      </c>
      <c r="H2527" s="3" t="str">
        <f>"ACY3"</f>
        <v>ACY3</v>
      </c>
      <c r="I2527" s="3" t="str">
        <f t="shared" si="106"/>
        <v>protein_coding</v>
      </c>
    </row>
    <row r="2528" spans="1:9" x14ac:dyDescent="0.2">
      <c r="A2528" s="3" t="str">
        <f>"ENSG00000254447.3"</f>
        <v>ENSG00000254447.3</v>
      </c>
      <c r="B2528" s="3">
        <v>11.2073566588326</v>
      </c>
      <c r="C2528" s="3">
        <v>5.5421946815264604</v>
      </c>
      <c r="D2528" s="3">
        <v>1.7000394754708601</v>
      </c>
      <c r="E2528" s="3">
        <v>3.26003881762301</v>
      </c>
      <c r="F2528" s="3">
        <v>1.1139696669600599E-3</v>
      </c>
      <c r="G2528" s="3">
        <v>6.6862102057695799E-3</v>
      </c>
      <c r="H2528" s="3" t="str">
        <f>"OR7E11P"</f>
        <v>OR7E11P</v>
      </c>
      <c r="I2528" s="3" t="str">
        <f>"processed_transcript"</f>
        <v>processed_transcript</v>
      </c>
    </row>
    <row r="2529" spans="1:9" x14ac:dyDescent="0.2">
      <c r="A2529" s="3" t="str">
        <f>"ENSG00000227620.4"</f>
        <v>ENSG00000227620.4</v>
      </c>
      <c r="B2529" s="3">
        <v>11.137353103557301</v>
      </c>
      <c r="C2529" s="3">
        <v>5.5339042141472001</v>
      </c>
      <c r="D2529" s="3">
        <v>1.6988494293307099</v>
      </c>
      <c r="E2529" s="3">
        <v>3.25744243050862</v>
      </c>
      <c r="F2529" s="3">
        <v>1.12421059565224E-3</v>
      </c>
      <c r="G2529" s="3">
        <v>6.7380313399171103E-3</v>
      </c>
      <c r="H2529" s="3" t="str">
        <f>"ALG1L8P"</f>
        <v>ALG1L8P</v>
      </c>
      <c r="I2529" s="3" t="str">
        <f>"unprocessed_pseudogene"</f>
        <v>unprocessed_pseudogene</v>
      </c>
    </row>
    <row r="2530" spans="1:9" x14ac:dyDescent="0.2">
      <c r="A2530" s="3" t="str">
        <f>"ENSG00000110057.8"</f>
        <v>ENSG00000110057.8</v>
      </c>
      <c r="B2530" s="3">
        <v>1138.82205021868</v>
      </c>
      <c r="C2530" s="3">
        <v>1.6597584487835</v>
      </c>
      <c r="D2530" s="3">
        <v>0.298496464914492</v>
      </c>
      <c r="E2530" s="3">
        <v>5.56039566250461</v>
      </c>
      <c r="F2530" s="4">
        <v>2.69163730243735E-8</v>
      </c>
      <c r="G2530" s="4">
        <v>4.4253683884190602E-7</v>
      </c>
      <c r="H2530" s="3" t="str">
        <f>"UNC93B1"</f>
        <v>UNC93B1</v>
      </c>
      <c r="I2530" s="3" t="str">
        <f>"protein_coding"</f>
        <v>protein_coding</v>
      </c>
    </row>
    <row r="2531" spans="1:9" x14ac:dyDescent="0.2">
      <c r="A2531" s="3" t="str">
        <f>"ENSG00000255306.1"</f>
        <v>ENSG00000255306.1</v>
      </c>
      <c r="B2531" s="3">
        <v>135.17494960324501</v>
      </c>
      <c r="C2531" s="3">
        <v>1.09358771541533</v>
      </c>
      <c r="D2531" s="3">
        <v>0.39709205972352601</v>
      </c>
      <c r="E2531" s="3">
        <v>2.7539903874601199</v>
      </c>
      <c r="F2531" s="3">
        <v>5.8873497290184403E-3</v>
      </c>
      <c r="G2531" s="3">
        <v>2.7104004837748701E-2</v>
      </c>
      <c r="H2531" s="3" t="str">
        <f>"AC004923.4"</f>
        <v>AC004923.4</v>
      </c>
      <c r="I2531" s="3" t="str">
        <f>"antisense"</f>
        <v>antisense</v>
      </c>
    </row>
    <row r="2532" spans="1:9" x14ac:dyDescent="0.2">
      <c r="A2532" s="3" t="str">
        <f>"ENSG00000110090.13"</f>
        <v>ENSG00000110090.13</v>
      </c>
      <c r="B2532" s="3">
        <v>2306.81978823382</v>
      </c>
      <c r="C2532" s="3">
        <v>3.3772030673353202</v>
      </c>
      <c r="D2532" s="3">
        <v>0.26342787931859302</v>
      </c>
      <c r="E2532" s="3">
        <v>12.8202188624496</v>
      </c>
      <c r="F2532" s="4">
        <v>1.26343389575416E-37</v>
      </c>
      <c r="G2532" s="4">
        <v>1.8477720725404599E-35</v>
      </c>
      <c r="H2532" s="3" t="str">
        <f>"CPT1A"</f>
        <v>CPT1A</v>
      </c>
      <c r="I2532" s="3" t="str">
        <f t="shared" ref="I2532:I2537" si="107">"protein_coding"</f>
        <v>protein_coding</v>
      </c>
    </row>
    <row r="2533" spans="1:9" x14ac:dyDescent="0.2">
      <c r="A2533" s="3" t="str">
        <f>"ENSG00000162341.17"</f>
        <v>ENSG00000162341.17</v>
      </c>
      <c r="B2533" s="3">
        <v>1562.1578809561399</v>
      </c>
      <c r="C2533" s="3">
        <v>2.6721211832370502</v>
      </c>
      <c r="D2533" s="3">
        <v>0.27351027619170898</v>
      </c>
      <c r="E2533" s="3">
        <v>9.7697286567913597</v>
      </c>
      <c r="F2533" s="4">
        <v>1.5185823538890799E-22</v>
      </c>
      <c r="G2533" s="4">
        <v>9.6221509098437797E-21</v>
      </c>
      <c r="H2533" s="3" t="str">
        <f>"TPCN2"</f>
        <v>TPCN2</v>
      </c>
      <c r="I2533" s="3" t="str">
        <f t="shared" si="107"/>
        <v>protein_coding</v>
      </c>
    </row>
    <row r="2534" spans="1:9" x14ac:dyDescent="0.2">
      <c r="A2534" s="3" t="str">
        <f>"ENSG00000284713.1"</f>
        <v>ENSG00000284713.1</v>
      </c>
      <c r="B2534" s="3">
        <v>913.78012700800502</v>
      </c>
      <c r="C2534" s="3">
        <v>4.63379561062193</v>
      </c>
      <c r="D2534" s="3">
        <v>0.28529559922233899</v>
      </c>
      <c r="E2534" s="3">
        <v>16.242085833965799</v>
      </c>
      <c r="F2534" s="4">
        <v>2.5413408760424499E-59</v>
      </c>
      <c r="G2534" s="4">
        <v>8.7571821557325805E-57</v>
      </c>
      <c r="H2534" s="3" t="str">
        <f>"SMIM38"</f>
        <v>SMIM38</v>
      </c>
      <c r="I2534" s="3" t="str">
        <f t="shared" si="107"/>
        <v>protein_coding</v>
      </c>
    </row>
    <row r="2535" spans="1:9" x14ac:dyDescent="0.2">
      <c r="A2535" s="3" t="str">
        <f>"ENSG00000149716.12"</f>
        <v>ENSG00000149716.12</v>
      </c>
      <c r="B2535" s="3">
        <v>1123.0219275627701</v>
      </c>
      <c r="C2535" s="3">
        <v>1.0153420871810599</v>
      </c>
      <c r="D2535" s="3">
        <v>0.259954379353734</v>
      </c>
      <c r="E2535" s="3">
        <v>3.9058472094422099</v>
      </c>
      <c r="F2535" s="4">
        <v>9.3895829353508796E-5</v>
      </c>
      <c r="G2535" s="3">
        <v>7.6786397509346997E-4</v>
      </c>
      <c r="H2535" s="3" t="str">
        <f>"LTO1"</f>
        <v>LTO1</v>
      </c>
      <c r="I2535" s="3" t="str">
        <f t="shared" si="107"/>
        <v>protein_coding</v>
      </c>
    </row>
    <row r="2536" spans="1:9" x14ac:dyDescent="0.2">
      <c r="A2536" s="3" t="str">
        <f>"ENSG00000162344.4"</f>
        <v>ENSG00000162344.4</v>
      </c>
      <c r="B2536" s="3">
        <v>10.0481292185166</v>
      </c>
      <c r="C2536" s="3">
        <v>-5.2513682359136702</v>
      </c>
      <c r="D2536" s="3">
        <v>1.7288251542847299</v>
      </c>
      <c r="E2536" s="3">
        <v>-3.0375357640410598</v>
      </c>
      <c r="F2536" s="3">
        <v>2.3852109893818499E-3</v>
      </c>
      <c r="G2536" s="3">
        <v>1.27145544475313E-2</v>
      </c>
      <c r="H2536" s="3" t="str">
        <f>"FGF19"</f>
        <v>FGF19</v>
      </c>
      <c r="I2536" s="3" t="str">
        <f t="shared" si="107"/>
        <v>protein_coding</v>
      </c>
    </row>
    <row r="2537" spans="1:9" x14ac:dyDescent="0.2">
      <c r="A2537" s="3" t="str">
        <f>"ENSG00000162105.18"</f>
        <v>ENSG00000162105.18</v>
      </c>
      <c r="B2537" s="3">
        <v>4718.2876887932598</v>
      </c>
      <c r="C2537" s="3">
        <v>1.2624181377377499</v>
      </c>
      <c r="D2537" s="3">
        <v>0.28587969710370198</v>
      </c>
      <c r="E2537" s="3">
        <v>4.4159069375248796</v>
      </c>
      <c r="F2537" s="4">
        <v>1.00587355448427E-5</v>
      </c>
      <c r="G2537" s="3">
        <v>1.0285670432134799E-4</v>
      </c>
      <c r="H2537" s="3" t="str">
        <f>"SHANK2"</f>
        <v>SHANK2</v>
      </c>
      <c r="I2537" s="3" t="str">
        <f t="shared" si="107"/>
        <v>protein_coding</v>
      </c>
    </row>
    <row r="2538" spans="1:9" x14ac:dyDescent="0.2">
      <c r="A2538" s="3" t="str">
        <f>"ENSG00000227726.1"</f>
        <v>ENSG00000227726.1</v>
      </c>
      <c r="B2538" s="3">
        <v>44.503766139908102</v>
      </c>
      <c r="C2538" s="3">
        <v>2.05927906828245</v>
      </c>
      <c r="D2538" s="3">
        <v>0.57299603674729005</v>
      </c>
      <c r="E2538" s="3">
        <v>3.5938801251964998</v>
      </c>
      <c r="F2538" s="3">
        <v>3.2578977137012901E-4</v>
      </c>
      <c r="G2538" s="3">
        <v>2.3052719265303999E-3</v>
      </c>
      <c r="H2538" s="3" t="str">
        <f>"AP001271.1"</f>
        <v>AP001271.1</v>
      </c>
      <c r="I2538" s="3" t="str">
        <f>"sense_intronic"</f>
        <v>sense_intronic</v>
      </c>
    </row>
    <row r="2539" spans="1:9" x14ac:dyDescent="0.2">
      <c r="A2539" s="3" t="str">
        <f>"ENSG00000172893.15"</f>
        <v>ENSG00000172893.15</v>
      </c>
      <c r="B2539" s="3">
        <v>2080.6147133210302</v>
      </c>
      <c r="C2539" s="3">
        <v>-1.5130892978011099</v>
      </c>
      <c r="D2539" s="3">
        <v>0.28337618199285403</v>
      </c>
      <c r="E2539" s="3">
        <v>-5.3395076719583496</v>
      </c>
      <c r="F2539" s="4">
        <v>9.3199326036542303E-8</v>
      </c>
      <c r="G2539" s="4">
        <v>1.4021704823260901E-6</v>
      </c>
      <c r="H2539" s="3" t="str">
        <f>"DHCR7"</f>
        <v>DHCR7</v>
      </c>
      <c r="I2539" s="3" t="str">
        <f>"protein_coding"</f>
        <v>protein_coding</v>
      </c>
    </row>
    <row r="2540" spans="1:9" x14ac:dyDescent="0.2">
      <c r="A2540" s="3" t="str">
        <f>"ENSG00000172890.12"</f>
        <v>ENSG00000172890.12</v>
      </c>
      <c r="B2540" s="3">
        <v>7438.17468508616</v>
      </c>
      <c r="C2540" s="3">
        <v>2.7613144209774099</v>
      </c>
      <c r="D2540" s="3">
        <v>0.28559738480574898</v>
      </c>
      <c r="E2540" s="3">
        <v>9.6685563940143702</v>
      </c>
      <c r="F2540" s="4">
        <v>4.1012220347838701E-22</v>
      </c>
      <c r="G2540" s="4">
        <v>2.54104040110809E-20</v>
      </c>
      <c r="H2540" s="3" t="str">
        <f>"NADSYN1"</f>
        <v>NADSYN1</v>
      </c>
      <c r="I2540" s="3" t="str">
        <f>"protein_coding"</f>
        <v>protein_coding</v>
      </c>
    </row>
    <row r="2541" spans="1:9" x14ac:dyDescent="0.2">
      <c r="A2541" s="3" t="str">
        <f>"ENSG00000285933.1"</f>
        <v>ENSG00000285933.1</v>
      </c>
      <c r="B2541" s="3">
        <v>9.5710478420137797</v>
      </c>
      <c r="C2541" s="3">
        <v>3.6197158126730402</v>
      </c>
      <c r="D2541" s="3">
        <v>1.29054367478925</v>
      </c>
      <c r="E2541" s="3">
        <v>2.8047991582029499</v>
      </c>
      <c r="F2541" s="3">
        <v>5.0347941244949001E-3</v>
      </c>
      <c r="G2541" s="3">
        <v>2.3842290324109401E-2</v>
      </c>
      <c r="H2541" s="3" t="str">
        <f>"AP003498.2"</f>
        <v>AP003498.2</v>
      </c>
      <c r="I2541" s="3" t="str">
        <f>"lincRNA"</f>
        <v>lincRNA</v>
      </c>
    </row>
    <row r="2542" spans="1:9" x14ac:dyDescent="0.2">
      <c r="A2542" s="3" t="str">
        <f>"ENSG00000248671.7"</f>
        <v>ENSG00000248671.7</v>
      </c>
      <c r="B2542" s="3">
        <v>140.88743898916701</v>
      </c>
      <c r="C2542" s="3">
        <v>2.79070649940215</v>
      </c>
      <c r="D2542" s="3">
        <v>0.395975104880052</v>
      </c>
      <c r="E2542" s="3">
        <v>7.0476816976852703</v>
      </c>
      <c r="F2542" s="4">
        <v>1.81923195392348E-12</v>
      </c>
      <c r="G2542" s="4">
        <v>5.0847533112161298E-11</v>
      </c>
      <c r="H2542" s="3" t="str">
        <f>"AP002495.1"</f>
        <v>AP002495.1</v>
      </c>
      <c r="I2542" s="3" t="str">
        <f>"processed_transcript"</f>
        <v>processed_transcript</v>
      </c>
    </row>
    <row r="2543" spans="1:9" x14ac:dyDescent="0.2">
      <c r="A2543" s="3" t="str">
        <f>"ENSG00000254978.2"</f>
        <v>ENSG00000254978.2</v>
      </c>
      <c r="B2543" s="3">
        <v>34.125799721300403</v>
      </c>
      <c r="C2543" s="3">
        <v>3.2679481208219099</v>
      </c>
      <c r="D2543" s="3">
        <v>0.73561107041771501</v>
      </c>
      <c r="E2543" s="3">
        <v>4.4424944814468503</v>
      </c>
      <c r="F2543" s="4">
        <v>8.8921914803166901E-6</v>
      </c>
      <c r="G2543" s="4">
        <v>9.2354697228474897E-5</v>
      </c>
      <c r="H2543" s="3" t="str">
        <f>"ALG1L9P"</f>
        <v>ALG1L9P</v>
      </c>
      <c r="I2543" s="3" t="str">
        <f>"transcribed_unprocessed_pseudogene"</f>
        <v>transcribed_unprocessed_pseudogene</v>
      </c>
    </row>
    <row r="2544" spans="1:9" x14ac:dyDescent="0.2">
      <c r="A2544" s="3" t="str">
        <f>"ENSG00000110200.8"</f>
        <v>ENSG00000110200.8</v>
      </c>
      <c r="B2544" s="3">
        <v>495.35981902201701</v>
      </c>
      <c r="C2544" s="3">
        <v>-1.40953928050476</v>
      </c>
      <c r="D2544" s="3">
        <v>0.30294615917603301</v>
      </c>
      <c r="E2544" s="3">
        <v>-4.6527715827079303</v>
      </c>
      <c r="F2544" s="4">
        <v>3.2750296944362202E-6</v>
      </c>
      <c r="G2544" s="4">
        <v>3.7193395920335499E-5</v>
      </c>
      <c r="H2544" s="3" t="str">
        <f>"ANAPC15"</f>
        <v>ANAPC15</v>
      </c>
      <c r="I2544" s="3" t="str">
        <f>"protein_coding"</f>
        <v>protein_coding</v>
      </c>
    </row>
    <row r="2545" spans="1:9" x14ac:dyDescent="0.2">
      <c r="A2545" s="3" t="str">
        <f>"ENSG00000186642.16"</f>
        <v>ENSG00000186642.16</v>
      </c>
      <c r="B2545" s="3">
        <v>124.379233617567</v>
      </c>
      <c r="C2545" s="3">
        <v>2.1660306937832301</v>
      </c>
      <c r="D2545" s="3">
        <v>0.381389741578394</v>
      </c>
      <c r="E2545" s="3">
        <v>5.6793103160536997</v>
      </c>
      <c r="F2545" s="4">
        <v>1.35238931244258E-8</v>
      </c>
      <c r="G2545" s="4">
        <v>2.3429306580229401E-7</v>
      </c>
      <c r="H2545" s="3" t="str">
        <f>"PDE2A"</f>
        <v>PDE2A</v>
      </c>
      <c r="I2545" s="3" t="str">
        <f>"protein_coding"</f>
        <v>protein_coding</v>
      </c>
    </row>
    <row r="2546" spans="1:9" x14ac:dyDescent="0.2">
      <c r="A2546" s="3" t="str">
        <f>"ENSG00000168010.11"</f>
        <v>ENSG00000168010.11</v>
      </c>
      <c r="B2546" s="3">
        <v>3377.3509492574099</v>
      </c>
      <c r="C2546" s="3">
        <v>3.0453730167080399</v>
      </c>
      <c r="D2546" s="3">
        <v>0.27122088725961402</v>
      </c>
      <c r="E2546" s="3">
        <v>11.2283867495537</v>
      </c>
      <c r="F2546" s="4">
        <v>2.9583051242131099E-29</v>
      </c>
      <c r="G2546" s="4">
        <v>2.8621602076761901E-27</v>
      </c>
      <c r="H2546" s="3" t="str">
        <f>"ATG16L2"</f>
        <v>ATG16L2</v>
      </c>
      <c r="I2546" s="3" t="str">
        <f>"protein_coding"</f>
        <v>protein_coding</v>
      </c>
    </row>
    <row r="2547" spans="1:9" x14ac:dyDescent="0.2">
      <c r="A2547" s="3" t="str">
        <f>"ENSG00000137478.15"</f>
        <v>ENSG00000137478.15</v>
      </c>
      <c r="B2547" s="3">
        <v>3320.1104729860599</v>
      </c>
      <c r="C2547" s="3">
        <v>1.03979247687051</v>
      </c>
      <c r="D2547" s="3">
        <v>0.23788920833295299</v>
      </c>
      <c r="E2547" s="3">
        <v>4.3709106611309796</v>
      </c>
      <c r="F2547" s="4">
        <v>1.23729413619422E-5</v>
      </c>
      <c r="G2547" s="3">
        <v>1.2380323785189201E-4</v>
      </c>
      <c r="H2547" s="3" t="str">
        <f>"FCHSD2"</f>
        <v>FCHSD2</v>
      </c>
      <c r="I2547" s="3" t="str">
        <f>"protein_coding"</f>
        <v>protein_coding</v>
      </c>
    </row>
    <row r="2548" spans="1:9" x14ac:dyDescent="0.2">
      <c r="A2548" s="3" t="str">
        <f>"ENSG00000175591.11"</f>
        <v>ENSG00000175591.11</v>
      </c>
      <c r="B2548" s="3">
        <v>753.39052929107095</v>
      </c>
      <c r="C2548" s="3">
        <v>2.81394852366929</v>
      </c>
      <c r="D2548" s="3">
        <v>0.28869653727431899</v>
      </c>
      <c r="E2548" s="3">
        <v>9.7470809668751794</v>
      </c>
      <c r="F2548" s="4">
        <v>1.8984865933651599E-22</v>
      </c>
      <c r="G2548" s="4">
        <v>1.19391075640252E-20</v>
      </c>
      <c r="H2548" s="3" t="str">
        <f>"P2RY2"</f>
        <v>P2RY2</v>
      </c>
      <c r="I2548" s="3" t="str">
        <f>"protein_coding"</f>
        <v>protein_coding</v>
      </c>
    </row>
    <row r="2549" spans="1:9" x14ac:dyDescent="0.2">
      <c r="A2549" s="3" t="str">
        <f>"ENSG00000260401.1"</f>
        <v>ENSG00000260401.1</v>
      </c>
      <c r="B2549" s="3">
        <v>403.12209980396898</v>
      </c>
      <c r="C2549" s="3">
        <v>3.39818018365624</v>
      </c>
      <c r="D2549" s="3">
        <v>0.33389972780809801</v>
      </c>
      <c r="E2549" s="3">
        <v>10.1772475406427</v>
      </c>
      <c r="F2549" s="4">
        <v>2.5054803163331602E-24</v>
      </c>
      <c r="G2549" s="4">
        <v>1.8646555431171799E-22</v>
      </c>
      <c r="H2549" s="3" t="str">
        <f>"AP002761.4"</f>
        <v>AP002761.4</v>
      </c>
      <c r="I2549" s="3" t="str">
        <f>"sense_overlapping"</f>
        <v>sense_overlapping</v>
      </c>
    </row>
    <row r="2550" spans="1:9" x14ac:dyDescent="0.2">
      <c r="A2550" s="3" t="str">
        <f>"ENSG00000171631.14"</f>
        <v>ENSG00000171631.14</v>
      </c>
      <c r="B2550" s="3">
        <v>107.851996091912</v>
      </c>
      <c r="C2550" s="3">
        <v>-1.36022660134326</v>
      </c>
      <c r="D2550" s="3">
        <v>0.422043176858378</v>
      </c>
      <c r="E2550" s="3">
        <v>-3.2229560289744899</v>
      </c>
      <c r="F2550" s="3">
        <v>1.2687502841332401E-3</v>
      </c>
      <c r="G2550" s="3">
        <v>7.4813439750050599E-3</v>
      </c>
      <c r="H2550" s="3" t="str">
        <f>"P2RY6"</f>
        <v>P2RY6</v>
      </c>
      <c r="I2550" s="3" t="str">
        <f t="shared" ref="I2550:I2557" si="108">"protein_coding"</f>
        <v>protein_coding</v>
      </c>
    </row>
    <row r="2551" spans="1:9" x14ac:dyDescent="0.2">
      <c r="A2551" s="3" t="str">
        <f>"ENSG00000054967.13"</f>
        <v>ENSG00000054967.13</v>
      </c>
      <c r="B2551" s="3">
        <v>868.87720977817401</v>
      </c>
      <c r="C2551" s="3">
        <v>-1.17348469536471</v>
      </c>
      <c r="D2551" s="3">
        <v>0.33227132838620399</v>
      </c>
      <c r="E2551" s="3">
        <v>-3.5317061543172099</v>
      </c>
      <c r="F2551" s="3">
        <v>4.1288788542625003E-4</v>
      </c>
      <c r="G2551" s="3">
        <v>2.8307971539649301E-3</v>
      </c>
      <c r="H2551" s="3" t="str">
        <f>"RELT"</f>
        <v>RELT</v>
      </c>
      <c r="I2551" s="3" t="str">
        <f t="shared" si="108"/>
        <v>protein_coding</v>
      </c>
    </row>
    <row r="2552" spans="1:9" x14ac:dyDescent="0.2">
      <c r="A2552" s="3" t="str">
        <f>"ENSG00000054965.10"</f>
        <v>ENSG00000054965.10</v>
      </c>
      <c r="B2552" s="3">
        <v>3124.7926893194899</v>
      </c>
      <c r="C2552" s="3">
        <v>1.33360957585269</v>
      </c>
      <c r="D2552" s="3">
        <v>0.25331385775904203</v>
      </c>
      <c r="E2552" s="3">
        <v>5.2646530578727804</v>
      </c>
      <c r="F2552" s="4">
        <v>1.4045434377962699E-7</v>
      </c>
      <c r="G2552" s="4">
        <v>2.0661573203371399E-6</v>
      </c>
      <c r="H2552" s="3" t="str">
        <f>"FAM168A"</f>
        <v>FAM168A</v>
      </c>
      <c r="I2552" s="3" t="str">
        <f t="shared" si="108"/>
        <v>protein_coding</v>
      </c>
    </row>
    <row r="2553" spans="1:9" x14ac:dyDescent="0.2">
      <c r="A2553" s="3" t="str">
        <f>"ENSG00000021300.14"</f>
        <v>ENSG00000021300.14</v>
      </c>
      <c r="B2553" s="3">
        <v>2053.0179318079299</v>
      </c>
      <c r="C2553" s="3">
        <v>-2.22974269974983</v>
      </c>
      <c r="D2553" s="3">
        <v>0.25689662850120099</v>
      </c>
      <c r="E2553" s="3">
        <v>-8.6795327473105104</v>
      </c>
      <c r="F2553" s="4">
        <v>3.97398038965951E-18</v>
      </c>
      <c r="G2553" s="4">
        <v>1.8790503139452101E-16</v>
      </c>
      <c r="H2553" s="3" t="str">
        <f>"PLEKHB1"</f>
        <v>PLEKHB1</v>
      </c>
      <c r="I2553" s="3" t="str">
        <f t="shared" si="108"/>
        <v>protein_coding</v>
      </c>
    </row>
    <row r="2554" spans="1:9" x14ac:dyDescent="0.2">
      <c r="A2554" s="3" t="str">
        <f>"ENSG00000175567.9"</f>
        <v>ENSG00000175567.9</v>
      </c>
      <c r="B2554" s="3">
        <v>2742.2247952010298</v>
      </c>
      <c r="C2554" s="3">
        <v>1.0815796199832699</v>
      </c>
      <c r="D2554" s="3">
        <v>0.31272279155382798</v>
      </c>
      <c r="E2554" s="3">
        <v>3.4585890417811198</v>
      </c>
      <c r="F2554" s="3">
        <v>5.4301274952707696E-4</v>
      </c>
      <c r="G2554" s="3">
        <v>3.5955477005405702E-3</v>
      </c>
      <c r="H2554" s="3" t="str">
        <f>"UCP2"</f>
        <v>UCP2</v>
      </c>
      <c r="I2554" s="3" t="str">
        <f t="shared" si="108"/>
        <v>protein_coding</v>
      </c>
    </row>
    <row r="2555" spans="1:9" x14ac:dyDescent="0.2">
      <c r="A2555" s="3" t="str">
        <f>"ENSG00000165434.8"</f>
        <v>ENSG00000165434.8</v>
      </c>
      <c r="B2555" s="3">
        <v>383.95895093006197</v>
      </c>
      <c r="C2555" s="3">
        <v>-1.2528370826122399</v>
      </c>
      <c r="D2555" s="3">
        <v>0.284236899098952</v>
      </c>
      <c r="E2555" s="3">
        <v>-4.4077214696044296</v>
      </c>
      <c r="F2555" s="4">
        <v>1.0446376231612199E-5</v>
      </c>
      <c r="G2555" s="3">
        <v>1.063020202695E-4</v>
      </c>
      <c r="H2555" s="3" t="str">
        <f>"PGM2L1"</f>
        <v>PGM2L1</v>
      </c>
      <c r="I2555" s="3" t="str">
        <f t="shared" si="108"/>
        <v>protein_coding</v>
      </c>
    </row>
    <row r="2556" spans="1:9" x14ac:dyDescent="0.2">
      <c r="A2556" s="3" t="str">
        <f>"ENSG00000175538.10"</f>
        <v>ENSG00000175538.10</v>
      </c>
      <c r="B2556" s="3">
        <v>19.838715012069599</v>
      </c>
      <c r="C2556" s="3">
        <v>-2.0515885481410301</v>
      </c>
      <c r="D2556" s="3">
        <v>0.79497679071345295</v>
      </c>
      <c r="E2556" s="3">
        <v>-2.5806898668070901</v>
      </c>
      <c r="F2556" s="3">
        <v>9.8603118316806203E-3</v>
      </c>
      <c r="G2556" s="3">
        <v>4.1770990927235803E-2</v>
      </c>
      <c r="H2556" s="3" t="str">
        <f>"KCNE3"</f>
        <v>KCNE3</v>
      </c>
      <c r="I2556" s="3" t="str">
        <f t="shared" si="108"/>
        <v>protein_coding</v>
      </c>
    </row>
    <row r="2557" spans="1:9" x14ac:dyDescent="0.2">
      <c r="A2557" s="3" t="str">
        <f>"ENSG00000077514.8"</f>
        <v>ENSG00000077514.8</v>
      </c>
      <c r="B2557" s="3">
        <v>1781.86440376267</v>
      </c>
      <c r="C2557" s="3">
        <v>-2.3282094754739102</v>
      </c>
      <c r="D2557" s="3">
        <v>0.26689641706331702</v>
      </c>
      <c r="E2557" s="3">
        <v>-8.7232698778477094</v>
      </c>
      <c r="F2557" s="4">
        <v>2.7028106074454602E-18</v>
      </c>
      <c r="G2557" s="4">
        <v>1.29503239676744E-16</v>
      </c>
      <c r="H2557" s="3" t="str">
        <f>"POLD3"</f>
        <v>POLD3</v>
      </c>
      <c r="I2557" s="3" t="str">
        <f t="shared" si="108"/>
        <v>protein_coding</v>
      </c>
    </row>
    <row r="2558" spans="1:9" x14ac:dyDescent="0.2">
      <c r="A2558" s="3" t="str">
        <f>"ENSG00000254500.1"</f>
        <v>ENSG00000254500.1</v>
      </c>
      <c r="B2558" s="3">
        <v>9.3978785732845704</v>
      </c>
      <c r="C2558" s="3">
        <v>-3.4178951590507101</v>
      </c>
      <c r="D2558" s="3">
        <v>1.33741672107786</v>
      </c>
      <c r="E2558" s="3">
        <v>-2.5555947560579</v>
      </c>
      <c r="F2558" s="3">
        <v>1.0600649440714901E-2</v>
      </c>
      <c r="G2558" s="3">
        <v>4.4317656087947903E-2</v>
      </c>
      <c r="H2558" s="3" t="str">
        <f>"RANP3"</f>
        <v>RANP3</v>
      </c>
      <c r="I2558" s="3" t="str">
        <f>"processed_pseudogene"</f>
        <v>processed_pseudogene</v>
      </c>
    </row>
    <row r="2559" spans="1:9" x14ac:dyDescent="0.2">
      <c r="A2559" s="3" t="str">
        <f>"ENSG00000054938.15"</f>
        <v>ENSG00000054938.15</v>
      </c>
      <c r="B2559" s="3">
        <v>37.7087102894778</v>
      </c>
      <c r="C2559" s="3">
        <v>-2.2272965707615402</v>
      </c>
      <c r="D2559" s="3">
        <v>0.65007574773634402</v>
      </c>
      <c r="E2559" s="3">
        <v>-3.42621083545618</v>
      </c>
      <c r="F2559" s="3">
        <v>6.1206508379891905E-4</v>
      </c>
      <c r="G2559" s="3">
        <v>3.9970138065840597E-3</v>
      </c>
      <c r="H2559" s="3" t="str">
        <f>"CHRDL2"</f>
        <v>CHRDL2</v>
      </c>
      <c r="I2559" s="3" t="str">
        <f>"protein_coding"</f>
        <v>protein_coding</v>
      </c>
    </row>
    <row r="2560" spans="1:9" x14ac:dyDescent="0.2">
      <c r="A2560" s="3" t="str">
        <f>"ENSG00000118363.12"</f>
        <v>ENSG00000118363.12</v>
      </c>
      <c r="B2560" s="3">
        <v>2829.4588507864401</v>
      </c>
      <c r="C2560" s="3">
        <v>-1.1048449843969199</v>
      </c>
      <c r="D2560" s="3">
        <v>0.29205592258887503</v>
      </c>
      <c r="E2560" s="3">
        <v>-3.7829911977241601</v>
      </c>
      <c r="F2560" s="3">
        <v>1.5495489633613499E-4</v>
      </c>
      <c r="G2560" s="3">
        <v>1.1931100144889799E-3</v>
      </c>
      <c r="H2560" s="3" t="str">
        <f>"SPCS2"</f>
        <v>SPCS2</v>
      </c>
      <c r="I2560" s="3" t="str">
        <f>"protein_coding"</f>
        <v>protein_coding</v>
      </c>
    </row>
    <row r="2561" spans="1:9" x14ac:dyDescent="0.2">
      <c r="A2561" s="3" t="str">
        <f>"ENSG00000162139.10"</f>
        <v>ENSG00000162139.10</v>
      </c>
      <c r="B2561" s="3">
        <v>2282.5292361145698</v>
      </c>
      <c r="C2561" s="3">
        <v>1.6298526698174101</v>
      </c>
      <c r="D2561" s="3">
        <v>0.240843521359908</v>
      </c>
      <c r="E2561" s="3">
        <v>6.76726806108194</v>
      </c>
      <c r="F2561" s="4">
        <v>1.3123679436619401E-11</v>
      </c>
      <c r="G2561" s="4">
        <v>3.3379793349662398E-10</v>
      </c>
      <c r="H2561" s="3" t="str">
        <f>"NEU3"</f>
        <v>NEU3</v>
      </c>
      <c r="I2561" s="3" t="str">
        <f>"protein_coding"</f>
        <v>protein_coding</v>
      </c>
    </row>
    <row r="2562" spans="1:9" x14ac:dyDescent="0.2">
      <c r="A2562" s="3" t="str">
        <f>"ENSG00000137491.14"</f>
        <v>ENSG00000137491.14</v>
      </c>
      <c r="B2562" s="3">
        <v>219.44785483697299</v>
      </c>
      <c r="C2562" s="3">
        <v>-1.1261447033888701</v>
      </c>
      <c r="D2562" s="3">
        <v>0.35012239449507898</v>
      </c>
      <c r="E2562" s="3">
        <v>-3.2164315139364801</v>
      </c>
      <c r="F2562" s="3">
        <v>1.2979550869410201E-3</v>
      </c>
      <c r="G2562" s="3">
        <v>7.6213959411767897E-3</v>
      </c>
      <c r="H2562" s="3" t="str">
        <f>"SLCO2B1"</f>
        <v>SLCO2B1</v>
      </c>
      <c r="I2562" s="3" t="str">
        <f>"protein_coding"</f>
        <v>protein_coding</v>
      </c>
    </row>
    <row r="2563" spans="1:9" x14ac:dyDescent="0.2">
      <c r="A2563" s="3" t="str">
        <f>"ENSG00000137486.17"</f>
        <v>ENSG00000137486.17</v>
      </c>
      <c r="B2563" s="3">
        <v>2448.80590858704</v>
      </c>
      <c r="C2563" s="3">
        <v>-1.1162960356505101</v>
      </c>
      <c r="D2563" s="3">
        <v>0.26777277448817799</v>
      </c>
      <c r="E2563" s="3">
        <v>-4.1688182743155897</v>
      </c>
      <c r="F2563" s="4">
        <v>3.0618298366337602E-5</v>
      </c>
      <c r="G2563" s="3">
        <v>2.8140420000190801E-4</v>
      </c>
      <c r="H2563" s="3" t="str">
        <f>"ARRB1"</f>
        <v>ARRB1</v>
      </c>
      <c r="I2563" s="3" t="str">
        <f>"protein_coding"</f>
        <v>protein_coding</v>
      </c>
    </row>
    <row r="2564" spans="1:9" x14ac:dyDescent="0.2">
      <c r="A2564" s="3" t="str">
        <f>"ENSG00000207445.1"</f>
        <v>ENSG00000207445.1</v>
      </c>
      <c r="B2564" s="3">
        <v>75.725441237390498</v>
      </c>
      <c r="C2564" s="3">
        <v>-1.4216541506246101</v>
      </c>
      <c r="D2564" s="3">
        <v>0.45720475935312199</v>
      </c>
      <c r="E2564" s="3">
        <v>-3.1094474008451698</v>
      </c>
      <c r="F2564" s="3">
        <v>1.87437654814839E-3</v>
      </c>
      <c r="G2564" s="3">
        <v>1.0367181633393299E-2</v>
      </c>
      <c r="H2564" s="3" t="str">
        <f>"SNORD15B"</f>
        <v>SNORD15B</v>
      </c>
      <c r="I2564" s="3" t="str">
        <f>"snoRNA"</f>
        <v>snoRNA</v>
      </c>
    </row>
    <row r="2565" spans="1:9" x14ac:dyDescent="0.2">
      <c r="A2565" s="3" t="str">
        <f>"ENSG00000149257.14"</f>
        <v>ENSG00000149257.14</v>
      </c>
      <c r="B2565" s="3">
        <v>7469.7915056704596</v>
      </c>
      <c r="C2565" s="3">
        <v>-1.95833686492216</v>
      </c>
      <c r="D2565" s="3">
        <v>0.28227642161940503</v>
      </c>
      <c r="E2565" s="3">
        <v>-6.9376565484544601</v>
      </c>
      <c r="F2565" s="4">
        <v>3.9865745507506897E-12</v>
      </c>
      <c r="G2565" s="4">
        <v>1.08062804767385E-10</v>
      </c>
      <c r="H2565" s="3" t="str">
        <f>"SERPINH1"</f>
        <v>SERPINH1</v>
      </c>
      <c r="I2565" s="3" t="str">
        <f>"protein_coding"</f>
        <v>protein_coding</v>
      </c>
    </row>
    <row r="2566" spans="1:9" x14ac:dyDescent="0.2">
      <c r="A2566" s="3" t="str">
        <f>"ENSG00000062282.15"</f>
        <v>ENSG00000062282.15</v>
      </c>
      <c r="B2566" s="3">
        <v>3674.4081368932798</v>
      </c>
      <c r="C2566" s="3">
        <v>1.48242512179858</v>
      </c>
      <c r="D2566" s="3">
        <v>0.26569647052415202</v>
      </c>
      <c r="E2566" s="3">
        <v>5.5793933539054299</v>
      </c>
      <c r="F2566" s="4">
        <v>2.4135887104649401E-8</v>
      </c>
      <c r="G2566" s="4">
        <v>3.9995931496538599E-7</v>
      </c>
      <c r="H2566" s="3" t="str">
        <f>"DGAT2"</f>
        <v>DGAT2</v>
      </c>
      <c r="I2566" s="3" t="str">
        <f>"protein_coding"</f>
        <v>protein_coding</v>
      </c>
    </row>
    <row r="2567" spans="1:9" x14ac:dyDescent="0.2">
      <c r="A2567" s="3" t="str">
        <f>"ENSG00000254826.1"</f>
        <v>ENSG00000254826.1</v>
      </c>
      <c r="B2567" s="3">
        <v>106.258836083253</v>
      </c>
      <c r="C2567" s="3">
        <v>1.64884366431554</v>
      </c>
      <c r="D2567" s="3">
        <v>0.41206770152334798</v>
      </c>
      <c r="E2567" s="3">
        <v>4.0013902041340099</v>
      </c>
      <c r="F2567" s="4">
        <v>6.2971413801629305E-5</v>
      </c>
      <c r="G2567" s="3">
        <v>5.3952517512942302E-4</v>
      </c>
      <c r="H2567" s="3" t="str">
        <f>"AP001922.3"</f>
        <v>AP001922.3</v>
      </c>
      <c r="I2567" s="3" t="str">
        <f>"sense_intronic"</f>
        <v>sense_intronic</v>
      </c>
    </row>
    <row r="2568" spans="1:9" x14ac:dyDescent="0.2">
      <c r="A2568" s="3" t="str">
        <f>"ENSG00000179240.9"</f>
        <v>ENSG00000179240.9</v>
      </c>
      <c r="B2568" s="3">
        <v>207.704131376053</v>
      </c>
      <c r="C2568" s="3">
        <v>-1.06385090095187</v>
      </c>
      <c r="D2568" s="3">
        <v>0.32105465341289602</v>
      </c>
      <c r="E2568" s="3">
        <v>-3.3136130862544801</v>
      </c>
      <c r="F2568" s="3">
        <v>9.2098855269189396E-4</v>
      </c>
      <c r="G2568" s="3">
        <v>5.6894565429677297E-3</v>
      </c>
      <c r="H2568" s="3" t="str">
        <f>"GVQW3"</f>
        <v>GVQW3</v>
      </c>
      <c r="I2568" s="3" t="str">
        <f>"protein_coding"</f>
        <v>protein_coding</v>
      </c>
    </row>
    <row r="2569" spans="1:9" x14ac:dyDescent="0.2">
      <c r="A2569" s="3" t="str">
        <f>"ENSG00000182704.8"</f>
        <v>ENSG00000182704.8</v>
      </c>
      <c r="B2569" s="3">
        <v>1914.88943953686</v>
      </c>
      <c r="C2569" s="3">
        <v>1.00301084614223</v>
      </c>
      <c r="D2569" s="3">
        <v>0.28798586489014</v>
      </c>
      <c r="E2569" s="3">
        <v>3.4828474881045102</v>
      </c>
      <c r="F2569" s="3">
        <v>4.9611090675024999E-4</v>
      </c>
      <c r="G2569" s="3">
        <v>3.31817863847449E-3</v>
      </c>
      <c r="H2569" s="3" t="str">
        <f>"TSKU"</f>
        <v>TSKU</v>
      </c>
      <c r="I2569" s="3" t="str">
        <f>"protein_coding"</f>
        <v>protein_coding</v>
      </c>
    </row>
    <row r="2570" spans="1:9" x14ac:dyDescent="0.2">
      <c r="A2570" s="3" t="str">
        <f>"ENSG00000255100.1"</f>
        <v>ENSG00000255100.1</v>
      </c>
      <c r="B2570" s="3">
        <v>47.7533910497609</v>
      </c>
      <c r="C2570" s="3">
        <v>1.40879603744652</v>
      </c>
      <c r="D2570" s="3">
        <v>0.53509453446326205</v>
      </c>
      <c r="E2570" s="3">
        <v>2.6327984060978</v>
      </c>
      <c r="F2570" s="3">
        <v>8.4684595311491501E-3</v>
      </c>
      <c r="G2570" s="3">
        <v>3.6798082485067697E-2</v>
      </c>
      <c r="H2570" s="3" t="str">
        <f>"AP003119.2"</f>
        <v>AP003119.2</v>
      </c>
      <c r="I2570" s="3" t="str">
        <f>"antisense"</f>
        <v>antisense</v>
      </c>
    </row>
    <row r="2571" spans="1:9" x14ac:dyDescent="0.2">
      <c r="A2571" s="3" t="str">
        <f>"ENSG00000149260.17"</f>
        <v>ENSG00000149260.17</v>
      </c>
      <c r="B2571" s="3">
        <v>116.381579779183</v>
      </c>
      <c r="C2571" s="3">
        <v>-2.7698647381139399</v>
      </c>
      <c r="D2571" s="3">
        <v>0.41700849415874902</v>
      </c>
      <c r="E2571" s="3">
        <v>-6.6422261822309396</v>
      </c>
      <c r="F2571" s="4">
        <v>3.08980319742505E-11</v>
      </c>
      <c r="G2571" s="4">
        <v>7.5023165474157599E-10</v>
      </c>
      <c r="H2571" s="3" t="str">
        <f>"CAPN5"</f>
        <v>CAPN5</v>
      </c>
      <c r="I2571" s="3" t="str">
        <f t="shared" ref="I2571:I2579" si="109">"protein_coding"</f>
        <v>protein_coding</v>
      </c>
    </row>
    <row r="2572" spans="1:9" x14ac:dyDescent="0.2">
      <c r="A2572" s="3" t="str">
        <f>"ENSG00000137474.21"</f>
        <v>ENSG00000137474.21</v>
      </c>
      <c r="B2572" s="3">
        <v>456.91220512077399</v>
      </c>
      <c r="C2572" s="3">
        <v>-1.8154423562869799</v>
      </c>
      <c r="D2572" s="3">
        <v>0.335283368277281</v>
      </c>
      <c r="E2572" s="3">
        <v>-5.4146507940876996</v>
      </c>
      <c r="F2572" s="4">
        <v>6.14084328828431E-8</v>
      </c>
      <c r="G2572" s="4">
        <v>9.4826834203064303E-7</v>
      </c>
      <c r="H2572" s="3" t="str">
        <f>"MYO7A"</f>
        <v>MYO7A</v>
      </c>
      <c r="I2572" s="3" t="str">
        <f t="shared" si="109"/>
        <v>protein_coding</v>
      </c>
    </row>
    <row r="2573" spans="1:9" x14ac:dyDescent="0.2">
      <c r="A2573" s="3" t="str">
        <f>"ENSG00000149269.9"</f>
        <v>ENSG00000149269.9</v>
      </c>
      <c r="B2573" s="3">
        <v>360.84160355106297</v>
      </c>
      <c r="C2573" s="3">
        <v>-2.9662524660058698</v>
      </c>
      <c r="D2573" s="3">
        <v>0.31090851920402601</v>
      </c>
      <c r="E2573" s="3">
        <v>-9.5405956504502694</v>
      </c>
      <c r="F2573" s="4">
        <v>1.4201426396601299E-21</v>
      </c>
      <c r="G2573" s="4">
        <v>8.4653289338034396E-20</v>
      </c>
      <c r="H2573" s="3" t="str">
        <f>"PAK1"</f>
        <v>PAK1</v>
      </c>
      <c r="I2573" s="3" t="str">
        <f t="shared" si="109"/>
        <v>protein_coding</v>
      </c>
    </row>
    <row r="2574" spans="1:9" x14ac:dyDescent="0.2">
      <c r="A2574" s="3" t="str">
        <f>"ENSG00000151364.17"</f>
        <v>ENSG00000151364.17</v>
      </c>
      <c r="B2574" s="3">
        <v>363.64130273461399</v>
      </c>
      <c r="C2574" s="3">
        <v>-1.69222757084036</v>
      </c>
      <c r="D2574" s="3">
        <v>0.30927256947350301</v>
      </c>
      <c r="E2574" s="3">
        <v>-5.4716380884381604</v>
      </c>
      <c r="F2574" s="4">
        <v>4.45894704450273E-8</v>
      </c>
      <c r="G2574" s="4">
        <v>7.0543907487085599E-7</v>
      </c>
      <c r="H2574" s="3" t="str">
        <f>"KCTD14"</f>
        <v>KCTD14</v>
      </c>
      <c r="I2574" s="3" t="str">
        <f t="shared" si="109"/>
        <v>protein_coding</v>
      </c>
    </row>
    <row r="2575" spans="1:9" x14ac:dyDescent="0.2">
      <c r="A2575" s="3" t="str">
        <f>"ENSG00000151366.13"</f>
        <v>ENSG00000151366.13</v>
      </c>
      <c r="B2575" s="3">
        <v>3701.1154777658498</v>
      </c>
      <c r="C2575" s="3">
        <v>-1.2427633765136501</v>
      </c>
      <c r="D2575" s="3">
        <v>0.241925076175662</v>
      </c>
      <c r="E2575" s="3">
        <v>-5.1369762744697098</v>
      </c>
      <c r="F2575" s="4">
        <v>2.7919418756265201E-7</v>
      </c>
      <c r="G2575" s="4">
        <v>3.8673622181379397E-6</v>
      </c>
      <c r="H2575" s="3" t="str">
        <f>"NDUFC2"</f>
        <v>NDUFC2</v>
      </c>
      <c r="I2575" s="3" t="str">
        <f t="shared" si="109"/>
        <v>protein_coding</v>
      </c>
    </row>
    <row r="2576" spans="1:9" x14ac:dyDescent="0.2">
      <c r="A2576" s="3" t="str">
        <f>"ENSG00000118369.13"</f>
        <v>ENSG00000118369.13</v>
      </c>
      <c r="B2576" s="3">
        <v>1237.2346822362299</v>
      </c>
      <c r="C2576" s="3">
        <v>1.0568339213748099</v>
      </c>
      <c r="D2576" s="3">
        <v>0.31798808893812303</v>
      </c>
      <c r="E2576" s="3">
        <v>3.3235015968804298</v>
      </c>
      <c r="F2576" s="3">
        <v>8.8894913823912001E-4</v>
      </c>
      <c r="G2576" s="3">
        <v>5.5268204578361501E-3</v>
      </c>
      <c r="H2576" s="3" t="str">
        <f>"USP35"</f>
        <v>USP35</v>
      </c>
      <c r="I2576" s="3" t="str">
        <f t="shared" si="109"/>
        <v>protein_coding</v>
      </c>
    </row>
    <row r="2577" spans="1:9" x14ac:dyDescent="0.2">
      <c r="A2577" s="3" t="str">
        <f>"ENSG00000137502.10"</f>
        <v>ENSG00000137502.10</v>
      </c>
      <c r="B2577" s="3">
        <v>502.20609494649699</v>
      </c>
      <c r="C2577" s="3">
        <v>-2.2271903938172999</v>
      </c>
      <c r="D2577" s="3">
        <v>0.28315625604818501</v>
      </c>
      <c r="E2577" s="3">
        <v>-7.8655878026523096</v>
      </c>
      <c r="F2577" s="4">
        <v>3.6736832839083502E-15</v>
      </c>
      <c r="G2577" s="4">
        <v>1.35302347008367E-13</v>
      </c>
      <c r="H2577" s="3" t="str">
        <f>"RAB30"</f>
        <v>RAB30</v>
      </c>
      <c r="I2577" s="3" t="str">
        <f t="shared" si="109"/>
        <v>protein_coding</v>
      </c>
    </row>
    <row r="2578" spans="1:9" x14ac:dyDescent="0.2">
      <c r="A2578" s="3" t="str">
        <f>"ENSG00000137500.9"</f>
        <v>ENSG00000137500.9</v>
      </c>
      <c r="B2578" s="3">
        <v>3607.75727780325</v>
      </c>
      <c r="C2578" s="3">
        <v>1.6467190871228401</v>
      </c>
      <c r="D2578" s="3">
        <v>0.269327097189141</v>
      </c>
      <c r="E2578" s="3">
        <v>6.1141975846804204</v>
      </c>
      <c r="F2578" s="4">
        <v>9.7044009074919299E-10</v>
      </c>
      <c r="G2578" s="4">
        <v>1.9750340196436801E-8</v>
      </c>
      <c r="H2578" s="3" t="str">
        <f>"CCDC90B"</f>
        <v>CCDC90B</v>
      </c>
      <c r="I2578" s="3" t="str">
        <f t="shared" si="109"/>
        <v>protein_coding</v>
      </c>
    </row>
    <row r="2579" spans="1:9" x14ac:dyDescent="0.2">
      <c r="A2579" s="3" t="str">
        <f>"ENSG00000150672.17"</f>
        <v>ENSG00000150672.17</v>
      </c>
      <c r="B2579" s="3">
        <v>148.55539229987099</v>
      </c>
      <c r="C2579" s="3">
        <v>-1.2639382897740501</v>
      </c>
      <c r="D2579" s="3">
        <v>0.373834385934186</v>
      </c>
      <c r="E2579" s="3">
        <v>-3.3810113176602301</v>
      </c>
      <c r="F2579" s="3">
        <v>7.2219568176642404E-4</v>
      </c>
      <c r="G2579" s="3">
        <v>4.6284923247985697E-3</v>
      </c>
      <c r="H2579" s="3" t="str">
        <f>"DLG2"</f>
        <v>DLG2</v>
      </c>
      <c r="I2579" s="3" t="str">
        <f t="shared" si="109"/>
        <v>protein_coding</v>
      </c>
    </row>
    <row r="2580" spans="1:9" x14ac:dyDescent="0.2">
      <c r="A2580" s="3" t="str">
        <f>"ENSG00000279742.1"</f>
        <v>ENSG00000279742.1</v>
      </c>
      <c r="B2580" s="3">
        <v>172.12109480654499</v>
      </c>
      <c r="C2580" s="3">
        <v>-1.5381945929409999</v>
      </c>
      <c r="D2580" s="3">
        <v>0.34857530369652101</v>
      </c>
      <c r="E2580" s="3">
        <v>-4.4128042825437701</v>
      </c>
      <c r="F2580" s="4">
        <v>1.0204023414873701E-5</v>
      </c>
      <c r="G2580" s="3">
        <v>1.04257599106884E-4</v>
      </c>
      <c r="H2580" s="3" t="str">
        <f>"AP000974.1"</f>
        <v>AP000974.1</v>
      </c>
      <c r="I2580" s="3" t="str">
        <f>"TEC"</f>
        <v>TEC</v>
      </c>
    </row>
    <row r="2581" spans="1:9" x14ac:dyDescent="0.2">
      <c r="A2581" s="3" t="str">
        <f>"ENSG00000255005.1"</f>
        <v>ENSG00000255005.1</v>
      </c>
      <c r="B2581" s="3">
        <v>31.791143691470399</v>
      </c>
      <c r="C2581" s="3">
        <v>-2.1716845702083898</v>
      </c>
      <c r="D2581" s="3">
        <v>0.69176169767283902</v>
      </c>
      <c r="E2581" s="3">
        <v>-3.1393535917269899</v>
      </c>
      <c r="F2581" s="3">
        <v>1.6932100134147299E-3</v>
      </c>
      <c r="G2581" s="3">
        <v>9.5391150632229693E-3</v>
      </c>
      <c r="H2581" s="3" t="str">
        <f>"AP003128.1"</f>
        <v>AP003128.1</v>
      </c>
      <c r="I2581" s="3" t="str">
        <f>"antisense"</f>
        <v>antisense</v>
      </c>
    </row>
    <row r="2582" spans="1:9" x14ac:dyDescent="0.2">
      <c r="A2582" s="3" t="str">
        <f>"ENSG00000254783.1"</f>
        <v>ENSG00000254783.1</v>
      </c>
      <c r="B2582" s="3">
        <v>137.93626840442101</v>
      </c>
      <c r="C2582" s="3">
        <v>1.1467357310592901</v>
      </c>
      <c r="D2582" s="3">
        <v>0.41982574505341202</v>
      </c>
      <c r="E2582" s="3">
        <v>2.7314564306040698</v>
      </c>
      <c r="F2582" s="3">
        <v>6.3055077638802699E-3</v>
      </c>
      <c r="G2582" s="3">
        <v>2.8703415152504699E-2</v>
      </c>
      <c r="H2582" s="3" t="str">
        <f>"AP003084.1"</f>
        <v>AP003084.1</v>
      </c>
      <c r="I2582" s="3" t="str">
        <f>"processed_pseudogene"</f>
        <v>processed_pseudogene</v>
      </c>
    </row>
    <row r="2583" spans="1:9" x14ac:dyDescent="0.2">
      <c r="A2583" s="3" t="str">
        <f>"ENSG00000174804.4"</f>
        <v>ENSG00000174804.4</v>
      </c>
      <c r="B2583" s="3">
        <v>6031.6514544023003</v>
      </c>
      <c r="C2583" s="3">
        <v>-1.34139505951404</v>
      </c>
      <c r="D2583" s="3">
        <v>0.24100988806239601</v>
      </c>
      <c r="E2583" s="3">
        <v>-5.5657262459155001</v>
      </c>
      <c r="F2583" s="4">
        <v>2.6106281656679699E-8</v>
      </c>
      <c r="G2583" s="4">
        <v>4.3006124104373102E-7</v>
      </c>
      <c r="H2583" s="3" t="str">
        <f>"FZD4"</f>
        <v>FZD4</v>
      </c>
      <c r="I2583" s="3" t="str">
        <f t="shared" ref="I2583:I2596" si="110">"protein_coding"</f>
        <v>protein_coding</v>
      </c>
    </row>
    <row r="2584" spans="1:9" x14ac:dyDescent="0.2">
      <c r="A2584" s="3" t="str">
        <f>"ENSG00000109861.16"</f>
        <v>ENSG00000109861.16</v>
      </c>
      <c r="B2584" s="3">
        <v>7070.7905415305304</v>
      </c>
      <c r="C2584" s="3">
        <v>-1.9571014732674801</v>
      </c>
      <c r="D2584" s="3">
        <v>0.24972840663920501</v>
      </c>
      <c r="E2584" s="3">
        <v>-7.8369197145241003</v>
      </c>
      <c r="F2584" s="4">
        <v>4.6173306421424803E-15</v>
      </c>
      <c r="G2584" s="4">
        <v>1.6857612816124E-13</v>
      </c>
      <c r="H2584" s="3" t="str">
        <f>"CTSC"</f>
        <v>CTSC</v>
      </c>
      <c r="I2584" s="3" t="str">
        <f t="shared" si="110"/>
        <v>protein_coding</v>
      </c>
    </row>
    <row r="2585" spans="1:9" x14ac:dyDescent="0.2">
      <c r="A2585" s="3" t="str">
        <f>"ENSG00000077616.11"</f>
        <v>ENSG00000077616.11</v>
      </c>
      <c r="B2585" s="3">
        <v>516.72671885988996</v>
      </c>
      <c r="C2585" s="3">
        <v>-1.7189764385217501</v>
      </c>
      <c r="D2585" s="3">
        <v>0.28798289845122299</v>
      </c>
      <c r="E2585" s="3">
        <v>-5.9690226321300202</v>
      </c>
      <c r="F2585" s="4">
        <v>2.3867900641664099E-9</v>
      </c>
      <c r="G2585" s="4">
        <v>4.5727116575861398E-8</v>
      </c>
      <c r="H2585" s="3" t="str">
        <f>"NAALAD2"</f>
        <v>NAALAD2</v>
      </c>
      <c r="I2585" s="3" t="str">
        <f t="shared" si="110"/>
        <v>protein_coding</v>
      </c>
    </row>
    <row r="2586" spans="1:9" x14ac:dyDescent="0.2">
      <c r="A2586" s="3" t="str">
        <f>"ENSG00000183560.9"</f>
        <v>ENSG00000183560.9</v>
      </c>
      <c r="B2586" s="3">
        <v>190.06265039957501</v>
      </c>
      <c r="C2586" s="3">
        <v>11.0892196670701</v>
      </c>
      <c r="D2586" s="3">
        <v>1.48070255323026</v>
      </c>
      <c r="E2586" s="3">
        <v>7.4891609005996003</v>
      </c>
      <c r="F2586" s="4">
        <v>6.9315323656123703E-14</v>
      </c>
      <c r="G2586" s="4">
        <v>2.2498412471868302E-12</v>
      </c>
      <c r="H2586" s="3" t="str">
        <f>"IZUMO1R"</f>
        <v>IZUMO1R</v>
      </c>
      <c r="I2586" s="3" t="str">
        <f t="shared" si="110"/>
        <v>protein_coding</v>
      </c>
    </row>
    <row r="2587" spans="1:9" x14ac:dyDescent="0.2">
      <c r="A2587" s="3" t="str">
        <f>"ENSG00000166025.18"</f>
        <v>ENSG00000166025.18</v>
      </c>
      <c r="B2587" s="3">
        <v>1692.2060482639899</v>
      </c>
      <c r="C2587" s="3">
        <v>5.2416610406286797</v>
      </c>
      <c r="D2587" s="3">
        <v>0.27060589641004001</v>
      </c>
      <c r="E2587" s="3">
        <v>19.370091746582499</v>
      </c>
      <c r="F2587" s="4">
        <v>1.38011427549053E-83</v>
      </c>
      <c r="G2587" s="4">
        <v>1.23988480714158E-80</v>
      </c>
      <c r="H2587" s="3" t="str">
        <f>"AMOTL1"</f>
        <v>AMOTL1</v>
      </c>
      <c r="I2587" s="3" t="str">
        <f t="shared" si="110"/>
        <v>protein_coding</v>
      </c>
    </row>
    <row r="2588" spans="1:9" x14ac:dyDescent="0.2">
      <c r="A2588" s="3" t="str">
        <f>"ENSG00000263465.4"</f>
        <v>ENSG00000263465.4</v>
      </c>
      <c r="B2588" s="3">
        <v>2603.8186825810199</v>
      </c>
      <c r="C2588" s="3">
        <v>2.3638635223087898</v>
      </c>
      <c r="D2588" s="3">
        <v>0.24243413923496601</v>
      </c>
      <c r="E2588" s="3">
        <v>9.7505389701643708</v>
      </c>
      <c r="F2588" s="4">
        <v>1.8349147292531901E-22</v>
      </c>
      <c r="G2588" s="4">
        <v>1.15682406051037E-20</v>
      </c>
      <c r="H2588" s="3" t="str">
        <f>"SRSF8"</f>
        <v>SRSF8</v>
      </c>
      <c r="I2588" s="3" t="str">
        <f t="shared" si="110"/>
        <v>protein_coding</v>
      </c>
    </row>
    <row r="2589" spans="1:9" x14ac:dyDescent="0.2">
      <c r="A2589" s="3" t="str">
        <f>"ENSG00000149218.5"</f>
        <v>ENSG00000149218.5</v>
      </c>
      <c r="B2589" s="3">
        <v>877.53064806875</v>
      </c>
      <c r="C2589" s="3">
        <v>2.66992387583936</v>
      </c>
      <c r="D2589" s="3">
        <v>0.26121692922608197</v>
      </c>
      <c r="E2589" s="3">
        <v>10.221098164462999</v>
      </c>
      <c r="F2589" s="4">
        <v>1.59523311752926E-24</v>
      </c>
      <c r="G2589" s="4">
        <v>1.1978534051178699E-22</v>
      </c>
      <c r="H2589" s="3" t="str">
        <f>"ENDOD1"</f>
        <v>ENDOD1</v>
      </c>
      <c r="I2589" s="3" t="str">
        <f t="shared" si="110"/>
        <v>protein_coding</v>
      </c>
    </row>
    <row r="2590" spans="1:9" x14ac:dyDescent="0.2">
      <c r="A2590" s="3" t="str">
        <f>"ENSG00000149212.11"</f>
        <v>ENSG00000149212.11</v>
      </c>
      <c r="B2590" s="3">
        <v>1331.3616535178301</v>
      </c>
      <c r="C2590" s="3">
        <v>-2.6157722989711698</v>
      </c>
      <c r="D2590" s="3">
        <v>0.26768161103405103</v>
      </c>
      <c r="E2590" s="3">
        <v>-9.7719536611666307</v>
      </c>
      <c r="F2590" s="4">
        <v>1.48559281245445E-22</v>
      </c>
      <c r="G2590" s="4">
        <v>9.4368907063867901E-21</v>
      </c>
      <c r="H2590" s="3" t="str">
        <f>"SESN3"</f>
        <v>SESN3</v>
      </c>
      <c r="I2590" s="3" t="str">
        <f t="shared" si="110"/>
        <v>protein_coding</v>
      </c>
    </row>
    <row r="2591" spans="1:9" x14ac:dyDescent="0.2">
      <c r="A2591" s="3" t="str">
        <f>"ENSG00000023445.14"</f>
        <v>ENSG00000023445.14</v>
      </c>
      <c r="B2591" s="3">
        <v>605.60293156265095</v>
      </c>
      <c r="C2591" s="3">
        <v>-2.8034030197405402</v>
      </c>
      <c r="D2591" s="3">
        <v>0.28404877775978898</v>
      </c>
      <c r="E2591" s="3">
        <v>-9.8694422903353693</v>
      </c>
      <c r="F2591" s="4">
        <v>5.6477746715033205E-23</v>
      </c>
      <c r="G2591" s="4">
        <v>3.6901239444588497E-21</v>
      </c>
      <c r="H2591" s="3" t="str">
        <f>"BIRC3"</f>
        <v>BIRC3</v>
      </c>
      <c r="I2591" s="3" t="str">
        <f t="shared" si="110"/>
        <v>protein_coding</v>
      </c>
    </row>
    <row r="2592" spans="1:9" x14ac:dyDescent="0.2">
      <c r="A2592" s="3" t="str">
        <f>"ENSG00000178202.13"</f>
        <v>ENSG00000178202.13</v>
      </c>
      <c r="B2592" s="3">
        <v>1997.94794756433</v>
      </c>
      <c r="C2592" s="3">
        <v>-1.89434496980347</v>
      </c>
      <c r="D2592" s="3">
        <v>0.25760996328820501</v>
      </c>
      <c r="E2592" s="3">
        <v>-7.3535392250498397</v>
      </c>
      <c r="F2592" s="4">
        <v>1.9302632677556599E-13</v>
      </c>
      <c r="G2592" s="4">
        <v>6.0770678974209903E-12</v>
      </c>
      <c r="H2592" s="3" t="str">
        <f>"KDELC2"</f>
        <v>KDELC2</v>
      </c>
      <c r="I2592" s="3" t="str">
        <f t="shared" si="110"/>
        <v>protein_coding</v>
      </c>
    </row>
    <row r="2593" spans="1:9" x14ac:dyDescent="0.2">
      <c r="A2593" s="3" t="str">
        <f>"ENSG00000137710.15"</f>
        <v>ENSG00000137710.15</v>
      </c>
      <c r="B2593" s="3">
        <v>16382.2655625394</v>
      </c>
      <c r="C2593" s="3">
        <v>1.1744601677566999</v>
      </c>
      <c r="D2593" s="3">
        <v>0.26701922192586702</v>
      </c>
      <c r="E2593" s="3">
        <v>4.3984105686697301</v>
      </c>
      <c r="F2593" s="4">
        <v>1.09046543725908E-5</v>
      </c>
      <c r="G2593" s="3">
        <v>1.10607492234888E-4</v>
      </c>
      <c r="H2593" s="3" t="str">
        <f>"RDX"</f>
        <v>RDX</v>
      </c>
      <c r="I2593" s="3" t="str">
        <f t="shared" si="110"/>
        <v>protein_coding</v>
      </c>
    </row>
    <row r="2594" spans="1:9" x14ac:dyDescent="0.2">
      <c r="A2594" s="3" t="str">
        <f>"ENSG00000137714.3"</f>
        <v>ENSG00000137714.3</v>
      </c>
      <c r="B2594" s="3">
        <v>1648.8861837823799</v>
      </c>
      <c r="C2594" s="3">
        <v>1.0503684561648099</v>
      </c>
      <c r="D2594" s="3">
        <v>0.25001039934386998</v>
      </c>
      <c r="E2594" s="3">
        <v>4.2012990616446597</v>
      </c>
      <c r="F2594" s="4">
        <v>2.6538773732995299E-5</v>
      </c>
      <c r="G2594" s="3">
        <v>2.4798768694409299E-4</v>
      </c>
      <c r="H2594" s="3" t="str">
        <f>"FDX1"</f>
        <v>FDX1</v>
      </c>
      <c r="I2594" s="3" t="str">
        <f t="shared" si="110"/>
        <v>protein_coding</v>
      </c>
    </row>
    <row r="2595" spans="1:9" x14ac:dyDescent="0.2">
      <c r="A2595" s="3" t="str">
        <f>"ENSG00000214290.8"</f>
        <v>ENSG00000214290.8</v>
      </c>
      <c r="B2595" s="3">
        <v>714.08017393739897</v>
      </c>
      <c r="C2595" s="3">
        <v>-1.19788590132207</v>
      </c>
      <c r="D2595" s="3">
        <v>0.27831805810105698</v>
      </c>
      <c r="E2595" s="3">
        <v>-4.3040178905211999</v>
      </c>
      <c r="F2595" s="4">
        <v>1.6772811012521E-5</v>
      </c>
      <c r="G2595" s="3">
        <v>1.6340823432221799E-4</v>
      </c>
      <c r="H2595" s="3" t="str">
        <f>"COLCA2"</f>
        <v>COLCA2</v>
      </c>
      <c r="I2595" s="3" t="str">
        <f t="shared" si="110"/>
        <v>protein_coding</v>
      </c>
    </row>
    <row r="2596" spans="1:9" x14ac:dyDescent="0.2">
      <c r="A2596" s="3" t="str">
        <f>"ENSG00000086848.15"</f>
        <v>ENSG00000086848.15</v>
      </c>
      <c r="B2596" s="3">
        <v>1021.57151099256</v>
      </c>
      <c r="C2596" s="3">
        <v>1.2704973784896001</v>
      </c>
      <c r="D2596" s="3">
        <v>0.27865725863645102</v>
      </c>
      <c r="E2596" s="3">
        <v>4.5593550467929802</v>
      </c>
      <c r="F2596" s="4">
        <v>5.1310958979892004E-6</v>
      </c>
      <c r="G2596" s="4">
        <v>5.6069816383109601E-5</v>
      </c>
      <c r="H2596" s="3" t="str">
        <f>"ALG9"</f>
        <v>ALG9</v>
      </c>
      <c r="I2596" s="3" t="str">
        <f t="shared" si="110"/>
        <v>protein_coding</v>
      </c>
    </row>
    <row r="2597" spans="1:9" x14ac:dyDescent="0.2">
      <c r="A2597" s="3" t="str">
        <f>"ENSG00000254450.1"</f>
        <v>ENSG00000254450.1</v>
      </c>
      <c r="B2597" s="3">
        <v>31.676132945960301</v>
      </c>
      <c r="C2597" s="3">
        <v>1.97299230850617</v>
      </c>
      <c r="D2597" s="3">
        <v>0.63989954850291497</v>
      </c>
      <c r="E2597" s="3">
        <v>3.0832844203783401</v>
      </c>
      <c r="F2597" s="3">
        <v>2.04729383237176E-3</v>
      </c>
      <c r="G2597" s="3">
        <v>1.11737201894796E-2</v>
      </c>
      <c r="H2597" s="3" t="str">
        <f>"ALG9-IT1"</f>
        <v>ALG9-IT1</v>
      </c>
      <c r="I2597" s="3" t="str">
        <f>"sense_intronic"</f>
        <v>sense_intronic</v>
      </c>
    </row>
    <row r="2598" spans="1:9" x14ac:dyDescent="0.2">
      <c r="A2598" s="3" t="str">
        <f>"ENSG00000150768.15"</f>
        <v>ENSG00000150768.15</v>
      </c>
      <c r="B2598" s="3">
        <v>3143.69111785422</v>
      </c>
      <c r="C2598" s="3">
        <v>-1.1752751851924701</v>
      </c>
      <c r="D2598" s="3">
        <v>0.236637258697973</v>
      </c>
      <c r="E2598" s="3">
        <v>-4.9665686276923298</v>
      </c>
      <c r="F2598" s="4">
        <v>6.8147943845396997E-7</v>
      </c>
      <c r="G2598" s="4">
        <v>8.8091548172197502E-6</v>
      </c>
      <c r="H2598" s="3" t="str">
        <f>"DLAT"</f>
        <v>DLAT</v>
      </c>
      <c r="I2598" s="3" t="str">
        <f>"protein_coding"</f>
        <v>protein_coding</v>
      </c>
    </row>
    <row r="2599" spans="1:9" x14ac:dyDescent="0.2">
      <c r="A2599" s="3" t="str">
        <f>"ENSG00000150782.12"</f>
        <v>ENSG00000150782.12</v>
      </c>
      <c r="B2599" s="3">
        <v>126.816623647829</v>
      </c>
      <c r="C2599" s="3">
        <v>3.2443638013228902</v>
      </c>
      <c r="D2599" s="3">
        <v>0.421810292003233</v>
      </c>
      <c r="E2599" s="3">
        <v>7.6915235659968797</v>
      </c>
      <c r="F2599" s="4">
        <v>1.4539314568403701E-14</v>
      </c>
      <c r="G2599" s="4">
        <v>5.0446407995612997E-13</v>
      </c>
      <c r="H2599" s="3" t="str">
        <f>"IL18"</f>
        <v>IL18</v>
      </c>
      <c r="I2599" s="3" t="str">
        <f>"protein_coding"</f>
        <v>protein_coding</v>
      </c>
    </row>
    <row r="2600" spans="1:9" x14ac:dyDescent="0.2">
      <c r="A2600" s="3" t="str">
        <f>"ENSG00000197580.11"</f>
        <v>ENSG00000197580.11</v>
      </c>
      <c r="B2600" s="3">
        <v>83.698816026207595</v>
      </c>
      <c r="C2600" s="3">
        <v>1.6122249800638</v>
      </c>
      <c r="D2600" s="3">
        <v>0.44204370757830302</v>
      </c>
      <c r="E2600" s="3">
        <v>3.6472071707484099</v>
      </c>
      <c r="F2600" s="3">
        <v>2.65106170380556E-4</v>
      </c>
      <c r="G2600" s="3">
        <v>1.9174081989427501E-3</v>
      </c>
      <c r="H2600" s="3" t="str">
        <f>"BCO2"</f>
        <v>BCO2</v>
      </c>
      <c r="I2600" s="3" t="str">
        <f>"protein_coding"</f>
        <v>protein_coding</v>
      </c>
    </row>
    <row r="2601" spans="1:9" x14ac:dyDescent="0.2">
      <c r="A2601" s="3" t="str">
        <f>"ENSG00000268472.2"</f>
        <v>ENSG00000268472.2</v>
      </c>
      <c r="B2601" s="3">
        <v>56.013488601105301</v>
      </c>
      <c r="C2601" s="3">
        <v>1.7321465962239899</v>
      </c>
      <c r="D2601" s="3">
        <v>0.51479442899786498</v>
      </c>
      <c r="E2601" s="3">
        <v>3.3647345399520199</v>
      </c>
      <c r="F2601" s="3">
        <v>7.6617335063107299E-4</v>
      </c>
      <c r="G2601" s="3">
        <v>4.8669420795769301E-3</v>
      </c>
      <c r="H2601" s="3" t="str">
        <f>"AP002884.4"</f>
        <v>AP002884.4</v>
      </c>
      <c r="I2601" s="3" t="str">
        <f>"antisense"</f>
        <v>antisense</v>
      </c>
    </row>
    <row r="2602" spans="1:9" x14ac:dyDescent="0.2">
      <c r="A2602" s="3" t="str">
        <f>"ENSG00000250303.3"</f>
        <v>ENSG00000250303.3</v>
      </c>
      <c r="B2602" s="3">
        <v>136.88378782157301</v>
      </c>
      <c r="C2602" s="3">
        <v>1.12546098971013</v>
      </c>
      <c r="D2602" s="3">
        <v>0.37190494669018398</v>
      </c>
      <c r="E2602" s="3">
        <v>3.0262060231419601</v>
      </c>
      <c r="F2602" s="3">
        <v>2.4764350231050399E-3</v>
      </c>
      <c r="G2602" s="3">
        <v>1.31174400939582E-2</v>
      </c>
      <c r="H2602" s="3" t="str">
        <f>"AP002884.1"</f>
        <v>AP002884.1</v>
      </c>
      <c r="I2602" s="3" t="str">
        <f>"lincRNA"</f>
        <v>lincRNA</v>
      </c>
    </row>
    <row r="2603" spans="1:9" x14ac:dyDescent="0.2">
      <c r="A2603" s="3" t="str">
        <f>"ENSG00000149292.16"</f>
        <v>ENSG00000149292.16</v>
      </c>
      <c r="B2603" s="3">
        <v>678.76220601051295</v>
      </c>
      <c r="C2603" s="3">
        <v>2.1119645201995398</v>
      </c>
      <c r="D2603" s="3">
        <v>0.26740432262555403</v>
      </c>
      <c r="E2603" s="3">
        <v>7.8980193717994496</v>
      </c>
      <c r="F2603" s="4">
        <v>2.8337011665474698E-15</v>
      </c>
      <c r="G2603" s="4">
        <v>1.05602596806669E-13</v>
      </c>
      <c r="H2603" s="3" t="str">
        <f>"TTC12"</f>
        <v>TTC12</v>
      </c>
      <c r="I2603" s="3" t="str">
        <f>"protein_coding"</f>
        <v>protein_coding</v>
      </c>
    </row>
    <row r="2604" spans="1:9" x14ac:dyDescent="0.2">
      <c r="A2604" s="3" t="str">
        <f>"ENSG00000270179.1"</f>
        <v>ENSG00000270179.1</v>
      </c>
      <c r="B2604" s="3">
        <v>42.287468262976198</v>
      </c>
      <c r="C2604" s="3">
        <v>1.84233068214814</v>
      </c>
      <c r="D2604" s="3">
        <v>0.55914470413533601</v>
      </c>
      <c r="E2604" s="3">
        <v>3.2949085782670999</v>
      </c>
      <c r="F2604" s="3">
        <v>9.8453704294107795E-4</v>
      </c>
      <c r="G2604" s="3">
        <v>6.0184761397771101E-3</v>
      </c>
      <c r="H2604" s="3" t="str">
        <f>"AP002840.2"</f>
        <v>AP002840.2</v>
      </c>
      <c r="I2604" s="3" t="str">
        <f>"sense_intronic"</f>
        <v>sense_intronic</v>
      </c>
    </row>
    <row r="2605" spans="1:9" x14ac:dyDescent="0.2">
      <c r="A2605" s="3" t="str">
        <f>"ENSG00000149305.7"</f>
        <v>ENSG00000149305.7</v>
      </c>
      <c r="B2605" s="3">
        <v>105.24062972493699</v>
      </c>
      <c r="C2605" s="3">
        <v>-2.6810818354863599</v>
      </c>
      <c r="D2605" s="3">
        <v>0.41948099809976003</v>
      </c>
      <c r="E2605" s="3">
        <v>-6.3914261852899203</v>
      </c>
      <c r="F2605" s="4">
        <v>1.64345613472587E-10</v>
      </c>
      <c r="G2605" s="4">
        <v>3.67803728372147E-9</v>
      </c>
      <c r="H2605" s="3" t="str">
        <f>"HTR3B"</f>
        <v>HTR3B</v>
      </c>
      <c r="I2605" s="3" t="str">
        <f t="shared" ref="I2605:I2614" si="111">"protein_coding"</f>
        <v>protein_coding</v>
      </c>
    </row>
    <row r="2606" spans="1:9" x14ac:dyDescent="0.2">
      <c r="A2606" s="3" t="str">
        <f>"ENSG00000110243.11"</f>
        <v>ENSG00000110243.11</v>
      </c>
      <c r="B2606" s="3">
        <v>634.39540820906495</v>
      </c>
      <c r="C2606" s="3">
        <v>-2.0148163609837302</v>
      </c>
      <c r="D2606" s="3">
        <v>0.31200672723024198</v>
      </c>
      <c r="E2606" s="3">
        <v>-6.4576055102072196</v>
      </c>
      <c r="F2606" s="4">
        <v>1.06372587556263E-10</v>
      </c>
      <c r="G2606" s="4">
        <v>2.4414255839213602E-9</v>
      </c>
      <c r="H2606" s="3" t="str">
        <f>"APOA5"</f>
        <v>APOA5</v>
      </c>
      <c r="I2606" s="3" t="str">
        <f t="shared" si="111"/>
        <v>protein_coding</v>
      </c>
    </row>
    <row r="2607" spans="1:9" x14ac:dyDescent="0.2">
      <c r="A2607" s="3" t="str">
        <f>"ENSG00000110244.7"</f>
        <v>ENSG00000110244.7</v>
      </c>
      <c r="B2607" s="3">
        <v>132.95196912896699</v>
      </c>
      <c r="C2607" s="3">
        <v>-4.7029496853695996</v>
      </c>
      <c r="D2607" s="3">
        <v>0.49020171162597098</v>
      </c>
      <c r="E2607" s="3">
        <v>-9.5939071076887696</v>
      </c>
      <c r="F2607" s="4">
        <v>8.4811121533316491E-22</v>
      </c>
      <c r="G2607" s="4">
        <v>5.1038845984942001E-20</v>
      </c>
      <c r="H2607" s="3" t="str">
        <f>"APOA4"</f>
        <v>APOA4</v>
      </c>
      <c r="I2607" s="3" t="str">
        <f t="shared" si="111"/>
        <v>protein_coding</v>
      </c>
    </row>
    <row r="2608" spans="1:9" x14ac:dyDescent="0.2">
      <c r="A2608" s="3" t="str">
        <f>"ENSG00000110245.12"</f>
        <v>ENSG00000110245.12</v>
      </c>
      <c r="B2608" s="3">
        <v>1271.0608004722201</v>
      </c>
      <c r="C2608" s="3">
        <v>-2.9015537966616498</v>
      </c>
      <c r="D2608" s="3">
        <v>0.32168091411713201</v>
      </c>
      <c r="E2608" s="3">
        <v>-9.0199749793210398</v>
      </c>
      <c r="F2608" s="4">
        <v>1.8813226516305001E-19</v>
      </c>
      <c r="G2608" s="4">
        <v>9.7576641859309693E-18</v>
      </c>
      <c r="H2608" s="3" t="str">
        <f>"APOC3"</f>
        <v>APOC3</v>
      </c>
      <c r="I2608" s="3" t="str">
        <f t="shared" si="111"/>
        <v>protein_coding</v>
      </c>
    </row>
    <row r="2609" spans="1:9" x14ac:dyDescent="0.2">
      <c r="A2609" s="3" t="str">
        <f>"ENSG00000118137.9"</f>
        <v>ENSG00000118137.9</v>
      </c>
      <c r="B2609" s="3">
        <v>37791.4881104784</v>
      </c>
      <c r="C2609" s="3">
        <v>-1.02355304474903</v>
      </c>
      <c r="D2609" s="3">
        <v>0.297375411811931</v>
      </c>
      <c r="E2609" s="3">
        <v>-3.4419558715780898</v>
      </c>
      <c r="F2609" s="3">
        <v>5.7752445365587496E-4</v>
      </c>
      <c r="G2609" s="3">
        <v>3.79410489206412E-3</v>
      </c>
      <c r="H2609" s="3" t="str">
        <f>"APOA1"</f>
        <v>APOA1</v>
      </c>
      <c r="I2609" s="3" t="str">
        <f t="shared" si="111"/>
        <v>protein_coding</v>
      </c>
    </row>
    <row r="2610" spans="1:9" x14ac:dyDescent="0.2">
      <c r="A2610" s="3" t="str">
        <f>"ENSG00000149577.15"</f>
        <v>ENSG00000149577.15</v>
      </c>
      <c r="B2610" s="3">
        <v>2480.1811357401398</v>
      </c>
      <c r="C2610" s="3">
        <v>1.59237308871585</v>
      </c>
      <c r="D2610" s="3">
        <v>0.29386355576448803</v>
      </c>
      <c r="E2610" s="3">
        <v>5.41874981595892</v>
      </c>
      <c r="F2610" s="4">
        <v>6.0017233380912105E-8</v>
      </c>
      <c r="G2610" s="4">
        <v>9.27924711553069E-7</v>
      </c>
      <c r="H2610" s="3" t="str">
        <f>"SIDT2"</f>
        <v>SIDT2</v>
      </c>
      <c r="I2610" s="3" t="str">
        <f t="shared" si="111"/>
        <v>protein_coding</v>
      </c>
    </row>
    <row r="2611" spans="1:9" x14ac:dyDescent="0.2">
      <c r="A2611" s="3" t="str">
        <f>"ENSG00000149591.16"</f>
        <v>ENSG00000149591.16</v>
      </c>
      <c r="B2611" s="3">
        <v>831.54548941594499</v>
      </c>
      <c r="C2611" s="3">
        <v>-1.1521753508483401</v>
      </c>
      <c r="D2611" s="3">
        <v>0.311752113073758</v>
      </c>
      <c r="E2611" s="3">
        <v>-3.6958060668404999</v>
      </c>
      <c r="F2611" s="3">
        <v>2.1919024458113699E-4</v>
      </c>
      <c r="G2611" s="3">
        <v>1.6202558338050299E-3</v>
      </c>
      <c r="H2611" s="3" t="str">
        <f>"TAGLN"</f>
        <v>TAGLN</v>
      </c>
      <c r="I2611" s="3" t="str">
        <f t="shared" si="111"/>
        <v>protein_coding</v>
      </c>
    </row>
    <row r="2612" spans="1:9" x14ac:dyDescent="0.2">
      <c r="A2612" s="3" t="str">
        <f>"ENSG00000186318.16"</f>
        <v>ENSG00000186318.16</v>
      </c>
      <c r="B2612" s="3">
        <v>1333.8722844633301</v>
      </c>
      <c r="C2612" s="3">
        <v>1.5319623076436499</v>
      </c>
      <c r="D2612" s="3">
        <v>0.24701090568932099</v>
      </c>
      <c r="E2612" s="3">
        <v>6.2020027146918304</v>
      </c>
      <c r="F2612" s="4">
        <v>5.5749116002951598E-10</v>
      </c>
      <c r="G2612" s="4">
        <v>1.17648407135423E-8</v>
      </c>
      <c r="H2612" s="3" t="str">
        <f>"BACE1"</f>
        <v>BACE1</v>
      </c>
      <c r="I2612" s="3" t="str">
        <f t="shared" si="111"/>
        <v>protein_coding</v>
      </c>
    </row>
    <row r="2613" spans="1:9" x14ac:dyDescent="0.2">
      <c r="A2613" s="3" t="str">
        <f>"ENSG00000110274.16"</f>
        <v>ENSG00000110274.16</v>
      </c>
      <c r="B2613" s="3">
        <v>4459.9043564904396</v>
      </c>
      <c r="C2613" s="3">
        <v>1.24484023749956</v>
      </c>
      <c r="D2613" s="3">
        <v>0.27585623917246799</v>
      </c>
      <c r="E2613" s="3">
        <v>4.5126412265820397</v>
      </c>
      <c r="F2613" s="4">
        <v>6.4025274473396503E-6</v>
      </c>
      <c r="G2613" s="4">
        <v>6.8739043080592798E-5</v>
      </c>
      <c r="H2613" s="3" t="str">
        <f>"CEP164"</f>
        <v>CEP164</v>
      </c>
      <c r="I2613" s="3" t="str">
        <f t="shared" si="111"/>
        <v>protein_coding</v>
      </c>
    </row>
    <row r="2614" spans="1:9" x14ac:dyDescent="0.2">
      <c r="A2614" s="3" t="str">
        <f>"ENSG00000177103.14"</f>
        <v>ENSG00000177103.14</v>
      </c>
      <c r="B2614" s="3">
        <v>186.54402920049799</v>
      </c>
      <c r="C2614" s="3">
        <v>5.6846622560613902</v>
      </c>
      <c r="D2614" s="3">
        <v>0.49805156976158799</v>
      </c>
      <c r="E2614" s="3">
        <v>11.4138025080065</v>
      </c>
      <c r="F2614" s="4">
        <v>3.5678392445759202E-30</v>
      </c>
      <c r="G2614" s="4">
        <v>3.7240247384774799E-28</v>
      </c>
      <c r="H2614" s="3" t="str">
        <f>"DSCAML1"</f>
        <v>DSCAML1</v>
      </c>
      <c r="I2614" s="3" t="str">
        <f t="shared" si="111"/>
        <v>protein_coding</v>
      </c>
    </row>
    <row r="2615" spans="1:9" x14ac:dyDescent="0.2">
      <c r="A2615" s="3" t="str">
        <f>"ENSG00000279586.1"</f>
        <v>ENSG00000279586.1</v>
      </c>
      <c r="B2615" s="3">
        <v>31.4164253901378</v>
      </c>
      <c r="C2615" s="3">
        <v>7.0345353050223096</v>
      </c>
      <c r="D2615" s="3">
        <v>1.5335116530516699</v>
      </c>
      <c r="E2615" s="3">
        <v>4.5872069449382096</v>
      </c>
      <c r="F2615" s="4">
        <v>4.4921534574294796E-6</v>
      </c>
      <c r="G2615" s="4">
        <v>4.9845663970727298E-5</v>
      </c>
      <c r="H2615" s="3" t="str">
        <f>"AP000711.1"</f>
        <v>AP000711.1</v>
      </c>
      <c r="I2615" s="3" t="str">
        <f>"TEC"</f>
        <v>TEC</v>
      </c>
    </row>
    <row r="2616" spans="1:9" x14ac:dyDescent="0.2">
      <c r="A2616" s="3" t="str">
        <f>"ENSG00000137731.14"</f>
        <v>ENSG00000137731.14</v>
      </c>
      <c r="B2616" s="3">
        <v>1758.3344954100501</v>
      </c>
      <c r="C2616" s="3">
        <v>11.272582665933999</v>
      </c>
      <c r="D2616" s="3">
        <v>0.87465754120366701</v>
      </c>
      <c r="E2616" s="3">
        <v>12.887995741077299</v>
      </c>
      <c r="F2616" s="4">
        <v>5.2592915641321801E-38</v>
      </c>
      <c r="G2616" s="4">
        <v>7.9697276684183704E-36</v>
      </c>
      <c r="H2616" s="3" t="str">
        <f>"FXYD2"</f>
        <v>FXYD2</v>
      </c>
      <c r="I2616" s="3" t="str">
        <f>"protein_coding"</f>
        <v>protein_coding</v>
      </c>
    </row>
    <row r="2617" spans="1:9" x14ac:dyDescent="0.2">
      <c r="A2617" s="3" t="str">
        <f>"ENSG00000137648.17"</f>
        <v>ENSG00000137648.17</v>
      </c>
      <c r="B2617" s="3">
        <v>53.638568820279303</v>
      </c>
      <c r="C2617" s="3">
        <v>3.7456253137798798</v>
      </c>
      <c r="D2617" s="3">
        <v>0.61335468333646403</v>
      </c>
      <c r="E2617" s="3">
        <v>6.1067852183092697</v>
      </c>
      <c r="F2617" s="4">
        <v>1.01657891749389E-9</v>
      </c>
      <c r="G2617" s="4">
        <v>2.0639259620305799E-8</v>
      </c>
      <c r="H2617" s="3" t="str">
        <f>"TMPRSS4"</f>
        <v>TMPRSS4</v>
      </c>
      <c r="I2617" s="3" t="str">
        <f>"protein_coding"</f>
        <v>protein_coding</v>
      </c>
    </row>
    <row r="2618" spans="1:9" x14ac:dyDescent="0.2">
      <c r="A2618" s="3" t="str">
        <f>"ENSG00000177098.8"</f>
        <v>ENSG00000177098.8</v>
      </c>
      <c r="B2618" s="3">
        <v>93.395978227365106</v>
      </c>
      <c r="C2618" s="3">
        <v>3.4652619444332098</v>
      </c>
      <c r="D2618" s="3">
        <v>0.46477350198288397</v>
      </c>
      <c r="E2618" s="3">
        <v>7.4558078927675702</v>
      </c>
      <c r="F2618" s="4">
        <v>8.93188095683569E-14</v>
      </c>
      <c r="G2618" s="4">
        <v>2.8805316085795098E-12</v>
      </c>
      <c r="H2618" s="3" t="str">
        <f>"SCN4B"</f>
        <v>SCN4B</v>
      </c>
      <c r="I2618" s="3" t="str">
        <f>"protein_coding"</f>
        <v>protein_coding</v>
      </c>
    </row>
    <row r="2619" spans="1:9" x14ac:dyDescent="0.2">
      <c r="A2619" s="3" t="str">
        <f>"ENSG00000149575.5"</f>
        <v>ENSG00000149575.5</v>
      </c>
      <c r="B2619" s="3">
        <v>58.3784567088111</v>
      </c>
      <c r="C2619" s="3">
        <v>3.95705803934381</v>
      </c>
      <c r="D2619" s="3">
        <v>0.59013768712666603</v>
      </c>
      <c r="E2619" s="3">
        <v>6.7053132271731704</v>
      </c>
      <c r="F2619" s="4">
        <v>2.0097479926174001E-11</v>
      </c>
      <c r="G2619" s="4">
        <v>4.9857209816854697E-10</v>
      </c>
      <c r="H2619" s="3" t="str">
        <f>"SCN2B"</f>
        <v>SCN2B</v>
      </c>
      <c r="I2619" s="3" t="str">
        <f>"protein_coding"</f>
        <v>protein_coding</v>
      </c>
    </row>
    <row r="2620" spans="1:9" x14ac:dyDescent="0.2">
      <c r="A2620" s="3" t="str">
        <f>"ENSG00000167286.9"</f>
        <v>ENSG00000167286.9</v>
      </c>
      <c r="B2620" s="3">
        <v>138.11799991120699</v>
      </c>
      <c r="C2620" s="3">
        <v>4.5316180104093302</v>
      </c>
      <c r="D2620" s="3">
        <v>0.46104113701588301</v>
      </c>
      <c r="E2620" s="3">
        <v>9.8290968995532708</v>
      </c>
      <c r="F2620" s="4">
        <v>8.4371967948437203E-23</v>
      </c>
      <c r="G2620" s="4">
        <v>5.4419919326742002E-21</v>
      </c>
      <c r="H2620" s="3" t="str">
        <f>"CD3D"</f>
        <v>CD3D</v>
      </c>
      <c r="I2620" s="3" t="str">
        <f>"protein_coding"</f>
        <v>protein_coding</v>
      </c>
    </row>
    <row r="2621" spans="1:9" x14ac:dyDescent="0.2">
      <c r="A2621" s="3" t="str">
        <f>"ENSG00000255435.6"</f>
        <v>ENSG00000255435.6</v>
      </c>
      <c r="B2621" s="3">
        <v>36.308193554032002</v>
      </c>
      <c r="C2621" s="3">
        <v>1.8977448933357199</v>
      </c>
      <c r="D2621" s="3">
        <v>0.61135926572795196</v>
      </c>
      <c r="E2621" s="3">
        <v>3.1041402326274601</v>
      </c>
      <c r="F2621" s="3">
        <v>1.90832857560662E-3</v>
      </c>
      <c r="G2621" s="3">
        <v>1.0537750888729699E-2</v>
      </c>
      <c r="H2621" s="3" t="str">
        <f>"AP001267.3"</f>
        <v>AP001267.3</v>
      </c>
      <c r="I2621" s="3" t="str">
        <f>"antisense"</f>
        <v>antisense</v>
      </c>
    </row>
    <row r="2622" spans="1:9" x14ac:dyDescent="0.2">
      <c r="A2622" s="3" t="str">
        <f>"ENSG00000255176.1"</f>
        <v>ENSG00000255176.1</v>
      </c>
      <c r="B2622" s="3">
        <v>100.531550066528</v>
      </c>
      <c r="C2622" s="3">
        <v>1.02906846686366</v>
      </c>
      <c r="D2622" s="3">
        <v>0.395021825389056</v>
      </c>
      <c r="E2622" s="3">
        <v>2.6050926827907102</v>
      </c>
      <c r="F2622" s="3">
        <v>9.1849410309323507E-3</v>
      </c>
      <c r="G2622" s="3">
        <v>3.9360680005639401E-2</v>
      </c>
      <c r="H2622" s="3" t="str">
        <f>"AP000941.1"</f>
        <v>AP000941.1</v>
      </c>
      <c r="I2622" s="3" t="str">
        <f>"antisense"</f>
        <v>antisense</v>
      </c>
    </row>
    <row r="2623" spans="1:9" x14ac:dyDescent="0.2">
      <c r="A2623" s="3" t="str">
        <f>"ENSG00000118094.11"</f>
        <v>ENSG00000118094.11</v>
      </c>
      <c r="B2623" s="3">
        <v>157.521911329235</v>
      </c>
      <c r="C2623" s="3">
        <v>3.06466745683933</v>
      </c>
      <c r="D2623" s="3">
        <v>0.40965170722466199</v>
      </c>
      <c r="E2623" s="3">
        <v>7.4811538748417901</v>
      </c>
      <c r="F2623" s="4">
        <v>7.3672854484092604E-14</v>
      </c>
      <c r="G2623" s="4">
        <v>2.38819671977751E-12</v>
      </c>
      <c r="H2623" s="3" t="str">
        <f>"TREH"</f>
        <v>TREH</v>
      </c>
      <c r="I2623" s="3" t="str">
        <f>"protein_coding"</f>
        <v>protein_coding</v>
      </c>
    </row>
    <row r="2624" spans="1:9" x14ac:dyDescent="0.2">
      <c r="A2624" s="3" t="str">
        <f>"ENSG00000172350.10"</f>
        <v>ENSG00000172350.10</v>
      </c>
      <c r="B2624" s="3">
        <v>38.579272078272801</v>
      </c>
      <c r="C2624" s="3">
        <v>2.0954010443684199</v>
      </c>
      <c r="D2624" s="3">
        <v>0.59566134253830605</v>
      </c>
      <c r="E2624" s="3">
        <v>3.51777242323505</v>
      </c>
      <c r="F2624" s="3">
        <v>4.3518540420903998E-4</v>
      </c>
      <c r="G2624" s="3">
        <v>2.9658869799182798E-3</v>
      </c>
      <c r="H2624" s="3" t="str">
        <f>"ABCG4"</f>
        <v>ABCG4</v>
      </c>
      <c r="I2624" s="3" t="str">
        <f>"protein_coding"</f>
        <v>protein_coding</v>
      </c>
    </row>
    <row r="2625" spans="1:9" x14ac:dyDescent="0.2">
      <c r="A2625" s="3" t="str">
        <f>"ENSG00000160703.16"</f>
        <v>ENSG00000160703.16</v>
      </c>
      <c r="B2625" s="3">
        <v>3177.9930854990898</v>
      </c>
      <c r="C2625" s="3">
        <v>2.62340464836358</v>
      </c>
      <c r="D2625" s="3">
        <v>0.29974372679033101</v>
      </c>
      <c r="E2625" s="3">
        <v>8.7521586404997205</v>
      </c>
      <c r="F2625" s="4">
        <v>2.0930988131970102E-18</v>
      </c>
      <c r="G2625" s="4">
        <v>1.0105931026098E-16</v>
      </c>
      <c r="H2625" s="3" t="str">
        <f>"NLRX1"</f>
        <v>NLRX1</v>
      </c>
      <c r="I2625" s="3" t="str">
        <f>"protein_coding"</f>
        <v>protein_coding</v>
      </c>
    </row>
    <row r="2626" spans="1:9" x14ac:dyDescent="0.2">
      <c r="A2626" s="3" t="str">
        <f>"ENSG00000036672.16"</f>
        <v>ENSG00000036672.16</v>
      </c>
      <c r="B2626" s="3">
        <v>2730.71966983528</v>
      </c>
      <c r="C2626" s="3">
        <v>3.11745829948695</v>
      </c>
      <c r="D2626" s="3">
        <v>0.26672157555029402</v>
      </c>
      <c r="E2626" s="3">
        <v>11.6880619539499</v>
      </c>
      <c r="F2626" s="4">
        <v>1.46695926012504E-31</v>
      </c>
      <c r="G2626" s="4">
        <v>1.61141310866574E-29</v>
      </c>
      <c r="H2626" s="3" t="str">
        <f>"USP2"</f>
        <v>USP2</v>
      </c>
      <c r="I2626" s="3" t="str">
        <f>"protein_coding"</f>
        <v>protein_coding</v>
      </c>
    </row>
    <row r="2627" spans="1:9" x14ac:dyDescent="0.2">
      <c r="A2627" s="3" t="str">
        <f>"ENSG00000254561.3"</f>
        <v>ENSG00000254561.3</v>
      </c>
      <c r="B2627" s="3">
        <v>99.632943986234295</v>
      </c>
      <c r="C2627" s="3">
        <v>5.9031510116549502</v>
      </c>
      <c r="D2627" s="3">
        <v>0.68494616680720399</v>
      </c>
      <c r="E2627" s="3">
        <v>8.6184160124171392</v>
      </c>
      <c r="F2627" s="4">
        <v>6.7886646273621497E-18</v>
      </c>
      <c r="G2627" s="4">
        <v>3.1565408262716198E-16</v>
      </c>
      <c r="H2627" s="3" t="str">
        <f>"AP003393.1"</f>
        <v>AP003393.1</v>
      </c>
      <c r="I2627" s="3" t="str">
        <f>"antisense"</f>
        <v>antisense</v>
      </c>
    </row>
    <row r="2628" spans="1:9" x14ac:dyDescent="0.2">
      <c r="A2628" s="3" t="str">
        <f>"ENSG00000110400.11"</f>
        <v>ENSG00000110400.11</v>
      </c>
      <c r="B2628" s="3">
        <v>1710.29192642731</v>
      </c>
      <c r="C2628" s="3">
        <v>1.0692442289664199</v>
      </c>
      <c r="D2628" s="3">
        <v>0.29730892798748498</v>
      </c>
      <c r="E2628" s="3">
        <v>3.5964080735961899</v>
      </c>
      <c r="F2628" s="3">
        <v>3.2264152805830398E-4</v>
      </c>
      <c r="G2628" s="3">
        <v>2.2868547867868801E-3</v>
      </c>
      <c r="H2628" s="3" t="str">
        <f>"NECTIN1"</f>
        <v>NECTIN1</v>
      </c>
      <c r="I2628" s="3" t="str">
        <f>"protein_coding"</f>
        <v>protein_coding</v>
      </c>
    </row>
    <row r="2629" spans="1:9" x14ac:dyDescent="0.2">
      <c r="A2629" s="3" t="str">
        <f>"ENSG00000137699.17"</f>
        <v>ENSG00000137699.17</v>
      </c>
      <c r="B2629" s="3">
        <v>95.066709206506602</v>
      </c>
      <c r="C2629" s="3">
        <v>1.69707382942901</v>
      </c>
      <c r="D2629" s="3">
        <v>0.42350033155148198</v>
      </c>
      <c r="E2629" s="3">
        <v>4.0072550196403203</v>
      </c>
      <c r="F2629" s="4">
        <v>6.1428524685646895E-5</v>
      </c>
      <c r="G2629" s="3">
        <v>5.2828531229656402E-4</v>
      </c>
      <c r="H2629" s="3" t="str">
        <f>"TRIM29"</f>
        <v>TRIM29</v>
      </c>
      <c r="I2629" s="3" t="str">
        <f>"protein_coding"</f>
        <v>protein_coding</v>
      </c>
    </row>
    <row r="2630" spans="1:9" x14ac:dyDescent="0.2">
      <c r="A2630" s="3" t="str">
        <f>"ENSG00000137709.10"</f>
        <v>ENSG00000137709.10</v>
      </c>
      <c r="B2630" s="3">
        <v>51.971139696672402</v>
      </c>
      <c r="C2630" s="3">
        <v>4.0168269144883801</v>
      </c>
      <c r="D2630" s="3">
        <v>0.640018545786462</v>
      </c>
      <c r="E2630" s="3">
        <v>6.2761101860766404</v>
      </c>
      <c r="F2630" s="4">
        <v>3.47148210692621E-10</v>
      </c>
      <c r="G2630" s="4">
        <v>7.5086098366060898E-9</v>
      </c>
      <c r="H2630" s="3" t="str">
        <f>"POU2F3"</f>
        <v>POU2F3</v>
      </c>
      <c r="I2630" s="3" t="str">
        <f>"protein_coding"</f>
        <v>protein_coding</v>
      </c>
    </row>
    <row r="2631" spans="1:9" x14ac:dyDescent="0.2">
      <c r="A2631" s="3" t="str">
        <f>"ENSG00000274303.1"</f>
        <v>ENSG00000274303.1</v>
      </c>
      <c r="B2631" s="3">
        <v>67.306889890805394</v>
      </c>
      <c r="C2631" s="3">
        <v>1.5183442589687901</v>
      </c>
      <c r="D2631" s="3">
        <v>0.48251437562918498</v>
      </c>
      <c r="E2631" s="3">
        <v>3.14673372578571</v>
      </c>
      <c r="F2631" s="3">
        <v>1.65105244788251E-3</v>
      </c>
      <c r="G2631" s="3">
        <v>9.3372806489398896E-3</v>
      </c>
      <c r="H2631" s="3" t="str">
        <f>"RF00100"</f>
        <v>RF00100</v>
      </c>
      <c r="I2631" s="3" t="str">
        <f>"misc_RNA"</f>
        <v>misc_RNA</v>
      </c>
    </row>
    <row r="2632" spans="1:9" x14ac:dyDescent="0.2">
      <c r="A2632" s="3" t="str">
        <f>"ENSG00000154114.12"</f>
        <v>ENSG00000154114.12</v>
      </c>
      <c r="B2632" s="3">
        <v>1691.5793249289</v>
      </c>
      <c r="C2632" s="3">
        <v>1.04136707138281</v>
      </c>
      <c r="D2632" s="3">
        <v>0.27141312889835301</v>
      </c>
      <c r="E2632" s="3">
        <v>3.8368338171762302</v>
      </c>
      <c r="F2632" s="3">
        <v>1.24630747231401E-4</v>
      </c>
      <c r="G2632" s="3">
        <v>9.8525658284283097E-4</v>
      </c>
      <c r="H2632" s="3" t="str">
        <f>"TBCEL"</f>
        <v>TBCEL</v>
      </c>
      <c r="I2632" s="3" t="str">
        <f>"protein_coding"</f>
        <v>protein_coding</v>
      </c>
    </row>
    <row r="2633" spans="1:9" x14ac:dyDescent="0.2">
      <c r="A2633" s="3" t="str">
        <f>"ENSG00000109929.10"</f>
        <v>ENSG00000109929.10</v>
      </c>
      <c r="B2633" s="3">
        <v>3351.9064391745301</v>
      </c>
      <c r="C2633" s="3">
        <v>-1.5423484177556901</v>
      </c>
      <c r="D2633" s="3">
        <v>0.27944854738147201</v>
      </c>
      <c r="E2633" s="3">
        <v>-5.5192572378995104</v>
      </c>
      <c r="F2633" s="4">
        <v>3.4043553922047499E-8</v>
      </c>
      <c r="G2633" s="4">
        <v>5.49304425214307E-7</v>
      </c>
      <c r="H2633" s="3" t="str">
        <f>"SC5D"</f>
        <v>SC5D</v>
      </c>
      <c r="I2633" s="3" t="str">
        <f>"protein_coding"</f>
        <v>protein_coding</v>
      </c>
    </row>
    <row r="2634" spans="1:9" x14ac:dyDescent="0.2">
      <c r="A2634" s="3" t="str">
        <f>"ENSG00000137642.13"</f>
        <v>ENSG00000137642.13</v>
      </c>
      <c r="B2634" s="3">
        <v>7677.7392185423596</v>
      </c>
      <c r="C2634" s="3">
        <v>2.0000547089492802</v>
      </c>
      <c r="D2634" s="3">
        <v>0.24061560724382999</v>
      </c>
      <c r="E2634" s="3">
        <v>8.31224014044321</v>
      </c>
      <c r="F2634" s="4">
        <v>9.3912137796807403E-17</v>
      </c>
      <c r="G2634" s="4">
        <v>4.0730341832391203E-15</v>
      </c>
      <c r="H2634" s="3" t="str">
        <f>"SORL1"</f>
        <v>SORL1</v>
      </c>
      <c r="I2634" s="3" t="str">
        <f>"protein_coding"</f>
        <v>protein_coding</v>
      </c>
    </row>
    <row r="2635" spans="1:9" x14ac:dyDescent="0.2">
      <c r="A2635" s="3" t="str">
        <f>"ENSG00000154127.10"</f>
        <v>ENSG00000154127.10</v>
      </c>
      <c r="B2635" s="3">
        <v>4691.9390060669202</v>
      </c>
      <c r="C2635" s="3">
        <v>2.4361802150484402</v>
      </c>
      <c r="D2635" s="3">
        <v>0.23618111349411999</v>
      </c>
      <c r="E2635" s="3">
        <v>10.3148815712103</v>
      </c>
      <c r="F2635" s="4">
        <v>6.0355672871049599E-25</v>
      </c>
      <c r="G2635" s="4">
        <v>4.6147323740767603E-23</v>
      </c>
      <c r="H2635" s="3" t="str">
        <f>"UBASH3B"</f>
        <v>UBASH3B</v>
      </c>
      <c r="I2635" s="3" t="str">
        <f>"protein_coding"</f>
        <v>protein_coding</v>
      </c>
    </row>
    <row r="2636" spans="1:9" x14ac:dyDescent="0.2">
      <c r="A2636" s="3" t="str">
        <f>"ENSG00000200879.1"</f>
        <v>ENSG00000200879.1</v>
      </c>
      <c r="B2636" s="3">
        <v>48.792894757747099</v>
      </c>
      <c r="C2636" s="3">
        <v>-1.7677620757185699</v>
      </c>
      <c r="D2636" s="3">
        <v>0.531507828793921</v>
      </c>
      <c r="E2636" s="3">
        <v>-3.3259379823810198</v>
      </c>
      <c r="F2636" s="3">
        <v>8.8121533182808299E-4</v>
      </c>
      <c r="G2636" s="3">
        <v>5.4847455767986402E-3</v>
      </c>
      <c r="H2636" s="3" t="str">
        <f>"SNORD14E"</f>
        <v>SNORD14E</v>
      </c>
      <c r="I2636" s="3" t="str">
        <f>"snoRNA"</f>
        <v>snoRNA</v>
      </c>
    </row>
    <row r="2637" spans="1:9" x14ac:dyDescent="0.2">
      <c r="A2637" s="3" t="str">
        <f>"ENSG00000166257.8"</f>
        <v>ENSG00000166257.8</v>
      </c>
      <c r="B2637" s="3">
        <v>148.80934699946101</v>
      </c>
      <c r="C2637" s="3">
        <v>5.1692265004407298</v>
      </c>
      <c r="D2637" s="3">
        <v>0.49585634852960903</v>
      </c>
      <c r="E2637" s="3">
        <v>10.424846864962699</v>
      </c>
      <c r="F2637" s="4">
        <v>1.9096670711636199E-25</v>
      </c>
      <c r="G2637" s="4">
        <v>1.5396690761256701E-23</v>
      </c>
      <c r="H2637" s="3" t="str">
        <f>"SCN3B"</f>
        <v>SCN3B</v>
      </c>
      <c r="I2637" s="3" t="str">
        <f>"protein_coding"</f>
        <v>protein_coding</v>
      </c>
    </row>
    <row r="2638" spans="1:9" x14ac:dyDescent="0.2">
      <c r="A2638" s="3" t="str">
        <f>"ENSG00000110002.15"</f>
        <v>ENSG00000110002.15</v>
      </c>
      <c r="B2638" s="3">
        <v>47.059176463323702</v>
      </c>
      <c r="C2638" s="3">
        <v>-2.13763375045697</v>
      </c>
      <c r="D2638" s="3">
        <v>0.58063928326453296</v>
      </c>
      <c r="E2638" s="3">
        <v>-3.6815176169937001</v>
      </c>
      <c r="F2638" s="3">
        <v>2.3184976552201799E-4</v>
      </c>
      <c r="G2638" s="3">
        <v>1.7033238468768599E-3</v>
      </c>
      <c r="H2638" s="3" t="str">
        <f>"VWA5A"</f>
        <v>VWA5A</v>
      </c>
      <c r="I2638" s="3" t="str">
        <f>"protein_coding"</f>
        <v>protein_coding</v>
      </c>
    </row>
    <row r="2639" spans="1:9" x14ac:dyDescent="0.2">
      <c r="A2639" s="3" t="str">
        <f>"ENSG00000181214.7"</f>
        <v>ENSG00000181214.7</v>
      </c>
      <c r="B2639" s="3">
        <v>6.5514098839055004</v>
      </c>
      <c r="C2639" s="3">
        <v>6.2285004969983602</v>
      </c>
      <c r="D2639" s="3">
        <v>1.90163317566973</v>
      </c>
      <c r="E2639" s="3">
        <v>3.2753427825557102</v>
      </c>
      <c r="F2639" s="3">
        <v>1.0553383645108001E-3</v>
      </c>
      <c r="G2639" s="3">
        <v>6.3922553718442797E-3</v>
      </c>
      <c r="H2639" s="3" t="str">
        <f>"OR8G2P"</f>
        <v>OR8G2P</v>
      </c>
      <c r="I2639" s="3" t="str">
        <f>"unprocessed_pseudogene"</f>
        <v>unprocessed_pseudogene</v>
      </c>
    </row>
    <row r="2640" spans="1:9" x14ac:dyDescent="0.2">
      <c r="A2640" s="3" t="str">
        <f>"ENSG00000276316.1"</f>
        <v>ENSG00000276316.1</v>
      </c>
      <c r="B2640" s="3">
        <v>7.3629967629591597</v>
      </c>
      <c r="C2640" s="3">
        <v>4.8888025972342701</v>
      </c>
      <c r="D2640" s="3">
        <v>1.8200744494536001</v>
      </c>
      <c r="E2640" s="3">
        <v>2.6860453970451199</v>
      </c>
      <c r="F2640" s="3">
        <v>7.2303264289621102E-3</v>
      </c>
      <c r="G2640" s="3">
        <v>3.2134074438258303E-2</v>
      </c>
      <c r="H2640" s="3" t="str">
        <f>"OR8G7P"</f>
        <v>OR8G7P</v>
      </c>
      <c r="I2640" s="3" t="str">
        <f>"unprocessed_pseudogene"</f>
        <v>unprocessed_pseudogene</v>
      </c>
    </row>
    <row r="2641" spans="1:9" x14ac:dyDescent="0.2">
      <c r="A2641" s="3" t="str">
        <f>"ENSG00000197849.6"</f>
        <v>ENSG00000197849.6</v>
      </c>
      <c r="B2641" s="3">
        <v>26.236964132776698</v>
      </c>
      <c r="C2641" s="3">
        <v>3.6929533567347401</v>
      </c>
      <c r="D2641" s="3">
        <v>0.838893732224407</v>
      </c>
      <c r="E2641" s="3">
        <v>4.4021706383984096</v>
      </c>
      <c r="F2641" s="4">
        <v>1.07173211768441E-5</v>
      </c>
      <c r="G2641" s="3">
        <v>1.08882962117736E-4</v>
      </c>
      <c r="H2641" s="3" t="str">
        <f>"OR8G1"</f>
        <v>OR8G1</v>
      </c>
      <c r="I2641" s="3" t="str">
        <f t="shared" ref="I2641:I2650" si="112">"protein_coding"</f>
        <v>protein_coding</v>
      </c>
    </row>
    <row r="2642" spans="1:9" x14ac:dyDescent="0.2">
      <c r="A2642" s="3" t="str">
        <f>"ENSG00000255298.3"</f>
        <v>ENSG00000255298.3</v>
      </c>
      <c r="B2642" s="3">
        <v>10.2257997033146</v>
      </c>
      <c r="C2642" s="3">
        <v>6.8707988282040704</v>
      </c>
      <c r="D2642" s="3">
        <v>1.7568699665265</v>
      </c>
      <c r="E2642" s="3">
        <v>3.9108180793757299</v>
      </c>
      <c r="F2642" s="4">
        <v>9.1984036525100306E-5</v>
      </c>
      <c r="G2642" s="3">
        <v>7.5394540201658496E-4</v>
      </c>
      <c r="H2642" s="3" t="str">
        <f>"OR8G5"</f>
        <v>OR8G5</v>
      </c>
      <c r="I2642" s="3" t="str">
        <f t="shared" si="112"/>
        <v>protein_coding</v>
      </c>
    </row>
    <row r="2643" spans="1:9" x14ac:dyDescent="0.2">
      <c r="A2643" s="3" t="str">
        <f>"ENSG00000110013.12"</f>
        <v>ENSG00000110013.12</v>
      </c>
      <c r="B2643" s="3">
        <v>1234.96837981826</v>
      </c>
      <c r="C2643" s="3">
        <v>2.3173383943846102</v>
      </c>
      <c r="D2643" s="3">
        <v>0.25130728812911401</v>
      </c>
      <c r="E2643" s="3">
        <v>9.2211348569964198</v>
      </c>
      <c r="F2643" s="4">
        <v>2.9397218356651901E-20</v>
      </c>
      <c r="G2643" s="4">
        <v>1.60758049513387E-18</v>
      </c>
      <c r="H2643" s="3" t="str">
        <f>"SIAE"</f>
        <v>SIAE</v>
      </c>
      <c r="I2643" s="3" t="str">
        <f t="shared" si="112"/>
        <v>protein_coding</v>
      </c>
    </row>
    <row r="2644" spans="1:9" x14ac:dyDescent="0.2">
      <c r="A2644" s="3" t="str">
        <f>"ENSG00000154146.13"</f>
        <v>ENSG00000154146.13</v>
      </c>
      <c r="B2644" s="3">
        <v>124.75995539229601</v>
      </c>
      <c r="C2644" s="3">
        <v>-1.9852749380708501</v>
      </c>
      <c r="D2644" s="3">
        <v>0.39708131517831502</v>
      </c>
      <c r="E2644" s="3">
        <v>-4.9996684864895702</v>
      </c>
      <c r="F2644" s="4">
        <v>5.7428969636393898E-7</v>
      </c>
      <c r="G2644" s="4">
        <v>7.5358671424282198E-6</v>
      </c>
      <c r="H2644" s="3" t="str">
        <f>"NRGN"</f>
        <v>NRGN</v>
      </c>
      <c r="I2644" s="3" t="str">
        <f t="shared" si="112"/>
        <v>protein_coding</v>
      </c>
    </row>
    <row r="2645" spans="1:9" x14ac:dyDescent="0.2">
      <c r="A2645" s="3" t="str">
        <f>"ENSG00000154134.15"</f>
        <v>ENSG00000154134.15</v>
      </c>
      <c r="B2645" s="3">
        <v>150.202582634875</v>
      </c>
      <c r="C2645" s="3">
        <v>-2.1498854131178899</v>
      </c>
      <c r="D2645" s="3">
        <v>0.41540938944981798</v>
      </c>
      <c r="E2645" s="3">
        <v>-5.17534140469302</v>
      </c>
      <c r="F2645" s="4">
        <v>2.27494603588166E-7</v>
      </c>
      <c r="G2645" s="4">
        <v>3.2149588501462501E-6</v>
      </c>
      <c r="H2645" s="3" t="str">
        <f>"ROBO3"</f>
        <v>ROBO3</v>
      </c>
      <c r="I2645" s="3" t="str">
        <f t="shared" si="112"/>
        <v>protein_coding</v>
      </c>
    </row>
    <row r="2646" spans="1:9" x14ac:dyDescent="0.2">
      <c r="A2646" s="3" t="str">
        <f>"ENSG00000154133.14"</f>
        <v>ENSG00000154133.14</v>
      </c>
      <c r="B2646" s="3">
        <v>155.43884807433099</v>
      </c>
      <c r="C2646" s="3">
        <v>-1.4360037175254601</v>
      </c>
      <c r="D2646" s="3">
        <v>0.36261085261526899</v>
      </c>
      <c r="E2646" s="3">
        <v>-3.9601785417301598</v>
      </c>
      <c r="F2646" s="4">
        <v>7.4893747638626995E-5</v>
      </c>
      <c r="G2646" s="3">
        <v>6.2903246138553001E-4</v>
      </c>
      <c r="H2646" s="3" t="str">
        <f>"ROBO4"</f>
        <v>ROBO4</v>
      </c>
      <c r="I2646" s="3" t="str">
        <f t="shared" si="112"/>
        <v>protein_coding</v>
      </c>
    </row>
    <row r="2647" spans="1:9" x14ac:dyDescent="0.2">
      <c r="A2647" s="3" t="str">
        <f>"ENSG00000165478.7"</f>
        <v>ENSG00000165478.7</v>
      </c>
      <c r="B2647" s="3">
        <v>3668.68502629774</v>
      </c>
      <c r="C2647" s="3">
        <v>1.4947039887542299</v>
      </c>
      <c r="D2647" s="3">
        <v>0.26884759088716498</v>
      </c>
      <c r="E2647" s="3">
        <v>5.5596703835875196</v>
      </c>
      <c r="F2647" s="4">
        <v>2.702846195127E-8</v>
      </c>
      <c r="G2647" s="4">
        <v>4.4408945812161799E-7</v>
      </c>
      <c r="H2647" s="3" t="str">
        <f>"HEPACAM"</f>
        <v>HEPACAM</v>
      </c>
      <c r="I2647" s="3" t="str">
        <f t="shared" si="112"/>
        <v>protein_coding</v>
      </c>
    </row>
    <row r="2648" spans="1:9" x14ac:dyDescent="0.2">
      <c r="A2648" s="3" t="str">
        <f>"ENSG00000134955.11"</f>
        <v>ENSG00000134955.11</v>
      </c>
      <c r="B2648" s="3">
        <v>817.18159777169501</v>
      </c>
      <c r="C2648" s="3">
        <v>1.40327352928864</v>
      </c>
      <c r="D2648" s="3">
        <v>0.27286999335529799</v>
      </c>
      <c r="E2648" s="3">
        <v>5.1426450817604996</v>
      </c>
      <c r="F2648" s="4">
        <v>2.7089709569154202E-7</v>
      </c>
      <c r="G2648" s="4">
        <v>3.7690356427658899E-6</v>
      </c>
      <c r="H2648" s="3" t="str">
        <f>"SLC37A2"</f>
        <v>SLC37A2</v>
      </c>
      <c r="I2648" s="3" t="str">
        <f t="shared" si="112"/>
        <v>protein_coding</v>
      </c>
    </row>
    <row r="2649" spans="1:9" x14ac:dyDescent="0.2">
      <c r="A2649" s="3" t="str">
        <f>"ENSG00000149557.13"</f>
        <v>ENSG00000149557.13</v>
      </c>
      <c r="B2649" s="3">
        <v>104.20997864313</v>
      </c>
      <c r="C2649" s="3">
        <v>1.9916961384962</v>
      </c>
      <c r="D2649" s="3">
        <v>0.42502701844865498</v>
      </c>
      <c r="E2649" s="3">
        <v>4.6860459501277703</v>
      </c>
      <c r="F2649" s="4">
        <v>2.7853375479495199E-6</v>
      </c>
      <c r="G2649" s="4">
        <v>3.1934897911882498E-5</v>
      </c>
      <c r="H2649" s="3" t="str">
        <f>"FEZ1"</f>
        <v>FEZ1</v>
      </c>
      <c r="I2649" s="3" t="str">
        <f t="shared" si="112"/>
        <v>protein_coding</v>
      </c>
    </row>
    <row r="2650" spans="1:9" x14ac:dyDescent="0.2">
      <c r="A2650" s="3" t="str">
        <f>"ENSG00000149547.15"</f>
        <v>ENSG00000149547.15</v>
      </c>
      <c r="B2650" s="3">
        <v>11898.0775312081</v>
      </c>
      <c r="C2650" s="3">
        <v>2.1258491281561902</v>
      </c>
      <c r="D2650" s="3">
        <v>0.24397156908405301</v>
      </c>
      <c r="E2650" s="3">
        <v>8.7135117265397195</v>
      </c>
      <c r="F2650" s="4">
        <v>2.94603192186948E-18</v>
      </c>
      <c r="G2650" s="4">
        <v>1.4088865588332101E-16</v>
      </c>
      <c r="H2650" s="3" t="str">
        <f>"EI24"</f>
        <v>EI24</v>
      </c>
      <c r="I2650" s="3" t="str">
        <f t="shared" si="112"/>
        <v>protein_coding</v>
      </c>
    </row>
    <row r="2651" spans="1:9" x14ac:dyDescent="0.2">
      <c r="A2651" s="3" t="str">
        <f>"ENSG00000222297.1"</f>
        <v>ENSG00000222297.1</v>
      </c>
      <c r="B2651" s="3">
        <v>34.625364636020102</v>
      </c>
      <c r="C2651" s="3">
        <v>4.8098304334602497</v>
      </c>
      <c r="D2651" s="3">
        <v>0.87038210831183904</v>
      </c>
      <c r="E2651" s="3">
        <v>5.5261136316200501</v>
      </c>
      <c r="F2651" s="4">
        <v>3.2740212372833902E-8</v>
      </c>
      <c r="G2651" s="4">
        <v>5.3031554554966995E-7</v>
      </c>
      <c r="H2651" s="3" t="str">
        <f>"RNU6-1156P"</f>
        <v>RNU6-1156P</v>
      </c>
      <c r="I2651" s="3" t="str">
        <f>"snRNA"</f>
        <v>snRNA</v>
      </c>
    </row>
    <row r="2652" spans="1:9" x14ac:dyDescent="0.2">
      <c r="A2652" s="3" t="str">
        <f>"ENSG00000149554.12"</f>
        <v>ENSG00000149554.12</v>
      </c>
      <c r="B2652" s="3">
        <v>1927.3383885149101</v>
      </c>
      <c r="C2652" s="3">
        <v>-1.6993358706975199</v>
      </c>
      <c r="D2652" s="3">
        <v>0.26977113507797601</v>
      </c>
      <c r="E2652" s="3">
        <v>-6.2991760412259703</v>
      </c>
      <c r="F2652" s="4">
        <v>2.9923199499052801E-10</v>
      </c>
      <c r="G2652" s="4">
        <v>6.5226870311843503E-9</v>
      </c>
      <c r="H2652" s="3" t="str">
        <f>"CHEK1"</f>
        <v>CHEK1</v>
      </c>
      <c r="I2652" s="3" t="str">
        <f>"protein_coding"</f>
        <v>protein_coding</v>
      </c>
    </row>
    <row r="2653" spans="1:9" x14ac:dyDescent="0.2">
      <c r="A2653" s="3" t="str">
        <f>"ENSG00000064309.14"</f>
        <v>ENSG00000064309.14</v>
      </c>
      <c r="B2653" s="3">
        <v>775.02023790810097</v>
      </c>
      <c r="C2653" s="3">
        <v>-1.44803982541308</v>
      </c>
      <c r="D2653" s="3">
        <v>0.25882755277921299</v>
      </c>
      <c r="E2653" s="3">
        <v>-5.59461235816842</v>
      </c>
      <c r="F2653" s="4">
        <v>2.2111523768468501E-8</v>
      </c>
      <c r="G2653" s="4">
        <v>3.6837430825262198E-7</v>
      </c>
      <c r="H2653" s="3" t="str">
        <f>"CDON"</f>
        <v>CDON</v>
      </c>
      <c r="I2653" s="3" t="str">
        <f>"protein_coding"</f>
        <v>protein_coding</v>
      </c>
    </row>
    <row r="2654" spans="1:9" x14ac:dyDescent="0.2">
      <c r="A2654" s="3" t="str">
        <f>"ENSG00000254905.1"</f>
        <v>ENSG00000254905.1</v>
      </c>
      <c r="B2654" s="3">
        <v>24.274504228904</v>
      </c>
      <c r="C2654" s="3">
        <v>-2.1223247491286599</v>
      </c>
      <c r="D2654" s="3">
        <v>0.787733093479561</v>
      </c>
      <c r="E2654" s="3">
        <v>-2.6942180882028999</v>
      </c>
      <c r="F2654" s="3">
        <v>7.0553983106820704E-3</v>
      </c>
      <c r="G2654" s="3">
        <v>3.1508095043934002E-2</v>
      </c>
      <c r="H2654" s="3" t="str">
        <f>"AP001318.1"</f>
        <v>AP001318.1</v>
      </c>
      <c r="I2654" s="3" t="str">
        <f>"antisense"</f>
        <v>antisense</v>
      </c>
    </row>
    <row r="2655" spans="1:9" x14ac:dyDescent="0.2">
      <c r="A2655" s="3" t="str">
        <f>"ENSG00000255062.1"</f>
        <v>ENSG00000255062.1</v>
      </c>
      <c r="B2655" s="3">
        <v>79.595120119948703</v>
      </c>
      <c r="C2655" s="3">
        <v>-1.8019214700816999</v>
      </c>
      <c r="D2655" s="3">
        <v>0.44637845432548301</v>
      </c>
      <c r="E2655" s="3">
        <v>-4.0367572686826003</v>
      </c>
      <c r="F2655" s="4">
        <v>5.4195089739067799E-5</v>
      </c>
      <c r="G2655" s="3">
        <v>4.72212498228698E-4</v>
      </c>
      <c r="H2655" s="3" t="str">
        <f>"AP001318.2"</f>
        <v>AP001318.2</v>
      </c>
      <c r="I2655" s="3" t="str">
        <f>"antisense"</f>
        <v>antisense</v>
      </c>
    </row>
    <row r="2656" spans="1:9" x14ac:dyDescent="0.2">
      <c r="A2656" s="3" t="str">
        <f>"ENSG00000110063.10"</f>
        <v>ENSG00000110063.10</v>
      </c>
      <c r="B2656" s="3">
        <v>386.14523817374197</v>
      </c>
      <c r="C2656" s="3">
        <v>-1.0131590590400801</v>
      </c>
      <c r="D2656" s="3">
        <v>0.31876016192395101</v>
      </c>
      <c r="E2656" s="3">
        <v>-3.17843689413673</v>
      </c>
      <c r="F2656" s="3">
        <v>1.4807144695914501E-3</v>
      </c>
      <c r="G2656" s="3">
        <v>8.5117395983941805E-3</v>
      </c>
      <c r="H2656" s="3" t="str">
        <f>"DCPS"</f>
        <v>DCPS</v>
      </c>
      <c r="I2656" s="3" t="str">
        <f>"protein_coding"</f>
        <v>protein_coding</v>
      </c>
    </row>
    <row r="2657" spans="1:9" x14ac:dyDescent="0.2">
      <c r="A2657" s="3" t="str">
        <f>"ENSG00000255358.1"</f>
        <v>ENSG00000255358.1</v>
      </c>
      <c r="B2657" s="3">
        <v>70.909794302665006</v>
      </c>
      <c r="C2657" s="3">
        <v>1.2029216930072699</v>
      </c>
      <c r="D2657" s="3">
        <v>0.45899004951454803</v>
      </c>
      <c r="E2657" s="3">
        <v>2.6208012445575699</v>
      </c>
      <c r="F2657" s="3">
        <v>8.7723388763548092E-3</v>
      </c>
      <c r="G2657" s="3">
        <v>3.7915495607337701E-2</v>
      </c>
      <c r="H2657" s="3" t="str">
        <f>"AC019227.1"</f>
        <v>AC019227.1</v>
      </c>
      <c r="I2657" s="3" t="str">
        <f>"processed_pseudogene"</f>
        <v>processed_pseudogene</v>
      </c>
    </row>
    <row r="2658" spans="1:9" x14ac:dyDescent="0.2">
      <c r="A2658" s="3" t="str">
        <f>"ENSG00000183715.13"</f>
        <v>ENSG00000183715.13</v>
      </c>
      <c r="B2658" s="3">
        <v>8.07614583845562</v>
      </c>
      <c r="C2658" s="3">
        <v>6.5312222652024596</v>
      </c>
      <c r="D2658" s="3">
        <v>1.8235486276564199</v>
      </c>
      <c r="E2658" s="3">
        <v>3.58160027440355</v>
      </c>
      <c r="F2658" s="3">
        <v>3.41496016600229E-4</v>
      </c>
      <c r="G2658" s="3">
        <v>2.40154663057835E-3</v>
      </c>
      <c r="H2658" s="3" t="str">
        <f>"OPCML"</f>
        <v>OPCML</v>
      </c>
      <c r="I2658" s="3" t="str">
        <f>"protein_coding"</f>
        <v>protein_coding</v>
      </c>
    </row>
    <row r="2659" spans="1:9" x14ac:dyDescent="0.2">
      <c r="A2659" s="3" t="str">
        <f>"ENSG00000280237.3"</f>
        <v>ENSG00000280237.3</v>
      </c>
      <c r="B2659" s="3">
        <v>56.999773466519997</v>
      </c>
      <c r="C2659" s="3">
        <v>3.4400772238198201</v>
      </c>
      <c r="D2659" s="3">
        <v>0.57558514917667603</v>
      </c>
      <c r="E2659" s="3">
        <v>5.9766608446040497</v>
      </c>
      <c r="F2659" s="4">
        <v>2.2775767298110099E-9</v>
      </c>
      <c r="G2659" s="4">
        <v>4.38015616501498E-8</v>
      </c>
      <c r="H2659" s="3" t="str">
        <f>"MIR4697HG"</f>
        <v>MIR4697HG</v>
      </c>
      <c r="I2659" s="3" t="str">
        <f>"TEC"</f>
        <v>TEC</v>
      </c>
    </row>
    <row r="2660" spans="1:9" x14ac:dyDescent="0.2">
      <c r="A2660" s="3" t="str">
        <f>"ENSG00000080854.14"</f>
        <v>ENSG00000080854.14</v>
      </c>
      <c r="B2660" s="3">
        <v>109.156062208194</v>
      </c>
      <c r="C2660" s="3">
        <v>2.6173745363239198</v>
      </c>
      <c r="D2660" s="3">
        <v>0.412791907825448</v>
      </c>
      <c r="E2660" s="3">
        <v>6.34066338681885</v>
      </c>
      <c r="F2660" s="4">
        <v>2.2877790523450701E-10</v>
      </c>
      <c r="G2660" s="4">
        <v>5.0570370880263899E-9</v>
      </c>
      <c r="H2660" s="3" t="str">
        <f>"IGSF9B"</f>
        <v>IGSF9B</v>
      </c>
      <c r="I2660" s="3" t="str">
        <f>"protein_coding"</f>
        <v>protein_coding</v>
      </c>
    </row>
    <row r="2661" spans="1:9" x14ac:dyDescent="0.2">
      <c r="A2661" s="3" t="str">
        <f>"ENSG00000166086.12"</f>
        <v>ENSG00000166086.12</v>
      </c>
      <c r="B2661" s="3">
        <v>469.28114882817903</v>
      </c>
      <c r="C2661" s="3">
        <v>-1.3666845156796099</v>
      </c>
      <c r="D2661" s="3">
        <v>0.29377164217936302</v>
      </c>
      <c r="E2661" s="3">
        <v>-4.6522002788995396</v>
      </c>
      <c r="F2661" s="4">
        <v>3.2841187651462498E-6</v>
      </c>
      <c r="G2661" s="4">
        <v>3.72797867947897E-5</v>
      </c>
      <c r="H2661" s="3" t="str">
        <f>"JAM3"</f>
        <v>JAM3</v>
      </c>
      <c r="I2661" s="3" t="str">
        <f>"protein_coding"</f>
        <v>protein_coding</v>
      </c>
    </row>
    <row r="2662" spans="1:9" x14ac:dyDescent="0.2">
      <c r="A2662" s="3" t="str">
        <f>"ENSG00000151503.12"</f>
        <v>ENSG00000151503.12</v>
      </c>
      <c r="B2662" s="3">
        <v>4318.27139631106</v>
      </c>
      <c r="C2662" s="3">
        <v>-1.3253886770082799</v>
      </c>
      <c r="D2662" s="3">
        <v>0.241985862246101</v>
      </c>
      <c r="E2662" s="3">
        <v>-5.4771326915799401</v>
      </c>
      <c r="F2662" s="4">
        <v>4.32273068550456E-8</v>
      </c>
      <c r="G2662" s="4">
        <v>6.8691276306928197E-7</v>
      </c>
      <c r="H2662" s="3" t="str">
        <f>"NCAPD3"</f>
        <v>NCAPD3</v>
      </c>
      <c r="I2662" s="3" t="str">
        <f>"protein_coding"</f>
        <v>protein_coding</v>
      </c>
    </row>
    <row r="2663" spans="1:9" x14ac:dyDescent="0.2">
      <c r="A2663" s="3" t="str">
        <f>"ENSG00000149328.14"</f>
        <v>ENSG00000149328.14</v>
      </c>
      <c r="B2663" s="3">
        <v>131.29671207485001</v>
      </c>
      <c r="C2663" s="3">
        <v>-2.2925711623840699</v>
      </c>
      <c r="D2663" s="3">
        <v>0.41825581944061302</v>
      </c>
      <c r="E2663" s="3">
        <v>-5.4812654261456997</v>
      </c>
      <c r="F2663" s="4">
        <v>4.2229436578625597E-8</v>
      </c>
      <c r="G2663" s="4">
        <v>6.7223815440298198E-7</v>
      </c>
      <c r="H2663" s="3" t="str">
        <f>"GLB1L2"</f>
        <v>GLB1L2</v>
      </c>
      <c r="I2663" s="3" t="str">
        <f>"protein_coding"</f>
        <v>protein_coding</v>
      </c>
    </row>
    <row r="2664" spans="1:9" x14ac:dyDescent="0.2">
      <c r="A2664" s="3" t="str">
        <f>"ENSG00000109956.13"</f>
        <v>ENSG00000109956.13</v>
      </c>
      <c r="B2664" s="3">
        <v>24.835382036081999</v>
      </c>
      <c r="C2664" s="3">
        <v>-4.5356626937749196</v>
      </c>
      <c r="D2664" s="3">
        <v>0.97504898748297797</v>
      </c>
      <c r="E2664" s="3">
        <v>-4.6517280177721396</v>
      </c>
      <c r="F2664" s="4">
        <v>3.2916503912465399E-6</v>
      </c>
      <c r="G2664" s="4">
        <v>3.7348428322871802E-5</v>
      </c>
      <c r="H2664" s="3" t="str">
        <f>"B3GAT1"</f>
        <v>B3GAT1</v>
      </c>
      <c r="I2664" s="3" t="str">
        <f>"protein_coding"</f>
        <v>protein_coding</v>
      </c>
    </row>
    <row r="2665" spans="1:9" x14ac:dyDescent="0.2">
      <c r="A2665" s="3" t="str">
        <f>"ENSG00000249695.6"</f>
        <v>ENSG00000249695.6</v>
      </c>
      <c r="B2665" s="3">
        <v>7.5121821859267897</v>
      </c>
      <c r="C2665" s="3">
        <v>3.8908039832445498</v>
      </c>
      <c r="D2665" s="3">
        <v>1.5006046188001201</v>
      </c>
      <c r="E2665" s="3">
        <v>2.5928242086550499</v>
      </c>
      <c r="F2665" s="3">
        <v>9.5191412955321804E-3</v>
      </c>
      <c r="G2665" s="3">
        <v>4.0564368877054301E-2</v>
      </c>
      <c r="H2665" s="3" t="str">
        <f>"AC026369.1"</f>
        <v>AC026369.1</v>
      </c>
      <c r="I2665" s="3" t="str">
        <f>"antisense"</f>
        <v>antisense</v>
      </c>
    </row>
    <row r="2666" spans="1:9" x14ac:dyDescent="0.2">
      <c r="A2666" s="3" t="str">
        <f>"ENSG00000139044.11"</f>
        <v>ENSG00000139044.11</v>
      </c>
      <c r="B2666" s="3">
        <v>426.541597971123</v>
      </c>
      <c r="C2666" s="3">
        <v>-1.12818995487088</v>
      </c>
      <c r="D2666" s="3">
        <v>0.30826354615931101</v>
      </c>
      <c r="E2666" s="3">
        <v>-3.65982280074022</v>
      </c>
      <c r="F2666" s="3">
        <v>2.5238972006827199E-4</v>
      </c>
      <c r="G2666" s="3">
        <v>1.8338715795255299E-3</v>
      </c>
      <c r="H2666" s="3" t="str">
        <f>"B4GALNT3"</f>
        <v>B4GALNT3</v>
      </c>
      <c r="I2666" s="3" t="str">
        <f t="shared" ref="I2666:I2671" si="113">"protein_coding"</f>
        <v>protein_coding</v>
      </c>
    </row>
    <row r="2667" spans="1:9" x14ac:dyDescent="0.2">
      <c r="A2667" s="3" t="str">
        <f>"ENSG00000171840.11"</f>
        <v>ENSG00000171840.11</v>
      </c>
      <c r="B2667" s="3">
        <v>22.072816388838501</v>
      </c>
      <c r="C2667" s="3">
        <v>-2.18158267858428</v>
      </c>
      <c r="D2667" s="3">
        <v>0.81102730630805298</v>
      </c>
      <c r="E2667" s="3">
        <v>-2.6899004036192702</v>
      </c>
      <c r="F2667" s="3">
        <v>7.1473346680329397E-3</v>
      </c>
      <c r="G2667" s="3">
        <v>3.1804564580641903E-2</v>
      </c>
      <c r="H2667" s="3" t="str">
        <f>"NINJ2"</f>
        <v>NINJ2</v>
      </c>
      <c r="I2667" s="3" t="str">
        <f t="shared" si="113"/>
        <v>protein_coding</v>
      </c>
    </row>
    <row r="2668" spans="1:9" x14ac:dyDescent="0.2">
      <c r="A2668" s="3" t="str">
        <f>"ENSG00000002016.17"</f>
        <v>ENSG00000002016.17</v>
      </c>
      <c r="B2668" s="3">
        <v>1256.5804995994899</v>
      </c>
      <c r="C2668" s="3">
        <v>1.6592749113143901</v>
      </c>
      <c r="D2668" s="3">
        <v>0.253247192721409</v>
      </c>
      <c r="E2668" s="3">
        <v>6.5519972540809803</v>
      </c>
      <c r="F2668" s="4">
        <v>5.6772586165721902E-11</v>
      </c>
      <c r="G2668" s="4">
        <v>1.3460079217707199E-9</v>
      </c>
      <c r="H2668" s="3" t="str">
        <f>"RAD52"</f>
        <v>RAD52</v>
      </c>
      <c r="I2668" s="3" t="str">
        <f t="shared" si="113"/>
        <v>protein_coding</v>
      </c>
    </row>
    <row r="2669" spans="1:9" x14ac:dyDescent="0.2">
      <c r="A2669" s="3" t="str">
        <f>"ENSG00000151062.15"</f>
        <v>ENSG00000151062.15</v>
      </c>
      <c r="B2669" s="3">
        <v>1482.89603443076</v>
      </c>
      <c r="C2669" s="3">
        <v>1.73100721438188</v>
      </c>
      <c r="D2669" s="3">
        <v>0.28634815535428498</v>
      </c>
      <c r="E2669" s="3">
        <v>6.0451139007345498</v>
      </c>
      <c r="F2669" s="4">
        <v>1.49304486343159E-9</v>
      </c>
      <c r="G2669" s="4">
        <v>2.9596173002066001E-8</v>
      </c>
      <c r="H2669" s="3" t="str">
        <f>"CACNA2D4"</f>
        <v>CACNA2D4</v>
      </c>
      <c r="I2669" s="3" t="str">
        <f t="shared" si="113"/>
        <v>protein_coding</v>
      </c>
    </row>
    <row r="2670" spans="1:9" x14ac:dyDescent="0.2">
      <c r="A2670" s="3" t="str">
        <f>"ENSG00000151065.14"</f>
        <v>ENSG00000151065.14</v>
      </c>
      <c r="B2670" s="3">
        <v>1095.11172995641</v>
      </c>
      <c r="C2670" s="3">
        <v>2.4189651321168801</v>
      </c>
      <c r="D2670" s="3">
        <v>0.25308720018863401</v>
      </c>
      <c r="E2670" s="3">
        <v>9.55783275611706</v>
      </c>
      <c r="F2670" s="4">
        <v>1.2024834991338101E-21</v>
      </c>
      <c r="G2670" s="4">
        <v>7.2020172430264001E-20</v>
      </c>
      <c r="H2670" s="3" t="str">
        <f>"DCP1B"</f>
        <v>DCP1B</v>
      </c>
      <c r="I2670" s="3" t="str">
        <f t="shared" si="113"/>
        <v>protein_coding</v>
      </c>
    </row>
    <row r="2671" spans="1:9" x14ac:dyDescent="0.2">
      <c r="A2671" s="3" t="str">
        <f>"ENSG00000151067.21"</f>
        <v>ENSG00000151067.21</v>
      </c>
      <c r="B2671" s="3">
        <v>67.6162316645933</v>
      </c>
      <c r="C2671" s="3">
        <v>1.89670667282327</v>
      </c>
      <c r="D2671" s="3">
        <v>0.48056470342465202</v>
      </c>
      <c r="E2671" s="3">
        <v>3.9468289271075201</v>
      </c>
      <c r="F2671" s="4">
        <v>7.9193099097353694E-5</v>
      </c>
      <c r="G2671" s="3">
        <v>6.6007369376869804E-4</v>
      </c>
      <c r="H2671" s="3" t="str">
        <f>"CACNA1C"</f>
        <v>CACNA1C</v>
      </c>
      <c r="I2671" s="3" t="str">
        <f t="shared" si="113"/>
        <v>protein_coding</v>
      </c>
    </row>
    <row r="2672" spans="1:9" x14ac:dyDescent="0.2">
      <c r="A2672" s="3" t="str">
        <f>"ENSG00000203593.3"</f>
        <v>ENSG00000203593.3</v>
      </c>
      <c r="B2672" s="3">
        <v>10.3867204822837</v>
      </c>
      <c r="C2672" s="3">
        <v>4.4248861247448197</v>
      </c>
      <c r="D2672" s="3">
        <v>1.4259484410502701</v>
      </c>
      <c r="E2672" s="3">
        <v>3.1031178949820299</v>
      </c>
      <c r="F2672" s="3">
        <v>1.9149333939439399E-3</v>
      </c>
      <c r="G2672" s="3">
        <v>1.0565946375227E-2</v>
      </c>
      <c r="H2672" s="3" t="str">
        <f>"AC005342.1"</f>
        <v>AC005342.1</v>
      </c>
      <c r="I2672" s="3" t="str">
        <f>"antisense"</f>
        <v>antisense</v>
      </c>
    </row>
    <row r="2673" spans="1:9" x14ac:dyDescent="0.2">
      <c r="A2673" s="3" t="str">
        <f>"ENSG00000255669.2"</f>
        <v>ENSG00000255669.2</v>
      </c>
      <c r="B2673" s="3">
        <v>33.564537795285503</v>
      </c>
      <c r="C2673" s="3">
        <v>1.62773871862867</v>
      </c>
      <c r="D2673" s="3">
        <v>0.61984677808146804</v>
      </c>
      <c r="E2673" s="3">
        <v>2.6260340074151798</v>
      </c>
      <c r="F2673" s="3">
        <v>8.6386186135366996E-3</v>
      </c>
      <c r="G2673" s="3">
        <v>3.7421121271485398E-2</v>
      </c>
      <c r="H2673" s="3" t="str">
        <f>"AC092471.1"</f>
        <v>AC092471.1</v>
      </c>
      <c r="I2673" s="3" t="str">
        <f>"transcribed_unitary_pseudogene"</f>
        <v>transcribed_unitary_pseudogene</v>
      </c>
    </row>
    <row r="2674" spans="1:9" x14ac:dyDescent="0.2">
      <c r="A2674" s="3" t="str">
        <f>"ENSG00000004478.8"</f>
        <v>ENSG00000004478.8</v>
      </c>
      <c r="B2674" s="3">
        <v>3548.01354840456</v>
      </c>
      <c r="C2674" s="3">
        <v>-1.2907642354680799</v>
      </c>
      <c r="D2674" s="3">
        <v>0.245969147094448</v>
      </c>
      <c r="E2674" s="3">
        <v>-5.2476672408529703</v>
      </c>
      <c r="F2674" s="4">
        <v>1.5403719729609899E-7</v>
      </c>
      <c r="G2674" s="4">
        <v>2.2488715600599902E-6</v>
      </c>
      <c r="H2674" s="3" t="str">
        <f>"FKBP4"</f>
        <v>FKBP4</v>
      </c>
      <c r="I2674" s="3" t="str">
        <f>"protein_coding"</f>
        <v>protein_coding</v>
      </c>
    </row>
    <row r="2675" spans="1:9" x14ac:dyDescent="0.2">
      <c r="A2675" s="3" t="str">
        <f>"ENSG00000111206.12"</f>
        <v>ENSG00000111206.12</v>
      </c>
      <c r="B2675" s="3">
        <v>4209.9512631115904</v>
      </c>
      <c r="C2675" s="3">
        <v>-1.0433611188123399</v>
      </c>
      <c r="D2675" s="3">
        <v>0.26741827030368498</v>
      </c>
      <c r="E2675" s="3">
        <v>-3.9016074617021399</v>
      </c>
      <c r="F2675" s="4">
        <v>9.5556023926294707E-5</v>
      </c>
      <c r="G2675" s="3">
        <v>7.7966648779304005E-4</v>
      </c>
      <c r="H2675" s="3" t="str">
        <f>"FOXM1"</f>
        <v>FOXM1</v>
      </c>
      <c r="I2675" s="3" t="str">
        <f>"protein_coding"</f>
        <v>protein_coding</v>
      </c>
    </row>
    <row r="2676" spans="1:9" x14ac:dyDescent="0.2">
      <c r="A2676" s="3" t="str">
        <f>"ENSG00000250770.3"</f>
        <v>ENSG00000250770.3</v>
      </c>
      <c r="B2676" s="3">
        <v>78.974633849544404</v>
      </c>
      <c r="C2676" s="3">
        <v>3.5906006394575098</v>
      </c>
      <c r="D2676" s="3">
        <v>0.53497500415219801</v>
      </c>
      <c r="E2676" s="3">
        <v>6.7117166439350102</v>
      </c>
      <c r="F2676" s="4">
        <v>1.9234794304460199E-11</v>
      </c>
      <c r="G2676" s="4">
        <v>4.78586795972993E-10</v>
      </c>
      <c r="H2676" s="3" t="str">
        <f>"AC005865.2"</f>
        <v>AC005865.2</v>
      </c>
      <c r="I2676" s="3" t="str">
        <f>"transcribed_unprocessed_pseudogene"</f>
        <v>transcribed_unprocessed_pseudogene</v>
      </c>
    </row>
    <row r="2677" spans="1:9" x14ac:dyDescent="0.2">
      <c r="A2677" s="3" t="str">
        <f>"ENSG00000236908.2"</f>
        <v>ENSG00000236908.2</v>
      </c>
      <c r="B2677" s="3">
        <v>8.8035120380930394</v>
      </c>
      <c r="C2677" s="3">
        <v>6.6565374694417798</v>
      </c>
      <c r="D2677" s="3">
        <v>1.7950267372804001</v>
      </c>
      <c r="E2677" s="3">
        <v>3.7083221832822999</v>
      </c>
      <c r="F2677" s="3">
        <v>2.0863709250227701E-4</v>
      </c>
      <c r="G2677" s="3">
        <v>1.5499899769328899E-3</v>
      </c>
      <c r="H2677" s="3" t="str">
        <f>"AC005865.1"</f>
        <v>AC005865.1</v>
      </c>
      <c r="I2677" s="3" t="str">
        <f>"lincRNA"</f>
        <v>lincRNA</v>
      </c>
    </row>
    <row r="2678" spans="1:9" x14ac:dyDescent="0.2">
      <c r="A2678" s="3" t="str">
        <f>"ENSG00000256356.1"</f>
        <v>ENSG00000256356.1</v>
      </c>
      <c r="B2678" s="3">
        <v>47.347674859774401</v>
      </c>
      <c r="C2678" s="3">
        <v>2.8175556807231001</v>
      </c>
      <c r="D2678" s="3">
        <v>0.58655008894597305</v>
      </c>
      <c r="E2678" s="3">
        <v>4.8036062628278398</v>
      </c>
      <c r="F2678" s="4">
        <v>1.55833125572076E-6</v>
      </c>
      <c r="G2678" s="4">
        <v>1.86932869516718E-5</v>
      </c>
      <c r="H2678" s="3" t="str">
        <f>"HSPA8P5"</f>
        <v>HSPA8P5</v>
      </c>
      <c r="I2678" s="3" t="str">
        <f>"processed_pseudogene"</f>
        <v>processed_pseudogene</v>
      </c>
    </row>
    <row r="2679" spans="1:9" x14ac:dyDescent="0.2">
      <c r="A2679" s="3" t="str">
        <f>"ENSG00000118971.8"</f>
        <v>ENSG00000118971.8</v>
      </c>
      <c r="B2679" s="3">
        <v>1294.7915700644201</v>
      </c>
      <c r="C2679" s="3">
        <v>2.8514616948081999</v>
      </c>
      <c r="D2679" s="3">
        <v>0.25064570475550901</v>
      </c>
      <c r="E2679" s="3">
        <v>11.376463433074299</v>
      </c>
      <c r="F2679" s="4">
        <v>5.4776271851307698E-30</v>
      </c>
      <c r="G2679" s="4">
        <v>5.64711933778543E-28</v>
      </c>
      <c r="H2679" s="3" t="str">
        <f>"CCND2"</f>
        <v>CCND2</v>
      </c>
      <c r="I2679" s="3" t="str">
        <f>"protein_coding"</f>
        <v>protein_coding</v>
      </c>
    </row>
    <row r="2680" spans="1:9" x14ac:dyDescent="0.2">
      <c r="A2680" s="3" t="str">
        <f>"ENSG00000078237.7"</f>
        <v>ENSG00000078237.7</v>
      </c>
      <c r="B2680" s="3">
        <v>765.179300691207</v>
      </c>
      <c r="C2680" s="3">
        <v>3.5143284507075099</v>
      </c>
      <c r="D2680" s="3">
        <v>0.27601028477079398</v>
      </c>
      <c r="E2680" s="3">
        <v>12.7325996334735</v>
      </c>
      <c r="F2680" s="4">
        <v>3.8964614141354E-37</v>
      </c>
      <c r="G2680" s="4">
        <v>5.4757255236075895E-35</v>
      </c>
      <c r="H2680" s="3" t="str">
        <f>"TIGAR"</f>
        <v>TIGAR</v>
      </c>
      <c r="I2680" s="3" t="str">
        <f>"protein_coding"</f>
        <v>protein_coding</v>
      </c>
    </row>
    <row r="2681" spans="1:9" x14ac:dyDescent="0.2">
      <c r="A2681" s="3" t="str">
        <f>"ENSG00000111247.14"</f>
        <v>ENSG00000111247.14</v>
      </c>
      <c r="B2681" s="3">
        <v>1212.9443510359799</v>
      </c>
      <c r="C2681" s="3">
        <v>-1.5992731574425501</v>
      </c>
      <c r="D2681" s="3">
        <v>0.285620220824711</v>
      </c>
      <c r="E2681" s="3">
        <v>-5.5992994922584396</v>
      </c>
      <c r="F2681" s="4">
        <v>2.15219700996721E-8</v>
      </c>
      <c r="G2681" s="4">
        <v>3.5948549658516002E-7</v>
      </c>
      <c r="H2681" s="3" t="str">
        <f>"RAD51AP1"</f>
        <v>RAD51AP1</v>
      </c>
      <c r="I2681" s="3" t="str">
        <f>"protein_coding"</f>
        <v>protein_coding</v>
      </c>
    </row>
    <row r="2682" spans="1:9" x14ac:dyDescent="0.2">
      <c r="A2682" s="3" t="str">
        <f>"ENSG00000256654.3"</f>
        <v>ENSG00000256654.3</v>
      </c>
      <c r="B2682" s="3">
        <v>85.735472725525696</v>
      </c>
      <c r="C2682" s="3">
        <v>4.4397349647336899</v>
      </c>
      <c r="D2682" s="3">
        <v>0.54054942140395301</v>
      </c>
      <c r="E2682" s="3">
        <v>8.2133747423177201</v>
      </c>
      <c r="F2682" s="4">
        <v>2.1505704897996701E-16</v>
      </c>
      <c r="G2682" s="4">
        <v>9.0012646707006101E-15</v>
      </c>
      <c r="H2682" s="3" t="str">
        <f>"AC005906.2"</f>
        <v>AC005906.2</v>
      </c>
      <c r="I2682" s="3" t="str">
        <f>"processed_transcript"</f>
        <v>processed_transcript</v>
      </c>
    </row>
    <row r="2683" spans="1:9" x14ac:dyDescent="0.2">
      <c r="A2683" s="3" t="str">
        <f>"ENSG00000110799.13"</f>
        <v>ENSG00000110799.13</v>
      </c>
      <c r="B2683" s="3">
        <v>336.07273022194198</v>
      </c>
      <c r="C2683" s="3">
        <v>4.3892391691315797</v>
      </c>
      <c r="D2683" s="3">
        <v>0.33972375895293</v>
      </c>
      <c r="E2683" s="3">
        <v>12.9200241474419</v>
      </c>
      <c r="F2683" s="4">
        <v>3.4703253919444098E-38</v>
      </c>
      <c r="G2683" s="4">
        <v>5.32292897770497E-36</v>
      </c>
      <c r="H2683" s="3" t="str">
        <f>"VWF"</f>
        <v>VWF</v>
      </c>
      <c r="I2683" s="3" t="str">
        <f t="shared" ref="I2683:I2689" si="114">"protein_coding"</f>
        <v>protein_coding</v>
      </c>
    </row>
    <row r="2684" spans="1:9" x14ac:dyDescent="0.2">
      <c r="A2684" s="3" t="str">
        <f>"ENSG00000010278.14"</f>
        <v>ENSG00000010278.14</v>
      </c>
      <c r="B2684" s="3">
        <v>395.95102023487499</v>
      </c>
      <c r="C2684" s="3">
        <v>2.1584222198368699</v>
      </c>
      <c r="D2684" s="3">
        <v>0.29521080467282002</v>
      </c>
      <c r="E2684" s="3">
        <v>7.3114607787782004</v>
      </c>
      <c r="F2684" s="4">
        <v>2.64253661882668E-13</v>
      </c>
      <c r="G2684" s="4">
        <v>8.2575166020602599E-12</v>
      </c>
      <c r="H2684" s="3" t="str">
        <f>"CD9"</f>
        <v>CD9</v>
      </c>
      <c r="I2684" s="3" t="str">
        <f t="shared" si="114"/>
        <v>protein_coding</v>
      </c>
    </row>
    <row r="2685" spans="1:9" x14ac:dyDescent="0.2">
      <c r="A2685" s="3" t="str">
        <f>"ENSG00000111319.13"</f>
        <v>ENSG00000111319.13</v>
      </c>
      <c r="B2685" s="3">
        <v>986.31035099915505</v>
      </c>
      <c r="C2685" s="3">
        <v>4.5638558855039904</v>
      </c>
      <c r="D2685" s="3">
        <v>0.31605371462085002</v>
      </c>
      <c r="E2685" s="3">
        <v>14.4401273403129</v>
      </c>
      <c r="F2685" s="4">
        <v>2.8930713276817399E-47</v>
      </c>
      <c r="G2685" s="4">
        <v>6.7384453007253901E-45</v>
      </c>
      <c r="H2685" s="3" t="str">
        <f>"SCNN1A"</f>
        <v>SCNN1A</v>
      </c>
      <c r="I2685" s="3" t="str">
        <f t="shared" si="114"/>
        <v>protein_coding</v>
      </c>
    </row>
    <row r="2686" spans="1:9" x14ac:dyDescent="0.2">
      <c r="A2686" s="3" t="str">
        <f>"ENSG00000089693.10"</f>
        <v>ENSG00000089693.10</v>
      </c>
      <c r="B2686" s="3">
        <v>9965.5190893173203</v>
      </c>
      <c r="C2686" s="3">
        <v>2.05605437525253</v>
      </c>
      <c r="D2686" s="3">
        <v>0.26863125386807102</v>
      </c>
      <c r="E2686" s="3">
        <v>7.6538166935046501</v>
      </c>
      <c r="F2686" s="4">
        <v>1.9510033130851798E-14</v>
      </c>
      <c r="G2686" s="4">
        <v>6.65908932709061E-13</v>
      </c>
      <c r="H2686" s="3" t="str">
        <f>"MLF2"</f>
        <v>MLF2</v>
      </c>
      <c r="I2686" s="3" t="str">
        <f t="shared" si="114"/>
        <v>protein_coding</v>
      </c>
    </row>
    <row r="2687" spans="1:9" x14ac:dyDescent="0.2">
      <c r="A2687" s="3" t="str">
        <f>"ENSG00000159335.16"</f>
        <v>ENSG00000159335.16</v>
      </c>
      <c r="B2687" s="3">
        <v>3226.9727704238599</v>
      </c>
      <c r="C2687" s="3">
        <v>-1.40248862970041</v>
      </c>
      <c r="D2687" s="3">
        <v>0.29060610322324398</v>
      </c>
      <c r="E2687" s="3">
        <v>-4.8260811254298099</v>
      </c>
      <c r="F2687" s="4">
        <v>1.39245806435409E-6</v>
      </c>
      <c r="G2687" s="4">
        <v>1.6799655927495099E-5</v>
      </c>
      <c r="H2687" s="3" t="str">
        <f>"PTMS"</f>
        <v>PTMS</v>
      </c>
      <c r="I2687" s="3" t="str">
        <f t="shared" si="114"/>
        <v>protein_coding</v>
      </c>
    </row>
    <row r="2688" spans="1:9" x14ac:dyDescent="0.2">
      <c r="A2688" s="3" t="str">
        <f>"ENSG00000111674.9"</f>
        <v>ENSG00000111674.9</v>
      </c>
      <c r="B2688" s="3">
        <v>1463.2971850874601</v>
      </c>
      <c r="C2688" s="3">
        <v>1.19934975407998</v>
      </c>
      <c r="D2688" s="3">
        <v>0.27821833916741601</v>
      </c>
      <c r="E2688" s="3">
        <v>4.3108220603613203</v>
      </c>
      <c r="F2688" s="4">
        <v>1.62648751013225E-5</v>
      </c>
      <c r="G2688" s="3">
        <v>1.59013965477562E-4</v>
      </c>
      <c r="H2688" s="3" t="str">
        <f>"ENO2"</f>
        <v>ENO2</v>
      </c>
      <c r="I2688" s="3" t="str">
        <f t="shared" si="114"/>
        <v>protein_coding</v>
      </c>
    </row>
    <row r="2689" spans="1:9" x14ac:dyDescent="0.2">
      <c r="A2689" s="3" t="str">
        <f>"ENSG00000111678.11"</f>
        <v>ENSG00000111678.11</v>
      </c>
      <c r="B2689" s="3">
        <v>1074.4088126465699</v>
      </c>
      <c r="C2689" s="3">
        <v>-1.31311177471066</v>
      </c>
      <c r="D2689" s="3">
        <v>0.29722425739474001</v>
      </c>
      <c r="E2689" s="3">
        <v>-4.4179159070678899</v>
      </c>
      <c r="F2689" s="4">
        <v>9.9657177341966695E-6</v>
      </c>
      <c r="G2689" s="3">
        <v>1.02071510424966E-4</v>
      </c>
      <c r="H2689" s="3" t="str">
        <f>"C12orf57"</f>
        <v>C12orf57</v>
      </c>
      <c r="I2689" s="3" t="str">
        <f t="shared" si="114"/>
        <v>protein_coding</v>
      </c>
    </row>
    <row r="2690" spans="1:9" x14ac:dyDescent="0.2">
      <c r="A2690" s="3" t="str">
        <f>"ENSG00000272173.1"</f>
        <v>ENSG00000272173.1</v>
      </c>
      <c r="B2690" s="3">
        <v>20.051874056611801</v>
      </c>
      <c r="C2690" s="3">
        <v>-3.84781693390372</v>
      </c>
      <c r="D2690" s="3">
        <v>0.95818150520599898</v>
      </c>
      <c r="E2690" s="3">
        <v>-4.0157495349239403</v>
      </c>
      <c r="F2690" s="4">
        <v>5.9257162436966302E-5</v>
      </c>
      <c r="G2690" s="3">
        <v>5.1135983571248302E-4</v>
      </c>
      <c r="H2690" s="3" t="str">
        <f>"U47924.2"</f>
        <v>U47924.2</v>
      </c>
      <c r="I2690" s="3" t="str">
        <f>"antisense"</f>
        <v>antisense</v>
      </c>
    </row>
    <row r="2691" spans="1:9" x14ac:dyDescent="0.2">
      <c r="A2691" s="3" t="str">
        <f>"ENSG00000182326.15"</f>
        <v>ENSG00000182326.15</v>
      </c>
      <c r="B2691" s="3">
        <v>675.62903680729903</v>
      </c>
      <c r="C2691" s="3">
        <v>2.5823614260901802</v>
      </c>
      <c r="D2691" s="3">
        <v>0.282546030124529</v>
      </c>
      <c r="E2691" s="3">
        <v>9.1396131984301103</v>
      </c>
      <c r="F2691" s="4">
        <v>6.2676100529002805E-20</v>
      </c>
      <c r="G2691" s="4">
        <v>3.35450491235546E-18</v>
      </c>
      <c r="H2691" s="3" t="str">
        <f>"C1S"</f>
        <v>C1S</v>
      </c>
      <c r="I2691" s="3" t="str">
        <f>"protein_coding"</f>
        <v>protein_coding</v>
      </c>
    </row>
    <row r="2692" spans="1:9" x14ac:dyDescent="0.2">
      <c r="A2692" s="3" t="str">
        <f>"ENSG00000159403.17"</f>
        <v>ENSG00000159403.17</v>
      </c>
      <c r="B2692" s="3">
        <v>131.25997914895601</v>
      </c>
      <c r="C2692" s="3">
        <v>1.3728009833537</v>
      </c>
      <c r="D2692" s="3">
        <v>0.40647155223544301</v>
      </c>
      <c r="E2692" s="3">
        <v>3.3773605454153</v>
      </c>
      <c r="F2692" s="3">
        <v>7.3185052473574903E-4</v>
      </c>
      <c r="G2692" s="3">
        <v>4.67844979662713E-3</v>
      </c>
      <c r="H2692" s="3" t="str">
        <f>"C1R"</f>
        <v>C1R</v>
      </c>
      <c r="I2692" s="3" t="str">
        <f>"protein_coding"</f>
        <v>protein_coding</v>
      </c>
    </row>
    <row r="2693" spans="1:9" x14ac:dyDescent="0.2">
      <c r="A2693" s="3" t="str">
        <f>"ENSG00000139178.11"</f>
        <v>ENSG00000139178.11</v>
      </c>
      <c r="B2693" s="3">
        <v>1983.2289116811501</v>
      </c>
      <c r="C2693" s="3">
        <v>1.3503983376519899</v>
      </c>
      <c r="D2693" s="3">
        <v>0.27361127500803201</v>
      </c>
      <c r="E2693" s="3">
        <v>4.9354630492195302</v>
      </c>
      <c r="F2693" s="4">
        <v>7.9960818990323898E-7</v>
      </c>
      <c r="G2693" s="4">
        <v>1.0210225389348201E-5</v>
      </c>
      <c r="H2693" s="3" t="str">
        <f>"C1RL"</f>
        <v>C1RL</v>
      </c>
      <c r="I2693" s="3" t="str">
        <f>"protein_coding"</f>
        <v>protein_coding</v>
      </c>
    </row>
    <row r="2694" spans="1:9" x14ac:dyDescent="0.2">
      <c r="A2694" s="3" t="str">
        <f>"ENSG00000139194.8"</f>
        <v>ENSG00000139194.8</v>
      </c>
      <c r="B2694" s="3">
        <v>265.63812368184801</v>
      </c>
      <c r="C2694" s="3">
        <v>-1.92655781570813</v>
      </c>
      <c r="D2694" s="3">
        <v>0.31482944429460702</v>
      </c>
      <c r="E2694" s="3">
        <v>-6.1193698703267501</v>
      </c>
      <c r="F2694" s="4">
        <v>9.3946113337551692E-10</v>
      </c>
      <c r="G2694" s="4">
        <v>1.9225245587307301E-8</v>
      </c>
      <c r="H2694" s="3" t="str">
        <f>"RBP5"</f>
        <v>RBP5</v>
      </c>
      <c r="I2694" s="3" t="str">
        <f>"protein_coding"</f>
        <v>protein_coding</v>
      </c>
    </row>
    <row r="2695" spans="1:9" x14ac:dyDescent="0.2">
      <c r="A2695" s="3" t="str">
        <f>"ENSG00000249790.2"</f>
        <v>ENSG00000249790.2</v>
      </c>
      <c r="B2695" s="3">
        <v>54.689266479086797</v>
      </c>
      <c r="C2695" s="3">
        <v>-3.0363110578764099</v>
      </c>
      <c r="D2695" s="3">
        <v>0.55962097494888896</v>
      </c>
      <c r="E2695" s="3">
        <v>-5.4256562812959599</v>
      </c>
      <c r="F2695" s="4">
        <v>5.7741981695518499E-8</v>
      </c>
      <c r="G2695" s="4">
        <v>8.9605154198073303E-7</v>
      </c>
      <c r="H2695" s="3" t="str">
        <f>"AC092490.1"</f>
        <v>AC092490.1</v>
      </c>
      <c r="I2695" s="3" t="str">
        <f>"lincRNA"</f>
        <v>lincRNA</v>
      </c>
    </row>
    <row r="2696" spans="1:9" x14ac:dyDescent="0.2">
      <c r="A2696" s="3" t="str">
        <f>"ENSG00000175899.14"</f>
        <v>ENSG00000175899.14</v>
      </c>
      <c r="B2696" s="3">
        <v>70265.722713503405</v>
      </c>
      <c r="C2696" s="3">
        <v>-1.3292345611807099</v>
      </c>
      <c r="D2696" s="3">
        <v>0.26939476564393899</v>
      </c>
      <c r="E2696" s="3">
        <v>-4.9341514041797199</v>
      </c>
      <c r="F2696" s="4">
        <v>8.0499978782785505E-7</v>
      </c>
      <c r="G2696" s="4">
        <v>1.0263441288803699E-5</v>
      </c>
      <c r="H2696" s="3" t="str">
        <f>"A2M"</f>
        <v>A2M</v>
      </c>
      <c r="I2696" s="3" t="str">
        <f>"protein_coding"</f>
        <v>protein_coding</v>
      </c>
    </row>
    <row r="2697" spans="1:9" x14ac:dyDescent="0.2">
      <c r="A2697" s="3" t="str">
        <f>"ENSG00000284634.1"</f>
        <v>ENSG00000284634.1</v>
      </c>
      <c r="B2697" s="3">
        <v>116.37826225564</v>
      </c>
      <c r="C2697" s="3">
        <v>-1.3597425345794001</v>
      </c>
      <c r="D2697" s="3">
        <v>0.38243109677725801</v>
      </c>
      <c r="E2697" s="3">
        <v>-3.5555229322038202</v>
      </c>
      <c r="F2697" s="3">
        <v>3.7722803823536899E-4</v>
      </c>
      <c r="G2697" s="3">
        <v>2.6148171126510601E-3</v>
      </c>
      <c r="H2697" s="3" t="str">
        <f>"AC092821.3"</f>
        <v>AC092821.3</v>
      </c>
      <c r="I2697" s="3" t="str">
        <f>"processed_transcript"</f>
        <v>processed_transcript</v>
      </c>
    </row>
    <row r="2698" spans="1:9" x14ac:dyDescent="0.2">
      <c r="A2698" s="3" t="str">
        <f>"ENSG00000245648.1"</f>
        <v>ENSG00000245648.1</v>
      </c>
      <c r="B2698" s="3">
        <v>221.502694110574</v>
      </c>
      <c r="C2698" s="3">
        <v>3.6313331637225801</v>
      </c>
      <c r="D2698" s="3">
        <v>0.35991181237704001</v>
      </c>
      <c r="E2698" s="3">
        <v>10.089508148508401</v>
      </c>
      <c r="F2698" s="4">
        <v>6.1476777160720397E-24</v>
      </c>
      <c r="G2698" s="4">
        <v>4.3808734546116798E-22</v>
      </c>
      <c r="H2698" s="3" t="str">
        <f>"AC022075.1"</f>
        <v>AC022075.1</v>
      </c>
      <c r="I2698" s="3" t="str">
        <f>"antisense"</f>
        <v>antisense</v>
      </c>
    </row>
    <row r="2699" spans="1:9" x14ac:dyDescent="0.2">
      <c r="A2699" s="3" t="str">
        <f>"ENSG00000060138.13"</f>
        <v>ENSG00000060138.13</v>
      </c>
      <c r="B2699" s="3">
        <v>6268.5149485499196</v>
      </c>
      <c r="C2699" s="3">
        <v>1.3426765902887099</v>
      </c>
      <c r="D2699" s="3">
        <v>0.241810031507986</v>
      </c>
      <c r="E2699" s="3">
        <v>5.5526091366659003</v>
      </c>
      <c r="F2699" s="4">
        <v>2.81436894277954E-8</v>
      </c>
      <c r="G2699" s="4">
        <v>4.6120814824507701E-7</v>
      </c>
      <c r="H2699" s="3" t="str">
        <f>"YBX3"</f>
        <v>YBX3</v>
      </c>
      <c r="I2699" s="3" t="str">
        <f t="shared" ref="I2699:I2704" si="115">"protein_coding"</f>
        <v>protein_coding</v>
      </c>
    </row>
    <row r="2700" spans="1:9" x14ac:dyDescent="0.2">
      <c r="A2700" s="3" t="str">
        <f>"ENSG00000121380.12"</f>
        <v>ENSG00000121380.12</v>
      </c>
      <c r="B2700" s="3">
        <v>51.412736038584001</v>
      </c>
      <c r="C2700" s="3">
        <v>-2.3942377132434398</v>
      </c>
      <c r="D2700" s="3">
        <v>0.54922162121276197</v>
      </c>
      <c r="E2700" s="3">
        <v>-4.3593289498629302</v>
      </c>
      <c r="F2700" s="4">
        <v>1.30461881015325E-5</v>
      </c>
      <c r="G2700" s="3">
        <v>1.29662924414875E-4</v>
      </c>
      <c r="H2700" s="3" t="str">
        <f>"BCL2L14"</f>
        <v>BCL2L14</v>
      </c>
      <c r="I2700" s="3" t="str">
        <f t="shared" si="115"/>
        <v>protein_coding</v>
      </c>
    </row>
    <row r="2701" spans="1:9" x14ac:dyDescent="0.2">
      <c r="A2701" s="3" t="str">
        <f>"ENSG00000111261.14"</f>
        <v>ENSG00000111261.14</v>
      </c>
      <c r="B2701" s="3">
        <v>725.56537070709101</v>
      </c>
      <c r="C2701" s="3">
        <v>-2.2132649683551699</v>
      </c>
      <c r="D2701" s="3">
        <v>0.26925401967238</v>
      </c>
      <c r="E2701" s="3">
        <v>-8.21998858567909</v>
      </c>
      <c r="F2701" s="4">
        <v>2.03522550456788E-16</v>
      </c>
      <c r="G2701" s="4">
        <v>8.5612203289974902E-15</v>
      </c>
      <c r="H2701" s="3" t="str">
        <f>"MANSC1"</f>
        <v>MANSC1</v>
      </c>
      <c r="I2701" s="3" t="str">
        <f t="shared" si="115"/>
        <v>protein_coding</v>
      </c>
    </row>
    <row r="2702" spans="1:9" x14ac:dyDescent="0.2">
      <c r="A2702" s="3" t="str">
        <f>"ENSG00000165714.11"</f>
        <v>ENSG00000165714.11</v>
      </c>
      <c r="B2702" s="3">
        <v>1223.86153490011</v>
      </c>
      <c r="C2702" s="3">
        <v>-1.3229687767132901</v>
      </c>
      <c r="D2702" s="3">
        <v>0.255060374596289</v>
      </c>
      <c r="E2702" s="3">
        <v>-5.1868847868168002</v>
      </c>
      <c r="F2702" s="4">
        <v>2.1384093115048499E-7</v>
      </c>
      <c r="G2702" s="4">
        <v>3.0322258303779299E-6</v>
      </c>
      <c r="H2702" s="3" t="str">
        <f>"BORCS5"</f>
        <v>BORCS5</v>
      </c>
      <c r="I2702" s="3" t="str">
        <f t="shared" si="115"/>
        <v>protein_coding</v>
      </c>
    </row>
    <row r="2703" spans="1:9" x14ac:dyDescent="0.2">
      <c r="A2703" s="3" t="str">
        <f>"ENSG00000183150.8"</f>
        <v>ENSG00000183150.8</v>
      </c>
      <c r="B2703" s="3">
        <v>94.602804332123796</v>
      </c>
      <c r="C2703" s="3">
        <v>-3.2846449026146098</v>
      </c>
      <c r="D2703" s="3">
        <v>0.45853663972176201</v>
      </c>
      <c r="E2703" s="3">
        <v>-7.1633204810148303</v>
      </c>
      <c r="F2703" s="4">
        <v>7.8745963024874699E-13</v>
      </c>
      <c r="G2703" s="4">
        <v>2.2900054333996799E-11</v>
      </c>
      <c r="H2703" s="3" t="str">
        <f>"GPR19"</f>
        <v>GPR19</v>
      </c>
      <c r="I2703" s="3" t="str">
        <f t="shared" si="115"/>
        <v>protein_coding</v>
      </c>
    </row>
    <row r="2704" spans="1:9" x14ac:dyDescent="0.2">
      <c r="A2704" s="3" t="str">
        <f>"ENSG00000178878.12"</f>
        <v>ENSG00000178878.12</v>
      </c>
      <c r="B2704" s="3">
        <v>43.1102196766048</v>
      </c>
      <c r="C2704" s="3">
        <v>-1.43629926117035</v>
      </c>
      <c r="D2704" s="3">
        <v>0.55979338733048301</v>
      </c>
      <c r="E2704" s="3">
        <v>-2.5657667519434399</v>
      </c>
      <c r="F2704" s="3">
        <v>1.02948029336896E-2</v>
      </c>
      <c r="G2704" s="3">
        <v>4.3276364939331798E-2</v>
      </c>
      <c r="H2704" s="3" t="str">
        <f>"APOLD1"</f>
        <v>APOLD1</v>
      </c>
      <c r="I2704" s="3" t="str">
        <f t="shared" si="115"/>
        <v>protein_coding</v>
      </c>
    </row>
    <row r="2705" spans="1:9" x14ac:dyDescent="0.2">
      <c r="A2705" s="3" t="str">
        <f>"ENSG00000234498.3"</f>
        <v>ENSG00000234498.3</v>
      </c>
      <c r="B2705" s="3">
        <v>12.5812523837899</v>
      </c>
      <c r="C2705" s="3">
        <v>-2.8917318652208999</v>
      </c>
      <c r="D2705" s="3">
        <v>1.1307704787034001</v>
      </c>
      <c r="E2705" s="3">
        <v>-2.5573110721255499</v>
      </c>
      <c r="F2705" s="3">
        <v>1.0548484062227101E-2</v>
      </c>
      <c r="G2705" s="3">
        <v>4.4150934539987002E-2</v>
      </c>
      <c r="H2705" s="3" t="str">
        <f>"RPL13AP20"</f>
        <v>RPL13AP20</v>
      </c>
      <c r="I2705" s="3" t="str">
        <f>"processed_pseudogene"</f>
        <v>processed_pseudogene</v>
      </c>
    </row>
    <row r="2706" spans="1:9" x14ac:dyDescent="0.2">
      <c r="A2706" s="3" t="str">
        <f>"ENSG00000013588.8"</f>
        <v>ENSG00000013588.8</v>
      </c>
      <c r="B2706" s="3">
        <v>104.229820214846</v>
      </c>
      <c r="C2706" s="3">
        <v>-1.5444713200920499</v>
      </c>
      <c r="D2706" s="3">
        <v>0.40189779891975103</v>
      </c>
      <c r="E2706" s="3">
        <v>-3.8429454558929801</v>
      </c>
      <c r="F2706" s="3">
        <v>1.21566493536804E-4</v>
      </c>
      <c r="G2706" s="3">
        <v>9.6497639689277102E-4</v>
      </c>
      <c r="H2706" s="3" t="str">
        <f>"GPRC5A"</f>
        <v>GPRC5A</v>
      </c>
      <c r="I2706" s="3" t="str">
        <f>"protein_coding"</f>
        <v>protein_coding</v>
      </c>
    </row>
    <row r="2707" spans="1:9" x14ac:dyDescent="0.2">
      <c r="A2707" s="3" t="str">
        <f>"ENSG00000180861.9"</f>
        <v>ENSG00000180861.9</v>
      </c>
      <c r="B2707" s="3">
        <v>6.0419776427305498</v>
      </c>
      <c r="C2707" s="3">
        <v>-5.98170001043243</v>
      </c>
      <c r="D2707" s="3">
        <v>1.9369358923948401</v>
      </c>
      <c r="E2707" s="3">
        <v>-3.0882281824188902</v>
      </c>
      <c r="F2707" s="3">
        <v>2.0135379998804299E-3</v>
      </c>
      <c r="G2707" s="3">
        <v>1.1010988779780901E-2</v>
      </c>
      <c r="H2707" s="3" t="str">
        <f>"LINC01559"</f>
        <v>LINC01559</v>
      </c>
      <c r="I2707" s="3" t="str">
        <f>"lincRNA"</f>
        <v>lincRNA</v>
      </c>
    </row>
    <row r="2708" spans="1:9" x14ac:dyDescent="0.2">
      <c r="A2708" s="3" t="str">
        <f>"ENSG00000261324.2"</f>
        <v>ENSG00000261324.2</v>
      </c>
      <c r="B2708" s="3">
        <v>242.40274369129099</v>
      </c>
      <c r="C2708" s="3">
        <v>1.6086193011274601</v>
      </c>
      <c r="D2708" s="3">
        <v>0.35193928988305401</v>
      </c>
      <c r="E2708" s="3">
        <v>4.5707295188951003</v>
      </c>
      <c r="F2708" s="4">
        <v>4.8602927444357398E-6</v>
      </c>
      <c r="G2708" s="4">
        <v>5.3412260369716499E-5</v>
      </c>
      <c r="H2708" s="3" t="str">
        <f>"AC010168.2"</f>
        <v>AC010168.2</v>
      </c>
      <c r="I2708" s="3" t="str">
        <f>"sense_overlapping"</f>
        <v>sense_overlapping</v>
      </c>
    </row>
    <row r="2709" spans="1:9" x14ac:dyDescent="0.2">
      <c r="A2709" s="3" t="str">
        <f>"ENSG00000111339.12"</f>
        <v>ENSG00000111339.12</v>
      </c>
      <c r="B2709" s="3">
        <v>206.17124057323699</v>
      </c>
      <c r="C2709" s="3">
        <v>-1.3228192855395899</v>
      </c>
      <c r="D2709" s="3">
        <v>0.35720282992727298</v>
      </c>
      <c r="E2709" s="3">
        <v>-3.7032721319954698</v>
      </c>
      <c r="F2709" s="3">
        <v>2.1283635774966799E-4</v>
      </c>
      <c r="G2709" s="3">
        <v>1.57838991131866E-3</v>
      </c>
      <c r="H2709" s="3" t="str">
        <f>"ART4"</f>
        <v>ART4</v>
      </c>
      <c r="I2709" s="3" t="str">
        <f>"protein_coding"</f>
        <v>protein_coding</v>
      </c>
    </row>
    <row r="2710" spans="1:9" x14ac:dyDescent="0.2">
      <c r="A2710" s="3" t="str">
        <f>"ENSG00000023697.13"</f>
        <v>ENSG00000023697.13</v>
      </c>
      <c r="B2710" s="3">
        <v>1838.3561734034099</v>
      </c>
      <c r="C2710" s="3">
        <v>1.0093965938118701</v>
      </c>
      <c r="D2710" s="3">
        <v>0.24297338046817599</v>
      </c>
      <c r="E2710" s="3">
        <v>4.1543505377704504</v>
      </c>
      <c r="F2710" s="4">
        <v>3.2621276149321297E-5</v>
      </c>
      <c r="G2710" s="3">
        <v>2.9904817840239702E-4</v>
      </c>
      <c r="H2710" s="3" t="str">
        <f>"DERA"</f>
        <v>DERA</v>
      </c>
      <c r="I2710" s="3" t="str">
        <f>"protein_coding"</f>
        <v>protein_coding</v>
      </c>
    </row>
    <row r="2711" spans="1:9" x14ac:dyDescent="0.2">
      <c r="A2711" s="3" t="str">
        <f>"ENSG00000008394.13"</f>
        <v>ENSG00000008394.13</v>
      </c>
      <c r="B2711" s="3">
        <v>2406.5359564038299</v>
      </c>
      <c r="C2711" s="3">
        <v>-1.61761719445438</v>
      </c>
      <c r="D2711" s="3">
        <v>0.29817319686955501</v>
      </c>
      <c r="E2711" s="3">
        <v>-5.4250925684713804</v>
      </c>
      <c r="F2711" s="4">
        <v>5.7924512819757402E-8</v>
      </c>
      <c r="G2711" s="4">
        <v>8.9777641403635105E-7</v>
      </c>
      <c r="H2711" s="3" t="str">
        <f>"MGST1"</f>
        <v>MGST1</v>
      </c>
      <c r="I2711" s="3" t="str">
        <f>"protein_coding"</f>
        <v>protein_coding</v>
      </c>
    </row>
    <row r="2712" spans="1:9" x14ac:dyDescent="0.2">
      <c r="A2712" s="3" t="str">
        <f>"ENSG00000172572.6"</f>
        <v>ENSG00000172572.6</v>
      </c>
      <c r="B2712" s="3">
        <v>96.601190792720402</v>
      </c>
      <c r="C2712" s="3">
        <v>-2.3014491655927798</v>
      </c>
      <c r="D2712" s="3">
        <v>0.44723508005746199</v>
      </c>
      <c r="E2712" s="3">
        <v>-5.1459495648174096</v>
      </c>
      <c r="F2712" s="4">
        <v>2.6617093412776799E-7</v>
      </c>
      <c r="G2712" s="4">
        <v>3.7094348188277099E-6</v>
      </c>
      <c r="H2712" s="3" t="str">
        <f>"PDE3A"</f>
        <v>PDE3A</v>
      </c>
      <c r="I2712" s="3" t="str">
        <f>"protein_coding"</f>
        <v>protein_coding</v>
      </c>
    </row>
    <row r="2713" spans="1:9" x14ac:dyDescent="0.2">
      <c r="A2713" s="3" t="str">
        <f>"ENSG00000256663.1"</f>
        <v>ENSG00000256663.1</v>
      </c>
      <c r="B2713" s="3">
        <v>489.961146195661</v>
      </c>
      <c r="C2713" s="3">
        <v>-4.9481447833962404</v>
      </c>
      <c r="D2713" s="3">
        <v>0.37186604585796601</v>
      </c>
      <c r="E2713" s="3">
        <v>-13.3062559448791</v>
      </c>
      <c r="F2713" s="4">
        <v>2.12885468773008E-40</v>
      </c>
      <c r="G2713" s="4">
        <v>3.6429482768605599E-38</v>
      </c>
      <c r="H2713" s="3" t="str">
        <f>"AC112777.1"</f>
        <v>AC112777.1</v>
      </c>
      <c r="I2713" s="3" t="str">
        <f>"processed_pseudogene"</f>
        <v>processed_pseudogene</v>
      </c>
    </row>
    <row r="2714" spans="1:9" x14ac:dyDescent="0.2">
      <c r="A2714" s="3" t="str">
        <f>"ENSG00000274885.1"</f>
        <v>ENSG00000274885.1</v>
      </c>
      <c r="B2714" s="3">
        <v>64.678537914287404</v>
      </c>
      <c r="C2714" s="3">
        <v>1.5716029911120999</v>
      </c>
      <c r="D2714" s="3">
        <v>0.47869818917181101</v>
      </c>
      <c r="E2714" s="3">
        <v>3.2830769504917301</v>
      </c>
      <c r="F2714" s="3">
        <v>1.0268063301829601E-3</v>
      </c>
      <c r="G2714" s="3">
        <v>6.2465086422617304E-3</v>
      </c>
      <c r="H2714" s="3" t="str">
        <f>"AC087241.4"</f>
        <v>AC087241.4</v>
      </c>
      <c r="I2714" s="3" t="str">
        <f>"sense_intronic"</f>
        <v>sense_intronic</v>
      </c>
    </row>
    <row r="2715" spans="1:9" x14ac:dyDescent="0.2">
      <c r="A2715" s="3" t="str">
        <f>"ENSG00000255745.1"</f>
        <v>ENSG00000255745.1</v>
      </c>
      <c r="B2715" s="3">
        <v>138.23182010617501</v>
      </c>
      <c r="C2715" s="3">
        <v>2.50722293887444</v>
      </c>
      <c r="D2715" s="3">
        <v>0.414160036614313</v>
      </c>
      <c r="E2715" s="3">
        <v>6.0537539048203604</v>
      </c>
      <c r="F2715" s="4">
        <v>1.4150874277057001E-9</v>
      </c>
      <c r="G2715" s="4">
        <v>2.8139544856867098E-8</v>
      </c>
      <c r="H2715" s="3" t="str">
        <f>"AC023796.1"</f>
        <v>AC023796.1</v>
      </c>
      <c r="I2715" s="3" t="str">
        <f>"lincRNA"</f>
        <v>lincRNA</v>
      </c>
    </row>
    <row r="2716" spans="1:9" x14ac:dyDescent="0.2">
      <c r="A2716" s="3" t="str">
        <f>"ENSG00000060982.15"</f>
        <v>ENSG00000060982.15</v>
      </c>
      <c r="B2716" s="3">
        <v>1064.4466234187901</v>
      </c>
      <c r="C2716" s="3">
        <v>-2.5401326254775198</v>
      </c>
      <c r="D2716" s="3">
        <v>0.25746276540612401</v>
      </c>
      <c r="E2716" s="3">
        <v>-9.8660193502959199</v>
      </c>
      <c r="F2716" s="4">
        <v>5.8437829518127798E-23</v>
      </c>
      <c r="G2716" s="4">
        <v>3.8082994858251396E-21</v>
      </c>
      <c r="H2716" s="3" t="str">
        <f>"BCAT1"</f>
        <v>BCAT1</v>
      </c>
      <c r="I2716" s="3" t="str">
        <f>"protein_coding"</f>
        <v>protein_coding</v>
      </c>
    </row>
    <row r="2717" spans="1:9" x14ac:dyDescent="0.2">
      <c r="A2717" s="3" t="str">
        <f>"ENSG00000246695.7"</f>
        <v>ENSG00000246695.7</v>
      </c>
      <c r="B2717" s="3">
        <v>58.0596778478318</v>
      </c>
      <c r="C2717" s="3">
        <v>-2.04380760382685</v>
      </c>
      <c r="D2717" s="3">
        <v>0.55417460140510699</v>
      </c>
      <c r="E2717" s="3">
        <v>-3.6880210652830199</v>
      </c>
      <c r="F2717" s="3">
        <v>2.2600494385004101E-4</v>
      </c>
      <c r="G2717" s="3">
        <v>1.66524732353479E-3</v>
      </c>
      <c r="H2717" s="3" t="str">
        <f>"RASSF8-AS1"</f>
        <v>RASSF8-AS1</v>
      </c>
      <c r="I2717" s="3" t="str">
        <f>"antisense"</f>
        <v>antisense</v>
      </c>
    </row>
    <row r="2718" spans="1:9" x14ac:dyDescent="0.2">
      <c r="A2718" s="3" t="str">
        <f>"ENSG00000123094.15"</f>
        <v>ENSG00000123094.15</v>
      </c>
      <c r="B2718" s="3">
        <v>335.815851648788</v>
      </c>
      <c r="C2718" s="3">
        <v>-1.4447748035791601</v>
      </c>
      <c r="D2718" s="3">
        <v>0.307753625851162</v>
      </c>
      <c r="E2718" s="3">
        <v>-4.6945825563657104</v>
      </c>
      <c r="F2718" s="4">
        <v>2.67151705302148E-6</v>
      </c>
      <c r="G2718" s="4">
        <v>3.0741999756978697E-5</v>
      </c>
      <c r="H2718" s="3" t="str">
        <f>"RASSF8"</f>
        <v>RASSF8</v>
      </c>
      <c r="I2718" s="3" t="str">
        <f t="shared" ref="I2718:I2724" si="116">"protein_coding"</f>
        <v>protein_coding</v>
      </c>
    </row>
    <row r="2719" spans="1:9" x14ac:dyDescent="0.2">
      <c r="A2719" s="3" t="str">
        <f>"ENSG00000123095.6"</f>
        <v>ENSG00000123095.6</v>
      </c>
      <c r="B2719" s="3">
        <v>20.337525298688199</v>
      </c>
      <c r="C2719" s="3">
        <v>-3.5928144035041099</v>
      </c>
      <c r="D2719" s="3">
        <v>0.91291097823230005</v>
      </c>
      <c r="E2719" s="3">
        <v>-3.93555832843745</v>
      </c>
      <c r="F2719" s="4">
        <v>8.3003501061543498E-5</v>
      </c>
      <c r="G2719" s="3">
        <v>6.8773157747138605E-4</v>
      </c>
      <c r="H2719" s="3" t="str">
        <f>"BHLHE41"</f>
        <v>BHLHE41</v>
      </c>
      <c r="I2719" s="3" t="str">
        <f t="shared" si="116"/>
        <v>protein_coding</v>
      </c>
    </row>
    <row r="2720" spans="1:9" x14ac:dyDescent="0.2">
      <c r="A2720" s="3" t="str">
        <f>"ENSG00000064115.11"</f>
        <v>ENSG00000064115.11</v>
      </c>
      <c r="B2720" s="3">
        <v>5971.3530346792204</v>
      </c>
      <c r="C2720" s="3">
        <v>3.38477916267238</v>
      </c>
      <c r="D2720" s="3">
        <v>0.26999425284636103</v>
      </c>
      <c r="E2720" s="3">
        <v>12.536485969567901</v>
      </c>
      <c r="F2720" s="4">
        <v>4.7144104151341098E-36</v>
      </c>
      <c r="G2720" s="4">
        <v>6.3417643846362797E-34</v>
      </c>
      <c r="H2720" s="3" t="str">
        <f>"TM7SF3"</f>
        <v>TM7SF3</v>
      </c>
      <c r="I2720" s="3" t="str">
        <f t="shared" si="116"/>
        <v>protein_coding</v>
      </c>
    </row>
    <row r="2721" spans="1:9" x14ac:dyDescent="0.2">
      <c r="A2721" s="3" t="str">
        <f>"ENSG00000029153.14"</f>
        <v>ENSG00000029153.14</v>
      </c>
      <c r="B2721" s="3">
        <v>496.82486864634899</v>
      </c>
      <c r="C2721" s="3">
        <v>-1.4448732290681701</v>
      </c>
      <c r="D2721" s="3">
        <v>0.287817764913404</v>
      </c>
      <c r="E2721" s="3">
        <v>-5.0200974547310899</v>
      </c>
      <c r="F2721" s="4">
        <v>5.1645271193176995E-7</v>
      </c>
      <c r="G2721" s="4">
        <v>6.8375620887598302E-6</v>
      </c>
      <c r="H2721" s="3" t="str">
        <f>"ARNTL2"</f>
        <v>ARNTL2</v>
      </c>
      <c r="I2721" s="3" t="str">
        <f t="shared" si="116"/>
        <v>protein_coding</v>
      </c>
    </row>
    <row r="2722" spans="1:9" x14ac:dyDescent="0.2">
      <c r="A2722" s="3" t="str">
        <f>"ENSG00000110841.14"</f>
        <v>ENSG00000110841.14</v>
      </c>
      <c r="B2722" s="3">
        <v>2516.6787210727598</v>
      </c>
      <c r="C2722" s="3">
        <v>1.1171393694898599</v>
      </c>
      <c r="D2722" s="3">
        <v>0.25262609507624301</v>
      </c>
      <c r="E2722" s="3">
        <v>4.4221059948407397</v>
      </c>
      <c r="F2722" s="4">
        <v>9.7743482476319204E-6</v>
      </c>
      <c r="G2722" s="3">
        <v>1.00356624558849E-4</v>
      </c>
      <c r="H2722" s="3" t="str">
        <f>"PPFIBP1"</f>
        <v>PPFIBP1</v>
      </c>
      <c r="I2722" s="3" t="str">
        <f t="shared" si="116"/>
        <v>protein_coding</v>
      </c>
    </row>
    <row r="2723" spans="1:9" x14ac:dyDescent="0.2">
      <c r="A2723" s="3" t="str">
        <f>"ENSG00000133687.16"</f>
        <v>ENSG00000133687.16</v>
      </c>
      <c r="B2723" s="3">
        <v>137.869740695204</v>
      </c>
      <c r="C2723" s="3">
        <v>-1.03513618986996</v>
      </c>
      <c r="D2723" s="3">
        <v>0.36036366149462001</v>
      </c>
      <c r="E2723" s="3">
        <v>-2.87247661314324</v>
      </c>
      <c r="F2723" s="3">
        <v>4.0726822218385798E-3</v>
      </c>
      <c r="G2723" s="3">
        <v>1.9997720337761E-2</v>
      </c>
      <c r="H2723" s="3" t="str">
        <f>"TMTC1"</f>
        <v>TMTC1</v>
      </c>
      <c r="I2723" s="3" t="str">
        <f t="shared" si="116"/>
        <v>protein_coding</v>
      </c>
    </row>
    <row r="2724" spans="1:9" x14ac:dyDescent="0.2">
      <c r="A2724" s="3" t="str">
        <f>"ENSG00000110900.15"</f>
        <v>ENSG00000110900.15</v>
      </c>
      <c r="B2724" s="3">
        <v>292.376869647631</v>
      </c>
      <c r="C2724" s="3">
        <v>8.2670535769197393</v>
      </c>
      <c r="D2724" s="3">
        <v>0.78635059334174795</v>
      </c>
      <c r="E2724" s="3">
        <v>10.513190486430901</v>
      </c>
      <c r="F2724" s="4">
        <v>7.5108734679680402E-26</v>
      </c>
      <c r="G2724" s="4">
        <v>6.2355122800902998E-24</v>
      </c>
      <c r="H2724" s="3" t="str">
        <f>"TSPAN11"</f>
        <v>TSPAN11</v>
      </c>
      <c r="I2724" s="3" t="str">
        <f t="shared" si="116"/>
        <v>protein_coding</v>
      </c>
    </row>
    <row r="2725" spans="1:9" x14ac:dyDescent="0.2">
      <c r="A2725" s="3" t="str">
        <f>"ENSG00000245614.3"</f>
        <v>ENSG00000245614.3</v>
      </c>
      <c r="B2725" s="3">
        <v>93.804118666502902</v>
      </c>
      <c r="C2725" s="3">
        <v>-2.2191461674184199</v>
      </c>
      <c r="D2725" s="3">
        <v>0.45381475824414902</v>
      </c>
      <c r="E2725" s="3">
        <v>-4.8899823707904604</v>
      </c>
      <c r="F2725" s="4">
        <v>1.0084500886361901E-6</v>
      </c>
      <c r="G2725" s="4">
        <v>1.2620677601812601E-5</v>
      </c>
      <c r="H2725" s="3" t="str">
        <f>"DDX11-AS1"</f>
        <v>DDX11-AS1</v>
      </c>
      <c r="I2725" s="3" t="str">
        <f>"antisense"</f>
        <v>antisense</v>
      </c>
    </row>
    <row r="2726" spans="1:9" x14ac:dyDescent="0.2">
      <c r="A2726" s="3" t="str">
        <f>"ENSG00000233381.3"</f>
        <v>ENSG00000233381.3</v>
      </c>
      <c r="B2726" s="3">
        <v>61.574577788331801</v>
      </c>
      <c r="C2726" s="3">
        <v>-1.38875394308561</v>
      </c>
      <c r="D2726" s="3">
        <v>0.48952614739124001</v>
      </c>
      <c r="E2726" s="3">
        <v>-2.8369351677872401</v>
      </c>
      <c r="F2726" s="3">
        <v>4.5548859969316898E-3</v>
      </c>
      <c r="G2726" s="3">
        <v>2.1951005219064401E-2</v>
      </c>
      <c r="H2726" s="3" t="str">
        <f>"AK4P3"</f>
        <v>AK4P3</v>
      </c>
      <c r="I2726" s="3" t="str">
        <f>"processed_pseudogene"</f>
        <v>processed_pseudogene</v>
      </c>
    </row>
    <row r="2727" spans="1:9" x14ac:dyDescent="0.2">
      <c r="A2727" s="3" t="str">
        <f>"ENSG00000174718.12"</f>
        <v>ENSG00000174718.12</v>
      </c>
      <c r="B2727" s="3">
        <v>3586.96148297736</v>
      </c>
      <c r="C2727" s="3">
        <v>-3.2297424374100299</v>
      </c>
      <c r="D2727" s="3">
        <v>0.302501991322149</v>
      </c>
      <c r="E2727" s="3">
        <v>-10.676764219943699</v>
      </c>
      <c r="F2727" s="4">
        <v>1.3074991287996999E-26</v>
      </c>
      <c r="G2727" s="4">
        <v>1.13024538092634E-24</v>
      </c>
      <c r="H2727" s="3" t="str">
        <f>"RESF1"</f>
        <v>RESF1</v>
      </c>
      <c r="I2727" s="3" t="str">
        <f>"protein_coding"</f>
        <v>protein_coding</v>
      </c>
    </row>
    <row r="2728" spans="1:9" x14ac:dyDescent="0.2">
      <c r="A2728" s="3" t="str">
        <f>"ENSG00000276136.1"</f>
        <v>ENSG00000276136.1</v>
      </c>
      <c r="B2728" s="3">
        <v>16.714487175900899</v>
      </c>
      <c r="C2728" s="3">
        <v>-2.27072307257286</v>
      </c>
      <c r="D2728" s="3">
        <v>0.87464647484796498</v>
      </c>
      <c r="E2728" s="3">
        <v>-2.59616100661421</v>
      </c>
      <c r="F2728" s="3">
        <v>9.4271878619655892E-3</v>
      </c>
      <c r="G2728" s="3">
        <v>4.0247948178503801E-2</v>
      </c>
      <c r="H2728" s="3" t="str">
        <f>"AC016957.2"</f>
        <v>AC016957.2</v>
      </c>
      <c r="I2728" s="3" t="str">
        <f>"lincRNA"</f>
        <v>lincRNA</v>
      </c>
    </row>
    <row r="2729" spans="1:9" x14ac:dyDescent="0.2">
      <c r="A2729" s="3" t="str">
        <f>"ENSG00000151746.14"</f>
        <v>ENSG00000151746.14</v>
      </c>
      <c r="B2729" s="3">
        <v>302.05560385650102</v>
      </c>
      <c r="C2729" s="3">
        <v>-2.3455909574352098</v>
      </c>
      <c r="D2729" s="3">
        <v>0.30933723533178198</v>
      </c>
      <c r="E2729" s="3">
        <v>-7.5826337392568801</v>
      </c>
      <c r="F2729" s="4">
        <v>3.3860974480125702E-14</v>
      </c>
      <c r="G2729" s="4">
        <v>1.13569708406342E-12</v>
      </c>
      <c r="H2729" s="3" t="str">
        <f>"BICD1"</f>
        <v>BICD1</v>
      </c>
      <c r="I2729" s="3" t="str">
        <f>"protein_coding"</f>
        <v>protein_coding</v>
      </c>
    </row>
    <row r="2730" spans="1:9" x14ac:dyDescent="0.2">
      <c r="A2730" s="3" t="str">
        <f>"ENSG00000274964.1"</f>
        <v>ENSG00000274964.1</v>
      </c>
      <c r="B2730" s="3">
        <v>20.348178589260201</v>
      </c>
      <c r="C2730" s="3">
        <v>-2.7615698860984099</v>
      </c>
      <c r="D2730" s="3">
        <v>0.83425275995459403</v>
      </c>
      <c r="E2730" s="3">
        <v>-3.3102316452015299</v>
      </c>
      <c r="F2730" s="3">
        <v>9.3218790294009E-4</v>
      </c>
      <c r="G2730" s="3">
        <v>5.7501683909901803E-3</v>
      </c>
      <c r="H2730" s="3" t="str">
        <f>"AC026356.1"</f>
        <v>AC026356.1</v>
      </c>
      <c r="I2730" s="3" t="str">
        <f>"sense_intronic"</f>
        <v>sense_intronic</v>
      </c>
    </row>
    <row r="2731" spans="1:9" x14ac:dyDescent="0.2">
      <c r="A2731" s="3" t="str">
        <f>"ENSG00000151229.13"</f>
        <v>ENSG00000151229.13</v>
      </c>
      <c r="B2731" s="3">
        <v>516.14704895693296</v>
      </c>
      <c r="C2731" s="3">
        <v>-1.09590735909878</v>
      </c>
      <c r="D2731" s="3">
        <v>0.28640056394632901</v>
      </c>
      <c r="E2731" s="3">
        <v>-3.8264846409455799</v>
      </c>
      <c r="F2731" s="3">
        <v>1.2998625587417199E-4</v>
      </c>
      <c r="G2731" s="3">
        <v>1.0205381605851401E-3</v>
      </c>
      <c r="H2731" s="3" t="str">
        <f>"SLC2A13"</f>
        <v>SLC2A13</v>
      </c>
      <c r="I2731" s="3" t="str">
        <f>"protein_coding"</f>
        <v>protein_coding</v>
      </c>
    </row>
    <row r="2732" spans="1:9" x14ac:dyDescent="0.2">
      <c r="A2732" s="3" t="str">
        <f>"ENSG00000205592.14"</f>
        <v>ENSG00000205592.14</v>
      </c>
      <c r="B2732" s="3">
        <v>2606.70335187919</v>
      </c>
      <c r="C2732" s="3">
        <v>6.3199131106267297</v>
      </c>
      <c r="D2732" s="3">
        <v>0.285484539252636</v>
      </c>
      <c r="E2732" s="3">
        <v>22.1374969277548</v>
      </c>
      <c r="F2732" s="4">
        <v>1.3767291289358399E-108</v>
      </c>
      <c r="G2732" s="4">
        <v>3.14832920348918E-105</v>
      </c>
      <c r="H2732" s="3" t="str">
        <f>"MUC19"</f>
        <v>MUC19</v>
      </c>
      <c r="I2732" s="3" t="str">
        <f>"protein_coding"</f>
        <v>protein_coding</v>
      </c>
    </row>
    <row r="2733" spans="1:9" x14ac:dyDescent="0.2">
      <c r="A2733" s="3" t="str">
        <f>"ENSG00000018236.15"</f>
        <v>ENSG00000018236.15</v>
      </c>
      <c r="B2733" s="3">
        <v>41.478778606914602</v>
      </c>
      <c r="C2733" s="3">
        <v>2.1755843395813699</v>
      </c>
      <c r="D2733" s="3">
        <v>0.60969636342937406</v>
      </c>
      <c r="E2733" s="3">
        <v>3.5683078825405898</v>
      </c>
      <c r="F2733" s="3">
        <v>3.59294160027187E-4</v>
      </c>
      <c r="G2733" s="3">
        <v>2.5084775452356E-3</v>
      </c>
      <c r="H2733" s="3" t="str">
        <f>"CNTN1"</f>
        <v>CNTN1</v>
      </c>
      <c r="I2733" s="3" t="str">
        <f>"protein_coding"</f>
        <v>protein_coding</v>
      </c>
    </row>
    <row r="2734" spans="1:9" x14ac:dyDescent="0.2">
      <c r="A2734" s="3" t="str">
        <f>"ENSG00000151233.11"</f>
        <v>ENSG00000151233.11</v>
      </c>
      <c r="B2734" s="3">
        <v>3460.4201220301602</v>
      </c>
      <c r="C2734" s="3">
        <v>1.0758585038328301</v>
      </c>
      <c r="D2734" s="3">
        <v>0.24469026711030201</v>
      </c>
      <c r="E2734" s="3">
        <v>4.3968177260922596</v>
      </c>
      <c r="F2734" s="4">
        <v>1.0984951693270099E-5</v>
      </c>
      <c r="G2734" s="3">
        <v>1.1124253616916599E-4</v>
      </c>
      <c r="H2734" s="3" t="str">
        <f>"GXYLT1"</f>
        <v>GXYLT1</v>
      </c>
      <c r="I2734" s="3" t="str">
        <f>"protein_coding"</f>
        <v>protein_coding</v>
      </c>
    </row>
    <row r="2735" spans="1:9" x14ac:dyDescent="0.2">
      <c r="A2735" s="3" t="str">
        <f>"ENSG00000257225.1"</f>
        <v>ENSG00000257225.1</v>
      </c>
      <c r="B2735" s="3">
        <v>4.3952041576985801</v>
      </c>
      <c r="C2735" s="3">
        <v>-5.52127954115113</v>
      </c>
      <c r="D2735" s="3">
        <v>2.09681285943278</v>
      </c>
      <c r="E2735" s="3">
        <v>-2.6331770698147698</v>
      </c>
      <c r="F2735" s="3">
        <v>8.4590234101031506E-3</v>
      </c>
      <c r="G2735" s="3">
        <v>3.6763430179879902E-2</v>
      </c>
      <c r="H2735" s="3" t="str">
        <f>"AC079601.1"</f>
        <v>AC079601.1</v>
      </c>
      <c r="I2735" s="3" t="str">
        <f>"antisense"</f>
        <v>antisense</v>
      </c>
    </row>
    <row r="2736" spans="1:9" x14ac:dyDescent="0.2">
      <c r="A2736" s="3" t="str">
        <f>"ENSG00000198001.13"</f>
        <v>ENSG00000198001.13</v>
      </c>
      <c r="B2736" s="3">
        <v>381.17676732642599</v>
      </c>
      <c r="C2736" s="3">
        <v>1.2290158407498499</v>
      </c>
      <c r="D2736" s="3">
        <v>0.30629391209503698</v>
      </c>
      <c r="E2736" s="3">
        <v>4.0125376059335904</v>
      </c>
      <c r="F2736" s="4">
        <v>6.00695057808278E-5</v>
      </c>
      <c r="G2736" s="3">
        <v>5.1695122063521201E-4</v>
      </c>
      <c r="H2736" s="3" t="str">
        <f>"IRAK4"</f>
        <v>IRAK4</v>
      </c>
      <c r="I2736" s="3" t="str">
        <f>"protein_coding"</f>
        <v>protein_coding</v>
      </c>
    </row>
    <row r="2737" spans="1:9" x14ac:dyDescent="0.2">
      <c r="A2737" s="3" t="str">
        <f>"ENSG00000134297.6"</f>
        <v>ENSG00000134297.6</v>
      </c>
      <c r="B2737" s="3">
        <v>75.447954643627497</v>
      </c>
      <c r="C2737" s="3">
        <v>-1.6060905723410499</v>
      </c>
      <c r="D2737" s="3">
        <v>0.46725569357048102</v>
      </c>
      <c r="E2737" s="3">
        <v>-3.4372841132620402</v>
      </c>
      <c r="F2737" s="3">
        <v>5.8757891492761398E-4</v>
      </c>
      <c r="G2737" s="3">
        <v>3.85512457094526E-3</v>
      </c>
      <c r="H2737" s="3" t="str">
        <f>"PLEKHA8P1"</f>
        <v>PLEKHA8P1</v>
      </c>
      <c r="I2737" s="3" t="str">
        <f>"transcribed_processed_pseudogene"</f>
        <v>transcribed_processed_pseudogene</v>
      </c>
    </row>
    <row r="2738" spans="1:9" x14ac:dyDescent="0.2">
      <c r="A2738" s="3" t="str">
        <f>"ENSG00000257261.5"</f>
        <v>ENSG00000257261.5</v>
      </c>
      <c r="B2738" s="3">
        <v>616.41314225225199</v>
      </c>
      <c r="C2738" s="3">
        <v>1.0561261425622499</v>
      </c>
      <c r="D2738" s="3">
        <v>0.26802220594760501</v>
      </c>
      <c r="E2738" s="3">
        <v>3.94044269141158</v>
      </c>
      <c r="F2738" s="4">
        <v>8.1331379506984497E-5</v>
      </c>
      <c r="G2738" s="3">
        <v>6.7548300861580896E-4</v>
      </c>
      <c r="H2738" s="3" t="str">
        <f>"AC008014.1"</f>
        <v>AC008014.1</v>
      </c>
      <c r="I2738" s="3" t="str">
        <f>"lincRNA"</f>
        <v>lincRNA</v>
      </c>
    </row>
    <row r="2739" spans="1:9" x14ac:dyDescent="0.2">
      <c r="A2739" s="3" t="str">
        <f>"ENSG00000278896.1"</f>
        <v>ENSG00000278896.1</v>
      </c>
      <c r="B2739" s="3">
        <v>508.05336740680099</v>
      </c>
      <c r="C2739" s="3">
        <v>1.19541225170089</v>
      </c>
      <c r="D2739" s="3">
        <v>0.365968489607433</v>
      </c>
      <c r="E2739" s="3">
        <v>3.2664349135172301</v>
      </c>
      <c r="F2739" s="3">
        <v>1.08910840765693E-3</v>
      </c>
      <c r="G2739" s="3">
        <v>6.5604698262955296E-3</v>
      </c>
      <c r="H2739" s="3" t="str">
        <f>"AC025031.5"</f>
        <v>AC025031.5</v>
      </c>
      <c r="I2739" s="3" t="str">
        <f>"TEC"</f>
        <v>TEC</v>
      </c>
    </row>
    <row r="2740" spans="1:9" x14ac:dyDescent="0.2">
      <c r="A2740" s="3" t="str">
        <f>"ENSG00000272369.1"</f>
        <v>ENSG00000272369.1</v>
      </c>
      <c r="B2740" s="3">
        <v>139.31608644545901</v>
      </c>
      <c r="C2740" s="3">
        <v>1.22681533281559</v>
      </c>
      <c r="D2740" s="3">
        <v>0.39299403741712502</v>
      </c>
      <c r="E2740" s="3">
        <v>3.1217148760795301</v>
      </c>
      <c r="F2740" s="3">
        <v>1.79800982226557E-3</v>
      </c>
      <c r="G2740" s="3">
        <v>1.0019595561210799E-2</v>
      </c>
      <c r="H2740" s="3" t="str">
        <f>"AC008035.1"</f>
        <v>AC008035.1</v>
      </c>
      <c r="I2740" s="3" t="str">
        <f>"lincRNA"</f>
        <v>lincRNA</v>
      </c>
    </row>
    <row r="2741" spans="1:9" x14ac:dyDescent="0.2">
      <c r="A2741" s="3" t="str">
        <f>"ENSG00000272963.1"</f>
        <v>ENSG00000272963.1</v>
      </c>
      <c r="B2741" s="3">
        <v>67.483194796171603</v>
      </c>
      <c r="C2741" s="3">
        <v>1.27398409454866</v>
      </c>
      <c r="D2741" s="3">
        <v>0.45868829375355702</v>
      </c>
      <c r="E2741" s="3">
        <v>2.7774506389150302</v>
      </c>
      <c r="F2741" s="3">
        <v>5.4787160991071398E-3</v>
      </c>
      <c r="G2741" s="3">
        <v>2.55595518310534E-2</v>
      </c>
      <c r="H2741" s="3" t="str">
        <f>"OR7A19P"</f>
        <v>OR7A19P</v>
      </c>
      <c r="I2741" s="3" t="str">
        <f>"unprocessed_pseudogene"</f>
        <v>unprocessed_pseudogene</v>
      </c>
    </row>
    <row r="2742" spans="1:9" x14ac:dyDescent="0.2">
      <c r="A2742" s="3" t="str">
        <f>"ENSG00000139209.16"</f>
        <v>ENSG00000139209.16</v>
      </c>
      <c r="B2742" s="3">
        <v>533.74060001694397</v>
      </c>
      <c r="C2742" s="3">
        <v>-3.27732907664095</v>
      </c>
      <c r="D2742" s="3">
        <v>0.31079715490897603</v>
      </c>
      <c r="E2742" s="3">
        <v>-10.5449133779902</v>
      </c>
      <c r="F2742" s="4">
        <v>5.3622247479775803E-26</v>
      </c>
      <c r="G2742" s="4">
        <v>4.5112629944941803E-24</v>
      </c>
      <c r="H2742" s="3" t="str">
        <f>"SLC38A4"</f>
        <v>SLC38A4</v>
      </c>
      <c r="I2742" s="3" t="str">
        <f>"protein_coding"</f>
        <v>protein_coding</v>
      </c>
    </row>
    <row r="2743" spans="1:9" x14ac:dyDescent="0.2">
      <c r="A2743" s="3" t="str">
        <f>"ENSG00000079337.16"</f>
        <v>ENSG00000079337.16</v>
      </c>
      <c r="B2743" s="3">
        <v>130.97246877987399</v>
      </c>
      <c r="C2743" s="3">
        <v>4.3617582748805903</v>
      </c>
      <c r="D2743" s="3">
        <v>0.46718628137261498</v>
      </c>
      <c r="E2743" s="3">
        <v>9.3362293560194907</v>
      </c>
      <c r="F2743" s="4">
        <v>9.9825960240299904E-21</v>
      </c>
      <c r="G2743" s="4">
        <v>5.6429708535836999E-19</v>
      </c>
      <c r="H2743" s="3" t="str">
        <f>"RAPGEF3"</f>
        <v>RAPGEF3</v>
      </c>
      <c r="I2743" s="3" t="str">
        <f>"protein_coding"</f>
        <v>protein_coding</v>
      </c>
    </row>
    <row r="2744" spans="1:9" x14ac:dyDescent="0.2">
      <c r="A2744" s="3" t="str">
        <f>"ENSG00000211584.14"</f>
        <v>ENSG00000211584.14</v>
      </c>
      <c r="B2744" s="3">
        <v>1497.18544043714</v>
      </c>
      <c r="C2744" s="3">
        <v>3.0788900857854902</v>
      </c>
      <c r="D2744" s="3">
        <v>0.27418955130165001</v>
      </c>
      <c r="E2744" s="3">
        <v>11.229056946806301</v>
      </c>
      <c r="F2744" s="4">
        <v>2.9359535151975699E-29</v>
      </c>
      <c r="G2744" s="4">
        <v>2.8515023426561801E-27</v>
      </c>
      <c r="H2744" s="3" t="str">
        <f>"SLC48A1"</f>
        <v>SLC48A1</v>
      </c>
      <c r="I2744" s="3" t="str">
        <f>"protein_coding"</f>
        <v>protein_coding</v>
      </c>
    </row>
    <row r="2745" spans="1:9" x14ac:dyDescent="0.2">
      <c r="A2745" s="3" t="str">
        <f>"ENSG00000277173.1"</f>
        <v>ENSG00000277173.1</v>
      </c>
      <c r="B2745" s="3">
        <v>5.3391328845098203</v>
      </c>
      <c r="C2745" s="3">
        <v>5.9307764386603301</v>
      </c>
      <c r="D2745" s="3">
        <v>2.0098564833281598</v>
      </c>
      <c r="E2745" s="3">
        <v>2.9508457384178199</v>
      </c>
      <c r="F2745" s="3">
        <v>3.1690514800148E-3</v>
      </c>
      <c r="G2745" s="3">
        <v>1.6146949560415701E-2</v>
      </c>
      <c r="H2745" s="3" t="str">
        <f>"AC004241.4"</f>
        <v>AC004241.4</v>
      </c>
      <c r="I2745" s="3" t="str">
        <f>"sense_intronic"</f>
        <v>sense_intronic</v>
      </c>
    </row>
    <row r="2746" spans="1:9" x14ac:dyDescent="0.2">
      <c r="A2746" s="3" t="str">
        <f>"ENSG00000268069.2"</f>
        <v>ENSG00000268069.2</v>
      </c>
      <c r="B2746" s="3">
        <v>47.7015153670567</v>
      </c>
      <c r="C2746" s="3">
        <v>4.2787262185317303</v>
      </c>
      <c r="D2746" s="3">
        <v>0.69293981689010298</v>
      </c>
      <c r="E2746" s="3">
        <v>6.1747443489891403</v>
      </c>
      <c r="F2746" s="4">
        <v>6.6270615327874201E-10</v>
      </c>
      <c r="G2746" s="4">
        <v>1.38458249881451E-8</v>
      </c>
      <c r="H2746" s="3" t="str">
        <f>"AC004466.1"</f>
        <v>AC004466.1</v>
      </c>
      <c r="I2746" s="3" t="str">
        <f>"antisense"</f>
        <v>antisense</v>
      </c>
    </row>
    <row r="2747" spans="1:9" x14ac:dyDescent="0.2">
      <c r="A2747" s="3" t="str">
        <f>"ENSG00000276691.1"</f>
        <v>ENSG00000276691.1</v>
      </c>
      <c r="B2747" s="3">
        <v>10.8973794718177</v>
      </c>
      <c r="C2747" s="3">
        <v>5.4779708459089997</v>
      </c>
      <c r="D2747" s="3">
        <v>1.7009752817227399</v>
      </c>
      <c r="E2747" s="3">
        <v>3.2204882133037001</v>
      </c>
      <c r="F2747" s="3">
        <v>1.27972454938287E-3</v>
      </c>
      <c r="G2747" s="3">
        <v>7.53369319909338E-3</v>
      </c>
      <c r="H2747" s="3" t="str">
        <f>"AC004466.3"</f>
        <v>AC004466.3</v>
      </c>
      <c r="I2747" s="3" t="str">
        <f>"antisense"</f>
        <v>antisense</v>
      </c>
    </row>
    <row r="2748" spans="1:9" x14ac:dyDescent="0.2">
      <c r="A2748" s="3" t="str">
        <f>"ENSG00000111424.10"</f>
        <v>ENSG00000111424.10</v>
      </c>
      <c r="B2748" s="3">
        <v>53.017979171688197</v>
      </c>
      <c r="C2748" s="3">
        <v>2.3447631563910298</v>
      </c>
      <c r="D2748" s="3">
        <v>0.561107269443194</v>
      </c>
      <c r="E2748" s="3">
        <v>4.17881443367828</v>
      </c>
      <c r="F2748" s="4">
        <v>2.93032653545791E-5</v>
      </c>
      <c r="G2748" s="3">
        <v>2.7010759985138802E-4</v>
      </c>
      <c r="H2748" s="3" t="str">
        <f>"VDR"</f>
        <v>VDR</v>
      </c>
      <c r="I2748" s="3" t="str">
        <f>"protein_coding"</f>
        <v>protein_coding</v>
      </c>
    </row>
    <row r="2749" spans="1:9" x14ac:dyDescent="0.2">
      <c r="A2749" s="3" t="str">
        <f>"ENSG00000257985.1"</f>
        <v>ENSG00000257985.1</v>
      </c>
      <c r="B2749" s="3">
        <v>22.078783650507901</v>
      </c>
      <c r="C2749" s="3">
        <v>7.9826159205562304</v>
      </c>
      <c r="D2749" s="3">
        <v>1.6026376531405599</v>
      </c>
      <c r="E2749" s="3">
        <v>4.9809237321445403</v>
      </c>
      <c r="F2749" s="4">
        <v>6.3281477966705405E-7</v>
      </c>
      <c r="G2749" s="4">
        <v>8.2521802916146894E-6</v>
      </c>
      <c r="H2749" s="3" t="str">
        <f>"AC004801.4"</f>
        <v>AC004801.4</v>
      </c>
      <c r="I2749" s="3" t="str">
        <f>"antisense"</f>
        <v>antisense</v>
      </c>
    </row>
    <row r="2750" spans="1:9" x14ac:dyDescent="0.2">
      <c r="A2750" s="3" t="str">
        <f>"ENSG00000172602.11"</f>
        <v>ENSG00000172602.11</v>
      </c>
      <c r="B2750" s="3">
        <v>79.299171434715802</v>
      </c>
      <c r="C2750" s="3">
        <v>-2.2253338434918</v>
      </c>
      <c r="D2750" s="3">
        <v>0.44908669147490099</v>
      </c>
      <c r="E2750" s="3">
        <v>-4.9552433544251899</v>
      </c>
      <c r="F2750" s="4">
        <v>7.2239817467954203E-7</v>
      </c>
      <c r="G2750" s="4">
        <v>9.3046216508263605E-6</v>
      </c>
      <c r="H2750" s="3" t="str">
        <f>"RND1"</f>
        <v>RND1</v>
      </c>
      <c r="I2750" s="3" t="str">
        <f>"protein_coding"</f>
        <v>protein_coding</v>
      </c>
    </row>
    <row r="2751" spans="1:9" x14ac:dyDescent="0.2">
      <c r="A2751" s="3" t="str">
        <f>"ENSG00000181418.8"</f>
        <v>ENSG00000181418.8</v>
      </c>
      <c r="B2751" s="3">
        <v>41.000735416029201</v>
      </c>
      <c r="C2751" s="3">
        <v>-1.87309837067799</v>
      </c>
      <c r="D2751" s="3">
        <v>0.58052076931712904</v>
      </c>
      <c r="E2751" s="3">
        <v>-3.2265828712404701</v>
      </c>
      <c r="F2751" s="3">
        <v>1.25277947790019E-3</v>
      </c>
      <c r="G2751" s="3">
        <v>7.40452720079401E-3</v>
      </c>
      <c r="H2751" s="3" t="str">
        <f>"DDN"</f>
        <v>DDN</v>
      </c>
      <c r="I2751" s="3" t="str">
        <f>"protein_coding"</f>
        <v>protein_coding</v>
      </c>
    </row>
    <row r="2752" spans="1:9" x14ac:dyDescent="0.2">
      <c r="A2752" s="3" t="str">
        <f>"ENSG00000257913.2"</f>
        <v>ENSG00000257913.2</v>
      </c>
      <c r="B2752" s="3">
        <v>115.91135415306999</v>
      </c>
      <c r="C2752" s="3">
        <v>-1.87318142172719</v>
      </c>
      <c r="D2752" s="3">
        <v>0.40787555474055598</v>
      </c>
      <c r="E2752" s="3">
        <v>-4.5925317169809201</v>
      </c>
      <c r="F2752" s="4">
        <v>4.3790093180009403E-6</v>
      </c>
      <c r="G2752" s="4">
        <v>4.8697603622596702E-5</v>
      </c>
      <c r="H2752" s="3" t="str">
        <f>"DDN-AS1"</f>
        <v>DDN-AS1</v>
      </c>
      <c r="I2752" s="3" t="str">
        <f>"antisense"</f>
        <v>antisense</v>
      </c>
    </row>
    <row r="2753" spans="1:9" x14ac:dyDescent="0.2">
      <c r="A2753" s="3" t="str">
        <f>"ENSG00000181929.12"</f>
        <v>ENSG00000181929.12</v>
      </c>
      <c r="B2753" s="3">
        <v>608.70409542018604</v>
      </c>
      <c r="C2753" s="3">
        <v>1.1393647423981601</v>
      </c>
      <c r="D2753" s="3">
        <v>0.279847998013247</v>
      </c>
      <c r="E2753" s="3">
        <v>4.0713699954509703</v>
      </c>
      <c r="F2753" s="4">
        <v>4.6737444257699797E-5</v>
      </c>
      <c r="G2753" s="3">
        <v>4.1266423668039201E-4</v>
      </c>
      <c r="H2753" s="3" t="str">
        <f>"PRKAG1"</f>
        <v>PRKAG1</v>
      </c>
      <c r="I2753" s="3" t="str">
        <f t="shared" ref="I2753:I2760" si="117">"protein_coding"</f>
        <v>protein_coding</v>
      </c>
    </row>
    <row r="2754" spans="1:9" x14ac:dyDescent="0.2">
      <c r="A2754" s="3" t="str">
        <f>"ENSG00000123416.15"</f>
        <v>ENSG00000123416.15</v>
      </c>
      <c r="B2754" s="3">
        <v>34602.9826799152</v>
      </c>
      <c r="C2754" s="3">
        <v>-1.96639318849376</v>
      </c>
      <c r="D2754" s="3">
        <v>0.29056782922632801</v>
      </c>
      <c r="E2754" s="3">
        <v>-6.7674153526545497</v>
      </c>
      <c r="F2754" s="4">
        <v>1.31103305665079E-11</v>
      </c>
      <c r="G2754" s="4">
        <v>3.3379591639727398E-10</v>
      </c>
      <c r="H2754" s="3" t="str">
        <f>"TUBA1B"</f>
        <v>TUBA1B</v>
      </c>
      <c r="I2754" s="3" t="str">
        <f t="shared" si="117"/>
        <v>protein_coding</v>
      </c>
    </row>
    <row r="2755" spans="1:9" x14ac:dyDescent="0.2">
      <c r="A2755" s="3" t="str">
        <f>"ENSG00000167552.14"</f>
        <v>ENSG00000167552.14</v>
      </c>
      <c r="B2755" s="3">
        <v>748.55656636024605</v>
      </c>
      <c r="C2755" s="3">
        <v>-1.7051635815277899</v>
      </c>
      <c r="D2755" s="3">
        <v>0.33938671983447999</v>
      </c>
      <c r="E2755" s="3">
        <v>-5.0242495709891299</v>
      </c>
      <c r="F2755" s="4">
        <v>5.0540480099855995E-7</v>
      </c>
      <c r="G2755" s="4">
        <v>6.7054102157799502E-6</v>
      </c>
      <c r="H2755" s="3" t="str">
        <f>"TUBA1A"</f>
        <v>TUBA1A</v>
      </c>
      <c r="I2755" s="3" t="str">
        <f t="shared" si="117"/>
        <v>protein_coding</v>
      </c>
    </row>
    <row r="2756" spans="1:9" x14ac:dyDescent="0.2">
      <c r="A2756" s="3" t="str">
        <f>"ENSG00000167553.15"</f>
        <v>ENSG00000167553.15</v>
      </c>
      <c r="B2756" s="3">
        <v>16556.349983690601</v>
      </c>
      <c r="C2756" s="3">
        <v>-1.05451507151053</v>
      </c>
      <c r="D2756" s="3">
        <v>0.29144608290663399</v>
      </c>
      <c r="E2756" s="3">
        <v>-3.6182166560404498</v>
      </c>
      <c r="F2756" s="3">
        <v>2.9664002615907402E-4</v>
      </c>
      <c r="G2756" s="3">
        <v>2.1222923373240901E-3</v>
      </c>
      <c r="H2756" s="3" t="str">
        <f>"TUBA1C"</f>
        <v>TUBA1C</v>
      </c>
      <c r="I2756" s="3" t="str">
        <f t="shared" si="117"/>
        <v>protein_coding</v>
      </c>
    </row>
    <row r="2757" spans="1:9" x14ac:dyDescent="0.2">
      <c r="A2757" s="3" t="str">
        <f>"ENSG00000135406.14"</f>
        <v>ENSG00000135406.14</v>
      </c>
      <c r="B2757" s="3">
        <v>13.4478524719405</v>
      </c>
      <c r="C2757" s="3">
        <v>4.1800618179958802</v>
      </c>
      <c r="D2757" s="3">
        <v>1.19704588535267</v>
      </c>
      <c r="E2757" s="3">
        <v>3.4919812758592599</v>
      </c>
      <c r="F2757" s="3">
        <v>4.7945185582269601E-4</v>
      </c>
      <c r="G2757" s="3">
        <v>3.2230388651042002E-3</v>
      </c>
      <c r="H2757" s="3" t="str">
        <f>"PRPH"</f>
        <v>PRPH</v>
      </c>
      <c r="I2757" s="3" t="str">
        <f t="shared" si="117"/>
        <v>protein_coding</v>
      </c>
    </row>
    <row r="2758" spans="1:9" x14ac:dyDescent="0.2">
      <c r="A2758" s="3" t="str">
        <f>"ENSG00000178401.16"</f>
        <v>ENSG00000178401.16</v>
      </c>
      <c r="B2758" s="3">
        <v>1583.54673208546</v>
      </c>
      <c r="C2758" s="3">
        <v>-1.08608313311114</v>
      </c>
      <c r="D2758" s="3">
        <v>0.25415629517627703</v>
      </c>
      <c r="E2758" s="3">
        <v>-4.2732883415610896</v>
      </c>
      <c r="F2758" s="4">
        <v>1.92611117707089E-5</v>
      </c>
      <c r="G2758" s="3">
        <v>1.8492872770694001E-4</v>
      </c>
      <c r="H2758" s="3" t="str">
        <f>"DNAJC22"</f>
        <v>DNAJC22</v>
      </c>
      <c r="I2758" s="3" t="str">
        <f t="shared" si="117"/>
        <v>protein_coding</v>
      </c>
    </row>
    <row r="2759" spans="1:9" x14ac:dyDescent="0.2">
      <c r="A2759" s="3" t="str">
        <f>"ENSG00000135519.8"</f>
        <v>ENSG00000135519.8</v>
      </c>
      <c r="B2759" s="3">
        <v>42.3256027513224</v>
      </c>
      <c r="C2759" s="3">
        <v>2.0727165970311101</v>
      </c>
      <c r="D2759" s="3">
        <v>0.58577178046525602</v>
      </c>
      <c r="E2759" s="3">
        <v>3.5384370947074801</v>
      </c>
      <c r="F2759" s="3">
        <v>4.0250317265703398E-4</v>
      </c>
      <c r="G2759" s="3">
        <v>2.7678970224679299E-3</v>
      </c>
      <c r="H2759" s="3" t="str">
        <f>"KCNH3"</f>
        <v>KCNH3</v>
      </c>
      <c r="I2759" s="3" t="str">
        <f t="shared" si="117"/>
        <v>protein_coding</v>
      </c>
    </row>
    <row r="2760" spans="1:9" x14ac:dyDescent="0.2">
      <c r="A2760" s="3" t="str">
        <f>"ENSG00000110844.13"</f>
        <v>ENSG00000110844.13</v>
      </c>
      <c r="B2760" s="3">
        <v>620.32410018172902</v>
      </c>
      <c r="C2760" s="3">
        <v>1.5035731157210801</v>
      </c>
      <c r="D2760" s="3">
        <v>0.32438374326617297</v>
      </c>
      <c r="E2760" s="3">
        <v>4.6351679050923602</v>
      </c>
      <c r="F2760" s="4">
        <v>3.5664787100219501E-6</v>
      </c>
      <c r="G2760" s="4">
        <v>4.0266953299193E-5</v>
      </c>
      <c r="H2760" s="3" t="str">
        <f>"PRPF40B"</f>
        <v>PRPF40B</v>
      </c>
      <c r="I2760" s="3" t="str">
        <f t="shared" si="117"/>
        <v>protein_coding</v>
      </c>
    </row>
    <row r="2761" spans="1:9" x14ac:dyDescent="0.2">
      <c r="A2761" s="3" t="str">
        <f>"ENSG00000258057.5"</f>
        <v>ENSG00000258057.5</v>
      </c>
      <c r="B2761" s="3">
        <v>30.342280736292999</v>
      </c>
      <c r="C2761" s="3">
        <v>1.7792127601975301</v>
      </c>
      <c r="D2761" s="3">
        <v>0.64165061884566799</v>
      </c>
      <c r="E2761" s="3">
        <v>2.77286845510777</v>
      </c>
      <c r="F2761" s="3">
        <v>5.5564576777375101E-3</v>
      </c>
      <c r="G2761" s="3">
        <v>2.5831212878116201E-2</v>
      </c>
      <c r="H2761" s="3" t="str">
        <f>"BCDIN3D-AS1"</f>
        <v>BCDIN3D-AS1</v>
      </c>
      <c r="I2761" s="3" t="str">
        <f>"antisense"</f>
        <v>antisense</v>
      </c>
    </row>
    <row r="2762" spans="1:9" x14ac:dyDescent="0.2">
      <c r="A2762" s="3" t="str">
        <f>"ENSG00000110881.11"</f>
        <v>ENSG00000110881.11</v>
      </c>
      <c r="B2762" s="3">
        <v>164.5000627435</v>
      </c>
      <c r="C2762" s="3">
        <v>-1.2388716291033599</v>
      </c>
      <c r="D2762" s="3">
        <v>0.37748353200951801</v>
      </c>
      <c r="E2762" s="3">
        <v>-3.28192231991759</v>
      </c>
      <c r="F2762" s="3">
        <v>1.03102003803628E-3</v>
      </c>
      <c r="G2762" s="3">
        <v>6.2660809511482299E-3</v>
      </c>
      <c r="H2762" s="3" t="str">
        <f>"ASIC1"</f>
        <v>ASIC1</v>
      </c>
      <c r="I2762" s="3" t="str">
        <f>"protein_coding"</f>
        <v>protein_coding</v>
      </c>
    </row>
    <row r="2763" spans="1:9" x14ac:dyDescent="0.2">
      <c r="A2763" s="3" t="str">
        <f>"ENSG00000167588.13"</f>
        <v>ENSG00000167588.13</v>
      </c>
      <c r="B2763" s="3">
        <v>64.9683726264998</v>
      </c>
      <c r="C2763" s="3">
        <v>-1.69963294340985</v>
      </c>
      <c r="D2763" s="3">
        <v>0.48567853337023098</v>
      </c>
      <c r="E2763" s="3">
        <v>-3.4995018857756102</v>
      </c>
      <c r="F2763" s="3">
        <v>4.6612830765154899E-4</v>
      </c>
      <c r="G2763" s="3">
        <v>3.14608467372544E-3</v>
      </c>
      <c r="H2763" s="3" t="str">
        <f>"GPD1"</f>
        <v>GPD1</v>
      </c>
      <c r="I2763" s="3" t="str">
        <f>"protein_coding"</f>
        <v>protein_coding</v>
      </c>
    </row>
    <row r="2764" spans="1:9" x14ac:dyDescent="0.2">
      <c r="A2764" s="3" t="str">
        <f>"ENSG00000139624.12"</f>
        <v>ENSG00000139624.12</v>
      </c>
      <c r="B2764" s="3">
        <v>1841.0556535018</v>
      </c>
      <c r="C2764" s="3">
        <v>1.0289723394207499</v>
      </c>
      <c r="D2764" s="3">
        <v>0.241212944063906</v>
      </c>
      <c r="E2764" s="3">
        <v>4.2658255485167604</v>
      </c>
      <c r="F2764" s="4">
        <v>1.9916436366759699E-5</v>
      </c>
      <c r="G2764" s="3">
        <v>1.90638491935251E-4</v>
      </c>
      <c r="H2764" s="3" t="str">
        <f>"CERS5"</f>
        <v>CERS5</v>
      </c>
      <c r="I2764" s="3" t="str">
        <f>"protein_coding"</f>
        <v>protein_coding</v>
      </c>
    </row>
    <row r="2765" spans="1:9" x14ac:dyDescent="0.2">
      <c r="A2765" s="3" t="str">
        <f>"ENSG00000050405.13"</f>
        <v>ENSG00000050405.13</v>
      </c>
      <c r="B2765" s="3">
        <v>2695.6597840542099</v>
      </c>
      <c r="C2765" s="3">
        <v>1.68609239390098</v>
      </c>
      <c r="D2765" s="3">
        <v>0.29881603414763602</v>
      </c>
      <c r="E2765" s="3">
        <v>5.6425767068039399</v>
      </c>
      <c r="F2765" s="4">
        <v>1.67523859126186E-8</v>
      </c>
      <c r="G2765" s="4">
        <v>2.8589299025232002E-7</v>
      </c>
      <c r="H2765" s="3" t="str">
        <f>"LIMA1"</f>
        <v>LIMA1</v>
      </c>
      <c r="I2765" s="3" t="str">
        <f>"protein_coding"</f>
        <v>protein_coding</v>
      </c>
    </row>
    <row r="2766" spans="1:9" x14ac:dyDescent="0.2">
      <c r="A2766" s="3" t="str">
        <f>"ENSG00000257298.1"</f>
        <v>ENSG00000257298.1</v>
      </c>
      <c r="B2766" s="3">
        <v>91.676697015457094</v>
      </c>
      <c r="C2766" s="3">
        <v>2.5907884396784402</v>
      </c>
      <c r="D2766" s="3">
        <v>0.43391275007812402</v>
      </c>
      <c r="E2766" s="3">
        <v>5.9707589583665897</v>
      </c>
      <c r="F2766" s="4">
        <v>2.36152424894817E-9</v>
      </c>
      <c r="G2766" s="4">
        <v>4.5346673650603903E-8</v>
      </c>
      <c r="H2766" s="3" t="str">
        <f>"AC008147.2"</f>
        <v>AC008147.2</v>
      </c>
      <c r="I2766" s="3" t="str">
        <f>"sense_intronic"</f>
        <v>sense_intronic</v>
      </c>
    </row>
    <row r="2767" spans="1:9" x14ac:dyDescent="0.2">
      <c r="A2767" s="3" t="str">
        <f>"ENSG00000257531.2"</f>
        <v>ENSG00000257531.2</v>
      </c>
      <c r="B2767" s="3">
        <v>25.0018614959871</v>
      </c>
      <c r="C2767" s="3">
        <v>2.0322141263229998</v>
      </c>
      <c r="D2767" s="3">
        <v>0.72859105201158103</v>
      </c>
      <c r="E2767" s="3">
        <v>2.7892383809988099</v>
      </c>
      <c r="F2767" s="3">
        <v>5.2832162040045002E-3</v>
      </c>
      <c r="G2767" s="3">
        <v>2.4808531568365402E-2</v>
      </c>
      <c r="H2767" s="3" t="str">
        <f>"AC008147.3"</f>
        <v>AC008147.3</v>
      </c>
      <c r="I2767" s="3" t="str">
        <f>"transcribed_processed_pseudogene"</f>
        <v>transcribed_processed_pseudogene</v>
      </c>
    </row>
    <row r="2768" spans="1:9" x14ac:dyDescent="0.2">
      <c r="A2768" s="3" t="str">
        <f>"ENSG00000185432.12"</f>
        <v>ENSG00000185432.12</v>
      </c>
      <c r="B2768" s="3">
        <v>7091.8218255219799</v>
      </c>
      <c r="C2768" s="3">
        <v>3.4216925872735402</v>
      </c>
      <c r="D2768" s="3">
        <v>0.24308817332510901</v>
      </c>
      <c r="E2768" s="3">
        <v>14.075931956991299</v>
      </c>
      <c r="F2768" s="4">
        <v>5.3396292784168802E-45</v>
      </c>
      <c r="G2768" s="4">
        <v>1.1193197874881399E-42</v>
      </c>
      <c r="H2768" s="3" t="str">
        <f>"METTL7A"</f>
        <v>METTL7A</v>
      </c>
      <c r="I2768" s="3" t="str">
        <f>"protein_coding"</f>
        <v>protein_coding</v>
      </c>
    </row>
    <row r="2769" spans="1:9" x14ac:dyDescent="0.2">
      <c r="A2769" s="3" t="str">
        <f>"ENSG00000170545.17"</f>
        <v>ENSG00000170545.17</v>
      </c>
      <c r="B2769" s="3">
        <v>303.30403037556198</v>
      </c>
      <c r="C2769" s="3">
        <v>-1.09887332478191</v>
      </c>
      <c r="D2769" s="3">
        <v>0.311129347125288</v>
      </c>
      <c r="E2769" s="3">
        <v>-3.5318858054859299</v>
      </c>
      <c r="F2769" s="3">
        <v>4.1260749316971497E-4</v>
      </c>
      <c r="G2769" s="3">
        <v>2.8296459898266599E-3</v>
      </c>
      <c r="H2769" s="3" t="str">
        <f>"SMAGP"</f>
        <v>SMAGP</v>
      </c>
      <c r="I2769" s="3" t="str">
        <f>"protein_coding"</f>
        <v>protein_coding</v>
      </c>
    </row>
    <row r="2770" spans="1:9" x14ac:dyDescent="0.2">
      <c r="A2770" s="3" t="str">
        <f>"ENSG00000196876.15"</f>
        <v>ENSG00000196876.15</v>
      </c>
      <c r="B2770" s="3">
        <v>236.52652648582699</v>
      </c>
      <c r="C2770" s="3">
        <v>-1.0308095048172099</v>
      </c>
      <c r="D2770" s="3">
        <v>0.31542437998224099</v>
      </c>
      <c r="E2770" s="3">
        <v>-3.2680083412551899</v>
      </c>
      <c r="F2770" s="3">
        <v>1.0830717357267301E-3</v>
      </c>
      <c r="G2770" s="3">
        <v>6.53036181980005E-3</v>
      </c>
      <c r="H2770" s="3" t="str">
        <f>"SCN8A"</f>
        <v>SCN8A</v>
      </c>
      <c r="I2770" s="3" t="str">
        <f>"protein_coding"</f>
        <v>protein_coding</v>
      </c>
    </row>
    <row r="2771" spans="1:9" x14ac:dyDescent="0.2">
      <c r="A2771" s="3" t="str">
        <f>"ENSG00000261308.2"</f>
        <v>ENSG00000261308.2</v>
      </c>
      <c r="B2771" s="3">
        <v>79.553741216417706</v>
      </c>
      <c r="C2771" s="3">
        <v>-1.6499941694782401</v>
      </c>
      <c r="D2771" s="3">
        <v>0.478365831588973</v>
      </c>
      <c r="E2771" s="3">
        <v>-3.4492308198466102</v>
      </c>
      <c r="F2771" s="3">
        <v>5.6218592537233603E-4</v>
      </c>
      <c r="G2771" s="3">
        <v>3.7030078430848701E-3</v>
      </c>
      <c r="H2771" s="3" t="str">
        <f>"FIGNL2"</f>
        <v>FIGNL2</v>
      </c>
      <c r="I2771" s="3" t="str">
        <f>"protein_coding"</f>
        <v>protein_coding</v>
      </c>
    </row>
    <row r="2772" spans="1:9" x14ac:dyDescent="0.2">
      <c r="A2772" s="3" t="str">
        <f>"ENSG00000123358.20"</f>
        <v>ENSG00000123358.20</v>
      </c>
      <c r="B2772" s="3">
        <v>1144.6594902398999</v>
      </c>
      <c r="C2772" s="3">
        <v>-2.08640810300371</v>
      </c>
      <c r="D2772" s="3">
        <v>0.32423348364835203</v>
      </c>
      <c r="E2772" s="3">
        <v>-6.4348940138043504</v>
      </c>
      <c r="F2772" s="4">
        <v>1.23559516584656E-10</v>
      </c>
      <c r="G2772" s="4">
        <v>2.80518018022295E-9</v>
      </c>
      <c r="H2772" s="3" t="str">
        <f>"NR4A1"</f>
        <v>NR4A1</v>
      </c>
      <c r="I2772" s="3" t="str">
        <f>"protein_coding"</f>
        <v>protein_coding</v>
      </c>
    </row>
    <row r="2773" spans="1:9" x14ac:dyDescent="0.2">
      <c r="A2773" s="3" t="str">
        <f>"ENSG00000258279.3"</f>
        <v>ENSG00000258279.3</v>
      </c>
      <c r="B2773" s="3">
        <v>6.9080489291146199</v>
      </c>
      <c r="C2773" s="3">
        <v>4.8316310801840299</v>
      </c>
      <c r="D2773" s="3">
        <v>1.8384730816083299</v>
      </c>
      <c r="E2773" s="3">
        <v>2.62806735030204</v>
      </c>
      <c r="F2773" s="3">
        <v>8.5871512191078598E-3</v>
      </c>
      <c r="G2773" s="3">
        <v>3.7230229044580898E-2</v>
      </c>
      <c r="H2773" s="3" t="str">
        <f>"LINC00592"</f>
        <v>LINC00592</v>
      </c>
      <c r="I2773" s="3" t="str">
        <f>"lincRNA"</f>
        <v>lincRNA</v>
      </c>
    </row>
    <row r="2774" spans="1:9" x14ac:dyDescent="0.2">
      <c r="A2774" s="3" t="str">
        <f>"ENSG00000167767.14"</f>
        <v>ENSG00000167767.14</v>
      </c>
      <c r="B2774" s="3">
        <v>175.94735768983901</v>
      </c>
      <c r="C2774" s="3">
        <v>1.7539879000212699</v>
      </c>
      <c r="D2774" s="3">
        <v>0.38927423724034799</v>
      </c>
      <c r="E2774" s="3">
        <v>4.5057898320106604</v>
      </c>
      <c r="F2774" s="4">
        <v>6.61265124973041E-6</v>
      </c>
      <c r="G2774" s="4">
        <v>7.0783507313603605E-5</v>
      </c>
      <c r="H2774" s="3" t="str">
        <f>"KRT80"</f>
        <v>KRT80</v>
      </c>
      <c r="I2774" s="3" t="str">
        <f t="shared" ref="I2774:I2779" si="118">"protein_coding"</f>
        <v>protein_coding</v>
      </c>
    </row>
    <row r="2775" spans="1:9" x14ac:dyDescent="0.2">
      <c r="A2775" s="3" t="str">
        <f>"ENSG00000167779.9"</f>
        <v>ENSG00000167779.9</v>
      </c>
      <c r="B2775" s="3">
        <v>176.245191277478</v>
      </c>
      <c r="C2775" s="3">
        <v>-1.7918997930507901</v>
      </c>
      <c r="D2775" s="3">
        <v>0.35740000843597902</v>
      </c>
      <c r="E2775" s="3">
        <v>-5.0137094313241199</v>
      </c>
      <c r="F2775" s="4">
        <v>5.3390594863467497E-7</v>
      </c>
      <c r="G2775" s="4">
        <v>7.0500809122862199E-6</v>
      </c>
      <c r="H2775" s="3" t="str">
        <f>"IGFBP6"</f>
        <v>IGFBP6</v>
      </c>
      <c r="I2775" s="3" t="str">
        <f t="shared" si="118"/>
        <v>protein_coding</v>
      </c>
    </row>
    <row r="2776" spans="1:9" x14ac:dyDescent="0.2">
      <c r="A2776" s="3" t="str">
        <f>"ENSG00000167780.12"</f>
        <v>ENSG00000167780.12</v>
      </c>
      <c r="B2776" s="3">
        <v>682.46871518661396</v>
      </c>
      <c r="C2776" s="3">
        <v>-3.3638790273869699</v>
      </c>
      <c r="D2776" s="3">
        <v>0.29897969281991899</v>
      </c>
      <c r="E2776" s="3">
        <v>-11.251195677069299</v>
      </c>
      <c r="F2776" s="4">
        <v>2.2847361559751701E-29</v>
      </c>
      <c r="G2776" s="4">
        <v>2.2276177520757899E-27</v>
      </c>
      <c r="H2776" s="3" t="str">
        <f>"SOAT2"</f>
        <v>SOAT2</v>
      </c>
      <c r="I2776" s="3" t="str">
        <f t="shared" si="118"/>
        <v>protein_coding</v>
      </c>
    </row>
    <row r="2777" spans="1:9" x14ac:dyDescent="0.2">
      <c r="A2777" s="3" t="str">
        <f>"ENSG00000135409.11"</f>
        <v>ENSG00000135409.11</v>
      </c>
      <c r="B2777" s="3">
        <v>17.991177574954399</v>
      </c>
      <c r="C2777" s="3">
        <v>-4.5060619391212899</v>
      </c>
      <c r="D2777" s="3">
        <v>1.16344497229611</v>
      </c>
      <c r="E2777" s="3">
        <v>-3.8730340036867901</v>
      </c>
      <c r="F2777" s="3">
        <v>1.0748882390436501E-4</v>
      </c>
      <c r="G2777" s="3">
        <v>8.6551900298152901E-4</v>
      </c>
      <c r="H2777" s="3" t="str">
        <f>"AMHR2"</f>
        <v>AMHR2</v>
      </c>
      <c r="I2777" s="3" t="str">
        <f t="shared" si="118"/>
        <v>protein_coding</v>
      </c>
    </row>
    <row r="2778" spans="1:9" x14ac:dyDescent="0.2">
      <c r="A2778" s="3" t="str">
        <f>"ENSG00000139625.13"</f>
        <v>ENSG00000139625.13</v>
      </c>
      <c r="B2778" s="3">
        <v>254.90646167777999</v>
      </c>
      <c r="C2778" s="3">
        <v>3.2492508279991599</v>
      </c>
      <c r="D2778" s="3">
        <v>0.33525914267818202</v>
      </c>
      <c r="E2778" s="3">
        <v>9.6917590435949403</v>
      </c>
      <c r="F2778" s="4">
        <v>3.2685006869884801E-22</v>
      </c>
      <c r="G2778" s="4">
        <v>2.0351270985444399E-20</v>
      </c>
      <c r="H2778" s="3" t="str">
        <f>"MAP3K12"</f>
        <v>MAP3K12</v>
      </c>
      <c r="I2778" s="3" t="str">
        <f t="shared" si="118"/>
        <v>protein_coding</v>
      </c>
    </row>
    <row r="2779" spans="1:9" x14ac:dyDescent="0.2">
      <c r="A2779" s="3" t="str">
        <f>"ENSG00000012822.16"</f>
        <v>ENSG00000012822.16</v>
      </c>
      <c r="B2779" s="3">
        <v>1094.05244912545</v>
      </c>
      <c r="C2779" s="3">
        <v>1.4151102432040901</v>
      </c>
      <c r="D2779" s="3">
        <v>0.28478331454968597</v>
      </c>
      <c r="E2779" s="3">
        <v>4.9690770874049903</v>
      </c>
      <c r="F2779" s="4">
        <v>6.72723235606457E-7</v>
      </c>
      <c r="G2779" s="4">
        <v>8.7093942314361406E-6</v>
      </c>
      <c r="H2779" s="3" t="str">
        <f>"CALCOCO1"</f>
        <v>CALCOCO1</v>
      </c>
      <c r="I2779" s="3" t="str">
        <f t="shared" si="118"/>
        <v>protein_coding</v>
      </c>
    </row>
    <row r="2780" spans="1:9" x14ac:dyDescent="0.2">
      <c r="A2780" s="3" t="str">
        <f>"ENSG00000249641.2"</f>
        <v>ENSG00000249641.2</v>
      </c>
      <c r="B2780" s="3">
        <v>40.991558993367804</v>
      </c>
      <c r="C2780" s="3">
        <v>6.4337132752250099</v>
      </c>
      <c r="D2780" s="3">
        <v>1.15703019238852</v>
      </c>
      <c r="E2780" s="3">
        <v>5.5605405265557701</v>
      </c>
      <c r="F2780" s="4">
        <v>2.68940389783722E-8</v>
      </c>
      <c r="G2780" s="4">
        <v>4.4245882962783098E-7</v>
      </c>
      <c r="H2780" s="3" t="str">
        <f>"HOXC13-AS"</f>
        <v>HOXC13-AS</v>
      </c>
      <c r="I2780" s="3" t="str">
        <f>"antisense"</f>
        <v>antisense</v>
      </c>
    </row>
    <row r="2781" spans="1:9" x14ac:dyDescent="0.2">
      <c r="A2781" s="3" t="str">
        <f>"ENSG00000123364.5"</f>
        <v>ENSG00000123364.5</v>
      </c>
      <c r="B2781" s="3">
        <v>58.182134365359602</v>
      </c>
      <c r="C2781" s="3">
        <v>2.5634841004120799</v>
      </c>
      <c r="D2781" s="3">
        <v>0.52103007679227797</v>
      </c>
      <c r="E2781" s="3">
        <v>4.92003094369172</v>
      </c>
      <c r="F2781" s="4">
        <v>8.6530531110493001E-7</v>
      </c>
      <c r="G2781" s="4">
        <v>1.09270858939982E-5</v>
      </c>
      <c r="H2781" s="3" t="str">
        <f>"HOXC13"</f>
        <v>HOXC13</v>
      </c>
      <c r="I2781" s="3" t="str">
        <f t="shared" ref="I2781:I2812" si="119">"protein_coding"</f>
        <v>protein_coding</v>
      </c>
    </row>
    <row r="2782" spans="1:9" x14ac:dyDescent="0.2">
      <c r="A2782" s="3" t="str">
        <f>"ENSG00000123405.14"</f>
        <v>ENSG00000123405.14</v>
      </c>
      <c r="B2782" s="3">
        <v>150.19887554053301</v>
      </c>
      <c r="C2782" s="3">
        <v>-4.3528750303084198</v>
      </c>
      <c r="D2782" s="3">
        <v>0.44042329551914</v>
      </c>
      <c r="E2782" s="3">
        <v>-9.8833896267397794</v>
      </c>
      <c r="F2782" s="4">
        <v>4.9141917552151098E-23</v>
      </c>
      <c r="G2782" s="4">
        <v>3.2275846893586401E-21</v>
      </c>
      <c r="H2782" s="3" t="str">
        <f>"NFE2"</f>
        <v>NFE2</v>
      </c>
      <c r="I2782" s="3" t="str">
        <f t="shared" si="119"/>
        <v>protein_coding</v>
      </c>
    </row>
    <row r="2783" spans="1:9" x14ac:dyDescent="0.2">
      <c r="A2783" s="3" t="str">
        <f>"ENSG00000161642.17"</f>
        <v>ENSG00000161642.17</v>
      </c>
      <c r="B2783" s="3">
        <v>1812.4746505727801</v>
      </c>
      <c r="C2783" s="3">
        <v>4.2282555312032004</v>
      </c>
      <c r="D2783" s="3">
        <v>0.31948761585548402</v>
      </c>
      <c r="E2783" s="3">
        <v>13.234489605743599</v>
      </c>
      <c r="F2783" s="4">
        <v>5.5472287735226297E-40</v>
      </c>
      <c r="G2783" s="4">
        <v>9.2410953508583899E-38</v>
      </c>
      <c r="H2783" s="3" t="str">
        <f>"ZNF385A"</f>
        <v>ZNF385A</v>
      </c>
      <c r="I2783" s="3" t="str">
        <f t="shared" si="119"/>
        <v>protein_coding</v>
      </c>
    </row>
    <row r="2784" spans="1:9" x14ac:dyDescent="0.2">
      <c r="A2784" s="3" t="str">
        <f>"ENSG00000170439.7"</f>
        <v>ENSG00000170439.7</v>
      </c>
      <c r="B2784" s="3">
        <v>328.72940691436798</v>
      </c>
      <c r="C2784" s="3">
        <v>-2.9416378990262202</v>
      </c>
      <c r="D2784" s="3">
        <v>0.32991489718781702</v>
      </c>
      <c r="E2784" s="3">
        <v>-8.9163536539290504</v>
      </c>
      <c r="F2784" s="4">
        <v>4.8189288441997703E-19</v>
      </c>
      <c r="G2784" s="4">
        <v>2.4292616247664401E-17</v>
      </c>
      <c r="H2784" s="3" t="str">
        <f>"METTL7B"</f>
        <v>METTL7B</v>
      </c>
      <c r="I2784" s="3" t="str">
        <f t="shared" si="119"/>
        <v>protein_coding</v>
      </c>
    </row>
    <row r="2785" spans="1:9" x14ac:dyDescent="0.2">
      <c r="A2785" s="3" t="str">
        <f>"ENSG00000135424.16"</f>
        <v>ENSG00000135424.16</v>
      </c>
      <c r="B2785" s="3">
        <v>100.84401197762401</v>
      </c>
      <c r="C2785" s="3">
        <v>-2.4435977362925998</v>
      </c>
      <c r="D2785" s="3">
        <v>0.43611383517176899</v>
      </c>
      <c r="E2785" s="3">
        <v>-5.6031190464988496</v>
      </c>
      <c r="F2785" s="4">
        <v>2.10528522419483E-8</v>
      </c>
      <c r="G2785" s="4">
        <v>3.5211735249083101E-7</v>
      </c>
      <c r="H2785" s="3" t="str">
        <f>"ITGA7"</f>
        <v>ITGA7</v>
      </c>
      <c r="I2785" s="3" t="str">
        <f t="shared" si="119"/>
        <v>protein_coding</v>
      </c>
    </row>
    <row r="2786" spans="1:9" x14ac:dyDescent="0.2">
      <c r="A2786" s="3" t="str">
        <f>"ENSG00000258311.5"</f>
        <v>ENSG00000258311.5</v>
      </c>
      <c r="B2786" s="3">
        <v>51.721517674589698</v>
      </c>
      <c r="C2786" s="3">
        <v>-1.3149569544650199</v>
      </c>
      <c r="D2786" s="3">
        <v>0.52118091390806398</v>
      </c>
      <c r="E2786" s="3">
        <v>-2.52303359423667</v>
      </c>
      <c r="F2786" s="3">
        <v>1.1634728550801301E-2</v>
      </c>
      <c r="G2786" s="3">
        <v>4.7845610053197297E-2</v>
      </c>
      <c r="H2786" s="3" t="str">
        <f>"AC009779.3"</f>
        <v>AC009779.3</v>
      </c>
      <c r="I2786" s="3" t="str">
        <f t="shared" si="119"/>
        <v>protein_coding</v>
      </c>
    </row>
    <row r="2787" spans="1:9" x14ac:dyDescent="0.2">
      <c r="A2787" s="3" t="str">
        <f>"ENSG00000135414.9"</f>
        <v>ENSG00000135414.9</v>
      </c>
      <c r="B2787" s="3">
        <v>461.64451958449501</v>
      </c>
      <c r="C2787" s="3">
        <v>-1.7784834130502001</v>
      </c>
      <c r="D2787" s="3">
        <v>0.286114511453543</v>
      </c>
      <c r="E2787" s="3">
        <v>-6.2159846559861602</v>
      </c>
      <c r="F2787" s="4">
        <v>5.1003788038985797E-10</v>
      </c>
      <c r="G2787" s="4">
        <v>1.0845310973125E-8</v>
      </c>
      <c r="H2787" s="3" t="str">
        <f>"GDF11"</f>
        <v>GDF11</v>
      </c>
      <c r="I2787" s="3" t="str">
        <f t="shared" si="119"/>
        <v>protein_coding</v>
      </c>
    </row>
    <row r="2788" spans="1:9" x14ac:dyDescent="0.2">
      <c r="A2788" s="3" t="str">
        <f>"ENSG00000065357.20"</f>
        <v>ENSG00000065357.20</v>
      </c>
      <c r="B2788" s="3">
        <v>1669.0028420302899</v>
      </c>
      <c r="C2788" s="3">
        <v>4.0502149444319597</v>
      </c>
      <c r="D2788" s="3">
        <v>0.25619068675391499</v>
      </c>
      <c r="E2788" s="3">
        <v>15.8093761945469</v>
      </c>
      <c r="F2788" s="4">
        <v>2.6810836628608001E-56</v>
      </c>
      <c r="G2788" s="4">
        <v>8.1256216312365499E-54</v>
      </c>
      <c r="H2788" s="3" t="str">
        <f>"DGKA"</f>
        <v>DGKA</v>
      </c>
      <c r="I2788" s="3" t="str">
        <f t="shared" si="119"/>
        <v>protein_coding</v>
      </c>
    </row>
    <row r="2789" spans="1:9" x14ac:dyDescent="0.2">
      <c r="A2789" s="3" t="str">
        <f>"ENSG00000123374.11"</f>
        <v>ENSG00000123374.11</v>
      </c>
      <c r="B2789" s="3">
        <v>1339.7186026683601</v>
      </c>
      <c r="C2789" s="3">
        <v>-1.15780533561881</v>
      </c>
      <c r="D2789" s="3">
        <v>0.24775174255884899</v>
      </c>
      <c r="E2789" s="3">
        <v>-4.6732480008441897</v>
      </c>
      <c r="F2789" s="4">
        <v>2.9647341239828E-6</v>
      </c>
      <c r="G2789" s="4">
        <v>3.3852876481519498E-5</v>
      </c>
      <c r="H2789" s="3" t="str">
        <f>"CDK2"</f>
        <v>CDK2</v>
      </c>
      <c r="I2789" s="3" t="str">
        <f t="shared" si="119"/>
        <v>protein_coding</v>
      </c>
    </row>
    <row r="2790" spans="1:9" x14ac:dyDescent="0.2">
      <c r="A2790" s="3" t="str">
        <f>"ENSG00000123411.15"</f>
        <v>ENSG00000123411.15</v>
      </c>
      <c r="B2790" s="3">
        <v>276.40302744528901</v>
      </c>
      <c r="C2790" s="3">
        <v>-1.2342337382198201</v>
      </c>
      <c r="D2790" s="3">
        <v>0.30224103260871299</v>
      </c>
      <c r="E2790" s="3">
        <v>-4.0836074690682</v>
      </c>
      <c r="F2790" s="4">
        <v>4.43419080365237E-5</v>
      </c>
      <c r="G2790" s="3">
        <v>3.9303054850555098E-4</v>
      </c>
      <c r="H2790" s="3" t="str">
        <f>"IKZF4"</f>
        <v>IKZF4</v>
      </c>
      <c r="I2790" s="3" t="str">
        <f t="shared" si="119"/>
        <v>protein_coding</v>
      </c>
    </row>
    <row r="2791" spans="1:9" x14ac:dyDescent="0.2">
      <c r="A2791" s="3" t="str">
        <f>"ENSG00000065361.15"</f>
        <v>ENSG00000065361.15</v>
      </c>
      <c r="B2791" s="3">
        <v>6431.6221752845704</v>
      </c>
      <c r="C2791" s="3">
        <v>-1.2054747175567699</v>
      </c>
      <c r="D2791" s="3">
        <v>0.245377870451748</v>
      </c>
      <c r="E2791" s="3">
        <v>-4.9127279299370397</v>
      </c>
      <c r="F2791" s="4">
        <v>8.9817873078054601E-7</v>
      </c>
      <c r="G2791" s="4">
        <v>1.13308354928709E-5</v>
      </c>
      <c r="H2791" s="3" t="str">
        <f>"ERBB3"</f>
        <v>ERBB3</v>
      </c>
      <c r="I2791" s="3" t="str">
        <f t="shared" si="119"/>
        <v>protein_coding</v>
      </c>
    </row>
    <row r="2792" spans="1:9" x14ac:dyDescent="0.2">
      <c r="A2792" s="3" t="str">
        <f>"ENSG00000139540.12"</f>
        <v>ENSG00000139540.12</v>
      </c>
      <c r="B2792" s="3">
        <v>322.67146341443998</v>
      </c>
      <c r="C2792" s="3">
        <v>-1.32982205687597</v>
      </c>
      <c r="D2792" s="3">
        <v>0.375584632084494</v>
      </c>
      <c r="E2792" s="3">
        <v>-3.5406721768552099</v>
      </c>
      <c r="F2792" s="3">
        <v>3.9910913317830701E-4</v>
      </c>
      <c r="G2792" s="3">
        <v>2.7490663321742301E-3</v>
      </c>
      <c r="H2792" s="3" t="str">
        <f>"SLC39A5"</f>
        <v>SLC39A5</v>
      </c>
      <c r="I2792" s="3" t="str">
        <f t="shared" si="119"/>
        <v>protein_coding</v>
      </c>
    </row>
    <row r="2793" spans="1:9" x14ac:dyDescent="0.2">
      <c r="A2793" s="3" t="str">
        <f>"ENSG00000110944.9"</f>
        <v>ENSG00000110944.9</v>
      </c>
      <c r="B2793" s="3">
        <v>76.830922208206999</v>
      </c>
      <c r="C2793" s="3">
        <v>-3.0002687885959798</v>
      </c>
      <c r="D2793" s="3">
        <v>0.48382813238230898</v>
      </c>
      <c r="E2793" s="3">
        <v>-6.2011044579467303</v>
      </c>
      <c r="F2793" s="4">
        <v>5.6068282577508503E-10</v>
      </c>
      <c r="G2793" s="4">
        <v>1.1822277017914699E-8</v>
      </c>
      <c r="H2793" s="3" t="str">
        <f>"IL23A"</f>
        <v>IL23A</v>
      </c>
      <c r="I2793" s="3" t="str">
        <f t="shared" si="119"/>
        <v>protein_coding</v>
      </c>
    </row>
    <row r="2794" spans="1:9" x14ac:dyDescent="0.2">
      <c r="A2794" s="3" t="str">
        <f>"ENSG00000175336.10"</f>
        <v>ENSG00000175336.10</v>
      </c>
      <c r="B2794" s="3">
        <v>141.95293066019499</v>
      </c>
      <c r="C2794" s="3">
        <v>-3.0565229544948802</v>
      </c>
      <c r="D2794" s="3">
        <v>0.38970236643261202</v>
      </c>
      <c r="E2794" s="3">
        <v>-7.8432240031660703</v>
      </c>
      <c r="F2794" s="4">
        <v>4.3912363948424201E-15</v>
      </c>
      <c r="G2794" s="4">
        <v>1.6078828458844401E-13</v>
      </c>
      <c r="H2794" s="3" t="str">
        <f>"APOF"</f>
        <v>APOF</v>
      </c>
      <c r="I2794" s="3" t="str">
        <f t="shared" si="119"/>
        <v>protein_coding</v>
      </c>
    </row>
    <row r="2795" spans="1:9" x14ac:dyDescent="0.2">
      <c r="A2795" s="3" t="str">
        <f>"ENSG00000111602.12"</f>
        <v>ENSG00000111602.12</v>
      </c>
      <c r="B2795" s="3">
        <v>2796.6762701652601</v>
      </c>
      <c r="C2795" s="3">
        <v>-1.0876073054336299</v>
      </c>
      <c r="D2795" s="3">
        <v>0.27373254301537497</v>
      </c>
      <c r="E2795" s="3">
        <v>-3.9732480963088799</v>
      </c>
      <c r="F2795" s="4">
        <v>7.0899133598347798E-5</v>
      </c>
      <c r="G2795" s="3">
        <v>5.9940456056837004E-4</v>
      </c>
      <c r="H2795" s="3" t="str">
        <f>"TIMELESS"</f>
        <v>TIMELESS</v>
      </c>
      <c r="I2795" s="3" t="str">
        <f t="shared" si="119"/>
        <v>protein_coding</v>
      </c>
    </row>
    <row r="2796" spans="1:9" x14ac:dyDescent="0.2">
      <c r="A2796" s="3" t="str">
        <f>"ENSG00000135423.13"</f>
        <v>ENSG00000135423.13</v>
      </c>
      <c r="B2796" s="3">
        <v>2913.88231380154</v>
      </c>
      <c r="C2796" s="3">
        <v>4.5826924619429503</v>
      </c>
      <c r="D2796" s="3">
        <v>0.25732187568424902</v>
      </c>
      <c r="E2796" s="3">
        <v>17.809183341902099</v>
      </c>
      <c r="F2796" s="4">
        <v>5.9978550634765296E-71</v>
      </c>
      <c r="G2796" s="4">
        <v>3.2799140026467798E-68</v>
      </c>
      <c r="H2796" s="3" t="str">
        <f>"GLS2"</f>
        <v>GLS2</v>
      </c>
      <c r="I2796" s="3" t="str">
        <f t="shared" si="119"/>
        <v>protein_coding</v>
      </c>
    </row>
    <row r="2797" spans="1:9" x14ac:dyDescent="0.2">
      <c r="A2797" s="3" t="str">
        <f>"ENSG00000198056.14"</f>
        <v>ENSG00000198056.14</v>
      </c>
      <c r="B2797" s="3">
        <v>689.199143375316</v>
      </c>
      <c r="C2797" s="3">
        <v>-1.46516488360107</v>
      </c>
      <c r="D2797" s="3">
        <v>0.27466841441830098</v>
      </c>
      <c r="E2797" s="3">
        <v>-5.3343042253476103</v>
      </c>
      <c r="F2797" s="4">
        <v>9.5911604039350701E-8</v>
      </c>
      <c r="G2797" s="4">
        <v>1.4384816848295399E-6</v>
      </c>
      <c r="H2797" s="3" t="str">
        <f>"PRIM1"</f>
        <v>PRIM1</v>
      </c>
      <c r="I2797" s="3" t="str">
        <f t="shared" si="119"/>
        <v>protein_coding</v>
      </c>
    </row>
    <row r="2798" spans="1:9" x14ac:dyDescent="0.2">
      <c r="A2798" s="3" t="str">
        <f>"ENSG00000025423.11"</f>
        <v>ENSG00000025423.11</v>
      </c>
      <c r="B2798" s="3">
        <v>39.779953588912598</v>
      </c>
      <c r="C2798" s="3">
        <v>-2.0333808692188602</v>
      </c>
      <c r="D2798" s="3">
        <v>0.58873391914709206</v>
      </c>
      <c r="E2798" s="3">
        <v>-3.4538198039696</v>
      </c>
      <c r="F2798" s="3">
        <v>5.5270654750627201E-4</v>
      </c>
      <c r="G2798" s="3">
        <v>3.6520444451064501E-3</v>
      </c>
      <c r="H2798" s="3" t="str">
        <f>"HSD17B6"</f>
        <v>HSD17B6</v>
      </c>
      <c r="I2798" s="3" t="str">
        <f t="shared" si="119"/>
        <v>protein_coding</v>
      </c>
    </row>
    <row r="2799" spans="1:9" x14ac:dyDescent="0.2">
      <c r="A2799" s="3" t="str">
        <f>"ENSG00000166881.10"</f>
        <v>ENSG00000166881.10</v>
      </c>
      <c r="B2799" s="3">
        <v>4014.1736489083401</v>
      </c>
      <c r="C2799" s="3">
        <v>-1.0131926749190701</v>
      </c>
      <c r="D2799" s="3">
        <v>0.266611964734494</v>
      </c>
      <c r="E2799" s="3">
        <v>-3.80025208519077</v>
      </c>
      <c r="F2799" s="3">
        <v>1.4454896733519701E-4</v>
      </c>
      <c r="G2799" s="3">
        <v>1.1222621213941E-3</v>
      </c>
      <c r="H2799" s="3" t="str">
        <f>"NEMP1"</f>
        <v>NEMP1</v>
      </c>
      <c r="I2799" s="3" t="str">
        <f t="shared" si="119"/>
        <v>protein_coding</v>
      </c>
    </row>
    <row r="2800" spans="1:9" x14ac:dyDescent="0.2">
      <c r="A2800" s="3" t="str">
        <f>"ENSG00000182379.10"</f>
        <v>ENSG00000182379.10</v>
      </c>
      <c r="B2800" s="3">
        <v>64.576309444667601</v>
      </c>
      <c r="C2800" s="3">
        <v>2.0218619848212098</v>
      </c>
      <c r="D2800" s="3">
        <v>0.50237264593304798</v>
      </c>
      <c r="E2800" s="3">
        <v>4.0246259448820796</v>
      </c>
      <c r="F2800" s="4">
        <v>5.7065947489417101E-5</v>
      </c>
      <c r="G2800" s="3">
        <v>4.9436266825409901E-4</v>
      </c>
      <c r="H2800" s="3" t="str">
        <f>"NXPH4"</f>
        <v>NXPH4</v>
      </c>
      <c r="I2800" s="3" t="str">
        <f t="shared" si="119"/>
        <v>protein_coding</v>
      </c>
    </row>
    <row r="2801" spans="1:9" x14ac:dyDescent="0.2">
      <c r="A2801" s="3" t="str">
        <f>"ENSG00000182199.11"</f>
        <v>ENSG00000182199.11</v>
      </c>
      <c r="B2801" s="3">
        <v>4091.7184233046</v>
      </c>
      <c r="C2801" s="3">
        <v>-1.16883015309611</v>
      </c>
      <c r="D2801" s="3">
        <v>0.274938603885028</v>
      </c>
      <c r="E2801" s="3">
        <v>-4.2512405918264102</v>
      </c>
      <c r="F2801" s="4">
        <v>2.1258964460831001E-5</v>
      </c>
      <c r="G2801" s="3">
        <v>2.02028428791917E-4</v>
      </c>
      <c r="H2801" s="3" t="str">
        <f>"SHMT2"</f>
        <v>SHMT2</v>
      </c>
      <c r="I2801" s="3" t="str">
        <f t="shared" si="119"/>
        <v>protein_coding</v>
      </c>
    </row>
    <row r="2802" spans="1:9" x14ac:dyDescent="0.2">
      <c r="A2802" s="3" t="str">
        <f>"ENSG00000175189.4"</f>
        <v>ENSG00000175189.4</v>
      </c>
      <c r="B2802" s="3">
        <v>116.93717156710299</v>
      </c>
      <c r="C2802" s="3">
        <v>-1.5743252442214299</v>
      </c>
      <c r="D2802" s="3">
        <v>0.38510178639847298</v>
      </c>
      <c r="E2802" s="3">
        <v>-4.0880756720054299</v>
      </c>
      <c r="F2802" s="4">
        <v>4.3496628072158299E-5</v>
      </c>
      <c r="G2802" s="3">
        <v>3.8703844328091401E-4</v>
      </c>
      <c r="H2802" s="3" t="str">
        <f>"INHBC"</f>
        <v>INHBC</v>
      </c>
      <c r="I2802" s="3" t="str">
        <f t="shared" si="119"/>
        <v>protein_coding</v>
      </c>
    </row>
    <row r="2803" spans="1:9" x14ac:dyDescent="0.2">
      <c r="A2803" s="3" t="str">
        <f>"ENSG00000155980.12"</f>
        <v>ENSG00000155980.12</v>
      </c>
      <c r="B2803" s="3">
        <v>400.038015150219</v>
      </c>
      <c r="C2803" s="3">
        <v>-1.4395492111821999</v>
      </c>
      <c r="D2803" s="3">
        <v>0.29132745176076502</v>
      </c>
      <c r="E2803" s="3">
        <v>-4.9413441901257498</v>
      </c>
      <c r="F2803" s="4">
        <v>7.7585804741472504E-7</v>
      </c>
      <c r="G2803" s="4">
        <v>9.9473543235052995E-6</v>
      </c>
      <c r="H2803" s="3" t="str">
        <f>"KIF5A"</f>
        <v>KIF5A</v>
      </c>
      <c r="I2803" s="3" t="str">
        <f t="shared" si="119"/>
        <v>protein_coding</v>
      </c>
    </row>
    <row r="2804" spans="1:9" x14ac:dyDescent="0.2">
      <c r="A2804" s="3" t="str">
        <f>"ENSG00000240771.7"</f>
        <v>ENSG00000240771.7</v>
      </c>
      <c r="B2804" s="3">
        <v>580.094022325271</v>
      </c>
      <c r="C2804" s="3">
        <v>-1.51986131898125</v>
      </c>
      <c r="D2804" s="3">
        <v>0.30312568768390402</v>
      </c>
      <c r="E2804" s="3">
        <v>-5.0139641103796802</v>
      </c>
      <c r="F2804" s="4">
        <v>5.3319936340242604E-7</v>
      </c>
      <c r="G2804" s="4">
        <v>7.0444485222626203E-6</v>
      </c>
      <c r="H2804" s="3" t="str">
        <f>"ARHGEF25"</f>
        <v>ARHGEF25</v>
      </c>
      <c r="I2804" s="3" t="str">
        <f t="shared" si="119"/>
        <v>protein_coding</v>
      </c>
    </row>
    <row r="2805" spans="1:9" x14ac:dyDescent="0.2">
      <c r="A2805" s="3" t="str">
        <f>"ENSG00000135502.17"</f>
        <v>ENSG00000135502.17</v>
      </c>
      <c r="B2805" s="3">
        <v>90.658621314500294</v>
      </c>
      <c r="C2805" s="3">
        <v>-1.9700442549885999</v>
      </c>
      <c r="D2805" s="3">
        <v>0.442391386861063</v>
      </c>
      <c r="E2805" s="3">
        <v>-4.4531704583283496</v>
      </c>
      <c r="F2805" s="4">
        <v>8.4611528864417903E-6</v>
      </c>
      <c r="G2805" s="4">
        <v>8.8352138172869695E-5</v>
      </c>
      <c r="H2805" s="3" t="str">
        <f>"SLC26A10"</f>
        <v>SLC26A10</v>
      </c>
      <c r="I2805" s="3" t="str">
        <f t="shared" si="119"/>
        <v>protein_coding</v>
      </c>
    </row>
    <row r="2806" spans="1:9" x14ac:dyDescent="0.2">
      <c r="A2806" s="3" t="str">
        <f>"ENSG00000135454.14"</f>
        <v>ENSG00000135454.14</v>
      </c>
      <c r="B2806" s="3">
        <v>878.20685005083101</v>
      </c>
      <c r="C2806" s="3">
        <v>-1.06260172029662</v>
      </c>
      <c r="D2806" s="3">
        <v>0.27767117254384299</v>
      </c>
      <c r="E2806" s="3">
        <v>-3.82683485131624</v>
      </c>
      <c r="F2806" s="3">
        <v>1.29801536897956E-4</v>
      </c>
      <c r="G2806" s="3">
        <v>1.0201952292704099E-3</v>
      </c>
      <c r="H2806" s="3" t="str">
        <f>"B4GALNT1"</f>
        <v>B4GALNT1</v>
      </c>
      <c r="I2806" s="3" t="str">
        <f t="shared" si="119"/>
        <v>protein_coding</v>
      </c>
    </row>
    <row r="2807" spans="1:9" x14ac:dyDescent="0.2">
      <c r="A2807" s="3" t="str">
        <f>"ENSG00000135446.17"</f>
        <v>ENSG00000135446.17</v>
      </c>
      <c r="B2807" s="3">
        <v>4046.9201610273999</v>
      </c>
      <c r="C2807" s="3">
        <v>-1.5550935955312799</v>
      </c>
      <c r="D2807" s="3">
        <v>0.275875469539834</v>
      </c>
      <c r="E2807" s="3">
        <v>-5.6369404576826296</v>
      </c>
      <c r="F2807" s="4">
        <v>1.73097928845423E-8</v>
      </c>
      <c r="G2807" s="4">
        <v>2.9460611638069198E-7</v>
      </c>
      <c r="H2807" s="3" t="str">
        <f>"CDK4"</f>
        <v>CDK4</v>
      </c>
      <c r="I2807" s="3" t="str">
        <f t="shared" si="119"/>
        <v>protein_coding</v>
      </c>
    </row>
    <row r="2808" spans="1:9" x14ac:dyDescent="0.2">
      <c r="A2808" s="3" t="str">
        <f>"ENSG00000111012.10"</f>
        <v>ENSG00000111012.10</v>
      </c>
      <c r="B2808" s="3">
        <v>66.741094529109503</v>
      </c>
      <c r="C2808" s="3">
        <v>-1.58980772401463</v>
      </c>
      <c r="D2808" s="3">
        <v>0.475494098254784</v>
      </c>
      <c r="E2808" s="3">
        <v>-3.3434857127559199</v>
      </c>
      <c r="F2808" s="3">
        <v>8.2732954054632604E-4</v>
      </c>
      <c r="G2808" s="3">
        <v>5.1898939133273904E-3</v>
      </c>
      <c r="H2808" s="3" t="str">
        <f>"CYP27B1"</f>
        <v>CYP27B1</v>
      </c>
      <c r="I2808" s="3" t="str">
        <f t="shared" si="119"/>
        <v>protein_coding</v>
      </c>
    </row>
    <row r="2809" spans="1:9" x14ac:dyDescent="0.2">
      <c r="A2809" s="3" t="str">
        <f>"ENSG00000037897.17"</f>
        <v>ENSG00000037897.17</v>
      </c>
      <c r="B2809" s="3">
        <v>365.938543962837</v>
      </c>
      <c r="C2809" s="3">
        <v>-1.2821020100445699</v>
      </c>
      <c r="D2809" s="3">
        <v>0.33236902770013899</v>
      </c>
      <c r="E2809" s="3">
        <v>-3.8574653568541102</v>
      </c>
      <c r="F2809" s="3">
        <v>1.14568911176403E-4</v>
      </c>
      <c r="G2809" s="3">
        <v>9.1676035164526496E-4</v>
      </c>
      <c r="H2809" s="3" t="str">
        <f>"METTL1"</f>
        <v>METTL1</v>
      </c>
      <c r="I2809" s="3" t="str">
        <f t="shared" si="119"/>
        <v>protein_coding</v>
      </c>
    </row>
    <row r="2810" spans="1:9" x14ac:dyDescent="0.2">
      <c r="A2810" s="3" t="str">
        <f>"ENSG00000198673.10"</f>
        <v>ENSG00000198673.10</v>
      </c>
      <c r="B2810" s="3">
        <v>129.96465856588301</v>
      </c>
      <c r="C2810" s="3">
        <v>1.4122199231316701</v>
      </c>
      <c r="D2810" s="3">
        <v>0.38490977507065199</v>
      </c>
      <c r="E2810" s="3">
        <v>3.6689635197558901</v>
      </c>
      <c r="F2810" s="3">
        <v>2.4353582374850001E-4</v>
      </c>
      <c r="G2810" s="3">
        <v>1.77766844920547E-3</v>
      </c>
      <c r="H2810" s="3" t="str">
        <f>"FAM19A2"</f>
        <v>FAM19A2</v>
      </c>
      <c r="I2810" s="3" t="str">
        <f t="shared" si="119"/>
        <v>protein_coding</v>
      </c>
    </row>
    <row r="2811" spans="1:9" x14ac:dyDescent="0.2">
      <c r="A2811" s="3" t="str">
        <f>"ENSG00000135655.16"</f>
        <v>ENSG00000135655.16</v>
      </c>
      <c r="B2811" s="3">
        <v>2273.0885116836698</v>
      </c>
      <c r="C2811" s="3">
        <v>1.10569577991728</v>
      </c>
      <c r="D2811" s="3">
        <v>0.26413045154520798</v>
      </c>
      <c r="E2811" s="3">
        <v>4.1861730574750897</v>
      </c>
      <c r="F2811" s="4">
        <v>2.8369708017579998E-5</v>
      </c>
      <c r="G2811" s="3">
        <v>2.62560708308398E-4</v>
      </c>
      <c r="H2811" s="3" t="str">
        <f>"USP15"</f>
        <v>USP15</v>
      </c>
      <c r="I2811" s="3" t="str">
        <f t="shared" si="119"/>
        <v>protein_coding</v>
      </c>
    </row>
    <row r="2812" spans="1:9" x14ac:dyDescent="0.2">
      <c r="A2812" s="3" t="str">
        <f>"ENSG00000061987.16"</f>
        <v>ENSG00000061987.16</v>
      </c>
      <c r="B2812" s="3">
        <v>4383.9336727510999</v>
      </c>
      <c r="C2812" s="3">
        <v>1.38744408018009</v>
      </c>
      <c r="D2812" s="3">
        <v>0.25125251570476198</v>
      </c>
      <c r="E2812" s="3">
        <v>5.5221102017160497</v>
      </c>
      <c r="F2812" s="4">
        <v>3.3495228742685003E-8</v>
      </c>
      <c r="G2812" s="4">
        <v>5.4184725339050997E-7</v>
      </c>
      <c r="H2812" s="3" t="str">
        <f>"MON2"</f>
        <v>MON2</v>
      </c>
      <c r="I2812" s="3" t="str">
        <f t="shared" si="119"/>
        <v>protein_coding</v>
      </c>
    </row>
    <row r="2813" spans="1:9" x14ac:dyDescent="0.2">
      <c r="A2813" s="3" t="str">
        <f>"ENSG00000257354.2"</f>
        <v>ENSG00000257354.2</v>
      </c>
      <c r="B2813" s="3">
        <v>211.598333508168</v>
      </c>
      <c r="C2813" s="3">
        <v>-1.32551369156821</v>
      </c>
      <c r="D2813" s="3">
        <v>0.41106977982395898</v>
      </c>
      <c r="E2813" s="3">
        <v>-3.2245466746202198</v>
      </c>
      <c r="F2813" s="3">
        <v>1.26172287194884E-3</v>
      </c>
      <c r="G2813" s="3">
        <v>7.4503847051345202E-3</v>
      </c>
      <c r="H2813" s="3" t="str">
        <f>"AC048341.1"</f>
        <v>AC048341.1</v>
      </c>
      <c r="I2813" s="3" t="str">
        <f>"lincRNA"</f>
        <v>lincRNA</v>
      </c>
    </row>
    <row r="2814" spans="1:9" x14ac:dyDescent="0.2">
      <c r="A2814" s="3" t="str">
        <f>"ENSG00000275180.1"</f>
        <v>ENSG00000275180.1</v>
      </c>
      <c r="B2814" s="3">
        <v>105.281583234902</v>
      </c>
      <c r="C2814" s="3">
        <v>-1.46908122752088</v>
      </c>
      <c r="D2814" s="3">
        <v>0.404998418843182</v>
      </c>
      <c r="E2814" s="3">
        <v>-3.6273752172097198</v>
      </c>
      <c r="F2814" s="3">
        <v>2.8631706977236997E-4</v>
      </c>
      <c r="G2814" s="3">
        <v>2.0554525942134598E-3</v>
      </c>
      <c r="H2814" s="3" t="str">
        <f>"AC048341.2"</f>
        <v>AC048341.2</v>
      </c>
      <c r="I2814" s="3" t="str">
        <f>"lincRNA"</f>
        <v>lincRNA</v>
      </c>
    </row>
    <row r="2815" spans="1:9" x14ac:dyDescent="0.2">
      <c r="A2815" s="3" t="str">
        <f>"ENSG00000111110.12"</f>
        <v>ENSG00000111110.12</v>
      </c>
      <c r="B2815" s="3">
        <v>1998.00687827094</v>
      </c>
      <c r="C2815" s="3">
        <v>-1.2768521388543499</v>
      </c>
      <c r="D2815" s="3">
        <v>0.243036705512155</v>
      </c>
      <c r="E2815" s="3">
        <v>-5.2537419652871797</v>
      </c>
      <c r="F2815" s="4">
        <v>1.4903964989718599E-7</v>
      </c>
      <c r="G2815" s="4">
        <v>2.1835133332345399E-6</v>
      </c>
      <c r="H2815" s="3" t="str">
        <f>"PPM1H"</f>
        <v>PPM1H</v>
      </c>
      <c r="I2815" s="3" t="str">
        <f>"protein_coding"</f>
        <v>protein_coding</v>
      </c>
    </row>
    <row r="2816" spans="1:9" x14ac:dyDescent="0.2">
      <c r="A2816" s="3" t="str">
        <f>"ENSG00000196935.9"</f>
        <v>ENSG00000196935.9</v>
      </c>
      <c r="B2816" s="3">
        <v>1531.9628232847101</v>
      </c>
      <c r="C2816" s="3">
        <v>1.4623441443872101</v>
      </c>
      <c r="D2816" s="3">
        <v>0.248656159394994</v>
      </c>
      <c r="E2816" s="3">
        <v>5.8809890249461301</v>
      </c>
      <c r="F2816" s="4">
        <v>4.0782221051589301E-9</v>
      </c>
      <c r="G2816" s="4">
        <v>7.6273365840351602E-8</v>
      </c>
      <c r="H2816" s="3" t="str">
        <f>"SRGAP1"</f>
        <v>SRGAP1</v>
      </c>
      <c r="I2816" s="3" t="str">
        <f>"protein_coding"</f>
        <v>protein_coding</v>
      </c>
    </row>
    <row r="2817" spans="1:9" x14ac:dyDescent="0.2">
      <c r="A2817" s="3" t="str">
        <f>"ENSG00000256571.1"</f>
        <v>ENSG00000256571.1</v>
      </c>
      <c r="B2817" s="3">
        <v>86.877587877143796</v>
      </c>
      <c r="C2817" s="3">
        <v>2.5207381157209299</v>
      </c>
      <c r="D2817" s="3">
        <v>0.44676596855657602</v>
      </c>
      <c r="E2817" s="3">
        <v>5.6421891843396201</v>
      </c>
      <c r="F2817" s="4">
        <v>1.67901459210878E-8</v>
      </c>
      <c r="G2817" s="4">
        <v>2.8634313264065299E-7</v>
      </c>
      <c r="H2817" s="3" t="str">
        <f>"AC079866.2"</f>
        <v>AC079866.2</v>
      </c>
      <c r="I2817" s="3" t="str">
        <f>"sense_intronic"</f>
        <v>sense_intronic</v>
      </c>
    </row>
    <row r="2818" spans="1:9" x14ac:dyDescent="0.2">
      <c r="A2818" s="3" t="str">
        <f>"ENSG00000174099.11"</f>
        <v>ENSG00000174099.11</v>
      </c>
      <c r="B2818" s="3">
        <v>98.668243500581895</v>
      </c>
      <c r="C2818" s="3">
        <v>-1.6724118769006799</v>
      </c>
      <c r="D2818" s="3">
        <v>0.40510571019755298</v>
      </c>
      <c r="E2818" s="3">
        <v>-4.1283344934464603</v>
      </c>
      <c r="F2818" s="4">
        <v>3.6540030610273897E-5</v>
      </c>
      <c r="G2818" s="3">
        <v>3.3039700575177602E-4</v>
      </c>
      <c r="H2818" s="3" t="str">
        <f>"MSRB3"</f>
        <v>MSRB3</v>
      </c>
      <c r="I2818" s="3" t="str">
        <f>"protein_coding"</f>
        <v>protein_coding</v>
      </c>
    </row>
    <row r="2819" spans="1:9" x14ac:dyDescent="0.2">
      <c r="A2819" s="3" t="str">
        <f>"ENSG00000175782.10"</f>
        <v>ENSG00000175782.10</v>
      </c>
      <c r="B2819" s="3">
        <v>2542.7969497219601</v>
      </c>
      <c r="C2819" s="3">
        <v>1.0494112272649101</v>
      </c>
      <c r="D2819" s="3">
        <v>0.240583093821054</v>
      </c>
      <c r="E2819" s="3">
        <v>4.3619491735585703</v>
      </c>
      <c r="F2819" s="4">
        <v>1.28908820742905E-5</v>
      </c>
      <c r="G2819" s="3">
        <v>1.2837297647615899E-4</v>
      </c>
      <c r="H2819" s="3" t="str">
        <f>"SLC35E3"</f>
        <v>SLC35E3</v>
      </c>
      <c r="I2819" s="3" t="str">
        <f>"protein_coding"</f>
        <v>protein_coding</v>
      </c>
    </row>
    <row r="2820" spans="1:9" x14ac:dyDescent="0.2">
      <c r="A2820" s="3" t="str">
        <f>"ENSG00000135679.24"</f>
        <v>ENSG00000135679.24</v>
      </c>
      <c r="B2820" s="3">
        <v>32642.3664995459</v>
      </c>
      <c r="C2820" s="3">
        <v>4.4358760186858399</v>
      </c>
      <c r="D2820" s="3">
        <v>0.24593401847319099</v>
      </c>
      <c r="E2820" s="3">
        <v>18.036854137645001</v>
      </c>
      <c r="F2820" s="4">
        <v>1.00081441675039E-72</v>
      </c>
      <c r="G2820" s="4">
        <v>5.7217015121263698E-70</v>
      </c>
      <c r="H2820" s="3" t="str">
        <f>"MDM2"</f>
        <v>MDM2</v>
      </c>
      <c r="I2820" s="3" t="str">
        <f>"protein_coding"</f>
        <v>protein_coding</v>
      </c>
    </row>
    <row r="2821" spans="1:9" x14ac:dyDescent="0.2">
      <c r="A2821" s="3" t="str">
        <f>"ENSG00000256325.1"</f>
        <v>ENSG00000256325.1</v>
      </c>
      <c r="B2821" s="3">
        <v>182.939664472332</v>
      </c>
      <c r="C2821" s="3">
        <v>5.9906518128876201</v>
      </c>
      <c r="D2821" s="3">
        <v>0.53038294244228201</v>
      </c>
      <c r="E2821" s="3">
        <v>11.294955650915499</v>
      </c>
      <c r="F2821" s="4">
        <v>1.3897419105329801E-29</v>
      </c>
      <c r="G2821" s="4">
        <v>1.3817769865398001E-27</v>
      </c>
      <c r="H2821" s="3" t="str">
        <f>"AC025423.1"</f>
        <v>AC025423.1</v>
      </c>
      <c r="I2821" s="3" t="str">
        <f>"antisense"</f>
        <v>antisense</v>
      </c>
    </row>
    <row r="2822" spans="1:9" x14ac:dyDescent="0.2">
      <c r="A2822" s="3" t="str">
        <f>"ENSG00000274979.1"</f>
        <v>ENSG00000274979.1</v>
      </c>
      <c r="B2822" s="3">
        <v>2609.7283913746101</v>
      </c>
      <c r="C2822" s="3">
        <v>-1.09863814790673</v>
      </c>
      <c r="D2822" s="3">
        <v>0.28710224046137101</v>
      </c>
      <c r="E2822" s="3">
        <v>-3.8266442858168599</v>
      </c>
      <c r="F2822" s="3">
        <v>1.29902020248584E-4</v>
      </c>
      <c r="G2822" s="3">
        <v>1.0201952292704099E-3</v>
      </c>
      <c r="H2822" s="3" t="str">
        <f>"AC020656.2"</f>
        <v>AC020656.2</v>
      </c>
      <c r="I2822" s="3" t="str">
        <f>"lincRNA"</f>
        <v>lincRNA</v>
      </c>
    </row>
    <row r="2823" spans="1:9" x14ac:dyDescent="0.2">
      <c r="A2823" s="3" t="str">
        <f>"ENSG00000127329.15"</f>
        <v>ENSG00000127329.15</v>
      </c>
      <c r="B2823" s="3">
        <v>40.985544727674998</v>
      </c>
      <c r="C2823" s="3">
        <v>2.31651856964351</v>
      </c>
      <c r="D2823" s="3">
        <v>0.58523724824434897</v>
      </c>
      <c r="E2823" s="3">
        <v>3.9582555221712599</v>
      </c>
      <c r="F2823" s="4">
        <v>7.5499165167940797E-5</v>
      </c>
      <c r="G2823" s="3">
        <v>6.33060499933184E-4</v>
      </c>
      <c r="H2823" s="3" t="str">
        <f>"PTPRB"</f>
        <v>PTPRB</v>
      </c>
      <c r="I2823" s="3" t="str">
        <f t="shared" ref="I2823:I2831" si="120">"protein_coding"</f>
        <v>protein_coding</v>
      </c>
    </row>
    <row r="2824" spans="1:9" x14ac:dyDescent="0.2">
      <c r="A2824" s="3" t="str">
        <f>"ENSG00000127324.9"</f>
        <v>ENSG00000127324.9</v>
      </c>
      <c r="B2824" s="3">
        <v>42.133315494204503</v>
      </c>
      <c r="C2824" s="3">
        <v>-1.4926357259676299</v>
      </c>
      <c r="D2824" s="3">
        <v>0.56029532182960495</v>
      </c>
      <c r="E2824" s="3">
        <v>-2.6640160426353998</v>
      </c>
      <c r="F2824" s="3">
        <v>7.7213880261849197E-3</v>
      </c>
      <c r="G2824" s="3">
        <v>3.3986266981396597E-2</v>
      </c>
      <c r="H2824" s="3" t="str">
        <f>"TSPAN8"</f>
        <v>TSPAN8</v>
      </c>
      <c r="I2824" s="3" t="str">
        <f t="shared" si="120"/>
        <v>protein_coding</v>
      </c>
    </row>
    <row r="2825" spans="1:9" x14ac:dyDescent="0.2">
      <c r="A2825" s="3" t="str">
        <f>"ENSG00000139278.10"</f>
        <v>ENSG00000139278.10</v>
      </c>
      <c r="B2825" s="3">
        <v>128.40933342597501</v>
      </c>
      <c r="C2825" s="3">
        <v>-1.26875274050117</v>
      </c>
      <c r="D2825" s="3">
        <v>0.39595512381365</v>
      </c>
      <c r="E2825" s="3">
        <v>-3.2042841832204498</v>
      </c>
      <c r="F2825" s="3">
        <v>1.35398758454027E-3</v>
      </c>
      <c r="G2825" s="3">
        <v>7.9024495798400204E-3</v>
      </c>
      <c r="H2825" s="3" t="str">
        <f>"GLIPR1"</f>
        <v>GLIPR1</v>
      </c>
      <c r="I2825" s="3" t="str">
        <f t="shared" si="120"/>
        <v>protein_coding</v>
      </c>
    </row>
    <row r="2826" spans="1:9" x14ac:dyDescent="0.2">
      <c r="A2826" s="3" t="str">
        <f>"ENSG00000165891.16"</f>
        <v>ENSG00000165891.16</v>
      </c>
      <c r="B2826" s="3">
        <v>2910.44647311277</v>
      </c>
      <c r="C2826" s="3">
        <v>1.4328092086945701</v>
      </c>
      <c r="D2826" s="3">
        <v>0.237329426076896</v>
      </c>
      <c r="E2826" s="3">
        <v>6.0372168440264504</v>
      </c>
      <c r="F2826" s="4">
        <v>1.56794961372575E-9</v>
      </c>
      <c r="G2826" s="4">
        <v>3.1007682809175399E-8</v>
      </c>
      <c r="H2826" s="3" t="str">
        <f>"E2F7"</f>
        <v>E2F7</v>
      </c>
      <c r="I2826" s="3" t="str">
        <f t="shared" si="120"/>
        <v>protein_coding</v>
      </c>
    </row>
    <row r="2827" spans="1:9" x14ac:dyDescent="0.2">
      <c r="A2827" s="3" t="str">
        <f>"ENSG00000179104.9"</f>
        <v>ENSG00000179104.9</v>
      </c>
      <c r="B2827" s="3">
        <v>93.584392231270698</v>
      </c>
      <c r="C2827" s="3">
        <v>-3.0065184483403402</v>
      </c>
      <c r="D2827" s="3">
        <v>0.44755024792391801</v>
      </c>
      <c r="E2827" s="3">
        <v>-6.7177226742402301</v>
      </c>
      <c r="F2827" s="4">
        <v>1.8458656574284099E-11</v>
      </c>
      <c r="G2827" s="4">
        <v>4.610998074738E-10</v>
      </c>
      <c r="H2827" s="3" t="str">
        <f>"TMTC2"</f>
        <v>TMTC2</v>
      </c>
      <c r="I2827" s="3" t="str">
        <f t="shared" si="120"/>
        <v>protein_coding</v>
      </c>
    </row>
    <row r="2828" spans="1:9" x14ac:dyDescent="0.2">
      <c r="A2828" s="3" t="str">
        <f>"ENSG00000198707.15"</f>
        <v>ENSG00000198707.15</v>
      </c>
      <c r="B2828" s="3">
        <v>1287.67420252072</v>
      </c>
      <c r="C2828" s="3">
        <v>1.0212589921562201</v>
      </c>
      <c r="D2828" s="3">
        <v>0.27658191512595798</v>
      </c>
      <c r="E2828" s="3">
        <v>3.6924286668964799</v>
      </c>
      <c r="F2828" s="3">
        <v>2.22122654383248E-4</v>
      </c>
      <c r="G2828" s="3">
        <v>1.6400045115968901E-3</v>
      </c>
      <c r="H2828" s="3" t="str">
        <f>"CEP290"</f>
        <v>CEP290</v>
      </c>
      <c r="I2828" s="3" t="str">
        <f t="shared" si="120"/>
        <v>protein_coding</v>
      </c>
    </row>
    <row r="2829" spans="1:9" x14ac:dyDescent="0.2">
      <c r="A2829" s="3" t="str">
        <f>"ENSG00000139324.12"</f>
        <v>ENSG00000139324.12</v>
      </c>
      <c r="B2829" s="3">
        <v>3298.7213621365499</v>
      </c>
      <c r="C2829" s="3">
        <v>1.3576734603304801</v>
      </c>
      <c r="D2829" s="3">
        <v>0.26422443393970702</v>
      </c>
      <c r="E2829" s="3">
        <v>5.1383342565521097</v>
      </c>
      <c r="F2829" s="4">
        <v>2.7718451826905099E-7</v>
      </c>
      <c r="G2829" s="4">
        <v>3.8416399763404801E-6</v>
      </c>
      <c r="H2829" s="3" t="str">
        <f>"TMTC3"</f>
        <v>TMTC3</v>
      </c>
      <c r="I2829" s="3" t="str">
        <f t="shared" si="120"/>
        <v>protein_coding</v>
      </c>
    </row>
    <row r="2830" spans="1:9" x14ac:dyDescent="0.2">
      <c r="A2830" s="3" t="str">
        <f>"ENSG00000049130.15"</f>
        <v>ENSG00000049130.15</v>
      </c>
      <c r="B2830" s="3">
        <v>3653.6028959151399</v>
      </c>
      <c r="C2830" s="3">
        <v>1.59138389088942</v>
      </c>
      <c r="D2830" s="3">
        <v>0.25351817013995998</v>
      </c>
      <c r="E2830" s="3">
        <v>6.27719855350351</v>
      </c>
      <c r="F2830" s="4">
        <v>3.4472774455509299E-10</v>
      </c>
      <c r="G2830" s="4">
        <v>7.4626733341509197E-9</v>
      </c>
      <c r="H2830" s="3" t="str">
        <f>"KITLG"</f>
        <v>KITLG</v>
      </c>
      <c r="I2830" s="3" t="str">
        <f t="shared" si="120"/>
        <v>protein_coding</v>
      </c>
    </row>
    <row r="2831" spans="1:9" x14ac:dyDescent="0.2">
      <c r="A2831" s="3" t="str">
        <f>"ENSG00000257594.4"</f>
        <v>ENSG00000257594.4</v>
      </c>
      <c r="B2831" s="3">
        <v>53.549581137234902</v>
      </c>
      <c r="C2831" s="3">
        <v>-1.5794362219920299</v>
      </c>
      <c r="D2831" s="3">
        <v>0.55087725228283102</v>
      </c>
      <c r="E2831" s="3">
        <v>-2.8671291389267801</v>
      </c>
      <c r="F2831" s="3">
        <v>4.1421395523310502E-3</v>
      </c>
      <c r="G2831" s="3">
        <v>2.0275446670342E-2</v>
      </c>
      <c r="H2831" s="3" t="str">
        <f>"GALNT4"</f>
        <v>GALNT4</v>
      </c>
      <c r="I2831" s="3" t="str">
        <f t="shared" si="120"/>
        <v>protein_coding</v>
      </c>
    </row>
    <row r="2832" spans="1:9" x14ac:dyDescent="0.2">
      <c r="A2832" s="3" t="str">
        <f>"ENSG00000270344.2"</f>
        <v>ENSG00000270344.2</v>
      </c>
      <c r="B2832" s="3">
        <v>249.06479052104601</v>
      </c>
      <c r="C2832" s="3">
        <v>-1.9621474790448601</v>
      </c>
      <c r="D2832" s="3">
        <v>0.328506550509505</v>
      </c>
      <c r="E2832" s="3">
        <v>-5.9729325823233204</v>
      </c>
      <c r="F2832" s="4">
        <v>2.3302621597286801E-9</v>
      </c>
      <c r="G2832" s="4">
        <v>4.4780553573701201E-8</v>
      </c>
      <c r="H2832" s="3" t="str">
        <f>"POC1B-AS1"</f>
        <v>POC1B-AS1</v>
      </c>
      <c r="I2832" s="3" t="str">
        <f>"antisense"</f>
        <v>antisense</v>
      </c>
    </row>
    <row r="2833" spans="1:9" x14ac:dyDescent="0.2">
      <c r="A2833" s="3" t="str">
        <f>"ENSG00000070961.15"</f>
        <v>ENSG00000070961.15</v>
      </c>
      <c r="B2833" s="3">
        <v>2847.42001931102</v>
      </c>
      <c r="C2833" s="3">
        <v>-1.2596846728392299</v>
      </c>
      <c r="D2833" s="3">
        <v>0.26095592646188798</v>
      </c>
      <c r="E2833" s="3">
        <v>-4.8271931966381398</v>
      </c>
      <c r="F2833" s="4">
        <v>1.38470776520776E-6</v>
      </c>
      <c r="G2833" s="4">
        <v>1.6714166906814398E-5</v>
      </c>
      <c r="H2833" s="3" t="str">
        <f>"ATP2B1"</f>
        <v>ATP2B1</v>
      </c>
      <c r="I2833" s="3" t="str">
        <f>"protein_coding"</f>
        <v>protein_coding</v>
      </c>
    </row>
    <row r="2834" spans="1:9" x14ac:dyDescent="0.2">
      <c r="A2834" s="3" t="str">
        <f>"ENSG00000271614.1"</f>
        <v>ENSG00000271614.1</v>
      </c>
      <c r="B2834" s="3">
        <v>40.737517904780397</v>
      </c>
      <c r="C2834" s="3">
        <v>-2.22667446645114</v>
      </c>
      <c r="D2834" s="3">
        <v>0.59285391264530896</v>
      </c>
      <c r="E2834" s="3">
        <v>-3.7558569134101401</v>
      </c>
      <c r="F2834" s="3">
        <v>1.72749375778927E-4</v>
      </c>
      <c r="G2834" s="3">
        <v>1.3094072064814E-3</v>
      </c>
      <c r="H2834" s="3" t="str">
        <f>"ATP2B1-AS1"</f>
        <v>ATP2B1-AS1</v>
      </c>
      <c r="I2834" s="3" t="str">
        <f>"lincRNA"</f>
        <v>lincRNA</v>
      </c>
    </row>
    <row r="2835" spans="1:9" x14ac:dyDescent="0.2">
      <c r="A2835" s="3" t="str">
        <f>"ENSG00000257345.2"</f>
        <v>ENSG00000257345.2</v>
      </c>
      <c r="B2835" s="3">
        <v>368.08838981901698</v>
      </c>
      <c r="C2835" s="3">
        <v>-2.1614563551913202</v>
      </c>
      <c r="D2835" s="3">
        <v>0.33793555301559303</v>
      </c>
      <c r="E2835" s="3">
        <v>-6.3960608343910703</v>
      </c>
      <c r="F2835" s="4">
        <v>1.5943650362535299E-10</v>
      </c>
      <c r="G2835" s="4">
        <v>3.5777210068650902E-9</v>
      </c>
      <c r="H2835" s="3" t="str">
        <f>"LINC02413"</f>
        <v>LINC02413</v>
      </c>
      <c r="I2835" s="3" t="str">
        <f>"lincRNA"</f>
        <v>lincRNA</v>
      </c>
    </row>
    <row r="2836" spans="1:9" x14ac:dyDescent="0.2">
      <c r="A2836" s="3" t="str">
        <f>"ENSG00000257512.1"</f>
        <v>ENSG00000257512.1</v>
      </c>
      <c r="B2836" s="3">
        <v>50.786191593071301</v>
      </c>
      <c r="C2836" s="3">
        <v>-2.3845496012962801</v>
      </c>
      <c r="D2836" s="3">
        <v>0.55791881692554501</v>
      </c>
      <c r="E2836" s="3">
        <v>-4.2740082050584398</v>
      </c>
      <c r="F2836" s="4">
        <v>1.91989965459463E-5</v>
      </c>
      <c r="G2836" s="3">
        <v>1.84402733147491E-4</v>
      </c>
      <c r="H2836" s="3" t="str">
        <f>"AC124947.2"</f>
        <v>AC124947.2</v>
      </c>
      <c r="I2836" s="3" t="str">
        <f>"transcribed_processed_pseudogene"</f>
        <v>transcribed_processed_pseudogene</v>
      </c>
    </row>
    <row r="2837" spans="1:9" x14ac:dyDescent="0.2">
      <c r="A2837" s="3" t="str">
        <f>"ENSG00000246985.7"</f>
        <v>ENSG00000246985.7</v>
      </c>
      <c r="B2837" s="3">
        <v>52.950455494796799</v>
      </c>
      <c r="C2837" s="3">
        <v>-1.6873080608055999</v>
      </c>
      <c r="D2837" s="3">
        <v>0.51891955261270595</v>
      </c>
      <c r="E2837" s="3">
        <v>-3.25157927141148</v>
      </c>
      <c r="F2837" s="3">
        <v>1.14765767125014E-3</v>
      </c>
      <c r="G2837" s="3">
        <v>6.8589519411492899E-3</v>
      </c>
      <c r="H2837" s="3" t="str">
        <f>"SOCS2-AS1"</f>
        <v>SOCS2-AS1</v>
      </c>
      <c r="I2837" s="3" t="str">
        <f>"processed_transcript"</f>
        <v>processed_transcript</v>
      </c>
    </row>
    <row r="2838" spans="1:9" x14ac:dyDescent="0.2">
      <c r="A2838" s="3" t="str">
        <f>"ENSG00000120833.14"</f>
        <v>ENSG00000120833.14</v>
      </c>
      <c r="B2838" s="3">
        <v>335.06105585377901</v>
      </c>
      <c r="C2838" s="3">
        <v>-3.2132923353874898</v>
      </c>
      <c r="D2838" s="3">
        <v>0.31080650072230698</v>
      </c>
      <c r="E2838" s="3">
        <v>-10.3385621855395</v>
      </c>
      <c r="F2838" s="4">
        <v>4.7155931553736403E-25</v>
      </c>
      <c r="G2838" s="4">
        <v>3.6953503371783201E-23</v>
      </c>
      <c r="H2838" s="3" t="str">
        <f>"SOCS2"</f>
        <v>SOCS2</v>
      </c>
      <c r="I2838" s="3" t="str">
        <f t="shared" ref="I2838:I2844" si="121">"protein_coding"</f>
        <v>protein_coding</v>
      </c>
    </row>
    <row r="2839" spans="1:9" x14ac:dyDescent="0.2">
      <c r="A2839" s="3" t="str">
        <f>"ENSG00000074527.12"</f>
        <v>ENSG00000074527.12</v>
      </c>
      <c r="B2839" s="3">
        <v>889.64833829750899</v>
      </c>
      <c r="C2839" s="3">
        <v>1.6050483828136399</v>
      </c>
      <c r="D2839" s="3">
        <v>0.25970199877167899</v>
      </c>
      <c r="E2839" s="3">
        <v>6.1803466681237902</v>
      </c>
      <c r="F2839" s="4">
        <v>6.3960992166828597E-10</v>
      </c>
      <c r="G2839" s="4">
        <v>1.33855137933159E-8</v>
      </c>
      <c r="H2839" s="3" t="str">
        <f>"NTN4"</f>
        <v>NTN4</v>
      </c>
      <c r="I2839" s="3" t="str">
        <f t="shared" si="121"/>
        <v>protein_coding</v>
      </c>
    </row>
    <row r="2840" spans="1:9" x14ac:dyDescent="0.2">
      <c r="A2840" s="3" t="str">
        <f>"ENSG00000139343.10"</f>
        <v>ENSG00000139343.10</v>
      </c>
      <c r="B2840" s="3">
        <v>2091.8587896132099</v>
      </c>
      <c r="C2840" s="3">
        <v>-1.1211621740234901</v>
      </c>
      <c r="D2840" s="3">
        <v>0.244228651075651</v>
      </c>
      <c r="E2840" s="3">
        <v>-4.5906250928610604</v>
      </c>
      <c r="F2840" s="4">
        <v>4.4192050300551798E-6</v>
      </c>
      <c r="G2840" s="4">
        <v>4.9122891087511303E-5</v>
      </c>
      <c r="H2840" s="3" t="str">
        <f>"SNRPF"</f>
        <v>SNRPF</v>
      </c>
      <c r="I2840" s="3" t="str">
        <f t="shared" si="121"/>
        <v>protein_coding</v>
      </c>
    </row>
    <row r="2841" spans="1:9" x14ac:dyDescent="0.2">
      <c r="A2841" s="3" t="str">
        <f>"ENSG00000165972.13"</f>
        <v>ENSG00000165972.13</v>
      </c>
      <c r="B2841" s="3">
        <v>44.9484058469519</v>
      </c>
      <c r="C2841" s="3">
        <v>-2.2427115384562901</v>
      </c>
      <c r="D2841" s="3">
        <v>0.57022369622013303</v>
      </c>
      <c r="E2841" s="3">
        <v>-3.9330381275324902</v>
      </c>
      <c r="F2841" s="4">
        <v>8.3878926852441001E-5</v>
      </c>
      <c r="G2841" s="3">
        <v>6.9407052795169503E-4</v>
      </c>
      <c r="H2841" s="3" t="str">
        <f>"CCDC38"</f>
        <v>CCDC38</v>
      </c>
      <c r="I2841" s="3" t="str">
        <f t="shared" si="121"/>
        <v>protein_coding</v>
      </c>
    </row>
    <row r="2842" spans="1:9" x14ac:dyDescent="0.2">
      <c r="A2842" s="3" t="str">
        <f>"ENSG00000139344.8"</f>
        <v>ENSG00000139344.8</v>
      </c>
      <c r="B2842" s="3">
        <v>701.31307847251401</v>
      </c>
      <c r="C2842" s="3">
        <v>-2.6471740461960001</v>
      </c>
      <c r="D2842" s="3">
        <v>0.279704848544503</v>
      </c>
      <c r="E2842" s="3">
        <v>-9.4641693198064694</v>
      </c>
      <c r="F2842" s="4">
        <v>2.9590356673642199E-21</v>
      </c>
      <c r="G2842" s="4">
        <v>1.73103586540807E-19</v>
      </c>
      <c r="H2842" s="3" t="str">
        <f>"AMDHD1"</f>
        <v>AMDHD1</v>
      </c>
      <c r="I2842" s="3" t="str">
        <f t="shared" si="121"/>
        <v>protein_coding</v>
      </c>
    </row>
    <row r="2843" spans="1:9" x14ac:dyDescent="0.2">
      <c r="A2843" s="3" t="str">
        <f>"ENSG00000084110.11"</f>
        <v>ENSG00000084110.11</v>
      </c>
      <c r="B2843" s="3">
        <v>367.52226740895401</v>
      </c>
      <c r="C2843" s="3">
        <v>-3.8144116910621402</v>
      </c>
      <c r="D2843" s="3">
        <v>0.32932293879729202</v>
      </c>
      <c r="E2843" s="3">
        <v>-11.582587307742999</v>
      </c>
      <c r="F2843" s="4">
        <v>5.0498540648562102E-31</v>
      </c>
      <c r="G2843" s="4">
        <v>5.3825880932821205E-29</v>
      </c>
      <c r="H2843" s="3" t="str">
        <f>"HAL"</f>
        <v>HAL</v>
      </c>
      <c r="I2843" s="3" t="str">
        <f t="shared" si="121"/>
        <v>protein_coding</v>
      </c>
    </row>
    <row r="2844" spans="1:9" x14ac:dyDescent="0.2">
      <c r="A2844" s="3" t="str">
        <f>"ENSG00000111145.8"</f>
        <v>ENSG00000111145.8</v>
      </c>
      <c r="B2844" s="3">
        <v>883.31982429964603</v>
      </c>
      <c r="C2844" s="3">
        <v>-1.5795381034740099</v>
      </c>
      <c r="D2844" s="3">
        <v>0.25974785824320401</v>
      </c>
      <c r="E2844" s="3">
        <v>-6.0810438020823696</v>
      </c>
      <c r="F2844" s="4">
        <v>1.1940266541308399E-9</v>
      </c>
      <c r="G2844" s="4">
        <v>2.4047830652250899E-8</v>
      </c>
      <c r="H2844" s="3" t="str">
        <f>"ELK3"</f>
        <v>ELK3</v>
      </c>
      <c r="I2844" s="3" t="str">
        <f t="shared" si="121"/>
        <v>protein_coding</v>
      </c>
    </row>
    <row r="2845" spans="1:9" x14ac:dyDescent="0.2">
      <c r="A2845" s="3" t="str">
        <f>"ENSG00000257167.2"</f>
        <v>ENSG00000257167.2</v>
      </c>
      <c r="B2845" s="3">
        <v>317.94966741248197</v>
      </c>
      <c r="C2845" s="3">
        <v>-1.87643021357157</v>
      </c>
      <c r="D2845" s="3">
        <v>0.30560746197463901</v>
      </c>
      <c r="E2845" s="3">
        <v>-6.1400012992067596</v>
      </c>
      <c r="F2845" s="4">
        <v>8.25208059276564E-10</v>
      </c>
      <c r="G2845" s="4">
        <v>1.7028801256031199E-8</v>
      </c>
      <c r="H2845" s="3" t="str">
        <f>"TMPO-AS1"</f>
        <v>TMPO-AS1</v>
      </c>
      <c r="I2845" s="3" t="str">
        <f>"antisense"</f>
        <v>antisense</v>
      </c>
    </row>
    <row r="2846" spans="1:9" x14ac:dyDescent="0.2">
      <c r="A2846" s="3" t="str">
        <f>"ENSG00000120802.13"</f>
        <v>ENSG00000120802.13</v>
      </c>
      <c r="B2846" s="3">
        <v>5108.5222669099903</v>
      </c>
      <c r="C2846" s="3">
        <v>-1.38695203238968</v>
      </c>
      <c r="D2846" s="3">
        <v>0.237256031871724</v>
      </c>
      <c r="E2846" s="3">
        <v>-5.8458030400658298</v>
      </c>
      <c r="F2846" s="4">
        <v>5.0413026126071201E-9</v>
      </c>
      <c r="G2846" s="4">
        <v>9.3314177498257699E-8</v>
      </c>
      <c r="H2846" s="3" t="str">
        <f>"TMPO"</f>
        <v>TMPO</v>
      </c>
      <c r="I2846" s="3" t="str">
        <f t="shared" ref="I2846:I2856" si="122">"protein_coding"</f>
        <v>protein_coding</v>
      </c>
    </row>
    <row r="2847" spans="1:9" x14ac:dyDescent="0.2">
      <c r="A2847" s="3" t="str">
        <f>"ENSG00000166130.15"</f>
        <v>ENSG00000166130.15</v>
      </c>
      <c r="B2847" s="3">
        <v>5215.2353779284103</v>
      </c>
      <c r="C2847" s="3">
        <v>2.60929083611332</v>
      </c>
      <c r="D2847" s="3">
        <v>0.249216424186295</v>
      </c>
      <c r="E2847" s="3">
        <v>10.469979435074499</v>
      </c>
      <c r="F2847" s="4">
        <v>1.1866878278019E-25</v>
      </c>
      <c r="G2847" s="4">
        <v>9.6605606175911703E-24</v>
      </c>
      <c r="H2847" s="3" t="str">
        <f>"IKBIP"</f>
        <v>IKBIP</v>
      </c>
      <c r="I2847" s="3" t="str">
        <f t="shared" si="122"/>
        <v>protein_coding</v>
      </c>
    </row>
    <row r="2848" spans="1:9" x14ac:dyDescent="0.2">
      <c r="A2848" s="3" t="str">
        <f>"ENSG00000120868.13"</f>
        <v>ENSG00000120868.13</v>
      </c>
      <c r="B2848" s="3">
        <v>3374.7828335076201</v>
      </c>
      <c r="C2848" s="3">
        <v>1.8924408004887801</v>
      </c>
      <c r="D2848" s="3">
        <v>0.237256011559908</v>
      </c>
      <c r="E2848" s="3">
        <v>7.9763660699106298</v>
      </c>
      <c r="F2848" s="4">
        <v>1.5070453142275E-15</v>
      </c>
      <c r="G2848" s="4">
        <v>5.7789214755172003E-14</v>
      </c>
      <c r="H2848" s="3" t="str">
        <f>"APAF1"</f>
        <v>APAF1</v>
      </c>
      <c r="I2848" s="3" t="str">
        <f t="shared" si="122"/>
        <v>protein_coding</v>
      </c>
    </row>
    <row r="2849" spans="1:9" x14ac:dyDescent="0.2">
      <c r="A2849" s="3" t="str">
        <f>"ENSG00000166153.16"</f>
        <v>ENSG00000166153.16</v>
      </c>
      <c r="B2849" s="3">
        <v>126.652681876538</v>
      </c>
      <c r="C2849" s="3">
        <v>-1.0129809366128599</v>
      </c>
      <c r="D2849" s="3">
        <v>0.37948551790990198</v>
      </c>
      <c r="E2849" s="3">
        <v>-2.6693533450026501</v>
      </c>
      <c r="F2849" s="3">
        <v>7.59974534524205E-3</v>
      </c>
      <c r="G2849" s="3">
        <v>3.3527112269302599E-2</v>
      </c>
      <c r="H2849" s="3" t="str">
        <f>"DEPDC4"</f>
        <v>DEPDC4</v>
      </c>
      <c r="I2849" s="3" t="str">
        <f t="shared" si="122"/>
        <v>protein_coding</v>
      </c>
    </row>
    <row r="2850" spans="1:9" x14ac:dyDescent="0.2">
      <c r="A2850" s="3" t="str">
        <f>"ENSG00000151572.18"</f>
        <v>ENSG00000151572.18</v>
      </c>
      <c r="B2850" s="3">
        <v>69.237468124335393</v>
      </c>
      <c r="C2850" s="3">
        <v>1.9781486203107499</v>
      </c>
      <c r="D2850" s="3">
        <v>0.47571523278216898</v>
      </c>
      <c r="E2850" s="3">
        <v>4.1582620946185802</v>
      </c>
      <c r="F2850" s="4">
        <v>3.20677970727906E-5</v>
      </c>
      <c r="G2850" s="3">
        <v>2.9429603625175002E-4</v>
      </c>
      <c r="H2850" s="3" t="str">
        <f>"ANO4"</f>
        <v>ANO4</v>
      </c>
      <c r="I2850" s="3" t="str">
        <f t="shared" si="122"/>
        <v>protein_coding</v>
      </c>
    </row>
    <row r="2851" spans="1:9" x14ac:dyDescent="0.2">
      <c r="A2851" s="3" t="str">
        <f>"ENSG00000136048.14"</f>
        <v>ENSG00000136048.14</v>
      </c>
      <c r="B2851" s="3">
        <v>2022.64462553556</v>
      </c>
      <c r="C2851" s="3">
        <v>1.8092740751149501</v>
      </c>
      <c r="D2851" s="3">
        <v>0.25252613361672999</v>
      </c>
      <c r="E2851" s="3">
        <v>7.1647003389398298</v>
      </c>
      <c r="F2851" s="4">
        <v>7.7956887605043702E-13</v>
      </c>
      <c r="G2851" s="4">
        <v>2.2696823005843499E-11</v>
      </c>
      <c r="H2851" s="3" t="str">
        <f>"DRAM1"</f>
        <v>DRAM1</v>
      </c>
      <c r="I2851" s="3" t="str">
        <f t="shared" si="122"/>
        <v>protein_coding</v>
      </c>
    </row>
    <row r="2852" spans="1:9" x14ac:dyDescent="0.2">
      <c r="A2852" s="3" t="str">
        <f>"ENSG00000255150.2"</f>
        <v>ENSG00000255150.2</v>
      </c>
      <c r="B2852" s="3">
        <v>169.43068289850399</v>
      </c>
      <c r="C2852" s="3">
        <v>1.67955736582944</v>
      </c>
      <c r="D2852" s="3">
        <v>0.34323682577972098</v>
      </c>
      <c r="E2852" s="3">
        <v>4.8932901124873096</v>
      </c>
      <c r="F2852" s="4">
        <v>9.9164061243032101E-7</v>
      </c>
      <c r="G2852" s="4">
        <v>1.2447464873096201E-5</v>
      </c>
      <c r="H2852" s="3" t="str">
        <f>"EID3"</f>
        <v>EID3</v>
      </c>
      <c r="I2852" s="3" t="str">
        <f t="shared" si="122"/>
        <v>protein_coding</v>
      </c>
    </row>
    <row r="2853" spans="1:9" x14ac:dyDescent="0.2">
      <c r="A2853" s="3" t="str">
        <f>"ENSG00000151131.11"</f>
        <v>ENSG00000151131.11</v>
      </c>
      <c r="B2853" s="3">
        <v>4678.2834871728201</v>
      </c>
      <c r="C2853" s="3">
        <v>2.1858544578833499</v>
      </c>
      <c r="D2853" s="3">
        <v>0.251012594670944</v>
      </c>
      <c r="E2853" s="3">
        <v>8.7081465404108993</v>
      </c>
      <c r="F2853" s="4">
        <v>3.0888382123608099E-18</v>
      </c>
      <c r="G2853" s="4">
        <v>1.4743780878925299E-16</v>
      </c>
      <c r="H2853" s="3" t="str">
        <f>"C12orf45"</f>
        <v>C12orf45</v>
      </c>
      <c r="I2853" s="3" t="str">
        <f t="shared" si="122"/>
        <v>protein_coding</v>
      </c>
    </row>
    <row r="2854" spans="1:9" x14ac:dyDescent="0.2">
      <c r="A2854" s="3" t="str">
        <f>"ENSG00000235162.8"</f>
        <v>ENSG00000235162.8</v>
      </c>
      <c r="B2854" s="3">
        <v>1773.3281734176501</v>
      </c>
      <c r="C2854" s="3">
        <v>-1.4885874400588901</v>
      </c>
      <c r="D2854" s="3">
        <v>0.24972357114136101</v>
      </c>
      <c r="E2854" s="3">
        <v>-5.9609408645539901</v>
      </c>
      <c r="F2854" s="4">
        <v>2.5078971997550701E-9</v>
      </c>
      <c r="G2854" s="4">
        <v>4.7901407790310301E-8</v>
      </c>
      <c r="H2854" s="3" t="str">
        <f>"C12orf75"</f>
        <v>C12orf75</v>
      </c>
      <c r="I2854" s="3" t="str">
        <f t="shared" si="122"/>
        <v>protein_coding</v>
      </c>
    </row>
    <row r="2855" spans="1:9" x14ac:dyDescent="0.2">
      <c r="A2855" s="3" t="str">
        <f>"ENSG00000166046.11"</f>
        <v>ENSG00000166046.11</v>
      </c>
      <c r="B2855" s="3">
        <v>721.44712874252195</v>
      </c>
      <c r="C2855" s="3">
        <v>2.64220452650483</v>
      </c>
      <c r="D2855" s="3">
        <v>0.26543237210657999</v>
      </c>
      <c r="E2855" s="3">
        <v>9.9543416861146596</v>
      </c>
      <c r="F2855" s="4">
        <v>2.4141532689382399E-23</v>
      </c>
      <c r="G2855" s="4">
        <v>1.64129798594977E-21</v>
      </c>
      <c r="H2855" s="3" t="str">
        <f>"TCP11L2"</f>
        <v>TCP11L2</v>
      </c>
      <c r="I2855" s="3" t="str">
        <f t="shared" si="122"/>
        <v>protein_coding</v>
      </c>
    </row>
    <row r="2856" spans="1:9" x14ac:dyDescent="0.2">
      <c r="A2856" s="3" t="str">
        <f>"ENSG00000151136.15"</f>
        <v>ENSG00000151136.15</v>
      </c>
      <c r="B2856" s="3">
        <v>796.29018554641902</v>
      </c>
      <c r="C2856" s="3">
        <v>1.86708368176647</v>
      </c>
      <c r="D2856" s="3">
        <v>0.26467378727348201</v>
      </c>
      <c r="E2856" s="3">
        <v>7.0542825604306802</v>
      </c>
      <c r="F2856" s="4">
        <v>1.73493513980035E-12</v>
      </c>
      <c r="G2856" s="4">
        <v>4.8707916787586699E-11</v>
      </c>
      <c r="H2856" s="3" t="str">
        <f>"BTBD11"</f>
        <v>BTBD11</v>
      </c>
      <c r="I2856" s="3" t="str">
        <f t="shared" si="122"/>
        <v>protein_coding</v>
      </c>
    </row>
    <row r="2857" spans="1:9" x14ac:dyDescent="0.2">
      <c r="A2857" s="3" t="str">
        <f>"ENSG00000200897.1"</f>
        <v>ENSG00000200897.1</v>
      </c>
      <c r="B2857" s="3">
        <v>15.6845420896436</v>
      </c>
      <c r="C2857" s="3">
        <v>2.5059487553133399</v>
      </c>
      <c r="D2857" s="3">
        <v>0.90699929246250099</v>
      </c>
      <c r="E2857" s="3">
        <v>2.7629004522260399</v>
      </c>
      <c r="F2857" s="3">
        <v>5.7290236446683896E-3</v>
      </c>
      <c r="G2857" s="3">
        <v>2.6481732778690401E-2</v>
      </c>
      <c r="H2857" s="3" t="str">
        <f>"RF00284"</f>
        <v>RF00284</v>
      </c>
      <c r="I2857" s="3" t="str">
        <f>"snoRNA"</f>
        <v>snoRNA</v>
      </c>
    </row>
    <row r="2858" spans="1:9" x14ac:dyDescent="0.2">
      <c r="A2858" s="3" t="str">
        <f>"ENSG00000136003.15"</f>
        <v>ENSG00000136003.15</v>
      </c>
      <c r="B2858" s="3">
        <v>4280.69823126744</v>
      </c>
      <c r="C2858" s="3">
        <v>2.15811282617884</v>
      </c>
      <c r="D2858" s="3">
        <v>0.238512621573084</v>
      </c>
      <c r="E2858" s="3">
        <v>9.0482122578890998</v>
      </c>
      <c r="F2858" s="4">
        <v>1.4532806185678101E-19</v>
      </c>
      <c r="G2858" s="4">
        <v>7.6160987416819495E-18</v>
      </c>
      <c r="H2858" s="3" t="str">
        <f>"ISCU"</f>
        <v>ISCU</v>
      </c>
      <c r="I2858" s="3" t="str">
        <f t="shared" ref="I2858:I2864" si="123">"protein_coding"</f>
        <v>protein_coding</v>
      </c>
    </row>
    <row r="2859" spans="1:9" x14ac:dyDescent="0.2">
      <c r="A2859" s="3" t="str">
        <f>"ENSG00000183160.9"</f>
        <v>ENSG00000183160.9</v>
      </c>
      <c r="B2859" s="3">
        <v>15.2037170511016</v>
      </c>
      <c r="C2859" s="3">
        <v>2.8695591854028701</v>
      </c>
      <c r="D2859" s="3">
        <v>0.98963275658070904</v>
      </c>
      <c r="E2859" s="3">
        <v>2.8996202544037799</v>
      </c>
      <c r="F2859" s="3">
        <v>3.73614998686489E-3</v>
      </c>
      <c r="G2859" s="3">
        <v>1.8592057946505699E-2</v>
      </c>
      <c r="H2859" s="3" t="str">
        <f>"TMEM119"</f>
        <v>TMEM119</v>
      </c>
      <c r="I2859" s="3" t="str">
        <f t="shared" si="123"/>
        <v>protein_coding</v>
      </c>
    </row>
    <row r="2860" spans="1:9" x14ac:dyDescent="0.2">
      <c r="A2860" s="3" t="str">
        <f>"ENSG00000110887.8"</f>
        <v>ENSG00000110887.8</v>
      </c>
      <c r="B2860" s="3">
        <v>110.806655498203</v>
      </c>
      <c r="C2860" s="3">
        <v>5.6820018002301698</v>
      </c>
      <c r="D2860" s="3">
        <v>0.61263353635400697</v>
      </c>
      <c r="E2860" s="3">
        <v>9.2747155731070894</v>
      </c>
      <c r="F2860" s="4">
        <v>1.7809356463002501E-20</v>
      </c>
      <c r="G2860" s="4">
        <v>9.9554302628183997E-19</v>
      </c>
      <c r="H2860" s="3" t="str">
        <f>"DAO"</f>
        <v>DAO</v>
      </c>
      <c r="I2860" s="3" t="str">
        <f t="shared" si="123"/>
        <v>protein_coding</v>
      </c>
    </row>
    <row r="2861" spans="1:9" x14ac:dyDescent="0.2">
      <c r="A2861" s="3" t="str">
        <f>"ENSG00000076248.10"</f>
        <v>ENSG00000076248.10</v>
      </c>
      <c r="B2861" s="3">
        <v>1942.5389943811199</v>
      </c>
      <c r="C2861" s="3">
        <v>-2.0603304167305998</v>
      </c>
      <c r="D2861" s="3">
        <v>0.25135809994885799</v>
      </c>
      <c r="E2861" s="3">
        <v>-8.1967934080890696</v>
      </c>
      <c r="F2861" s="4">
        <v>2.4688420811205402E-16</v>
      </c>
      <c r="G2861" s="4">
        <v>1.0279196058531E-14</v>
      </c>
      <c r="H2861" s="3" t="str">
        <f>"UNG"</f>
        <v>UNG</v>
      </c>
      <c r="I2861" s="3" t="str">
        <f t="shared" si="123"/>
        <v>protein_coding</v>
      </c>
    </row>
    <row r="2862" spans="1:9" x14ac:dyDescent="0.2">
      <c r="A2862" s="3" t="str">
        <f>"ENSG00000139438.5"</f>
        <v>ENSG00000139438.5</v>
      </c>
      <c r="B2862" s="3">
        <v>554.04506090704194</v>
      </c>
      <c r="C2862" s="3">
        <v>-1.72996561268087</v>
      </c>
      <c r="D2862" s="3">
        <v>0.28179418955254298</v>
      </c>
      <c r="E2862" s="3">
        <v>-6.13911030396992</v>
      </c>
      <c r="F2862" s="4">
        <v>8.2984932344992296E-10</v>
      </c>
      <c r="G2862" s="4">
        <v>1.7110540763428502E-8</v>
      </c>
      <c r="H2862" s="3" t="str">
        <f>"FAM222A"</f>
        <v>FAM222A</v>
      </c>
      <c r="I2862" s="3" t="str">
        <f t="shared" si="123"/>
        <v>protein_coding</v>
      </c>
    </row>
    <row r="2863" spans="1:9" x14ac:dyDescent="0.2">
      <c r="A2863" s="3" t="str">
        <f>"ENSG00000111199.10"</f>
        <v>ENSG00000111199.10</v>
      </c>
      <c r="B2863" s="3">
        <v>332.343410953231</v>
      </c>
      <c r="C2863" s="3">
        <v>1.8887491347752099</v>
      </c>
      <c r="D2863" s="3">
        <v>0.36102224704215702</v>
      </c>
      <c r="E2863" s="3">
        <v>5.2316696554012001</v>
      </c>
      <c r="F2863" s="4">
        <v>1.67985758400994E-7</v>
      </c>
      <c r="G2863" s="4">
        <v>2.4285527313660898E-6</v>
      </c>
      <c r="H2863" s="3" t="str">
        <f>"TRPV4"</f>
        <v>TRPV4</v>
      </c>
      <c r="I2863" s="3" t="str">
        <f t="shared" si="123"/>
        <v>protein_coding</v>
      </c>
    </row>
    <row r="2864" spans="1:9" x14ac:dyDescent="0.2">
      <c r="A2864" s="3" t="str">
        <f>"ENSG00000139433.10"</f>
        <v>ENSG00000139433.10</v>
      </c>
      <c r="B2864" s="3">
        <v>1450.6069740011001</v>
      </c>
      <c r="C2864" s="3">
        <v>2.0186544428625099</v>
      </c>
      <c r="D2864" s="3">
        <v>0.246746059183512</v>
      </c>
      <c r="E2864" s="3">
        <v>8.1811010459185294</v>
      </c>
      <c r="F2864" s="4">
        <v>2.8126192187613099E-16</v>
      </c>
      <c r="G2864" s="4">
        <v>1.1598596139006701E-14</v>
      </c>
      <c r="H2864" s="3" t="str">
        <f>"GLTP"</f>
        <v>GLTP</v>
      </c>
      <c r="I2864" s="3" t="str">
        <f t="shared" si="123"/>
        <v>protein_coding</v>
      </c>
    </row>
    <row r="2865" spans="1:9" x14ac:dyDescent="0.2">
      <c r="A2865" s="3" t="str">
        <f>"ENSG00000256351.1"</f>
        <v>ENSG00000256351.1</v>
      </c>
      <c r="B2865" s="3">
        <v>17.843245251997899</v>
      </c>
      <c r="C2865" s="3">
        <v>3.0887129031226501</v>
      </c>
      <c r="D2865" s="3">
        <v>0.900034633630727</v>
      </c>
      <c r="E2865" s="3">
        <v>3.4317711649193199</v>
      </c>
      <c r="F2865" s="3">
        <v>5.9965331017796503E-4</v>
      </c>
      <c r="G2865" s="3">
        <v>3.9302446632430198E-3</v>
      </c>
      <c r="H2865" s="3" t="str">
        <f>"AC007834.2"</f>
        <v>AC007834.2</v>
      </c>
      <c r="I2865" s="3" t="str">
        <f>"processed_pseudogene"</f>
        <v>processed_pseudogene</v>
      </c>
    </row>
    <row r="2866" spans="1:9" x14ac:dyDescent="0.2">
      <c r="A2866" s="3" t="str">
        <f>"ENSG00000241413.3"</f>
        <v>ENSG00000241413.3</v>
      </c>
      <c r="B2866" s="3">
        <v>14.460400719324699</v>
      </c>
      <c r="C2866" s="3">
        <v>3.19401441594243</v>
      </c>
      <c r="D2866" s="3">
        <v>1.00344457278124</v>
      </c>
      <c r="E2866" s="3">
        <v>3.1830501679725201</v>
      </c>
      <c r="F2866" s="3">
        <v>1.4573236160783801E-3</v>
      </c>
      <c r="G2866" s="3">
        <v>8.4003152067946008E-3</v>
      </c>
      <c r="H2866" s="3" t="str">
        <f>"RN7SL441P"</f>
        <v>RN7SL441P</v>
      </c>
      <c r="I2866" s="3" t="str">
        <f>"misc_RNA"</f>
        <v>misc_RNA</v>
      </c>
    </row>
    <row r="2867" spans="1:9" x14ac:dyDescent="0.2">
      <c r="A2867" s="3" t="str">
        <f>"ENSG00000280426.1"</f>
        <v>ENSG00000280426.1</v>
      </c>
      <c r="B2867" s="3">
        <v>18.216183541308499</v>
      </c>
      <c r="C2867" s="3">
        <v>-2.7535194100244702</v>
      </c>
      <c r="D2867" s="3">
        <v>0.90854014264781702</v>
      </c>
      <c r="E2867" s="3">
        <v>-3.0307074842061499</v>
      </c>
      <c r="F2867" s="3">
        <v>2.4398149075002401E-3</v>
      </c>
      <c r="G2867" s="3">
        <v>1.2956205192773599E-2</v>
      </c>
      <c r="H2867" s="3" t="str">
        <f>"AC084876.2"</f>
        <v>AC084876.2</v>
      </c>
      <c r="I2867" s="3" t="str">
        <f>"TEC"</f>
        <v>TEC</v>
      </c>
    </row>
    <row r="2868" spans="1:9" x14ac:dyDescent="0.2">
      <c r="A2868" s="3" t="str">
        <f>"ENSG00000278993.1"</f>
        <v>ENSG00000278993.1</v>
      </c>
      <c r="B2868" s="3">
        <v>25.273199854785702</v>
      </c>
      <c r="C2868" s="3">
        <v>-2.3477181273652201</v>
      </c>
      <c r="D2868" s="3">
        <v>0.72797897759626495</v>
      </c>
      <c r="E2868" s="3">
        <v>-3.2249806651247299</v>
      </c>
      <c r="F2868" s="3">
        <v>1.25981176808804E-3</v>
      </c>
      <c r="G2868" s="3">
        <v>7.4425939469832296E-3</v>
      </c>
      <c r="H2868" s="3" t="str">
        <f>"AC002350.1"</f>
        <v>AC002350.1</v>
      </c>
      <c r="I2868" s="3" t="str">
        <f>"TEC"</f>
        <v>TEC</v>
      </c>
    </row>
    <row r="2869" spans="1:9" x14ac:dyDescent="0.2">
      <c r="A2869" s="3" t="str">
        <f>"ENSG00000173093.12"</f>
        <v>ENSG00000173093.12</v>
      </c>
      <c r="B2869" s="3">
        <v>8.5935013722671503</v>
      </c>
      <c r="C2869" s="3">
        <v>6.6251372881083803</v>
      </c>
      <c r="D2869" s="3">
        <v>1.81874909498084</v>
      </c>
      <c r="E2869" s="3">
        <v>3.64268898133977</v>
      </c>
      <c r="F2869" s="3">
        <v>2.69804760447921E-4</v>
      </c>
      <c r="G2869" s="3">
        <v>1.9469130089120601E-3</v>
      </c>
      <c r="H2869" s="3" t="str">
        <f>"CCDC63"</f>
        <v>CCDC63</v>
      </c>
      <c r="I2869" s="3" t="str">
        <f t="shared" ref="I2869:I2874" si="124">"protein_coding"</f>
        <v>protein_coding</v>
      </c>
    </row>
    <row r="2870" spans="1:9" x14ac:dyDescent="0.2">
      <c r="A2870" s="3" t="str">
        <f>"ENSG00000089127.13"</f>
        <v>ENSG00000089127.13</v>
      </c>
      <c r="B2870" s="3">
        <v>165.18831630610899</v>
      </c>
      <c r="C2870" s="3">
        <v>-1.1710956608818499</v>
      </c>
      <c r="D2870" s="3">
        <v>0.35211304594770798</v>
      </c>
      <c r="E2870" s="3">
        <v>-3.3259081830662001</v>
      </c>
      <c r="F2870" s="3">
        <v>8.8130954567362699E-4</v>
      </c>
      <c r="G2870" s="3">
        <v>5.4847455767986402E-3</v>
      </c>
      <c r="H2870" s="3" t="str">
        <f>"OAS1"</f>
        <v>OAS1</v>
      </c>
      <c r="I2870" s="3" t="str">
        <f t="shared" si="124"/>
        <v>protein_coding</v>
      </c>
    </row>
    <row r="2871" spans="1:9" x14ac:dyDescent="0.2">
      <c r="A2871" s="3" t="str">
        <f>"ENSG00000111331.13"</f>
        <v>ENSG00000111331.13</v>
      </c>
      <c r="B2871" s="3">
        <v>2670.8390121060602</v>
      </c>
      <c r="C2871" s="3">
        <v>-1.08344010602904</v>
      </c>
      <c r="D2871" s="3">
        <v>0.25815505011803402</v>
      </c>
      <c r="E2871" s="3">
        <v>-4.1968580724400502</v>
      </c>
      <c r="F2871" s="4">
        <v>2.7064341748731301E-5</v>
      </c>
      <c r="G2871" s="3">
        <v>2.52242873912314E-4</v>
      </c>
      <c r="H2871" s="3" t="str">
        <f>"OAS3"</f>
        <v>OAS3</v>
      </c>
      <c r="I2871" s="3" t="str">
        <f t="shared" si="124"/>
        <v>protein_coding</v>
      </c>
    </row>
    <row r="2872" spans="1:9" x14ac:dyDescent="0.2">
      <c r="A2872" s="3" t="str">
        <f>"ENSG00000111344.11"</f>
        <v>ENSG00000111344.11</v>
      </c>
      <c r="B2872" s="3">
        <v>2076.5949572108998</v>
      </c>
      <c r="C2872" s="3">
        <v>8.1394025154337708</v>
      </c>
      <c r="D2872" s="3">
        <v>0.36223446780678398</v>
      </c>
      <c r="E2872" s="3">
        <v>22.4699835018884</v>
      </c>
      <c r="F2872" s="4">
        <v>8.1621576009578896E-112</v>
      </c>
      <c r="G2872" s="4">
        <v>2.05319074452096E-108</v>
      </c>
      <c r="H2872" s="3" t="str">
        <f>"RASAL1"</f>
        <v>RASAL1</v>
      </c>
      <c r="I2872" s="3" t="str">
        <f t="shared" si="124"/>
        <v>protein_coding</v>
      </c>
    </row>
    <row r="2873" spans="1:9" x14ac:dyDescent="0.2">
      <c r="A2873" s="3" t="str">
        <f>"ENSG00000166578.10"</f>
        <v>ENSG00000166578.10</v>
      </c>
      <c r="B2873" s="3">
        <v>102.939518519953</v>
      </c>
      <c r="C2873" s="3">
        <v>1.3092839586616001</v>
      </c>
      <c r="D2873" s="3">
        <v>0.39736494534219102</v>
      </c>
      <c r="E2873" s="3">
        <v>3.2949156034237101</v>
      </c>
      <c r="F2873" s="3">
        <v>9.8451243083123494E-4</v>
      </c>
      <c r="G2873" s="3">
        <v>6.0184761397771101E-3</v>
      </c>
      <c r="H2873" s="3" t="str">
        <f>"IQCD"</f>
        <v>IQCD</v>
      </c>
      <c r="I2873" s="3" t="str">
        <f t="shared" si="124"/>
        <v>protein_coding</v>
      </c>
    </row>
    <row r="2874" spans="1:9" x14ac:dyDescent="0.2">
      <c r="A2874" s="3" t="str">
        <f>"ENSG00000186815.12"</f>
        <v>ENSG00000186815.12</v>
      </c>
      <c r="B2874" s="3">
        <v>3874.6876558236199</v>
      </c>
      <c r="C2874" s="3">
        <v>1.79324379183633</v>
      </c>
      <c r="D2874" s="3">
        <v>0.31132102793071098</v>
      </c>
      <c r="E2874" s="3">
        <v>5.7601113672136801</v>
      </c>
      <c r="F2874" s="4">
        <v>8.4058456425935594E-9</v>
      </c>
      <c r="G2874" s="4">
        <v>1.4975144981546799E-7</v>
      </c>
      <c r="H2874" s="3" t="str">
        <f>"TPCN1"</f>
        <v>TPCN1</v>
      </c>
      <c r="I2874" s="3" t="str">
        <f t="shared" si="124"/>
        <v>protein_coding</v>
      </c>
    </row>
    <row r="2875" spans="1:9" x14ac:dyDescent="0.2">
      <c r="A2875" s="3" t="str">
        <f>"ENSG00000277566.1"</f>
        <v>ENSG00000277566.1</v>
      </c>
      <c r="B2875" s="3">
        <v>46.221459026747297</v>
      </c>
      <c r="C2875" s="3">
        <v>2.3198320382094102</v>
      </c>
      <c r="D2875" s="3">
        <v>0.56473208734208302</v>
      </c>
      <c r="E2875" s="3">
        <v>4.1078452777983996</v>
      </c>
      <c r="F2875" s="4">
        <v>3.9936748308217601E-5</v>
      </c>
      <c r="G2875" s="3">
        <v>3.5802170480869999E-4</v>
      </c>
      <c r="H2875" s="3" t="str">
        <f>"AC089999.2"</f>
        <v>AC089999.2</v>
      </c>
      <c r="I2875" s="3" t="str">
        <f>"sense_intronic"</f>
        <v>sense_intronic</v>
      </c>
    </row>
    <row r="2876" spans="1:9" x14ac:dyDescent="0.2">
      <c r="A2876" s="3" t="str">
        <f>"ENSG00000139410.15"</f>
        <v>ENSG00000139410.15</v>
      </c>
      <c r="B2876" s="3">
        <v>154.37080434408199</v>
      </c>
      <c r="C2876" s="3">
        <v>1.8523420815196801</v>
      </c>
      <c r="D2876" s="3">
        <v>0.42572921817888498</v>
      </c>
      <c r="E2876" s="3">
        <v>4.3509865013336997</v>
      </c>
      <c r="F2876" s="4">
        <v>1.35526396511469E-5</v>
      </c>
      <c r="G2876" s="3">
        <v>1.34377867727474E-4</v>
      </c>
      <c r="H2876" s="3" t="str">
        <f>"SDSL"</f>
        <v>SDSL</v>
      </c>
      <c r="I2876" s="3" t="str">
        <f>"protein_coding"</f>
        <v>protein_coding</v>
      </c>
    </row>
    <row r="2877" spans="1:9" x14ac:dyDescent="0.2">
      <c r="A2877" s="3" t="str">
        <f>"ENSG00000249550.6"</f>
        <v>ENSG00000249550.6</v>
      </c>
      <c r="B2877" s="3">
        <v>226.25666719082199</v>
      </c>
      <c r="C2877" s="3">
        <v>-1.5634009428037501</v>
      </c>
      <c r="D2877" s="3">
        <v>0.35641671493122301</v>
      </c>
      <c r="E2877" s="3">
        <v>-4.3864411440564304</v>
      </c>
      <c r="F2877" s="4">
        <v>1.15220323252621E-5</v>
      </c>
      <c r="G2877" s="3">
        <v>1.15981081689463E-4</v>
      </c>
      <c r="H2877" s="3" t="str">
        <f>"LINC01234"</f>
        <v>LINC01234</v>
      </c>
      <c r="I2877" s="3" t="str">
        <f>"lincRNA"</f>
        <v>lincRNA</v>
      </c>
    </row>
    <row r="2878" spans="1:9" x14ac:dyDescent="0.2">
      <c r="A2878" s="3" t="str">
        <f>"ENSG00000135111.16"</f>
        <v>ENSG00000135111.16</v>
      </c>
      <c r="B2878" s="3">
        <v>6209.1743298728097</v>
      </c>
      <c r="C2878" s="3">
        <v>1.3865416824116901</v>
      </c>
      <c r="D2878" s="3">
        <v>0.24824432744475</v>
      </c>
      <c r="E2878" s="3">
        <v>5.5853912018202703</v>
      </c>
      <c r="F2878" s="4">
        <v>2.33174728370048E-8</v>
      </c>
      <c r="G2878" s="4">
        <v>3.8716239552135702E-7</v>
      </c>
      <c r="H2878" s="3" t="str">
        <f>"TBX3"</f>
        <v>TBX3</v>
      </c>
      <c r="I2878" s="3" t="str">
        <f>"protein_coding"</f>
        <v>protein_coding</v>
      </c>
    </row>
    <row r="2879" spans="1:9" x14ac:dyDescent="0.2">
      <c r="A2879" s="3" t="str">
        <f>"ENSG00000257817.1"</f>
        <v>ENSG00000257817.1</v>
      </c>
      <c r="B2879" s="3">
        <v>33.389950229909999</v>
      </c>
      <c r="C2879" s="3">
        <v>3.8764227821477899</v>
      </c>
      <c r="D2879" s="3">
        <v>0.75660869868789604</v>
      </c>
      <c r="E2879" s="3">
        <v>5.12341820662418</v>
      </c>
      <c r="F2879" s="4">
        <v>3.00045836664731E-7</v>
      </c>
      <c r="G2879" s="4">
        <v>4.1349060245942197E-6</v>
      </c>
      <c r="H2879" s="3" t="str">
        <f>"AC026765.2"</f>
        <v>AC026765.2</v>
      </c>
      <c r="I2879" s="3" t="str">
        <f>"lincRNA"</f>
        <v>lincRNA</v>
      </c>
    </row>
    <row r="2880" spans="1:9" x14ac:dyDescent="0.2">
      <c r="A2880" s="3" t="str">
        <f>"ENSG00000257683.1"</f>
        <v>ENSG00000257683.1</v>
      </c>
      <c r="B2880" s="3">
        <v>56.185924777701402</v>
      </c>
      <c r="C2880" s="3">
        <v>2.37475064968665</v>
      </c>
      <c r="D2880" s="3">
        <v>0.52206310244075804</v>
      </c>
      <c r="E2880" s="3">
        <v>4.5487808630492603</v>
      </c>
      <c r="F2880" s="4">
        <v>5.3957594046669501E-6</v>
      </c>
      <c r="G2880" s="4">
        <v>5.8795920164069698E-5</v>
      </c>
      <c r="H2880" s="3" t="str">
        <f>"LINC02463"</f>
        <v>LINC02463</v>
      </c>
      <c r="I2880" s="3" t="str">
        <f>"lincRNA"</f>
        <v>lincRNA</v>
      </c>
    </row>
    <row r="2881" spans="1:9" x14ac:dyDescent="0.2">
      <c r="A2881" s="3" t="str">
        <f>"ENSG00000088992.18"</f>
        <v>ENSG00000088992.18</v>
      </c>
      <c r="B2881" s="3">
        <v>1213.5894082022401</v>
      </c>
      <c r="C2881" s="3">
        <v>-1.0039752785491201</v>
      </c>
      <c r="D2881" s="3">
        <v>0.29147460991031399</v>
      </c>
      <c r="E2881" s="3">
        <v>-3.4444690700779601</v>
      </c>
      <c r="F2881" s="3">
        <v>5.7218209651201004E-4</v>
      </c>
      <c r="G2881" s="3">
        <v>3.7639227609203999E-3</v>
      </c>
      <c r="H2881" s="3" t="str">
        <f>"TESC"</f>
        <v>TESC</v>
      </c>
      <c r="I2881" s="3" t="str">
        <f>"protein_coding"</f>
        <v>protein_coding</v>
      </c>
    </row>
    <row r="2882" spans="1:9" x14ac:dyDescent="0.2">
      <c r="A2882" s="3" t="str">
        <f>"ENSG00000183273.7"</f>
        <v>ENSG00000183273.7</v>
      </c>
      <c r="B2882" s="3">
        <v>207.646058213336</v>
      </c>
      <c r="C2882" s="3">
        <v>7.4390469246063002</v>
      </c>
      <c r="D2882" s="3">
        <v>0.72119458113377799</v>
      </c>
      <c r="E2882" s="3">
        <v>10.3148957565814</v>
      </c>
      <c r="F2882" s="4">
        <v>6.0346760743994904E-25</v>
      </c>
      <c r="G2882" s="4">
        <v>4.6147323740767603E-23</v>
      </c>
      <c r="H2882" s="3" t="str">
        <f>"CCDC60"</f>
        <v>CCDC60</v>
      </c>
      <c r="I2882" s="3" t="str">
        <f>"protein_coding"</f>
        <v>protein_coding</v>
      </c>
    </row>
    <row r="2883" spans="1:9" x14ac:dyDescent="0.2">
      <c r="A2883" s="3" t="str">
        <f>"ENSG00000111725.11"</f>
        <v>ENSG00000111725.11</v>
      </c>
      <c r="B2883" s="3">
        <v>4038.7883984349501</v>
      </c>
      <c r="C2883" s="3">
        <v>2.1544081250823499</v>
      </c>
      <c r="D2883" s="3">
        <v>0.24403439686721401</v>
      </c>
      <c r="E2883" s="3">
        <v>8.8282969644423908</v>
      </c>
      <c r="F2883" s="4">
        <v>1.0628156121475501E-18</v>
      </c>
      <c r="G2883" s="4">
        <v>5.2013865220956402E-17</v>
      </c>
      <c r="H2883" s="3" t="str">
        <f>"PRKAB1"</f>
        <v>PRKAB1</v>
      </c>
      <c r="I2883" s="3" t="str">
        <f>"protein_coding"</f>
        <v>protein_coding</v>
      </c>
    </row>
    <row r="2884" spans="1:9" x14ac:dyDescent="0.2">
      <c r="A2884" s="3" t="str">
        <f>"ENSG00000135097.7"</f>
        <v>ENSG00000135097.7</v>
      </c>
      <c r="B2884" s="3">
        <v>504.65059341963598</v>
      </c>
      <c r="C2884" s="3">
        <v>-3.4999073747667002</v>
      </c>
      <c r="D2884" s="3">
        <v>0.33349762812906802</v>
      </c>
      <c r="E2884" s="3">
        <v>-10.494549524688599</v>
      </c>
      <c r="F2884" s="4">
        <v>9.1513176930232799E-26</v>
      </c>
      <c r="G2884" s="4">
        <v>7.5229214564706103E-24</v>
      </c>
      <c r="H2884" s="3" t="str">
        <f>"MSI1"</f>
        <v>MSI1</v>
      </c>
      <c r="I2884" s="3" t="str">
        <f>"protein_coding"</f>
        <v>protein_coding</v>
      </c>
    </row>
    <row r="2885" spans="1:9" x14ac:dyDescent="0.2">
      <c r="A2885" s="3" t="str">
        <f>"ENSG00000170855.4"</f>
        <v>ENSG00000170855.4</v>
      </c>
      <c r="B2885" s="3">
        <v>1575.8254364730501</v>
      </c>
      <c r="C2885" s="3">
        <v>1.49880591148951</v>
      </c>
      <c r="D2885" s="3">
        <v>0.26181507695392903</v>
      </c>
      <c r="E2885" s="3">
        <v>5.7246738000243296</v>
      </c>
      <c r="F2885" s="4">
        <v>1.0363266755929201E-8</v>
      </c>
      <c r="G2885" s="4">
        <v>1.82171890458E-7</v>
      </c>
      <c r="H2885" s="3" t="str">
        <f>"TRIAP1"</f>
        <v>TRIAP1</v>
      </c>
      <c r="I2885" s="3" t="str">
        <f>"protein_coding"</f>
        <v>protein_coding</v>
      </c>
    </row>
    <row r="2886" spans="1:9" x14ac:dyDescent="0.2">
      <c r="A2886" s="3" t="str">
        <f>"ENSG00000248008.2"</f>
        <v>ENSG00000248008.2</v>
      </c>
      <c r="B2886" s="3">
        <v>250.88631984036101</v>
      </c>
      <c r="C2886" s="3">
        <v>1.5782340444998699</v>
      </c>
      <c r="D2886" s="3">
        <v>0.31794630484593001</v>
      </c>
      <c r="E2886" s="3">
        <v>4.9638382973648598</v>
      </c>
      <c r="F2886" s="4">
        <v>6.9113492628729801E-7</v>
      </c>
      <c r="G2886" s="4">
        <v>8.9293780538042996E-6</v>
      </c>
      <c r="H2886" s="3" t="str">
        <f>"NRAV"</f>
        <v>NRAV</v>
      </c>
      <c r="I2886" s="3" t="str">
        <f>"antisense"</f>
        <v>antisense</v>
      </c>
    </row>
    <row r="2887" spans="1:9" x14ac:dyDescent="0.2">
      <c r="A2887" s="3" t="str">
        <f>"ENSG00000213137.3"</f>
        <v>ENSG00000213137.3</v>
      </c>
      <c r="B2887" s="3">
        <v>55.051681099012299</v>
      </c>
      <c r="C2887" s="3">
        <v>1.4512473374605801</v>
      </c>
      <c r="D2887" s="3">
        <v>0.50248972352682497</v>
      </c>
      <c r="E2887" s="3">
        <v>2.8881134668281501</v>
      </c>
      <c r="F2887" s="3">
        <v>3.8756003881667499E-3</v>
      </c>
      <c r="G2887" s="3">
        <v>1.9172217849426701E-2</v>
      </c>
      <c r="H2887" s="3" t="str">
        <f>"ARF1P2"</f>
        <v>ARF1P2</v>
      </c>
      <c r="I2887" s="3" t="str">
        <f>"processed_pseudogene"</f>
        <v>processed_pseudogene</v>
      </c>
    </row>
    <row r="2888" spans="1:9" x14ac:dyDescent="0.2">
      <c r="A2888" s="3" t="str">
        <f>"ENSG00000241388.5"</f>
        <v>ENSG00000241388.5</v>
      </c>
      <c r="B2888" s="3">
        <v>355.51134811357502</v>
      </c>
      <c r="C2888" s="3">
        <v>-1.43748063868517</v>
      </c>
      <c r="D2888" s="3">
        <v>0.29081342391009801</v>
      </c>
      <c r="E2888" s="3">
        <v>-4.9429652158339001</v>
      </c>
      <c r="F2888" s="4">
        <v>7.6943216271314296E-7</v>
      </c>
      <c r="G2888" s="4">
        <v>9.8699979872764402E-6</v>
      </c>
      <c r="H2888" s="3" t="str">
        <f>"HNF1A-AS1"</f>
        <v>HNF1A-AS1</v>
      </c>
      <c r="I2888" s="3" t="str">
        <f>"processed_transcript"</f>
        <v>processed_transcript</v>
      </c>
    </row>
    <row r="2889" spans="1:9" x14ac:dyDescent="0.2">
      <c r="A2889" s="3" t="str">
        <f>"ENSG00000256742.1"</f>
        <v>ENSG00000256742.1</v>
      </c>
      <c r="B2889" s="3">
        <v>80.926417067135105</v>
      </c>
      <c r="C2889" s="3">
        <v>-1.7730072650631901</v>
      </c>
      <c r="D2889" s="3">
        <v>0.46473343092091302</v>
      </c>
      <c r="E2889" s="3">
        <v>-3.81510592330276</v>
      </c>
      <c r="F2889" s="3">
        <v>1.3612453069622099E-4</v>
      </c>
      <c r="G2889" s="3">
        <v>1.06342005269051E-3</v>
      </c>
      <c r="H2889" s="3" t="str">
        <f>"AC145422.1"</f>
        <v>AC145422.1</v>
      </c>
      <c r="I2889" s="3" t="str">
        <f>"lincRNA"</f>
        <v>lincRNA</v>
      </c>
    </row>
    <row r="2890" spans="1:9" x14ac:dyDescent="0.2">
      <c r="A2890" s="3" t="str">
        <f>"ENSG00000188735.13"</f>
        <v>ENSG00000188735.13</v>
      </c>
      <c r="B2890" s="3">
        <v>926.16881078306096</v>
      </c>
      <c r="C2890" s="3">
        <v>1.1241831303908301</v>
      </c>
      <c r="D2890" s="3">
        <v>0.29170527006589297</v>
      </c>
      <c r="E2890" s="3">
        <v>3.8538320892759099</v>
      </c>
      <c r="F2890" s="3">
        <v>1.1628335789897901E-4</v>
      </c>
      <c r="G2890" s="3">
        <v>9.2772212748138804E-4</v>
      </c>
      <c r="H2890" s="3" t="str">
        <f>"TMEM120B"</f>
        <v>TMEM120B</v>
      </c>
      <c r="I2890" s="3" t="str">
        <f t="shared" ref="I2890:I2895" si="125">"protein_coding"</f>
        <v>protein_coding</v>
      </c>
    </row>
    <row r="2891" spans="1:9" x14ac:dyDescent="0.2">
      <c r="A2891" s="3" t="str">
        <f>"ENSG00000158023.10"</f>
        <v>ENSG00000158023.10</v>
      </c>
      <c r="B2891" s="3">
        <v>194.449670477545</v>
      </c>
      <c r="C2891" s="3">
        <v>2.1968647908988301</v>
      </c>
      <c r="D2891" s="3">
        <v>0.34442878238278501</v>
      </c>
      <c r="E2891" s="3">
        <v>6.3782845780214599</v>
      </c>
      <c r="F2891" s="4">
        <v>1.79082517453668E-10</v>
      </c>
      <c r="G2891" s="4">
        <v>3.9900980748866398E-9</v>
      </c>
      <c r="H2891" s="3" t="str">
        <f>"WDR66"</f>
        <v>WDR66</v>
      </c>
      <c r="I2891" s="3" t="str">
        <f t="shared" si="125"/>
        <v>protein_coding</v>
      </c>
    </row>
    <row r="2892" spans="1:9" x14ac:dyDescent="0.2">
      <c r="A2892" s="3" t="str">
        <f>"ENSG00000184445.12"</f>
        <v>ENSG00000184445.12</v>
      </c>
      <c r="B2892" s="3">
        <v>4067.2440625896802</v>
      </c>
      <c r="C2892" s="3">
        <v>-1.0020214029630199</v>
      </c>
      <c r="D2892" s="3">
        <v>0.25778661959774901</v>
      </c>
      <c r="E2892" s="3">
        <v>-3.88701866887651</v>
      </c>
      <c r="F2892" s="3">
        <v>1.01482951941721E-4</v>
      </c>
      <c r="G2892" s="3">
        <v>8.2268889980469898E-4</v>
      </c>
      <c r="H2892" s="3" t="str">
        <f>"KNTC1"</f>
        <v>KNTC1</v>
      </c>
      <c r="I2892" s="3" t="str">
        <f t="shared" si="125"/>
        <v>protein_coding</v>
      </c>
    </row>
    <row r="2893" spans="1:9" x14ac:dyDescent="0.2">
      <c r="A2893" s="3" t="str">
        <f>"ENSG00000182782.7"</f>
        <v>ENSG00000182782.7</v>
      </c>
      <c r="B2893" s="3">
        <v>173.37962268760799</v>
      </c>
      <c r="C2893" s="3">
        <v>3.8323663865504098</v>
      </c>
      <c r="D2893" s="3">
        <v>0.433242327109162</v>
      </c>
      <c r="E2893" s="3">
        <v>8.8457801713930504</v>
      </c>
      <c r="F2893" s="4">
        <v>9.0891031490453192E-19</v>
      </c>
      <c r="G2893" s="4">
        <v>4.4742933407873801E-17</v>
      </c>
      <c r="H2893" s="3" t="str">
        <f>"HCAR2"</f>
        <v>HCAR2</v>
      </c>
      <c r="I2893" s="3" t="str">
        <f t="shared" si="125"/>
        <v>protein_coding</v>
      </c>
    </row>
    <row r="2894" spans="1:9" x14ac:dyDescent="0.2">
      <c r="A2894" s="3" t="str">
        <f>"ENSG00000255398.2"</f>
        <v>ENSG00000255398.2</v>
      </c>
      <c r="B2894" s="3">
        <v>495.12853206897199</v>
      </c>
      <c r="C2894" s="3">
        <v>3.73171057666557</v>
      </c>
      <c r="D2894" s="3">
        <v>0.363969687115272</v>
      </c>
      <c r="E2894" s="3">
        <v>10.2528059582163</v>
      </c>
      <c r="F2894" s="4">
        <v>1.14956982049501E-24</v>
      </c>
      <c r="G2894" s="4">
        <v>8.6953194550969199E-23</v>
      </c>
      <c r="H2894" s="3" t="str">
        <f>"HCAR3"</f>
        <v>HCAR3</v>
      </c>
      <c r="I2894" s="3" t="str">
        <f t="shared" si="125"/>
        <v>protein_coding</v>
      </c>
    </row>
    <row r="2895" spans="1:9" x14ac:dyDescent="0.2">
      <c r="A2895" s="3" t="str">
        <f>"ENSG00000196917.5"</f>
        <v>ENSG00000196917.5</v>
      </c>
      <c r="B2895" s="3">
        <v>172.59529448939799</v>
      </c>
      <c r="C2895" s="3">
        <v>-1.8020955722719001</v>
      </c>
      <c r="D2895" s="3">
        <v>0.37352717511857703</v>
      </c>
      <c r="E2895" s="3">
        <v>-4.8245367199851401</v>
      </c>
      <c r="F2895" s="4">
        <v>1.40329063429264E-6</v>
      </c>
      <c r="G2895" s="4">
        <v>1.6922231977771599E-5</v>
      </c>
      <c r="H2895" s="3" t="str">
        <f>"HCAR1"</f>
        <v>HCAR1</v>
      </c>
      <c r="I2895" s="3" t="str">
        <f t="shared" si="125"/>
        <v>protein_coding</v>
      </c>
    </row>
    <row r="2896" spans="1:9" x14ac:dyDescent="0.2">
      <c r="A2896" s="3" t="str">
        <f>"ENSG00000280138.1"</f>
        <v>ENSG00000280138.1</v>
      </c>
      <c r="B2896" s="3">
        <v>546.30466231497996</v>
      </c>
      <c r="C2896" s="3">
        <v>1.6051336117851001</v>
      </c>
      <c r="D2896" s="3">
        <v>0.278850164318316</v>
      </c>
      <c r="E2896" s="3">
        <v>5.7562584397575902</v>
      </c>
      <c r="F2896" s="4">
        <v>8.5998694598180596E-9</v>
      </c>
      <c r="G2896" s="4">
        <v>1.5288319170439801E-7</v>
      </c>
      <c r="H2896" s="3" t="str">
        <f>"AC027290.2"</f>
        <v>AC027290.2</v>
      </c>
      <c r="I2896" s="3" t="str">
        <f>"TEC"</f>
        <v>TEC</v>
      </c>
    </row>
    <row r="2897" spans="1:9" x14ac:dyDescent="0.2">
      <c r="A2897" s="3" t="str">
        <f>"ENSG00000150967.18"</f>
        <v>ENSG00000150967.18</v>
      </c>
      <c r="B2897" s="3">
        <v>394.23235457267702</v>
      </c>
      <c r="C2897" s="3">
        <v>1.26753646683391</v>
      </c>
      <c r="D2897" s="3">
        <v>0.33645235180942401</v>
      </c>
      <c r="E2897" s="3">
        <v>3.7673580226654901</v>
      </c>
      <c r="F2897" s="3">
        <v>1.64984313205598E-4</v>
      </c>
      <c r="G2897" s="3">
        <v>1.2585655294240501E-3</v>
      </c>
      <c r="H2897" s="3" t="str">
        <f>"ABCB9"</f>
        <v>ABCB9</v>
      </c>
      <c r="I2897" s="3" t="str">
        <f>"protein_coding"</f>
        <v>protein_coding</v>
      </c>
    </row>
    <row r="2898" spans="1:9" x14ac:dyDescent="0.2">
      <c r="A2898" s="3" t="str">
        <f>"ENSG00000280381.1"</f>
        <v>ENSG00000280381.1</v>
      </c>
      <c r="B2898" s="3">
        <v>103.320996643859</v>
      </c>
      <c r="C2898" s="3">
        <v>1.94447817180522</v>
      </c>
      <c r="D2898" s="3">
        <v>0.43678922176256901</v>
      </c>
      <c r="E2898" s="3">
        <v>4.45175401526323</v>
      </c>
      <c r="F2898" s="4">
        <v>8.5171701342200107E-6</v>
      </c>
      <c r="G2898" s="4">
        <v>8.8863299347285098E-5</v>
      </c>
      <c r="H2898" s="3" t="str">
        <f>"AC026362.2"</f>
        <v>AC026362.2</v>
      </c>
      <c r="I2898" s="3" t="str">
        <f>"TEC"</f>
        <v>TEC</v>
      </c>
    </row>
    <row r="2899" spans="1:9" x14ac:dyDescent="0.2">
      <c r="A2899" s="3" t="str">
        <f>"ENSG00000256092.2"</f>
        <v>ENSG00000256092.2</v>
      </c>
      <c r="B2899" s="3">
        <v>157.640076520115</v>
      </c>
      <c r="C2899" s="3">
        <v>-1.89795534182847</v>
      </c>
      <c r="D2899" s="3">
        <v>0.39260938396373901</v>
      </c>
      <c r="E2899" s="3">
        <v>-4.8342077885834804</v>
      </c>
      <c r="F2899" s="4">
        <v>1.33676902666433E-6</v>
      </c>
      <c r="G2899" s="4">
        <v>1.6205505959393399E-5</v>
      </c>
      <c r="H2899" s="3" t="str">
        <f>"AC137767.1"</f>
        <v>AC137767.1</v>
      </c>
      <c r="I2899" s="3" t="str">
        <f>"lincRNA"</f>
        <v>lincRNA</v>
      </c>
    </row>
    <row r="2900" spans="1:9" x14ac:dyDescent="0.2">
      <c r="A2900" s="3" t="str">
        <f>"ENSG00000197653.15"</f>
        <v>ENSG00000197653.15</v>
      </c>
      <c r="B2900" s="3">
        <v>211.789726321541</v>
      </c>
      <c r="C2900" s="3">
        <v>2.8668320624364001</v>
      </c>
      <c r="D2900" s="3">
        <v>0.34881481316344398</v>
      </c>
      <c r="E2900" s="3">
        <v>8.2187795765803404</v>
      </c>
      <c r="F2900" s="4">
        <v>2.0558450194104899E-16</v>
      </c>
      <c r="G2900" s="4">
        <v>8.6191302438784607E-15</v>
      </c>
      <c r="H2900" s="3" t="str">
        <f>"DNAH10"</f>
        <v>DNAH10</v>
      </c>
      <c r="I2900" s="3" t="str">
        <f>"protein_coding"</f>
        <v>protein_coding</v>
      </c>
    </row>
    <row r="2901" spans="1:9" x14ac:dyDescent="0.2">
      <c r="A2901" s="3" t="str">
        <f>"ENSG00000270130.1"</f>
        <v>ENSG00000270130.1</v>
      </c>
      <c r="B2901" s="3">
        <v>67.733246051359004</v>
      </c>
      <c r="C2901" s="3">
        <v>1.27667443232212</v>
      </c>
      <c r="D2901" s="3">
        <v>0.46154313815390902</v>
      </c>
      <c r="E2901" s="3">
        <v>2.7660999087292102</v>
      </c>
      <c r="F2901" s="3">
        <v>5.6731151076382103E-3</v>
      </c>
      <c r="G2901" s="3">
        <v>2.6285599832086799E-2</v>
      </c>
      <c r="H2901" s="3" t="str">
        <f>"AC068790.7"</f>
        <v>AC068790.7</v>
      </c>
      <c r="I2901" s="3" t="str">
        <f>"sense_intronic"</f>
        <v>sense_intronic</v>
      </c>
    </row>
    <row r="2902" spans="1:9" x14ac:dyDescent="0.2">
      <c r="A2902" s="3" t="str">
        <f>"ENSG00000270048.1"</f>
        <v>ENSG00000270048.1</v>
      </c>
      <c r="B2902" s="3">
        <v>50.980526708205701</v>
      </c>
      <c r="C2902" s="3">
        <v>1.3842263463865701</v>
      </c>
      <c r="D2902" s="3">
        <v>0.53910367253221203</v>
      </c>
      <c r="E2902" s="3">
        <v>2.5676440672065</v>
      </c>
      <c r="F2902" s="3">
        <v>1.02392231728237E-2</v>
      </c>
      <c r="G2902" s="3">
        <v>4.3100344530184E-2</v>
      </c>
      <c r="H2902" s="3" t="str">
        <f>"AC068790.4"</f>
        <v>AC068790.4</v>
      </c>
      <c r="I2902" s="3" t="str">
        <f>"sense_intronic"</f>
        <v>sense_intronic</v>
      </c>
    </row>
    <row r="2903" spans="1:9" x14ac:dyDescent="0.2">
      <c r="A2903" s="3" t="str">
        <f>"ENSG00000196498.13"</f>
        <v>ENSG00000196498.13</v>
      </c>
      <c r="B2903" s="3">
        <v>9778.5348057501105</v>
      </c>
      <c r="C2903" s="3">
        <v>2.0764346443479398</v>
      </c>
      <c r="D2903" s="3">
        <v>0.30056664991027299</v>
      </c>
      <c r="E2903" s="3">
        <v>6.9084000003587001</v>
      </c>
      <c r="F2903" s="4">
        <v>4.9015030986696898E-12</v>
      </c>
      <c r="G2903" s="4">
        <v>1.31587311042728E-10</v>
      </c>
      <c r="H2903" s="3" t="str">
        <f>"NCOR2"</f>
        <v>NCOR2</v>
      </c>
      <c r="I2903" s="3" t="str">
        <f>"protein_coding"</f>
        <v>protein_coding</v>
      </c>
    </row>
    <row r="2904" spans="1:9" x14ac:dyDescent="0.2">
      <c r="A2904" s="3" t="str">
        <f>"ENSG00000184992.11"</f>
        <v>ENSG00000184992.11</v>
      </c>
      <c r="B2904" s="3">
        <v>3954.5589507649001</v>
      </c>
      <c r="C2904" s="3">
        <v>-1.06652969200922</v>
      </c>
      <c r="D2904" s="3">
        <v>0.236880974854177</v>
      </c>
      <c r="E2904" s="3">
        <v>-4.5023864523766504</v>
      </c>
      <c r="F2904" s="4">
        <v>6.7194656194262004E-6</v>
      </c>
      <c r="G2904" s="4">
        <v>7.1865713289398796E-5</v>
      </c>
      <c r="H2904" s="3" t="str">
        <f>"BRI3BP"</f>
        <v>BRI3BP</v>
      </c>
      <c r="I2904" s="3" t="str">
        <f>"protein_coding"</f>
        <v>protein_coding</v>
      </c>
    </row>
    <row r="2905" spans="1:9" x14ac:dyDescent="0.2">
      <c r="A2905" s="3" t="str">
        <f>"ENSG00000249267.6"</f>
        <v>ENSG00000249267.6</v>
      </c>
      <c r="B2905" s="3">
        <v>24.232463669146</v>
      </c>
      <c r="C2905" s="3">
        <v>2.6422910188627902</v>
      </c>
      <c r="D2905" s="3">
        <v>0.75513865782225698</v>
      </c>
      <c r="E2905" s="3">
        <v>3.4990805880378102</v>
      </c>
      <c r="F2905" s="3">
        <v>4.6686545236564398E-4</v>
      </c>
      <c r="G2905" s="3">
        <v>3.1502147141249399E-3</v>
      </c>
      <c r="H2905" s="3" t="str">
        <f>"LINC00939"</f>
        <v>LINC00939</v>
      </c>
      <c r="I2905" s="3" t="str">
        <f>"lincRNA"</f>
        <v>lincRNA</v>
      </c>
    </row>
    <row r="2906" spans="1:9" x14ac:dyDescent="0.2">
      <c r="A2906" s="3" t="str">
        <f>"ENSG00000256128.5"</f>
        <v>ENSG00000256128.5</v>
      </c>
      <c r="B2906" s="3">
        <v>8.2228808292993794</v>
      </c>
      <c r="C2906" s="3">
        <v>-4.9239263191940204</v>
      </c>
      <c r="D2906" s="3">
        <v>1.7852850546380199</v>
      </c>
      <c r="E2906" s="3">
        <v>-2.7580616923902799</v>
      </c>
      <c r="F2906" s="3">
        <v>5.8145223270556802E-3</v>
      </c>
      <c r="G2906" s="3">
        <v>2.6807974548586098E-2</v>
      </c>
      <c r="H2906" s="3" t="str">
        <f>"LINC00944"</f>
        <v>LINC00944</v>
      </c>
      <c r="I2906" s="3" t="str">
        <f>"lincRNA"</f>
        <v>lincRNA</v>
      </c>
    </row>
    <row r="2907" spans="1:9" x14ac:dyDescent="0.2">
      <c r="A2907" s="3" t="str">
        <f>"ENSG00000151948.12"</f>
        <v>ENSG00000151948.12</v>
      </c>
      <c r="B2907" s="3">
        <v>16.099191304283099</v>
      </c>
      <c r="C2907" s="3">
        <v>3.99671646567537</v>
      </c>
      <c r="D2907" s="3">
        <v>1.06292251499235</v>
      </c>
      <c r="E2907" s="3">
        <v>3.7601202432936698</v>
      </c>
      <c r="F2907" s="3">
        <v>1.69831705918769E-4</v>
      </c>
      <c r="G2907" s="3">
        <v>1.29066965631016E-3</v>
      </c>
      <c r="H2907" s="3" t="str">
        <f>"GLT1D1"</f>
        <v>GLT1D1</v>
      </c>
      <c r="I2907" s="3" t="str">
        <f>"protein_coding"</f>
        <v>protein_coding</v>
      </c>
    </row>
    <row r="2908" spans="1:9" x14ac:dyDescent="0.2">
      <c r="A2908" s="3" t="str">
        <f>"ENSG00000111452.13"</f>
        <v>ENSG00000111452.13</v>
      </c>
      <c r="B2908" s="3">
        <v>67.414590943606299</v>
      </c>
      <c r="C2908" s="3">
        <v>1.4022415636869101</v>
      </c>
      <c r="D2908" s="3">
        <v>0.46566310000660799</v>
      </c>
      <c r="E2908" s="3">
        <v>3.0112791064334199</v>
      </c>
      <c r="F2908" s="3">
        <v>2.6014960683469501E-3</v>
      </c>
      <c r="G2908" s="3">
        <v>1.36533765072538E-2</v>
      </c>
      <c r="H2908" s="3" t="str">
        <f>"ADGRD1"</f>
        <v>ADGRD1</v>
      </c>
      <c r="I2908" s="3" t="str">
        <f>"protein_coding"</f>
        <v>protein_coding</v>
      </c>
    </row>
    <row r="2909" spans="1:9" x14ac:dyDescent="0.2">
      <c r="A2909" s="3" t="str">
        <f>"ENSG00000177169.10"</f>
        <v>ENSG00000177169.10</v>
      </c>
      <c r="B2909" s="3">
        <v>1701.6357952299199</v>
      </c>
      <c r="C2909" s="3">
        <v>1.14558167685948</v>
      </c>
      <c r="D2909" s="3">
        <v>0.30341706757207298</v>
      </c>
      <c r="E2909" s="3">
        <v>3.7756006477366899</v>
      </c>
      <c r="F2909" s="3">
        <v>1.5962255447112E-4</v>
      </c>
      <c r="G2909" s="3">
        <v>1.2249253684322801E-3</v>
      </c>
      <c r="H2909" s="3" t="str">
        <f>"ULK1"</f>
        <v>ULK1</v>
      </c>
      <c r="I2909" s="3" t="str">
        <f>"protein_coding"</f>
        <v>protein_coding</v>
      </c>
    </row>
    <row r="2910" spans="1:9" x14ac:dyDescent="0.2">
      <c r="A2910" s="3" t="str">
        <f>"ENSG00000279283.1"</f>
        <v>ENSG00000279283.1</v>
      </c>
      <c r="B2910" s="3">
        <v>100.714687266547</v>
      </c>
      <c r="C2910" s="3">
        <v>1.57030832340988</v>
      </c>
      <c r="D2910" s="3">
        <v>0.47671306508040301</v>
      </c>
      <c r="E2910" s="3">
        <v>3.2940324871210001</v>
      </c>
      <c r="F2910" s="3">
        <v>9.8761083208895794E-4</v>
      </c>
      <c r="G2910" s="3">
        <v>6.0357994366369598E-3</v>
      </c>
      <c r="H2910" s="3" t="str">
        <f>"AC131009.4"</f>
        <v>AC131009.4</v>
      </c>
      <c r="I2910" s="3" t="str">
        <f>"TEC"</f>
        <v>TEC</v>
      </c>
    </row>
    <row r="2911" spans="1:9" x14ac:dyDescent="0.2">
      <c r="A2911" s="3" t="str">
        <f>"ENSG00000182870.13"</f>
        <v>ENSG00000182870.13</v>
      </c>
      <c r="B2911" s="3">
        <v>15.007590204128199</v>
      </c>
      <c r="C2911" s="3">
        <v>4.3455355085333096</v>
      </c>
      <c r="D2911" s="3">
        <v>1.1668138418176</v>
      </c>
      <c r="E2911" s="3">
        <v>3.7242749038390599</v>
      </c>
      <c r="F2911" s="3">
        <v>1.95877393176099E-4</v>
      </c>
      <c r="G2911" s="3">
        <v>1.4660207751695301E-3</v>
      </c>
      <c r="H2911" s="3" t="str">
        <f>"GALNT9"</f>
        <v>GALNT9</v>
      </c>
      <c r="I2911" s="3" t="str">
        <f>"protein_coding"</f>
        <v>protein_coding</v>
      </c>
    </row>
    <row r="2912" spans="1:9" x14ac:dyDescent="0.2">
      <c r="A2912" s="3" t="str">
        <f>"ENSG00000279480.1"</f>
        <v>ENSG00000279480.1</v>
      </c>
      <c r="B2912" s="3">
        <v>11.6455303249518</v>
      </c>
      <c r="C2912" s="3">
        <v>7.0602419009640398</v>
      </c>
      <c r="D2912" s="3">
        <v>1.7189822633976799</v>
      </c>
      <c r="E2912" s="3">
        <v>4.1072220762819196</v>
      </c>
      <c r="F2912" s="4">
        <v>4.00446173221512E-5</v>
      </c>
      <c r="G2912" s="3">
        <v>3.5873303017760398E-4</v>
      </c>
      <c r="H2912" s="3" t="str">
        <f>"AC138466.4"</f>
        <v>AC138466.4</v>
      </c>
      <c r="I2912" s="3" t="str">
        <f>"TEC"</f>
        <v>TEC</v>
      </c>
    </row>
    <row r="2913" spans="1:9" x14ac:dyDescent="0.2">
      <c r="A2913" s="3" t="str">
        <f>"ENSG00000274373.1"</f>
        <v>ENSG00000274373.1</v>
      </c>
      <c r="B2913" s="3">
        <v>41.105600881696603</v>
      </c>
      <c r="C2913" s="3">
        <v>2.1875204397005601</v>
      </c>
      <c r="D2913" s="3">
        <v>0.61281854870095398</v>
      </c>
      <c r="E2913" s="3">
        <v>3.56960546370152</v>
      </c>
      <c r="F2913" s="3">
        <v>3.57519265910898E-4</v>
      </c>
      <c r="G2913" s="3">
        <v>2.49955451194793E-3</v>
      </c>
      <c r="H2913" s="3" t="str">
        <f>"AC148476.1"</f>
        <v>AC148476.1</v>
      </c>
      <c r="I2913" s="3" t="str">
        <f>"lincRNA"</f>
        <v>lincRNA</v>
      </c>
    </row>
    <row r="2914" spans="1:9" x14ac:dyDescent="0.2">
      <c r="A2914" s="3" t="str">
        <f>"ENSG00000112787.13"</f>
        <v>ENSG00000112787.13</v>
      </c>
      <c r="B2914" s="3">
        <v>2121.4072937588198</v>
      </c>
      <c r="C2914" s="3">
        <v>1.1167082610088599</v>
      </c>
      <c r="D2914" s="3">
        <v>0.29024920012653199</v>
      </c>
      <c r="E2914" s="3">
        <v>3.84741201878261</v>
      </c>
      <c r="F2914" s="3">
        <v>1.19372123932999E-4</v>
      </c>
      <c r="G2914" s="3">
        <v>9.5025499289069001E-4</v>
      </c>
      <c r="H2914" s="3" t="str">
        <f>"FBRSL1"</f>
        <v>FBRSL1</v>
      </c>
      <c r="I2914" s="3" t="str">
        <f>"protein_coding"</f>
        <v>protein_coding</v>
      </c>
    </row>
    <row r="2915" spans="1:9" x14ac:dyDescent="0.2">
      <c r="A2915" s="3" t="str">
        <f>"ENSG00000280287.1"</f>
        <v>ENSG00000280287.1</v>
      </c>
      <c r="B2915" s="3">
        <v>279.341783913732</v>
      </c>
      <c r="C2915" s="3">
        <v>2.0127971448018398</v>
      </c>
      <c r="D2915" s="3">
        <v>0.34439993351426801</v>
      </c>
      <c r="E2915" s="3">
        <v>5.8443598529860301</v>
      </c>
      <c r="F2915" s="4">
        <v>5.0851994695644299E-9</v>
      </c>
      <c r="G2915" s="4">
        <v>9.3919377868497305E-8</v>
      </c>
      <c r="H2915" s="3" t="str">
        <f>"AC131212.3"</f>
        <v>AC131212.3</v>
      </c>
      <c r="I2915" s="3" t="str">
        <f>"TEC"</f>
        <v>TEC</v>
      </c>
    </row>
    <row r="2916" spans="1:9" x14ac:dyDescent="0.2">
      <c r="A2916" s="3" t="str">
        <f>"ENSG00000279700.1"</f>
        <v>ENSG00000279700.1</v>
      </c>
      <c r="B2916" s="3">
        <v>110.333302145746</v>
      </c>
      <c r="C2916" s="3">
        <v>2.0368360415410498</v>
      </c>
      <c r="D2916" s="3">
        <v>0.45602555554676899</v>
      </c>
      <c r="E2916" s="3">
        <v>4.46649538993249</v>
      </c>
      <c r="F2916" s="4">
        <v>7.9511374809275693E-6</v>
      </c>
      <c r="G2916" s="4">
        <v>8.3616581660841502E-5</v>
      </c>
      <c r="H2916" s="3" t="str">
        <f>"AC131212.2"</f>
        <v>AC131212.2</v>
      </c>
      <c r="I2916" s="3" t="str">
        <f>"TEC"</f>
        <v>TEC</v>
      </c>
    </row>
    <row r="2917" spans="1:9" x14ac:dyDescent="0.2">
      <c r="A2917" s="3" t="str">
        <f>"ENSG00000121743.4"</f>
        <v>ENSG00000121743.4</v>
      </c>
      <c r="B2917" s="3">
        <v>82.387571415329205</v>
      </c>
      <c r="C2917" s="3">
        <v>1.3741865848414001</v>
      </c>
      <c r="D2917" s="3">
        <v>0.46414629211014702</v>
      </c>
      <c r="E2917" s="3">
        <v>2.9606755632883299</v>
      </c>
      <c r="F2917" s="3">
        <v>3.0696511255895102E-3</v>
      </c>
      <c r="G2917" s="3">
        <v>1.5720088368119702E-2</v>
      </c>
      <c r="H2917" s="3" t="str">
        <f>"GJA3"</f>
        <v>GJA3</v>
      </c>
      <c r="I2917" s="3" t="str">
        <f>"protein_coding"</f>
        <v>protein_coding</v>
      </c>
    </row>
    <row r="2918" spans="1:9" x14ac:dyDescent="0.2">
      <c r="A2918" s="3" t="str">
        <f>"ENSG00000165474.7"</f>
        <v>ENSG00000165474.7</v>
      </c>
      <c r="B2918" s="3">
        <v>49.9409871097481</v>
      </c>
      <c r="C2918" s="3">
        <v>-3.35646442581892</v>
      </c>
      <c r="D2918" s="3">
        <v>0.60699256330657603</v>
      </c>
      <c r="E2918" s="3">
        <v>-5.5296631766535498</v>
      </c>
      <c r="F2918" s="4">
        <v>3.2084623199592198E-8</v>
      </c>
      <c r="G2918" s="4">
        <v>5.2070238489402699E-7</v>
      </c>
      <c r="H2918" s="3" t="str">
        <f>"GJB2"</f>
        <v>GJB2</v>
      </c>
      <c r="I2918" s="3" t="str">
        <f>"protein_coding"</f>
        <v>protein_coding</v>
      </c>
    </row>
    <row r="2919" spans="1:9" x14ac:dyDescent="0.2">
      <c r="A2919" s="3" t="str">
        <f>"ENSG00000172458.4"</f>
        <v>ENSG00000172458.4</v>
      </c>
      <c r="B2919" s="3">
        <v>43.172929484510398</v>
      </c>
      <c r="C2919" s="3">
        <v>-1.72940459717533</v>
      </c>
      <c r="D2919" s="3">
        <v>0.56168693607061204</v>
      </c>
      <c r="E2919" s="3">
        <v>-3.0789475170523</v>
      </c>
      <c r="F2919" s="3">
        <v>2.07733273663272E-3</v>
      </c>
      <c r="G2919" s="3">
        <v>1.13155705911642E-2</v>
      </c>
      <c r="H2919" s="3" t="str">
        <f>"IL17D"</f>
        <v>IL17D</v>
      </c>
      <c r="I2919" s="3" t="str">
        <f>"protein_coding"</f>
        <v>protein_coding</v>
      </c>
    </row>
    <row r="2920" spans="1:9" x14ac:dyDescent="0.2">
      <c r="A2920" s="3" t="str">
        <f>"ENSG00000165480.16"</f>
        <v>ENSG00000165480.16</v>
      </c>
      <c r="B2920" s="3">
        <v>761.41019273998597</v>
      </c>
      <c r="C2920" s="3">
        <v>-1.54967326207445</v>
      </c>
      <c r="D2920" s="3">
        <v>0.31737231496500001</v>
      </c>
      <c r="E2920" s="3">
        <v>-4.8828243328198004</v>
      </c>
      <c r="F2920" s="4">
        <v>1.0457703023807901E-6</v>
      </c>
      <c r="G2920" s="4">
        <v>1.30423162897317E-5</v>
      </c>
      <c r="H2920" s="3" t="str">
        <f>"SKA3"</f>
        <v>SKA3</v>
      </c>
      <c r="I2920" s="3" t="str">
        <f>"protein_coding"</f>
        <v>protein_coding</v>
      </c>
    </row>
    <row r="2921" spans="1:9" x14ac:dyDescent="0.2">
      <c r="A2921" s="3" t="str">
        <f>"ENSG00000205861.11"</f>
        <v>ENSG00000205861.11</v>
      </c>
      <c r="B2921" s="3">
        <v>67.690344559384599</v>
      </c>
      <c r="C2921" s="3">
        <v>-2.52206441741308</v>
      </c>
      <c r="D2921" s="3">
        <v>0.489696001979259</v>
      </c>
      <c r="E2921" s="3">
        <v>-5.1502654855652699</v>
      </c>
      <c r="F2921" s="4">
        <v>2.60117993922783E-7</v>
      </c>
      <c r="G2921" s="4">
        <v>3.6291004642970601E-6</v>
      </c>
      <c r="H2921" s="3" t="str">
        <f>"PCOTH"</f>
        <v>PCOTH</v>
      </c>
      <c r="I2921" s="3" t="str">
        <f>"processed_transcript"</f>
        <v>processed_transcript</v>
      </c>
    </row>
    <row r="2922" spans="1:9" x14ac:dyDescent="0.2">
      <c r="A2922" s="3" t="str">
        <f>"ENSG00000132970.12"</f>
        <v>ENSG00000132970.12</v>
      </c>
      <c r="B2922" s="3">
        <v>1298.93219282059</v>
      </c>
      <c r="C2922" s="3">
        <v>-1.27523038963067</v>
      </c>
      <c r="D2922" s="3">
        <v>0.25016538918869602</v>
      </c>
      <c r="E2922" s="3">
        <v>-5.0975492403898404</v>
      </c>
      <c r="F2922" s="4">
        <v>3.44078932317506E-7</v>
      </c>
      <c r="G2922" s="4">
        <v>4.6810738466451403E-6</v>
      </c>
      <c r="H2922" s="3" t="str">
        <f>"WASF3"</f>
        <v>WASF3</v>
      </c>
      <c r="I2922" s="3" t="str">
        <f>"protein_coding"</f>
        <v>protein_coding</v>
      </c>
    </row>
    <row r="2923" spans="1:9" x14ac:dyDescent="0.2">
      <c r="A2923" s="3" t="str">
        <f>"ENSG00000232587.1"</f>
        <v>ENSG00000232587.1</v>
      </c>
      <c r="B2923" s="3">
        <v>72.849437501698105</v>
      </c>
      <c r="C2923" s="3">
        <v>1.25884171499051</v>
      </c>
      <c r="D2923" s="3">
        <v>0.44997463818897498</v>
      </c>
      <c r="E2923" s="3">
        <v>2.7975837039549698</v>
      </c>
      <c r="F2923" s="3">
        <v>5.1486424643934102E-3</v>
      </c>
      <c r="G2923" s="3">
        <v>2.4299080899027398E-2</v>
      </c>
      <c r="H2923" s="3" t="str">
        <f>"EEF1A1P3"</f>
        <v>EEF1A1P3</v>
      </c>
      <c r="I2923" s="3" t="str">
        <f>"processed_pseudogene"</f>
        <v>processed_pseudogene</v>
      </c>
    </row>
    <row r="2924" spans="1:9" x14ac:dyDescent="0.2">
      <c r="A2924" s="3" t="str">
        <f>"ENSG00000132952.12"</f>
        <v>ENSG00000132952.12</v>
      </c>
      <c r="B2924" s="3">
        <v>673.09073514235399</v>
      </c>
      <c r="C2924" s="3">
        <v>1.3631473121058599</v>
      </c>
      <c r="D2924" s="3">
        <v>0.27988901885942402</v>
      </c>
      <c r="E2924" s="3">
        <v>4.8703136609675504</v>
      </c>
      <c r="F2924" s="4">
        <v>1.11421233883516E-6</v>
      </c>
      <c r="G2924" s="4">
        <v>1.37865279800288E-5</v>
      </c>
      <c r="H2924" s="3" t="str">
        <f>"USPL1"</f>
        <v>USPL1</v>
      </c>
      <c r="I2924" s="3" t="str">
        <f>"protein_coding"</f>
        <v>protein_coding</v>
      </c>
    </row>
    <row r="2925" spans="1:9" x14ac:dyDescent="0.2">
      <c r="A2925" s="3" t="str">
        <f>"ENSG00000189167.11"</f>
        <v>ENSG00000189167.11</v>
      </c>
      <c r="B2925" s="3">
        <v>13.306341105654401</v>
      </c>
      <c r="C2925" s="3">
        <v>-2.9172740928720402</v>
      </c>
      <c r="D2925" s="3">
        <v>1.02496424298071</v>
      </c>
      <c r="E2925" s="3">
        <v>-2.84622035632021</v>
      </c>
      <c r="F2925" s="3">
        <v>4.4241568305750101E-3</v>
      </c>
      <c r="G2925" s="3">
        <v>2.1414213021572901E-2</v>
      </c>
      <c r="H2925" s="3" t="str">
        <f>"ZAR1L"</f>
        <v>ZAR1L</v>
      </c>
      <c r="I2925" s="3" t="str">
        <f>"protein_coding"</f>
        <v>protein_coding</v>
      </c>
    </row>
    <row r="2926" spans="1:9" x14ac:dyDescent="0.2">
      <c r="A2926" s="3" t="str">
        <f>"ENSG00000139618.14"</f>
        <v>ENSG00000139618.14</v>
      </c>
      <c r="B2926" s="3">
        <v>3018.7326482264298</v>
      </c>
      <c r="C2926" s="3">
        <v>-1.15958456397084</v>
      </c>
      <c r="D2926" s="3">
        <v>0.27038270170782702</v>
      </c>
      <c r="E2926" s="3">
        <v>-4.2886788120930897</v>
      </c>
      <c r="F2926" s="4">
        <v>1.79739067036725E-5</v>
      </c>
      <c r="G2926" s="3">
        <v>1.74165494272297E-4</v>
      </c>
      <c r="H2926" s="3" t="str">
        <f>"BRCA2"</f>
        <v>BRCA2</v>
      </c>
      <c r="I2926" s="3" t="str">
        <f>"protein_coding"</f>
        <v>protein_coding</v>
      </c>
    </row>
    <row r="2927" spans="1:9" x14ac:dyDescent="0.2">
      <c r="A2927" s="3" t="str">
        <f>"ENSG00000139597.18"</f>
        <v>ENSG00000139597.18</v>
      </c>
      <c r="B2927" s="3">
        <v>1452.9883320080601</v>
      </c>
      <c r="C2927" s="3">
        <v>1.05880807305703</v>
      </c>
      <c r="D2927" s="3">
        <v>0.26163523491852397</v>
      </c>
      <c r="E2927" s="3">
        <v>4.04688639657709</v>
      </c>
      <c r="F2927" s="4">
        <v>5.1903415069041001E-5</v>
      </c>
      <c r="G2927" s="3">
        <v>4.5397441100894498E-4</v>
      </c>
      <c r="H2927" s="3" t="str">
        <f>"N4BP2L1"</f>
        <v>N4BP2L1</v>
      </c>
      <c r="I2927" s="3" t="str">
        <f>"protein_coding"</f>
        <v>protein_coding</v>
      </c>
    </row>
    <row r="2928" spans="1:9" x14ac:dyDescent="0.2">
      <c r="A2928" s="3" t="str">
        <f>"ENSG00000230490.2"</f>
        <v>ENSG00000230490.2</v>
      </c>
      <c r="B2928" s="3">
        <v>78.7017580092391</v>
      </c>
      <c r="C2928" s="3">
        <v>1.11878324188178</v>
      </c>
      <c r="D2928" s="3">
        <v>0.43784764575165602</v>
      </c>
      <c r="E2928" s="3">
        <v>2.5551884376611298</v>
      </c>
      <c r="F2928" s="3">
        <v>1.0613032540958699E-2</v>
      </c>
      <c r="G2928" s="3">
        <v>4.4354682433596401E-2</v>
      </c>
      <c r="H2928" s="3" t="str">
        <f>"AL139383.1"</f>
        <v>AL139383.1</v>
      </c>
      <c r="I2928" s="3" t="str">
        <f>"lincRNA"</f>
        <v>lincRNA</v>
      </c>
    </row>
    <row r="2929" spans="1:9" x14ac:dyDescent="0.2">
      <c r="A2929" s="3" t="str">
        <f>"ENSG00000133119.13"</f>
        <v>ENSG00000133119.13</v>
      </c>
      <c r="B2929" s="3">
        <v>2307.7789588965302</v>
      </c>
      <c r="C2929" s="3">
        <v>-1.00143255372268</v>
      </c>
      <c r="D2929" s="3">
        <v>0.269924979743493</v>
      </c>
      <c r="E2929" s="3">
        <v>-3.7100403033254898</v>
      </c>
      <c r="F2929" s="3">
        <v>2.07226255082794E-4</v>
      </c>
      <c r="G2929" s="3">
        <v>1.5411596033656899E-3</v>
      </c>
      <c r="H2929" s="3" t="str">
        <f>"RFC3"</f>
        <v>RFC3</v>
      </c>
      <c r="I2929" s="3" t="str">
        <f>"protein_coding"</f>
        <v>protein_coding</v>
      </c>
    </row>
    <row r="2930" spans="1:9" x14ac:dyDescent="0.2">
      <c r="A2930" s="3" t="str">
        <f>"ENSG00000274317.1"</f>
        <v>ENSG00000274317.1</v>
      </c>
      <c r="B2930" s="3">
        <v>485.29614871048398</v>
      </c>
      <c r="C2930" s="3">
        <v>8.4045696318067904</v>
      </c>
      <c r="D2930" s="3">
        <v>0.65383454845774902</v>
      </c>
      <c r="E2930" s="3">
        <v>12.8542758280842</v>
      </c>
      <c r="F2930" s="4">
        <v>8.1384440210365402E-38</v>
      </c>
      <c r="G2930" s="4">
        <v>1.2185866627927001E-35</v>
      </c>
      <c r="H2930" s="3" t="str">
        <f>"LINC02334"</f>
        <v>LINC02334</v>
      </c>
      <c r="I2930" s="3" t="str">
        <f>"lincRNA"</f>
        <v>lincRNA</v>
      </c>
    </row>
    <row r="2931" spans="1:9" x14ac:dyDescent="0.2">
      <c r="A2931" s="3" t="str">
        <f>"ENSG00000223685.5"</f>
        <v>ENSG00000223685.5</v>
      </c>
      <c r="B2931" s="3">
        <v>66.349568942932393</v>
      </c>
      <c r="C2931" s="3">
        <v>1.75927300190277</v>
      </c>
      <c r="D2931" s="3">
        <v>0.488162106672965</v>
      </c>
      <c r="E2931" s="3">
        <v>3.6038704722350698</v>
      </c>
      <c r="F2931" s="3">
        <v>3.1351334028924602E-4</v>
      </c>
      <c r="G2931" s="3">
        <v>2.2303246818370999E-3</v>
      </c>
      <c r="H2931" s="3" t="str">
        <f>"LINC00571"</f>
        <v>LINC00571</v>
      </c>
      <c r="I2931" s="3" t="str">
        <f>"lincRNA"</f>
        <v>lincRNA</v>
      </c>
    </row>
    <row r="2932" spans="1:9" x14ac:dyDescent="0.2">
      <c r="A2932" s="3" t="str">
        <f>"ENSG00000120686.12"</f>
        <v>ENSG00000120686.12</v>
      </c>
      <c r="B2932" s="3">
        <v>3676.2190934481901</v>
      </c>
      <c r="C2932" s="3">
        <v>1.87468138353608</v>
      </c>
      <c r="D2932" s="3">
        <v>0.24565497737140499</v>
      </c>
      <c r="E2932" s="3">
        <v>7.6313592486333199</v>
      </c>
      <c r="F2932" s="4">
        <v>2.3229136357469899E-14</v>
      </c>
      <c r="G2932" s="4">
        <v>7.8750528985465701E-13</v>
      </c>
      <c r="H2932" s="3" t="str">
        <f>"UFM1"</f>
        <v>UFM1</v>
      </c>
      <c r="I2932" s="3" t="str">
        <f>"protein_coding"</f>
        <v>protein_coding</v>
      </c>
    </row>
    <row r="2933" spans="1:9" x14ac:dyDescent="0.2">
      <c r="A2933" s="3" t="str">
        <f>"ENSG00000215483.10"</f>
        <v>ENSG00000215483.10</v>
      </c>
      <c r="B2933" s="3">
        <v>337.59677640984501</v>
      </c>
      <c r="C2933" s="3">
        <v>-1.57434415304308</v>
      </c>
      <c r="D2933" s="3">
        <v>0.310776161110911</v>
      </c>
      <c r="E2933" s="3">
        <v>-5.0658459368806801</v>
      </c>
      <c r="F2933" s="4">
        <v>4.0659066269337599E-7</v>
      </c>
      <c r="G2933" s="4">
        <v>5.4840686970787597E-6</v>
      </c>
      <c r="H2933" s="3" t="str">
        <f>"LINC00598"</f>
        <v>LINC00598</v>
      </c>
      <c r="I2933" s="3" t="str">
        <f>"lincRNA"</f>
        <v>lincRNA</v>
      </c>
    </row>
    <row r="2934" spans="1:9" x14ac:dyDescent="0.2">
      <c r="A2934" s="3" t="str">
        <f>"ENSG00000102760.13"</f>
        <v>ENSG00000102760.13</v>
      </c>
      <c r="B2934" s="3">
        <v>171.606162716927</v>
      </c>
      <c r="C2934" s="3">
        <v>-2.8099706000062699</v>
      </c>
      <c r="D2934" s="3">
        <v>0.36431051528792402</v>
      </c>
      <c r="E2934" s="3">
        <v>-7.7131196660230197</v>
      </c>
      <c r="F2934" s="4">
        <v>1.22778864399262E-14</v>
      </c>
      <c r="G2934" s="4">
        <v>4.3015352840716498E-13</v>
      </c>
      <c r="H2934" s="3" t="str">
        <f>"RGCC"</f>
        <v>RGCC</v>
      </c>
      <c r="I2934" s="3" t="str">
        <f>"protein_coding"</f>
        <v>protein_coding</v>
      </c>
    </row>
    <row r="2935" spans="1:9" x14ac:dyDescent="0.2">
      <c r="A2935" s="3" t="str">
        <f>"ENSG00000102780.16"</f>
        <v>ENSG00000102780.16</v>
      </c>
      <c r="B2935" s="3">
        <v>206.26142778549499</v>
      </c>
      <c r="C2935" s="3">
        <v>-1.2125444747591501</v>
      </c>
      <c r="D2935" s="3">
        <v>0.33910085551428398</v>
      </c>
      <c r="E2935" s="3">
        <v>-3.5757635377244799</v>
      </c>
      <c r="F2935" s="3">
        <v>3.4920719060532799E-4</v>
      </c>
      <c r="G2935" s="3">
        <v>2.4496115113432902E-3</v>
      </c>
      <c r="H2935" s="3" t="str">
        <f>"DGKH"</f>
        <v>DGKH</v>
      </c>
      <c r="I2935" s="3" t="str">
        <f>"protein_coding"</f>
        <v>protein_coding</v>
      </c>
    </row>
    <row r="2936" spans="1:9" x14ac:dyDescent="0.2">
      <c r="A2936" s="3" t="str">
        <f>"ENSG00000151773.13"</f>
        <v>ENSG00000151773.13</v>
      </c>
      <c r="B2936" s="3">
        <v>410.150528125633</v>
      </c>
      <c r="C2936" s="3">
        <v>2.0231688713303702</v>
      </c>
      <c r="D2936" s="3">
        <v>0.29405221992130198</v>
      </c>
      <c r="E2936" s="3">
        <v>6.8803047019057804</v>
      </c>
      <c r="F2936" s="4">
        <v>5.9724673850993801E-12</v>
      </c>
      <c r="G2936" s="4">
        <v>1.5797806014995701E-10</v>
      </c>
      <c r="H2936" s="3" t="str">
        <f>"CCDC122"</f>
        <v>CCDC122</v>
      </c>
      <c r="I2936" s="3" t="str">
        <f>"protein_coding"</f>
        <v>protein_coding</v>
      </c>
    </row>
    <row r="2937" spans="1:9" x14ac:dyDescent="0.2">
      <c r="A2937" s="3" t="str">
        <f>"ENSG00000274001.1"</f>
        <v>ENSG00000274001.1</v>
      </c>
      <c r="B2937" s="3">
        <v>40.058132138745499</v>
      </c>
      <c r="C2937" s="3">
        <v>1.56995116970466</v>
      </c>
      <c r="D2937" s="3">
        <v>0.61643186735349598</v>
      </c>
      <c r="E2937" s="3">
        <v>2.5468364840462798</v>
      </c>
      <c r="F2937" s="3">
        <v>1.0870435585638501E-2</v>
      </c>
      <c r="G2937" s="3">
        <v>4.5272484628598703E-2</v>
      </c>
      <c r="H2937" s="3" t="str">
        <f>"AL512506.1"</f>
        <v>AL512506.1</v>
      </c>
      <c r="I2937" s="3" t="str">
        <f>"sense_intronic"</f>
        <v>sense_intronic</v>
      </c>
    </row>
    <row r="2938" spans="1:9" x14ac:dyDescent="0.2">
      <c r="A2938" s="3" t="str">
        <f>"ENSG00000179630.11"</f>
        <v>ENSG00000179630.11</v>
      </c>
      <c r="B2938" s="3">
        <v>1020.43521169191</v>
      </c>
      <c r="C2938" s="3">
        <v>3.4232361315919499</v>
      </c>
      <c r="D2938" s="3">
        <v>0.28513917861981802</v>
      </c>
      <c r="E2938" s="3">
        <v>12.0054920132748</v>
      </c>
      <c r="F2938" s="4">
        <v>3.3248068647229998E-33</v>
      </c>
      <c r="G2938" s="4">
        <v>3.8720146612086599E-31</v>
      </c>
      <c r="H2938" s="3" t="str">
        <f>"LACC1"</f>
        <v>LACC1</v>
      </c>
      <c r="I2938" s="3" t="str">
        <f>"protein_coding"</f>
        <v>protein_coding</v>
      </c>
    </row>
    <row r="2939" spans="1:9" x14ac:dyDescent="0.2">
      <c r="A2939" s="3" t="str">
        <f>"ENSG00000281883.1"</f>
        <v>ENSG00000281883.1</v>
      </c>
      <c r="B2939" s="3">
        <v>16.777413877586799</v>
      </c>
      <c r="C2939" s="3">
        <v>4.5362999068619096</v>
      </c>
      <c r="D2939" s="3">
        <v>1.1770087694836999</v>
      </c>
      <c r="E2939" s="3">
        <v>3.8540918508634099</v>
      </c>
      <c r="F2939" s="3">
        <v>1.1615998434574499E-4</v>
      </c>
      <c r="G2939" s="3">
        <v>9.2703185476434398E-4</v>
      </c>
      <c r="H2939" s="3" t="str">
        <f>"AL512506.3"</f>
        <v>AL512506.3</v>
      </c>
      <c r="I2939" s="3" t="str">
        <f>"protein_coding"</f>
        <v>protein_coding</v>
      </c>
    </row>
    <row r="2940" spans="1:9" x14ac:dyDescent="0.2">
      <c r="A2940" s="3" t="str">
        <f>"ENSG00000179611.3"</f>
        <v>ENSG00000179611.3</v>
      </c>
      <c r="B2940" s="3">
        <v>361.52727572749802</v>
      </c>
      <c r="C2940" s="3">
        <v>1.0772622070300399</v>
      </c>
      <c r="D2940" s="3">
        <v>0.32336276878264397</v>
      </c>
      <c r="E2940" s="3">
        <v>3.3314354991627</v>
      </c>
      <c r="F2940" s="3">
        <v>8.6399319800081298E-4</v>
      </c>
      <c r="G2940" s="3">
        <v>5.3897152863708504E-3</v>
      </c>
      <c r="H2940" s="3" t="str">
        <f>"DGKZP1"</f>
        <v>DGKZP1</v>
      </c>
      <c r="I2940" s="3" t="str">
        <f>"processed_pseudogene"</f>
        <v>processed_pseudogene</v>
      </c>
    </row>
    <row r="2941" spans="1:9" x14ac:dyDescent="0.2">
      <c r="A2941" s="3" t="str">
        <f>"ENSG00000080618.15"</f>
        <v>ENSG00000080618.15</v>
      </c>
      <c r="B2941" s="3">
        <v>411.52158467746898</v>
      </c>
      <c r="C2941" s="3">
        <v>-1.1276193434025701</v>
      </c>
      <c r="D2941" s="3">
        <v>0.32091503160632201</v>
      </c>
      <c r="E2941" s="3">
        <v>-3.5137629351867301</v>
      </c>
      <c r="F2941" s="3">
        <v>4.4180691733937503E-4</v>
      </c>
      <c r="G2941" s="3">
        <v>3.0061274021292899E-3</v>
      </c>
      <c r="H2941" s="3" t="str">
        <f>"CPB2"</f>
        <v>CPB2</v>
      </c>
      <c r="I2941" s="3" t="str">
        <f>"protein_coding"</f>
        <v>protein_coding</v>
      </c>
    </row>
    <row r="2942" spans="1:9" x14ac:dyDescent="0.2">
      <c r="A2942" s="3" t="str">
        <f>"ENSG00000136167.14"</f>
        <v>ENSG00000136167.14</v>
      </c>
      <c r="B2942" s="3">
        <v>217.52001834823199</v>
      </c>
      <c r="C2942" s="3">
        <v>-1.98400761330549</v>
      </c>
      <c r="D2942" s="3">
        <v>0.37472273931564598</v>
      </c>
      <c r="E2942" s="3">
        <v>-5.2946015951123604</v>
      </c>
      <c r="F2942" s="4">
        <v>1.1927616337257501E-7</v>
      </c>
      <c r="G2942" s="4">
        <v>1.76909899153133E-6</v>
      </c>
      <c r="H2942" s="3" t="str">
        <f>"LCP1"</f>
        <v>LCP1</v>
      </c>
      <c r="I2942" s="3" t="str">
        <f>"protein_coding"</f>
        <v>protein_coding</v>
      </c>
    </row>
    <row r="2943" spans="1:9" x14ac:dyDescent="0.2">
      <c r="A2943" s="3" t="str">
        <f>"ENSG00000139687.15"</f>
        <v>ENSG00000139687.15</v>
      </c>
      <c r="B2943" s="3">
        <v>3066.8364438482399</v>
      </c>
      <c r="C2943" s="3">
        <v>1.1919482149773699</v>
      </c>
      <c r="D2943" s="3">
        <v>0.29237552409927497</v>
      </c>
      <c r="E2943" s="3">
        <v>4.0767715377318998</v>
      </c>
      <c r="F2943" s="4">
        <v>4.5665320926843298E-5</v>
      </c>
      <c r="G2943" s="3">
        <v>4.0404894404317399E-4</v>
      </c>
      <c r="H2943" s="3" t="str">
        <f>"RB1"</f>
        <v>RB1</v>
      </c>
      <c r="I2943" s="3" t="str">
        <f>"protein_coding"</f>
        <v>protein_coding</v>
      </c>
    </row>
    <row r="2944" spans="1:9" x14ac:dyDescent="0.2">
      <c r="A2944" s="3" t="str">
        <f>"ENSG00000139679.15"</f>
        <v>ENSG00000139679.15</v>
      </c>
      <c r="B2944" s="3">
        <v>1106.00511727149</v>
      </c>
      <c r="C2944" s="3">
        <v>-2.3036762758085398</v>
      </c>
      <c r="D2944" s="3">
        <v>0.28027029848742202</v>
      </c>
      <c r="E2944" s="3">
        <v>-8.2194805808576294</v>
      </c>
      <c r="F2944" s="4">
        <v>2.0438645163649E-16</v>
      </c>
      <c r="G2944" s="4">
        <v>8.5832073304105404E-15</v>
      </c>
      <c r="H2944" s="3" t="str">
        <f>"LPAR6"</f>
        <v>LPAR6</v>
      </c>
      <c r="I2944" s="3" t="str">
        <f>"protein_coding"</f>
        <v>protein_coding</v>
      </c>
    </row>
    <row r="2945" spans="1:9" x14ac:dyDescent="0.2">
      <c r="A2945" s="3" t="str">
        <f>"ENSG00000277233.1"</f>
        <v>ENSG00000277233.1</v>
      </c>
      <c r="B2945" s="3">
        <v>16.755229521379999</v>
      </c>
      <c r="C2945" s="3">
        <v>2.76169701228467</v>
      </c>
      <c r="D2945" s="3">
        <v>0.92775274839487998</v>
      </c>
      <c r="E2945" s="3">
        <v>2.9767597208013998</v>
      </c>
      <c r="F2945" s="3">
        <v>2.9131222177517899E-3</v>
      </c>
      <c r="G2945" s="3">
        <v>1.5044054483175201E-2</v>
      </c>
      <c r="H2945" s="3" t="str">
        <f>"RF00017"</f>
        <v>RF00017</v>
      </c>
      <c r="I2945" s="3" t="str">
        <f>"misc_RNA"</f>
        <v>misc_RNA</v>
      </c>
    </row>
    <row r="2946" spans="1:9" x14ac:dyDescent="0.2">
      <c r="A2946" s="3" t="str">
        <f>"ENSG00000136161.12"</f>
        <v>ENSG00000136161.12</v>
      </c>
      <c r="B2946" s="3">
        <v>205.267742422585</v>
      </c>
      <c r="C2946" s="3">
        <v>-1.03600636649563</v>
      </c>
      <c r="D2946" s="3">
        <v>0.32361042652578398</v>
      </c>
      <c r="E2946" s="3">
        <v>-3.20139983627223</v>
      </c>
      <c r="F2946" s="3">
        <v>1.36761613893001E-3</v>
      </c>
      <c r="G2946" s="3">
        <v>7.9579884281250294E-3</v>
      </c>
      <c r="H2946" s="3" t="str">
        <f>"RCBTB2"</f>
        <v>RCBTB2</v>
      </c>
      <c r="I2946" s="3" t="str">
        <f>"protein_coding"</f>
        <v>protein_coding</v>
      </c>
    </row>
    <row r="2947" spans="1:9" x14ac:dyDescent="0.2">
      <c r="A2947" s="3" t="str">
        <f>"ENSG00000102547.19"</f>
        <v>ENSG00000102547.19</v>
      </c>
      <c r="B2947" s="3">
        <v>178.996986447697</v>
      </c>
      <c r="C2947" s="3">
        <v>-1.3273164585310899</v>
      </c>
      <c r="D2947" s="3">
        <v>0.338558975137498</v>
      </c>
      <c r="E2947" s="3">
        <v>-3.9204881748948801</v>
      </c>
      <c r="F2947" s="4">
        <v>8.83697724860965E-5</v>
      </c>
      <c r="G2947" s="3">
        <v>7.2787872524157095E-4</v>
      </c>
      <c r="H2947" s="3" t="str">
        <f>"CAB39L"</f>
        <v>CAB39L</v>
      </c>
      <c r="I2947" s="3" t="str">
        <f>"protein_coding"</f>
        <v>protein_coding</v>
      </c>
    </row>
    <row r="2948" spans="1:9" x14ac:dyDescent="0.2">
      <c r="A2948" s="3" t="str">
        <f>"ENSG00000152213.3"</f>
        <v>ENSG00000152213.3</v>
      </c>
      <c r="B2948" s="3">
        <v>57.939829516370303</v>
      </c>
      <c r="C2948" s="3">
        <v>2.5658982164006199</v>
      </c>
      <c r="D2948" s="3">
        <v>0.54065712133852095</v>
      </c>
      <c r="E2948" s="3">
        <v>4.7458881334035699</v>
      </c>
      <c r="F2948" s="4">
        <v>2.0759342571073301E-6</v>
      </c>
      <c r="G2948" s="4">
        <v>2.44019281483808E-5</v>
      </c>
      <c r="H2948" s="3" t="str">
        <f>"ARL11"</f>
        <v>ARL11</v>
      </c>
      <c r="I2948" s="3" t="str">
        <f>"protein_coding"</f>
        <v>protein_coding</v>
      </c>
    </row>
    <row r="2949" spans="1:9" x14ac:dyDescent="0.2">
      <c r="A2949" s="3" t="str">
        <f>"ENSG00000123178.15"</f>
        <v>ENSG00000123178.15</v>
      </c>
      <c r="B2949" s="3">
        <v>604.93975095030703</v>
      </c>
      <c r="C2949" s="3">
        <v>1.2119671189758401</v>
      </c>
      <c r="D2949" s="3">
        <v>0.26867054037577698</v>
      </c>
      <c r="E2949" s="3">
        <v>4.5109788266354496</v>
      </c>
      <c r="F2949" s="4">
        <v>6.4529162451811397E-6</v>
      </c>
      <c r="G2949" s="4">
        <v>6.9220941640738397E-5</v>
      </c>
      <c r="H2949" s="3" t="str">
        <f>"SPRYD7"</f>
        <v>SPRYD7</v>
      </c>
      <c r="I2949" s="3" t="str">
        <f>"protein_coding"</f>
        <v>protein_coding</v>
      </c>
    </row>
    <row r="2950" spans="1:9" x14ac:dyDescent="0.2">
      <c r="A2950" s="3" t="str">
        <f>"ENSG00000274270.1"</f>
        <v>ENSG00000274270.1</v>
      </c>
      <c r="B2950" s="3">
        <v>33.777215042084698</v>
      </c>
      <c r="C2950" s="3">
        <v>-2.0354718277414401</v>
      </c>
      <c r="D2950" s="3">
        <v>0.64336474523032505</v>
      </c>
      <c r="E2950" s="3">
        <v>-3.16379136847597</v>
      </c>
      <c r="F2950" s="3">
        <v>1.55728385394938E-3</v>
      </c>
      <c r="G2950" s="3">
        <v>8.89497623662505E-3</v>
      </c>
      <c r="H2950" s="3" t="str">
        <f>"AL137060.1"</f>
        <v>AL137060.1</v>
      </c>
      <c r="I2950" s="3" t="str">
        <f>"sense_intronic"</f>
        <v>sense_intronic</v>
      </c>
    </row>
    <row r="2951" spans="1:9" x14ac:dyDescent="0.2">
      <c r="A2951" s="3" t="str">
        <f>"ENSG00000136104.20"</f>
        <v>ENSG00000136104.20</v>
      </c>
      <c r="B2951" s="3">
        <v>1270.92931591458</v>
      </c>
      <c r="C2951" s="3">
        <v>-1.04139639116273</v>
      </c>
      <c r="D2951" s="3">
        <v>0.251212686282622</v>
      </c>
      <c r="E2951" s="3">
        <v>-4.1454769127031001</v>
      </c>
      <c r="F2951" s="4">
        <v>3.3910716883880897E-5</v>
      </c>
      <c r="G2951" s="3">
        <v>3.0962761641162398E-4</v>
      </c>
      <c r="H2951" s="3" t="str">
        <f>"RNASEH2B"</f>
        <v>RNASEH2B</v>
      </c>
      <c r="I2951" s="3" t="str">
        <f t="shared" ref="I2951:I2960" si="126">"protein_coding"</f>
        <v>protein_coding</v>
      </c>
    </row>
    <row r="2952" spans="1:9" x14ac:dyDescent="0.2">
      <c r="A2952" s="3" t="str">
        <f>"ENSG00000136098.17"</f>
        <v>ENSG00000136098.17</v>
      </c>
      <c r="B2952" s="3">
        <v>1408.12594580426</v>
      </c>
      <c r="C2952" s="3">
        <v>-1.7348282334474201</v>
      </c>
      <c r="D2952" s="3">
        <v>0.290655768966113</v>
      </c>
      <c r="E2952" s="3">
        <v>-5.9686695351630403</v>
      </c>
      <c r="F2952" s="4">
        <v>2.3919602069884699E-9</v>
      </c>
      <c r="G2952" s="4">
        <v>4.5791293003649098E-8</v>
      </c>
      <c r="H2952" s="3" t="str">
        <f>"NEK3"</f>
        <v>NEK3</v>
      </c>
      <c r="I2952" s="3" t="str">
        <f t="shared" si="126"/>
        <v>protein_coding</v>
      </c>
    </row>
    <row r="2953" spans="1:9" x14ac:dyDescent="0.2">
      <c r="A2953" s="3" t="str">
        <f>"ENSG00000139734.18"</f>
        <v>ENSG00000139734.18</v>
      </c>
      <c r="B2953" s="3">
        <v>1465.80236743347</v>
      </c>
      <c r="C2953" s="3">
        <v>-1.2649527273060801</v>
      </c>
      <c r="D2953" s="3">
        <v>0.247579149477272</v>
      </c>
      <c r="E2953" s="3">
        <v>-5.1092861817194297</v>
      </c>
      <c r="F2953" s="4">
        <v>3.2337822161889498E-7</v>
      </c>
      <c r="G2953" s="4">
        <v>4.4233709433514399E-6</v>
      </c>
      <c r="H2953" s="3" t="str">
        <f>"DIAPH3"</f>
        <v>DIAPH3</v>
      </c>
      <c r="I2953" s="3" t="str">
        <f t="shared" si="126"/>
        <v>protein_coding</v>
      </c>
    </row>
    <row r="2954" spans="1:9" x14ac:dyDescent="0.2">
      <c r="A2954" s="3" t="str">
        <f>"ENSG00000118922.17"</f>
        <v>ENSG00000118922.17</v>
      </c>
      <c r="B2954" s="3">
        <v>221.23029843399999</v>
      </c>
      <c r="C2954" s="3">
        <v>-2.6220951859295698</v>
      </c>
      <c r="D2954" s="3">
        <v>0.40129143612283902</v>
      </c>
      <c r="E2954" s="3">
        <v>-6.5341418976280403</v>
      </c>
      <c r="F2954" s="4">
        <v>6.3975269518879798E-11</v>
      </c>
      <c r="G2954" s="4">
        <v>1.50121073204051E-9</v>
      </c>
      <c r="H2954" s="3" t="str">
        <f>"KLF12"</f>
        <v>KLF12</v>
      </c>
      <c r="I2954" s="3" t="str">
        <f t="shared" si="126"/>
        <v>protein_coding</v>
      </c>
    </row>
    <row r="2955" spans="1:9" x14ac:dyDescent="0.2">
      <c r="A2955" s="3" t="str">
        <f>"ENSG00000139737.22"</f>
        <v>ENSG00000139737.22</v>
      </c>
      <c r="B2955" s="3">
        <v>161.50423325942</v>
      </c>
      <c r="C2955" s="3">
        <v>-1.6026354574474899</v>
      </c>
      <c r="D2955" s="3">
        <v>0.36146125068553497</v>
      </c>
      <c r="E2955" s="3">
        <v>-4.4337683621909196</v>
      </c>
      <c r="F2955" s="4">
        <v>9.2600115977512097E-6</v>
      </c>
      <c r="G2955" s="4">
        <v>9.5700736130415598E-5</v>
      </c>
      <c r="H2955" s="3" t="str">
        <f>"SLAIN1"</f>
        <v>SLAIN1</v>
      </c>
      <c r="I2955" s="3" t="str">
        <f t="shared" si="126"/>
        <v>protein_coding</v>
      </c>
    </row>
    <row r="2956" spans="1:9" x14ac:dyDescent="0.2">
      <c r="A2956" s="3" t="str">
        <f>"ENSG00000183098.11"</f>
        <v>ENSG00000183098.11</v>
      </c>
      <c r="B2956" s="3">
        <v>1296.77881339946</v>
      </c>
      <c r="C2956" s="3">
        <v>1.8311050619065099</v>
      </c>
      <c r="D2956" s="3">
        <v>0.261602491054509</v>
      </c>
      <c r="E2956" s="3">
        <v>6.9995704342317504</v>
      </c>
      <c r="F2956" s="4">
        <v>2.5674848249470401E-12</v>
      </c>
      <c r="G2956" s="4">
        <v>7.0739409388327197E-11</v>
      </c>
      <c r="H2956" s="3" t="str">
        <f>"GPC6"</f>
        <v>GPC6</v>
      </c>
      <c r="I2956" s="3" t="str">
        <f t="shared" si="126"/>
        <v>protein_coding</v>
      </c>
    </row>
    <row r="2957" spans="1:9" x14ac:dyDescent="0.2">
      <c r="A2957" s="3" t="str">
        <f>"ENSG00000125257.15"</f>
        <v>ENSG00000125257.15</v>
      </c>
      <c r="B2957" s="3">
        <v>1011.02928114479</v>
      </c>
      <c r="C2957" s="3">
        <v>-1.28190351019222</v>
      </c>
      <c r="D2957" s="3">
        <v>0.26358731393360302</v>
      </c>
      <c r="E2957" s="3">
        <v>-4.8632974442583796</v>
      </c>
      <c r="F2957" s="4">
        <v>1.15446160353729E-6</v>
      </c>
      <c r="G2957" s="4">
        <v>1.42076720337478E-5</v>
      </c>
      <c r="H2957" s="3" t="str">
        <f>"ABCC4"</f>
        <v>ABCC4</v>
      </c>
      <c r="I2957" s="3" t="str">
        <f t="shared" si="126"/>
        <v>protein_coding</v>
      </c>
    </row>
    <row r="2958" spans="1:9" x14ac:dyDescent="0.2">
      <c r="A2958" s="3" t="str">
        <f>"ENSG00000134874.17"</f>
        <v>ENSG00000134874.17</v>
      </c>
      <c r="B2958" s="3">
        <v>3678.1116026940899</v>
      </c>
      <c r="C2958" s="3">
        <v>1.34035146266133</v>
      </c>
      <c r="D2958" s="3">
        <v>0.240780993939673</v>
      </c>
      <c r="E2958" s="3">
        <v>5.5666829874336097</v>
      </c>
      <c r="F2958" s="4">
        <v>2.5963411433148599E-8</v>
      </c>
      <c r="G2958" s="4">
        <v>4.2826859973826397E-7</v>
      </c>
      <c r="H2958" s="3" t="str">
        <f>"DZIP1"</f>
        <v>DZIP1</v>
      </c>
      <c r="I2958" s="3" t="str">
        <f t="shared" si="126"/>
        <v>protein_coding</v>
      </c>
    </row>
    <row r="2959" spans="1:9" x14ac:dyDescent="0.2">
      <c r="A2959" s="3" t="str">
        <f>"ENSG00000125249.7"</f>
        <v>ENSG00000125249.7</v>
      </c>
      <c r="B2959" s="3">
        <v>2294.4092107659899</v>
      </c>
      <c r="C2959" s="3">
        <v>-1.2882250722888899</v>
      </c>
      <c r="D2959" s="3">
        <v>0.24600572324586201</v>
      </c>
      <c r="E2959" s="3">
        <v>-5.2365654558427499</v>
      </c>
      <c r="F2959" s="4">
        <v>1.6359224134191901E-7</v>
      </c>
      <c r="G2959" s="4">
        <v>2.37321962569548E-6</v>
      </c>
      <c r="H2959" s="3" t="str">
        <f>"RAP2A"</f>
        <v>RAP2A</v>
      </c>
      <c r="I2959" s="3" t="str">
        <f t="shared" si="126"/>
        <v>protein_coding</v>
      </c>
    </row>
    <row r="2960" spans="1:9" x14ac:dyDescent="0.2">
      <c r="A2960" s="3" t="str">
        <f>"ENSG00000088386.17"</f>
        <v>ENSG00000088386.17</v>
      </c>
      <c r="B2960" s="3">
        <v>36.117956942193203</v>
      </c>
      <c r="C2960" s="3">
        <v>-1.8362801916421601</v>
      </c>
      <c r="D2960" s="3">
        <v>0.618401576944269</v>
      </c>
      <c r="E2960" s="3">
        <v>-2.9693976537314901</v>
      </c>
      <c r="F2960" s="3">
        <v>2.9838419006641402E-3</v>
      </c>
      <c r="G2960" s="3">
        <v>1.5346257004949199E-2</v>
      </c>
      <c r="H2960" s="3" t="str">
        <f>"SLC15A1"</f>
        <v>SLC15A1</v>
      </c>
      <c r="I2960" s="3" t="str">
        <f t="shared" si="126"/>
        <v>protein_coding</v>
      </c>
    </row>
    <row r="2961" spans="1:9" x14ac:dyDescent="0.2">
      <c r="A2961" s="3" t="str">
        <f>"ENSG00000280734.2"</f>
        <v>ENSG00000280734.2</v>
      </c>
      <c r="B2961" s="3">
        <v>223.39257583623501</v>
      </c>
      <c r="C2961" s="3">
        <v>-1.02380364982086</v>
      </c>
      <c r="D2961" s="3">
        <v>0.33396287484685799</v>
      </c>
      <c r="E2961" s="3">
        <v>-3.0656211421414201</v>
      </c>
      <c r="F2961" s="3">
        <v>2.1721836206910899E-3</v>
      </c>
      <c r="G2961" s="3">
        <v>1.17407131453555E-2</v>
      </c>
      <c r="H2961" s="3" t="str">
        <f>"LINC01232"</f>
        <v>LINC01232</v>
      </c>
      <c r="I2961" s="3" t="str">
        <f>"processed_transcript"</f>
        <v>processed_transcript</v>
      </c>
    </row>
    <row r="2962" spans="1:9" x14ac:dyDescent="0.2">
      <c r="A2962" s="3" t="str">
        <f>"ENSG00000125246.15"</f>
        <v>ENSG00000125246.15</v>
      </c>
      <c r="B2962" s="3">
        <v>154.55432127935401</v>
      </c>
      <c r="C2962" s="3">
        <v>1.82187037435054</v>
      </c>
      <c r="D2962" s="3">
        <v>0.35376768949699899</v>
      </c>
      <c r="E2962" s="3">
        <v>5.1499060780280503</v>
      </c>
      <c r="F2962" s="4">
        <v>2.6061693325446898E-7</v>
      </c>
      <c r="G2962" s="4">
        <v>3.6340459844879001E-6</v>
      </c>
      <c r="H2962" s="3" t="str">
        <f>"CLYBL"</f>
        <v>CLYBL</v>
      </c>
      <c r="I2962" s="3" t="str">
        <f>"protein_coding"</f>
        <v>protein_coding</v>
      </c>
    </row>
    <row r="2963" spans="1:9" x14ac:dyDescent="0.2">
      <c r="A2963" s="3" t="str">
        <f>"ENSG00000139800.8"</f>
        <v>ENSG00000139800.8</v>
      </c>
      <c r="B2963" s="3">
        <v>146.14161537489201</v>
      </c>
      <c r="C2963" s="3">
        <v>-1.12777139520522</v>
      </c>
      <c r="D2963" s="3">
        <v>0.36703849543302097</v>
      </c>
      <c r="E2963" s="3">
        <v>-3.0726242866561</v>
      </c>
      <c r="F2963" s="3">
        <v>2.12185452877269E-3</v>
      </c>
      <c r="G2963" s="3">
        <v>1.15132119653316E-2</v>
      </c>
      <c r="H2963" s="3" t="str">
        <f>"ZIC5"</f>
        <v>ZIC5</v>
      </c>
      <c r="I2963" s="3" t="str">
        <f>"protein_coding"</f>
        <v>protein_coding</v>
      </c>
    </row>
    <row r="2964" spans="1:9" x14ac:dyDescent="0.2">
      <c r="A2964" s="3" t="str">
        <f>"ENSG00000134901.13"</f>
        <v>ENSG00000134901.13</v>
      </c>
      <c r="B2964" s="3">
        <v>613.24730331296701</v>
      </c>
      <c r="C2964" s="3">
        <v>-1.0101271723482099</v>
      </c>
      <c r="D2964" s="3">
        <v>0.27875753880450899</v>
      </c>
      <c r="E2964" s="3">
        <v>-3.6236766068472401</v>
      </c>
      <c r="F2964" s="3">
        <v>2.9044472271434301E-4</v>
      </c>
      <c r="G2964" s="3">
        <v>2.0827072405585202E-3</v>
      </c>
      <c r="H2964" s="3" t="str">
        <f>"KDELC1"</f>
        <v>KDELC1</v>
      </c>
      <c r="I2964" s="3" t="str">
        <f>"protein_coding"</f>
        <v>protein_coding</v>
      </c>
    </row>
    <row r="2965" spans="1:9" x14ac:dyDescent="0.2">
      <c r="A2965" s="3" t="str">
        <f>"ENSG00000125266.7"</f>
        <v>ENSG00000125266.7</v>
      </c>
      <c r="B2965" s="3">
        <v>95.145081094196797</v>
      </c>
      <c r="C2965" s="3">
        <v>-1.8463532289961899</v>
      </c>
      <c r="D2965" s="3">
        <v>0.41578758584453501</v>
      </c>
      <c r="E2965" s="3">
        <v>-4.4406165355945699</v>
      </c>
      <c r="F2965" s="4">
        <v>8.97015124352604E-6</v>
      </c>
      <c r="G2965" s="4">
        <v>9.2972457573505402E-5</v>
      </c>
      <c r="H2965" s="3" t="str">
        <f>"EFNB2"</f>
        <v>EFNB2</v>
      </c>
      <c r="I2965" s="3" t="str">
        <f>"protein_coding"</f>
        <v>protein_coding</v>
      </c>
    </row>
    <row r="2966" spans="1:9" x14ac:dyDescent="0.2">
      <c r="A2966" s="3" t="str">
        <f>"ENSG00000134871.18"</f>
        <v>ENSG00000134871.18</v>
      </c>
      <c r="B2966" s="3">
        <v>119.949405933107</v>
      </c>
      <c r="C2966" s="3">
        <v>2.9533076992724001</v>
      </c>
      <c r="D2966" s="3">
        <v>0.408165610664812</v>
      </c>
      <c r="E2966" s="3">
        <v>7.2355622867446296</v>
      </c>
      <c r="F2966" s="4">
        <v>4.6360430285571295E-13</v>
      </c>
      <c r="G2966" s="4">
        <v>1.3966426632737099E-11</v>
      </c>
      <c r="H2966" s="3" t="str">
        <f>"COL4A2"</f>
        <v>COL4A2</v>
      </c>
      <c r="I2966" s="3" t="str">
        <f>"protein_coding"</f>
        <v>protein_coding</v>
      </c>
    </row>
    <row r="2967" spans="1:9" x14ac:dyDescent="0.2">
      <c r="A2967" s="3" t="str">
        <f>"ENSG00000275880.1"</f>
        <v>ENSG00000275880.1</v>
      </c>
      <c r="B2967" s="3">
        <v>50.362101051807699</v>
      </c>
      <c r="C2967" s="3">
        <v>1.43015602577374</v>
      </c>
      <c r="D2967" s="3">
        <v>0.52266431108297995</v>
      </c>
      <c r="E2967" s="3">
        <v>2.7362802384773501</v>
      </c>
      <c r="F2967" s="3">
        <v>6.2138083672637996E-3</v>
      </c>
      <c r="G2967" s="3">
        <v>2.83887303811334E-2</v>
      </c>
      <c r="H2967" s="3" t="str">
        <f>"AL139385.1"</f>
        <v>AL139385.1</v>
      </c>
      <c r="I2967" s="3" t="str">
        <f>"antisense"</f>
        <v>antisense</v>
      </c>
    </row>
    <row r="2968" spans="1:9" x14ac:dyDescent="0.2">
      <c r="A2968" s="3" t="str">
        <f>"ENSG00000153487.12"</f>
        <v>ENSG00000153487.12</v>
      </c>
      <c r="B2968" s="3">
        <v>528.21285412442296</v>
      </c>
      <c r="C2968" s="3">
        <v>-1.11479535564763</v>
      </c>
      <c r="D2968" s="3">
        <v>0.30522769969633201</v>
      </c>
      <c r="E2968" s="3">
        <v>-3.6523400620478599</v>
      </c>
      <c r="F2968" s="3">
        <v>2.5986144525851301E-4</v>
      </c>
      <c r="G2968" s="3">
        <v>1.8838082580627999E-3</v>
      </c>
      <c r="H2968" s="3" t="str">
        <f>"ING1"</f>
        <v>ING1</v>
      </c>
      <c r="I2968" s="3" t="str">
        <f>"protein_coding"</f>
        <v>protein_coding</v>
      </c>
    </row>
    <row r="2969" spans="1:9" x14ac:dyDescent="0.2">
      <c r="A2969" s="3" t="str">
        <f>"ENSG00000126218.11"</f>
        <v>ENSG00000126218.11</v>
      </c>
      <c r="B2969" s="3">
        <v>1604.2914107869799</v>
      </c>
      <c r="C2969" s="3">
        <v>1.50871162424814</v>
      </c>
      <c r="D2969" s="3">
        <v>0.289773273097712</v>
      </c>
      <c r="E2969" s="3">
        <v>5.2065244255269798</v>
      </c>
      <c r="F2969" s="4">
        <v>1.92410377638141E-7</v>
      </c>
      <c r="G2969" s="4">
        <v>2.7563115315987602E-6</v>
      </c>
      <c r="H2969" s="3" t="str">
        <f>"F10"</f>
        <v>F10</v>
      </c>
      <c r="I2969" s="3" t="str">
        <f>"protein_coding"</f>
        <v>protein_coding</v>
      </c>
    </row>
    <row r="2970" spans="1:9" x14ac:dyDescent="0.2">
      <c r="A2970" s="3" t="str">
        <f>"ENSG00000276434.1"</f>
        <v>ENSG00000276434.1</v>
      </c>
      <c r="B2970" s="3">
        <v>76.080221930538599</v>
      </c>
      <c r="C2970" s="3">
        <v>1.1012086618033501</v>
      </c>
      <c r="D2970" s="3">
        <v>0.43531967553462197</v>
      </c>
      <c r="E2970" s="3">
        <v>2.5296551561813501</v>
      </c>
      <c r="F2970" s="3">
        <v>1.1417468050960101E-2</v>
      </c>
      <c r="G2970" s="3">
        <v>4.7137109604776399E-2</v>
      </c>
      <c r="H2970" s="3" t="str">
        <f>"AL136221.1"</f>
        <v>AL136221.1</v>
      </c>
      <c r="I2970" s="3" t="str">
        <f>"sense_intronic"</f>
        <v>sense_intronic</v>
      </c>
    </row>
    <row r="2971" spans="1:9" x14ac:dyDescent="0.2">
      <c r="A2971" s="3" t="str">
        <f>"ENSG00000153531.13"</f>
        <v>ENSG00000153531.13</v>
      </c>
      <c r="B2971" s="3">
        <v>544.59094221780799</v>
      </c>
      <c r="C2971" s="3">
        <v>3.20277417039153</v>
      </c>
      <c r="D2971" s="3">
        <v>0.32837493921392003</v>
      </c>
      <c r="E2971" s="3">
        <v>9.7534062071194594</v>
      </c>
      <c r="F2971" s="4">
        <v>1.7838048876054201E-22</v>
      </c>
      <c r="G2971" s="4">
        <v>1.12742743587222E-20</v>
      </c>
      <c r="H2971" s="3" t="str">
        <f>"ADPRHL1"</f>
        <v>ADPRHL1</v>
      </c>
      <c r="I2971" s="3" t="str">
        <f>"protein_coding"</f>
        <v>protein_coding</v>
      </c>
    </row>
    <row r="2972" spans="1:9" x14ac:dyDescent="0.2">
      <c r="A2972" s="3" t="str">
        <f>"ENSG00000184497.12"</f>
        <v>ENSG00000184497.12</v>
      </c>
      <c r="B2972" s="3">
        <v>22.369649584587499</v>
      </c>
      <c r="C2972" s="3">
        <v>2.0951209187819999</v>
      </c>
      <c r="D2972" s="3">
        <v>0.75659782471169501</v>
      </c>
      <c r="E2972" s="3">
        <v>2.7691342088914301</v>
      </c>
      <c r="F2972" s="3">
        <v>5.6205477579886398E-3</v>
      </c>
      <c r="G2972" s="3">
        <v>2.60666035958417E-2</v>
      </c>
      <c r="H2972" s="3" t="str">
        <f>"TMEM255B"</f>
        <v>TMEM255B</v>
      </c>
      <c r="I2972" s="3" t="str">
        <f>"protein_coding"</f>
        <v>protein_coding</v>
      </c>
    </row>
    <row r="2973" spans="1:9" x14ac:dyDescent="0.2">
      <c r="A2973" s="3" t="str">
        <f>"ENSG00000233695.2"</f>
        <v>ENSG00000233695.2</v>
      </c>
      <c r="B2973" s="3">
        <v>691.63726281767799</v>
      </c>
      <c r="C2973" s="3">
        <v>8.6970106995114893</v>
      </c>
      <c r="D2973" s="3">
        <v>0.60840926864032097</v>
      </c>
      <c r="E2973" s="3">
        <v>14.2946716097006</v>
      </c>
      <c r="F2973" s="4">
        <v>2.3621742183915398E-46</v>
      </c>
      <c r="G2973" s="4">
        <v>5.4514213269393799E-44</v>
      </c>
      <c r="H2973" s="3" t="str">
        <f>"GAS6-AS1"</f>
        <v>GAS6-AS1</v>
      </c>
      <c r="I2973" s="3" t="str">
        <f>"antisense"</f>
        <v>antisense</v>
      </c>
    </row>
    <row r="2974" spans="1:9" x14ac:dyDescent="0.2">
      <c r="A2974" s="3" t="str">
        <f>"ENSG00000183087.15"</f>
        <v>ENSG00000183087.15</v>
      </c>
      <c r="B2974" s="3">
        <v>265.37752100207803</v>
      </c>
      <c r="C2974" s="3">
        <v>7.5339548720721101</v>
      </c>
      <c r="D2974" s="3">
        <v>0.66713102021925297</v>
      </c>
      <c r="E2974" s="3">
        <v>11.2930663448929</v>
      </c>
      <c r="F2974" s="4">
        <v>1.4199485736717501E-29</v>
      </c>
      <c r="G2974" s="4">
        <v>1.4062522193194001E-27</v>
      </c>
      <c r="H2974" s="3" t="str">
        <f>"GAS6"</f>
        <v>GAS6</v>
      </c>
      <c r="I2974" s="3" t="str">
        <f>"protein_coding"</f>
        <v>protein_coding</v>
      </c>
    </row>
    <row r="2975" spans="1:9" x14ac:dyDescent="0.2">
      <c r="A2975" s="3" t="str">
        <f>"ENSG00000185989.11"</f>
        <v>ENSG00000185989.11</v>
      </c>
      <c r="B2975" s="3">
        <v>61.656735825320297</v>
      </c>
      <c r="C2975" s="3">
        <v>1.9008033363394401</v>
      </c>
      <c r="D2975" s="3">
        <v>0.48228482596058297</v>
      </c>
      <c r="E2975" s="3">
        <v>3.9412464046604501</v>
      </c>
      <c r="F2975" s="4">
        <v>8.1059304172911398E-5</v>
      </c>
      <c r="G2975" s="3">
        <v>6.74065056684161E-4</v>
      </c>
      <c r="H2975" s="3" t="str">
        <f>"RASA3"</f>
        <v>RASA3</v>
      </c>
      <c r="I2975" s="3" t="str">
        <f>"protein_coding"</f>
        <v>protein_coding</v>
      </c>
    </row>
    <row r="2976" spans="1:9" x14ac:dyDescent="0.2">
      <c r="A2976" s="3" t="str">
        <f>"ENSG00000244306.11"</f>
        <v>ENSG00000244306.11</v>
      </c>
      <c r="B2976" s="3">
        <v>2924.6385385332701</v>
      </c>
      <c r="C2976" s="3">
        <v>1.07975801526295</v>
      </c>
      <c r="D2976" s="3">
        <v>0.25046251666263403</v>
      </c>
      <c r="E2976" s="3">
        <v>4.3110563195264699</v>
      </c>
      <c r="F2976" s="4">
        <v>1.6247651275237999E-5</v>
      </c>
      <c r="G2976" s="3">
        <v>1.5890733585871401E-4</v>
      </c>
      <c r="H2976" s="3" t="str">
        <f>"AL589743.1"</f>
        <v>AL589743.1</v>
      </c>
      <c r="I2976" s="3" t="str">
        <f>"transcribed_processed_pseudogene"</f>
        <v>transcribed_processed_pseudogene</v>
      </c>
    </row>
    <row r="2977" spans="1:9" x14ac:dyDescent="0.2">
      <c r="A2977" s="3" t="str">
        <f>"ENSG00000129566.13"</f>
        <v>ENSG00000129566.13</v>
      </c>
      <c r="B2977" s="3">
        <v>4444.4007970064604</v>
      </c>
      <c r="C2977" s="3">
        <v>2.5055408359276798</v>
      </c>
      <c r="D2977" s="3">
        <v>0.26253216707924498</v>
      </c>
      <c r="E2977" s="3">
        <v>9.5437479673543493</v>
      </c>
      <c r="F2977" s="4">
        <v>1.3776152139641501E-21</v>
      </c>
      <c r="G2977" s="4">
        <v>8.2313327095648998E-20</v>
      </c>
      <c r="H2977" s="3" t="str">
        <f>"TEP1"</f>
        <v>TEP1</v>
      </c>
      <c r="I2977" s="3" t="str">
        <f>"protein_coding"</f>
        <v>protein_coding</v>
      </c>
    </row>
    <row r="2978" spans="1:9" x14ac:dyDescent="0.2">
      <c r="A2978" s="3" t="str">
        <f>"ENSG00000259162.1"</f>
        <v>ENSG00000259162.1</v>
      </c>
      <c r="B2978" s="3">
        <v>65.677110393207499</v>
      </c>
      <c r="C2978" s="3">
        <v>2.09072121435312</v>
      </c>
      <c r="D2978" s="3">
        <v>0.52809157058975698</v>
      </c>
      <c r="E2978" s="3">
        <v>3.9590126614183001</v>
      </c>
      <c r="F2978" s="4">
        <v>7.5260247376758896E-5</v>
      </c>
      <c r="G2978" s="3">
        <v>6.3147815969391899E-4</v>
      </c>
      <c r="H2978" s="3" t="str">
        <f>"AL355075.5"</f>
        <v>AL355075.5</v>
      </c>
      <c r="I2978" s="3" t="str">
        <f>"transcribed_unprocessed_pseudogene"</f>
        <v>transcribed_unprocessed_pseudogene</v>
      </c>
    </row>
    <row r="2979" spans="1:9" x14ac:dyDescent="0.2">
      <c r="A2979" s="3" t="str">
        <f>"ENSG00000179636.15"</f>
        <v>ENSG00000179636.15</v>
      </c>
      <c r="B2979" s="3">
        <v>65.103476953033294</v>
      </c>
      <c r="C2979" s="3">
        <v>-2.5766525633060802</v>
      </c>
      <c r="D2979" s="3">
        <v>0.49667078940103299</v>
      </c>
      <c r="E2979" s="3">
        <v>-5.1878480037318599</v>
      </c>
      <c r="F2979" s="4">
        <v>2.1273812441891299E-7</v>
      </c>
      <c r="G2979" s="4">
        <v>3.0182896332531099E-6</v>
      </c>
      <c r="H2979" s="3" t="str">
        <f>"TPPP2"</f>
        <v>TPPP2</v>
      </c>
      <c r="I2979" s="3" t="str">
        <f>"protein_coding"</f>
        <v>protein_coding</v>
      </c>
    </row>
    <row r="2980" spans="1:9" x14ac:dyDescent="0.2">
      <c r="A2980" s="3" t="str">
        <f>"ENSG00000258604.1"</f>
        <v>ENSG00000258604.1</v>
      </c>
      <c r="B2980" s="3">
        <v>56.012676562667998</v>
      </c>
      <c r="C2980" s="3">
        <v>-2.4546358750102999</v>
      </c>
      <c r="D2980" s="3">
        <v>0.55662790609045898</v>
      </c>
      <c r="E2980" s="3">
        <v>-4.4098325796324502</v>
      </c>
      <c r="F2980" s="4">
        <v>1.03450567112227E-5</v>
      </c>
      <c r="G2980" s="3">
        <v>1.05527129590757E-4</v>
      </c>
      <c r="H2980" s="3" t="str">
        <f>"AL161668.4"</f>
        <v>AL161668.4</v>
      </c>
      <c r="I2980" s="3" t="str">
        <f>"lincRNA"</f>
        <v>lincRNA</v>
      </c>
    </row>
    <row r="2981" spans="1:9" x14ac:dyDescent="0.2">
      <c r="A2981" s="3" t="str">
        <f>"ENSG00000165799.5"</f>
        <v>ENSG00000165799.5</v>
      </c>
      <c r="B2981" s="3">
        <v>20.7713462411932</v>
      </c>
      <c r="C2981" s="3">
        <v>2.5839069908357999</v>
      </c>
      <c r="D2981" s="3">
        <v>0.85993502381778197</v>
      </c>
      <c r="E2981" s="3">
        <v>3.00477003409426</v>
      </c>
      <c r="F2981" s="3">
        <v>2.6578171645017198E-3</v>
      </c>
      <c r="G2981" s="3">
        <v>1.39083400817642E-2</v>
      </c>
      <c r="H2981" s="3" t="str">
        <f>"RNASE7"</f>
        <v>RNASE7</v>
      </c>
      <c r="I2981" s="3" t="str">
        <f>"protein_coding"</f>
        <v>protein_coding</v>
      </c>
    </row>
    <row r="2982" spans="1:9" x14ac:dyDescent="0.2">
      <c r="A2982" s="3" t="str">
        <f>"ENSG00000165801.10"</f>
        <v>ENSG00000165801.10</v>
      </c>
      <c r="B2982" s="3">
        <v>5241.7326392352797</v>
      </c>
      <c r="C2982" s="3">
        <v>-1.7431177649723899</v>
      </c>
      <c r="D2982" s="3">
        <v>0.28812510700177701</v>
      </c>
      <c r="E2982" s="3">
        <v>-6.0498641826505004</v>
      </c>
      <c r="F2982" s="4">
        <v>1.44967997714788E-9</v>
      </c>
      <c r="G2982" s="4">
        <v>2.87819256709983E-8</v>
      </c>
      <c r="H2982" s="3" t="str">
        <f>"ARHGEF40"</f>
        <v>ARHGEF40</v>
      </c>
      <c r="I2982" s="3" t="str">
        <f>"protein_coding"</f>
        <v>protein_coding</v>
      </c>
    </row>
    <row r="2983" spans="1:9" x14ac:dyDescent="0.2">
      <c r="A2983" s="3" t="str">
        <f>"ENSG00000165804.16"</f>
        <v>ENSG00000165804.16</v>
      </c>
      <c r="B2983" s="3">
        <v>1837.8689719465599</v>
      </c>
      <c r="C2983" s="3">
        <v>1.6008182596168801</v>
      </c>
      <c r="D2983" s="3">
        <v>0.27710678371467101</v>
      </c>
      <c r="E2983" s="3">
        <v>5.7769002914962897</v>
      </c>
      <c r="F2983" s="4">
        <v>7.6089345180726104E-9</v>
      </c>
      <c r="G2983" s="4">
        <v>1.3664566170885099E-7</v>
      </c>
      <c r="H2983" s="3" t="str">
        <f>"ZNF219"</f>
        <v>ZNF219</v>
      </c>
      <c r="I2983" s="3" t="str">
        <f>"protein_coding"</f>
        <v>protein_coding</v>
      </c>
    </row>
    <row r="2984" spans="1:9" x14ac:dyDescent="0.2">
      <c r="A2984" s="3" t="str">
        <f>"ENSG00000232070.8"</f>
        <v>ENSG00000232070.8</v>
      </c>
      <c r="B2984" s="3">
        <v>81.132272534246397</v>
      </c>
      <c r="C2984" s="3">
        <v>1.84094918186463</v>
      </c>
      <c r="D2984" s="3">
        <v>0.455653856460077</v>
      </c>
      <c r="E2984" s="3">
        <v>4.0402361480417603</v>
      </c>
      <c r="F2984" s="4">
        <v>5.3397408304894802E-5</v>
      </c>
      <c r="G2984" s="3">
        <v>4.6574611855396299E-4</v>
      </c>
      <c r="H2984" s="3" t="str">
        <f>"TMEM253"</f>
        <v>TMEM253</v>
      </c>
      <c r="I2984" s="3" t="str">
        <f>"protein_coding"</f>
        <v>protein_coding</v>
      </c>
    </row>
    <row r="2985" spans="1:9" x14ac:dyDescent="0.2">
      <c r="A2985" s="3" t="str">
        <f>"ENSG00000165821.12"</f>
        <v>ENSG00000165821.12</v>
      </c>
      <c r="B2985" s="3">
        <v>963.86507640731497</v>
      </c>
      <c r="C2985" s="3">
        <v>-1.8311194316914201</v>
      </c>
      <c r="D2985" s="3">
        <v>0.28383892004581102</v>
      </c>
      <c r="E2985" s="3">
        <v>-6.45126267883166</v>
      </c>
      <c r="F2985" s="4">
        <v>1.10922045803636E-10</v>
      </c>
      <c r="G2985" s="4">
        <v>2.53428161870161E-9</v>
      </c>
      <c r="H2985" s="3" t="str">
        <f>"SALL2"</f>
        <v>SALL2</v>
      </c>
      <c r="I2985" s="3" t="str">
        <f>"protein_coding"</f>
        <v>protein_coding</v>
      </c>
    </row>
    <row r="2986" spans="1:9" x14ac:dyDescent="0.2">
      <c r="A2986" s="3" t="str">
        <f>"ENSG00000277734.8"</f>
        <v>ENSG00000277734.8</v>
      </c>
      <c r="B2986" s="3">
        <v>14.5472321818023</v>
      </c>
      <c r="C2986" s="3">
        <v>2.3405267059377799</v>
      </c>
      <c r="D2986" s="3">
        <v>0.93111028728098599</v>
      </c>
      <c r="E2986" s="3">
        <v>2.5136943903525601</v>
      </c>
      <c r="F2986" s="3">
        <v>1.19473914945059E-2</v>
      </c>
      <c r="G2986" s="3">
        <v>4.8859800527442099E-2</v>
      </c>
      <c r="H2986" s="3" t="str">
        <f>"TRAC"</f>
        <v>TRAC</v>
      </c>
      <c r="I2986" s="3" t="str">
        <f>"TR_C_gene"</f>
        <v>TR_C_gene</v>
      </c>
    </row>
    <row r="2987" spans="1:9" x14ac:dyDescent="0.2">
      <c r="A2987" s="3" t="str">
        <f>"ENSG00000100439.10"</f>
        <v>ENSG00000100439.10</v>
      </c>
      <c r="B2987" s="3">
        <v>4268.4433128600504</v>
      </c>
      <c r="C2987" s="3">
        <v>2.4482888749818401</v>
      </c>
      <c r="D2987" s="3">
        <v>0.25375100802601103</v>
      </c>
      <c r="E2987" s="3">
        <v>9.64839073557836</v>
      </c>
      <c r="F2987" s="4">
        <v>4.9933139213934598E-22</v>
      </c>
      <c r="G2987" s="4">
        <v>3.0561268051740297E-20</v>
      </c>
      <c r="H2987" s="3" t="str">
        <f>"ABHD4"</f>
        <v>ABHD4</v>
      </c>
      <c r="I2987" s="3" t="str">
        <f>"protein_coding"</f>
        <v>protein_coding</v>
      </c>
    </row>
    <row r="2988" spans="1:9" x14ac:dyDescent="0.2">
      <c r="A2988" s="3" t="str">
        <f>"ENSG00000258458.6"</f>
        <v>ENSG00000258458.6</v>
      </c>
      <c r="B2988" s="3">
        <v>151.22104006730001</v>
      </c>
      <c r="C2988" s="3">
        <v>-1.0906597430812399</v>
      </c>
      <c r="D2988" s="3">
        <v>0.35893634335087599</v>
      </c>
      <c r="E2988" s="3">
        <v>-3.03858821566884</v>
      </c>
      <c r="F2988" s="3">
        <v>2.3768950315003401E-3</v>
      </c>
      <c r="G2988" s="3">
        <v>1.2675597735296E-2</v>
      </c>
      <c r="H2988" s="3" t="str">
        <f>"AL160314.2"</f>
        <v>AL160314.2</v>
      </c>
      <c r="I2988" s="3" t="str">
        <f>"processed_transcript"</f>
        <v>processed_transcript</v>
      </c>
    </row>
    <row r="2989" spans="1:9" x14ac:dyDescent="0.2">
      <c r="A2989" s="3" t="str">
        <f>"ENSG00000157227.13"</f>
        <v>ENSG00000157227.13</v>
      </c>
      <c r="B2989" s="3">
        <v>1867.9982234581901</v>
      </c>
      <c r="C2989" s="3">
        <v>1.44942391658535</v>
      </c>
      <c r="D2989" s="3">
        <v>0.288674802420958</v>
      </c>
      <c r="E2989" s="3">
        <v>5.0209575079980198</v>
      </c>
      <c r="F2989" s="4">
        <v>5.1414533603726395E-7</v>
      </c>
      <c r="G2989" s="4">
        <v>6.8105981716784504E-6</v>
      </c>
      <c r="H2989" s="3" t="str">
        <f>"MMP14"</f>
        <v>MMP14</v>
      </c>
      <c r="I2989" s="3" t="str">
        <f>"protein_coding"</f>
        <v>protein_coding</v>
      </c>
    </row>
    <row r="2990" spans="1:9" x14ac:dyDescent="0.2">
      <c r="A2990" s="3" t="str">
        <f>"ENSG00000197324.9"</f>
        <v>ENSG00000197324.9</v>
      </c>
      <c r="B2990" s="3">
        <v>11998.310225883501</v>
      </c>
      <c r="C2990" s="3">
        <v>2.1392155786732499</v>
      </c>
      <c r="D2990" s="3">
        <v>0.25844744506675299</v>
      </c>
      <c r="E2990" s="3">
        <v>8.2771782794011592</v>
      </c>
      <c r="F2990" s="4">
        <v>1.26128321353486E-16</v>
      </c>
      <c r="G2990" s="4">
        <v>5.3684567235988602E-15</v>
      </c>
      <c r="H2990" s="3" t="str">
        <f>"LRP10"</f>
        <v>LRP10</v>
      </c>
      <c r="I2990" s="3" t="str">
        <f>"protein_coding"</f>
        <v>protein_coding</v>
      </c>
    </row>
    <row r="2991" spans="1:9" x14ac:dyDescent="0.2">
      <c r="A2991" s="3" t="str">
        <f>"ENSG00000258457.5"</f>
        <v>ENSG00000258457.5</v>
      </c>
      <c r="B2991" s="3">
        <v>265.116019264513</v>
      </c>
      <c r="C2991" s="3">
        <v>1.7523494485597899</v>
      </c>
      <c r="D2991" s="3">
        <v>0.31124505241091699</v>
      </c>
      <c r="E2991" s="3">
        <v>5.6301278847198297</v>
      </c>
      <c r="F2991" s="4">
        <v>1.80076051898682E-8</v>
      </c>
      <c r="G2991" s="4">
        <v>3.0606845172373998E-7</v>
      </c>
      <c r="H2991" s="3" t="str">
        <f>"AL132780.2"</f>
        <v>AL132780.2</v>
      </c>
      <c r="I2991" s="3" t="str">
        <f>"antisense"</f>
        <v>antisense</v>
      </c>
    </row>
    <row r="2992" spans="1:9" x14ac:dyDescent="0.2">
      <c r="A2992" s="3" t="str">
        <f>"ENSG00000092067.5"</f>
        <v>ENSG00000092067.5</v>
      </c>
      <c r="B2992" s="3">
        <v>55.055871413253897</v>
      </c>
      <c r="C2992" s="3">
        <v>3.5200900242938098</v>
      </c>
      <c r="D2992" s="3">
        <v>0.59182960275858498</v>
      </c>
      <c r="E2992" s="3">
        <v>5.9478099910620799</v>
      </c>
      <c r="F2992" s="4">
        <v>2.7175378429511798E-9</v>
      </c>
      <c r="G2992" s="4">
        <v>5.1787624575331002E-8</v>
      </c>
      <c r="H2992" s="3" t="str">
        <f>"CEBPE"</f>
        <v>CEBPE</v>
      </c>
      <c r="I2992" s="3" t="str">
        <f t="shared" ref="I2992:I3000" si="127">"protein_coding"</f>
        <v>protein_coding</v>
      </c>
    </row>
    <row r="2993" spans="1:9" x14ac:dyDescent="0.2">
      <c r="A2993" s="3" t="str">
        <f>"ENSG00000092068.20"</f>
        <v>ENSG00000092068.20</v>
      </c>
      <c r="B2993" s="3">
        <v>48.2028914911482</v>
      </c>
      <c r="C2993" s="3">
        <v>1.63738391657265</v>
      </c>
      <c r="D2993" s="3">
        <v>0.53291469294365901</v>
      </c>
      <c r="E2993" s="3">
        <v>3.0725066098820402</v>
      </c>
      <c r="F2993" s="3">
        <v>2.1226913214792199E-3</v>
      </c>
      <c r="G2993" s="3">
        <v>1.1514568612791499E-2</v>
      </c>
      <c r="H2993" s="3" t="str">
        <f>"SLC7A8"</f>
        <v>SLC7A8</v>
      </c>
      <c r="I2993" s="3" t="str">
        <f t="shared" si="127"/>
        <v>protein_coding</v>
      </c>
    </row>
    <row r="2994" spans="1:9" x14ac:dyDescent="0.2">
      <c r="A2994" s="3" t="str">
        <f>"ENSG00000092054.13"</f>
        <v>ENSG00000092054.13</v>
      </c>
      <c r="B2994" s="3">
        <v>79.737331213930801</v>
      </c>
      <c r="C2994" s="3">
        <v>-1.8453715694211501</v>
      </c>
      <c r="D2994" s="3">
        <v>0.48006942011937798</v>
      </c>
      <c r="E2994" s="3">
        <v>-3.8439681681084101</v>
      </c>
      <c r="F2994" s="3">
        <v>1.21060715553052E-4</v>
      </c>
      <c r="G2994" s="3">
        <v>9.6187059372615698E-4</v>
      </c>
      <c r="H2994" s="3" t="str">
        <f>"MYH7"</f>
        <v>MYH7</v>
      </c>
      <c r="I2994" s="3" t="str">
        <f t="shared" si="127"/>
        <v>protein_coding</v>
      </c>
    </row>
    <row r="2995" spans="1:9" x14ac:dyDescent="0.2">
      <c r="A2995" s="3" t="str">
        <f>"ENSG00000136367.14"</f>
        <v>ENSG00000136367.14</v>
      </c>
      <c r="B2995" s="3">
        <v>203.880845023511</v>
      </c>
      <c r="C2995" s="3">
        <v>1.9002005465788601</v>
      </c>
      <c r="D2995" s="3">
        <v>0.34934630715306902</v>
      </c>
      <c r="E2995" s="3">
        <v>5.4393033722445399</v>
      </c>
      <c r="F2995" s="4">
        <v>5.3489306271433099E-8</v>
      </c>
      <c r="G2995" s="4">
        <v>8.3469199705825004E-7</v>
      </c>
      <c r="H2995" s="3" t="str">
        <f>"ZFHX2"</f>
        <v>ZFHX2</v>
      </c>
      <c r="I2995" s="3" t="str">
        <f t="shared" si="127"/>
        <v>protein_coding</v>
      </c>
    </row>
    <row r="2996" spans="1:9" x14ac:dyDescent="0.2">
      <c r="A2996" s="3" t="str">
        <f>"ENSG00000259431.5"</f>
        <v>ENSG00000259431.5</v>
      </c>
      <c r="B2996" s="3">
        <v>315.37682791350301</v>
      </c>
      <c r="C2996" s="3">
        <v>1.03165279733147</v>
      </c>
      <c r="D2996" s="3">
        <v>0.34674074202490002</v>
      </c>
      <c r="E2996" s="3">
        <v>2.97528577491879</v>
      </c>
      <c r="F2996" s="3">
        <v>2.9271571869910399E-3</v>
      </c>
      <c r="G2996" s="3">
        <v>1.51072300038489E-2</v>
      </c>
      <c r="H2996" s="3" t="str">
        <f>"THTPA"</f>
        <v>THTPA</v>
      </c>
      <c r="I2996" s="3" t="str">
        <f t="shared" si="127"/>
        <v>protein_coding</v>
      </c>
    </row>
    <row r="2997" spans="1:9" x14ac:dyDescent="0.2">
      <c r="A2997" s="3" t="str">
        <f>"ENSG00000092051.17"</f>
        <v>ENSG00000092051.17</v>
      </c>
      <c r="B2997" s="3">
        <v>361.17922067361798</v>
      </c>
      <c r="C2997" s="3">
        <v>4.0665407972697096</v>
      </c>
      <c r="D2997" s="3">
        <v>0.32275501745359197</v>
      </c>
      <c r="E2997" s="3">
        <v>12.5994657785744</v>
      </c>
      <c r="F2997" s="4">
        <v>2.1257943214521401E-36</v>
      </c>
      <c r="G2997" s="4">
        <v>2.9062150084852398E-34</v>
      </c>
      <c r="H2997" s="3" t="str">
        <f>"JPH4"</f>
        <v>JPH4</v>
      </c>
      <c r="I2997" s="3" t="str">
        <f t="shared" si="127"/>
        <v>protein_coding</v>
      </c>
    </row>
    <row r="2998" spans="1:9" x14ac:dyDescent="0.2">
      <c r="A2998" s="3" t="str">
        <f>"ENSG00000100867.14"</f>
        <v>ENSG00000100867.14</v>
      </c>
      <c r="B2998" s="3">
        <v>61518.222207288702</v>
      </c>
      <c r="C2998" s="3">
        <v>1.0719891941820201</v>
      </c>
      <c r="D2998" s="3">
        <v>0.25852638001021699</v>
      </c>
      <c r="E2998" s="3">
        <v>4.1465369767667397</v>
      </c>
      <c r="F2998" s="4">
        <v>3.37541689086272E-5</v>
      </c>
      <c r="G2998" s="3">
        <v>3.0842212818616598E-4</v>
      </c>
      <c r="H2998" s="3" t="str">
        <f>"DHRS2"</f>
        <v>DHRS2</v>
      </c>
      <c r="I2998" s="3" t="str">
        <f t="shared" si="127"/>
        <v>protein_coding</v>
      </c>
    </row>
    <row r="2999" spans="1:9" x14ac:dyDescent="0.2">
      <c r="A2999" s="3" t="str">
        <f>"ENSG00000186648.15"</f>
        <v>ENSG00000186648.15</v>
      </c>
      <c r="B2999" s="3">
        <v>57.469611939215298</v>
      </c>
      <c r="C2999" s="3">
        <v>-2.0209194038601002</v>
      </c>
      <c r="D2999" s="3">
        <v>0.54968674336983703</v>
      </c>
      <c r="E2999" s="3">
        <v>-3.67649289024311</v>
      </c>
      <c r="F2999" s="3">
        <v>2.36462442415513E-4</v>
      </c>
      <c r="G2999" s="3">
        <v>1.7321528069196999E-3</v>
      </c>
      <c r="H2999" s="3" t="str">
        <f>"CARMIL3"</f>
        <v>CARMIL3</v>
      </c>
      <c r="I2999" s="3" t="str">
        <f t="shared" si="127"/>
        <v>protein_coding</v>
      </c>
    </row>
    <row r="3000" spans="1:9" x14ac:dyDescent="0.2">
      <c r="A3000" s="3" t="str">
        <f>"ENSG00000100918.13"</f>
        <v>ENSG00000100918.13</v>
      </c>
      <c r="B3000" s="3">
        <v>171.30636806533201</v>
      </c>
      <c r="C3000" s="3">
        <v>-1.0410955098938099</v>
      </c>
      <c r="D3000" s="3">
        <v>0.38324161682845598</v>
      </c>
      <c r="E3000" s="3">
        <v>-2.7165512934359102</v>
      </c>
      <c r="F3000" s="3">
        <v>6.5965972595490403E-3</v>
      </c>
      <c r="G3000" s="3">
        <v>2.97645567827724E-2</v>
      </c>
      <c r="H3000" s="3" t="str">
        <f>"REC8"</f>
        <v>REC8</v>
      </c>
      <c r="I3000" s="3" t="str">
        <f t="shared" si="127"/>
        <v>protein_coding</v>
      </c>
    </row>
    <row r="3001" spans="1:9" x14ac:dyDescent="0.2">
      <c r="A3001" s="3" t="str">
        <f>"ENSG00000278784.1"</f>
        <v>ENSG00000278784.1</v>
      </c>
      <c r="B3001" s="3">
        <v>118.697725816012</v>
      </c>
      <c r="C3001" s="3">
        <v>1.2990951621700499</v>
      </c>
      <c r="D3001" s="3">
        <v>0.38050637637711099</v>
      </c>
      <c r="E3001" s="3">
        <v>3.4141219249438999</v>
      </c>
      <c r="F3001" s="3">
        <v>6.3987933650327001E-4</v>
      </c>
      <c r="G3001" s="3">
        <v>4.1592156872712503E-3</v>
      </c>
      <c r="H3001" s="3" t="str">
        <f>"AL136295.7"</f>
        <v>AL136295.7</v>
      </c>
      <c r="I3001" s="3" t="str">
        <f>"sense_intronic"</f>
        <v>sense_intronic</v>
      </c>
    </row>
    <row r="3002" spans="1:9" x14ac:dyDescent="0.2">
      <c r="A3002" s="3" t="str">
        <f>"ENSG00000092295.12"</f>
        <v>ENSG00000092295.12</v>
      </c>
      <c r="B3002" s="3">
        <v>225.08116994423901</v>
      </c>
      <c r="C3002" s="3">
        <v>2.21486163581713</v>
      </c>
      <c r="D3002" s="3">
        <v>0.348404831584329</v>
      </c>
      <c r="E3002" s="3">
        <v>6.3571496002088104</v>
      </c>
      <c r="F3002" s="4">
        <v>2.0553180819638901E-10</v>
      </c>
      <c r="G3002" s="4">
        <v>4.56727264591888E-9</v>
      </c>
      <c r="H3002" s="3" t="str">
        <f>"TGM1"</f>
        <v>TGM1</v>
      </c>
      <c r="I3002" s="3" t="str">
        <f t="shared" ref="I3002:I3008" si="128">"protein_coding"</f>
        <v>protein_coding</v>
      </c>
    </row>
    <row r="3003" spans="1:9" x14ac:dyDescent="0.2">
      <c r="A3003" s="3" t="str">
        <f>"ENSG00000100949.14"</f>
        <v>ENSG00000100949.14</v>
      </c>
      <c r="B3003" s="3">
        <v>2542.65149994275</v>
      </c>
      <c r="C3003" s="3">
        <v>1.9666881026565299</v>
      </c>
      <c r="D3003" s="3">
        <v>0.29108348958296398</v>
      </c>
      <c r="E3003" s="3">
        <v>6.7564398979626503</v>
      </c>
      <c r="F3003" s="4">
        <v>1.41423605624263E-11</v>
      </c>
      <c r="G3003" s="4">
        <v>3.5717979914441198E-10</v>
      </c>
      <c r="H3003" s="3" t="str">
        <f>"RABGGTA"</f>
        <v>RABGGTA</v>
      </c>
      <c r="I3003" s="3" t="str">
        <f t="shared" si="128"/>
        <v>protein_coding</v>
      </c>
    </row>
    <row r="3004" spans="1:9" x14ac:dyDescent="0.2">
      <c r="A3004" s="3" t="str">
        <f>"ENSG00000136305.11"</f>
        <v>ENSG00000136305.11</v>
      </c>
      <c r="B3004" s="3">
        <v>391.25791354197401</v>
      </c>
      <c r="C3004" s="3">
        <v>1.5355392731463899</v>
      </c>
      <c r="D3004" s="3">
        <v>0.30518703050851897</v>
      </c>
      <c r="E3004" s="3">
        <v>5.0314696223748099</v>
      </c>
      <c r="F3004" s="4">
        <v>4.8673424105712003E-7</v>
      </c>
      <c r="G3004" s="4">
        <v>6.4816304043366097E-6</v>
      </c>
      <c r="H3004" s="3" t="str">
        <f>"CIDEB"</f>
        <v>CIDEB</v>
      </c>
      <c r="I3004" s="3" t="str">
        <f t="shared" si="128"/>
        <v>protein_coding</v>
      </c>
    </row>
    <row r="3005" spans="1:9" x14ac:dyDescent="0.2">
      <c r="A3005" s="3" t="str">
        <f>"ENSG00000100968.14"</f>
        <v>ENSG00000100968.14</v>
      </c>
      <c r="B3005" s="3">
        <v>32.812023673558798</v>
      </c>
      <c r="C3005" s="3">
        <v>-1.90267890514626</v>
      </c>
      <c r="D3005" s="3">
        <v>0.63629388785682806</v>
      </c>
      <c r="E3005" s="3">
        <v>-2.9902517397344202</v>
      </c>
      <c r="F3005" s="3">
        <v>2.7874761518070202E-3</v>
      </c>
      <c r="G3005" s="3">
        <v>1.4484396322806301E-2</v>
      </c>
      <c r="H3005" s="3" t="str">
        <f>"NFATC4"</f>
        <v>NFATC4</v>
      </c>
      <c r="I3005" s="3" t="str">
        <f t="shared" si="128"/>
        <v>protein_coding</v>
      </c>
    </row>
    <row r="3006" spans="1:9" x14ac:dyDescent="0.2">
      <c r="A3006" s="3" t="str">
        <f>"ENSG00000168952.15"</f>
        <v>ENSG00000168952.15</v>
      </c>
      <c r="B3006" s="3">
        <v>1415.47885467366</v>
      </c>
      <c r="C3006" s="3">
        <v>-1.4285757708671201</v>
      </c>
      <c r="D3006" s="3">
        <v>0.24964348690279001</v>
      </c>
      <c r="E3006" s="3">
        <v>-5.7224636163786498</v>
      </c>
      <c r="F3006" s="4">
        <v>1.0499033348390901E-8</v>
      </c>
      <c r="G3006" s="4">
        <v>1.84300895937735E-7</v>
      </c>
      <c r="H3006" s="3" t="str">
        <f>"STXBP6"</f>
        <v>STXBP6</v>
      </c>
      <c r="I3006" s="3" t="str">
        <f t="shared" si="128"/>
        <v>protein_coding</v>
      </c>
    </row>
    <row r="3007" spans="1:9" x14ac:dyDescent="0.2">
      <c r="A3007" s="3" t="str">
        <f>"ENSG00000139910.20"</f>
        <v>ENSG00000139910.20</v>
      </c>
      <c r="B3007" s="3">
        <v>30.643286965851701</v>
      </c>
      <c r="C3007" s="3">
        <v>-2.7648350828969299</v>
      </c>
      <c r="D3007" s="3">
        <v>0.70978614867468803</v>
      </c>
      <c r="E3007" s="3">
        <v>-3.8953071823948999</v>
      </c>
      <c r="F3007" s="4">
        <v>9.8074355552389895E-5</v>
      </c>
      <c r="G3007" s="3">
        <v>7.9788499803375395E-4</v>
      </c>
      <c r="H3007" s="3" t="str">
        <f>"NOVA1"</f>
        <v>NOVA1</v>
      </c>
      <c r="I3007" s="3" t="str">
        <f t="shared" si="128"/>
        <v>protein_coding</v>
      </c>
    </row>
    <row r="3008" spans="1:9" x14ac:dyDescent="0.2">
      <c r="A3008" s="3" t="str">
        <f>"ENSG00000100473.17"</f>
        <v>ENSG00000100473.17</v>
      </c>
      <c r="B3008" s="3">
        <v>2490.2661564148598</v>
      </c>
      <c r="C3008" s="3">
        <v>-1.3793029174640199</v>
      </c>
      <c r="D3008" s="3">
        <v>0.25104986417271002</v>
      </c>
      <c r="E3008" s="3">
        <v>-5.4941392699385103</v>
      </c>
      <c r="F3008" s="4">
        <v>3.9262056714952899E-8</v>
      </c>
      <c r="G3008" s="4">
        <v>6.2746952774119504E-7</v>
      </c>
      <c r="H3008" s="3" t="str">
        <f>"COCH"</f>
        <v>COCH</v>
      </c>
      <c r="I3008" s="3" t="str">
        <f t="shared" si="128"/>
        <v>protein_coding</v>
      </c>
    </row>
    <row r="3009" spans="1:9" x14ac:dyDescent="0.2">
      <c r="A3009" s="3" t="str">
        <f>"ENSG00000258474.1"</f>
        <v>ENSG00000258474.1</v>
      </c>
      <c r="B3009" s="3">
        <v>105.87977341461</v>
      </c>
      <c r="C3009" s="3">
        <v>-2.4729838609253498</v>
      </c>
      <c r="D3009" s="3">
        <v>0.42264813731171902</v>
      </c>
      <c r="E3009" s="3">
        <v>-5.8511646985005603</v>
      </c>
      <c r="F3009" s="4">
        <v>4.8814254464457298E-9</v>
      </c>
      <c r="G3009" s="4">
        <v>9.0621591959662297E-8</v>
      </c>
      <c r="H3009" s="3" t="str">
        <f>"LINC02313"</f>
        <v>LINC02313</v>
      </c>
      <c r="I3009" s="3" t="str">
        <f>"lincRNA"</f>
        <v>lincRNA</v>
      </c>
    </row>
    <row r="3010" spans="1:9" x14ac:dyDescent="0.2">
      <c r="A3010" s="3" t="str">
        <f>"ENSG00000129521.13"</f>
        <v>ENSG00000129521.13</v>
      </c>
      <c r="B3010" s="3">
        <v>499.30664245001998</v>
      </c>
      <c r="C3010" s="3">
        <v>3.24531884515932</v>
      </c>
      <c r="D3010" s="3">
        <v>0.28626763558880602</v>
      </c>
      <c r="E3010" s="3">
        <v>11.3366599702555</v>
      </c>
      <c r="F3010" s="4">
        <v>8.6378613768718194E-30</v>
      </c>
      <c r="G3010" s="4">
        <v>8.7969798759194593E-28</v>
      </c>
      <c r="H3010" s="3" t="str">
        <f>"EGLN3"</f>
        <v>EGLN3</v>
      </c>
      <c r="I3010" s="3" t="str">
        <f>"protein_coding"</f>
        <v>protein_coding</v>
      </c>
    </row>
    <row r="3011" spans="1:9" x14ac:dyDescent="0.2">
      <c r="A3011" s="3" t="str">
        <f>"ENSG00000258897.1"</f>
        <v>ENSG00000258897.1</v>
      </c>
      <c r="B3011" s="3">
        <v>29.339461139060301</v>
      </c>
      <c r="C3011" s="3">
        <v>4.9044052332802597</v>
      </c>
      <c r="D3011" s="3">
        <v>0.941298551266471</v>
      </c>
      <c r="E3011" s="3">
        <v>5.2102547344640202</v>
      </c>
      <c r="F3011" s="4">
        <v>1.88581528007441E-7</v>
      </c>
      <c r="G3011" s="4">
        <v>2.7076303293534202E-6</v>
      </c>
      <c r="H3011" s="3" t="str">
        <f>"EGLN3-AS1"</f>
        <v>EGLN3-AS1</v>
      </c>
      <c r="I3011" s="3" t="str">
        <f>"antisense"</f>
        <v>antisense</v>
      </c>
    </row>
    <row r="3012" spans="1:9" x14ac:dyDescent="0.2">
      <c r="A3012" s="3" t="str">
        <f>"ENSG00000165389.7"</f>
        <v>ENSG00000165389.7</v>
      </c>
      <c r="B3012" s="3">
        <v>7388.2173626500398</v>
      </c>
      <c r="C3012" s="3">
        <v>1.6488359299486699</v>
      </c>
      <c r="D3012" s="3">
        <v>0.23961708193745701</v>
      </c>
      <c r="E3012" s="3">
        <v>6.8811284930805998</v>
      </c>
      <c r="F3012" s="4">
        <v>5.9380258787694398E-12</v>
      </c>
      <c r="G3012" s="4">
        <v>1.5723267471625801E-10</v>
      </c>
      <c r="H3012" s="3" t="str">
        <f>"SPTSSA"</f>
        <v>SPTSSA</v>
      </c>
      <c r="I3012" s="3" t="str">
        <f>"protein_coding"</f>
        <v>protein_coding</v>
      </c>
    </row>
    <row r="3013" spans="1:9" x14ac:dyDescent="0.2">
      <c r="A3013" s="3" t="str">
        <f>"ENSG00000258738.1"</f>
        <v>ENSG00000258738.1</v>
      </c>
      <c r="B3013" s="3">
        <v>331.89584288038799</v>
      </c>
      <c r="C3013" s="3">
        <v>-1.01284010223214</v>
      </c>
      <c r="D3013" s="3">
        <v>0.30045425112742502</v>
      </c>
      <c r="E3013" s="3">
        <v>-3.3710293611475102</v>
      </c>
      <c r="F3013" s="3">
        <v>7.4887875867875396E-4</v>
      </c>
      <c r="G3013" s="3">
        <v>4.7679182927269203E-3</v>
      </c>
      <c r="H3013" s="3" t="str">
        <f>"AL121603.2"</f>
        <v>AL121603.2</v>
      </c>
      <c r="I3013" s="3" t="str">
        <f>"antisense"</f>
        <v>antisense</v>
      </c>
    </row>
    <row r="3014" spans="1:9" x14ac:dyDescent="0.2">
      <c r="A3014" s="3" t="str">
        <f>"ENSG00000151327.12"</f>
        <v>ENSG00000151327.12</v>
      </c>
      <c r="B3014" s="3">
        <v>2200.9827031913201</v>
      </c>
      <c r="C3014" s="3">
        <v>-1.1327623677720899</v>
      </c>
      <c r="D3014" s="3">
        <v>0.24748069274548701</v>
      </c>
      <c r="E3014" s="3">
        <v>-4.5771747088854298</v>
      </c>
      <c r="F3014" s="4">
        <v>4.7129783810248103E-6</v>
      </c>
      <c r="G3014" s="4">
        <v>5.1997794374859197E-5</v>
      </c>
      <c r="H3014" s="3" t="str">
        <f>"FAM177A1"</f>
        <v>FAM177A1</v>
      </c>
      <c r="I3014" s="3" t="str">
        <f>"protein_coding"</f>
        <v>protein_coding</v>
      </c>
    </row>
    <row r="3015" spans="1:9" x14ac:dyDescent="0.2">
      <c r="A3015" s="3" t="str">
        <f>"ENSG00000100916.14"</f>
        <v>ENSG00000100916.14</v>
      </c>
      <c r="B3015" s="3">
        <v>4018.3981496473202</v>
      </c>
      <c r="C3015" s="3">
        <v>1.6428619261399999</v>
      </c>
      <c r="D3015" s="3">
        <v>0.252855195056919</v>
      </c>
      <c r="E3015" s="3">
        <v>6.4972441075224303</v>
      </c>
      <c r="F3015" s="4">
        <v>8.18046698691978E-11</v>
      </c>
      <c r="G3015" s="4">
        <v>1.9000890771557401E-9</v>
      </c>
      <c r="H3015" s="3" t="str">
        <f>"BRMS1L"</f>
        <v>BRMS1L</v>
      </c>
      <c r="I3015" s="3" t="str">
        <f>"protein_coding"</f>
        <v>protein_coding</v>
      </c>
    </row>
    <row r="3016" spans="1:9" x14ac:dyDescent="0.2">
      <c r="A3016" s="3" t="str">
        <f>"ENSG00000257272.1"</f>
        <v>ENSG00000257272.1</v>
      </c>
      <c r="B3016" s="3">
        <v>69.307197981759302</v>
      </c>
      <c r="C3016" s="3">
        <v>2.7893111669585799</v>
      </c>
      <c r="D3016" s="3">
        <v>0.51273713042951197</v>
      </c>
      <c r="E3016" s="3">
        <v>5.4400413026886003</v>
      </c>
      <c r="F3016" s="4">
        <v>5.3268220251682097E-8</v>
      </c>
      <c r="G3016" s="4">
        <v>8.3175796426509305E-7</v>
      </c>
      <c r="H3016" s="3" t="str">
        <f>"AL162311.1"</f>
        <v>AL162311.1</v>
      </c>
      <c r="I3016" s="3" t="str">
        <f>"lincRNA"</f>
        <v>lincRNA</v>
      </c>
    </row>
    <row r="3017" spans="1:9" x14ac:dyDescent="0.2">
      <c r="A3017" s="3" t="str">
        <f>"ENSG00000257307.1"</f>
        <v>ENSG00000257307.1</v>
      </c>
      <c r="B3017" s="3">
        <v>66.326142170358693</v>
      </c>
      <c r="C3017" s="3">
        <v>3.1027237762389599</v>
      </c>
      <c r="D3017" s="3">
        <v>0.51368451155164097</v>
      </c>
      <c r="E3017" s="3">
        <v>6.0401349592317697</v>
      </c>
      <c r="F3017" s="4">
        <v>1.53985376943113E-9</v>
      </c>
      <c r="G3017" s="4">
        <v>3.05000169842834E-8</v>
      </c>
      <c r="H3017" s="3" t="str">
        <f>"AL162311.2"</f>
        <v>AL162311.2</v>
      </c>
      <c r="I3017" s="3" t="str">
        <f>"processed_pseudogene"</f>
        <v>processed_pseudogene</v>
      </c>
    </row>
    <row r="3018" spans="1:9" x14ac:dyDescent="0.2">
      <c r="A3018" s="3" t="str">
        <f>"ENSG00000139874.6"</f>
        <v>ENSG00000139874.6</v>
      </c>
      <c r="B3018" s="3">
        <v>31.216739693958999</v>
      </c>
      <c r="C3018" s="3">
        <v>-2.5315396166362998</v>
      </c>
      <c r="D3018" s="3">
        <v>0.67957337521476502</v>
      </c>
      <c r="E3018" s="3">
        <v>-3.72518952178822</v>
      </c>
      <c r="F3018" s="3">
        <v>1.9516853478037099E-4</v>
      </c>
      <c r="G3018" s="3">
        <v>1.4620203967838699E-3</v>
      </c>
      <c r="H3018" s="3" t="str">
        <f>"SSTR1"</f>
        <v>SSTR1</v>
      </c>
      <c r="I3018" s="3" t="str">
        <f>"protein_coding"</f>
        <v>protein_coding</v>
      </c>
    </row>
    <row r="3019" spans="1:9" x14ac:dyDescent="0.2">
      <c r="A3019" s="3" t="str">
        <f>"ENSG00000179476.8"</f>
        <v>ENSG00000179476.8</v>
      </c>
      <c r="B3019" s="3">
        <v>249.72323669068501</v>
      </c>
      <c r="C3019" s="3">
        <v>1.2144083721654</v>
      </c>
      <c r="D3019" s="3">
        <v>0.33029354723061499</v>
      </c>
      <c r="E3019" s="3">
        <v>3.6767547605690498</v>
      </c>
      <c r="F3019" s="3">
        <v>2.36219935063525E-4</v>
      </c>
      <c r="G3019" s="3">
        <v>1.73188938109093E-3</v>
      </c>
      <c r="H3019" s="3" t="str">
        <f>"C14orf28"</f>
        <v>C14orf28</v>
      </c>
      <c r="I3019" s="3" t="str">
        <f>"protein_coding"</f>
        <v>protein_coding</v>
      </c>
    </row>
    <row r="3020" spans="1:9" x14ac:dyDescent="0.2">
      <c r="A3020" s="3" t="str">
        <f>"ENSG00000258616.5"</f>
        <v>ENSG00000258616.5</v>
      </c>
      <c r="B3020" s="3">
        <v>125.835289592717</v>
      </c>
      <c r="C3020" s="3">
        <v>8.0384634293142394</v>
      </c>
      <c r="D3020" s="3">
        <v>1.1044223417579</v>
      </c>
      <c r="E3020" s="3">
        <v>7.2784324668038902</v>
      </c>
      <c r="F3020" s="4">
        <v>3.3772121864293302E-13</v>
      </c>
      <c r="G3020" s="4">
        <v>1.0372866001175801E-11</v>
      </c>
      <c r="H3020" s="3" t="str">
        <f>"LINC02303"</f>
        <v>LINC02303</v>
      </c>
      <c r="I3020" s="3" t="str">
        <f>"lincRNA"</f>
        <v>lincRNA</v>
      </c>
    </row>
    <row r="3021" spans="1:9" x14ac:dyDescent="0.2">
      <c r="A3021" s="3" t="str">
        <f>"ENSG00000165501.17"</f>
        <v>ENSG00000165501.17</v>
      </c>
      <c r="B3021" s="3">
        <v>430.51036014486698</v>
      </c>
      <c r="C3021" s="3">
        <v>-1.13519855806743</v>
      </c>
      <c r="D3021" s="3">
        <v>0.30161891368176402</v>
      </c>
      <c r="E3021" s="3">
        <v>-3.7636849235030798</v>
      </c>
      <c r="F3021" s="3">
        <v>1.67427812421943E-4</v>
      </c>
      <c r="G3021" s="3">
        <v>1.2743257553627799E-3</v>
      </c>
      <c r="H3021" s="3" t="str">
        <f>"LRR1"</f>
        <v>LRR1</v>
      </c>
      <c r="I3021" s="3" t="str">
        <f>"protein_coding"</f>
        <v>protein_coding</v>
      </c>
    </row>
    <row r="3022" spans="1:9" x14ac:dyDescent="0.2">
      <c r="A3022" s="3" t="str">
        <f>"ENSG00000100479.13"</f>
        <v>ENSG00000100479.13</v>
      </c>
      <c r="B3022" s="3">
        <v>389.51766915611802</v>
      </c>
      <c r="C3022" s="3">
        <v>-1.19712835083743</v>
      </c>
      <c r="D3022" s="3">
        <v>0.31181541835988902</v>
      </c>
      <c r="E3022" s="3">
        <v>-3.83922115568941</v>
      </c>
      <c r="F3022" s="3">
        <v>1.2342521778351399E-4</v>
      </c>
      <c r="G3022" s="3">
        <v>9.7787759160450111E-4</v>
      </c>
      <c r="H3022" s="3" t="str">
        <f>"POLE2"</f>
        <v>POLE2</v>
      </c>
      <c r="I3022" s="3" t="str">
        <f>"protein_coding"</f>
        <v>protein_coding</v>
      </c>
    </row>
    <row r="3023" spans="1:9" x14ac:dyDescent="0.2">
      <c r="A3023" s="3" t="str">
        <f>"ENSG00000165525.18"</f>
        <v>ENSG00000165525.18</v>
      </c>
      <c r="B3023" s="3">
        <v>2189.9061618672699</v>
      </c>
      <c r="C3023" s="3">
        <v>1.28965438387127</v>
      </c>
      <c r="D3023" s="3">
        <v>0.279041160461584</v>
      </c>
      <c r="E3023" s="3">
        <v>4.6217353086474802</v>
      </c>
      <c r="F3023" s="4">
        <v>3.80543363202318E-6</v>
      </c>
      <c r="G3023" s="4">
        <v>4.2753766419626198E-5</v>
      </c>
      <c r="H3023" s="3" t="str">
        <f>"NEMF"</f>
        <v>NEMF</v>
      </c>
      <c r="I3023" s="3" t="str">
        <f>"protein_coding"</f>
        <v>protein_coding</v>
      </c>
    </row>
    <row r="3024" spans="1:9" x14ac:dyDescent="0.2">
      <c r="A3024" s="3" t="str">
        <f>"ENSG00000100490.9"</f>
        <v>ENSG00000100490.9</v>
      </c>
      <c r="B3024" s="3">
        <v>295.78839628301699</v>
      </c>
      <c r="C3024" s="3">
        <v>1.42650897575367</v>
      </c>
      <c r="D3024" s="3">
        <v>0.32186808579768</v>
      </c>
      <c r="E3024" s="3">
        <v>4.4319677492050102</v>
      </c>
      <c r="F3024" s="4">
        <v>9.3376987023693607E-6</v>
      </c>
      <c r="G3024" s="4">
        <v>9.6325701963526596E-5</v>
      </c>
      <c r="H3024" s="3" t="str">
        <f>"CDKL1"</f>
        <v>CDKL1</v>
      </c>
      <c r="I3024" s="3" t="str">
        <f>"protein_coding"</f>
        <v>protein_coding</v>
      </c>
    </row>
    <row r="3025" spans="1:9" x14ac:dyDescent="0.2">
      <c r="A3025" s="3" t="str">
        <f>"ENSG00000151748.14"</f>
        <v>ENSG00000151748.14</v>
      </c>
      <c r="B3025" s="3">
        <v>906.63404037241696</v>
      </c>
      <c r="C3025" s="3">
        <v>1.13477144872952</v>
      </c>
      <c r="D3025" s="3">
        <v>0.25975183470228902</v>
      </c>
      <c r="E3025" s="3">
        <v>4.3686753936892</v>
      </c>
      <c r="F3025" s="4">
        <v>1.25002403177454E-5</v>
      </c>
      <c r="G3025" s="3">
        <v>1.24779184600351E-4</v>
      </c>
      <c r="H3025" s="3" t="str">
        <f>"SAV1"</f>
        <v>SAV1</v>
      </c>
      <c r="I3025" s="3" t="str">
        <f>"protein_coding"</f>
        <v>protein_coding</v>
      </c>
    </row>
    <row r="3026" spans="1:9" x14ac:dyDescent="0.2">
      <c r="A3026" s="3" t="str">
        <f>"ENSG00000269906.1"</f>
        <v>ENSG00000269906.1</v>
      </c>
      <c r="B3026" s="3">
        <v>39.471893186557203</v>
      </c>
      <c r="C3026" s="3">
        <v>1.9304740095980699</v>
      </c>
      <c r="D3026" s="3">
        <v>0.61167900744786996</v>
      </c>
      <c r="E3026" s="3">
        <v>3.1560246241777401</v>
      </c>
      <c r="F3026" s="3">
        <v>1.5993535765610901E-3</v>
      </c>
      <c r="G3026" s="3">
        <v>9.0919184674337402E-3</v>
      </c>
      <c r="H3026" s="3" t="str">
        <f>"AL606834.1"</f>
        <v>AL606834.1</v>
      </c>
      <c r="I3026" s="3" t="str">
        <f>"sense_intronic"</f>
        <v>sense_intronic</v>
      </c>
    </row>
    <row r="3027" spans="1:9" x14ac:dyDescent="0.2">
      <c r="A3027" s="3" t="str">
        <f>"ENSG00000180998.12"</f>
        <v>ENSG00000180998.12</v>
      </c>
      <c r="B3027" s="3">
        <v>152.55623429201</v>
      </c>
      <c r="C3027" s="3">
        <v>-1.5916960995320699</v>
      </c>
      <c r="D3027" s="3">
        <v>0.355242099492797</v>
      </c>
      <c r="E3027" s="3">
        <v>-4.4805953511834504</v>
      </c>
      <c r="F3027" s="4">
        <v>7.4435116354398904E-6</v>
      </c>
      <c r="G3027" s="4">
        <v>7.8938252609397303E-5</v>
      </c>
      <c r="H3027" s="3" t="str">
        <f>"GPR137C"</f>
        <v>GPR137C</v>
      </c>
      <c r="I3027" s="3" t="str">
        <f>"protein_coding"</f>
        <v>protein_coding</v>
      </c>
    </row>
    <row r="3028" spans="1:9" x14ac:dyDescent="0.2">
      <c r="A3028" s="3" t="str">
        <f>"ENSG00000131981.16"</f>
        <v>ENSG00000131981.16</v>
      </c>
      <c r="B3028" s="3">
        <v>835.80399188804302</v>
      </c>
      <c r="C3028" s="3">
        <v>1.2901584350134401</v>
      </c>
      <c r="D3028" s="3">
        <v>0.28250777965363899</v>
      </c>
      <c r="E3028" s="3">
        <v>4.5668067498714704</v>
      </c>
      <c r="F3028" s="4">
        <v>4.9521015856786196E-6</v>
      </c>
      <c r="G3028" s="4">
        <v>5.4278917380281398E-5</v>
      </c>
      <c r="H3028" s="3" t="str">
        <f>"LGALS3"</f>
        <v>LGALS3</v>
      </c>
      <c r="I3028" s="3" t="str">
        <f>"protein_coding"</f>
        <v>protein_coding</v>
      </c>
    </row>
    <row r="3029" spans="1:9" x14ac:dyDescent="0.2">
      <c r="A3029" s="3" t="str">
        <f>"ENSG00000258469.1"</f>
        <v>ENSG00000258469.1</v>
      </c>
      <c r="B3029" s="3">
        <v>94.261214794519006</v>
      </c>
      <c r="C3029" s="3">
        <v>1.31889966218974</v>
      </c>
      <c r="D3029" s="3">
        <v>0.437838144947855</v>
      </c>
      <c r="E3029" s="3">
        <v>3.0122995846942899</v>
      </c>
      <c r="F3029" s="3">
        <v>2.5927657822054201E-3</v>
      </c>
      <c r="G3029" s="3">
        <v>1.3613237998617699E-2</v>
      </c>
      <c r="H3029" s="3" t="str">
        <f>"CHMP4BP1"</f>
        <v>CHMP4BP1</v>
      </c>
      <c r="I3029" s="3" t="str">
        <f>"processed_pseudogene"</f>
        <v>processed_pseudogene</v>
      </c>
    </row>
    <row r="3030" spans="1:9" x14ac:dyDescent="0.2">
      <c r="A3030" s="3" t="str">
        <f>"ENSG00000070269.14"</f>
        <v>ENSG00000070269.14</v>
      </c>
      <c r="B3030" s="3">
        <v>653.36324505542996</v>
      </c>
      <c r="C3030" s="3">
        <v>1.0830338074021899</v>
      </c>
      <c r="D3030" s="3">
        <v>0.27540843510375301</v>
      </c>
      <c r="E3030" s="3">
        <v>3.9324641853986</v>
      </c>
      <c r="F3030" s="4">
        <v>8.4079509601426506E-5</v>
      </c>
      <c r="G3030" s="3">
        <v>6.9527286785795003E-4</v>
      </c>
      <c r="H3030" s="3" t="str">
        <f>"TMEM260"</f>
        <v>TMEM260</v>
      </c>
      <c r="I3030" s="3" t="str">
        <f>"protein_coding"</f>
        <v>protein_coding</v>
      </c>
    </row>
    <row r="3031" spans="1:9" x14ac:dyDescent="0.2">
      <c r="A3031" s="3" t="str">
        <f>"ENSG00000258592.1"</f>
        <v>ENSG00000258592.1</v>
      </c>
      <c r="B3031" s="3">
        <v>22.019191023968801</v>
      </c>
      <c r="C3031" s="3">
        <v>3.8528795626495298</v>
      </c>
      <c r="D3031" s="3">
        <v>0.91505480792568294</v>
      </c>
      <c r="E3031" s="3">
        <v>4.2105451272187002</v>
      </c>
      <c r="F3031" s="4">
        <v>2.5475522769799399E-5</v>
      </c>
      <c r="G3031" s="3">
        <v>2.39118199729218E-4</v>
      </c>
      <c r="H3031" s="3" t="str">
        <f>"AL391152.1"</f>
        <v>AL391152.1</v>
      </c>
      <c r="I3031" s="3" t="str">
        <f>"lincRNA"</f>
        <v>lincRNA</v>
      </c>
    </row>
    <row r="3032" spans="1:9" x14ac:dyDescent="0.2">
      <c r="A3032" s="3" t="str">
        <f>"ENSG00000100557.9"</f>
        <v>ENSG00000100557.9</v>
      </c>
      <c r="B3032" s="3">
        <v>41.004759788704803</v>
      </c>
      <c r="C3032" s="3">
        <v>-2.3657754617074098</v>
      </c>
      <c r="D3032" s="3">
        <v>0.627506100015224</v>
      </c>
      <c r="E3032" s="3">
        <v>-3.7701234484413999</v>
      </c>
      <c r="F3032" s="3">
        <v>1.63166817843781E-4</v>
      </c>
      <c r="G3032" s="3">
        <v>1.24793593884473E-3</v>
      </c>
      <c r="H3032" s="3" t="str">
        <f>"CCDC198"</f>
        <v>CCDC198</v>
      </c>
      <c r="I3032" s="3" t="str">
        <f>"protein_coding"</f>
        <v>protein_coding</v>
      </c>
    </row>
    <row r="3033" spans="1:9" x14ac:dyDescent="0.2">
      <c r="A3033" s="3" t="str">
        <f>"ENSG00000257621.7"</f>
        <v>ENSG00000257621.7</v>
      </c>
      <c r="B3033" s="3">
        <v>1258.6085696555899</v>
      </c>
      <c r="C3033" s="3">
        <v>1.1724065126943599</v>
      </c>
      <c r="D3033" s="3">
        <v>0.25388284185101101</v>
      </c>
      <c r="E3033" s="3">
        <v>4.6179036919020202</v>
      </c>
      <c r="F3033" s="4">
        <v>3.8763607173878204E-6</v>
      </c>
      <c r="G3033" s="4">
        <v>4.34729620356177E-5</v>
      </c>
      <c r="H3033" s="3" t="str">
        <f>"PSMA3-AS1"</f>
        <v>PSMA3-AS1</v>
      </c>
      <c r="I3033" s="3" t="str">
        <f>"antisense"</f>
        <v>antisense</v>
      </c>
    </row>
    <row r="3034" spans="1:9" x14ac:dyDescent="0.2">
      <c r="A3034" s="3" t="str">
        <f>"ENSG00000139970.17"</f>
        <v>ENSG00000139970.17</v>
      </c>
      <c r="B3034" s="3">
        <v>58.448422192617301</v>
      </c>
      <c r="C3034" s="3">
        <v>2.9608922684124401</v>
      </c>
      <c r="D3034" s="3">
        <v>0.53785913845598998</v>
      </c>
      <c r="E3034" s="3">
        <v>5.5049585601764601</v>
      </c>
      <c r="F3034" s="4">
        <v>3.6925511629898601E-8</v>
      </c>
      <c r="G3034" s="4">
        <v>5.9276403640721103E-7</v>
      </c>
      <c r="H3034" s="3" t="str">
        <f>"RTN1"</f>
        <v>RTN1</v>
      </c>
      <c r="I3034" s="3" t="str">
        <f>"protein_coding"</f>
        <v>protein_coding</v>
      </c>
    </row>
    <row r="3035" spans="1:9" x14ac:dyDescent="0.2">
      <c r="A3035" s="3" t="str">
        <f>"ENSG00000254718.6"</f>
        <v>ENSG00000254718.6</v>
      </c>
      <c r="B3035" s="3">
        <v>20.205520565744099</v>
      </c>
      <c r="C3035" s="3">
        <v>2.7596673916274899</v>
      </c>
      <c r="D3035" s="3">
        <v>0.82062991121921403</v>
      </c>
      <c r="E3035" s="3">
        <v>3.36286473829285</v>
      </c>
      <c r="F3035" s="3">
        <v>7.7138149582492996E-4</v>
      </c>
      <c r="G3035" s="3">
        <v>4.8923104346514402E-3</v>
      </c>
      <c r="H3035" s="3" t="str">
        <f>"AL157756.1"</f>
        <v>AL157756.1</v>
      </c>
      <c r="I3035" s="3" t="str">
        <f>"antisense"</f>
        <v>antisense</v>
      </c>
    </row>
    <row r="3036" spans="1:9" x14ac:dyDescent="0.2">
      <c r="A3036" s="3" t="str">
        <f>"ENSG00000100614.18"</f>
        <v>ENSG00000100614.18</v>
      </c>
      <c r="B3036" s="3">
        <v>2560.5298561725299</v>
      </c>
      <c r="C3036" s="3">
        <v>1.7772276061572401</v>
      </c>
      <c r="D3036" s="3">
        <v>0.25221745405899498</v>
      </c>
      <c r="E3036" s="3">
        <v>7.04641006225342</v>
      </c>
      <c r="F3036" s="4">
        <v>1.8359269499999698E-12</v>
      </c>
      <c r="G3036" s="4">
        <v>5.1200379631096803E-11</v>
      </c>
      <c r="H3036" s="3" t="str">
        <f>"PPM1A"</f>
        <v>PPM1A</v>
      </c>
      <c r="I3036" s="3" t="str">
        <f>"protein_coding"</f>
        <v>protein_coding</v>
      </c>
    </row>
    <row r="3037" spans="1:9" x14ac:dyDescent="0.2">
      <c r="A3037" s="3" t="str">
        <f>"ENSG00000100625.9"</f>
        <v>ENSG00000100625.9</v>
      </c>
      <c r="B3037" s="3">
        <v>776.93817292802805</v>
      </c>
      <c r="C3037" s="3">
        <v>-1.1230807074265801</v>
      </c>
      <c r="D3037" s="3">
        <v>0.26160788395332901</v>
      </c>
      <c r="E3037" s="3">
        <v>-4.2929925904944897</v>
      </c>
      <c r="F3037" s="4">
        <v>1.7628089135328101E-5</v>
      </c>
      <c r="G3037" s="3">
        <v>1.71408806416381E-4</v>
      </c>
      <c r="H3037" s="3" t="str">
        <f>"SIX4"</f>
        <v>SIX4</v>
      </c>
      <c r="I3037" s="3" t="str">
        <f>"protein_coding"</f>
        <v>protein_coding</v>
      </c>
    </row>
    <row r="3038" spans="1:9" x14ac:dyDescent="0.2">
      <c r="A3038" s="3" t="str">
        <f>"ENSG00000232774.7"</f>
        <v>ENSG00000232774.7</v>
      </c>
      <c r="B3038" s="3">
        <v>33.048006297059899</v>
      </c>
      <c r="C3038" s="3">
        <v>1.62525979870125</v>
      </c>
      <c r="D3038" s="3">
        <v>0.63047827021976699</v>
      </c>
      <c r="E3038" s="3">
        <v>2.5778204824327</v>
      </c>
      <c r="F3038" s="3">
        <v>9.9425635878193398E-3</v>
      </c>
      <c r="G3038" s="3">
        <v>4.2083995802052097E-2</v>
      </c>
      <c r="H3038" s="3" t="str">
        <f>"AL355916.1"</f>
        <v>AL355916.1</v>
      </c>
      <c r="I3038" s="3" t="str">
        <f>"lincRNA"</f>
        <v>lincRNA</v>
      </c>
    </row>
    <row r="3039" spans="1:9" x14ac:dyDescent="0.2">
      <c r="A3039" s="3" t="str">
        <f>"ENSG00000274015.1"</f>
        <v>ENSG00000274015.1</v>
      </c>
      <c r="B3039" s="3">
        <v>29.030335375456001</v>
      </c>
      <c r="C3039" s="3">
        <v>-1.8223000089242001</v>
      </c>
      <c r="D3039" s="3">
        <v>0.66756112421301494</v>
      </c>
      <c r="E3039" s="3">
        <v>-2.7297874948492602</v>
      </c>
      <c r="F3039" s="3">
        <v>6.3375163017194104E-3</v>
      </c>
      <c r="G3039" s="3">
        <v>2.88178276517989E-2</v>
      </c>
      <c r="H3039" s="3" t="str">
        <f>"AL136038.5"</f>
        <v>AL136038.5</v>
      </c>
      <c r="I3039" s="3" t="str">
        <f>"lincRNA"</f>
        <v>lincRNA</v>
      </c>
    </row>
    <row r="3040" spans="1:9" x14ac:dyDescent="0.2">
      <c r="A3040" s="3" t="str">
        <f>"ENSG00000054654.16"</f>
        <v>ENSG00000054654.16</v>
      </c>
      <c r="B3040" s="3">
        <v>1699.2631559515801</v>
      </c>
      <c r="C3040" s="3">
        <v>1.2581708296068399</v>
      </c>
      <c r="D3040" s="3">
        <v>0.25739987590378799</v>
      </c>
      <c r="E3040" s="3">
        <v>4.8880009175961101</v>
      </c>
      <c r="F3040" s="4">
        <v>1.0186505588175701E-6</v>
      </c>
      <c r="G3040" s="4">
        <v>1.27419964232004E-5</v>
      </c>
      <c r="H3040" s="3" t="str">
        <f>"SYNE2"</f>
        <v>SYNE2</v>
      </c>
      <c r="I3040" s="3" t="str">
        <f>"protein_coding"</f>
        <v>protein_coding</v>
      </c>
    </row>
    <row r="3041" spans="1:9" x14ac:dyDescent="0.2">
      <c r="A3041" s="3" t="str">
        <f>"ENSG00000100714.16"</f>
        <v>ENSG00000100714.16</v>
      </c>
      <c r="B3041" s="3">
        <v>2977.8843122793501</v>
      </c>
      <c r="C3041" s="3">
        <v>-1.0302207526999001</v>
      </c>
      <c r="D3041" s="3">
        <v>0.25730102251050602</v>
      </c>
      <c r="E3041" s="3">
        <v>-4.0039512577445304</v>
      </c>
      <c r="F3041" s="4">
        <v>6.2293204760410499E-5</v>
      </c>
      <c r="G3041" s="3">
        <v>5.3462489448929604E-4</v>
      </c>
      <c r="H3041" s="3" t="str">
        <f>"MTHFD1"</f>
        <v>MTHFD1</v>
      </c>
      <c r="I3041" s="3" t="str">
        <f>"protein_coding"</f>
        <v>protein_coding</v>
      </c>
    </row>
    <row r="3042" spans="1:9" x14ac:dyDescent="0.2">
      <c r="A3042" s="3" t="str">
        <f>"ENSG00000179841.8"</f>
        <v>ENSG00000179841.8</v>
      </c>
      <c r="B3042" s="3">
        <v>88.699825090189904</v>
      </c>
      <c r="C3042" s="3">
        <v>-1.81873824686581</v>
      </c>
      <c r="D3042" s="3">
        <v>0.43937673921106601</v>
      </c>
      <c r="E3042" s="3">
        <v>-4.1393594256525601</v>
      </c>
      <c r="F3042" s="4">
        <v>3.4827693212999099E-5</v>
      </c>
      <c r="G3042" s="3">
        <v>3.1719428775271198E-4</v>
      </c>
      <c r="H3042" s="3" t="str">
        <f>"AKAP5"</f>
        <v>AKAP5</v>
      </c>
      <c r="I3042" s="3" t="str">
        <f>"protein_coding"</f>
        <v>protein_coding</v>
      </c>
    </row>
    <row r="3043" spans="1:9" x14ac:dyDescent="0.2">
      <c r="A3043" s="3" t="str">
        <f>"ENSG00000258289.8"</f>
        <v>ENSG00000258289.8</v>
      </c>
      <c r="B3043" s="3">
        <v>391.988107029177</v>
      </c>
      <c r="C3043" s="3">
        <v>1.4787025086785599</v>
      </c>
      <c r="D3043" s="3">
        <v>0.31114543601632899</v>
      </c>
      <c r="E3043" s="3">
        <v>4.7524480114853898</v>
      </c>
      <c r="F3043" s="4">
        <v>2.0096845409882802E-6</v>
      </c>
      <c r="G3043" s="4">
        <v>2.36896038559326E-5</v>
      </c>
      <c r="H3043" s="3" t="str">
        <f>"CHURC1"</f>
        <v>CHURC1</v>
      </c>
      <c r="I3043" s="3" t="str">
        <f>"protein_coding"</f>
        <v>protein_coding</v>
      </c>
    </row>
    <row r="3044" spans="1:9" x14ac:dyDescent="0.2">
      <c r="A3044" s="3" t="str">
        <f>"ENSG00000224861.1"</f>
        <v>ENSG00000224861.1</v>
      </c>
      <c r="B3044" s="3">
        <v>239.45568483123699</v>
      </c>
      <c r="C3044" s="3">
        <v>-1.4453887923458799</v>
      </c>
      <c r="D3044" s="3">
        <v>0.324935773900414</v>
      </c>
      <c r="E3044" s="3">
        <v>-4.4482291838659096</v>
      </c>
      <c r="F3044" s="4">
        <v>8.6581122000771498E-6</v>
      </c>
      <c r="G3044" s="4">
        <v>9.0109562429847203E-5</v>
      </c>
      <c r="H3044" s="3" t="str">
        <f>"YBX1P1"</f>
        <v>YBX1P1</v>
      </c>
      <c r="I3044" s="3" t="str">
        <f>"processed_pseudogene"</f>
        <v>processed_pseudogene</v>
      </c>
    </row>
    <row r="3045" spans="1:9" x14ac:dyDescent="0.2">
      <c r="A3045" s="3" t="str">
        <f>"ENSG00000171723.15"</f>
        <v>ENSG00000171723.15</v>
      </c>
      <c r="B3045" s="3">
        <v>915.03576703664805</v>
      </c>
      <c r="C3045" s="3">
        <v>1.61970130027782</v>
      </c>
      <c r="D3045" s="3">
        <v>0.254201445019276</v>
      </c>
      <c r="E3045" s="3">
        <v>6.3717234186257397</v>
      </c>
      <c r="F3045" s="4">
        <v>1.8691574730407699E-10</v>
      </c>
      <c r="G3045" s="4">
        <v>4.1572640348665498E-9</v>
      </c>
      <c r="H3045" s="3" t="str">
        <f>"GPHN"</f>
        <v>GPHN</v>
      </c>
      <c r="I3045" s="3" t="str">
        <f>"protein_coding"</f>
        <v>protein_coding</v>
      </c>
    </row>
    <row r="3046" spans="1:9" x14ac:dyDescent="0.2">
      <c r="A3046" s="3" t="str">
        <f>"ENSG00000100558.9"</f>
        <v>ENSG00000100558.9</v>
      </c>
      <c r="B3046" s="3">
        <v>16.953354280314699</v>
      </c>
      <c r="C3046" s="3">
        <v>2.92960137734083</v>
      </c>
      <c r="D3046" s="3">
        <v>0.96766752809741396</v>
      </c>
      <c r="E3046" s="3">
        <v>3.02748753293488</v>
      </c>
      <c r="F3046" s="3">
        <v>2.4659588580242101E-3</v>
      </c>
      <c r="G3046" s="3">
        <v>1.30684984450772E-2</v>
      </c>
      <c r="H3046" s="3" t="str">
        <f>"PLEK2"</f>
        <v>PLEK2</v>
      </c>
      <c r="I3046" s="3" t="str">
        <f>"protein_coding"</f>
        <v>protein_coding</v>
      </c>
    </row>
    <row r="3047" spans="1:9" x14ac:dyDescent="0.2">
      <c r="A3047" s="3" t="str">
        <f>"ENSG00000198133.8"</f>
        <v>ENSG00000198133.8</v>
      </c>
      <c r="B3047" s="3">
        <v>428.101114281364</v>
      </c>
      <c r="C3047" s="3">
        <v>4.0412724399017304</v>
      </c>
      <c r="D3047" s="3">
        <v>0.31526785045803202</v>
      </c>
      <c r="E3047" s="3">
        <v>12.8185364731305</v>
      </c>
      <c r="F3047" s="4">
        <v>1.2911460044070099E-37</v>
      </c>
      <c r="G3047" s="4">
        <v>1.8773859965814099E-35</v>
      </c>
      <c r="H3047" s="3" t="str">
        <f>"TMEM229B"</f>
        <v>TMEM229B</v>
      </c>
      <c r="I3047" s="3" t="str">
        <f>"protein_coding"</f>
        <v>protein_coding</v>
      </c>
    </row>
    <row r="3048" spans="1:9" x14ac:dyDescent="0.2">
      <c r="A3048" s="3" t="str">
        <f>"ENSG00000081181.8"</f>
        <v>ENSG00000081181.8</v>
      </c>
      <c r="B3048" s="3">
        <v>1944.9701896120901</v>
      </c>
      <c r="C3048" s="3">
        <v>1.7991568701395599</v>
      </c>
      <c r="D3048" s="3">
        <v>0.27765876630059699</v>
      </c>
      <c r="E3048" s="3">
        <v>6.4797409212420503</v>
      </c>
      <c r="F3048" s="4">
        <v>9.1880247658506495E-11</v>
      </c>
      <c r="G3048" s="4">
        <v>2.1184671217687698E-9</v>
      </c>
      <c r="H3048" s="3" t="str">
        <f>"ARG2"</f>
        <v>ARG2</v>
      </c>
      <c r="I3048" s="3" t="str">
        <f>"protein_coding"</f>
        <v>protein_coding</v>
      </c>
    </row>
    <row r="3049" spans="1:9" x14ac:dyDescent="0.2">
      <c r="A3049" s="3" t="str">
        <f>"ENSG00000100647.8"</f>
        <v>ENSG00000100647.8</v>
      </c>
      <c r="B3049" s="3">
        <v>2671.3248013377602</v>
      </c>
      <c r="C3049" s="3">
        <v>3.6277347627791898</v>
      </c>
      <c r="D3049" s="3">
        <v>0.25715821368011599</v>
      </c>
      <c r="E3049" s="3">
        <v>14.107014941750201</v>
      </c>
      <c r="F3049" s="4">
        <v>3.43826522190055E-45</v>
      </c>
      <c r="G3049" s="4">
        <v>7.3296238692295092E-43</v>
      </c>
      <c r="H3049" s="3" t="str">
        <f>"SUSD6"</f>
        <v>SUSD6</v>
      </c>
      <c r="I3049" s="3" t="str">
        <f>"protein_coding"</f>
        <v>protein_coding</v>
      </c>
    </row>
    <row r="3050" spans="1:9" x14ac:dyDescent="0.2">
      <c r="A3050" s="3" t="str">
        <f>"ENSG00000273797.1"</f>
        <v>ENSG00000273797.1</v>
      </c>
      <c r="B3050" s="3">
        <v>57.852564143769797</v>
      </c>
      <c r="C3050" s="3">
        <v>5.0502080630872799</v>
      </c>
      <c r="D3050" s="3">
        <v>0.77389483425345595</v>
      </c>
      <c r="E3050" s="3">
        <v>6.5257032862339797</v>
      </c>
      <c r="F3050" s="4">
        <v>6.7683190251583803E-11</v>
      </c>
      <c r="G3050" s="4">
        <v>1.5837866518870601E-9</v>
      </c>
      <c r="H3050" s="3" t="str">
        <f>"AL133445.2"</f>
        <v>AL133445.2</v>
      </c>
      <c r="I3050" s="3" t="str">
        <f>"sense_intronic"</f>
        <v>sense_intronic</v>
      </c>
    </row>
    <row r="3051" spans="1:9" x14ac:dyDescent="0.2">
      <c r="A3051" s="3" t="str">
        <f>"ENSG00000198732.10"</f>
        <v>ENSG00000198732.10</v>
      </c>
      <c r="B3051" s="3">
        <v>432.537085826414</v>
      </c>
      <c r="C3051" s="3">
        <v>-1.5906815041840501</v>
      </c>
      <c r="D3051" s="3">
        <v>0.3219862782524</v>
      </c>
      <c r="E3051" s="3">
        <v>-4.9402151943168704</v>
      </c>
      <c r="F3051" s="4">
        <v>7.8036398972057696E-7</v>
      </c>
      <c r="G3051" s="4">
        <v>9.9898504638275396E-6</v>
      </c>
      <c r="H3051" s="3" t="str">
        <f>"SMOC1"</f>
        <v>SMOC1</v>
      </c>
      <c r="I3051" s="3" t="str">
        <f>"protein_coding"</f>
        <v>protein_coding</v>
      </c>
    </row>
    <row r="3052" spans="1:9" x14ac:dyDescent="0.2">
      <c r="A3052" s="3" t="str">
        <f>"ENSG00000258431.1"</f>
        <v>ENSG00000258431.1</v>
      </c>
      <c r="B3052" s="3">
        <v>8.9294310394244594</v>
      </c>
      <c r="C3052" s="3">
        <v>4.2020106428458996</v>
      </c>
      <c r="D3052" s="3">
        <v>1.47363499526171</v>
      </c>
      <c r="E3052" s="3">
        <v>2.8514595923393</v>
      </c>
      <c r="F3052" s="3">
        <v>4.3519017130601101E-3</v>
      </c>
      <c r="G3052" s="3">
        <v>2.1125451098422801E-2</v>
      </c>
      <c r="H3052" s="3" t="str">
        <f>"AC004825.1"</f>
        <v>AC004825.1</v>
      </c>
      <c r="I3052" s="3" t="str">
        <f>"processed_pseudogene"</f>
        <v>processed_pseudogene</v>
      </c>
    </row>
    <row r="3053" spans="1:9" x14ac:dyDescent="0.2">
      <c r="A3053" s="3" t="str">
        <f>"ENSG00000100731.15"</f>
        <v>ENSG00000100731.15</v>
      </c>
      <c r="B3053" s="3">
        <v>4504.3869839891304</v>
      </c>
      <c r="C3053" s="3">
        <v>1.4585138848772501</v>
      </c>
      <c r="D3053" s="3">
        <v>0.237507502497741</v>
      </c>
      <c r="E3053" s="3">
        <v>6.1409171059390903</v>
      </c>
      <c r="F3053" s="4">
        <v>8.2046393797761801E-10</v>
      </c>
      <c r="G3053" s="4">
        <v>1.6944803251089501E-8</v>
      </c>
      <c r="H3053" s="3" t="str">
        <f>"PCNX1"</f>
        <v>PCNX1</v>
      </c>
      <c r="I3053" s="3" t="str">
        <f>"protein_coding"</f>
        <v>protein_coding</v>
      </c>
    </row>
    <row r="3054" spans="1:9" x14ac:dyDescent="0.2">
      <c r="A3054" s="3" t="str">
        <f>"ENSG00000269927.1"</f>
        <v>ENSG00000269927.1</v>
      </c>
      <c r="B3054" s="3">
        <v>4.8710656599615998</v>
      </c>
      <c r="C3054" s="3">
        <v>-5.6699190408059801</v>
      </c>
      <c r="D3054" s="3">
        <v>2.0416308405918699</v>
      </c>
      <c r="E3054" s="3">
        <v>-2.7771519356370402</v>
      </c>
      <c r="F3054" s="3">
        <v>5.4837538420425998E-3</v>
      </c>
      <c r="G3054" s="3">
        <v>2.55735683901709E-2</v>
      </c>
      <c r="H3054" s="3" t="str">
        <f>"AC004817.3"</f>
        <v>AC004817.3</v>
      </c>
      <c r="I3054" s="3" t="str">
        <f>"lincRNA"</f>
        <v>lincRNA</v>
      </c>
    </row>
    <row r="3055" spans="1:9" x14ac:dyDescent="0.2">
      <c r="A3055" s="3" t="str">
        <f>"ENSG00000165861.14"</f>
        <v>ENSG00000165861.14</v>
      </c>
      <c r="B3055" s="3">
        <v>1046.9336868032501</v>
      </c>
      <c r="C3055" s="3">
        <v>2.1154294843992001</v>
      </c>
      <c r="D3055" s="3">
        <v>0.29054645607729401</v>
      </c>
      <c r="E3055" s="3">
        <v>7.2808648673946701</v>
      </c>
      <c r="F3055" s="4">
        <v>3.3168680379695399E-13</v>
      </c>
      <c r="G3055" s="4">
        <v>1.02249773891083E-11</v>
      </c>
      <c r="H3055" s="3" t="str">
        <f>"ZFYVE1"</f>
        <v>ZFYVE1</v>
      </c>
      <c r="I3055" s="3" t="str">
        <f>"protein_coding"</f>
        <v>protein_coding</v>
      </c>
    </row>
    <row r="3056" spans="1:9" x14ac:dyDescent="0.2">
      <c r="A3056" s="3" t="str">
        <f>"ENSG00000258813.2"</f>
        <v>ENSG00000258813.2</v>
      </c>
      <c r="B3056" s="3">
        <v>28.563727461054999</v>
      </c>
      <c r="C3056" s="3">
        <v>-1.84988923553145</v>
      </c>
      <c r="D3056" s="3">
        <v>0.66595353958973003</v>
      </c>
      <c r="E3056" s="3">
        <v>-2.7778052454997</v>
      </c>
      <c r="F3056" s="3">
        <v>5.4727409494026904E-3</v>
      </c>
      <c r="G3056" s="3">
        <v>2.5545889512381698E-2</v>
      </c>
      <c r="H3056" s="3" t="str">
        <f>"AL442663.3"</f>
        <v>AL442663.3</v>
      </c>
      <c r="I3056" s="3" t="str">
        <f>"antisense"</f>
        <v>antisense</v>
      </c>
    </row>
    <row r="3057" spans="1:9" x14ac:dyDescent="0.2">
      <c r="A3057" s="3" t="str">
        <f>"ENSG00000156030.13"</f>
        <v>ENSG00000156030.13</v>
      </c>
      <c r="B3057" s="3">
        <v>1599.1717105979101</v>
      </c>
      <c r="C3057" s="3">
        <v>-1.1393929156436</v>
      </c>
      <c r="D3057" s="3">
        <v>0.26768967358249202</v>
      </c>
      <c r="E3057" s="3">
        <v>-4.2563947289976003</v>
      </c>
      <c r="F3057" s="4">
        <v>2.0774978688790201E-5</v>
      </c>
      <c r="G3057" s="3">
        <v>1.9825287895163801E-4</v>
      </c>
      <c r="H3057" s="3" t="str">
        <f>"ELMSAN1"</f>
        <v>ELMSAN1</v>
      </c>
      <c r="I3057" s="3" t="str">
        <f t="shared" ref="I3057:I3064" si="129">"protein_coding"</f>
        <v>protein_coding</v>
      </c>
    </row>
    <row r="3058" spans="1:9" x14ac:dyDescent="0.2">
      <c r="A3058" s="3" t="str">
        <f>"ENSG00000140043.11"</f>
        <v>ENSG00000140043.11</v>
      </c>
      <c r="B3058" s="3">
        <v>201.60781165924399</v>
      </c>
      <c r="C3058" s="3">
        <v>1.87446355777687</v>
      </c>
      <c r="D3058" s="3">
        <v>0.33473994779249999</v>
      </c>
      <c r="E3058" s="3">
        <v>5.5997605608124799</v>
      </c>
      <c r="F3058" s="4">
        <v>2.1464807607368699E-8</v>
      </c>
      <c r="G3058" s="4">
        <v>3.5876892715173298E-7</v>
      </c>
      <c r="H3058" s="3" t="str">
        <f>"PTGR2"</f>
        <v>PTGR2</v>
      </c>
      <c r="I3058" s="3" t="str">
        <f t="shared" si="129"/>
        <v>protein_coding</v>
      </c>
    </row>
    <row r="3059" spans="1:9" x14ac:dyDescent="0.2">
      <c r="A3059" s="3" t="str">
        <f>"ENSG00000119681.12"</f>
        <v>ENSG00000119681.12</v>
      </c>
      <c r="B3059" s="3">
        <v>296.513651767824</v>
      </c>
      <c r="C3059" s="3">
        <v>2.35949695863903</v>
      </c>
      <c r="D3059" s="3">
        <v>0.32366742463645498</v>
      </c>
      <c r="E3059" s="3">
        <v>7.2898808438607201</v>
      </c>
      <c r="F3059" s="4">
        <v>3.1022927700222002E-13</v>
      </c>
      <c r="G3059" s="4">
        <v>9.5869993402835995E-12</v>
      </c>
      <c r="H3059" s="3" t="str">
        <f>"LTBP2"</f>
        <v>LTBP2</v>
      </c>
      <c r="I3059" s="3" t="str">
        <f t="shared" si="129"/>
        <v>protein_coding</v>
      </c>
    </row>
    <row r="3060" spans="1:9" x14ac:dyDescent="0.2">
      <c r="A3060" s="3" t="str">
        <f>"ENSG00000119630.14"</f>
        <v>ENSG00000119630.14</v>
      </c>
      <c r="B3060" s="3">
        <v>1852.29850482241</v>
      </c>
      <c r="C3060" s="3">
        <v>2.8420627135073802</v>
      </c>
      <c r="D3060" s="3">
        <v>0.28228107841632</v>
      </c>
      <c r="E3060" s="3">
        <v>10.0682012746026</v>
      </c>
      <c r="F3060" s="4">
        <v>7.6361809194255596E-24</v>
      </c>
      <c r="G3060" s="4">
        <v>5.3506443183328704E-22</v>
      </c>
      <c r="H3060" s="3" t="str">
        <f>"PGF"</f>
        <v>PGF</v>
      </c>
      <c r="I3060" s="3" t="str">
        <f t="shared" si="129"/>
        <v>protein_coding</v>
      </c>
    </row>
    <row r="3061" spans="1:9" x14ac:dyDescent="0.2">
      <c r="A3061" s="3" t="str">
        <f>"ENSG00000170345.10"</f>
        <v>ENSG00000170345.10</v>
      </c>
      <c r="B3061" s="3">
        <v>130.06354024829</v>
      </c>
      <c r="C3061" s="3">
        <v>-1.68439139915185</v>
      </c>
      <c r="D3061" s="3">
        <v>0.37143809914227799</v>
      </c>
      <c r="E3061" s="3">
        <v>-4.5347835966246697</v>
      </c>
      <c r="F3061" s="4">
        <v>5.7662575997308702E-6</v>
      </c>
      <c r="G3061" s="4">
        <v>6.2494704834653196E-5</v>
      </c>
      <c r="H3061" s="3" t="str">
        <f>"FOS"</f>
        <v>FOS</v>
      </c>
      <c r="I3061" s="3" t="str">
        <f t="shared" si="129"/>
        <v>protein_coding</v>
      </c>
    </row>
    <row r="3062" spans="1:9" x14ac:dyDescent="0.2">
      <c r="A3062" s="3" t="str">
        <f>"ENSG00000156127.6"</f>
        <v>ENSG00000156127.6</v>
      </c>
      <c r="B3062" s="3">
        <v>59.507950971649201</v>
      </c>
      <c r="C3062" s="3">
        <v>-2.0486890679773699</v>
      </c>
      <c r="D3062" s="3">
        <v>0.505629121580075</v>
      </c>
      <c r="E3062" s="3">
        <v>-4.0517624095212001</v>
      </c>
      <c r="F3062" s="4">
        <v>5.08332713193214E-5</v>
      </c>
      <c r="G3062" s="3">
        <v>4.4569917742681399E-4</v>
      </c>
      <c r="H3062" s="3" t="str">
        <f>"BATF"</f>
        <v>BATF</v>
      </c>
      <c r="I3062" s="3" t="str">
        <f t="shared" si="129"/>
        <v>protein_coding</v>
      </c>
    </row>
    <row r="3063" spans="1:9" x14ac:dyDescent="0.2">
      <c r="A3063" s="3" t="str">
        <f>"ENSG00000119686.10"</f>
        <v>ENSG00000119686.10</v>
      </c>
      <c r="B3063" s="3">
        <v>358.93211253814201</v>
      </c>
      <c r="C3063" s="3">
        <v>1.3218126295633601</v>
      </c>
      <c r="D3063" s="3">
        <v>0.29616506635774498</v>
      </c>
      <c r="E3063" s="3">
        <v>4.4630943339100799</v>
      </c>
      <c r="F3063" s="4">
        <v>8.0784465480873608E-6</v>
      </c>
      <c r="G3063" s="4">
        <v>8.48135738385382E-5</v>
      </c>
      <c r="H3063" s="3" t="str">
        <f>"FLVCR2"</f>
        <v>FLVCR2</v>
      </c>
      <c r="I3063" s="3" t="str">
        <f t="shared" si="129"/>
        <v>protein_coding</v>
      </c>
    </row>
    <row r="3064" spans="1:9" x14ac:dyDescent="0.2">
      <c r="A3064" s="3" t="str">
        <f>"ENSG00000071246.11"</f>
        <v>ENSG00000071246.11</v>
      </c>
      <c r="B3064" s="3">
        <v>85.331232579880506</v>
      </c>
      <c r="C3064" s="3">
        <v>-3.6595203067038198</v>
      </c>
      <c r="D3064" s="3">
        <v>0.52067240162230799</v>
      </c>
      <c r="E3064" s="3">
        <v>-7.0284507020182199</v>
      </c>
      <c r="F3064" s="4">
        <v>2.08839382576398E-12</v>
      </c>
      <c r="G3064" s="4">
        <v>5.79840471159965E-11</v>
      </c>
      <c r="H3064" s="3" t="str">
        <f>"VASH1"</f>
        <v>VASH1</v>
      </c>
      <c r="I3064" s="3" t="str">
        <f t="shared" si="129"/>
        <v>protein_coding</v>
      </c>
    </row>
    <row r="3065" spans="1:9" x14ac:dyDescent="0.2">
      <c r="A3065" s="3" t="str">
        <f>"ENSG00000285966.1"</f>
        <v>ENSG00000285966.1</v>
      </c>
      <c r="B3065" s="3">
        <v>16.7435479048555</v>
      </c>
      <c r="C3065" s="3">
        <v>2.4135121090712901</v>
      </c>
      <c r="D3065" s="3">
        <v>0.88903652096139996</v>
      </c>
      <c r="E3065" s="3">
        <v>2.7147502404753099</v>
      </c>
      <c r="F3065" s="3">
        <v>6.6325770252251602E-3</v>
      </c>
      <c r="G3065" s="3">
        <v>2.99000851379102E-2</v>
      </c>
      <c r="H3065" s="3" t="str">
        <f>"AC007686.4"</f>
        <v>AC007686.4</v>
      </c>
      <c r="I3065" s="3" t="str">
        <f>"lincRNA"</f>
        <v>lincRNA</v>
      </c>
    </row>
    <row r="3066" spans="1:9" x14ac:dyDescent="0.2">
      <c r="A3066" s="3" t="str">
        <f>"ENSG00000258602.1"</f>
        <v>ENSG00000258602.1</v>
      </c>
      <c r="B3066" s="3">
        <v>368.11462472761701</v>
      </c>
      <c r="C3066" s="3">
        <v>6.5151134474385302</v>
      </c>
      <c r="D3066" s="3">
        <v>0.46174531588853202</v>
      </c>
      <c r="E3066" s="3">
        <v>14.1097553635202</v>
      </c>
      <c r="F3066" s="4">
        <v>3.30723266290527E-45</v>
      </c>
      <c r="G3066" s="4">
        <v>7.1105502252463297E-43</v>
      </c>
      <c r="H3066" s="3" t="str">
        <f>"LINC01629"</f>
        <v>LINC01629</v>
      </c>
      <c r="I3066" s="3" t="str">
        <f>"lincRNA"</f>
        <v>lincRNA</v>
      </c>
    </row>
    <row r="3067" spans="1:9" x14ac:dyDescent="0.2">
      <c r="A3067" s="3" t="str">
        <f>"ENSG00000243225.2"</f>
        <v>ENSG00000243225.2</v>
      </c>
      <c r="B3067" s="3">
        <v>132.88531013378901</v>
      </c>
      <c r="C3067" s="3">
        <v>6.5387936362078598</v>
      </c>
      <c r="D3067" s="3">
        <v>0.68990382108011405</v>
      </c>
      <c r="E3067" s="3">
        <v>9.4778336289987806</v>
      </c>
      <c r="F3067" s="4">
        <v>2.59616794745295E-21</v>
      </c>
      <c r="G3067" s="4">
        <v>1.52585525042474E-19</v>
      </c>
      <c r="H3067" s="3" t="str">
        <f>"AC007686.1"</f>
        <v>AC007686.1</v>
      </c>
      <c r="I3067" s="3" t="str">
        <f>"processed_pseudogene"</f>
        <v>processed_pseudogene</v>
      </c>
    </row>
    <row r="3068" spans="1:9" x14ac:dyDescent="0.2">
      <c r="A3068" s="3" t="str">
        <f>"ENSG00000177108.5"</f>
        <v>ENSG00000177108.5</v>
      </c>
      <c r="B3068" s="3">
        <v>23.9135124600807</v>
      </c>
      <c r="C3068" s="3">
        <v>2.3919635419777499</v>
      </c>
      <c r="D3068" s="3">
        <v>0.746744978665287</v>
      </c>
      <c r="E3068" s="3">
        <v>3.2031866437897998</v>
      </c>
      <c r="F3068" s="3">
        <v>1.3591586299989101E-3</v>
      </c>
      <c r="G3068" s="3">
        <v>7.9252747653274502E-3</v>
      </c>
      <c r="H3068" s="3" t="str">
        <f>"ZDHHC22"</f>
        <v>ZDHHC22</v>
      </c>
      <c r="I3068" s="3" t="str">
        <f>"protein_coding"</f>
        <v>protein_coding</v>
      </c>
    </row>
    <row r="3069" spans="1:9" x14ac:dyDescent="0.2">
      <c r="A3069" s="3" t="str">
        <f>"ENSG00000071537.14"</f>
        <v>ENSG00000071537.14</v>
      </c>
      <c r="B3069" s="3">
        <v>4065.2987363523998</v>
      </c>
      <c r="C3069" s="3">
        <v>1.0244286419834201</v>
      </c>
      <c r="D3069" s="3">
        <v>0.24432907234309001</v>
      </c>
      <c r="E3069" s="3">
        <v>4.1928233597388296</v>
      </c>
      <c r="F3069" s="4">
        <v>2.7550396484911101E-5</v>
      </c>
      <c r="G3069" s="3">
        <v>2.5601412027260399E-4</v>
      </c>
      <c r="H3069" s="3" t="str">
        <f>"SEL1L"</f>
        <v>SEL1L</v>
      </c>
      <c r="I3069" s="3" t="str">
        <f>"protein_coding"</f>
        <v>protein_coding</v>
      </c>
    </row>
    <row r="3070" spans="1:9" x14ac:dyDescent="0.2">
      <c r="A3070" s="3" t="str">
        <f>"ENSG00000185070.11"</f>
        <v>ENSG00000185070.11</v>
      </c>
      <c r="B3070" s="3">
        <v>3908.8000678026101</v>
      </c>
      <c r="C3070" s="3">
        <v>2.5613238438066901</v>
      </c>
      <c r="D3070" s="3">
        <v>0.25458656918502098</v>
      </c>
      <c r="E3070" s="3">
        <v>10.0607186467298</v>
      </c>
      <c r="F3070" s="4">
        <v>8.2394671385721801E-24</v>
      </c>
      <c r="G3070" s="4">
        <v>5.7413793870023105E-22</v>
      </c>
      <c r="H3070" s="3" t="str">
        <f>"FLRT2"</f>
        <v>FLRT2</v>
      </c>
      <c r="I3070" s="3" t="str">
        <f>"protein_coding"</f>
        <v>protein_coding</v>
      </c>
    </row>
    <row r="3071" spans="1:9" x14ac:dyDescent="0.2">
      <c r="A3071" s="3" t="str">
        <f>"ENSG00000100433.15"</f>
        <v>ENSG00000100433.15</v>
      </c>
      <c r="B3071" s="3">
        <v>37.443868271446803</v>
      </c>
      <c r="C3071" s="3">
        <v>1.76467554586088</v>
      </c>
      <c r="D3071" s="3">
        <v>0.63050771344252798</v>
      </c>
      <c r="E3071" s="3">
        <v>2.79881674440725</v>
      </c>
      <c r="F3071" s="3">
        <v>5.1290237261301603E-3</v>
      </c>
      <c r="G3071" s="3">
        <v>2.42337700658911E-2</v>
      </c>
      <c r="H3071" s="3" t="str">
        <f>"KCNK10"</f>
        <v>KCNK10</v>
      </c>
      <c r="I3071" s="3" t="str">
        <f>"protein_coding"</f>
        <v>protein_coding</v>
      </c>
    </row>
    <row r="3072" spans="1:9" x14ac:dyDescent="0.2">
      <c r="A3072" s="3" t="str">
        <f>"ENSG00000042317.17"</f>
        <v>ENSG00000042317.17</v>
      </c>
      <c r="B3072" s="3">
        <v>719.22568005266305</v>
      </c>
      <c r="C3072" s="3">
        <v>2.4989428546944499</v>
      </c>
      <c r="D3072" s="3">
        <v>0.281453941246402</v>
      </c>
      <c r="E3072" s="3">
        <v>8.8786919935390802</v>
      </c>
      <c r="F3072" s="4">
        <v>6.7651148544202699E-19</v>
      </c>
      <c r="G3072" s="4">
        <v>3.3698309735236001E-17</v>
      </c>
      <c r="H3072" s="3" t="str">
        <f>"SPATA7"</f>
        <v>SPATA7</v>
      </c>
      <c r="I3072" s="3" t="str">
        <f>"protein_coding"</f>
        <v>protein_coding</v>
      </c>
    </row>
    <row r="3073" spans="1:9" x14ac:dyDescent="0.2">
      <c r="A3073" s="3" t="str">
        <f>"ENSG00000259151.2"</f>
        <v>ENSG00000259151.2</v>
      </c>
      <c r="B3073" s="3">
        <v>81.012997343874702</v>
      </c>
      <c r="C3073" s="3">
        <v>1.75341434534106</v>
      </c>
      <c r="D3073" s="3">
        <v>0.43567820436202698</v>
      </c>
      <c r="E3073" s="3">
        <v>4.0245629177356399</v>
      </c>
      <c r="F3073" s="4">
        <v>5.7081232142983403E-5</v>
      </c>
      <c r="G3073" s="3">
        <v>4.9436266825409901E-4</v>
      </c>
      <c r="H3073" s="3" t="str">
        <f>"CAP2P1"</f>
        <v>CAP2P1</v>
      </c>
      <c r="I3073" s="3" t="str">
        <f>"transcribed_processed_pseudogene"</f>
        <v>transcribed_processed_pseudogene</v>
      </c>
    </row>
    <row r="3074" spans="1:9" x14ac:dyDescent="0.2">
      <c r="A3074" s="3" t="str">
        <f>"ENSG00000259163.1"</f>
        <v>ENSG00000259163.1</v>
      </c>
      <c r="B3074" s="3">
        <v>11.922987502468599</v>
      </c>
      <c r="C3074" s="3">
        <v>7.0939835673353002</v>
      </c>
      <c r="D3074" s="3">
        <v>1.7134558243656699</v>
      </c>
      <c r="E3074" s="3">
        <v>4.1401613432091304</v>
      </c>
      <c r="F3074" s="4">
        <v>3.4706163091724597E-5</v>
      </c>
      <c r="G3074" s="3">
        <v>3.1620193139164502E-4</v>
      </c>
      <c r="H3074" s="3" t="str">
        <f>"AL096869.2"</f>
        <v>AL096869.2</v>
      </c>
      <c r="I3074" s="3" t="str">
        <f>"antisense"</f>
        <v>antisense</v>
      </c>
    </row>
    <row r="3075" spans="1:9" x14ac:dyDescent="0.2">
      <c r="A3075" s="3" t="str">
        <f>"ENSG00000221102.1"</f>
        <v>ENSG00000221102.1</v>
      </c>
      <c r="B3075" s="3">
        <v>25.9093506709815</v>
      </c>
      <c r="C3075" s="3">
        <v>2.09036688304856</v>
      </c>
      <c r="D3075" s="3">
        <v>0.71528927271944198</v>
      </c>
      <c r="E3075" s="3">
        <v>2.9224077066069198</v>
      </c>
      <c r="F3075" s="3">
        <v>3.4733654432752901E-3</v>
      </c>
      <c r="G3075" s="3">
        <v>1.75095205862906E-2</v>
      </c>
      <c r="H3075" s="3" t="str">
        <f>"SNORA11B"</f>
        <v>SNORA11B</v>
      </c>
      <c r="I3075" s="3" t="str">
        <f>"snoRNA"</f>
        <v>snoRNA</v>
      </c>
    </row>
    <row r="3076" spans="1:9" x14ac:dyDescent="0.2">
      <c r="A3076" s="3" t="str">
        <f>"ENSG00000066427.22"</f>
        <v>ENSG00000066427.22</v>
      </c>
      <c r="B3076" s="3">
        <v>1107.4812670106301</v>
      </c>
      <c r="C3076" s="3">
        <v>1.9528347827416099</v>
      </c>
      <c r="D3076" s="3">
        <v>0.27644114787332202</v>
      </c>
      <c r="E3076" s="3">
        <v>7.0641971998918498</v>
      </c>
      <c r="F3076" s="4">
        <v>1.61547194612125E-12</v>
      </c>
      <c r="G3076" s="4">
        <v>4.5455477410156799E-11</v>
      </c>
      <c r="H3076" s="3" t="str">
        <f>"ATXN3"</f>
        <v>ATXN3</v>
      </c>
      <c r="I3076" s="3" t="str">
        <f t="shared" ref="I3076:I3086" si="130">"protein_coding"</f>
        <v>protein_coding</v>
      </c>
    </row>
    <row r="3077" spans="1:9" x14ac:dyDescent="0.2">
      <c r="A3077" s="3" t="str">
        <f>"ENSG00000140090.17"</f>
        <v>ENSG00000140090.17</v>
      </c>
      <c r="B3077" s="3">
        <v>30.602834731162702</v>
      </c>
      <c r="C3077" s="3">
        <v>2.0675987995799399</v>
      </c>
      <c r="D3077" s="3">
        <v>0.65073219003647798</v>
      </c>
      <c r="E3077" s="3">
        <v>3.1773421251283702</v>
      </c>
      <c r="F3077" s="3">
        <v>1.4863158714749499E-3</v>
      </c>
      <c r="G3077" s="3">
        <v>8.5380853498406902E-3</v>
      </c>
      <c r="H3077" s="3" t="str">
        <f>"SLC24A4"</f>
        <v>SLC24A4</v>
      </c>
      <c r="I3077" s="3" t="str">
        <f t="shared" si="130"/>
        <v>protein_coding</v>
      </c>
    </row>
    <row r="3078" spans="1:9" x14ac:dyDescent="0.2">
      <c r="A3078" s="3" t="str">
        <f>"ENSG00000100599.16"</f>
        <v>ENSG00000100599.16</v>
      </c>
      <c r="B3078" s="3">
        <v>731.66287477354604</v>
      </c>
      <c r="C3078" s="3">
        <v>1.54806936122232</v>
      </c>
      <c r="D3078" s="3">
        <v>0.33091649581041499</v>
      </c>
      <c r="E3078" s="3">
        <v>4.6781269015649896</v>
      </c>
      <c r="F3078" s="4">
        <v>2.8950736368245202E-6</v>
      </c>
      <c r="G3078" s="4">
        <v>3.3102535151963998E-5</v>
      </c>
      <c r="H3078" s="3" t="str">
        <f>"RIN3"</f>
        <v>RIN3</v>
      </c>
      <c r="I3078" s="3" t="str">
        <f t="shared" si="130"/>
        <v>protein_coding</v>
      </c>
    </row>
    <row r="3079" spans="1:9" x14ac:dyDescent="0.2">
      <c r="A3079" s="3" t="str">
        <f>"ENSG00000100605.17"</f>
        <v>ENSG00000100605.17</v>
      </c>
      <c r="B3079" s="3">
        <v>1556.19559854717</v>
      </c>
      <c r="C3079" s="3">
        <v>2.0988222363503399</v>
      </c>
      <c r="D3079" s="3">
        <v>0.29938829153130397</v>
      </c>
      <c r="E3079" s="3">
        <v>7.0103684603540399</v>
      </c>
      <c r="F3079" s="4">
        <v>2.37691319081485E-12</v>
      </c>
      <c r="G3079" s="4">
        <v>6.5704671774667702E-11</v>
      </c>
      <c r="H3079" s="3" t="str">
        <f>"ITPK1"</f>
        <v>ITPK1</v>
      </c>
      <c r="I3079" s="3" t="str">
        <f t="shared" si="130"/>
        <v>protein_coding</v>
      </c>
    </row>
    <row r="3080" spans="1:9" x14ac:dyDescent="0.2">
      <c r="A3080" s="3" t="str">
        <f>"ENSG00000165943.5"</f>
        <v>ENSG00000165943.5</v>
      </c>
      <c r="B3080" s="3">
        <v>1002.3910265409399</v>
      </c>
      <c r="C3080" s="3">
        <v>1.3103546401274599</v>
      </c>
      <c r="D3080" s="3">
        <v>0.26049445876711103</v>
      </c>
      <c r="E3080" s="3">
        <v>5.03025917069104</v>
      </c>
      <c r="F3080" s="4">
        <v>4.89817280626683E-7</v>
      </c>
      <c r="G3080" s="4">
        <v>6.5176736092590004E-6</v>
      </c>
      <c r="H3080" s="3" t="str">
        <f>"MOAP1"</f>
        <v>MOAP1</v>
      </c>
      <c r="I3080" s="3" t="str">
        <f t="shared" si="130"/>
        <v>protein_coding</v>
      </c>
    </row>
    <row r="3081" spans="1:9" x14ac:dyDescent="0.2">
      <c r="A3081" s="3" t="str">
        <f>"ENSG00000140067.6"</f>
        <v>ENSG00000140067.6</v>
      </c>
      <c r="B3081" s="3">
        <v>108.637578611089</v>
      </c>
      <c r="C3081" s="3">
        <v>4.6178128460615397</v>
      </c>
      <c r="D3081" s="3">
        <v>0.50461051852346395</v>
      </c>
      <c r="E3081" s="3">
        <v>9.1512417528942596</v>
      </c>
      <c r="F3081" s="4">
        <v>5.6282818885250001E-20</v>
      </c>
      <c r="G3081" s="4">
        <v>3.03167946265196E-18</v>
      </c>
      <c r="H3081" s="3" t="str">
        <f>"FAM181A"</f>
        <v>FAM181A</v>
      </c>
      <c r="I3081" s="3" t="str">
        <f t="shared" si="130"/>
        <v>protein_coding</v>
      </c>
    </row>
    <row r="3082" spans="1:9" x14ac:dyDescent="0.2">
      <c r="A3082" s="3" t="str">
        <f>"ENSG00000089723.10"</f>
        <v>ENSG00000089723.10</v>
      </c>
      <c r="B3082" s="3">
        <v>594.64471727839395</v>
      </c>
      <c r="C3082" s="3">
        <v>1.3446717077991801</v>
      </c>
      <c r="D3082" s="3">
        <v>0.288192483786395</v>
      </c>
      <c r="E3082" s="3">
        <v>4.6658805605625702</v>
      </c>
      <c r="F3082" s="4">
        <v>3.0729817354597E-6</v>
      </c>
      <c r="G3082" s="4">
        <v>3.4993596901534102E-5</v>
      </c>
      <c r="H3082" s="3" t="str">
        <f>"OTUB2"</f>
        <v>OTUB2</v>
      </c>
      <c r="I3082" s="3" t="str">
        <f t="shared" si="130"/>
        <v>protein_coding</v>
      </c>
    </row>
    <row r="3083" spans="1:9" x14ac:dyDescent="0.2">
      <c r="A3083" s="3" t="str">
        <f>"ENSG00000170099.6"</f>
        <v>ENSG00000170099.6</v>
      </c>
      <c r="B3083" s="3">
        <v>4185.7527975611401</v>
      </c>
      <c r="C3083" s="3">
        <v>2.4650647979193399</v>
      </c>
      <c r="D3083" s="3">
        <v>0.26368697102473099</v>
      </c>
      <c r="E3083" s="3">
        <v>9.3484512653002803</v>
      </c>
      <c r="F3083" s="4">
        <v>8.8940463864847007E-21</v>
      </c>
      <c r="G3083" s="4">
        <v>5.0389580372077199E-19</v>
      </c>
      <c r="H3083" s="3" t="str">
        <f>"SERPINA6"</f>
        <v>SERPINA6</v>
      </c>
      <c r="I3083" s="3" t="str">
        <f t="shared" si="130"/>
        <v>protein_coding</v>
      </c>
    </row>
    <row r="3084" spans="1:9" x14ac:dyDescent="0.2">
      <c r="A3084" s="3" t="str">
        <f>"ENSG00000100665.12"</f>
        <v>ENSG00000100665.12</v>
      </c>
      <c r="B3084" s="3">
        <v>787.88402176951604</v>
      </c>
      <c r="C3084" s="3">
        <v>-1.3488410451577</v>
      </c>
      <c r="D3084" s="3">
        <v>0.28577331252127902</v>
      </c>
      <c r="E3084" s="3">
        <v>-4.7199685416995099</v>
      </c>
      <c r="F3084" s="4">
        <v>2.3588111991314399E-6</v>
      </c>
      <c r="G3084" s="4">
        <v>2.7432221781854499E-5</v>
      </c>
      <c r="H3084" s="3" t="str">
        <f>"SERPINA4"</f>
        <v>SERPINA4</v>
      </c>
      <c r="I3084" s="3" t="str">
        <f t="shared" si="130"/>
        <v>protein_coding</v>
      </c>
    </row>
    <row r="3085" spans="1:9" x14ac:dyDescent="0.2">
      <c r="A3085" s="3" t="str">
        <f>"ENSG00000133937.4"</f>
        <v>ENSG00000133937.4</v>
      </c>
      <c r="B3085" s="3">
        <v>13.959277809392599</v>
      </c>
      <c r="C3085" s="3">
        <v>-5.7173971100449998</v>
      </c>
      <c r="D3085" s="3">
        <v>1.65726822340722</v>
      </c>
      <c r="E3085" s="3">
        <v>-3.4498924370193098</v>
      </c>
      <c r="F3085" s="3">
        <v>5.6080995634277396E-4</v>
      </c>
      <c r="G3085" s="3">
        <v>3.69684865089164E-3</v>
      </c>
      <c r="H3085" s="3" t="str">
        <f>"GSC"</f>
        <v>GSC</v>
      </c>
      <c r="I3085" s="3" t="str">
        <f t="shared" si="130"/>
        <v>protein_coding</v>
      </c>
    </row>
    <row r="3086" spans="1:9" x14ac:dyDescent="0.2">
      <c r="A3086" s="3" t="str">
        <f>"ENSG00000176438.12"</f>
        <v>ENSG00000176438.12</v>
      </c>
      <c r="B3086" s="3">
        <v>1988.27632153737</v>
      </c>
      <c r="C3086" s="3">
        <v>3.6742065526463699</v>
      </c>
      <c r="D3086" s="3">
        <v>0.287994012837549</v>
      </c>
      <c r="E3086" s="3">
        <v>12.7579268625939</v>
      </c>
      <c r="F3086" s="4">
        <v>2.8159598113749298E-37</v>
      </c>
      <c r="G3086" s="4">
        <v>4.0020039014201401E-35</v>
      </c>
      <c r="H3086" s="3" t="str">
        <f>"SYNE3"</f>
        <v>SYNE3</v>
      </c>
      <c r="I3086" s="3" t="str">
        <f t="shared" si="130"/>
        <v>protein_coding</v>
      </c>
    </row>
    <row r="3087" spans="1:9" x14ac:dyDescent="0.2">
      <c r="A3087" s="3" t="str">
        <f>"ENSG00000258572.1"</f>
        <v>ENSG00000258572.1</v>
      </c>
      <c r="B3087" s="3">
        <v>10.9973459930067</v>
      </c>
      <c r="C3087" s="3">
        <v>5.5173743236316097</v>
      </c>
      <c r="D3087" s="3">
        <v>1.7032920984070901</v>
      </c>
      <c r="E3087" s="3">
        <v>3.2392414247629202</v>
      </c>
      <c r="F3087" s="3">
        <v>1.1984808093326201E-3</v>
      </c>
      <c r="G3087" s="3">
        <v>7.1254513729052602E-3</v>
      </c>
      <c r="H3087" s="3" t="str">
        <f>"AL133467.1"</f>
        <v>AL133467.1</v>
      </c>
      <c r="I3087" s="3" t="str">
        <f>"lincRNA"</f>
        <v>lincRNA</v>
      </c>
    </row>
    <row r="3088" spans="1:9" x14ac:dyDescent="0.2">
      <c r="A3088" s="3" t="str">
        <f>"ENSG00000247092.6"</f>
        <v>ENSG00000247092.6</v>
      </c>
      <c r="B3088" s="3">
        <v>572.05728277776097</v>
      </c>
      <c r="C3088" s="3">
        <v>-1.17170609101317</v>
      </c>
      <c r="D3088" s="3">
        <v>0.29866979970627</v>
      </c>
      <c r="E3088" s="3">
        <v>-3.92308191911434</v>
      </c>
      <c r="F3088" s="4">
        <v>8.7423408995080594E-5</v>
      </c>
      <c r="G3088" s="3">
        <v>7.2079182342551704E-4</v>
      </c>
      <c r="H3088" s="3" t="str">
        <f>"SNHG10"</f>
        <v>SNHG10</v>
      </c>
      <c r="I3088" s="3" t="str">
        <f>"antisense"</f>
        <v>antisense</v>
      </c>
    </row>
    <row r="3089" spans="1:9" x14ac:dyDescent="0.2">
      <c r="A3089" s="3" t="str">
        <f>"ENSG00000276182.1"</f>
        <v>ENSG00000276182.1</v>
      </c>
      <c r="B3089" s="3">
        <v>139.001796664734</v>
      </c>
      <c r="C3089" s="3">
        <v>1.2815634391200099</v>
      </c>
      <c r="D3089" s="3">
        <v>0.37998325579734399</v>
      </c>
      <c r="E3089" s="3">
        <v>3.3726839790106702</v>
      </c>
      <c r="F3089" s="3">
        <v>7.4439336400070305E-4</v>
      </c>
      <c r="G3089" s="3">
        <v>4.7458596683023499E-3</v>
      </c>
      <c r="H3089" s="3" t="str">
        <f>"AL163051.2"</f>
        <v>AL163051.2</v>
      </c>
      <c r="I3089" s="3" t="str">
        <f>"sense_intronic"</f>
        <v>sense_intronic</v>
      </c>
    </row>
    <row r="3090" spans="1:9" x14ac:dyDescent="0.2">
      <c r="A3090" s="3" t="str">
        <f>"ENSG00000258383.1"</f>
        <v>ENSG00000258383.1</v>
      </c>
      <c r="B3090" s="3">
        <v>10.745712280710499</v>
      </c>
      <c r="C3090" s="3">
        <v>6.9424096796633101</v>
      </c>
      <c r="D3090" s="3">
        <v>1.7435401273567499</v>
      </c>
      <c r="E3090" s="3">
        <v>3.9817894470763702</v>
      </c>
      <c r="F3090" s="4">
        <v>6.8398359427016597E-5</v>
      </c>
      <c r="G3090" s="3">
        <v>5.8068198831812395E-4</v>
      </c>
      <c r="H3090" s="3" t="str">
        <f>"AL132819.1"</f>
        <v>AL132819.1</v>
      </c>
      <c r="I3090" s="3" t="str">
        <f>"lincRNA"</f>
        <v>lincRNA</v>
      </c>
    </row>
    <row r="3091" spans="1:9" x14ac:dyDescent="0.2">
      <c r="A3091" s="3" t="str">
        <f>"ENSG00000090061.17"</f>
        <v>ENSG00000090061.17</v>
      </c>
      <c r="B3091" s="3">
        <v>5496.0595719860703</v>
      </c>
      <c r="C3091" s="3">
        <v>1.92489092707212</v>
      </c>
      <c r="D3091" s="3">
        <v>0.23804615196199999</v>
      </c>
      <c r="E3091" s="3">
        <v>8.0862089607707492</v>
      </c>
      <c r="F3091" s="4">
        <v>6.1550549867172403E-16</v>
      </c>
      <c r="G3091" s="4">
        <v>2.4382741447381401E-14</v>
      </c>
      <c r="H3091" s="3" t="str">
        <f>"CCNK"</f>
        <v>CCNK</v>
      </c>
      <c r="I3091" s="3" t="str">
        <f>"protein_coding"</f>
        <v>protein_coding</v>
      </c>
    </row>
    <row r="3092" spans="1:9" x14ac:dyDescent="0.2">
      <c r="A3092" s="3" t="str">
        <f>"ENSG00000258749.1"</f>
        <v>ENSG00000258749.1</v>
      </c>
      <c r="B3092" s="3">
        <v>27.531291812769599</v>
      </c>
      <c r="C3092" s="3">
        <v>2.4656991089158198</v>
      </c>
      <c r="D3092" s="3">
        <v>0.70578911098447905</v>
      </c>
      <c r="E3092" s="3">
        <v>3.4935352083804601</v>
      </c>
      <c r="F3092" s="3">
        <v>4.7667012366343502E-4</v>
      </c>
      <c r="G3092" s="3">
        <v>3.2069101259036398E-3</v>
      </c>
      <c r="H3092" s="3" t="str">
        <f>"AL110504.1"</f>
        <v>AL110504.1</v>
      </c>
      <c r="I3092" s="3" t="str">
        <f>"antisense"</f>
        <v>antisense</v>
      </c>
    </row>
    <row r="3093" spans="1:9" x14ac:dyDescent="0.2">
      <c r="A3093" s="3" t="str">
        <f>"ENSG00000066629.17"</f>
        <v>ENSG00000066629.17</v>
      </c>
      <c r="B3093" s="3">
        <v>166.279121780765</v>
      </c>
      <c r="C3093" s="3">
        <v>-1.01786481479389</v>
      </c>
      <c r="D3093" s="3">
        <v>0.341126879243078</v>
      </c>
      <c r="E3093" s="3">
        <v>-2.9838305824871298</v>
      </c>
      <c r="F3093" s="3">
        <v>2.8466434175656802E-3</v>
      </c>
      <c r="G3093" s="3">
        <v>1.47400813439408E-2</v>
      </c>
      <c r="H3093" s="3" t="str">
        <f>"EML1"</f>
        <v>EML1</v>
      </c>
      <c r="I3093" s="3" t="str">
        <f>"protein_coding"</f>
        <v>protein_coding</v>
      </c>
    </row>
    <row r="3094" spans="1:9" x14ac:dyDescent="0.2">
      <c r="A3094" s="3" t="str">
        <f>"ENSG00000168350.8"</f>
        <v>ENSG00000168350.8</v>
      </c>
      <c r="B3094" s="3">
        <v>82.120804547577393</v>
      </c>
      <c r="C3094" s="3">
        <v>4.6924512936714304</v>
      </c>
      <c r="D3094" s="3">
        <v>0.58247422313564201</v>
      </c>
      <c r="E3094" s="3">
        <v>8.0560668735012602</v>
      </c>
      <c r="F3094" s="4">
        <v>7.8788539985941099E-16</v>
      </c>
      <c r="G3094" s="4">
        <v>3.0959430890090297E-14</v>
      </c>
      <c r="H3094" s="3" t="str">
        <f>"DEGS2"</f>
        <v>DEGS2</v>
      </c>
      <c r="I3094" s="3" t="str">
        <f>"protein_coding"</f>
        <v>protein_coding</v>
      </c>
    </row>
    <row r="3095" spans="1:9" x14ac:dyDescent="0.2">
      <c r="A3095" s="3" t="str">
        <f>"ENSG00000197119.13"</f>
        <v>ENSG00000197119.13</v>
      </c>
      <c r="B3095" s="3">
        <v>586.67460550418298</v>
      </c>
      <c r="C3095" s="3">
        <v>1.89831239139859</v>
      </c>
      <c r="D3095" s="3">
        <v>0.34794276950320702</v>
      </c>
      <c r="E3095" s="3">
        <v>5.4558179039300096</v>
      </c>
      <c r="F3095" s="4">
        <v>4.8747930721918503E-8</v>
      </c>
      <c r="G3095" s="4">
        <v>7.6593016696430995E-7</v>
      </c>
      <c r="H3095" s="3" t="str">
        <f>"SLC25A29"</f>
        <v>SLC25A29</v>
      </c>
      <c r="I3095" s="3" t="str">
        <f>"protein_coding"</f>
        <v>protein_coding</v>
      </c>
    </row>
    <row r="3096" spans="1:9" x14ac:dyDescent="0.2">
      <c r="A3096" s="3" t="str">
        <f>"ENSG00000140107.11"</f>
        <v>ENSG00000140107.11</v>
      </c>
      <c r="B3096" s="3">
        <v>220.51891049083201</v>
      </c>
      <c r="C3096" s="3">
        <v>5.0662626785556997</v>
      </c>
      <c r="D3096" s="3">
        <v>0.42096008955247999</v>
      </c>
      <c r="E3096" s="3">
        <v>12.035019006057301</v>
      </c>
      <c r="F3096" s="4">
        <v>2.32580457662501E-33</v>
      </c>
      <c r="G3096" s="4">
        <v>2.7467424471832002E-31</v>
      </c>
      <c r="H3096" s="3" t="str">
        <f>"SLC25A47"</f>
        <v>SLC25A47</v>
      </c>
      <c r="I3096" s="3" t="str">
        <f>"protein_coding"</f>
        <v>protein_coding</v>
      </c>
    </row>
    <row r="3097" spans="1:9" x14ac:dyDescent="0.2">
      <c r="A3097" s="3" t="str">
        <f>"ENSG00000176473.13"</f>
        <v>ENSG00000176473.13</v>
      </c>
      <c r="B3097" s="3">
        <v>254.11576709985701</v>
      </c>
      <c r="C3097" s="3">
        <v>1.2760891106688701</v>
      </c>
      <c r="D3097" s="3">
        <v>0.32133989701362098</v>
      </c>
      <c r="E3097" s="3">
        <v>3.9711505559322902</v>
      </c>
      <c r="F3097" s="4">
        <v>7.1526357502191498E-5</v>
      </c>
      <c r="G3097" s="3">
        <v>6.0357112477947897E-4</v>
      </c>
      <c r="H3097" s="3" t="str">
        <f>"WDR25"</f>
        <v>WDR25</v>
      </c>
      <c r="I3097" s="3" t="str">
        <f>"protein_coding"</f>
        <v>protein_coding</v>
      </c>
    </row>
    <row r="3098" spans="1:9" x14ac:dyDescent="0.2">
      <c r="A3098" s="3" t="str">
        <f>"ENSG00000258620.1"</f>
        <v>ENSG00000258620.1</v>
      </c>
      <c r="B3098" s="3">
        <v>24.883909726721502</v>
      </c>
      <c r="C3098" s="3">
        <v>3.0069324055991</v>
      </c>
      <c r="D3098" s="3">
        <v>0.81531236841768595</v>
      </c>
      <c r="E3098" s="3">
        <v>3.6880740708432902</v>
      </c>
      <c r="F3098" s="3">
        <v>2.2595787961768399E-4</v>
      </c>
      <c r="G3098" s="3">
        <v>1.66524732353479E-3</v>
      </c>
      <c r="H3098" s="3" t="str">
        <f>"AL135838.1"</f>
        <v>AL135838.1</v>
      </c>
      <c r="I3098" s="3" t="str">
        <f>"sense_intronic"</f>
        <v>sense_intronic</v>
      </c>
    </row>
    <row r="3099" spans="1:9" x14ac:dyDescent="0.2">
      <c r="A3099" s="3" t="str">
        <f>"ENSG00000183092.16"</f>
        <v>ENSG00000183092.16</v>
      </c>
      <c r="B3099" s="3">
        <v>18.237238828062399</v>
      </c>
      <c r="C3099" s="3">
        <v>3.5629512428656001</v>
      </c>
      <c r="D3099" s="3">
        <v>0.93934019141984804</v>
      </c>
      <c r="E3099" s="3">
        <v>3.7930360857657601</v>
      </c>
      <c r="F3099" s="3">
        <v>1.4881652026035199E-4</v>
      </c>
      <c r="G3099" s="3">
        <v>1.1497173117780001E-3</v>
      </c>
      <c r="H3099" s="3" t="str">
        <f>"BEGAIN"</f>
        <v>BEGAIN</v>
      </c>
      <c r="I3099" s="3" t="str">
        <f>"protein_coding"</f>
        <v>protein_coding</v>
      </c>
    </row>
    <row r="3100" spans="1:9" x14ac:dyDescent="0.2">
      <c r="A3100" s="3" t="str">
        <f>"ENSG00000258498.8"</f>
        <v>ENSG00000258498.8</v>
      </c>
      <c r="B3100" s="3">
        <v>21.0962893124901</v>
      </c>
      <c r="C3100" s="3">
        <v>2.5523799694679101</v>
      </c>
      <c r="D3100" s="3">
        <v>0.79213775584252999</v>
      </c>
      <c r="E3100" s="3">
        <v>3.2221415412186198</v>
      </c>
      <c r="F3100" s="3">
        <v>1.27236263209499E-3</v>
      </c>
      <c r="G3100" s="3">
        <v>7.5008863394303597E-3</v>
      </c>
      <c r="H3100" s="3" t="str">
        <f>"DIO3OS"</f>
        <v>DIO3OS</v>
      </c>
      <c r="I3100" s="3" t="str">
        <f>"lincRNA"</f>
        <v>lincRNA</v>
      </c>
    </row>
    <row r="3101" spans="1:9" x14ac:dyDescent="0.2">
      <c r="A3101" s="3" t="str">
        <f>"ENSG00000140153.17"</f>
        <v>ENSG00000140153.17</v>
      </c>
      <c r="B3101" s="3">
        <v>2113.65092592367</v>
      </c>
      <c r="C3101" s="3">
        <v>2.0612995515304502</v>
      </c>
      <c r="D3101" s="3">
        <v>0.248814970386284</v>
      </c>
      <c r="E3101" s="3">
        <v>8.2844675637092795</v>
      </c>
      <c r="F3101" s="4">
        <v>1.18638642851726E-16</v>
      </c>
      <c r="G3101" s="4">
        <v>5.0927560766811899E-15</v>
      </c>
      <c r="H3101" s="3" t="str">
        <f>"WDR20"</f>
        <v>WDR20</v>
      </c>
      <c r="I3101" s="3" t="str">
        <f>"protein_coding"</f>
        <v>protein_coding</v>
      </c>
    </row>
    <row r="3102" spans="1:9" x14ac:dyDescent="0.2">
      <c r="A3102" s="3" t="str">
        <f>"ENSG00000198752.11"</f>
        <v>ENSG00000198752.11</v>
      </c>
      <c r="B3102" s="3">
        <v>3966.3979798647401</v>
      </c>
      <c r="C3102" s="3">
        <v>1.62232743056527</v>
      </c>
      <c r="D3102" s="3">
        <v>0.278467490846803</v>
      </c>
      <c r="E3102" s="3">
        <v>5.8259131995331703</v>
      </c>
      <c r="F3102" s="4">
        <v>5.6801134577616797E-9</v>
      </c>
      <c r="G3102" s="4">
        <v>1.04142313432941E-7</v>
      </c>
      <c r="H3102" s="3" t="str">
        <f>"CDC42BPB"</f>
        <v>CDC42BPB</v>
      </c>
      <c r="I3102" s="3" t="str">
        <f>"protein_coding"</f>
        <v>protein_coding</v>
      </c>
    </row>
    <row r="3103" spans="1:9" x14ac:dyDescent="0.2">
      <c r="A3103" s="3" t="str">
        <f>"ENSG00000205436.7"</f>
        <v>ENSG00000205436.7</v>
      </c>
      <c r="B3103" s="3">
        <v>615.60816080863503</v>
      </c>
      <c r="C3103" s="3">
        <v>1.68089401656106</v>
      </c>
      <c r="D3103" s="3">
        <v>0.34123905689376699</v>
      </c>
      <c r="E3103" s="3">
        <v>4.9258547127105299</v>
      </c>
      <c r="F3103" s="4">
        <v>8.3992391050929996E-7</v>
      </c>
      <c r="G3103" s="4">
        <v>1.06547080024516E-5</v>
      </c>
      <c r="H3103" s="3" t="str">
        <f>"EXOC3L4"</f>
        <v>EXOC3L4</v>
      </c>
      <c r="I3103" s="3" t="str">
        <f>"protein_coding"</f>
        <v>protein_coding</v>
      </c>
    </row>
    <row r="3104" spans="1:9" x14ac:dyDescent="0.2">
      <c r="A3104" s="3" t="str">
        <f>"ENSG00000075413.18"</f>
        <v>ENSG00000075413.18</v>
      </c>
      <c r="B3104" s="3">
        <v>2574.1339212072899</v>
      </c>
      <c r="C3104" s="3">
        <v>1.4386990288294399</v>
      </c>
      <c r="D3104" s="3">
        <v>0.23971918551028201</v>
      </c>
      <c r="E3104" s="3">
        <v>6.0016015229107502</v>
      </c>
      <c r="F3104" s="4">
        <v>1.9538071716868598E-9</v>
      </c>
      <c r="G3104" s="4">
        <v>3.7952138535739802E-8</v>
      </c>
      <c r="H3104" s="3" t="str">
        <f>"MARK3"</f>
        <v>MARK3</v>
      </c>
      <c r="I3104" s="3" t="str">
        <f>"protein_coding"</f>
        <v>protein_coding</v>
      </c>
    </row>
    <row r="3105" spans="1:9" x14ac:dyDescent="0.2">
      <c r="A3105" s="3" t="str">
        <f>"ENSG00000166165.13"</f>
        <v>ENSG00000166165.13</v>
      </c>
      <c r="B3105" s="3">
        <v>4406.8843286678502</v>
      </c>
      <c r="C3105" s="3">
        <v>-1.0807167075347901</v>
      </c>
      <c r="D3105" s="3">
        <v>0.27985254845179802</v>
      </c>
      <c r="E3105" s="3">
        <v>-3.8617361661115601</v>
      </c>
      <c r="F3105" s="3">
        <v>1.12584109894084E-4</v>
      </c>
      <c r="G3105" s="3">
        <v>9.0279033611274505E-4</v>
      </c>
      <c r="H3105" s="3" t="str">
        <f>"CKB"</f>
        <v>CKB</v>
      </c>
      <c r="I3105" s="3" t="str">
        <f>"protein_coding"</f>
        <v>protein_coding</v>
      </c>
    </row>
    <row r="3106" spans="1:9" x14ac:dyDescent="0.2">
      <c r="A3106" s="3" t="str">
        <f>"ENSG00000260285.1"</f>
        <v>ENSG00000260285.1</v>
      </c>
      <c r="B3106" s="3">
        <v>94.149928372181094</v>
      </c>
      <c r="C3106" s="3">
        <v>1.4411127600336899</v>
      </c>
      <c r="D3106" s="3">
        <v>0.417183003529493</v>
      </c>
      <c r="E3106" s="3">
        <v>3.4543899148369901</v>
      </c>
      <c r="F3106" s="3">
        <v>5.5153933381095997E-4</v>
      </c>
      <c r="G3106" s="3">
        <v>3.6472032843854899E-3</v>
      </c>
      <c r="H3106" s="3" t="str">
        <f>"AL133367.1"</f>
        <v>AL133367.1</v>
      </c>
      <c r="I3106" s="3" t="str">
        <f>"antisense"</f>
        <v>antisense</v>
      </c>
    </row>
    <row r="3107" spans="1:9" x14ac:dyDescent="0.2">
      <c r="A3107" s="3" t="str">
        <f>"ENSG00000269940.1"</f>
        <v>ENSG00000269940.1</v>
      </c>
      <c r="B3107" s="3">
        <v>231.146502923637</v>
      </c>
      <c r="C3107" s="3">
        <v>1.1177919231870801</v>
      </c>
      <c r="D3107" s="3">
        <v>0.35498651207759202</v>
      </c>
      <c r="E3107" s="3">
        <v>3.1488292798650299</v>
      </c>
      <c r="F3107" s="3">
        <v>1.6392592919557199E-3</v>
      </c>
      <c r="G3107" s="3">
        <v>9.2768430796729504E-3</v>
      </c>
      <c r="H3107" s="3" t="str">
        <f>"AL049840.3"</f>
        <v>AL049840.3</v>
      </c>
      <c r="I3107" s="3" t="str">
        <f>"sense_intronic"</f>
        <v>sense_intronic</v>
      </c>
    </row>
    <row r="3108" spans="1:9" x14ac:dyDescent="0.2">
      <c r="A3108" s="3" t="str">
        <f>"ENSG00000269958.1"</f>
        <v>ENSG00000269958.1</v>
      </c>
      <c r="B3108" s="3">
        <v>304.075146616258</v>
      </c>
      <c r="C3108" s="3">
        <v>1.09558156493341</v>
      </c>
      <c r="D3108" s="3">
        <v>0.350272018814202</v>
      </c>
      <c r="E3108" s="3">
        <v>3.1278021254519599</v>
      </c>
      <c r="F3108" s="3">
        <v>1.7611870697053899E-3</v>
      </c>
      <c r="G3108" s="3">
        <v>9.8450357196531307E-3</v>
      </c>
      <c r="H3108" s="3" t="str">
        <f>"AL049840.4"</f>
        <v>AL049840.4</v>
      </c>
      <c r="I3108" s="3" t="str">
        <f>"sense_intronic"</f>
        <v>sense_intronic</v>
      </c>
    </row>
    <row r="3109" spans="1:9" x14ac:dyDescent="0.2">
      <c r="A3109" s="3" t="str">
        <f>"ENSG00000088808.17"</f>
        <v>ENSG00000088808.17</v>
      </c>
      <c r="B3109" s="3">
        <v>1118.8001860965101</v>
      </c>
      <c r="C3109" s="3">
        <v>1.3081036203296601</v>
      </c>
      <c r="D3109" s="3">
        <v>0.25209582605637199</v>
      </c>
      <c r="E3109" s="3">
        <v>5.1889142346892596</v>
      </c>
      <c r="F3109" s="4">
        <v>2.11523783987923E-7</v>
      </c>
      <c r="G3109" s="4">
        <v>3.0027543940272099E-6</v>
      </c>
      <c r="H3109" s="3" t="str">
        <f>"PPP1R13B"</f>
        <v>PPP1R13B</v>
      </c>
      <c r="I3109" s="3" t="str">
        <f>"protein_coding"</f>
        <v>protein_coding</v>
      </c>
    </row>
    <row r="3110" spans="1:9" x14ac:dyDescent="0.2">
      <c r="A3110" s="3" t="str">
        <f>"ENSG00000258534.1"</f>
        <v>ENSG00000258534.1</v>
      </c>
      <c r="B3110" s="3">
        <v>57.936381955643697</v>
      </c>
      <c r="C3110" s="3">
        <v>1.4992934433096501</v>
      </c>
      <c r="D3110" s="3">
        <v>0.55056332082584603</v>
      </c>
      <c r="E3110" s="3">
        <v>2.7231989248043398</v>
      </c>
      <c r="F3110" s="3">
        <v>6.4653115407385404E-3</v>
      </c>
      <c r="G3110" s="3">
        <v>2.9277211846494702E-2</v>
      </c>
      <c r="H3110" s="3" t="str">
        <f>"AL132712.1"</f>
        <v>AL132712.1</v>
      </c>
      <c r="I3110" s="3" t="str">
        <f>"lincRNA"</f>
        <v>lincRNA</v>
      </c>
    </row>
    <row r="3111" spans="1:9" x14ac:dyDescent="0.2">
      <c r="A3111" s="3" t="str">
        <f>"ENSG00000166183.16"</f>
        <v>ENSG00000166183.16</v>
      </c>
      <c r="B3111" s="3">
        <v>440.61528275243501</v>
      </c>
      <c r="C3111" s="3">
        <v>12.3019986961089</v>
      </c>
      <c r="D3111" s="3">
        <v>1.4705817076162899</v>
      </c>
      <c r="E3111" s="3">
        <v>8.3653962458499205</v>
      </c>
      <c r="F3111" s="4">
        <v>5.9913232207754404E-17</v>
      </c>
      <c r="G3111" s="4">
        <v>2.62563999335551E-15</v>
      </c>
      <c r="H3111" s="3" t="str">
        <f>"ASPG"</f>
        <v>ASPG</v>
      </c>
      <c r="I3111" s="3" t="str">
        <f>"protein_coding"</f>
        <v>protein_coding</v>
      </c>
    </row>
    <row r="3112" spans="1:9" x14ac:dyDescent="0.2">
      <c r="A3112" s="3" t="str">
        <f>"ENSG00000203485.13"</f>
        <v>ENSG00000203485.13</v>
      </c>
      <c r="B3112" s="3">
        <v>1031.4914786367799</v>
      </c>
      <c r="C3112" s="3">
        <v>1.16739966252786</v>
      </c>
      <c r="D3112" s="3">
        <v>0.32536311324547101</v>
      </c>
      <c r="E3112" s="3">
        <v>3.5879902023408299</v>
      </c>
      <c r="F3112" s="3">
        <v>3.3323680918569902E-4</v>
      </c>
      <c r="G3112" s="3">
        <v>2.35003418420697E-3</v>
      </c>
      <c r="H3112" s="3" t="str">
        <f>"INF2"</f>
        <v>INF2</v>
      </c>
      <c r="I3112" s="3" t="str">
        <f>"protein_coding"</f>
        <v>protein_coding</v>
      </c>
    </row>
    <row r="3113" spans="1:9" x14ac:dyDescent="0.2">
      <c r="A3113" s="3" t="str">
        <f>"ENSG00000185100.10"</f>
        <v>ENSG00000185100.10</v>
      </c>
      <c r="B3113" s="3">
        <v>112.305623646779</v>
      </c>
      <c r="C3113" s="3">
        <v>2.9936122918732102</v>
      </c>
      <c r="D3113" s="3">
        <v>0.52210304471266</v>
      </c>
      <c r="E3113" s="3">
        <v>5.7337575832769696</v>
      </c>
      <c r="F3113" s="4">
        <v>9.8229700527046995E-9</v>
      </c>
      <c r="G3113" s="4">
        <v>1.73279671581898E-7</v>
      </c>
      <c r="H3113" s="3" t="str">
        <f>"ADSSL1"</f>
        <v>ADSSL1</v>
      </c>
      <c r="I3113" s="3" t="str">
        <f>"protein_coding"</f>
        <v>protein_coding</v>
      </c>
    </row>
    <row r="3114" spans="1:9" x14ac:dyDescent="0.2">
      <c r="A3114" s="3" t="str">
        <f>"ENSG00000142208.16"</f>
        <v>ENSG00000142208.16</v>
      </c>
      <c r="B3114" s="3">
        <v>1804.8405784722499</v>
      </c>
      <c r="C3114" s="3">
        <v>1.41486655850909</v>
      </c>
      <c r="D3114" s="3">
        <v>0.32171035759704902</v>
      </c>
      <c r="E3114" s="3">
        <v>4.3979515271971801</v>
      </c>
      <c r="F3114" s="4">
        <v>1.0927737602647399E-5</v>
      </c>
      <c r="G3114" s="3">
        <v>1.1075231240717E-4</v>
      </c>
      <c r="H3114" s="3" t="str">
        <f>"AKT1"</f>
        <v>AKT1</v>
      </c>
      <c r="I3114" s="3" t="str">
        <f>"protein_coding"</f>
        <v>protein_coding</v>
      </c>
    </row>
    <row r="3115" spans="1:9" x14ac:dyDescent="0.2">
      <c r="A3115" s="3" t="str">
        <f>"ENSG00000179627.10"</f>
        <v>ENSG00000179627.10</v>
      </c>
      <c r="B3115" s="3">
        <v>148.58834371504599</v>
      </c>
      <c r="C3115" s="3">
        <v>2.1433983175984999</v>
      </c>
      <c r="D3115" s="3">
        <v>0.40604559007784502</v>
      </c>
      <c r="E3115" s="3">
        <v>5.27871344985566</v>
      </c>
      <c r="F3115" s="4">
        <v>1.30094061577572E-7</v>
      </c>
      <c r="G3115" s="4">
        <v>1.9216183904778798E-6</v>
      </c>
      <c r="H3115" s="3" t="str">
        <f>"AL590327.1"</f>
        <v>AL590327.1</v>
      </c>
      <c r="I3115" s="3" t="str">
        <f>"protein_coding"</f>
        <v>protein_coding</v>
      </c>
    </row>
    <row r="3116" spans="1:9" x14ac:dyDescent="0.2">
      <c r="A3116" s="3" t="str">
        <f>"ENSG00000258593.2"</f>
        <v>ENSG00000258593.2</v>
      </c>
      <c r="B3116" s="3">
        <v>21.1347259087749</v>
      </c>
      <c r="C3116" s="3">
        <v>2.2566852416660002</v>
      </c>
      <c r="D3116" s="3">
        <v>0.81472961728528703</v>
      </c>
      <c r="E3116" s="3">
        <v>2.7698578691484999</v>
      </c>
      <c r="F3116" s="3">
        <v>5.6080758760964303E-3</v>
      </c>
      <c r="G3116" s="3">
        <v>2.6023085899871901E-2</v>
      </c>
      <c r="H3116" s="3" t="str">
        <f>"AL583810.1"</f>
        <v>AL583810.1</v>
      </c>
      <c r="I3116" s="3" t="str">
        <f>"lincRNA"</f>
        <v>lincRNA</v>
      </c>
    </row>
    <row r="3117" spans="1:9" x14ac:dyDescent="0.2">
      <c r="A3117" s="3" t="str">
        <f>"ENSG00000099814.16"</f>
        <v>ENSG00000099814.16</v>
      </c>
      <c r="B3117" s="3">
        <v>4443.98658027089</v>
      </c>
      <c r="C3117" s="3">
        <v>2.6644715763332698</v>
      </c>
      <c r="D3117" s="3">
        <v>0.30673165240738498</v>
      </c>
      <c r="E3117" s="3">
        <v>8.6866534817034697</v>
      </c>
      <c r="F3117" s="4">
        <v>3.7327251785776697E-18</v>
      </c>
      <c r="G3117" s="4">
        <v>1.7749849124219501E-16</v>
      </c>
      <c r="H3117" s="3" t="str">
        <f>"CEP170B"</f>
        <v>CEP170B</v>
      </c>
      <c r="I3117" s="3" t="str">
        <f>"protein_coding"</f>
        <v>protein_coding</v>
      </c>
    </row>
    <row r="3118" spans="1:9" x14ac:dyDescent="0.2">
      <c r="A3118" s="3" t="str">
        <f>"ENSG00000185567.7"</f>
        <v>ENSG00000185567.7</v>
      </c>
      <c r="B3118" s="3">
        <v>579.66427843891802</v>
      </c>
      <c r="C3118" s="3">
        <v>3.54774506104315</v>
      </c>
      <c r="D3118" s="3">
        <v>0.37584632100804199</v>
      </c>
      <c r="E3118" s="3">
        <v>9.4393502416835897</v>
      </c>
      <c r="F3118" s="4">
        <v>3.7509814224693501E-21</v>
      </c>
      <c r="G3118" s="4">
        <v>2.1841652241253798E-19</v>
      </c>
      <c r="H3118" s="3" t="str">
        <f>"AHNAK2"</f>
        <v>AHNAK2</v>
      </c>
      <c r="I3118" s="3" t="str">
        <f>"protein_coding"</f>
        <v>protein_coding</v>
      </c>
    </row>
    <row r="3119" spans="1:9" x14ac:dyDescent="0.2">
      <c r="A3119" s="3" t="str">
        <f>"ENSG00000184916.9"</f>
        <v>ENSG00000184916.9</v>
      </c>
      <c r="B3119" s="3">
        <v>106.201063429961</v>
      </c>
      <c r="C3119" s="3">
        <v>4.6507175586404701</v>
      </c>
      <c r="D3119" s="3">
        <v>0.528686877352471</v>
      </c>
      <c r="E3119" s="3">
        <v>8.7967334879391696</v>
      </c>
      <c r="F3119" s="4">
        <v>1.4085630964310201E-18</v>
      </c>
      <c r="G3119" s="4">
        <v>6.8667450951012194E-17</v>
      </c>
      <c r="H3119" s="3" t="str">
        <f>"JAG2"</f>
        <v>JAG2</v>
      </c>
      <c r="I3119" s="3" t="str">
        <f>"protein_coding"</f>
        <v>protein_coding</v>
      </c>
    </row>
    <row r="3120" spans="1:9" x14ac:dyDescent="0.2">
      <c r="A3120" s="3" t="str">
        <f>"ENSG00000183828.15"</f>
        <v>ENSG00000183828.15</v>
      </c>
      <c r="B3120" s="3">
        <v>162.12421326175999</v>
      </c>
      <c r="C3120" s="3">
        <v>2.934052297659</v>
      </c>
      <c r="D3120" s="3">
        <v>0.421840104007001</v>
      </c>
      <c r="E3120" s="3">
        <v>6.9553659545141304</v>
      </c>
      <c r="F3120" s="4">
        <v>3.5164800189796599E-12</v>
      </c>
      <c r="G3120" s="4">
        <v>9.56292485161442E-11</v>
      </c>
      <c r="H3120" s="3" t="str">
        <f>"NUDT14"</f>
        <v>NUDT14</v>
      </c>
      <c r="I3120" s="3" t="str">
        <f>"protein_coding"</f>
        <v>protein_coding</v>
      </c>
    </row>
    <row r="3121" spans="1:9" x14ac:dyDescent="0.2">
      <c r="A3121" s="3" t="str">
        <f>"ENSG00000179364.13"</f>
        <v>ENSG00000179364.13</v>
      </c>
      <c r="B3121" s="3">
        <v>1617.2370517869999</v>
      </c>
      <c r="C3121" s="3">
        <v>2.4444844693049501</v>
      </c>
      <c r="D3121" s="3">
        <v>0.32127592673090599</v>
      </c>
      <c r="E3121" s="3">
        <v>7.60867611270608</v>
      </c>
      <c r="F3121" s="4">
        <v>2.7691773262697699E-14</v>
      </c>
      <c r="G3121" s="4">
        <v>9.3376213997742802E-13</v>
      </c>
      <c r="H3121" s="3" t="str">
        <f>"PACS2"</f>
        <v>PACS2</v>
      </c>
      <c r="I3121" s="3" t="str">
        <f>"protein_coding"</f>
        <v>protein_coding</v>
      </c>
    </row>
    <row r="3122" spans="1:9" x14ac:dyDescent="0.2">
      <c r="A3122" s="3" t="str">
        <f>"ENSG00000279495.1"</f>
        <v>ENSG00000279495.1</v>
      </c>
      <c r="B3122" s="3">
        <v>191.91295694226801</v>
      </c>
      <c r="C3122" s="3">
        <v>2.3570595279039299</v>
      </c>
      <c r="D3122" s="3">
        <v>0.36287918923123402</v>
      </c>
      <c r="E3122" s="3">
        <v>6.4954386965463602</v>
      </c>
      <c r="F3122" s="4">
        <v>8.2791795983492999E-11</v>
      </c>
      <c r="G3122" s="4">
        <v>1.92124319922949E-9</v>
      </c>
      <c r="H3122" s="3" t="str">
        <f>"AL928654.4"</f>
        <v>AL928654.4</v>
      </c>
      <c r="I3122" s="3" t="str">
        <f>"TEC"</f>
        <v>TEC</v>
      </c>
    </row>
    <row r="3123" spans="1:9" x14ac:dyDescent="0.2">
      <c r="A3123" s="3" t="str">
        <f>"ENSG00000242085.1"</f>
        <v>ENSG00000242085.1</v>
      </c>
      <c r="B3123" s="3">
        <v>46.655342641283497</v>
      </c>
      <c r="C3123" s="3">
        <v>2.4211927466178</v>
      </c>
      <c r="D3123" s="3">
        <v>0.57036549357024102</v>
      </c>
      <c r="E3123" s="3">
        <v>4.2449846176040298</v>
      </c>
      <c r="F3123" s="4">
        <v>2.1860841719138698E-5</v>
      </c>
      <c r="G3123" s="3">
        <v>2.0751300884714501E-4</v>
      </c>
      <c r="H3123" s="3" t="str">
        <f>"RPS20P33"</f>
        <v>RPS20P33</v>
      </c>
      <c r="I3123" s="3" t="str">
        <f>"processed_pseudogene"</f>
        <v>processed_pseudogene</v>
      </c>
    </row>
    <row r="3124" spans="1:9" x14ac:dyDescent="0.2">
      <c r="A3124" s="3" t="str">
        <f>"ENSG00000182979.18"</f>
        <v>ENSG00000182979.18</v>
      </c>
      <c r="B3124" s="3">
        <v>2183.4026104635</v>
      </c>
      <c r="C3124" s="3">
        <v>1.54202728754617</v>
      </c>
      <c r="D3124" s="3">
        <v>0.29990653163396203</v>
      </c>
      <c r="E3124" s="3">
        <v>5.1416929106039602</v>
      </c>
      <c r="F3124" s="4">
        <v>2.7227389119462898E-7</v>
      </c>
      <c r="G3124" s="4">
        <v>3.7819159210385902E-6</v>
      </c>
      <c r="H3124" s="3" t="str">
        <f>"MTA1"</f>
        <v>MTA1</v>
      </c>
      <c r="I3124" s="3" t="str">
        <f>"protein_coding"</f>
        <v>protein_coding</v>
      </c>
    </row>
    <row r="3125" spans="1:9" x14ac:dyDescent="0.2">
      <c r="A3125" s="3" t="str">
        <f>"ENSG00000182809.10"</f>
        <v>ENSG00000182809.10</v>
      </c>
      <c r="B3125" s="3">
        <v>607.82305085655105</v>
      </c>
      <c r="C3125" s="3">
        <v>2.77182363146331</v>
      </c>
      <c r="D3125" s="3">
        <v>0.343257533638686</v>
      </c>
      <c r="E3125" s="3">
        <v>8.0750554899136997</v>
      </c>
      <c r="F3125" s="4">
        <v>6.7445967354187905E-16</v>
      </c>
      <c r="G3125" s="4">
        <v>2.66761526540031E-14</v>
      </c>
      <c r="H3125" s="3" t="str">
        <f>"CRIP2"</f>
        <v>CRIP2</v>
      </c>
      <c r="I3125" s="3" t="str">
        <f>"protein_coding"</f>
        <v>protein_coding</v>
      </c>
    </row>
    <row r="3126" spans="1:9" x14ac:dyDescent="0.2">
      <c r="A3126" s="3" t="str">
        <f>"ENSG00000185347.17"</f>
        <v>ENSG00000185347.17</v>
      </c>
      <c r="B3126" s="3">
        <v>126.95916611122701</v>
      </c>
      <c r="C3126" s="3">
        <v>1.57284503337939</v>
      </c>
      <c r="D3126" s="3">
        <v>0.412304163093969</v>
      </c>
      <c r="E3126" s="3">
        <v>3.8147687415441398</v>
      </c>
      <c r="F3126" s="3">
        <v>1.36310524375997E-4</v>
      </c>
      <c r="G3126" s="3">
        <v>1.06454245286501E-3</v>
      </c>
      <c r="H3126" s="3" t="str">
        <f>"TEDC1"</f>
        <v>TEDC1</v>
      </c>
      <c r="I3126" s="3" t="str">
        <f>"protein_coding"</f>
        <v>protein_coding</v>
      </c>
    </row>
    <row r="3127" spans="1:9" x14ac:dyDescent="0.2">
      <c r="A3127" s="3" t="str">
        <f>"ENSG00000211895.5"</f>
        <v>ENSG00000211895.5</v>
      </c>
      <c r="B3127" s="3">
        <v>39.140291642451899</v>
      </c>
      <c r="C3127" s="3">
        <v>2.8571561483051102</v>
      </c>
      <c r="D3127" s="3">
        <v>0.61836837478147599</v>
      </c>
      <c r="E3127" s="3">
        <v>4.6204758600644702</v>
      </c>
      <c r="F3127" s="4">
        <v>3.8286089106092899E-6</v>
      </c>
      <c r="G3127" s="4">
        <v>4.2994936226061102E-5</v>
      </c>
      <c r="H3127" s="3" t="str">
        <f>"IGHA1"</f>
        <v>IGHA1</v>
      </c>
      <c r="I3127" s="3" t="str">
        <f>"IG_C_gene"</f>
        <v>IG_C_gene</v>
      </c>
    </row>
    <row r="3128" spans="1:9" x14ac:dyDescent="0.2">
      <c r="A3128" s="3" t="str">
        <f>"ENSG00000253149.3"</f>
        <v>ENSG00000253149.3</v>
      </c>
      <c r="B3128" s="3">
        <v>10.9181641253144</v>
      </c>
      <c r="C3128" s="3">
        <v>6.9665404610570096</v>
      </c>
      <c r="D3128" s="3">
        <v>1.7354735134619601</v>
      </c>
      <c r="E3128" s="3">
        <v>4.0142015461590104</v>
      </c>
      <c r="F3128" s="4">
        <v>5.96473638060082E-5</v>
      </c>
      <c r="G3128" s="3">
        <v>5.1419788777934698E-4</v>
      </c>
      <c r="H3128" s="3" t="str">
        <f>"IGHVII-28-1"</f>
        <v>IGHVII-28-1</v>
      </c>
      <c r="I3128" s="3" t="str">
        <f>"IG_V_pseudogene"</f>
        <v>IG_V_pseudogene</v>
      </c>
    </row>
    <row r="3129" spans="1:9" x14ac:dyDescent="0.2">
      <c r="A3129" s="3" t="str">
        <f>"ENSG00000254289.2"</f>
        <v>ENSG00000254289.2</v>
      </c>
      <c r="B3129" s="3">
        <v>57.972082702136298</v>
      </c>
      <c r="C3129" s="3">
        <v>7.9242575374599404</v>
      </c>
      <c r="D3129" s="3">
        <v>1.49500563140243</v>
      </c>
      <c r="E3129" s="3">
        <v>5.3004867480174003</v>
      </c>
      <c r="F3129" s="4">
        <v>1.15494349105309E-7</v>
      </c>
      <c r="G3129" s="4">
        <v>1.7170569454752101E-6</v>
      </c>
      <c r="H3129" s="3" t="str">
        <f>"IGHV3-32"</f>
        <v>IGHV3-32</v>
      </c>
      <c r="I3129" s="3" t="str">
        <f>"IG_V_pseudogene"</f>
        <v>IG_V_pseudogene</v>
      </c>
    </row>
    <row r="3130" spans="1:9" x14ac:dyDescent="0.2">
      <c r="A3130" s="3" t="str">
        <f>"ENSG00000278626.1"</f>
        <v>ENSG00000278626.1</v>
      </c>
      <c r="B3130" s="3">
        <v>80.375060663799999</v>
      </c>
      <c r="C3130" s="3">
        <v>7.3985232677313002</v>
      </c>
      <c r="D3130" s="3">
        <v>1.10792483487434</v>
      </c>
      <c r="E3130" s="3">
        <v>6.6778205838940599</v>
      </c>
      <c r="F3130" s="4">
        <v>2.42521680852553E-11</v>
      </c>
      <c r="G3130" s="4">
        <v>5.98101262926076E-10</v>
      </c>
      <c r="H3130" s="3" t="str">
        <f>"AC023310.4"</f>
        <v>AC023310.4</v>
      </c>
      <c r="I3130" s="3" t="str">
        <f>"lincRNA"</f>
        <v>lincRNA</v>
      </c>
    </row>
    <row r="3131" spans="1:9" x14ac:dyDescent="0.2">
      <c r="A3131" s="3" t="str">
        <f>"ENSG00000258590.5"</f>
        <v>ENSG00000258590.5</v>
      </c>
      <c r="B3131" s="3">
        <v>910.16823880264803</v>
      </c>
      <c r="C3131" s="3">
        <v>8.4337472781989309</v>
      </c>
      <c r="D3131" s="3">
        <v>0.53584253016599004</v>
      </c>
      <c r="E3131" s="3">
        <v>15.739227111342499</v>
      </c>
      <c r="F3131" s="4">
        <v>8.1432215778862902E-56</v>
      </c>
      <c r="G3131" s="4">
        <v>2.40991457402035E-53</v>
      </c>
      <c r="H3131" s="3" t="str">
        <f>"NBEAP1"</f>
        <v>NBEAP1</v>
      </c>
      <c r="I3131" s="3" t="str">
        <f>"transcribed_unprocessed_pseudogene"</f>
        <v>transcribed_unprocessed_pseudogene</v>
      </c>
    </row>
    <row r="3132" spans="1:9" x14ac:dyDescent="0.2">
      <c r="A3132" s="3" t="str">
        <f>"ENSG00000260409.1"</f>
        <v>ENSG00000260409.1</v>
      </c>
      <c r="B3132" s="3">
        <v>20.669442421639001</v>
      </c>
      <c r="C3132" s="3">
        <v>3.0952287875231299</v>
      </c>
      <c r="D3132" s="3">
        <v>0.85666706495198797</v>
      </c>
      <c r="E3132" s="3">
        <v>3.6131058542522601</v>
      </c>
      <c r="F3132" s="3">
        <v>3.0255111592232699E-4</v>
      </c>
      <c r="G3132" s="3">
        <v>2.1621231025642398E-3</v>
      </c>
      <c r="H3132" s="3" t="str">
        <f>"AC012414.5"</f>
        <v>AC012414.5</v>
      </c>
      <c r="I3132" s="3" t="str">
        <f>"lincRNA"</f>
        <v>lincRNA</v>
      </c>
    </row>
    <row r="3133" spans="1:9" x14ac:dyDescent="0.2">
      <c r="A3133" s="3" t="str">
        <f>"ENSG00000237161.4"</f>
        <v>ENSG00000237161.4</v>
      </c>
      <c r="B3133" s="3">
        <v>44.546613008809103</v>
      </c>
      <c r="C3133" s="3">
        <v>3.6243131738762</v>
      </c>
      <c r="D3133" s="3">
        <v>0.64078592581750204</v>
      </c>
      <c r="E3133" s="3">
        <v>5.6560436611530998</v>
      </c>
      <c r="F3133" s="4">
        <v>1.5490207806585001E-8</v>
      </c>
      <c r="G3133" s="4">
        <v>2.6566172971637497E-7</v>
      </c>
      <c r="H3133" s="3" t="str">
        <f>"AC068446.1"</f>
        <v>AC068446.1</v>
      </c>
      <c r="I3133" s="3" t="str">
        <f>"processed_pseudogene"</f>
        <v>processed_pseudogene</v>
      </c>
    </row>
    <row r="3134" spans="1:9" x14ac:dyDescent="0.2">
      <c r="A3134" s="3" t="str">
        <f>"ENSG00000247765.2"</f>
        <v>ENSG00000247765.2</v>
      </c>
      <c r="B3134" s="3">
        <v>21.954280019894298</v>
      </c>
      <c r="C3134" s="3">
        <v>3.1908692714258602</v>
      </c>
      <c r="D3134" s="3">
        <v>0.83910180588016503</v>
      </c>
      <c r="E3134" s="3">
        <v>3.8027200621727202</v>
      </c>
      <c r="F3134" s="3">
        <v>1.43116042155238E-4</v>
      </c>
      <c r="G3134" s="3">
        <v>1.1125105192877E-3</v>
      </c>
      <c r="H3134" s="3" t="str">
        <f>"AC068446.2"</f>
        <v>AC068446.2</v>
      </c>
      <c r="I3134" s="3" t="str">
        <f>"lincRNA"</f>
        <v>lincRNA</v>
      </c>
    </row>
    <row r="3135" spans="1:9" x14ac:dyDescent="0.2">
      <c r="A3135" s="3" t="str">
        <f>"ENSG00000259098.1"</f>
        <v>ENSG00000259098.1</v>
      </c>
      <c r="B3135" s="3">
        <v>10.153239104454901</v>
      </c>
      <c r="C3135" s="3">
        <v>6.86516072696854</v>
      </c>
      <c r="D3135" s="3">
        <v>1.7649386651260901</v>
      </c>
      <c r="E3135" s="3">
        <v>3.88974464813943</v>
      </c>
      <c r="F3135" s="3">
        <v>1.0034975809036E-4</v>
      </c>
      <c r="G3135" s="3">
        <v>8.1402714116833596E-4</v>
      </c>
      <c r="H3135" s="3" t="str">
        <f>"AC025884.2"</f>
        <v>AC025884.2</v>
      </c>
      <c r="I3135" s="3" t="str">
        <f>"processed_pseudogene"</f>
        <v>processed_pseudogene</v>
      </c>
    </row>
    <row r="3136" spans="1:9" x14ac:dyDescent="0.2">
      <c r="A3136" s="3" t="str">
        <f>"ENSG00000258732.1"</f>
        <v>ENSG00000258732.1</v>
      </c>
      <c r="B3136" s="3">
        <v>26.439045638005901</v>
      </c>
      <c r="C3136" s="3">
        <v>5.77549389773435</v>
      </c>
      <c r="D3136" s="3">
        <v>1.20670532708036</v>
      </c>
      <c r="E3136" s="3">
        <v>4.7861675656212102</v>
      </c>
      <c r="F3136" s="4">
        <v>1.6999614352209401E-6</v>
      </c>
      <c r="G3136" s="4">
        <v>2.0228254447957801E-5</v>
      </c>
      <c r="H3136" s="3" t="str">
        <f>"AC025884.1"</f>
        <v>AC025884.1</v>
      </c>
      <c r="I3136" s="3" t="str">
        <f>"unprocessed_pseudogene"</f>
        <v>unprocessed_pseudogene</v>
      </c>
    </row>
    <row r="3137" spans="1:9" x14ac:dyDescent="0.2">
      <c r="A3137" s="3" t="str">
        <f>"ENSG00000179455.8"</f>
        <v>ENSG00000179455.8</v>
      </c>
      <c r="B3137" s="3">
        <v>41.7060481641373</v>
      </c>
      <c r="C3137" s="3">
        <v>3.77227542427091</v>
      </c>
      <c r="D3137" s="3">
        <v>0.66636406580639596</v>
      </c>
      <c r="E3137" s="3">
        <v>5.6609826637424003</v>
      </c>
      <c r="F3137" s="4">
        <v>1.5050863320038399E-8</v>
      </c>
      <c r="G3137" s="4">
        <v>2.5896338359477899E-7</v>
      </c>
      <c r="H3137" s="3" t="str">
        <f>"MKRN3"</f>
        <v>MKRN3</v>
      </c>
      <c r="I3137" s="3" t="str">
        <f>"protein_coding"</f>
        <v>protein_coding</v>
      </c>
    </row>
    <row r="3138" spans="1:9" x14ac:dyDescent="0.2">
      <c r="A3138" s="3" t="str">
        <f>"ENSG00000128739.22"</f>
        <v>ENSG00000128739.22</v>
      </c>
      <c r="B3138" s="3">
        <v>262.12399871447599</v>
      </c>
      <c r="C3138" s="3">
        <v>-1.2137124538859201</v>
      </c>
      <c r="D3138" s="3">
        <v>0.30630537989615902</v>
      </c>
      <c r="E3138" s="3">
        <v>-3.9624261718725902</v>
      </c>
      <c r="F3138" s="4">
        <v>7.4191953221543997E-5</v>
      </c>
      <c r="G3138" s="3">
        <v>6.2355448823519502E-4</v>
      </c>
      <c r="H3138" s="3" t="str">
        <f>"SNRPN"</f>
        <v>SNRPN</v>
      </c>
      <c r="I3138" s="3" t="str">
        <f>"protein_coding"</f>
        <v>protein_coding</v>
      </c>
    </row>
    <row r="3139" spans="1:9" x14ac:dyDescent="0.2">
      <c r="A3139" s="3" t="str">
        <f>"ENSG00000224078.14"</f>
        <v>ENSG00000224078.14</v>
      </c>
      <c r="B3139" s="3">
        <v>10944.312219943</v>
      </c>
      <c r="C3139" s="3">
        <v>-1.4345709170596499</v>
      </c>
      <c r="D3139" s="3">
        <v>0.24690281504248801</v>
      </c>
      <c r="E3139" s="3">
        <v>-5.8102655363114701</v>
      </c>
      <c r="F3139" s="4">
        <v>6.23738311176682E-9</v>
      </c>
      <c r="G3139" s="4">
        <v>1.13779095124361E-7</v>
      </c>
      <c r="H3139" s="3" t="str">
        <f>"SNHG14"</f>
        <v>SNHG14</v>
      </c>
      <c r="I3139" s="3" t="str">
        <f>"processed_transcript"</f>
        <v>processed_transcript</v>
      </c>
    </row>
    <row r="3140" spans="1:9" x14ac:dyDescent="0.2">
      <c r="A3140" s="3" t="str">
        <f>"ENSG00000207063.1"</f>
        <v>ENSG00000207063.1</v>
      </c>
      <c r="B3140" s="3">
        <v>80.307658244114506</v>
      </c>
      <c r="C3140" s="3">
        <v>-2.60048056718249</v>
      </c>
      <c r="D3140" s="3">
        <v>0.46312696647766499</v>
      </c>
      <c r="E3140" s="3">
        <v>-5.6150489075610697</v>
      </c>
      <c r="F3140" s="4">
        <v>1.9650665611034001E-8</v>
      </c>
      <c r="G3140" s="4">
        <v>3.30945170265505E-7</v>
      </c>
      <c r="H3140" s="3" t="str">
        <f>"SNORD116-1"</f>
        <v>SNORD116-1</v>
      </c>
      <c r="I3140" s="3" t="str">
        <f t="shared" ref="I3140:I3146" si="131">"snoRNA"</f>
        <v>snoRNA</v>
      </c>
    </row>
    <row r="3141" spans="1:9" x14ac:dyDescent="0.2">
      <c r="A3141" s="3" t="str">
        <f>"ENSG00000207001.1"</f>
        <v>ENSG00000207001.1</v>
      </c>
      <c r="B3141" s="3">
        <v>43.622309704864499</v>
      </c>
      <c r="C3141" s="3">
        <v>-2.6866201855585401</v>
      </c>
      <c r="D3141" s="3">
        <v>0.60622918054823605</v>
      </c>
      <c r="E3141" s="3">
        <v>-4.4316906407060799</v>
      </c>
      <c r="F3141" s="4">
        <v>9.3497096447785498E-6</v>
      </c>
      <c r="G3141" s="4">
        <v>9.63901418501658E-5</v>
      </c>
      <c r="H3141" s="3" t="str">
        <f>"SNORD116-2"</f>
        <v>SNORD116-2</v>
      </c>
      <c r="I3141" s="3" t="str">
        <f t="shared" si="131"/>
        <v>snoRNA</v>
      </c>
    </row>
    <row r="3142" spans="1:9" x14ac:dyDescent="0.2">
      <c r="A3142" s="3" t="str">
        <f>"ENSG00000207442.1"</f>
        <v>ENSG00000207442.1</v>
      </c>
      <c r="B3142" s="3">
        <v>88.167524433119993</v>
      </c>
      <c r="C3142" s="3">
        <v>-1.8377472211752699</v>
      </c>
      <c r="D3142" s="3">
        <v>0.51967883165358397</v>
      </c>
      <c r="E3142" s="3">
        <v>-3.5363134098183</v>
      </c>
      <c r="F3142" s="3">
        <v>4.0575301663138498E-4</v>
      </c>
      <c r="G3142" s="3">
        <v>2.7879587908665598E-3</v>
      </c>
      <c r="H3142" s="3" t="str">
        <f>"SNORD116-6"</f>
        <v>SNORD116-6</v>
      </c>
      <c r="I3142" s="3" t="str">
        <f t="shared" si="131"/>
        <v>snoRNA</v>
      </c>
    </row>
    <row r="3143" spans="1:9" x14ac:dyDescent="0.2">
      <c r="A3143" s="3" t="str">
        <f>"ENSG00000207133.1"</f>
        <v>ENSG00000207133.1</v>
      </c>
      <c r="B3143" s="3">
        <v>76.961357954949307</v>
      </c>
      <c r="C3143" s="3">
        <v>-2.1008332161756802</v>
      </c>
      <c r="D3143" s="3">
        <v>0.47037038777103402</v>
      </c>
      <c r="E3143" s="3">
        <v>-4.4663381683761898</v>
      </c>
      <c r="F3143" s="4">
        <v>7.9569801079042697E-6</v>
      </c>
      <c r="G3143" s="4">
        <v>8.3643056671262801E-5</v>
      </c>
      <c r="H3143" s="3" t="str">
        <f>"SNORD116-7"</f>
        <v>SNORD116-7</v>
      </c>
      <c r="I3143" s="3" t="str">
        <f t="shared" si="131"/>
        <v>snoRNA</v>
      </c>
    </row>
    <row r="3144" spans="1:9" x14ac:dyDescent="0.2">
      <c r="A3144" s="3" t="str">
        <f>"ENSG00000206656.1"</f>
        <v>ENSG00000206656.1</v>
      </c>
      <c r="B3144" s="3">
        <v>42.782384613997401</v>
      </c>
      <c r="C3144" s="3">
        <v>-2.6737919550217399</v>
      </c>
      <c r="D3144" s="3">
        <v>0.66795714749150803</v>
      </c>
      <c r="E3144" s="3">
        <v>-4.0029393578062402</v>
      </c>
      <c r="F3144" s="4">
        <v>6.2560341956927602E-5</v>
      </c>
      <c r="G3144" s="3">
        <v>5.3655144968513897E-4</v>
      </c>
      <c r="H3144" s="3" t="str">
        <f>"SNORD116-17"</f>
        <v>SNORD116-17</v>
      </c>
      <c r="I3144" s="3" t="str">
        <f t="shared" si="131"/>
        <v>snoRNA</v>
      </c>
    </row>
    <row r="3145" spans="1:9" x14ac:dyDescent="0.2">
      <c r="A3145" s="3" t="str">
        <f>"ENSG00000206688.1"</f>
        <v>ENSG00000206688.1</v>
      </c>
      <c r="B3145" s="3">
        <v>416.14583242482303</v>
      </c>
      <c r="C3145" s="3">
        <v>-1.35322469836119</v>
      </c>
      <c r="D3145" s="3">
        <v>0.40538490333619698</v>
      </c>
      <c r="E3145" s="3">
        <v>-3.3381230707521499</v>
      </c>
      <c r="F3145" s="3">
        <v>8.4346381527750601E-4</v>
      </c>
      <c r="G3145" s="3">
        <v>5.2792565994788897E-3</v>
      </c>
      <c r="H3145" s="3" t="str">
        <f>"SNORD116-18"</f>
        <v>SNORD116-18</v>
      </c>
      <c r="I3145" s="3" t="str">
        <f t="shared" si="131"/>
        <v>snoRNA</v>
      </c>
    </row>
    <row r="3146" spans="1:9" x14ac:dyDescent="0.2">
      <c r="A3146" s="3" t="str">
        <f>"ENSG00000207460.1"</f>
        <v>ENSG00000207460.1</v>
      </c>
      <c r="B3146" s="3">
        <v>389.528759668725</v>
      </c>
      <c r="C3146" s="3">
        <v>-1.1853261202772001</v>
      </c>
      <c r="D3146" s="3">
        <v>0.33591404801209102</v>
      </c>
      <c r="E3146" s="3">
        <v>-3.5286589747938599</v>
      </c>
      <c r="F3146" s="3">
        <v>4.1767099229401901E-4</v>
      </c>
      <c r="G3146" s="3">
        <v>2.8612510378965301E-3</v>
      </c>
      <c r="H3146" s="3" t="str">
        <f>"SNORD116-19"</f>
        <v>SNORD116-19</v>
      </c>
      <c r="I3146" s="3" t="str">
        <f t="shared" si="131"/>
        <v>snoRNA</v>
      </c>
    </row>
    <row r="3147" spans="1:9" x14ac:dyDescent="0.2">
      <c r="A3147" s="3" t="str">
        <f>"ENSG00000261377.5"</f>
        <v>ENSG00000261377.5</v>
      </c>
      <c r="B3147" s="3">
        <v>110.567889305969</v>
      </c>
      <c r="C3147" s="3">
        <v>-1.09590919433819</v>
      </c>
      <c r="D3147" s="3">
        <v>0.38788097876328398</v>
      </c>
      <c r="E3147" s="3">
        <v>-2.8253749328785802</v>
      </c>
      <c r="F3147" s="3">
        <v>4.72253201381661E-3</v>
      </c>
      <c r="G3147" s="3">
        <v>2.2636298172171599E-2</v>
      </c>
      <c r="H3147" s="3" t="str">
        <f>"PDCD6IPP2"</f>
        <v>PDCD6IPP2</v>
      </c>
      <c r="I3147" s="3" t="str">
        <f>"transcribed_unprocessed_pseudogene"</f>
        <v>transcribed_unprocessed_pseudogene</v>
      </c>
    </row>
    <row r="3148" spans="1:9" x14ac:dyDescent="0.2">
      <c r="A3148" s="3" t="str">
        <f>"ENSG00000225930.4"</f>
        <v>ENSG00000225930.4</v>
      </c>
      <c r="B3148" s="3">
        <v>292.83769941485002</v>
      </c>
      <c r="C3148" s="3">
        <v>1.0535530576825101</v>
      </c>
      <c r="D3148" s="3">
        <v>0.30300716016011697</v>
      </c>
      <c r="E3148" s="3">
        <v>3.4769906332437301</v>
      </c>
      <c r="F3148" s="3">
        <v>5.0707553214156395E-4</v>
      </c>
      <c r="G3148" s="3">
        <v>3.3843154712180998E-3</v>
      </c>
      <c r="H3148" s="3" t="str">
        <f>"LINC02249"</f>
        <v>LINC02249</v>
      </c>
      <c r="I3148" s="3" t="str">
        <f>"lincRNA"</f>
        <v>lincRNA</v>
      </c>
    </row>
    <row r="3149" spans="1:9" x14ac:dyDescent="0.2">
      <c r="A3149" s="3" t="str">
        <f>"ENSG00000259772.6"</f>
        <v>ENSG00000259772.6</v>
      </c>
      <c r="B3149" s="3">
        <v>10.1259621970474</v>
      </c>
      <c r="C3149" s="3">
        <v>3.7074585632996699</v>
      </c>
      <c r="D3149" s="3">
        <v>1.27337866995254</v>
      </c>
      <c r="E3149" s="3">
        <v>2.9115130092746599</v>
      </c>
      <c r="F3149" s="3">
        <v>3.5968292911357298E-3</v>
      </c>
      <c r="G3149" s="3">
        <v>1.8023553947912201E-2</v>
      </c>
      <c r="H3149" s="3" t="str">
        <f>"AC012236.1"</f>
        <v>AC012236.1</v>
      </c>
      <c r="I3149" s="3" t="str">
        <f>"lincRNA"</f>
        <v>lincRNA</v>
      </c>
    </row>
    <row r="3150" spans="1:9" x14ac:dyDescent="0.2">
      <c r="A3150" s="3" t="str">
        <f>"ENSG00000223509.8"</f>
        <v>ENSG00000223509.8</v>
      </c>
      <c r="B3150" s="3">
        <v>160.695669692352</v>
      </c>
      <c r="C3150" s="3">
        <v>-1.08970433481132</v>
      </c>
      <c r="D3150" s="3">
        <v>0.372342858591795</v>
      </c>
      <c r="E3150" s="3">
        <v>-2.9266153752286002</v>
      </c>
      <c r="F3150" s="3">
        <v>3.4267237734348899E-3</v>
      </c>
      <c r="G3150" s="3">
        <v>1.7306007891528499E-2</v>
      </c>
      <c r="H3150" s="3" t="str">
        <f>"AC135983.2"</f>
        <v>AC135983.2</v>
      </c>
      <c r="I3150" s="3" t="str">
        <f>"transcribed_processed_pseudogene"</f>
        <v>transcribed_processed_pseudogene</v>
      </c>
    </row>
    <row r="3151" spans="1:9" x14ac:dyDescent="0.2">
      <c r="A3151" s="3" t="str">
        <f>"ENSG00000279958.1"</f>
        <v>ENSG00000279958.1</v>
      </c>
      <c r="B3151" s="3">
        <v>7.1413260165767198</v>
      </c>
      <c r="C3151" s="3">
        <v>6.3516178201442797</v>
      </c>
      <c r="D3151" s="3">
        <v>1.8778718351439401</v>
      </c>
      <c r="E3151" s="3">
        <v>3.3823489448402202</v>
      </c>
      <c r="F3151" s="3">
        <v>7.1868790747127204E-4</v>
      </c>
      <c r="G3151" s="3">
        <v>4.6120575826980896E-3</v>
      </c>
      <c r="H3151" s="3" t="str">
        <f>"AC019278.1"</f>
        <v>AC019278.1</v>
      </c>
      <c r="I3151" s="3" t="str">
        <f>"TEC"</f>
        <v>TEC</v>
      </c>
    </row>
    <row r="3152" spans="1:9" x14ac:dyDescent="0.2">
      <c r="A3152" s="3" t="str">
        <f>"ENSG00000140199.11"</f>
        <v>ENSG00000140199.11</v>
      </c>
      <c r="B3152" s="3">
        <v>1732.94502386505</v>
      </c>
      <c r="C3152" s="3">
        <v>1.02544079890559</v>
      </c>
      <c r="D3152" s="3">
        <v>0.24958873564133699</v>
      </c>
      <c r="E3152" s="3">
        <v>4.1085219502019701</v>
      </c>
      <c r="F3152" s="4">
        <v>3.9819936380319203E-5</v>
      </c>
      <c r="G3152" s="3">
        <v>3.5710178240532301E-4</v>
      </c>
      <c r="H3152" s="3" t="str">
        <f>"SLC12A6"</f>
        <v>SLC12A6</v>
      </c>
      <c r="I3152" s="3" t="str">
        <f>"protein_coding"</f>
        <v>protein_coding</v>
      </c>
    </row>
    <row r="3153" spans="1:9" x14ac:dyDescent="0.2">
      <c r="A3153" s="3" t="str">
        <f>"ENSG00000175265.17"</f>
        <v>ENSG00000175265.17</v>
      </c>
      <c r="B3153" s="3">
        <v>1369.44425667068</v>
      </c>
      <c r="C3153" s="3">
        <v>1.4166071149372801</v>
      </c>
      <c r="D3153" s="3">
        <v>0.259213834783528</v>
      </c>
      <c r="E3153" s="3">
        <v>5.4650135326314597</v>
      </c>
      <c r="F3153" s="4">
        <v>4.62871490483345E-8</v>
      </c>
      <c r="G3153" s="4">
        <v>7.3091854005703399E-7</v>
      </c>
      <c r="H3153" s="3" t="str">
        <f>"GOLGA8A"</f>
        <v>GOLGA8A</v>
      </c>
      <c r="I3153" s="3" t="str">
        <f>"protein_coding"</f>
        <v>protein_coding</v>
      </c>
    </row>
    <row r="3154" spans="1:9" x14ac:dyDescent="0.2">
      <c r="A3154" s="3" t="str">
        <f>"ENSG00000279092.1"</f>
        <v>ENSG00000279092.1</v>
      </c>
      <c r="B3154" s="3">
        <v>71.799889564714903</v>
      </c>
      <c r="C3154" s="3">
        <v>1.17755119454678</v>
      </c>
      <c r="D3154" s="3">
        <v>0.46994930167783799</v>
      </c>
      <c r="E3154" s="3">
        <v>2.50569836010528</v>
      </c>
      <c r="F3154" s="3">
        <v>1.22209827688653E-2</v>
      </c>
      <c r="G3154" s="3">
        <v>4.9760249522629599E-2</v>
      </c>
      <c r="H3154" s="3" t="str">
        <f>"AC025678.3"</f>
        <v>AC025678.3</v>
      </c>
      <c r="I3154" s="3" t="str">
        <f>"TEC"</f>
        <v>TEC</v>
      </c>
    </row>
    <row r="3155" spans="1:9" x14ac:dyDescent="0.2">
      <c r="A3155" s="3" t="str">
        <f>"ENSG00000137801.10"</f>
        <v>ENSG00000137801.10</v>
      </c>
      <c r="B3155" s="3">
        <v>16115.9662375513</v>
      </c>
      <c r="C3155" s="3">
        <v>-1.4136601379107101</v>
      </c>
      <c r="D3155" s="3">
        <v>0.29346318563589502</v>
      </c>
      <c r="E3155" s="3">
        <v>-4.8171634709392999</v>
      </c>
      <c r="F3155" s="4">
        <v>1.4561338967075701E-6</v>
      </c>
      <c r="G3155" s="4">
        <v>1.7551053268653E-5</v>
      </c>
      <c r="H3155" s="3" t="str">
        <f>"THBS1"</f>
        <v>THBS1</v>
      </c>
      <c r="I3155" s="3" t="str">
        <f t="shared" ref="I3155:I3176" si="132">"protein_coding"</f>
        <v>protein_coding</v>
      </c>
    </row>
    <row r="3156" spans="1:9" x14ac:dyDescent="0.2">
      <c r="A3156" s="3" t="str">
        <f>"ENSG00000166073.10"</f>
        <v>ENSG00000166073.10</v>
      </c>
      <c r="B3156" s="3">
        <v>66.456509684454801</v>
      </c>
      <c r="C3156" s="3">
        <v>-1.32253607363921</v>
      </c>
      <c r="D3156" s="3">
        <v>0.469730941116694</v>
      </c>
      <c r="E3156" s="3">
        <v>-2.8155183273538098</v>
      </c>
      <c r="F3156" s="3">
        <v>4.8698619189994404E-3</v>
      </c>
      <c r="G3156" s="3">
        <v>2.32045030247581E-2</v>
      </c>
      <c r="H3156" s="3" t="str">
        <f>"GPR176"</f>
        <v>GPR176</v>
      </c>
      <c r="I3156" s="3" t="str">
        <f t="shared" si="132"/>
        <v>protein_coding</v>
      </c>
    </row>
    <row r="3157" spans="1:9" x14ac:dyDescent="0.2">
      <c r="A3157" s="3" t="str">
        <f>"ENSG00000128829.12"</f>
        <v>ENSG00000128829.12</v>
      </c>
      <c r="B3157" s="3">
        <v>4850.6899264982403</v>
      </c>
      <c r="C3157" s="3">
        <v>1.75621209785632</v>
      </c>
      <c r="D3157" s="3">
        <v>0.236165489143254</v>
      </c>
      <c r="E3157" s="3">
        <v>7.4363621214403404</v>
      </c>
      <c r="F3157" s="4">
        <v>1.0349588248194301E-13</v>
      </c>
      <c r="G3157" s="4">
        <v>3.3292057849530298E-12</v>
      </c>
      <c r="H3157" s="3" t="str">
        <f>"EIF2AK4"</f>
        <v>EIF2AK4</v>
      </c>
      <c r="I3157" s="3" t="str">
        <f t="shared" si="132"/>
        <v>protein_coding</v>
      </c>
    </row>
    <row r="3158" spans="1:9" x14ac:dyDescent="0.2">
      <c r="A3158" s="3" t="str">
        <f>"ENSG00000104081.14"</f>
        <v>ENSG00000104081.14</v>
      </c>
      <c r="B3158" s="3">
        <v>538.34945143708001</v>
      </c>
      <c r="C3158" s="3">
        <v>-1.5663605552217099</v>
      </c>
      <c r="D3158" s="3">
        <v>0.32269023100482203</v>
      </c>
      <c r="E3158" s="3">
        <v>-4.8540687158214704</v>
      </c>
      <c r="F3158" s="4">
        <v>1.2095379349962001E-6</v>
      </c>
      <c r="G3158" s="4">
        <v>1.4814093631954301E-5</v>
      </c>
      <c r="H3158" s="3" t="str">
        <f>"BMF"</f>
        <v>BMF</v>
      </c>
      <c r="I3158" s="3" t="str">
        <f t="shared" si="132"/>
        <v>protein_coding</v>
      </c>
    </row>
    <row r="3159" spans="1:9" x14ac:dyDescent="0.2">
      <c r="A3159" s="3" t="str">
        <f>"ENSG00000169105.7"</f>
        <v>ENSG00000169105.7</v>
      </c>
      <c r="B3159" s="3">
        <v>1281.9599650094201</v>
      </c>
      <c r="C3159" s="3">
        <v>1.09816718365003</v>
      </c>
      <c r="D3159" s="3">
        <v>0.29483421398458798</v>
      </c>
      <c r="E3159" s="3">
        <v>3.7246938501765299</v>
      </c>
      <c r="F3159" s="3">
        <v>1.95552396510673E-4</v>
      </c>
      <c r="G3159" s="3">
        <v>1.46402396851963E-3</v>
      </c>
      <c r="H3159" s="3" t="str">
        <f>"CHST14"</f>
        <v>CHST14</v>
      </c>
      <c r="I3159" s="3" t="str">
        <f t="shared" si="132"/>
        <v>protein_coding</v>
      </c>
    </row>
    <row r="3160" spans="1:9" x14ac:dyDescent="0.2">
      <c r="A3160" s="3" t="str">
        <f>"ENSG00000051180.17"</f>
        <v>ENSG00000051180.17</v>
      </c>
      <c r="B3160" s="3">
        <v>642.61843483312805</v>
      </c>
      <c r="C3160" s="3">
        <v>-1.31354809161913</v>
      </c>
      <c r="D3160" s="3">
        <v>0.27800325600975101</v>
      </c>
      <c r="E3160" s="3">
        <v>-4.7249377955956797</v>
      </c>
      <c r="F3160" s="4">
        <v>2.30185805684627E-6</v>
      </c>
      <c r="G3160" s="4">
        <v>2.6856790083473101E-5</v>
      </c>
      <c r="H3160" s="3" t="str">
        <f>"RAD51"</f>
        <v>RAD51</v>
      </c>
      <c r="I3160" s="3" t="str">
        <f t="shared" si="132"/>
        <v>protein_coding</v>
      </c>
    </row>
    <row r="3161" spans="1:9" x14ac:dyDescent="0.2">
      <c r="A3161" s="3" t="str">
        <f>"ENSG00000166145.14"</f>
        <v>ENSG00000166145.14</v>
      </c>
      <c r="B3161" s="3">
        <v>309.54365865013602</v>
      </c>
      <c r="C3161" s="3">
        <v>1.02025297212418</v>
      </c>
      <c r="D3161" s="3">
        <v>0.35774711640085499</v>
      </c>
      <c r="E3161" s="3">
        <v>2.85188314692379</v>
      </c>
      <c r="F3161" s="3">
        <v>4.3461074036759998E-3</v>
      </c>
      <c r="G3161" s="3">
        <v>2.1105469447774101E-2</v>
      </c>
      <c r="H3161" s="3" t="str">
        <f>"SPINT1"</f>
        <v>SPINT1</v>
      </c>
      <c r="I3161" s="3" t="str">
        <f t="shared" si="132"/>
        <v>protein_coding</v>
      </c>
    </row>
    <row r="3162" spans="1:9" x14ac:dyDescent="0.2">
      <c r="A3162" s="3" t="str">
        <f>"ENSG00000104140.7"</f>
        <v>ENSG00000104140.7</v>
      </c>
      <c r="B3162" s="3">
        <v>21.2522866850843</v>
      </c>
      <c r="C3162" s="3">
        <v>-2.3895826210691502</v>
      </c>
      <c r="D3162" s="3">
        <v>0.79884748184611198</v>
      </c>
      <c r="E3162" s="3">
        <v>-2.9912876680125402</v>
      </c>
      <c r="F3162" s="3">
        <v>2.7780365812941099E-3</v>
      </c>
      <c r="G3162" s="3">
        <v>1.44562495247111E-2</v>
      </c>
      <c r="H3162" s="3" t="str">
        <f>"RHOV"</f>
        <v>RHOV</v>
      </c>
      <c r="I3162" s="3" t="str">
        <f t="shared" si="132"/>
        <v>protein_coding</v>
      </c>
    </row>
    <row r="3163" spans="1:9" x14ac:dyDescent="0.2">
      <c r="A3163" s="3" t="str">
        <f>"ENSG00000128917.8"</f>
        <v>ENSG00000128917.8</v>
      </c>
      <c r="B3163" s="3">
        <v>51.493394665534801</v>
      </c>
      <c r="C3163" s="3">
        <v>-2.4063019706792299</v>
      </c>
      <c r="D3163" s="3">
        <v>0.57148155204963602</v>
      </c>
      <c r="E3163" s="3">
        <v>-4.2106380548050302</v>
      </c>
      <c r="F3163" s="4">
        <v>2.54650451272357E-5</v>
      </c>
      <c r="G3163" s="3">
        <v>2.3910907434700001E-4</v>
      </c>
      <c r="H3163" s="3" t="str">
        <f>"DLL4"</f>
        <v>DLL4</v>
      </c>
      <c r="I3163" s="3" t="str">
        <f t="shared" si="132"/>
        <v>protein_coding</v>
      </c>
    </row>
    <row r="3164" spans="1:9" x14ac:dyDescent="0.2">
      <c r="A3164" s="3" t="str">
        <f>"ENSG00000104147.9"</f>
        <v>ENSG00000104147.9</v>
      </c>
      <c r="B3164" s="3">
        <v>732.78078381304499</v>
      </c>
      <c r="C3164" s="3">
        <v>-1.3823870305278501</v>
      </c>
      <c r="D3164" s="3">
        <v>0.26802980018903599</v>
      </c>
      <c r="E3164" s="3">
        <v>-5.1575870651430602</v>
      </c>
      <c r="F3164" s="4">
        <v>2.5015254134752301E-7</v>
      </c>
      <c r="G3164" s="4">
        <v>3.49977039910842E-6</v>
      </c>
      <c r="H3164" s="3" t="str">
        <f>"OIP5"</f>
        <v>OIP5</v>
      </c>
      <c r="I3164" s="3" t="str">
        <f t="shared" si="132"/>
        <v>protein_coding</v>
      </c>
    </row>
    <row r="3165" spans="1:9" x14ac:dyDescent="0.2">
      <c r="A3165" s="3" t="str">
        <f>"ENSG00000092445.12"</f>
        <v>ENSG00000092445.12</v>
      </c>
      <c r="B3165" s="3">
        <v>1520.7573131331801</v>
      </c>
      <c r="C3165" s="3">
        <v>-2.0166653743790399</v>
      </c>
      <c r="D3165" s="3">
        <v>0.28188764845325798</v>
      </c>
      <c r="E3165" s="3">
        <v>-7.1541459352499501</v>
      </c>
      <c r="F3165" s="4">
        <v>8.4195459433668804E-13</v>
      </c>
      <c r="G3165" s="4">
        <v>2.4372114868284701E-11</v>
      </c>
      <c r="H3165" s="3" t="str">
        <f>"TYRO3"</f>
        <v>TYRO3</v>
      </c>
      <c r="I3165" s="3" t="str">
        <f t="shared" si="132"/>
        <v>protein_coding</v>
      </c>
    </row>
    <row r="3166" spans="1:9" x14ac:dyDescent="0.2">
      <c r="A3166" s="3" t="str">
        <f>"ENSG00000137802.14"</f>
        <v>ENSG00000137802.14</v>
      </c>
      <c r="B3166" s="3">
        <v>1051.8139697446099</v>
      </c>
      <c r="C3166" s="3">
        <v>1.8142184463737101</v>
      </c>
      <c r="D3166" s="3">
        <v>0.30165234643855099</v>
      </c>
      <c r="E3166" s="3">
        <v>6.0142692997194498</v>
      </c>
      <c r="F3166" s="4">
        <v>1.8069990135539501E-9</v>
      </c>
      <c r="G3166" s="4">
        <v>3.5236480764302001E-8</v>
      </c>
      <c r="H3166" s="3" t="str">
        <f>"MAPKBP1"</f>
        <v>MAPKBP1</v>
      </c>
      <c r="I3166" s="3" t="str">
        <f t="shared" si="132"/>
        <v>protein_coding</v>
      </c>
    </row>
    <row r="3167" spans="1:9" x14ac:dyDescent="0.2">
      <c r="A3167" s="3" t="str">
        <f>"ENSG00000159337.6"</f>
        <v>ENSG00000159337.6</v>
      </c>
      <c r="B3167" s="3">
        <v>87.076172030360297</v>
      </c>
      <c r="C3167" s="3">
        <v>4.56905785726887</v>
      </c>
      <c r="D3167" s="3">
        <v>0.55160744734698797</v>
      </c>
      <c r="E3167" s="3">
        <v>8.2831692705459599</v>
      </c>
      <c r="F3167" s="4">
        <v>1.1993975117549101E-16</v>
      </c>
      <c r="G3167" s="4">
        <v>5.1310959877882399E-15</v>
      </c>
      <c r="H3167" s="3" t="str">
        <f>"PLA2G4D"</f>
        <v>PLA2G4D</v>
      </c>
      <c r="I3167" s="3" t="str">
        <f t="shared" si="132"/>
        <v>protein_coding</v>
      </c>
    </row>
    <row r="3168" spans="1:9" x14ac:dyDescent="0.2">
      <c r="A3168" s="3" t="str">
        <f>"ENSG00000168907.13"</f>
        <v>ENSG00000168907.13</v>
      </c>
      <c r="B3168" s="3">
        <v>8.2278130295627694</v>
      </c>
      <c r="C3168" s="3">
        <v>5.0597305381064999</v>
      </c>
      <c r="D3168" s="3">
        <v>1.77840264373614</v>
      </c>
      <c r="E3168" s="3">
        <v>2.8450984122902598</v>
      </c>
      <c r="F3168" s="3">
        <v>4.4397703716369998E-3</v>
      </c>
      <c r="G3168" s="3">
        <v>2.1481520234377501E-2</v>
      </c>
      <c r="H3168" s="3" t="str">
        <f>"PLA2G4F"</f>
        <v>PLA2G4F</v>
      </c>
      <c r="I3168" s="3" t="str">
        <f t="shared" si="132"/>
        <v>protein_coding</v>
      </c>
    </row>
    <row r="3169" spans="1:9" x14ac:dyDescent="0.2">
      <c r="A3169" s="3" t="str">
        <f>"ENSG00000137814.11"</f>
        <v>ENSG00000137814.11</v>
      </c>
      <c r="B3169" s="3">
        <v>1191.38402439426</v>
      </c>
      <c r="C3169" s="3">
        <v>-1.0814869628461301</v>
      </c>
      <c r="D3169" s="3">
        <v>0.25074026149239698</v>
      </c>
      <c r="E3169" s="3">
        <v>-4.31317633797285</v>
      </c>
      <c r="F3169" s="4">
        <v>1.6092566225621001E-5</v>
      </c>
      <c r="G3169" s="3">
        <v>1.57451771063982E-4</v>
      </c>
      <c r="H3169" s="3" t="str">
        <f>"HAUS2"</f>
        <v>HAUS2</v>
      </c>
      <c r="I3169" s="3" t="str">
        <f t="shared" si="132"/>
        <v>protein_coding</v>
      </c>
    </row>
    <row r="3170" spans="1:9" x14ac:dyDescent="0.2">
      <c r="A3170" s="3" t="str">
        <f>"ENSG00000159433.12"</f>
        <v>ENSG00000159433.12</v>
      </c>
      <c r="B3170" s="3">
        <v>1947.8470250365101</v>
      </c>
      <c r="C3170" s="3">
        <v>1.19967889255598</v>
      </c>
      <c r="D3170" s="3">
        <v>0.256375747155834</v>
      </c>
      <c r="E3170" s="3">
        <v>4.6793774600948304</v>
      </c>
      <c r="F3170" s="4">
        <v>2.8774727399910801E-6</v>
      </c>
      <c r="G3170" s="4">
        <v>3.2916246827865202E-5</v>
      </c>
      <c r="H3170" s="3" t="str">
        <f>"STARD9"</f>
        <v>STARD9</v>
      </c>
      <c r="I3170" s="3" t="str">
        <f t="shared" si="132"/>
        <v>protein_coding</v>
      </c>
    </row>
    <row r="3171" spans="1:9" x14ac:dyDescent="0.2">
      <c r="A3171" s="3" t="str">
        <f>"ENSG00000137842.7"</f>
        <v>ENSG00000137842.7</v>
      </c>
      <c r="B3171" s="3">
        <v>381.96264583058502</v>
      </c>
      <c r="C3171" s="3">
        <v>-1.1470437681905501</v>
      </c>
      <c r="D3171" s="3">
        <v>0.308729488829321</v>
      </c>
      <c r="E3171" s="3">
        <v>-3.71536833925405</v>
      </c>
      <c r="F3171" s="3">
        <v>2.02907897953848E-4</v>
      </c>
      <c r="G3171" s="3">
        <v>1.51234019941602E-3</v>
      </c>
      <c r="H3171" s="3" t="str">
        <f>"TMEM62"</f>
        <v>TMEM62</v>
      </c>
      <c r="I3171" s="3" t="str">
        <f t="shared" si="132"/>
        <v>protein_coding</v>
      </c>
    </row>
    <row r="3172" spans="1:9" x14ac:dyDescent="0.2">
      <c r="A3172" s="3" t="str">
        <f>"ENSG00000104055.15"</f>
        <v>ENSG00000104055.15</v>
      </c>
      <c r="B3172" s="3">
        <v>161.07904060662099</v>
      </c>
      <c r="C3172" s="3">
        <v>4.1218624662076602</v>
      </c>
      <c r="D3172" s="3">
        <v>0.40923842849586201</v>
      </c>
      <c r="E3172" s="3">
        <v>10.0720318015036</v>
      </c>
      <c r="F3172" s="4">
        <v>7.3444910679122194E-24</v>
      </c>
      <c r="G3172" s="4">
        <v>5.1896256408239303E-22</v>
      </c>
      <c r="H3172" s="3" t="str">
        <f>"TGM5"</f>
        <v>TGM5</v>
      </c>
      <c r="I3172" s="3" t="str">
        <f t="shared" si="132"/>
        <v>protein_coding</v>
      </c>
    </row>
    <row r="3173" spans="1:9" x14ac:dyDescent="0.2">
      <c r="A3173" s="3" t="str">
        <f>"ENSG00000166963.13"</f>
        <v>ENSG00000166963.13</v>
      </c>
      <c r="B3173" s="3">
        <v>271.81571906988103</v>
      </c>
      <c r="C3173" s="3">
        <v>2.5820092161732302</v>
      </c>
      <c r="D3173" s="3">
        <v>0.31544379621260299</v>
      </c>
      <c r="E3173" s="3">
        <v>8.1853225429515497</v>
      </c>
      <c r="F3173" s="4">
        <v>2.7157529560173198E-16</v>
      </c>
      <c r="G3173" s="4">
        <v>1.12359811856276E-14</v>
      </c>
      <c r="H3173" s="3" t="str">
        <f>"MAP1A"</f>
        <v>MAP1A</v>
      </c>
      <c r="I3173" s="3" t="str">
        <f t="shared" si="132"/>
        <v>protein_coding</v>
      </c>
    </row>
    <row r="3174" spans="1:9" x14ac:dyDescent="0.2">
      <c r="A3174" s="3" t="str">
        <f>"ENSG00000242866.10"</f>
        <v>ENSG00000242866.10</v>
      </c>
      <c r="B3174" s="3">
        <v>21.111497558607699</v>
      </c>
      <c r="C3174" s="3">
        <v>4.80985989680104</v>
      </c>
      <c r="D3174" s="3">
        <v>1.1122365043842</v>
      </c>
      <c r="E3174" s="3">
        <v>4.3244938264852903</v>
      </c>
      <c r="F3174" s="4">
        <v>1.5288248507272601E-5</v>
      </c>
      <c r="G3174" s="3">
        <v>1.5023578263343099E-4</v>
      </c>
      <c r="H3174" s="3" t="str">
        <f>"STRC"</f>
        <v>STRC</v>
      </c>
      <c r="I3174" s="3" t="str">
        <f t="shared" si="132"/>
        <v>protein_coding</v>
      </c>
    </row>
    <row r="3175" spans="1:9" x14ac:dyDescent="0.2">
      <c r="A3175" s="3" t="str">
        <f>"ENSG00000092470.12"</f>
        <v>ENSG00000092470.12</v>
      </c>
      <c r="B3175" s="3">
        <v>378.39071541405599</v>
      </c>
      <c r="C3175" s="3">
        <v>-2.7981735482864698</v>
      </c>
      <c r="D3175" s="3">
        <v>0.31425431184019698</v>
      </c>
      <c r="E3175" s="3">
        <v>-8.9041691485505794</v>
      </c>
      <c r="F3175" s="4">
        <v>5.3787381887555103E-19</v>
      </c>
      <c r="G3175" s="4">
        <v>2.7006418989649701E-17</v>
      </c>
      <c r="H3175" s="3" t="str">
        <f>"WDR76"</f>
        <v>WDR76</v>
      </c>
      <c r="I3175" s="3" t="str">
        <f t="shared" si="132"/>
        <v>protein_coding</v>
      </c>
    </row>
    <row r="3176" spans="1:9" x14ac:dyDescent="0.2">
      <c r="A3176" s="3" t="str">
        <f>"ENSG00000171877.21"</f>
        <v>ENSG00000171877.21</v>
      </c>
      <c r="B3176" s="3">
        <v>762.802968634271</v>
      </c>
      <c r="C3176" s="3">
        <v>2.56824414489363</v>
      </c>
      <c r="D3176" s="3">
        <v>0.26645763305770598</v>
      </c>
      <c r="E3176" s="3">
        <v>9.6384709096977996</v>
      </c>
      <c r="F3176" s="4">
        <v>5.5001127869916302E-22</v>
      </c>
      <c r="G3176" s="4">
        <v>3.3500081636022899E-20</v>
      </c>
      <c r="H3176" s="3" t="str">
        <f>"FRMD5"</f>
        <v>FRMD5</v>
      </c>
      <c r="I3176" s="3" t="str">
        <f t="shared" si="132"/>
        <v>protein_coding</v>
      </c>
    </row>
    <row r="3177" spans="1:9" x14ac:dyDescent="0.2">
      <c r="A3177" s="3" t="str">
        <f>"ENSG00000185607.5"</f>
        <v>ENSG00000185607.5</v>
      </c>
      <c r="B3177" s="3">
        <v>81.3901032666341</v>
      </c>
      <c r="C3177" s="3">
        <v>2.4011449655114601</v>
      </c>
      <c r="D3177" s="3">
        <v>0.48609602044167399</v>
      </c>
      <c r="E3177" s="3">
        <v>4.939651559644</v>
      </c>
      <c r="F3177" s="4">
        <v>7.8262293869622002E-7</v>
      </c>
      <c r="G3177" s="4">
        <v>1.0013672442982401E-5</v>
      </c>
      <c r="H3177" s="3" t="str">
        <f>"ACTBP7"</f>
        <v>ACTBP7</v>
      </c>
      <c r="I3177" s="3" t="str">
        <f>"processed_pseudogene"</f>
        <v>processed_pseudogene</v>
      </c>
    </row>
    <row r="3178" spans="1:9" x14ac:dyDescent="0.2">
      <c r="A3178" s="3" t="str">
        <f>"ENSG00000259479.6"</f>
        <v>ENSG00000259479.6</v>
      </c>
      <c r="B3178" s="3">
        <v>182.083630848171</v>
      </c>
      <c r="C3178" s="3">
        <v>1.6746366822033201</v>
      </c>
      <c r="D3178" s="3">
        <v>0.339733145939495</v>
      </c>
      <c r="E3178" s="3">
        <v>4.9292708180483702</v>
      </c>
      <c r="F3178" s="4">
        <v>8.2537095306013897E-7</v>
      </c>
      <c r="G3178" s="4">
        <v>1.05018747214101E-5</v>
      </c>
      <c r="H3178" s="3" t="str">
        <f>"SORD2P"</f>
        <v>SORD2P</v>
      </c>
      <c r="I3178" s="3" t="str">
        <f>"transcribed_unprocessed_pseudogene"</f>
        <v>transcribed_unprocessed_pseudogene</v>
      </c>
    </row>
    <row r="3179" spans="1:9" x14ac:dyDescent="0.2">
      <c r="A3179" s="3" t="str">
        <f>"ENSG00000259418.1"</f>
        <v>ENSG00000259418.1</v>
      </c>
      <c r="B3179" s="3">
        <v>12.1939524260745</v>
      </c>
      <c r="C3179" s="3">
        <v>4.62431039240799</v>
      </c>
      <c r="D3179" s="3">
        <v>1.37719737346448</v>
      </c>
      <c r="E3179" s="3">
        <v>3.3577688147742202</v>
      </c>
      <c r="F3179" s="3">
        <v>7.8574300354938701E-4</v>
      </c>
      <c r="G3179" s="3">
        <v>4.9611860578024202E-3</v>
      </c>
      <c r="H3179" s="3" t="str">
        <f>"AC091117.2"</f>
        <v>AC091117.2</v>
      </c>
      <c r="I3179" s="3" t="str">
        <f>"antisense"</f>
        <v>antisense</v>
      </c>
    </row>
    <row r="3180" spans="1:9" x14ac:dyDescent="0.2">
      <c r="A3180" s="3" t="str">
        <f>"ENSG00000140279.12"</f>
        <v>ENSG00000140279.12</v>
      </c>
      <c r="B3180" s="3">
        <v>137.93428089877199</v>
      </c>
      <c r="C3180" s="3">
        <v>5.4711264179807904</v>
      </c>
      <c r="D3180" s="3">
        <v>0.54605125045487801</v>
      </c>
      <c r="E3180" s="3">
        <v>10.019437577376101</v>
      </c>
      <c r="F3180" s="4">
        <v>1.25213434690732E-23</v>
      </c>
      <c r="G3180" s="4">
        <v>8.5836334113448197E-22</v>
      </c>
      <c r="H3180" s="3" t="str">
        <f>"DUOX2"</f>
        <v>DUOX2</v>
      </c>
      <c r="I3180" s="3" t="str">
        <f t="shared" ref="I3180:I3185" si="133">"protein_coding"</f>
        <v>protein_coding</v>
      </c>
    </row>
    <row r="3181" spans="1:9" x14ac:dyDescent="0.2">
      <c r="A3181" s="3" t="str">
        <f>"ENSG00000140274.13"</f>
        <v>ENSG00000140274.13</v>
      </c>
      <c r="B3181" s="3">
        <v>42.241319538540701</v>
      </c>
      <c r="C3181" s="3">
        <v>6.4632775684627797</v>
      </c>
      <c r="D3181" s="3">
        <v>1.14669394062698</v>
      </c>
      <c r="E3181" s="3">
        <v>5.6364452095463502</v>
      </c>
      <c r="F3181" s="4">
        <v>1.7359623292135E-8</v>
      </c>
      <c r="G3181" s="4">
        <v>2.9525444483681897E-7</v>
      </c>
      <c r="H3181" s="3" t="str">
        <f>"DUOXA2"</f>
        <v>DUOXA2</v>
      </c>
      <c r="I3181" s="3" t="str">
        <f t="shared" si="133"/>
        <v>protein_coding</v>
      </c>
    </row>
    <row r="3182" spans="1:9" x14ac:dyDescent="0.2">
      <c r="A3182" s="3" t="str">
        <f>"ENSG00000137857.17"</f>
        <v>ENSG00000137857.17</v>
      </c>
      <c r="B3182" s="3">
        <v>32.277564476258497</v>
      </c>
      <c r="C3182" s="3">
        <v>3.82557425985497</v>
      </c>
      <c r="D3182" s="3">
        <v>0.75019115983473095</v>
      </c>
      <c r="E3182" s="3">
        <v>5.0994659290543298</v>
      </c>
      <c r="F3182" s="4">
        <v>3.4061317116015502E-7</v>
      </c>
      <c r="G3182" s="4">
        <v>4.6439698214274802E-6</v>
      </c>
      <c r="H3182" s="3" t="str">
        <f>"DUOX1"</f>
        <v>DUOX1</v>
      </c>
      <c r="I3182" s="3" t="str">
        <f t="shared" si="133"/>
        <v>protein_coding</v>
      </c>
    </row>
    <row r="3183" spans="1:9" x14ac:dyDescent="0.2">
      <c r="A3183" s="3" t="str">
        <f>"ENSG00000138606.19"</f>
        <v>ENSG00000138606.19</v>
      </c>
      <c r="B3183" s="3">
        <v>725.39802582277105</v>
      </c>
      <c r="C3183" s="3">
        <v>-1.07404632515598</v>
      </c>
      <c r="D3183" s="3">
        <v>0.304741947474025</v>
      </c>
      <c r="E3183" s="3">
        <v>-3.5244453021930102</v>
      </c>
      <c r="F3183" s="3">
        <v>4.2437041938156E-4</v>
      </c>
      <c r="G3183" s="3">
        <v>2.9024029090655599E-3</v>
      </c>
      <c r="H3183" s="3" t="str">
        <f>"SHF"</f>
        <v>SHF</v>
      </c>
      <c r="I3183" s="3" t="str">
        <f t="shared" si="133"/>
        <v>protein_coding</v>
      </c>
    </row>
    <row r="3184" spans="1:9" x14ac:dyDescent="0.2">
      <c r="A3184" s="3" t="str">
        <f>"ENSG00000166920.12"</f>
        <v>ENSG00000166920.12</v>
      </c>
      <c r="B3184" s="3">
        <v>5.8227886644876197</v>
      </c>
      <c r="C3184" s="3">
        <v>-5.9278979655098603</v>
      </c>
      <c r="D3184" s="3">
        <v>1.9561041240196</v>
      </c>
      <c r="E3184" s="3">
        <v>-3.0304613607830899</v>
      </c>
      <c r="F3184" s="3">
        <v>2.4418042831127699E-3</v>
      </c>
      <c r="G3184" s="3">
        <v>1.29640326597091E-2</v>
      </c>
      <c r="H3184" s="3" t="str">
        <f>"C15orf48"</f>
        <v>C15orf48</v>
      </c>
      <c r="I3184" s="3" t="str">
        <f t="shared" si="133"/>
        <v>protein_coding</v>
      </c>
    </row>
    <row r="3185" spans="1:9" x14ac:dyDescent="0.2">
      <c r="A3185" s="3" t="str">
        <f>"ENSG00000137767.14"</f>
        <v>ENSG00000137767.14</v>
      </c>
      <c r="B3185" s="3">
        <v>232.44002060971701</v>
      </c>
      <c r="C3185" s="3">
        <v>1.5578822130480401</v>
      </c>
      <c r="D3185" s="3">
        <v>0.31732311938707503</v>
      </c>
      <c r="E3185" s="3">
        <v>4.9094507077113301</v>
      </c>
      <c r="F3185" s="4">
        <v>9.13318523902516E-7</v>
      </c>
      <c r="G3185" s="4">
        <v>1.1510284302989899E-5</v>
      </c>
      <c r="H3185" s="3" t="str">
        <f>"SQOR"</f>
        <v>SQOR</v>
      </c>
      <c r="I3185" s="3" t="str">
        <f t="shared" si="133"/>
        <v>protein_coding</v>
      </c>
    </row>
    <row r="3186" spans="1:9" x14ac:dyDescent="0.2">
      <c r="A3186" s="3" t="str">
        <f>"ENSG00000259488.2"</f>
        <v>ENSG00000259488.2</v>
      </c>
      <c r="B3186" s="3">
        <v>97.169102397655095</v>
      </c>
      <c r="C3186" s="3">
        <v>-1.51249619338282</v>
      </c>
      <c r="D3186" s="3">
        <v>0.43501087135757799</v>
      </c>
      <c r="E3186" s="3">
        <v>-3.4769158496260899</v>
      </c>
      <c r="F3186" s="3">
        <v>5.0721698420039903E-4</v>
      </c>
      <c r="G3186" s="3">
        <v>3.3843616014750701E-3</v>
      </c>
      <c r="H3186" s="3" t="str">
        <f>"AC023355.1"</f>
        <v>AC023355.1</v>
      </c>
      <c r="I3186" s="3" t="str">
        <f>"antisense"</f>
        <v>antisense</v>
      </c>
    </row>
    <row r="3187" spans="1:9" x14ac:dyDescent="0.2">
      <c r="A3187" s="3" t="str">
        <f>"ENSG00000128951.14"</f>
        <v>ENSG00000128951.14</v>
      </c>
      <c r="B3187" s="3">
        <v>1655.84163848719</v>
      </c>
      <c r="C3187" s="3">
        <v>-3.0989424649631601</v>
      </c>
      <c r="D3187" s="3">
        <v>0.25827061833438902</v>
      </c>
      <c r="E3187" s="3">
        <v>-11.998819242190701</v>
      </c>
      <c r="F3187" s="4">
        <v>3.6040121972022101E-33</v>
      </c>
      <c r="G3187" s="4">
        <v>4.1778307290608998E-31</v>
      </c>
      <c r="H3187" s="3" t="str">
        <f>"DUT"</f>
        <v>DUT</v>
      </c>
      <c r="I3187" s="3" t="str">
        <f t="shared" ref="I3187:I3192" si="134">"protein_coding"</f>
        <v>protein_coding</v>
      </c>
    </row>
    <row r="3188" spans="1:9" x14ac:dyDescent="0.2">
      <c r="A3188" s="3" t="str">
        <f>"ENSG00000255302.4"</f>
        <v>ENSG00000255302.4</v>
      </c>
      <c r="B3188" s="3">
        <v>13.8021320284784</v>
      </c>
      <c r="C3188" s="3">
        <v>-3.2564991753207</v>
      </c>
      <c r="D3188" s="3">
        <v>1.05701262298153</v>
      </c>
      <c r="E3188" s="3">
        <v>-3.0808517367891599</v>
      </c>
      <c r="F3188" s="3">
        <v>2.06409400576253E-3</v>
      </c>
      <c r="G3188" s="3">
        <v>1.12507659187338E-2</v>
      </c>
      <c r="H3188" s="3" t="str">
        <f>"EID1"</f>
        <v>EID1</v>
      </c>
      <c r="I3188" s="3" t="str">
        <f t="shared" si="134"/>
        <v>protein_coding</v>
      </c>
    </row>
    <row r="3189" spans="1:9" x14ac:dyDescent="0.2">
      <c r="A3189" s="3" t="str">
        <f>"ENSG00000166262.15"</f>
        <v>ENSG00000166262.15</v>
      </c>
      <c r="B3189" s="3">
        <v>59.647255289909502</v>
      </c>
      <c r="C3189" s="3">
        <v>1.3449372988277299</v>
      </c>
      <c r="D3189" s="3">
        <v>0.49759240730123</v>
      </c>
      <c r="E3189" s="3">
        <v>2.70288951176367</v>
      </c>
      <c r="F3189" s="3">
        <v>6.8739591718601197E-3</v>
      </c>
      <c r="G3189" s="3">
        <v>3.0833315215222101E-2</v>
      </c>
      <c r="H3189" s="3" t="str">
        <f>"FAM227B"</f>
        <v>FAM227B</v>
      </c>
      <c r="I3189" s="3" t="str">
        <f t="shared" si="134"/>
        <v>protein_coding</v>
      </c>
    </row>
    <row r="3190" spans="1:9" x14ac:dyDescent="0.2">
      <c r="A3190" s="3" t="str">
        <f>"ENSG00000104047.15"</f>
        <v>ENSG00000104047.15</v>
      </c>
      <c r="B3190" s="3">
        <v>438.696182459753</v>
      </c>
      <c r="C3190" s="3">
        <v>1.4642131408463701</v>
      </c>
      <c r="D3190" s="3">
        <v>0.28511036016941499</v>
      </c>
      <c r="E3190" s="3">
        <v>5.1356013158424698</v>
      </c>
      <c r="F3190" s="4">
        <v>2.8124331395532701E-7</v>
      </c>
      <c r="G3190" s="4">
        <v>3.8936024009610704E-6</v>
      </c>
      <c r="H3190" s="3" t="str">
        <f>"DTWD1"</f>
        <v>DTWD1</v>
      </c>
      <c r="I3190" s="3" t="str">
        <f t="shared" si="134"/>
        <v>protein_coding</v>
      </c>
    </row>
    <row r="3191" spans="1:9" x14ac:dyDescent="0.2">
      <c r="A3191" s="3" t="str">
        <f>"ENSG00000138600.10"</f>
        <v>ENSG00000138600.10</v>
      </c>
      <c r="B3191" s="3">
        <v>2762.2520013437702</v>
      </c>
      <c r="C3191" s="3">
        <v>-1.0007127409007801</v>
      </c>
      <c r="D3191" s="3">
        <v>0.25314976809647499</v>
      </c>
      <c r="E3191" s="3">
        <v>-3.9530462477824901</v>
      </c>
      <c r="F3191" s="4">
        <v>7.7162515929660394E-5</v>
      </c>
      <c r="G3191" s="3">
        <v>6.4550152584323499E-4</v>
      </c>
      <c r="H3191" s="3" t="str">
        <f>"SPPL2A"</f>
        <v>SPPL2A</v>
      </c>
      <c r="I3191" s="3" t="str">
        <f t="shared" si="134"/>
        <v>protein_coding</v>
      </c>
    </row>
    <row r="3192" spans="1:9" x14ac:dyDescent="0.2">
      <c r="A3192" s="3" t="str">
        <f>"ENSG00000081014.11"</f>
        <v>ENSG00000081014.11</v>
      </c>
      <c r="B3192" s="3">
        <v>1697.70357389331</v>
      </c>
      <c r="C3192" s="3">
        <v>1.1085357318823701</v>
      </c>
      <c r="D3192" s="3">
        <v>0.26034929086627401</v>
      </c>
      <c r="E3192" s="3">
        <v>4.2578788219237502</v>
      </c>
      <c r="F3192" s="4">
        <v>2.0637575748954001E-5</v>
      </c>
      <c r="G3192" s="3">
        <v>1.9701640150471999E-4</v>
      </c>
      <c r="H3192" s="3" t="str">
        <f>"AP4E1"</f>
        <v>AP4E1</v>
      </c>
      <c r="I3192" s="3" t="str">
        <f t="shared" si="134"/>
        <v>protein_coding</v>
      </c>
    </row>
    <row r="3193" spans="1:9" x14ac:dyDescent="0.2">
      <c r="A3193" s="3" t="str">
        <f>"ENSG00000259378.1"</f>
        <v>ENSG00000259378.1</v>
      </c>
      <c r="B3193" s="3">
        <v>66.753950905606104</v>
      </c>
      <c r="C3193" s="3">
        <v>1.7786703907952499</v>
      </c>
      <c r="D3193" s="3">
        <v>0.46873338637163198</v>
      </c>
      <c r="E3193" s="3">
        <v>3.7946313245650498</v>
      </c>
      <c r="F3193" s="3">
        <v>1.4786300352472899E-4</v>
      </c>
      <c r="G3193" s="3">
        <v>1.1434592183648801E-3</v>
      </c>
      <c r="H3193" s="3" t="str">
        <f>"DCAF13P3"</f>
        <v>DCAF13P3</v>
      </c>
      <c r="I3193" s="3" t="str">
        <f>"processed_pseudogene"</f>
        <v>processed_pseudogene</v>
      </c>
    </row>
    <row r="3194" spans="1:9" x14ac:dyDescent="0.2">
      <c r="A3194" s="3" t="str">
        <f>"ENSG00000274528.1"</f>
        <v>ENSG00000274528.1</v>
      </c>
      <c r="B3194" s="3">
        <v>28.656142205030701</v>
      </c>
      <c r="C3194" s="3">
        <v>-1.92023768700836</v>
      </c>
      <c r="D3194" s="3">
        <v>0.67221116129897895</v>
      </c>
      <c r="E3194" s="3">
        <v>-2.8565989343254801</v>
      </c>
      <c r="F3194" s="3">
        <v>4.2820653157560704E-3</v>
      </c>
      <c r="G3194" s="3">
        <v>2.0850823270972499E-2</v>
      </c>
      <c r="H3194" s="3" t="str">
        <f>"AC090970.2"</f>
        <v>AC090970.2</v>
      </c>
      <c r="I3194" s="3" t="str">
        <f>"sense_intronic"</f>
        <v>sense_intronic</v>
      </c>
    </row>
    <row r="3195" spans="1:9" x14ac:dyDescent="0.2">
      <c r="A3195" s="3" t="str">
        <f>"ENSG00000259178.1"</f>
        <v>ENSG00000259178.1</v>
      </c>
      <c r="B3195" s="3">
        <v>64.662525110116704</v>
      </c>
      <c r="C3195" s="3">
        <v>7.0942659491510396</v>
      </c>
      <c r="D3195" s="3">
        <v>1.1185358109535499</v>
      </c>
      <c r="E3195" s="3">
        <v>6.3424575947221697</v>
      </c>
      <c r="F3195" s="4">
        <v>2.2612846427155599E-10</v>
      </c>
      <c r="G3195" s="4">
        <v>5.0028685301239902E-9</v>
      </c>
      <c r="H3195" s="3" t="str">
        <f>"AC023906.2"</f>
        <v>AC023906.2</v>
      </c>
      <c r="I3195" s="3" t="str">
        <f>"lincRNA"</f>
        <v>lincRNA</v>
      </c>
    </row>
    <row r="3196" spans="1:9" x14ac:dyDescent="0.2">
      <c r="A3196" s="3" t="str">
        <f>"ENSG00000047346.12"</f>
        <v>ENSG00000047346.12</v>
      </c>
      <c r="B3196" s="3">
        <v>1228.7764418664999</v>
      </c>
      <c r="C3196" s="3">
        <v>1.5059600278554499</v>
      </c>
      <c r="D3196" s="3">
        <v>0.282427979063685</v>
      </c>
      <c r="E3196" s="3">
        <v>5.3321913531657197</v>
      </c>
      <c r="F3196" s="4">
        <v>9.70346072837214E-8</v>
      </c>
      <c r="G3196" s="4">
        <v>1.45119235803925E-6</v>
      </c>
      <c r="H3196" s="3" t="str">
        <f>"FAM214A"</f>
        <v>FAM214A</v>
      </c>
      <c r="I3196" s="3" t="str">
        <f>"protein_coding"</f>
        <v>protein_coding</v>
      </c>
    </row>
    <row r="3197" spans="1:9" x14ac:dyDescent="0.2">
      <c r="A3197" s="3" t="str">
        <f>"ENSG00000259935.1"</f>
        <v>ENSG00000259935.1</v>
      </c>
      <c r="B3197" s="3">
        <v>56.246629799526403</v>
      </c>
      <c r="C3197" s="3">
        <v>1.4783553204809099</v>
      </c>
      <c r="D3197" s="3">
        <v>0.52379082065522997</v>
      </c>
      <c r="E3197" s="3">
        <v>2.8224154799650298</v>
      </c>
      <c r="F3197" s="3">
        <v>4.7663383657348896E-3</v>
      </c>
      <c r="G3197" s="3">
        <v>2.2802822668326599E-2</v>
      </c>
      <c r="H3197" s="3" t="str">
        <f>"AC009754.1"</f>
        <v>AC009754.1</v>
      </c>
      <c r="I3197" s="3" t="str">
        <f>"sense_intronic"</f>
        <v>sense_intronic</v>
      </c>
    </row>
    <row r="3198" spans="1:9" x14ac:dyDescent="0.2">
      <c r="A3198" s="3" t="str">
        <f>"ENSG00000166415.15"</f>
        <v>ENSG00000166415.15</v>
      </c>
      <c r="B3198" s="3">
        <v>396.108718820278</v>
      </c>
      <c r="C3198" s="3">
        <v>-1.67794088344924</v>
      </c>
      <c r="D3198" s="3">
        <v>0.29822803618108601</v>
      </c>
      <c r="E3198" s="3">
        <v>-5.6263686839636398</v>
      </c>
      <c r="F3198" s="4">
        <v>1.8404277110369799E-8</v>
      </c>
      <c r="G3198" s="4">
        <v>3.1196737918554699E-7</v>
      </c>
      <c r="H3198" s="3" t="str">
        <f>"WDR72"</f>
        <v>WDR72</v>
      </c>
      <c r="I3198" s="3" t="str">
        <f>"protein_coding"</f>
        <v>protein_coding</v>
      </c>
    </row>
    <row r="3199" spans="1:9" x14ac:dyDescent="0.2">
      <c r="A3199" s="3" t="str">
        <f>"ENSG00000280362.1"</f>
        <v>ENSG00000280362.1</v>
      </c>
      <c r="B3199" s="3">
        <v>16.1575885184787</v>
      </c>
      <c r="C3199" s="3">
        <v>3.3723157918859901</v>
      </c>
      <c r="D3199" s="3">
        <v>0.970477571631715</v>
      </c>
      <c r="E3199" s="3">
        <v>3.4749033779481699</v>
      </c>
      <c r="F3199" s="3">
        <v>5.1103738612119697E-4</v>
      </c>
      <c r="G3199" s="3">
        <v>3.4068932727412899E-3</v>
      </c>
      <c r="H3199" s="3" t="str">
        <f>"AC084759.3"</f>
        <v>AC084759.3</v>
      </c>
      <c r="I3199" s="3" t="str">
        <f>"TEC"</f>
        <v>TEC</v>
      </c>
    </row>
    <row r="3200" spans="1:9" x14ac:dyDescent="0.2">
      <c r="A3200" s="3" t="str">
        <f>"ENSG00000260916.7"</f>
        <v>ENSG00000260916.7</v>
      </c>
      <c r="B3200" s="3">
        <v>244.013464530606</v>
      </c>
      <c r="C3200" s="3">
        <v>1.6215757132195101</v>
      </c>
      <c r="D3200" s="3">
        <v>0.32748954175184802</v>
      </c>
      <c r="E3200" s="3">
        <v>4.9515343437997501</v>
      </c>
      <c r="F3200" s="4">
        <v>7.3630621779412001E-7</v>
      </c>
      <c r="G3200" s="4">
        <v>9.4692141659565894E-6</v>
      </c>
      <c r="H3200" s="3" t="str">
        <f>"CCPG1"</f>
        <v>CCPG1</v>
      </c>
      <c r="I3200" s="3" t="str">
        <f>"protein_coding"</f>
        <v>protein_coding</v>
      </c>
    </row>
    <row r="3201" spans="1:9" x14ac:dyDescent="0.2">
      <c r="A3201" s="3" t="str">
        <f>"ENSG00000069869.16"</f>
        <v>ENSG00000069869.16</v>
      </c>
      <c r="B3201" s="3">
        <v>1134.2109791314299</v>
      </c>
      <c r="C3201" s="3">
        <v>-1.05948328497773</v>
      </c>
      <c r="D3201" s="3">
        <v>0.28165734960748101</v>
      </c>
      <c r="E3201" s="3">
        <v>-3.7616035457772701</v>
      </c>
      <c r="F3201" s="3">
        <v>1.68827502061091E-4</v>
      </c>
      <c r="G3201" s="3">
        <v>1.2845903854648299E-3</v>
      </c>
      <c r="H3201" s="3" t="str">
        <f>"NEDD4"</f>
        <v>NEDD4</v>
      </c>
      <c r="I3201" s="3" t="str">
        <f>"protein_coding"</f>
        <v>protein_coding</v>
      </c>
    </row>
    <row r="3202" spans="1:9" x14ac:dyDescent="0.2">
      <c r="A3202" s="3" t="str">
        <f>"ENSG00000261072.2"</f>
        <v>ENSG00000261072.2</v>
      </c>
      <c r="B3202" s="3">
        <v>76.059157711230398</v>
      </c>
      <c r="C3202" s="3">
        <v>1.1352423790747499</v>
      </c>
      <c r="D3202" s="3">
        <v>0.44136969075882498</v>
      </c>
      <c r="E3202" s="3">
        <v>2.5720895721747099</v>
      </c>
      <c r="F3202" s="3">
        <v>1.01086734369792E-2</v>
      </c>
      <c r="G3202" s="3">
        <v>4.2657889667373397E-2</v>
      </c>
      <c r="H3202" s="3" t="str">
        <f>"AC084783.1"</f>
        <v>AC084783.1</v>
      </c>
      <c r="I3202" s="3" t="str">
        <f>"processed_pseudogene"</f>
        <v>processed_pseudogene</v>
      </c>
    </row>
    <row r="3203" spans="1:9" x14ac:dyDescent="0.2">
      <c r="A3203" s="3" t="str">
        <f>"ENSG00000151575.14"</f>
        <v>ENSG00000151575.14</v>
      </c>
      <c r="B3203" s="3">
        <v>619.068750608561</v>
      </c>
      <c r="C3203" s="3">
        <v>2.24540091861319</v>
      </c>
      <c r="D3203" s="3">
        <v>0.30901595717355501</v>
      </c>
      <c r="E3203" s="3">
        <v>7.2662943983572204</v>
      </c>
      <c r="F3203" s="4">
        <v>3.6948288137786898E-13</v>
      </c>
      <c r="G3203" s="4">
        <v>1.1238623798138199E-11</v>
      </c>
      <c r="H3203" s="3" t="str">
        <f>"TEX9"</f>
        <v>TEX9</v>
      </c>
      <c r="I3203" s="3" t="str">
        <f>"protein_coding"</f>
        <v>protein_coding</v>
      </c>
    </row>
    <row r="3204" spans="1:9" x14ac:dyDescent="0.2">
      <c r="A3204" s="3" t="str">
        <f>"ENSG00000138587.6"</f>
        <v>ENSG00000138587.6</v>
      </c>
      <c r="B3204" s="3">
        <v>55.961066697536801</v>
      </c>
      <c r="C3204" s="3">
        <v>-1.6899668921877899</v>
      </c>
      <c r="D3204" s="3">
        <v>0.50481970710035395</v>
      </c>
      <c r="E3204" s="3">
        <v>-3.3476642619497299</v>
      </c>
      <c r="F3204" s="3">
        <v>8.1495675375618597E-4</v>
      </c>
      <c r="G3204" s="3">
        <v>5.1199393458383697E-3</v>
      </c>
      <c r="H3204" s="3" t="str">
        <f>"MNS1"</f>
        <v>MNS1</v>
      </c>
      <c r="I3204" s="3" t="str">
        <f>"protein_coding"</f>
        <v>protein_coding</v>
      </c>
    </row>
    <row r="3205" spans="1:9" x14ac:dyDescent="0.2">
      <c r="A3205" s="3" t="str">
        <f>"ENSG00000128849.10"</f>
        <v>ENSG00000128849.10</v>
      </c>
      <c r="B3205" s="3">
        <v>924.03688925770405</v>
      </c>
      <c r="C3205" s="3">
        <v>-2.8709012349904701</v>
      </c>
      <c r="D3205" s="3">
        <v>0.28340299686176301</v>
      </c>
      <c r="E3205" s="3">
        <v>-10.1301018929974</v>
      </c>
      <c r="F3205" s="4">
        <v>4.0622591268887603E-24</v>
      </c>
      <c r="G3205" s="4">
        <v>2.9533563103146401E-22</v>
      </c>
      <c r="H3205" s="3" t="str">
        <f>"CGNL1"</f>
        <v>CGNL1</v>
      </c>
      <c r="I3205" s="3" t="str">
        <f>"protein_coding"</f>
        <v>protein_coding</v>
      </c>
    </row>
    <row r="3206" spans="1:9" x14ac:dyDescent="0.2">
      <c r="A3206" s="3" t="str">
        <f>"ENSG00000157483.8"</f>
        <v>ENSG00000157483.8</v>
      </c>
      <c r="B3206" s="3">
        <v>2278.21267192804</v>
      </c>
      <c r="C3206" s="3">
        <v>1.4138924553554</v>
      </c>
      <c r="D3206" s="3">
        <v>0.26048878280558802</v>
      </c>
      <c r="E3206" s="3">
        <v>5.4278439176040703</v>
      </c>
      <c r="F3206" s="4">
        <v>5.7038885663263602E-8</v>
      </c>
      <c r="G3206" s="4">
        <v>8.8733034561496405E-7</v>
      </c>
      <c r="H3206" s="3" t="str">
        <f>"MYO1E"</f>
        <v>MYO1E</v>
      </c>
      <c r="I3206" s="3" t="str">
        <f>"protein_coding"</f>
        <v>protein_coding</v>
      </c>
    </row>
    <row r="3207" spans="1:9" x14ac:dyDescent="0.2">
      <c r="A3207" s="3" t="str">
        <f>"ENSG00000259771.1"</f>
        <v>ENSG00000259771.1</v>
      </c>
      <c r="B3207" s="3">
        <v>18.473460003874202</v>
      </c>
      <c r="C3207" s="3">
        <v>2.20271320358427</v>
      </c>
      <c r="D3207" s="3">
        <v>0.82111200544148599</v>
      </c>
      <c r="E3207" s="3">
        <v>2.6825977320839902</v>
      </c>
      <c r="F3207" s="3">
        <v>7.3052803132147796E-3</v>
      </c>
      <c r="G3207" s="3">
        <v>3.2427091279145497E-2</v>
      </c>
      <c r="H3207" s="3" t="str">
        <f>"AC092756.1"</f>
        <v>AC092756.1</v>
      </c>
      <c r="I3207" s="3" t="str">
        <f>"sense_intronic"</f>
        <v>sense_intronic</v>
      </c>
    </row>
    <row r="3208" spans="1:9" x14ac:dyDescent="0.2">
      <c r="A3208" s="3" t="str">
        <f>"ENSG00000199512.1"</f>
        <v>ENSG00000199512.1</v>
      </c>
      <c r="B3208" s="3">
        <v>25.498658202636602</v>
      </c>
      <c r="C3208" s="3">
        <v>2.0025437148882799</v>
      </c>
      <c r="D3208" s="3">
        <v>0.73467593549227195</v>
      </c>
      <c r="E3208" s="3">
        <v>2.72575106675635</v>
      </c>
      <c r="F3208" s="3">
        <v>6.41553635129824E-3</v>
      </c>
      <c r="G3208" s="3">
        <v>2.9101694993876801E-2</v>
      </c>
      <c r="H3208" s="3" t="str">
        <f>"RNU6-212P"</f>
        <v>RNU6-212P</v>
      </c>
      <c r="I3208" s="3" t="str">
        <f>"snRNA"</f>
        <v>snRNA</v>
      </c>
    </row>
    <row r="3209" spans="1:9" x14ac:dyDescent="0.2">
      <c r="A3209" s="3" t="str">
        <f>"ENSG00000259735.1"</f>
        <v>ENSG00000259735.1</v>
      </c>
      <c r="B3209" s="3">
        <v>41.485829992448501</v>
      </c>
      <c r="C3209" s="3">
        <v>1.9905545761285099</v>
      </c>
      <c r="D3209" s="3">
        <v>0.58917727750245497</v>
      </c>
      <c r="E3209" s="3">
        <v>3.3785324929137599</v>
      </c>
      <c r="F3209" s="3">
        <v>7.2873819961984804E-4</v>
      </c>
      <c r="G3209" s="3">
        <v>4.66210819212545E-3</v>
      </c>
      <c r="H3209" s="3" t="str">
        <f>"AC092868.2"</f>
        <v>AC092868.2</v>
      </c>
      <c r="I3209" s="3" t="str">
        <f>"sense_intronic"</f>
        <v>sense_intronic</v>
      </c>
    </row>
    <row r="3210" spans="1:9" x14ac:dyDescent="0.2">
      <c r="A3210" s="3" t="str">
        <f>"ENSG00000157470.12"</f>
        <v>ENSG00000157470.12</v>
      </c>
      <c r="B3210" s="3">
        <v>97.5419113947124</v>
      </c>
      <c r="C3210" s="3">
        <v>-1.26203765385938</v>
      </c>
      <c r="D3210" s="3">
        <v>0.40120055021324702</v>
      </c>
      <c r="E3210" s="3">
        <v>-3.14565284915132</v>
      </c>
      <c r="F3210" s="3">
        <v>1.65716577198891E-3</v>
      </c>
      <c r="G3210" s="3">
        <v>9.3634332871475792E-3</v>
      </c>
      <c r="H3210" s="3" t="str">
        <f>"FAM81A"</f>
        <v>FAM81A</v>
      </c>
      <c r="I3210" s="3" t="str">
        <f>"protein_coding"</f>
        <v>protein_coding</v>
      </c>
    </row>
    <row r="3211" spans="1:9" x14ac:dyDescent="0.2">
      <c r="A3211" s="3" t="str">
        <f>"ENSG00000129003.17"</f>
        <v>ENSG00000129003.17</v>
      </c>
      <c r="B3211" s="3">
        <v>8030.7934858053104</v>
      </c>
      <c r="C3211" s="3">
        <v>1.1776477689528999</v>
      </c>
      <c r="D3211" s="3">
        <v>0.257309011486202</v>
      </c>
      <c r="E3211" s="3">
        <v>4.5767840082664497</v>
      </c>
      <c r="F3211" s="4">
        <v>4.7217852819934804E-6</v>
      </c>
      <c r="G3211" s="4">
        <v>5.2072121336495402E-5</v>
      </c>
      <c r="H3211" s="3" t="str">
        <f>"VPS13C"</f>
        <v>VPS13C</v>
      </c>
      <c r="I3211" s="3" t="str">
        <f>"protein_coding"</f>
        <v>protein_coding</v>
      </c>
    </row>
    <row r="3212" spans="1:9" x14ac:dyDescent="0.2">
      <c r="A3212" s="3" t="str">
        <f>"ENSG00000198535.5"</f>
        <v>ENSG00000198535.5</v>
      </c>
      <c r="B3212" s="3">
        <v>22.4640417568327</v>
      </c>
      <c r="C3212" s="3">
        <v>-2.81007202908736</v>
      </c>
      <c r="D3212" s="3">
        <v>0.81017083017269198</v>
      </c>
      <c r="E3212" s="3">
        <v>-3.4684932170273002</v>
      </c>
      <c r="F3212" s="3">
        <v>5.2338573907743902E-4</v>
      </c>
      <c r="G3212" s="3">
        <v>3.4793256518216098E-3</v>
      </c>
      <c r="H3212" s="3" t="str">
        <f>"C2CD4A"</f>
        <v>C2CD4A</v>
      </c>
      <c r="I3212" s="3" t="str">
        <f>"protein_coding"</f>
        <v>protein_coding</v>
      </c>
    </row>
    <row r="3213" spans="1:9" x14ac:dyDescent="0.2">
      <c r="A3213" s="3" t="str">
        <f>"ENSG00000259727.1"</f>
        <v>ENSG00000259727.1</v>
      </c>
      <c r="B3213" s="3">
        <v>14.7456609684449</v>
      </c>
      <c r="C3213" s="3">
        <v>-3.3439405990475501</v>
      </c>
      <c r="D3213" s="3">
        <v>1.0506195994533101</v>
      </c>
      <c r="E3213" s="3">
        <v>-3.1828271629308702</v>
      </c>
      <c r="F3213" s="3">
        <v>1.4584464477488E-3</v>
      </c>
      <c r="G3213" s="3">
        <v>8.4048614875420792E-3</v>
      </c>
      <c r="H3213" s="3" t="str">
        <f>"AC103740.2"</f>
        <v>AC103740.2</v>
      </c>
      <c r="I3213" s="3" t="str">
        <f>"lincRNA"</f>
        <v>lincRNA</v>
      </c>
    </row>
    <row r="3214" spans="1:9" x14ac:dyDescent="0.2">
      <c r="A3214" s="3" t="str">
        <f>"ENSG00000185088.14"</f>
        <v>ENSG00000185088.14</v>
      </c>
      <c r="B3214" s="3">
        <v>5081.8212942211503</v>
      </c>
      <c r="C3214" s="3">
        <v>2.9794942918839502</v>
      </c>
      <c r="D3214" s="3">
        <v>0.26766666061393601</v>
      </c>
      <c r="E3214" s="3">
        <v>11.1313612425619</v>
      </c>
      <c r="F3214" s="4">
        <v>8.8276996963155403E-29</v>
      </c>
      <c r="G3214" s="4">
        <v>8.3796522966346206E-27</v>
      </c>
      <c r="H3214" s="3" t="str">
        <f>"RPS27L"</f>
        <v>RPS27L</v>
      </c>
      <c r="I3214" s="3" t="str">
        <f>"protein_coding"</f>
        <v>protein_coding</v>
      </c>
    </row>
    <row r="3215" spans="1:9" x14ac:dyDescent="0.2">
      <c r="A3215" s="3" t="str">
        <f>"ENSG00000259248.6"</f>
        <v>ENSG00000259248.6</v>
      </c>
      <c r="B3215" s="3">
        <v>73.370227854156795</v>
      </c>
      <c r="C3215" s="3">
        <v>1.21686851402136</v>
      </c>
      <c r="D3215" s="3">
        <v>0.44562017303343299</v>
      </c>
      <c r="E3215" s="3">
        <v>2.73073031173133</v>
      </c>
      <c r="F3215" s="3">
        <v>6.3194160811540804E-3</v>
      </c>
      <c r="G3215" s="3">
        <v>2.8761518277805501E-2</v>
      </c>
      <c r="H3215" s="3" t="str">
        <f>"USP3-AS1"</f>
        <v>USP3-AS1</v>
      </c>
      <c r="I3215" s="3" t="str">
        <f>"antisense"</f>
        <v>antisense</v>
      </c>
    </row>
    <row r="3216" spans="1:9" x14ac:dyDescent="0.2">
      <c r="A3216" s="3" t="str">
        <f>"ENSG00000169118.18"</f>
        <v>ENSG00000169118.18</v>
      </c>
      <c r="B3216" s="3">
        <v>1759.1145398813901</v>
      </c>
      <c r="C3216" s="3">
        <v>1.6318846992442599</v>
      </c>
      <c r="D3216" s="3">
        <v>0.25051270371872197</v>
      </c>
      <c r="E3216" s="3">
        <v>6.5141794209229396</v>
      </c>
      <c r="F3216" s="4">
        <v>7.3088094093505402E-11</v>
      </c>
      <c r="G3216" s="4">
        <v>1.7023435249279001E-9</v>
      </c>
      <c r="H3216" s="3" t="str">
        <f>"CSNK1G1"</f>
        <v>CSNK1G1</v>
      </c>
      <c r="I3216" s="3" t="str">
        <f>"protein_coding"</f>
        <v>protein_coding</v>
      </c>
    </row>
    <row r="3217" spans="1:9" x14ac:dyDescent="0.2">
      <c r="A3217" s="3" t="str">
        <f>"ENSG00000259316.11"</f>
        <v>ENSG00000259316.11</v>
      </c>
      <c r="B3217" s="3">
        <v>118.82619893499999</v>
      </c>
      <c r="C3217" s="3">
        <v>2.0236572249945901</v>
      </c>
      <c r="D3217" s="3">
        <v>0.405303381456603</v>
      </c>
      <c r="E3217" s="3">
        <v>4.9929443414013699</v>
      </c>
      <c r="F3217" s="4">
        <v>5.9465698776378595E-7</v>
      </c>
      <c r="G3217" s="4">
        <v>7.7787813453967904E-6</v>
      </c>
      <c r="H3217" s="3" t="str">
        <f>"AC087632.1"</f>
        <v>AC087632.1</v>
      </c>
      <c r="I3217" s="3" t="str">
        <f>"protein_coding"</f>
        <v>protein_coding</v>
      </c>
    </row>
    <row r="3218" spans="1:9" x14ac:dyDescent="0.2">
      <c r="A3218" s="3" t="str">
        <f>"ENSG00000166803.13"</f>
        <v>ENSG00000166803.13</v>
      </c>
      <c r="B3218" s="3">
        <v>594.71260800080904</v>
      </c>
      <c r="C3218" s="3">
        <v>-1.3305054541325201</v>
      </c>
      <c r="D3218" s="3">
        <v>0.28070000941846501</v>
      </c>
      <c r="E3218" s="3">
        <v>-4.7399551460257099</v>
      </c>
      <c r="F3218" s="4">
        <v>2.1376553510368601E-6</v>
      </c>
      <c r="G3218" s="4">
        <v>2.5068867298523101E-5</v>
      </c>
      <c r="H3218" s="3" t="str">
        <f>"PCLAF"</f>
        <v>PCLAF</v>
      </c>
      <c r="I3218" s="3" t="str">
        <f>"protein_coding"</f>
        <v>protein_coding</v>
      </c>
    </row>
    <row r="3219" spans="1:9" x14ac:dyDescent="0.2">
      <c r="A3219" s="3" t="str">
        <f>"ENSG00000274383.1"</f>
        <v>ENSG00000274383.1</v>
      </c>
      <c r="B3219" s="3">
        <v>65.083442810767494</v>
      </c>
      <c r="C3219" s="3">
        <v>1.5954084679878899</v>
      </c>
      <c r="D3219" s="3">
        <v>0.47344258390773802</v>
      </c>
      <c r="E3219" s="3">
        <v>3.3698034824404202</v>
      </c>
      <c r="F3219" s="3">
        <v>7.5221808486380199E-4</v>
      </c>
      <c r="G3219" s="3">
        <v>4.7867558625724598E-3</v>
      </c>
      <c r="H3219" s="3" t="str">
        <f>"AC103691.1"</f>
        <v>AC103691.1</v>
      </c>
      <c r="I3219" s="3" t="str">
        <f>"antisense"</f>
        <v>antisense</v>
      </c>
    </row>
    <row r="3220" spans="1:9" x14ac:dyDescent="0.2">
      <c r="A3220" s="3" t="str">
        <f>"ENSG00000174498.14"</f>
        <v>ENSG00000174498.14</v>
      </c>
      <c r="B3220" s="3">
        <v>4418.7298545944795</v>
      </c>
      <c r="C3220" s="3">
        <v>-2.1740940830125401</v>
      </c>
      <c r="D3220" s="3">
        <v>0.298201304070564</v>
      </c>
      <c r="E3220" s="3">
        <v>-7.2906927412298499</v>
      </c>
      <c r="F3220" s="4">
        <v>3.0836530611577E-13</v>
      </c>
      <c r="G3220" s="4">
        <v>9.5411184198551001E-12</v>
      </c>
      <c r="H3220" s="3" t="str">
        <f>"IGDCC3"</f>
        <v>IGDCC3</v>
      </c>
      <c r="I3220" s="3" t="str">
        <f>"protein_coding"</f>
        <v>protein_coding</v>
      </c>
    </row>
    <row r="3221" spans="1:9" x14ac:dyDescent="0.2">
      <c r="A3221" s="3" t="str">
        <f>"ENSG00000103742.12"</f>
        <v>ENSG00000103742.12</v>
      </c>
      <c r="B3221" s="3">
        <v>1092.9995950356699</v>
      </c>
      <c r="C3221" s="3">
        <v>4.8145611345403001</v>
      </c>
      <c r="D3221" s="3">
        <v>0.28852967223585002</v>
      </c>
      <c r="E3221" s="3">
        <v>16.6865372882855</v>
      </c>
      <c r="F3221" s="4">
        <v>1.64223659475057E-62</v>
      </c>
      <c r="G3221" s="4">
        <v>6.4547596157735501E-60</v>
      </c>
      <c r="H3221" s="3" t="str">
        <f>"IGDCC4"</f>
        <v>IGDCC4</v>
      </c>
      <c r="I3221" s="3" t="str">
        <f>"protein_coding"</f>
        <v>protein_coding</v>
      </c>
    </row>
    <row r="3222" spans="1:9" x14ac:dyDescent="0.2">
      <c r="A3222" s="3" t="str">
        <f>"ENSG00000074621.14"</f>
        <v>ENSG00000074621.14</v>
      </c>
      <c r="B3222" s="3">
        <v>457.929105182863</v>
      </c>
      <c r="C3222" s="3">
        <v>1.1638506824838899</v>
      </c>
      <c r="D3222" s="3">
        <v>0.28181516478756502</v>
      </c>
      <c r="E3222" s="3">
        <v>4.1298369566492799</v>
      </c>
      <c r="F3222" s="4">
        <v>3.63020588174776E-5</v>
      </c>
      <c r="G3222" s="3">
        <v>3.2859960041513097E-4</v>
      </c>
      <c r="H3222" s="3" t="str">
        <f>"SLC24A1"</f>
        <v>SLC24A1</v>
      </c>
      <c r="I3222" s="3" t="str">
        <f>"protein_coding"</f>
        <v>protein_coding</v>
      </c>
    </row>
    <row r="3223" spans="1:9" x14ac:dyDescent="0.2">
      <c r="A3223" s="3" t="str">
        <f>"ENSG00000174442.12"</f>
        <v>ENSG00000174442.12</v>
      </c>
      <c r="B3223" s="3">
        <v>1293.8051833531199</v>
      </c>
      <c r="C3223" s="3">
        <v>-1.3641967279504099</v>
      </c>
      <c r="D3223" s="3">
        <v>0.27944728095535698</v>
      </c>
      <c r="E3223" s="3">
        <v>-4.8817677641613804</v>
      </c>
      <c r="F3223" s="4">
        <v>1.0513903461817101E-6</v>
      </c>
      <c r="G3223" s="4">
        <v>1.30929327515846E-5</v>
      </c>
      <c r="H3223" s="3" t="str">
        <f>"ZWILCH"</f>
        <v>ZWILCH</v>
      </c>
      <c r="I3223" s="3" t="str">
        <f>"protein_coding"</f>
        <v>protein_coding</v>
      </c>
    </row>
    <row r="3224" spans="1:9" x14ac:dyDescent="0.2">
      <c r="A3224" s="3" t="str">
        <f>"ENSG00000259471.1"</f>
        <v>ENSG00000259471.1</v>
      </c>
      <c r="B3224" s="3">
        <v>25.932541817172801</v>
      </c>
      <c r="C3224" s="3">
        <v>2.1668150199656502</v>
      </c>
      <c r="D3224" s="3">
        <v>0.70160999073238395</v>
      </c>
      <c r="E3224" s="3">
        <v>3.0883468716056801</v>
      </c>
      <c r="F3224" s="3">
        <v>2.0127339090732E-3</v>
      </c>
      <c r="G3224" s="3">
        <v>1.1008984884265299E-2</v>
      </c>
      <c r="H3224" s="3" t="str">
        <f>"LINC01169"</f>
        <v>LINC01169</v>
      </c>
      <c r="I3224" s="3" t="str">
        <f>"lincRNA"</f>
        <v>lincRNA</v>
      </c>
    </row>
    <row r="3225" spans="1:9" x14ac:dyDescent="0.2">
      <c r="A3225" s="3" t="str">
        <f>"ENSG00000166949.16"</f>
        <v>ENSG00000166949.16</v>
      </c>
      <c r="B3225" s="3">
        <v>5182.5192469972899</v>
      </c>
      <c r="C3225" s="3">
        <v>1.86564204538088</v>
      </c>
      <c r="D3225" s="3">
        <v>0.24378681960877499</v>
      </c>
      <c r="E3225" s="3">
        <v>7.6527600974278798</v>
      </c>
      <c r="F3225" s="4">
        <v>1.96710692336661E-14</v>
      </c>
      <c r="G3225" s="4">
        <v>6.7049559156215403E-13</v>
      </c>
      <c r="H3225" s="3" t="str">
        <f>"SMAD3"</f>
        <v>SMAD3</v>
      </c>
      <c r="I3225" s="3" t="str">
        <f>"protein_coding"</f>
        <v>protein_coding</v>
      </c>
    </row>
    <row r="3226" spans="1:9" x14ac:dyDescent="0.2">
      <c r="A3226" s="3" t="str">
        <f>"ENSG00000259426.5"</f>
        <v>ENSG00000259426.5</v>
      </c>
      <c r="B3226" s="3">
        <v>25.3648658386204</v>
      </c>
      <c r="C3226" s="3">
        <v>-2.46866268573027</v>
      </c>
      <c r="D3226" s="3">
        <v>0.730417897978622</v>
      </c>
      <c r="E3226" s="3">
        <v>-3.3797948990052298</v>
      </c>
      <c r="F3226" s="3">
        <v>7.25399402920118E-4</v>
      </c>
      <c r="G3226" s="3">
        <v>4.6431099186909804E-3</v>
      </c>
      <c r="H3226" s="3" t="str">
        <f>"AC027237.3"</f>
        <v>AC027237.3</v>
      </c>
      <c r="I3226" s="3" t="str">
        <f>"antisense"</f>
        <v>antisense</v>
      </c>
    </row>
    <row r="3227" spans="1:9" x14ac:dyDescent="0.2">
      <c r="A3227" s="3" t="str">
        <f>"ENSG00000140332.15"</f>
        <v>ENSG00000140332.15</v>
      </c>
      <c r="B3227" s="3">
        <v>1553.5523793683899</v>
      </c>
      <c r="C3227" s="3">
        <v>-3.36468638168901</v>
      </c>
      <c r="D3227" s="3">
        <v>0.28726761409576901</v>
      </c>
      <c r="E3227" s="3">
        <v>-11.712724360802101</v>
      </c>
      <c r="F3227" s="4">
        <v>1.09697212379406E-31</v>
      </c>
      <c r="G3227" s="4">
        <v>1.22098822009025E-29</v>
      </c>
      <c r="H3227" s="3" t="str">
        <f>"TLE3"</f>
        <v>TLE3</v>
      </c>
      <c r="I3227" s="3" t="str">
        <f t="shared" ref="I3227:I3241" si="135">"protein_coding"</f>
        <v>protein_coding</v>
      </c>
    </row>
    <row r="3228" spans="1:9" x14ac:dyDescent="0.2">
      <c r="A3228" s="3" t="str">
        <f>"ENSG00000166173.10"</f>
        <v>ENSG00000166173.10</v>
      </c>
      <c r="B3228" s="3">
        <v>206.81581968823201</v>
      </c>
      <c r="C3228" s="3">
        <v>-1.54634774758033</v>
      </c>
      <c r="D3228" s="3">
        <v>0.357904724678141</v>
      </c>
      <c r="E3228" s="3">
        <v>-4.3205569554046503</v>
      </c>
      <c r="F3228" s="4">
        <v>1.5563587768289501E-5</v>
      </c>
      <c r="G3228" s="3">
        <v>1.5275148275900201E-4</v>
      </c>
      <c r="H3228" s="3" t="str">
        <f>"LARP6"</f>
        <v>LARP6</v>
      </c>
      <c r="I3228" s="3" t="str">
        <f t="shared" si="135"/>
        <v>protein_coding</v>
      </c>
    </row>
    <row r="3229" spans="1:9" x14ac:dyDescent="0.2">
      <c r="A3229" s="3" t="str">
        <f>"ENSG00000129028.9"</f>
        <v>ENSG00000129028.9</v>
      </c>
      <c r="B3229" s="3">
        <v>123.25970776204301</v>
      </c>
      <c r="C3229" s="3">
        <v>-1.13322163042113</v>
      </c>
      <c r="D3229" s="3">
        <v>0.371753027298449</v>
      </c>
      <c r="E3229" s="3">
        <v>-3.04831849966715</v>
      </c>
      <c r="F3229" s="3">
        <v>2.3012587989483398E-3</v>
      </c>
      <c r="G3229" s="3">
        <v>1.23402611570125E-2</v>
      </c>
      <c r="H3229" s="3" t="str">
        <f>"THAP10"</f>
        <v>THAP10</v>
      </c>
      <c r="I3229" s="3" t="str">
        <f t="shared" si="135"/>
        <v>protein_coding</v>
      </c>
    </row>
    <row r="3230" spans="1:9" x14ac:dyDescent="0.2">
      <c r="A3230" s="3" t="str">
        <f>"ENSG00000260729.1"</f>
        <v>ENSG00000260729.1</v>
      </c>
      <c r="B3230" s="3">
        <v>39.915394891593699</v>
      </c>
      <c r="C3230" s="3">
        <v>1.76544316858839</v>
      </c>
      <c r="D3230" s="3">
        <v>0.58784474280087495</v>
      </c>
      <c r="E3230" s="3">
        <v>3.00324735435529</v>
      </c>
      <c r="F3230" s="3">
        <v>2.6711523004551E-3</v>
      </c>
      <c r="G3230" s="3">
        <v>1.3969404598325999E-2</v>
      </c>
      <c r="H3230" s="3" t="str">
        <f>"AC009690.1"</f>
        <v>AC009690.1</v>
      </c>
      <c r="I3230" s="3" t="str">
        <f t="shared" si="135"/>
        <v>protein_coding</v>
      </c>
    </row>
    <row r="3231" spans="1:9" x14ac:dyDescent="0.2">
      <c r="A3231" s="3" t="str">
        <f>"ENSG00000213614.9"</f>
        <v>ENSG00000213614.9</v>
      </c>
      <c r="B3231" s="3">
        <v>3006.9914830125199</v>
      </c>
      <c r="C3231" s="3">
        <v>1.00825652489916</v>
      </c>
      <c r="D3231" s="3">
        <v>0.24237237762844199</v>
      </c>
      <c r="E3231" s="3">
        <v>4.1599481540129197</v>
      </c>
      <c r="F3231" s="4">
        <v>3.1831984453122199E-5</v>
      </c>
      <c r="G3231" s="3">
        <v>2.9223852880229498E-4</v>
      </c>
      <c r="H3231" s="3" t="str">
        <f>"HEXA"</f>
        <v>HEXA</v>
      </c>
      <c r="I3231" s="3" t="str">
        <f t="shared" si="135"/>
        <v>protein_coding</v>
      </c>
    </row>
    <row r="3232" spans="1:9" x14ac:dyDescent="0.2">
      <c r="A3232" s="3" t="str">
        <f>"ENSG00000140463.14"</f>
        <v>ENSG00000140463.14</v>
      </c>
      <c r="B3232" s="3">
        <v>1037.9262688536901</v>
      </c>
      <c r="C3232" s="3">
        <v>1.85130554647297</v>
      </c>
      <c r="D3232" s="3">
        <v>0.27433067413398798</v>
      </c>
      <c r="E3232" s="3">
        <v>6.7484452925915299</v>
      </c>
      <c r="F3232" s="4">
        <v>1.49437724289898E-11</v>
      </c>
      <c r="G3232" s="4">
        <v>3.7553506039084702E-10</v>
      </c>
      <c r="H3232" s="3" t="str">
        <f>"BBS4"</f>
        <v>BBS4</v>
      </c>
      <c r="I3232" s="3" t="str">
        <f t="shared" si="135"/>
        <v>protein_coding</v>
      </c>
    </row>
    <row r="3233" spans="1:9" x14ac:dyDescent="0.2">
      <c r="A3233" s="3" t="str">
        <f>"ENSG00000138622.4"</f>
        <v>ENSG00000138622.4</v>
      </c>
      <c r="B3233" s="3">
        <v>27.665609169027199</v>
      </c>
      <c r="C3233" s="3">
        <v>2.0759437827520499</v>
      </c>
      <c r="D3233" s="3">
        <v>0.70267090329722004</v>
      </c>
      <c r="E3233" s="3">
        <v>2.9543613845555199</v>
      </c>
      <c r="F3233" s="3">
        <v>3.1331687064035901E-3</v>
      </c>
      <c r="G3233" s="3">
        <v>1.5996520968050001E-2</v>
      </c>
      <c r="H3233" s="3" t="str">
        <f>"HCN4"</f>
        <v>HCN4</v>
      </c>
      <c r="I3233" s="3" t="str">
        <f t="shared" si="135"/>
        <v>protein_coding</v>
      </c>
    </row>
    <row r="3234" spans="1:9" x14ac:dyDescent="0.2">
      <c r="A3234" s="3" t="str">
        <f>"ENSG00000129038.16"</f>
        <v>ENSG00000129038.16</v>
      </c>
      <c r="B3234" s="3">
        <v>188.000827913059</v>
      </c>
      <c r="C3234" s="3">
        <v>5.1530270700016301</v>
      </c>
      <c r="D3234" s="3">
        <v>0.46375283041010601</v>
      </c>
      <c r="E3234" s="3">
        <v>11.111580851042399</v>
      </c>
      <c r="F3234" s="4">
        <v>1.1019125426525E-28</v>
      </c>
      <c r="G3234" s="4">
        <v>1.0381501876563199E-26</v>
      </c>
      <c r="H3234" s="3" t="str">
        <f>"LOXL1"</f>
        <v>LOXL1</v>
      </c>
      <c r="I3234" s="3" t="str">
        <f t="shared" si="135"/>
        <v>protein_coding</v>
      </c>
    </row>
    <row r="3235" spans="1:9" x14ac:dyDescent="0.2">
      <c r="A3235" s="3" t="str">
        <f>"ENSG00000067221.14"</f>
        <v>ENSG00000067221.14</v>
      </c>
      <c r="B3235" s="3">
        <v>101.482804744218</v>
      </c>
      <c r="C3235" s="3">
        <v>1.35892637495387</v>
      </c>
      <c r="D3235" s="3">
        <v>0.41895052350113898</v>
      </c>
      <c r="E3235" s="3">
        <v>3.2436440551438399</v>
      </c>
      <c r="F3235" s="3">
        <v>1.18011118842754E-3</v>
      </c>
      <c r="G3235" s="3">
        <v>7.0278638600603403E-3</v>
      </c>
      <c r="H3235" s="3" t="str">
        <f>"STOML1"</f>
        <v>STOML1</v>
      </c>
      <c r="I3235" s="3" t="str">
        <f t="shared" si="135"/>
        <v>protein_coding</v>
      </c>
    </row>
    <row r="3236" spans="1:9" x14ac:dyDescent="0.2">
      <c r="A3236" s="3" t="str">
        <f>"ENSG00000140464.19"</f>
        <v>ENSG00000140464.19</v>
      </c>
      <c r="B3236" s="3">
        <v>1776.3309429239901</v>
      </c>
      <c r="C3236" s="3">
        <v>1.80300081854274</v>
      </c>
      <c r="D3236" s="3">
        <v>0.29898526484967503</v>
      </c>
      <c r="E3236" s="3">
        <v>6.0304002588530796</v>
      </c>
      <c r="F3236" s="4">
        <v>1.63554088520528E-9</v>
      </c>
      <c r="G3236" s="4">
        <v>3.2242970977538202E-8</v>
      </c>
      <c r="H3236" s="3" t="str">
        <f>"PML"</f>
        <v>PML</v>
      </c>
      <c r="I3236" s="3" t="str">
        <f t="shared" si="135"/>
        <v>protein_coding</v>
      </c>
    </row>
    <row r="3237" spans="1:9" x14ac:dyDescent="0.2">
      <c r="A3237" s="3" t="str">
        <f>"ENSG00000137868.19"</f>
        <v>ENSG00000137868.19</v>
      </c>
      <c r="B3237" s="3">
        <v>293.76132904931501</v>
      </c>
      <c r="C3237" s="3">
        <v>2.7161059899562101</v>
      </c>
      <c r="D3237" s="3">
        <v>0.32992921767736699</v>
      </c>
      <c r="E3237" s="3">
        <v>8.2323899928506794</v>
      </c>
      <c r="F3237" s="4">
        <v>1.83514652980304E-16</v>
      </c>
      <c r="G3237" s="4">
        <v>7.7454884156368307E-15</v>
      </c>
      <c r="H3237" s="3" t="str">
        <f>"STRA6"</f>
        <v>STRA6</v>
      </c>
      <c r="I3237" s="3" t="str">
        <f t="shared" si="135"/>
        <v>protein_coding</v>
      </c>
    </row>
    <row r="3238" spans="1:9" x14ac:dyDescent="0.2">
      <c r="A3238" s="3" t="str">
        <f>"ENSG00000138623.10"</f>
        <v>ENSG00000138623.10</v>
      </c>
      <c r="B3238" s="3">
        <v>1426.4371978136301</v>
      </c>
      <c r="C3238" s="3">
        <v>1.1574735990046601</v>
      </c>
      <c r="D3238" s="3">
        <v>0.29221441466639297</v>
      </c>
      <c r="E3238" s="3">
        <v>3.96104210097266</v>
      </c>
      <c r="F3238" s="4">
        <v>7.4623372654239505E-5</v>
      </c>
      <c r="G3238" s="3">
        <v>6.2697092154889603E-4</v>
      </c>
      <c r="H3238" s="3" t="str">
        <f>"SEMA7A"</f>
        <v>SEMA7A</v>
      </c>
      <c r="I3238" s="3" t="str">
        <f t="shared" si="135"/>
        <v>protein_coding</v>
      </c>
    </row>
    <row r="3239" spans="1:9" x14ac:dyDescent="0.2">
      <c r="A3239" s="3" t="str">
        <f>"ENSG00000140465.14"</f>
        <v>ENSG00000140465.14</v>
      </c>
      <c r="B3239" s="3">
        <v>262.88800128358997</v>
      </c>
      <c r="C3239" s="3">
        <v>2.4507242483171998</v>
      </c>
      <c r="D3239" s="3">
        <v>0.39478411107904599</v>
      </c>
      <c r="E3239" s="3">
        <v>6.2077580620424202</v>
      </c>
      <c r="F3239" s="4">
        <v>5.3745807175175999E-10</v>
      </c>
      <c r="G3239" s="4">
        <v>1.13802675041376E-8</v>
      </c>
      <c r="H3239" s="3" t="str">
        <f>"CYP1A1"</f>
        <v>CYP1A1</v>
      </c>
      <c r="I3239" s="3" t="str">
        <f t="shared" si="135"/>
        <v>protein_coding</v>
      </c>
    </row>
    <row r="3240" spans="1:9" x14ac:dyDescent="0.2">
      <c r="A3240" s="3" t="str">
        <f>"ENSG00000173546.7"</f>
        <v>ENSG00000173546.7</v>
      </c>
      <c r="B3240" s="3">
        <v>409.81273873069</v>
      </c>
      <c r="C3240" s="3">
        <v>6.7509282924806104</v>
      </c>
      <c r="D3240" s="3">
        <v>0.46317637581301802</v>
      </c>
      <c r="E3240" s="3">
        <v>14.575286316428899</v>
      </c>
      <c r="F3240" s="4">
        <v>4.0342767750747298E-48</v>
      </c>
      <c r="G3240" s="4">
        <v>9.94923845852989E-46</v>
      </c>
      <c r="H3240" s="3" t="str">
        <f>"CSPG4"</f>
        <v>CSPG4</v>
      </c>
      <c r="I3240" s="3" t="str">
        <f t="shared" si="135"/>
        <v>protein_coding</v>
      </c>
    </row>
    <row r="3241" spans="1:9" x14ac:dyDescent="0.2">
      <c r="A3241" s="3" t="str">
        <f>"ENSG00000182950.3"</f>
        <v>ENSG00000182950.3</v>
      </c>
      <c r="B3241" s="3">
        <v>31.691749772811299</v>
      </c>
      <c r="C3241" s="3">
        <v>2.2671986548128298</v>
      </c>
      <c r="D3241" s="3">
        <v>0.64786053222738504</v>
      </c>
      <c r="E3241" s="3">
        <v>3.4995165502952599</v>
      </c>
      <c r="F3241" s="3">
        <v>4.6610266870640902E-4</v>
      </c>
      <c r="G3241" s="3">
        <v>3.14608467372544E-3</v>
      </c>
      <c r="H3241" s="3" t="str">
        <f>"ODF3L1"</f>
        <v>ODF3L1</v>
      </c>
      <c r="I3241" s="3" t="str">
        <f t="shared" si="135"/>
        <v>protein_coding</v>
      </c>
    </row>
    <row r="3242" spans="1:9" x14ac:dyDescent="0.2">
      <c r="A3242" s="3" t="str">
        <f>"ENSG00000246877.1"</f>
        <v>ENSG00000246877.1</v>
      </c>
      <c r="B3242" s="3">
        <v>77.123724127147597</v>
      </c>
      <c r="C3242" s="3">
        <v>2.1419111331202401</v>
      </c>
      <c r="D3242" s="3">
        <v>0.50978200264088902</v>
      </c>
      <c r="E3242" s="3">
        <v>4.2016217167813501</v>
      </c>
      <c r="F3242" s="4">
        <v>2.65009697917823E-5</v>
      </c>
      <c r="G3242" s="3">
        <v>2.4775692634117799E-4</v>
      </c>
      <c r="H3242" s="3" t="str">
        <f>"DNM1P35"</f>
        <v>DNM1P35</v>
      </c>
      <c r="I3242" s="3" t="str">
        <f>"antisense"</f>
        <v>antisense</v>
      </c>
    </row>
    <row r="3243" spans="1:9" x14ac:dyDescent="0.2">
      <c r="A3243" s="3" t="str">
        <f>"ENSG00000260288.3"</f>
        <v>ENSG00000260288.3</v>
      </c>
      <c r="B3243" s="3">
        <v>10.170217562546901</v>
      </c>
      <c r="C3243" s="3">
        <v>3.3095881947485202</v>
      </c>
      <c r="D3243" s="3">
        <v>1.224089999387</v>
      </c>
      <c r="E3243" s="3">
        <v>2.7037131227327098</v>
      </c>
      <c r="F3243" s="3">
        <v>6.8569459956811501E-3</v>
      </c>
      <c r="G3243" s="3">
        <v>3.07627031427429E-2</v>
      </c>
      <c r="H3243" s="3" t="str">
        <f>"AC019294.2"</f>
        <v>AC019294.2</v>
      </c>
      <c r="I3243" s="3" t="str">
        <f>"processed_transcript"</f>
        <v>processed_transcript</v>
      </c>
    </row>
    <row r="3244" spans="1:9" x14ac:dyDescent="0.2">
      <c r="A3244" s="3" t="str">
        <f>"ENSG00000260815.3"</f>
        <v>ENSG00000260815.3</v>
      </c>
      <c r="B3244" s="3">
        <v>11.163176568777899</v>
      </c>
      <c r="C3244" s="3">
        <v>6.9956193200919099</v>
      </c>
      <c r="D3244" s="3">
        <v>1.7497168029822101</v>
      </c>
      <c r="E3244" s="3">
        <v>3.9981437614181998</v>
      </c>
      <c r="F3244" s="4">
        <v>6.3841174123209694E-5</v>
      </c>
      <c r="G3244" s="3">
        <v>5.45861568684344E-4</v>
      </c>
      <c r="H3244" s="3" t="str">
        <f>"PPIAP47"</f>
        <v>PPIAP47</v>
      </c>
      <c r="I3244" s="3" t="str">
        <f>"processed_pseudogene"</f>
        <v>processed_pseudogene</v>
      </c>
    </row>
    <row r="3245" spans="1:9" x14ac:dyDescent="0.2">
      <c r="A3245" s="3" t="str">
        <f>"ENSG00000167196.14"</f>
        <v>ENSG00000167196.14</v>
      </c>
      <c r="B3245" s="3">
        <v>6960.4976192561198</v>
      </c>
      <c r="C3245" s="3">
        <v>1.8282909793936699</v>
      </c>
      <c r="D3245" s="3">
        <v>0.23549493184797099</v>
      </c>
      <c r="E3245" s="3">
        <v>7.7636107284634104</v>
      </c>
      <c r="F3245" s="4">
        <v>8.2544990756290894E-15</v>
      </c>
      <c r="G3245" s="4">
        <v>2.9286590161840598E-13</v>
      </c>
      <c r="H3245" s="3" t="str">
        <f>"FBXO22"</f>
        <v>FBXO22</v>
      </c>
      <c r="I3245" s="3" t="str">
        <f>"protein_coding"</f>
        <v>protein_coding</v>
      </c>
    </row>
    <row r="3246" spans="1:9" x14ac:dyDescent="0.2">
      <c r="A3246" s="3" t="str">
        <f>"ENSG00000159556.10"</f>
        <v>ENSG00000159556.10</v>
      </c>
      <c r="B3246" s="3">
        <v>264.12777930956202</v>
      </c>
      <c r="C3246" s="3">
        <v>-1.3121022017092401</v>
      </c>
      <c r="D3246" s="3">
        <v>0.35617459361592502</v>
      </c>
      <c r="E3246" s="3">
        <v>-3.6838736541779502</v>
      </c>
      <c r="F3246" s="3">
        <v>2.29716136474526E-4</v>
      </c>
      <c r="G3246" s="3">
        <v>1.68912873809316E-3</v>
      </c>
      <c r="H3246" s="3" t="str">
        <f>"ISL2"</f>
        <v>ISL2</v>
      </c>
      <c r="I3246" s="3" t="str">
        <f>"protein_coding"</f>
        <v>protein_coding</v>
      </c>
    </row>
    <row r="3247" spans="1:9" x14ac:dyDescent="0.2">
      <c r="A3247" s="3" t="str">
        <f>"ENSG00000259362.2"</f>
        <v>ENSG00000259362.2</v>
      </c>
      <c r="B3247" s="3">
        <v>100.877515168793</v>
      </c>
      <c r="C3247" s="3">
        <v>5.9070081638853402</v>
      </c>
      <c r="D3247" s="3">
        <v>0.66759396002555005</v>
      </c>
      <c r="E3247" s="3">
        <v>8.8482049233328404</v>
      </c>
      <c r="F3247" s="4">
        <v>8.8938230363819903E-19</v>
      </c>
      <c r="G3247" s="4">
        <v>4.3953657854654002E-17</v>
      </c>
      <c r="H3247" s="3" t="str">
        <f>"AC046168.1"</f>
        <v>AC046168.1</v>
      </c>
      <c r="I3247" s="3" t="str">
        <f>"lincRNA"</f>
        <v>lincRNA</v>
      </c>
    </row>
    <row r="3248" spans="1:9" x14ac:dyDescent="0.2">
      <c r="A3248" s="3" t="str">
        <f>"ENSG00000167202.11"</f>
        <v>ENSG00000167202.11</v>
      </c>
      <c r="B3248" s="3">
        <v>2177.44039721031</v>
      </c>
      <c r="C3248" s="3">
        <v>1.47346947462374</v>
      </c>
      <c r="D3248" s="3">
        <v>0.26861256526565402</v>
      </c>
      <c r="E3248" s="3">
        <v>5.4854823085677502</v>
      </c>
      <c r="F3248" s="4">
        <v>4.12342824496109E-8</v>
      </c>
      <c r="G3248" s="4">
        <v>6.5731836186309401E-7</v>
      </c>
      <c r="H3248" s="3" t="str">
        <f>"TBC1D2B"</f>
        <v>TBC1D2B</v>
      </c>
      <c r="I3248" s="3" t="str">
        <f t="shared" ref="I3248:I3257" si="136">"protein_coding"</f>
        <v>protein_coding</v>
      </c>
    </row>
    <row r="3249" spans="1:9" x14ac:dyDescent="0.2">
      <c r="A3249" s="3" t="str">
        <f>"ENSG00000169684.13"</f>
        <v>ENSG00000169684.13</v>
      </c>
      <c r="B3249" s="3">
        <v>304.66781184386201</v>
      </c>
      <c r="C3249" s="3">
        <v>-1.38089240224605</v>
      </c>
      <c r="D3249" s="3">
        <v>0.35156623020354399</v>
      </c>
      <c r="E3249" s="3">
        <v>-3.9278300462662901</v>
      </c>
      <c r="F3249" s="4">
        <v>8.5715746655730301E-5</v>
      </c>
      <c r="G3249" s="3">
        <v>7.0740800758690796E-4</v>
      </c>
      <c r="H3249" s="3" t="str">
        <f>"CHRNA5"</f>
        <v>CHRNA5</v>
      </c>
      <c r="I3249" s="3" t="str">
        <f t="shared" si="136"/>
        <v>protein_coding</v>
      </c>
    </row>
    <row r="3250" spans="1:9" x14ac:dyDescent="0.2">
      <c r="A3250" s="3" t="str">
        <f>"ENSG00000080644.16"</f>
        <v>ENSG00000080644.16</v>
      </c>
      <c r="B3250" s="3">
        <v>70.558192010744605</v>
      </c>
      <c r="C3250" s="3">
        <v>4.15005655585772</v>
      </c>
      <c r="D3250" s="3">
        <v>0.56335306437350896</v>
      </c>
      <c r="E3250" s="3">
        <v>7.3667062776571504</v>
      </c>
      <c r="F3250" s="4">
        <v>1.7489523816891701E-13</v>
      </c>
      <c r="G3250" s="4">
        <v>5.5339493284768601E-12</v>
      </c>
      <c r="H3250" s="3" t="str">
        <f>"CHRNA3"</f>
        <v>CHRNA3</v>
      </c>
      <c r="I3250" s="3" t="str">
        <f t="shared" si="136"/>
        <v>protein_coding</v>
      </c>
    </row>
    <row r="3251" spans="1:9" x14ac:dyDescent="0.2">
      <c r="A3251" s="3" t="str">
        <f>"ENSG00000136378.15"</f>
        <v>ENSG00000136378.15</v>
      </c>
      <c r="B3251" s="3">
        <v>1762.55950643611</v>
      </c>
      <c r="C3251" s="3">
        <v>5.5976565110023397</v>
      </c>
      <c r="D3251" s="3">
        <v>0.29881041988180301</v>
      </c>
      <c r="E3251" s="3">
        <v>18.733136927475702</v>
      </c>
      <c r="F3251" s="4">
        <v>2.65783743529306E-78</v>
      </c>
      <c r="G3251" s="4">
        <v>1.8571639079110299E-75</v>
      </c>
      <c r="H3251" s="3" t="str">
        <f>"ADAMTS7"</f>
        <v>ADAMTS7</v>
      </c>
      <c r="I3251" s="3" t="str">
        <f t="shared" si="136"/>
        <v>protein_coding</v>
      </c>
    </row>
    <row r="3252" spans="1:9" x14ac:dyDescent="0.2">
      <c r="A3252" s="3" t="str">
        <f>"ENSG00000058335.15"</f>
        <v>ENSG00000058335.15</v>
      </c>
      <c r="B3252" s="3">
        <v>317.51479430998103</v>
      </c>
      <c r="C3252" s="3">
        <v>1.53133731270344</v>
      </c>
      <c r="D3252" s="3">
        <v>0.34326581526439198</v>
      </c>
      <c r="E3252" s="3">
        <v>4.4610830575248803</v>
      </c>
      <c r="F3252" s="4">
        <v>8.1546475161226299E-6</v>
      </c>
      <c r="G3252" s="4">
        <v>8.5542184432053697E-5</v>
      </c>
      <c r="H3252" s="3" t="str">
        <f>"RASGRF1"</f>
        <v>RASGRF1</v>
      </c>
      <c r="I3252" s="3" t="str">
        <f t="shared" si="136"/>
        <v>protein_coding</v>
      </c>
    </row>
    <row r="3253" spans="1:9" x14ac:dyDescent="0.2">
      <c r="A3253" s="3" t="str">
        <f>"ENSG00000259417.3"</f>
        <v>ENSG00000259417.3</v>
      </c>
      <c r="B3253" s="3">
        <v>78.468668937870802</v>
      </c>
      <c r="C3253" s="3">
        <v>-3.3652900743886902</v>
      </c>
      <c r="D3253" s="3">
        <v>0.50933617860061298</v>
      </c>
      <c r="E3253" s="3">
        <v>-6.6072080008821104</v>
      </c>
      <c r="F3253" s="4">
        <v>3.9163561549315101E-11</v>
      </c>
      <c r="G3253" s="4">
        <v>9.42736259112938E-10</v>
      </c>
      <c r="H3253" s="3" t="str">
        <f>"CTXND1"</f>
        <v>CTXND1</v>
      </c>
      <c r="I3253" s="3" t="str">
        <f t="shared" si="136"/>
        <v>protein_coding</v>
      </c>
    </row>
    <row r="3254" spans="1:9" x14ac:dyDescent="0.2">
      <c r="A3254" s="3" t="str">
        <f>"ENSG00000172379.21"</f>
        <v>ENSG00000172379.21</v>
      </c>
      <c r="B3254" s="3">
        <v>162.267152909522</v>
      </c>
      <c r="C3254" s="3">
        <v>1.0863457272632999</v>
      </c>
      <c r="D3254" s="3">
        <v>0.36020400596683599</v>
      </c>
      <c r="E3254" s="3">
        <v>3.0159179500166902</v>
      </c>
      <c r="F3254" s="3">
        <v>2.5620257784113002E-3</v>
      </c>
      <c r="G3254" s="3">
        <v>1.3474337958590101E-2</v>
      </c>
      <c r="H3254" s="3" t="str">
        <f>"ARNT2"</f>
        <v>ARNT2</v>
      </c>
      <c r="I3254" s="3" t="str">
        <f t="shared" si="136"/>
        <v>protein_coding</v>
      </c>
    </row>
    <row r="3255" spans="1:9" x14ac:dyDescent="0.2">
      <c r="A3255" s="3" t="str">
        <f>"ENSG00000172345.14"</f>
        <v>ENSG00000172345.14</v>
      </c>
      <c r="B3255" s="3">
        <v>141.720498668262</v>
      </c>
      <c r="C3255" s="3">
        <v>2.6240131538529199</v>
      </c>
      <c r="D3255" s="3">
        <v>0.38005359929643501</v>
      </c>
      <c r="E3255" s="3">
        <v>6.9043239130232097</v>
      </c>
      <c r="F3255" s="4">
        <v>5.0443083601113098E-12</v>
      </c>
      <c r="G3255" s="4">
        <v>1.3498891148787199E-10</v>
      </c>
      <c r="H3255" s="3" t="str">
        <f>"STARD5"</f>
        <v>STARD5</v>
      </c>
      <c r="I3255" s="3" t="str">
        <f t="shared" si="136"/>
        <v>protein_coding</v>
      </c>
    </row>
    <row r="3256" spans="1:9" x14ac:dyDescent="0.2">
      <c r="A3256" s="3" t="str">
        <f>"ENSG00000166503.9"</f>
        <v>ENSG00000166503.9</v>
      </c>
      <c r="B3256" s="3">
        <v>336.51247596119299</v>
      </c>
      <c r="C3256" s="3">
        <v>-2.60358527850891</v>
      </c>
      <c r="D3256" s="3">
        <v>0.31891212633952198</v>
      </c>
      <c r="E3256" s="3">
        <v>-8.1639582301021303</v>
      </c>
      <c r="F3256" s="4">
        <v>3.2422105762514098E-16</v>
      </c>
      <c r="G3256" s="4">
        <v>1.32830304634535E-14</v>
      </c>
      <c r="H3256" s="3" t="str">
        <f>"HDGFL3"</f>
        <v>HDGFL3</v>
      </c>
      <c r="I3256" s="3" t="str">
        <f t="shared" si="136"/>
        <v>protein_coding</v>
      </c>
    </row>
    <row r="3257" spans="1:9" x14ac:dyDescent="0.2">
      <c r="A3257" s="3" t="str">
        <f>"ENSG00000184206.11"</f>
        <v>ENSG00000184206.11</v>
      </c>
      <c r="B3257" s="3">
        <v>16.681920162379299</v>
      </c>
      <c r="C3257" s="3">
        <v>2.662499648936</v>
      </c>
      <c r="D3257" s="3">
        <v>0.95199433994419402</v>
      </c>
      <c r="E3257" s="3">
        <v>2.7967599566737702</v>
      </c>
      <c r="F3257" s="3">
        <v>5.1617867551510604E-3</v>
      </c>
      <c r="G3257" s="3">
        <v>2.43565458311433E-2</v>
      </c>
      <c r="H3257" s="3" t="str">
        <f>"GOLGA6L4"</f>
        <v>GOLGA6L4</v>
      </c>
      <c r="I3257" s="3" t="str">
        <f t="shared" si="136"/>
        <v>protein_coding</v>
      </c>
    </row>
    <row r="3258" spans="1:9" x14ac:dyDescent="0.2">
      <c r="A3258" s="3" t="str">
        <f>"ENSG00000189136.9"</f>
        <v>ENSG00000189136.9</v>
      </c>
      <c r="B3258" s="3">
        <v>397.62674012580197</v>
      </c>
      <c r="C3258" s="3">
        <v>1.4747545324301199</v>
      </c>
      <c r="D3258" s="3">
        <v>0.30691575039085101</v>
      </c>
      <c r="E3258" s="3">
        <v>4.8050793436050503</v>
      </c>
      <c r="F3258" s="4">
        <v>1.54690147502412E-6</v>
      </c>
      <c r="G3258" s="4">
        <v>1.8565031776828099E-5</v>
      </c>
      <c r="H3258" s="3" t="str">
        <f>"UBE2Q2P1"</f>
        <v>UBE2Q2P1</v>
      </c>
      <c r="I3258" s="3" t="str">
        <f>"transcribed_unprocessed_pseudogene"</f>
        <v>transcribed_unprocessed_pseudogene</v>
      </c>
    </row>
    <row r="3259" spans="1:9" x14ac:dyDescent="0.2">
      <c r="A3259" s="3" t="str">
        <f>"ENSG00000181026.15"</f>
        <v>ENSG00000181026.15</v>
      </c>
      <c r="B3259" s="3">
        <v>5786.3614418664001</v>
      </c>
      <c r="C3259" s="3">
        <v>2.3008932995076901</v>
      </c>
      <c r="D3259" s="3">
        <v>0.26612001415082598</v>
      </c>
      <c r="E3259" s="3">
        <v>8.6460738657695799</v>
      </c>
      <c r="F3259" s="4">
        <v>5.3301618641200499E-18</v>
      </c>
      <c r="G3259" s="4">
        <v>2.4968383927735598E-16</v>
      </c>
      <c r="H3259" s="3" t="str">
        <f>"AEN"</f>
        <v>AEN</v>
      </c>
      <c r="I3259" s="3" t="str">
        <f>"protein_coding"</f>
        <v>protein_coding</v>
      </c>
    </row>
    <row r="3260" spans="1:9" x14ac:dyDescent="0.2">
      <c r="A3260" s="3" t="str">
        <f>"ENSG00000172183.15"</f>
        <v>ENSG00000172183.15</v>
      </c>
      <c r="B3260" s="3">
        <v>444.04800753949303</v>
      </c>
      <c r="C3260" s="3">
        <v>-1.8189054022543301</v>
      </c>
      <c r="D3260" s="3">
        <v>0.31864875942500798</v>
      </c>
      <c r="E3260" s="3">
        <v>-5.70818290815407</v>
      </c>
      <c r="F3260" s="4">
        <v>1.1418867232530501E-8</v>
      </c>
      <c r="G3260" s="4">
        <v>1.9988977399742801E-7</v>
      </c>
      <c r="H3260" s="3" t="str">
        <f>"ISG20"</f>
        <v>ISG20</v>
      </c>
      <c r="I3260" s="3" t="str">
        <f>"protein_coding"</f>
        <v>protein_coding</v>
      </c>
    </row>
    <row r="3261" spans="1:9" x14ac:dyDescent="0.2">
      <c r="A3261" s="3" t="str">
        <f>"ENSG00000140534.13"</f>
        <v>ENSG00000140534.13</v>
      </c>
      <c r="B3261" s="3">
        <v>1956.9282425628301</v>
      </c>
      <c r="C3261" s="3">
        <v>-1.1491293251671999</v>
      </c>
      <c r="D3261" s="3">
        <v>0.25334824427346098</v>
      </c>
      <c r="E3261" s="3">
        <v>-4.5357698391106496</v>
      </c>
      <c r="F3261" s="4">
        <v>5.7393744544983496E-6</v>
      </c>
      <c r="G3261" s="4">
        <v>6.2256991980554497E-5</v>
      </c>
      <c r="H3261" s="3" t="str">
        <f>"TICRR"</f>
        <v>TICRR</v>
      </c>
      <c r="I3261" s="3" t="str">
        <f>"protein_coding"</f>
        <v>protein_coding</v>
      </c>
    </row>
    <row r="3262" spans="1:9" x14ac:dyDescent="0.2">
      <c r="A3262" s="3" t="str">
        <f>"ENSG00000166825.14"</f>
        <v>ENSG00000166825.14</v>
      </c>
      <c r="B3262" s="3">
        <v>5638.5225801939096</v>
      </c>
      <c r="C3262" s="3">
        <v>-1.29274083153473</v>
      </c>
      <c r="D3262" s="3">
        <v>0.29467607316752498</v>
      </c>
      <c r="E3262" s="3">
        <v>-4.3869894750490896</v>
      </c>
      <c r="F3262" s="4">
        <v>1.14930348821614E-5</v>
      </c>
      <c r="G3262" s="3">
        <v>1.15735505388619E-4</v>
      </c>
      <c r="H3262" s="3" t="str">
        <f>"ANPEP"</f>
        <v>ANPEP</v>
      </c>
      <c r="I3262" s="3" t="str">
        <f>"protein_coding"</f>
        <v>protein_coding</v>
      </c>
    </row>
    <row r="3263" spans="1:9" x14ac:dyDescent="0.2">
      <c r="A3263" s="3" t="str">
        <f>"ENSG00000259291.2"</f>
        <v>ENSG00000259291.2</v>
      </c>
      <c r="B3263" s="3">
        <v>178.94626575619</v>
      </c>
      <c r="C3263" s="3">
        <v>3.2802375669981898</v>
      </c>
      <c r="D3263" s="3">
        <v>0.39875036953437798</v>
      </c>
      <c r="E3263" s="3">
        <v>8.2262934848901494</v>
      </c>
      <c r="F3263" s="4">
        <v>1.9309555537032901E-16</v>
      </c>
      <c r="G3263" s="4">
        <v>8.1362122200010406E-15</v>
      </c>
      <c r="H3263" s="3" t="str">
        <f>"ZNF710-AS1"</f>
        <v>ZNF710-AS1</v>
      </c>
      <c r="I3263" s="3" t="str">
        <f>"antisense"</f>
        <v>antisense</v>
      </c>
    </row>
    <row r="3264" spans="1:9" x14ac:dyDescent="0.2">
      <c r="A3264" s="3" t="str">
        <f>"ENSG00000182054.9"</f>
        <v>ENSG00000182054.9</v>
      </c>
      <c r="B3264" s="3">
        <v>5672.0916249434804</v>
      </c>
      <c r="C3264" s="3">
        <v>1.3727968126919301</v>
      </c>
      <c r="D3264" s="3">
        <v>0.30302390730270401</v>
      </c>
      <c r="E3264" s="3">
        <v>4.53032509847674</v>
      </c>
      <c r="F3264" s="4">
        <v>5.8892992486576198E-6</v>
      </c>
      <c r="G3264" s="4">
        <v>6.3691024333612406E-5</v>
      </c>
      <c r="H3264" s="3" t="str">
        <f>"IDH2"</f>
        <v>IDH2</v>
      </c>
      <c r="I3264" s="3" t="str">
        <f>"protein_coding"</f>
        <v>protein_coding</v>
      </c>
    </row>
    <row r="3265" spans="1:9" x14ac:dyDescent="0.2">
      <c r="A3265" s="3" t="str">
        <f>"ENSG00000197299.12"</f>
        <v>ENSG00000197299.12</v>
      </c>
      <c r="B3265" s="3">
        <v>892.36431113584399</v>
      </c>
      <c r="C3265" s="3">
        <v>-1.1202988895688699</v>
      </c>
      <c r="D3265" s="3">
        <v>0.267428198701544</v>
      </c>
      <c r="E3265" s="3">
        <v>-4.1891576692671304</v>
      </c>
      <c r="F3265" s="4">
        <v>2.7999181716332402E-5</v>
      </c>
      <c r="G3265" s="3">
        <v>2.59704799437442E-4</v>
      </c>
      <c r="H3265" s="3" t="str">
        <f>"BLM"</f>
        <v>BLM</v>
      </c>
      <c r="I3265" s="3" t="str">
        <f>"protein_coding"</f>
        <v>protein_coding</v>
      </c>
    </row>
    <row r="3266" spans="1:9" x14ac:dyDescent="0.2">
      <c r="A3266" s="3" t="str">
        <f>"ENSG00000184508.11"</f>
        <v>ENSG00000184508.11</v>
      </c>
      <c r="B3266" s="3">
        <v>444.70927760897001</v>
      </c>
      <c r="C3266" s="3">
        <v>1.0634829222289599</v>
      </c>
      <c r="D3266" s="3">
        <v>0.31229764310434499</v>
      </c>
      <c r="E3266" s="3">
        <v>3.4053504588045498</v>
      </c>
      <c r="F3266" s="3">
        <v>6.6079192946332497E-4</v>
      </c>
      <c r="G3266" s="3">
        <v>4.2741632773591999E-3</v>
      </c>
      <c r="H3266" s="3" t="str">
        <f>"HDDC3"</f>
        <v>HDDC3</v>
      </c>
      <c r="I3266" s="3" t="str">
        <f>"protein_coding"</f>
        <v>protein_coding</v>
      </c>
    </row>
    <row r="3267" spans="1:9" x14ac:dyDescent="0.2">
      <c r="A3267" s="3" t="str">
        <f>"ENSG00000182175.14"</f>
        <v>ENSG00000182175.14</v>
      </c>
      <c r="B3267" s="3">
        <v>276.34013978279199</v>
      </c>
      <c r="C3267" s="3">
        <v>8.6047984074974107</v>
      </c>
      <c r="D3267" s="3">
        <v>0.89673029380619595</v>
      </c>
      <c r="E3267" s="3">
        <v>9.5957485399251006</v>
      </c>
      <c r="F3267" s="4">
        <v>8.3310159066735996E-22</v>
      </c>
      <c r="G3267" s="4">
        <v>5.0255804588099399E-20</v>
      </c>
      <c r="H3267" s="3" t="str">
        <f>"RGMA"</f>
        <v>RGMA</v>
      </c>
      <c r="I3267" s="3" t="str">
        <f>"protein_coding"</f>
        <v>protein_coding</v>
      </c>
    </row>
    <row r="3268" spans="1:9" x14ac:dyDescent="0.2">
      <c r="A3268" s="3" t="str">
        <f>"ENSG00000258611.2"</f>
        <v>ENSG00000258611.2</v>
      </c>
      <c r="B3268" s="3">
        <v>15.0749077008974</v>
      </c>
      <c r="C3268" s="3">
        <v>7.4344133377012902</v>
      </c>
      <c r="D3268" s="3">
        <v>1.66852694626396</v>
      </c>
      <c r="E3268" s="3">
        <v>4.45567472215411</v>
      </c>
      <c r="F3268" s="4">
        <v>8.3629752325859699E-6</v>
      </c>
      <c r="G3268" s="4">
        <v>8.7435844545178697E-5</v>
      </c>
      <c r="H3268" s="3" t="str">
        <f>"AC087641.1"</f>
        <v>AC087641.1</v>
      </c>
      <c r="I3268" s="3" t="str">
        <f>"transcribed_processed_pseudogene"</f>
        <v>transcribed_processed_pseudogene</v>
      </c>
    </row>
    <row r="3269" spans="1:9" x14ac:dyDescent="0.2">
      <c r="A3269" s="3" t="str">
        <f>"ENSG00000140563.15"</f>
        <v>ENSG00000140563.15</v>
      </c>
      <c r="B3269" s="3">
        <v>35.855809637891099</v>
      </c>
      <c r="C3269" s="3">
        <v>2.6865945637138098</v>
      </c>
      <c r="D3269" s="3">
        <v>0.65244474503291605</v>
      </c>
      <c r="E3269" s="3">
        <v>4.1177350023384296</v>
      </c>
      <c r="F3269" s="4">
        <v>3.8261429118529798E-5</v>
      </c>
      <c r="G3269" s="3">
        <v>3.4447610933307702E-4</v>
      </c>
      <c r="H3269" s="3" t="str">
        <f>"MCTP2"</f>
        <v>MCTP2</v>
      </c>
      <c r="I3269" s="3" t="str">
        <f>"protein_coding"</f>
        <v>protein_coding</v>
      </c>
    </row>
    <row r="3270" spans="1:9" x14ac:dyDescent="0.2">
      <c r="A3270" s="3" t="str">
        <f>"ENSG00000261054.1"</f>
        <v>ENSG00000261054.1</v>
      </c>
      <c r="B3270" s="3">
        <v>60.413043285317201</v>
      </c>
      <c r="C3270" s="3">
        <v>2.8590601151995698</v>
      </c>
      <c r="D3270" s="3">
        <v>0.523020927072115</v>
      </c>
      <c r="E3270" s="3">
        <v>5.4664354086263103</v>
      </c>
      <c r="F3270" s="4">
        <v>4.5917563571380697E-8</v>
      </c>
      <c r="G3270" s="4">
        <v>7.2553788419477499E-7</v>
      </c>
      <c r="H3270" s="3" t="str">
        <f>"AC036108.2"</f>
        <v>AC036108.2</v>
      </c>
      <c r="I3270" s="3" t="str">
        <f>"antisense"</f>
        <v>antisense</v>
      </c>
    </row>
    <row r="3271" spans="1:9" x14ac:dyDescent="0.2">
      <c r="A3271" s="3" t="str">
        <f>"ENSG00000168904.15"</f>
        <v>ENSG00000168904.15</v>
      </c>
      <c r="B3271" s="3">
        <v>678.06056400086902</v>
      </c>
      <c r="C3271" s="3">
        <v>1.7541970399762401</v>
      </c>
      <c r="D3271" s="3">
        <v>0.289368986175291</v>
      </c>
      <c r="E3271" s="3">
        <v>6.0621459927761601</v>
      </c>
      <c r="F3271" s="4">
        <v>1.3431720729280301E-9</v>
      </c>
      <c r="G3271" s="4">
        <v>2.68367700512348E-8</v>
      </c>
      <c r="H3271" s="3" t="str">
        <f>"LRRC28"</f>
        <v>LRRC28</v>
      </c>
      <c r="I3271" s="3" t="str">
        <f>"protein_coding"</f>
        <v>protein_coding</v>
      </c>
    </row>
    <row r="3272" spans="1:9" x14ac:dyDescent="0.2">
      <c r="A3272" s="3" t="str">
        <f>"ENSG00000259706.1"</f>
        <v>ENSG00000259706.1</v>
      </c>
      <c r="B3272" s="3">
        <v>91.206694412313098</v>
      </c>
      <c r="C3272" s="3">
        <v>1.28294524892638</v>
      </c>
      <c r="D3272" s="3">
        <v>0.41385866415749401</v>
      </c>
      <c r="E3272" s="3">
        <v>3.0999598656176901</v>
      </c>
      <c r="F3272" s="3">
        <v>1.93546866627966E-3</v>
      </c>
      <c r="G3272" s="3">
        <v>1.0646457810165801E-2</v>
      </c>
      <c r="H3272" s="3" t="str">
        <f>"HSP90B2P"</f>
        <v>HSP90B2P</v>
      </c>
      <c r="I3272" s="3" t="str">
        <f>"processed_pseudogene"</f>
        <v>processed_pseudogene</v>
      </c>
    </row>
    <row r="3273" spans="1:9" x14ac:dyDescent="0.2">
      <c r="A3273" s="3" t="str">
        <f>"ENSG00000259257.1"</f>
        <v>ENSG00000259257.1</v>
      </c>
      <c r="B3273" s="3">
        <v>26.6355057902677</v>
      </c>
      <c r="C3273" s="3">
        <v>2.9862857707502899</v>
      </c>
      <c r="D3273" s="3">
        <v>0.80263665645998294</v>
      </c>
      <c r="E3273" s="3">
        <v>3.72059480054308</v>
      </c>
      <c r="F3273" s="3">
        <v>1.98754114994034E-4</v>
      </c>
      <c r="G3273" s="3">
        <v>1.4849004344148901E-3</v>
      </c>
      <c r="H3273" s="3" t="str">
        <f>"AC037479.1"</f>
        <v>AC037479.1</v>
      </c>
      <c r="I3273" s="3" t="str">
        <f>"processed_pseudogene"</f>
        <v>processed_pseudogene</v>
      </c>
    </row>
    <row r="3274" spans="1:9" x14ac:dyDescent="0.2">
      <c r="A3274" s="3" t="str">
        <f>"ENSG00000184254.17"</f>
        <v>ENSG00000184254.17</v>
      </c>
      <c r="B3274" s="3">
        <v>147.91990267998099</v>
      </c>
      <c r="C3274" s="3">
        <v>5.9466220853004801</v>
      </c>
      <c r="D3274" s="3">
        <v>0.57613020523911995</v>
      </c>
      <c r="E3274" s="3">
        <v>10.3216634559758</v>
      </c>
      <c r="F3274" s="4">
        <v>5.6240219037803998E-25</v>
      </c>
      <c r="G3274" s="4">
        <v>4.3263691434127199E-23</v>
      </c>
      <c r="H3274" s="3" t="str">
        <f>"ALDH1A3"</f>
        <v>ALDH1A3</v>
      </c>
      <c r="I3274" s="3" t="str">
        <f>"protein_coding"</f>
        <v>protein_coding</v>
      </c>
    </row>
    <row r="3275" spans="1:9" x14ac:dyDescent="0.2">
      <c r="A3275" s="3" t="str">
        <f>"ENSG00000131876.17"</f>
        <v>ENSG00000131876.17</v>
      </c>
      <c r="B3275" s="3">
        <v>1870.9521213527901</v>
      </c>
      <c r="C3275" s="3">
        <v>-1.32205150698031</v>
      </c>
      <c r="D3275" s="3">
        <v>0.246492649103142</v>
      </c>
      <c r="E3275" s="3">
        <v>-5.3634520615140699</v>
      </c>
      <c r="F3275" s="4">
        <v>8.1646327620428602E-8</v>
      </c>
      <c r="G3275" s="4">
        <v>1.2387294157369599E-6</v>
      </c>
      <c r="H3275" s="3" t="str">
        <f>"SNRPA1"</f>
        <v>SNRPA1</v>
      </c>
      <c r="I3275" s="3" t="str">
        <f>"protein_coding"</f>
        <v>protein_coding</v>
      </c>
    </row>
    <row r="3276" spans="1:9" x14ac:dyDescent="0.2">
      <c r="A3276" s="3" t="str">
        <f>"ENSG00000274139.1"</f>
        <v>ENSG00000274139.1</v>
      </c>
      <c r="B3276" s="3">
        <v>20.846388608192399</v>
      </c>
      <c r="C3276" s="3">
        <v>2.5718817462783701</v>
      </c>
      <c r="D3276" s="3">
        <v>0.82268325723237701</v>
      </c>
      <c r="E3276" s="3">
        <v>3.1262113622325902</v>
      </c>
      <c r="F3276" s="3">
        <v>1.7707423429768601E-3</v>
      </c>
      <c r="G3276" s="3">
        <v>9.8852693381231305E-3</v>
      </c>
      <c r="H3276" s="3" t="str">
        <f>"AC090164.2"</f>
        <v>AC090164.2</v>
      </c>
      <c r="I3276" s="3" t="str">
        <f>"sense_intronic"</f>
        <v>sense_intronic</v>
      </c>
    </row>
    <row r="3277" spans="1:9" x14ac:dyDescent="0.2">
      <c r="A3277" s="3" t="str">
        <f>"ENSG00000161980.5"</f>
        <v>ENSG00000161980.5</v>
      </c>
      <c r="B3277" s="3">
        <v>434.79226834397599</v>
      </c>
      <c r="C3277" s="3">
        <v>-1.28685461530968</v>
      </c>
      <c r="D3277" s="3">
        <v>0.29414961886257401</v>
      </c>
      <c r="E3277" s="3">
        <v>-4.3748301299377097</v>
      </c>
      <c r="F3277" s="4">
        <v>1.21527076756308E-5</v>
      </c>
      <c r="G3277" s="3">
        <v>1.2178890330390199E-4</v>
      </c>
      <c r="H3277" s="3" t="str">
        <f>"POLR3K"</f>
        <v>POLR3K</v>
      </c>
      <c r="I3277" s="3" t="str">
        <f t="shared" ref="I3277:I3289" si="137">"protein_coding"</f>
        <v>protein_coding</v>
      </c>
    </row>
    <row r="3278" spans="1:9" x14ac:dyDescent="0.2">
      <c r="A3278" s="3" t="str">
        <f>"ENSG00000161981.10"</f>
        <v>ENSG00000161981.10</v>
      </c>
      <c r="B3278" s="3">
        <v>823.94838966721898</v>
      </c>
      <c r="C3278" s="3">
        <v>-1.54770713327571</v>
      </c>
      <c r="D3278" s="3">
        <v>0.28687501745428501</v>
      </c>
      <c r="E3278" s="3">
        <v>-5.3950572169371496</v>
      </c>
      <c r="F3278" s="4">
        <v>6.8501719946287196E-8</v>
      </c>
      <c r="G3278" s="4">
        <v>1.05271861232247E-6</v>
      </c>
      <c r="H3278" s="3" t="str">
        <f>"SNRNP25"</f>
        <v>SNRNP25</v>
      </c>
      <c r="I3278" s="3" t="str">
        <f t="shared" si="137"/>
        <v>protein_coding</v>
      </c>
    </row>
    <row r="3279" spans="1:9" x14ac:dyDescent="0.2">
      <c r="A3279" s="3" t="str">
        <f>"ENSG00000007384.15"</f>
        <v>ENSG00000007384.15</v>
      </c>
      <c r="B3279" s="3">
        <v>970.26128297989203</v>
      </c>
      <c r="C3279" s="3">
        <v>1.25972206904353</v>
      </c>
      <c r="D3279" s="3">
        <v>0.31497937924027503</v>
      </c>
      <c r="E3279" s="3">
        <v>3.9993794898001198</v>
      </c>
      <c r="F3279" s="4">
        <v>6.3508775982641102E-5</v>
      </c>
      <c r="G3279" s="3">
        <v>5.4338886389229202E-4</v>
      </c>
      <c r="H3279" s="3" t="str">
        <f>"RHBDF1"</f>
        <v>RHBDF1</v>
      </c>
      <c r="I3279" s="3" t="str">
        <f t="shared" si="137"/>
        <v>protein_coding</v>
      </c>
    </row>
    <row r="3280" spans="1:9" x14ac:dyDescent="0.2">
      <c r="A3280" s="3" t="str">
        <f>"ENSG00000103148.15"</f>
        <v>ENSG00000103148.15</v>
      </c>
      <c r="B3280" s="3">
        <v>900.37875185405596</v>
      </c>
      <c r="C3280" s="3">
        <v>1.33251146558182</v>
      </c>
      <c r="D3280" s="3">
        <v>0.29831673895266297</v>
      </c>
      <c r="E3280" s="3">
        <v>4.4667673368247103</v>
      </c>
      <c r="F3280" s="4">
        <v>7.9410411416074606E-6</v>
      </c>
      <c r="G3280" s="4">
        <v>8.3545332462206501E-5</v>
      </c>
      <c r="H3280" s="3" t="str">
        <f>"NPRL3"</f>
        <v>NPRL3</v>
      </c>
      <c r="I3280" s="3" t="str">
        <f t="shared" si="137"/>
        <v>protein_coding</v>
      </c>
    </row>
    <row r="3281" spans="1:9" x14ac:dyDescent="0.2">
      <c r="A3281" s="3" t="str">
        <f>"ENSG00000086504.16"</f>
        <v>ENSG00000086504.16</v>
      </c>
      <c r="B3281" s="3">
        <v>1286.33791490662</v>
      </c>
      <c r="C3281" s="3">
        <v>1.2804445228111601</v>
      </c>
      <c r="D3281" s="3">
        <v>0.29953487794134398</v>
      </c>
      <c r="E3281" s="3">
        <v>4.2747760514950697</v>
      </c>
      <c r="F3281" s="4">
        <v>1.9132951298248301E-5</v>
      </c>
      <c r="G3281" s="3">
        <v>1.83908823044492E-4</v>
      </c>
      <c r="H3281" s="3" t="str">
        <f>"MRPL28"</f>
        <v>MRPL28</v>
      </c>
      <c r="I3281" s="3" t="str">
        <f t="shared" si="137"/>
        <v>protein_coding</v>
      </c>
    </row>
    <row r="3282" spans="1:9" x14ac:dyDescent="0.2">
      <c r="A3282" s="3" t="str">
        <f>"ENSG00000129925.11"</f>
        <v>ENSG00000129925.11</v>
      </c>
      <c r="B3282" s="3">
        <v>2879.5236423023498</v>
      </c>
      <c r="C3282" s="3">
        <v>1.05458463159916</v>
      </c>
      <c r="D3282" s="3">
        <v>0.29438642674927101</v>
      </c>
      <c r="E3282" s="3">
        <v>3.5823140463515699</v>
      </c>
      <c r="F3282" s="3">
        <v>3.40564029346006E-4</v>
      </c>
      <c r="G3282" s="3">
        <v>2.39700284224924E-3</v>
      </c>
      <c r="H3282" s="3" t="str">
        <f>"TMEM8A"</f>
        <v>TMEM8A</v>
      </c>
      <c r="I3282" s="3" t="str">
        <f t="shared" si="137"/>
        <v>protein_coding</v>
      </c>
    </row>
    <row r="3283" spans="1:9" x14ac:dyDescent="0.2">
      <c r="A3283" s="3" t="str">
        <f>"ENSG00000090565.16"</f>
        <v>ENSG00000090565.16</v>
      </c>
      <c r="B3283" s="3">
        <v>1375.0934126072</v>
      </c>
      <c r="C3283" s="3">
        <v>2.2013812405849298</v>
      </c>
      <c r="D3283" s="3">
        <v>0.28628399604683302</v>
      </c>
      <c r="E3283" s="3">
        <v>7.6895015822847599</v>
      </c>
      <c r="F3283" s="4">
        <v>1.4770930882915099E-14</v>
      </c>
      <c r="G3283" s="4">
        <v>5.1179444402166605E-13</v>
      </c>
      <c r="H3283" s="3" t="str">
        <f>"RAB11FIP3"</f>
        <v>RAB11FIP3</v>
      </c>
      <c r="I3283" s="3" t="str">
        <f t="shared" si="137"/>
        <v>protein_coding</v>
      </c>
    </row>
    <row r="3284" spans="1:9" x14ac:dyDescent="0.2">
      <c r="A3284" s="3" t="str">
        <f>"ENSG00000103326.12"</f>
        <v>ENSG00000103326.12</v>
      </c>
      <c r="B3284" s="3">
        <v>871.29865453468801</v>
      </c>
      <c r="C3284" s="3">
        <v>2.1084982072094398</v>
      </c>
      <c r="D3284" s="3">
        <v>0.36200356845703702</v>
      </c>
      <c r="E3284" s="3">
        <v>5.8245232669845404</v>
      </c>
      <c r="F3284" s="4">
        <v>5.7275858640766499E-9</v>
      </c>
      <c r="G3284" s="4">
        <v>1.04936214428877E-7</v>
      </c>
      <c r="H3284" s="3" t="str">
        <f>"CAPN15"</f>
        <v>CAPN15</v>
      </c>
      <c r="I3284" s="3" t="str">
        <f t="shared" si="137"/>
        <v>protein_coding</v>
      </c>
    </row>
    <row r="3285" spans="1:9" x14ac:dyDescent="0.2">
      <c r="A3285" s="3" t="str">
        <f>"ENSG00000007541.16"</f>
        <v>ENSG00000007541.16</v>
      </c>
      <c r="B3285" s="3">
        <v>232.580300956005</v>
      </c>
      <c r="C3285" s="3">
        <v>2.9844569136314001</v>
      </c>
      <c r="D3285" s="3">
        <v>0.38760014033224799</v>
      </c>
      <c r="E3285" s="3">
        <v>7.6998344507129</v>
      </c>
      <c r="F3285" s="4">
        <v>1.3624262501172201E-14</v>
      </c>
      <c r="G3285" s="4">
        <v>4.7402257706360601E-13</v>
      </c>
      <c r="H3285" s="3" t="str">
        <f>"PIGQ"</f>
        <v>PIGQ</v>
      </c>
      <c r="I3285" s="3" t="str">
        <f t="shared" si="137"/>
        <v>protein_coding</v>
      </c>
    </row>
    <row r="3286" spans="1:9" x14ac:dyDescent="0.2">
      <c r="A3286" s="3" t="str">
        <f>"ENSG00000197562.10"</f>
        <v>ENSG00000197562.10</v>
      </c>
      <c r="B3286" s="3">
        <v>379.92303054680701</v>
      </c>
      <c r="C3286" s="3">
        <v>2.28591041528205</v>
      </c>
      <c r="D3286" s="3">
        <v>0.35222294237653101</v>
      </c>
      <c r="E3286" s="3">
        <v>6.48995320934654</v>
      </c>
      <c r="F3286" s="4">
        <v>8.5863036717957302E-11</v>
      </c>
      <c r="G3286" s="4">
        <v>1.9906771323873001E-9</v>
      </c>
      <c r="H3286" s="3" t="str">
        <f>"RAB40C"</f>
        <v>RAB40C</v>
      </c>
      <c r="I3286" s="3" t="str">
        <f t="shared" si="137"/>
        <v>protein_coding</v>
      </c>
    </row>
    <row r="3287" spans="1:9" x14ac:dyDescent="0.2">
      <c r="A3287" s="3" t="str">
        <f>"ENSG00000127578.7"</f>
        <v>ENSG00000127578.7</v>
      </c>
      <c r="B3287" s="3">
        <v>78.807330215387594</v>
      </c>
      <c r="C3287" s="3">
        <v>1.8561195521943501</v>
      </c>
      <c r="D3287" s="3">
        <v>0.45205395040861801</v>
      </c>
      <c r="E3287" s="3">
        <v>4.1059691006274397</v>
      </c>
      <c r="F3287" s="4">
        <v>4.0262330353455801E-5</v>
      </c>
      <c r="G3287" s="3">
        <v>3.6029844185029501E-4</v>
      </c>
      <c r="H3287" s="3" t="str">
        <f>"WFIKKN1"</f>
        <v>WFIKKN1</v>
      </c>
      <c r="I3287" s="3" t="str">
        <f t="shared" si="137"/>
        <v>protein_coding</v>
      </c>
    </row>
    <row r="3288" spans="1:9" x14ac:dyDescent="0.2">
      <c r="A3288" s="3" t="str">
        <f>"ENSG00000130731.16"</f>
        <v>ENSG00000130731.16</v>
      </c>
      <c r="B3288" s="3">
        <v>464.207866418219</v>
      </c>
      <c r="C3288" s="3">
        <v>1.80101598520419</v>
      </c>
      <c r="D3288" s="3">
        <v>0.344067156052004</v>
      </c>
      <c r="E3288" s="3">
        <v>5.2344897021556402</v>
      </c>
      <c r="F3288" s="4">
        <v>1.6544129457479199E-7</v>
      </c>
      <c r="G3288" s="4">
        <v>2.3958985406038498E-6</v>
      </c>
      <c r="H3288" s="3" t="str">
        <f>"METTL26"</f>
        <v>METTL26</v>
      </c>
      <c r="I3288" s="3" t="str">
        <f t="shared" si="137"/>
        <v>protein_coding</v>
      </c>
    </row>
    <row r="3289" spans="1:9" x14ac:dyDescent="0.2">
      <c r="A3289" s="3" t="str">
        <f>"ENSG00000172366.20"</f>
        <v>ENSG00000172366.20</v>
      </c>
      <c r="B3289" s="3">
        <v>391.965982531017</v>
      </c>
      <c r="C3289" s="3">
        <v>2.0626970649233098</v>
      </c>
      <c r="D3289" s="3">
        <v>0.31822227100036399</v>
      </c>
      <c r="E3289" s="3">
        <v>6.4819381070941802</v>
      </c>
      <c r="F3289" s="4">
        <v>9.0551788542812395E-11</v>
      </c>
      <c r="G3289" s="4">
        <v>2.0916714791500902E-9</v>
      </c>
      <c r="H3289" s="3" t="str">
        <f>"MCRIP2"</f>
        <v>MCRIP2</v>
      </c>
      <c r="I3289" s="3" t="str">
        <f t="shared" si="137"/>
        <v>protein_coding</v>
      </c>
    </row>
    <row r="3290" spans="1:9" x14ac:dyDescent="0.2">
      <c r="A3290" s="3" t="str">
        <f>"ENSG00000228201.1"</f>
        <v>ENSG00000228201.1</v>
      </c>
      <c r="B3290" s="3">
        <v>19.538026558457201</v>
      </c>
      <c r="C3290" s="3">
        <v>3.2678077082116999</v>
      </c>
      <c r="D3290" s="3">
        <v>0.91873474697371504</v>
      </c>
      <c r="E3290" s="3">
        <v>3.5568565562321002</v>
      </c>
      <c r="F3290" s="3">
        <v>3.7531895697489302E-4</v>
      </c>
      <c r="G3290" s="3">
        <v>2.6058924545137802E-3</v>
      </c>
      <c r="H3290" s="3" t="str">
        <f>"AL022341.1"</f>
        <v>AL022341.1</v>
      </c>
      <c r="I3290" s="3" t="str">
        <f>"antisense"</f>
        <v>antisense</v>
      </c>
    </row>
    <row r="3291" spans="1:9" x14ac:dyDescent="0.2">
      <c r="A3291" s="3" t="str">
        <f>"ENSG00000161999.12"</f>
        <v>ENSG00000161999.12</v>
      </c>
      <c r="B3291" s="3">
        <v>181.77323512560599</v>
      </c>
      <c r="C3291" s="3">
        <v>1.2936086601308701</v>
      </c>
      <c r="D3291" s="3">
        <v>0.364432988816486</v>
      </c>
      <c r="E3291" s="3">
        <v>3.5496475341925899</v>
      </c>
      <c r="F3291" s="3">
        <v>3.8574724748816899E-4</v>
      </c>
      <c r="G3291" s="3">
        <v>2.6679879050219698E-3</v>
      </c>
      <c r="H3291" s="3" t="str">
        <f>"JMJD8"</f>
        <v>JMJD8</v>
      </c>
      <c r="I3291" s="3" t="str">
        <f>"protein_coding"</f>
        <v>protein_coding</v>
      </c>
    </row>
    <row r="3292" spans="1:9" x14ac:dyDescent="0.2">
      <c r="A3292" s="3" t="str">
        <f>"ENSG00000103254.10"</f>
        <v>ENSG00000103254.10</v>
      </c>
      <c r="B3292" s="3">
        <v>45.586312942100797</v>
      </c>
      <c r="C3292" s="3">
        <v>2.3006608364739498</v>
      </c>
      <c r="D3292" s="3">
        <v>0.66651232999219301</v>
      </c>
      <c r="E3292" s="3">
        <v>3.45179036147898</v>
      </c>
      <c r="F3292" s="3">
        <v>5.5688021628123895E-4</v>
      </c>
      <c r="G3292" s="3">
        <v>3.6747620336535299E-3</v>
      </c>
      <c r="H3292" s="3" t="str">
        <f>"FAM173A"</f>
        <v>FAM173A</v>
      </c>
      <c r="I3292" s="3" t="str">
        <f>"protein_coding"</f>
        <v>protein_coding</v>
      </c>
    </row>
    <row r="3293" spans="1:9" x14ac:dyDescent="0.2">
      <c r="A3293" s="3" t="str">
        <f>"ENSG00000103245.14"</f>
        <v>ENSG00000103245.14</v>
      </c>
      <c r="B3293" s="3">
        <v>367.52725876221803</v>
      </c>
      <c r="C3293" s="3">
        <v>1.38123118239156</v>
      </c>
      <c r="D3293" s="3">
        <v>0.32704356180296701</v>
      </c>
      <c r="E3293" s="3">
        <v>4.2233859452145603</v>
      </c>
      <c r="F3293" s="4">
        <v>2.4065918420894001E-5</v>
      </c>
      <c r="G3293" s="3">
        <v>2.2690336502158501E-4</v>
      </c>
      <c r="H3293" s="3" t="str">
        <f>"CIAO3"</f>
        <v>CIAO3</v>
      </c>
      <c r="I3293" s="3" t="str">
        <f>"protein_coding"</f>
        <v>protein_coding</v>
      </c>
    </row>
    <row r="3294" spans="1:9" x14ac:dyDescent="0.2">
      <c r="A3294" s="3" t="str">
        <f>"ENSG00000162006.9"</f>
        <v>ENSG00000162006.9</v>
      </c>
      <c r="B3294" s="3">
        <v>11.899874557650501</v>
      </c>
      <c r="C3294" s="3">
        <v>-4.4904668504003498</v>
      </c>
      <c r="D3294" s="3">
        <v>1.3835449429806399</v>
      </c>
      <c r="E3294" s="3">
        <v>-3.2456241289323802</v>
      </c>
      <c r="F3294" s="3">
        <v>1.1719346049291299E-3</v>
      </c>
      <c r="G3294" s="3">
        <v>6.9855172039927603E-3</v>
      </c>
      <c r="H3294" s="3" t="str">
        <f>"MSLNL"</f>
        <v>MSLNL</v>
      </c>
      <c r="I3294" s="3" t="str">
        <f>"protein_coding"</f>
        <v>protein_coding</v>
      </c>
    </row>
    <row r="3295" spans="1:9" x14ac:dyDescent="0.2">
      <c r="A3295" s="3" t="str">
        <f>"ENSG00000103227.18"</f>
        <v>ENSG00000103227.18</v>
      </c>
      <c r="B3295" s="3">
        <v>222.84770411936299</v>
      </c>
      <c r="C3295" s="3">
        <v>1.8251697155600299</v>
      </c>
      <c r="D3295" s="3">
        <v>0.32424172570788201</v>
      </c>
      <c r="E3295" s="3">
        <v>5.62904022169056</v>
      </c>
      <c r="F3295" s="4">
        <v>1.8121514097811499E-8</v>
      </c>
      <c r="G3295" s="4">
        <v>3.0758885771285298E-7</v>
      </c>
      <c r="H3295" s="3" t="str">
        <f>"LMF1"</f>
        <v>LMF1</v>
      </c>
      <c r="I3295" s="3" t="str">
        <f>"protein_coding"</f>
        <v>protein_coding</v>
      </c>
    </row>
    <row r="3296" spans="1:9" x14ac:dyDescent="0.2">
      <c r="A3296" s="3" t="str">
        <f>"ENSG00000260316.2"</f>
        <v>ENSG00000260316.2</v>
      </c>
      <c r="B3296" s="3">
        <v>14.446312610105601</v>
      </c>
      <c r="C3296" s="3">
        <v>2.7454689092356501</v>
      </c>
      <c r="D3296" s="3">
        <v>0.96168568263658005</v>
      </c>
      <c r="E3296" s="3">
        <v>2.85485055960135</v>
      </c>
      <c r="F3296" s="3">
        <v>4.3057083739593697E-3</v>
      </c>
      <c r="G3296" s="3">
        <v>2.0941626865225799E-2</v>
      </c>
      <c r="H3296" s="3" t="str">
        <f>"AL008727.1"</f>
        <v>AL008727.1</v>
      </c>
      <c r="I3296" s="3" t="str">
        <f>"sense_intronic"</f>
        <v>sense_intronic</v>
      </c>
    </row>
    <row r="3297" spans="1:9" x14ac:dyDescent="0.2">
      <c r="A3297" s="3" t="str">
        <f>"ENSG00000276931.1"</f>
        <v>ENSG00000276931.1</v>
      </c>
      <c r="B3297" s="3">
        <v>31.787426242417499</v>
      </c>
      <c r="C3297" s="3">
        <v>2.3299929225999398</v>
      </c>
      <c r="D3297" s="3">
        <v>0.66191281127505297</v>
      </c>
      <c r="E3297" s="3">
        <v>3.5200903848826202</v>
      </c>
      <c r="F3297" s="3">
        <v>4.31399761939126E-4</v>
      </c>
      <c r="G3297" s="3">
        <v>2.9440751523545001E-3</v>
      </c>
      <c r="H3297" s="3" t="str">
        <f>"AC009041.4"</f>
        <v>AC009041.4</v>
      </c>
      <c r="I3297" s="3" t="str">
        <f>"sense_intronic"</f>
        <v>sense_intronic</v>
      </c>
    </row>
    <row r="3298" spans="1:9" x14ac:dyDescent="0.2">
      <c r="A3298" s="3" t="str">
        <f>"ENSG00000261713.6"</f>
        <v>ENSG00000261713.6</v>
      </c>
      <c r="B3298" s="3">
        <v>333.48719257126402</v>
      </c>
      <c r="C3298" s="3">
        <v>6.1323554001447897</v>
      </c>
      <c r="D3298" s="3">
        <v>0.45633138861712103</v>
      </c>
      <c r="E3298" s="3">
        <v>13.438381739920301</v>
      </c>
      <c r="F3298" s="4">
        <v>3.6022832644351099E-41</v>
      </c>
      <c r="G3298" s="4">
        <v>6.3813686983707802E-39</v>
      </c>
      <c r="H3298" s="3" t="str">
        <f>"SSTR5-AS1"</f>
        <v>SSTR5-AS1</v>
      </c>
      <c r="I3298" s="3" t="str">
        <f>"processed_transcript"</f>
        <v>processed_transcript</v>
      </c>
    </row>
    <row r="3299" spans="1:9" x14ac:dyDescent="0.2">
      <c r="A3299" s="3" t="str">
        <f>"ENSG00000162009.8"</f>
        <v>ENSG00000162009.8</v>
      </c>
      <c r="B3299" s="3">
        <v>39.657427217889001</v>
      </c>
      <c r="C3299" s="3">
        <v>7.38412845260605</v>
      </c>
      <c r="D3299" s="3">
        <v>1.51830393362381</v>
      </c>
      <c r="E3299" s="3">
        <v>4.8634059947286001</v>
      </c>
      <c r="F3299" s="4">
        <v>1.1538283698863399E-6</v>
      </c>
      <c r="G3299" s="4">
        <v>1.42068294882482E-5</v>
      </c>
      <c r="H3299" s="3" t="str">
        <f>"SSTR5"</f>
        <v>SSTR5</v>
      </c>
      <c r="I3299" s="3" t="str">
        <f>"protein_coding"</f>
        <v>protein_coding</v>
      </c>
    </row>
    <row r="3300" spans="1:9" x14ac:dyDescent="0.2">
      <c r="A3300" s="3" t="str">
        <f>"ENSG00000196557.13"</f>
        <v>ENSG00000196557.13</v>
      </c>
      <c r="B3300" s="3">
        <v>357.98346714522597</v>
      </c>
      <c r="C3300" s="3">
        <v>3.6169541996133501</v>
      </c>
      <c r="D3300" s="3">
        <v>0.35588403236354399</v>
      </c>
      <c r="E3300" s="3">
        <v>10.1632944181057</v>
      </c>
      <c r="F3300" s="4">
        <v>2.8913806418161398E-24</v>
      </c>
      <c r="G3300" s="4">
        <v>2.1266865510200302E-22</v>
      </c>
      <c r="H3300" s="3" t="str">
        <f>"CACNA1H"</f>
        <v>CACNA1H</v>
      </c>
      <c r="I3300" s="3" t="str">
        <f>"protein_coding"</f>
        <v>protein_coding</v>
      </c>
    </row>
    <row r="3301" spans="1:9" x14ac:dyDescent="0.2">
      <c r="A3301" s="3" t="str">
        <f>"ENSG00000278987.1"</f>
        <v>ENSG00000278987.1</v>
      </c>
      <c r="B3301" s="3">
        <v>93.290839063846306</v>
      </c>
      <c r="C3301" s="3">
        <v>1.2689395293329</v>
      </c>
      <c r="D3301" s="3">
        <v>0.42398449308188801</v>
      </c>
      <c r="E3301" s="3">
        <v>2.99289136758079</v>
      </c>
      <c r="F3301" s="3">
        <v>2.76348094740428E-3</v>
      </c>
      <c r="G3301" s="3">
        <v>1.43924147478167E-2</v>
      </c>
      <c r="H3301" s="3" t="str">
        <f>"AL031009.1"</f>
        <v>AL031009.1</v>
      </c>
      <c r="I3301" s="3" t="str">
        <f>"TEC"</f>
        <v>TEC</v>
      </c>
    </row>
    <row r="3302" spans="1:9" x14ac:dyDescent="0.2">
      <c r="A3302" s="3" t="str">
        <f>"ENSG00000138834.12"</f>
        <v>ENSG00000138834.12</v>
      </c>
      <c r="B3302" s="3">
        <v>2262.37164195688</v>
      </c>
      <c r="C3302" s="3">
        <v>1.25816051717822</v>
      </c>
      <c r="D3302" s="3">
        <v>0.32297308203999298</v>
      </c>
      <c r="E3302" s="3">
        <v>3.89555844478219</v>
      </c>
      <c r="F3302" s="4">
        <v>9.7972733219611305E-5</v>
      </c>
      <c r="G3302" s="3">
        <v>7.9731611262999795E-4</v>
      </c>
      <c r="H3302" s="3" t="str">
        <f>"MAPK8IP3"</f>
        <v>MAPK8IP3</v>
      </c>
      <c r="I3302" s="3" t="str">
        <f t="shared" ref="I3302:I3310" si="138">"protein_coding"</f>
        <v>protein_coding</v>
      </c>
    </row>
    <row r="3303" spans="1:9" x14ac:dyDescent="0.2">
      <c r="A3303" s="3" t="str">
        <f>"ENSG00000162032.16"</f>
        <v>ENSG00000162032.16</v>
      </c>
      <c r="B3303" s="3">
        <v>299.59873509019502</v>
      </c>
      <c r="C3303" s="3">
        <v>1.52975371143153</v>
      </c>
      <c r="D3303" s="3">
        <v>0.40366241469659198</v>
      </c>
      <c r="E3303" s="3">
        <v>3.78968577637171</v>
      </c>
      <c r="F3303" s="3">
        <v>1.50837968135645E-4</v>
      </c>
      <c r="G3303" s="3">
        <v>1.1642617638699499E-3</v>
      </c>
      <c r="H3303" s="3" t="str">
        <f>"SPSB3"</f>
        <v>SPSB3</v>
      </c>
      <c r="I3303" s="3" t="str">
        <f t="shared" si="138"/>
        <v>protein_coding</v>
      </c>
    </row>
    <row r="3304" spans="1:9" x14ac:dyDescent="0.2">
      <c r="A3304" s="3" t="str">
        <f>"ENSG00000099769.5"</f>
        <v>ENSG00000099769.5</v>
      </c>
      <c r="B3304" s="3">
        <v>205.32569617941201</v>
      </c>
      <c r="C3304" s="3">
        <v>5.8211844511534396</v>
      </c>
      <c r="D3304" s="3">
        <v>0.49933707418527501</v>
      </c>
      <c r="E3304" s="3">
        <v>11.657825449174499</v>
      </c>
      <c r="F3304" s="4">
        <v>2.09320075775609E-31</v>
      </c>
      <c r="G3304" s="4">
        <v>2.2893245678849801E-29</v>
      </c>
      <c r="H3304" s="3" t="str">
        <f>"IGFALS"</f>
        <v>IGFALS</v>
      </c>
      <c r="I3304" s="3" t="str">
        <f t="shared" si="138"/>
        <v>protein_coding</v>
      </c>
    </row>
    <row r="3305" spans="1:9" x14ac:dyDescent="0.2">
      <c r="A3305" s="3" t="str">
        <f>"ENSG00000063854.13"</f>
        <v>ENSG00000063854.13</v>
      </c>
      <c r="B3305" s="3">
        <v>1857.4688169802</v>
      </c>
      <c r="C3305" s="3">
        <v>2.0723306045480201</v>
      </c>
      <c r="D3305" s="3">
        <v>0.30341527834707199</v>
      </c>
      <c r="E3305" s="3">
        <v>6.8300140185344196</v>
      </c>
      <c r="F3305" s="4">
        <v>8.4906335288477996E-12</v>
      </c>
      <c r="G3305" s="4">
        <v>2.2018751177130599E-10</v>
      </c>
      <c r="H3305" s="3" t="str">
        <f>"HAGH"</f>
        <v>HAGH</v>
      </c>
      <c r="I3305" s="3" t="str">
        <f t="shared" si="138"/>
        <v>protein_coding</v>
      </c>
    </row>
    <row r="3306" spans="1:9" x14ac:dyDescent="0.2">
      <c r="A3306" s="3" t="str">
        <f>"ENSG00000162040.6"</f>
        <v>ENSG00000162040.6</v>
      </c>
      <c r="B3306" s="3">
        <v>6.8963135731131899</v>
      </c>
      <c r="C3306" s="3">
        <v>6.3062947162249099</v>
      </c>
      <c r="D3306" s="3">
        <v>1.8826046802160901</v>
      </c>
      <c r="E3306" s="3">
        <v>3.3497710817870998</v>
      </c>
      <c r="F3306" s="3">
        <v>8.0878371996842796E-4</v>
      </c>
      <c r="G3306" s="3">
        <v>5.0875104965755896E-3</v>
      </c>
      <c r="H3306" s="3" t="str">
        <f>"HS3ST6"</f>
        <v>HS3ST6</v>
      </c>
      <c r="I3306" s="3" t="str">
        <f t="shared" si="138"/>
        <v>protein_coding</v>
      </c>
    </row>
    <row r="3307" spans="1:9" x14ac:dyDescent="0.2">
      <c r="A3307" s="3" t="str">
        <f>"ENSG00000127561.15"</f>
        <v>ENSG00000127561.15</v>
      </c>
      <c r="B3307" s="3">
        <v>204.914986153304</v>
      </c>
      <c r="C3307" s="3">
        <v>2.4605673263000201</v>
      </c>
      <c r="D3307" s="3">
        <v>0.36320303870401499</v>
      </c>
      <c r="E3307" s="3">
        <v>6.7746330952512004</v>
      </c>
      <c r="F3307" s="4">
        <v>1.2472237061771399E-11</v>
      </c>
      <c r="G3307" s="4">
        <v>3.1787145216703102E-10</v>
      </c>
      <c r="H3307" s="3" t="str">
        <f>"SYNGR3"</f>
        <v>SYNGR3</v>
      </c>
      <c r="I3307" s="3" t="str">
        <f t="shared" si="138"/>
        <v>protein_coding</v>
      </c>
    </row>
    <row r="3308" spans="1:9" x14ac:dyDescent="0.2">
      <c r="A3308" s="3" t="str">
        <f>"ENSG00000065054.14"</f>
        <v>ENSG00000065054.14</v>
      </c>
      <c r="B3308" s="3">
        <v>276.17738339258199</v>
      </c>
      <c r="C3308" s="3">
        <v>1.83943871917066</v>
      </c>
      <c r="D3308" s="3">
        <v>0.37406188509784899</v>
      </c>
      <c r="E3308" s="3">
        <v>4.9174716603096096</v>
      </c>
      <c r="F3308" s="4">
        <v>8.7669143760122597E-7</v>
      </c>
      <c r="G3308" s="4">
        <v>1.10653151594876E-5</v>
      </c>
      <c r="H3308" s="3" t="str">
        <f>"SLC9A3R2"</f>
        <v>SLC9A3R2</v>
      </c>
      <c r="I3308" s="3" t="str">
        <f t="shared" si="138"/>
        <v>protein_coding</v>
      </c>
    </row>
    <row r="3309" spans="1:9" x14ac:dyDescent="0.2">
      <c r="A3309" s="3" t="str">
        <f>"ENSG00000103197.18"</f>
        <v>ENSG00000103197.18</v>
      </c>
      <c r="B3309" s="3">
        <v>2012.25160754218</v>
      </c>
      <c r="C3309" s="3">
        <v>1.1087127297866901</v>
      </c>
      <c r="D3309" s="3">
        <v>0.30156201441542901</v>
      </c>
      <c r="E3309" s="3">
        <v>3.6765662675914501</v>
      </c>
      <c r="F3309" s="3">
        <v>2.3639446711991801E-4</v>
      </c>
      <c r="G3309" s="3">
        <v>1.7321528069196999E-3</v>
      </c>
      <c r="H3309" s="3" t="str">
        <f>"TSC2"</f>
        <v>TSC2</v>
      </c>
      <c r="I3309" s="3" t="str">
        <f t="shared" si="138"/>
        <v>protein_coding</v>
      </c>
    </row>
    <row r="3310" spans="1:9" x14ac:dyDescent="0.2">
      <c r="A3310" s="3" t="str">
        <f>"ENSG00000167971.15"</f>
        <v>ENSG00000167971.15</v>
      </c>
      <c r="B3310" s="3">
        <v>284.12411682588402</v>
      </c>
      <c r="C3310" s="3">
        <v>2.6984194530065801</v>
      </c>
      <c r="D3310" s="3">
        <v>0.36746732605253002</v>
      </c>
      <c r="E3310" s="3">
        <v>7.3432908498124103</v>
      </c>
      <c r="F3310" s="4">
        <v>2.0840495988701799E-13</v>
      </c>
      <c r="G3310" s="4">
        <v>6.5448523919574696E-12</v>
      </c>
      <c r="H3310" s="3" t="str">
        <f>"CASKIN1"</f>
        <v>CASKIN1</v>
      </c>
      <c r="I3310" s="3" t="str">
        <f t="shared" si="138"/>
        <v>protein_coding</v>
      </c>
    </row>
    <row r="3311" spans="1:9" x14ac:dyDescent="0.2">
      <c r="A3311" s="3" t="str">
        <f>"ENSG00000260778.5"</f>
        <v>ENSG00000260778.5</v>
      </c>
      <c r="B3311" s="3">
        <v>69.108752504846507</v>
      </c>
      <c r="C3311" s="3">
        <v>1.3752629134269401</v>
      </c>
      <c r="D3311" s="3">
        <v>0.48507146388428102</v>
      </c>
      <c r="E3311" s="3">
        <v>2.8351758778269902</v>
      </c>
      <c r="F3311" s="3">
        <v>4.5800463550758098E-3</v>
      </c>
      <c r="G3311" s="3">
        <v>2.2045745515103701E-2</v>
      </c>
      <c r="H3311" s="3" t="str">
        <f>"AC009065.4"</f>
        <v>AC009065.4</v>
      </c>
      <c r="I3311" s="3" t="str">
        <f>"lincRNA"</f>
        <v>lincRNA</v>
      </c>
    </row>
    <row r="3312" spans="1:9" x14ac:dyDescent="0.2">
      <c r="A3312" s="3" t="str">
        <f>"ENSG00000167972.14"</f>
        <v>ENSG00000167972.14</v>
      </c>
      <c r="B3312" s="3">
        <v>139.55733033288601</v>
      </c>
      <c r="C3312" s="3">
        <v>1.1915567137693299</v>
      </c>
      <c r="D3312" s="3">
        <v>0.45194770776259802</v>
      </c>
      <c r="E3312" s="3">
        <v>2.63649243773847</v>
      </c>
      <c r="F3312" s="3">
        <v>8.3768067332411697E-3</v>
      </c>
      <c r="G3312" s="3">
        <v>3.64312886194125E-2</v>
      </c>
      <c r="H3312" s="3" t="str">
        <f>"ABCA3"</f>
        <v>ABCA3</v>
      </c>
      <c r="I3312" s="3" t="str">
        <f>"protein_coding"</f>
        <v>protein_coding</v>
      </c>
    </row>
    <row r="3313" spans="1:9" x14ac:dyDescent="0.2">
      <c r="A3313" s="3" t="str">
        <f>"ENSG00000162068.1"</f>
        <v>ENSG00000162068.1</v>
      </c>
      <c r="B3313" s="3">
        <v>46.412009466341601</v>
      </c>
      <c r="C3313" s="3">
        <v>2.5510836659873202</v>
      </c>
      <c r="D3313" s="3">
        <v>0.579610242564226</v>
      </c>
      <c r="E3313" s="3">
        <v>4.4013778202075802</v>
      </c>
      <c r="F3313" s="4">
        <v>1.0756563276939199E-5</v>
      </c>
      <c r="G3313" s="3">
        <v>1.09237524921843E-4</v>
      </c>
      <c r="H3313" s="3" t="str">
        <f>"NTN3"</f>
        <v>NTN3</v>
      </c>
      <c r="I3313" s="3" t="str">
        <f>"protein_coding"</f>
        <v>protein_coding</v>
      </c>
    </row>
    <row r="3314" spans="1:9" x14ac:dyDescent="0.2">
      <c r="A3314" s="3" t="str">
        <f>"ENSG00000260293.2"</f>
        <v>ENSG00000260293.2</v>
      </c>
      <c r="B3314" s="3">
        <v>127.77654042347901</v>
      </c>
      <c r="C3314" s="3">
        <v>2.1078648423289099</v>
      </c>
      <c r="D3314" s="3">
        <v>0.47068309347937498</v>
      </c>
      <c r="E3314" s="3">
        <v>4.4783100806684901</v>
      </c>
      <c r="F3314" s="4">
        <v>7.5236263421455197E-6</v>
      </c>
      <c r="G3314" s="4">
        <v>7.9653544039002695E-5</v>
      </c>
      <c r="H3314" s="3" t="str">
        <f>"AC106820.4"</f>
        <v>AC106820.4</v>
      </c>
      <c r="I3314" s="3" t="str">
        <f>"sense_intronic"</f>
        <v>sense_intronic</v>
      </c>
    </row>
    <row r="3315" spans="1:9" x14ac:dyDescent="0.2">
      <c r="A3315" s="3" t="str">
        <f>"ENSG00000279520.1"</f>
        <v>ENSG00000279520.1</v>
      </c>
      <c r="B3315" s="3">
        <v>101.800484259336</v>
      </c>
      <c r="C3315" s="3">
        <v>1.3927893083326099</v>
      </c>
      <c r="D3315" s="3">
        <v>0.45488476927412902</v>
      </c>
      <c r="E3315" s="3">
        <v>3.0618508299478102</v>
      </c>
      <c r="F3315" s="3">
        <v>2.1997304545508401E-3</v>
      </c>
      <c r="G3315" s="3">
        <v>1.1869201970018501E-2</v>
      </c>
      <c r="H3315" s="3" t="str">
        <f>"AC093525.8"</f>
        <v>AC093525.8</v>
      </c>
      <c r="I3315" s="3" t="str">
        <f>"TEC"</f>
        <v>TEC</v>
      </c>
    </row>
    <row r="3316" spans="1:9" x14ac:dyDescent="0.2">
      <c r="A3316" s="3" t="str">
        <f>"ENSG00000261613.2"</f>
        <v>ENSG00000261613.2</v>
      </c>
      <c r="B3316" s="3">
        <v>31.0985278364147</v>
      </c>
      <c r="C3316" s="3">
        <v>2.19979637437635</v>
      </c>
      <c r="D3316" s="3">
        <v>0.67818401118438398</v>
      </c>
      <c r="E3316" s="3">
        <v>3.2436570873067598</v>
      </c>
      <c r="F3316" s="3">
        <v>1.1800572010761999E-3</v>
      </c>
      <c r="G3316" s="3">
        <v>7.0278638600603403E-3</v>
      </c>
      <c r="H3316" s="3" t="str">
        <f>"AC093525.6"</f>
        <v>AC093525.6</v>
      </c>
      <c r="I3316" s="3" t="str">
        <f>"antisense"</f>
        <v>antisense</v>
      </c>
    </row>
    <row r="3317" spans="1:9" x14ac:dyDescent="0.2">
      <c r="A3317" s="3" t="str">
        <f>"ENSG00000269937.1"</f>
        <v>ENSG00000269937.1</v>
      </c>
      <c r="B3317" s="3">
        <v>147.62856066134901</v>
      </c>
      <c r="C3317" s="3">
        <v>2.0439274192278498</v>
      </c>
      <c r="D3317" s="3">
        <v>0.38918892964591101</v>
      </c>
      <c r="E3317" s="3">
        <v>5.2517614544880402</v>
      </c>
      <c r="F3317" s="4">
        <v>1.5065149263025699E-7</v>
      </c>
      <c r="G3317" s="4">
        <v>2.2032780797175101E-6</v>
      </c>
      <c r="H3317" s="3" t="str">
        <f>"AC093525.7"</f>
        <v>AC093525.7</v>
      </c>
      <c r="I3317" s="3" t="str">
        <f>"antisense"</f>
        <v>antisense</v>
      </c>
    </row>
    <row r="3318" spans="1:9" x14ac:dyDescent="0.2">
      <c r="A3318" s="3" t="str">
        <f>"ENSG00000215154.6"</f>
        <v>ENSG00000215154.6</v>
      </c>
      <c r="B3318" s="3">
        <v>355.10876476453802</v>
      </c>
      <c r="C3318" s="3">
        <v>1.4459486260322001</v>
      </c>
      <c r="D3318" s="3">
        <v>0.35118983541003501</v>
      </c>
      <c r="E3318" s="3">
        <v>4.1172849559952898</v>
      </c>
      <c r="F3318" s="4">
        <v>3.8336195654808097E-5</v>
      </c>
      <c r="G3318" s="3">
        <v>3.4502576089327297E-4</v>
      </c>
      <c r="H3318" s="3" t="str">
        <f>"AC141586.1"</f>
        <v>AC141586.1</v>
      </c>
      <c r="I3318" s="3" t="str">
        <f>"transcribed_unprocessed_pseudogene"</f>
        <v>transcribed_unprocessed_pseudogene</v>
      </c>
    </row>
    <row r="3319" spans="1:9" x14ac:dyDescent="0.2">
      <c r="A3319" s="3" t="str">
        <f>"ENSG00000260565.6"</f>
        <v>ENSG00000260565.6</v>
      </c>
      <c r="B3319" s="3">
        <v>612.25409029827301</v>
      </c>
      <c r="C3319" s="3">
        <v>1.1576915999486399</v>
      </c>
      <c r="D3319" s="3">
        <v>0.28038268826614599</v>
      </c>
      <c r="E3319" s="3">
        <v>4.1289696133084002</v>
      </c>
      <c r="F3319" s="4">
        <v>3.6439255233562903E-5</v>
      </c>
      <c r="G3319" s="3">
        <v>3.29604266594849E-4</v>
      </c>
      <c r="H3319" s="3" t="str">
        <f>"ERVK13-1"</f>
        <v>ERVK13-1</v>
      </c>
      <c r="I3319" s="3" t="str">
        <f>"processed_transcript"</f>
        <v>processed_transcript</v>
      </c>
    </row>
    <row r="3320" spans="1:9" x14ac:dyDescent="0.2">
      <c r="A3320" s="3" t="str">
        <f>"ENSG00000167977.9"</f>
        <v>ENSG00000167977.9</v>
      </c>
      <c r="B3320" s="3">
        <v>1151.50933269694</v>
      </c>
      <c r="C3320" s="3">
        <v>1.0314965368731099</v>
      </c>
      <c r="D3320" s="3">
        <v>0.28341066603467202</v>
      </c>
      <c r="E3320" s="3">
        <v>3.63958262864714</v>
      </c>
      <c r="F3320" s="3">
        <v>2.7308030178711199E-4</v>
      </c>
      <c r="G3320" s="3">
        <v>1.9688549703223901E-3</v>
      </c>
      <c r="H3320" s="3" t="str">
        <f>"KCTD5"</f>
        <v>KCTD5</v>
      </c>
      <c r="I3320" s="3" t="str">
        <f>"protein_coding"</f>
        <v>protein_coding</v>
      </c>
    </row>
    <row r="3321" spans="1:9" x14ac:dyDescent="0.2">
      <c r="A3321" s="3" t="str">
        <f>"ENSG00000172382.10"</f>
        <v>ENSG00000172382.10</v>
      </c>
      <c r="B3321" s="3">
        <v>12.9215766555555</v>
      </c>
      <c r="C3321" s="3">
        <v>2.5593151297694701</v>
      </c>
      <c r="D3321" s="3">
        <v>0.99574326931206503</v>
      </c>
      <c r="E3321" s="3">
        <v>2.5702560174347302</v>
      </c>
      <c r="F3321" s="3">
        <v>1.01623381947118E-2</v>
      </c>
      <c r="G3321" s="3">
        <v>4.2848410541061997E-2</v>
      </c>
      <c r="H3321" s="3" t="str">
        <f>"PRSS27"</f>
        <v>PRSS27</v>
      </c>
      <c r="I3321" s="3" t="str">
        <f>"protein_coding"</f>
        <v>protein_coding</v>
      </c>
    </row>
    <row r="3322" spans="1:9" x14ac:dyDescent="0.2">
      <c r="A3322" s="3" t="str">
        <f>"ENSG00000205913.6"</f>
        <v>ENSG00000205913.6</v>
      </c>
      <c r="B3322" s="3">
        <v>319.46000509249097</v>
      </c>
      <c r="C3322" s="3">
        <v>2.9704377116585401</v>
      </c>
      <c r="D3322" s="3">
        <v>0.335555541991232</v>
      </c>
      <c r="E3322" s="3">
        <v>8.8522981740416409</v>
      </c>
      <c r="F3322" s="4">
        <v>8.5735279846281702E-19</v>
      </c>
      <c r="G3322" s="4">
        <v>4.2454152845142099E-17</v>
      </c>
      <c r="H3322" s="3" t="str">
        <f>"SRRM2-AS1"</f>
        <v>SRRM2-AS1</v>
      </c>
      <c r="I3322" s="3" t="str">
        <f>"antisense"</f>
        <v>antisense</v>
      </c>
    </row>
    <row r="3323" spans="1:9" x14ac:dyDescent="0.2">
      <c r="A3323" s="3" t="str">
        <f>"ENSG00000172460.16"</f>
        <v>ENSG00000172460.16</v>
      </c>
      <c r="B3323" s="3">
        <v>56.979510740670598</v>
      </c>
      <c r="C3323" s="3">
        <v>4.0297504229830796</v>
      </c>
      <c r="D3323" s="3">
        <v>0.60482847202938705</v>
      </c>
      <c r="E3323" s="3">
        <v>6.6626334726968501</v>
      </c>
      <c r="F3323" s="4">
        <v>2.6896385724892999E-11</v>
      </c>
      <c r="G3323" s="4">
        <v>6.5879121997048104E-10</v>
      </c>
      <c r="H3323" s="3" t="str">
        <f>"PRSS30P"</f>
        <v>PRSS30P</v>
      </c>
      <c r="I3323" s="3" t="str">
        <f>"transcribed_unitary_pseudogene"</f>
        <v>transcribed_unitary_pseudogene</v>
      </c>
    </row>
    <row r="3324" spans="1:9" x14ac:dyDescent="0.2">
      <c r="A3324" s="3" t="str">
        <f>"ENSG00000059122.16"</f>
        <v>ENSG00000059122.16</v>
      </c>
      <c r="B3324" s="3">
        <v>1816.2179954104499</v>
      </c>
      <c r="C3324" s="3">
        <v>2.0798481625255301</v>
      </c>
      <c r="D3324" s="3">
        <v>0.30260851789168403</v>
      </c>
      <c r="E3324" s="3">
        <v>6.8730654940453304</v>
      </c>
      <c r="F3324" s="4">
        <v>6.2836698326596201E-12</v>
      </c>
      <c r="G3324" s="4">
        <v>1.6568733190833599E-10</v>
      </c>
      <c r="H3324" s="3" t="str">
        <f>"FLYWCH1"</f>
        <v>FLYWCH1</v>
      </c>
      <c r="I3324" s="3" t="str">
        <f>"protein_coding"</f>
        <v>protein_coding</v>
      </c>
    </row>
    <row r="3325" spans="1:9" x14ac:dyDescent="0.2">
      <c r="A3325" s="3" t="str">
        <f>"ENSG00000131650.14"</f>
        <v>ENSG00000131650.14</v>
      </c>
      <c r="B3325" s="3">
        <v>194.78909441601701</v>
      </c>
      <c r="C3325" s="3">
        <v>1.49514909874924</v>
      </c>
      <c r="D3325" s="3">
        <v>0.35490163700438498</v>
      </c>
      <c r="E3325" s="3">
        <v>4.2128548951459504</v>
      </c>
      <c r="F3325" s="4">
        <v>2.52163068221158E-5</v>
      </c>
      <c r="G3325" s="3">
        <v>2.36876418368673E-4</v>
      </c>
      <c r="H3325" s="3" t="str">
        <f>"KREMEN2"</f>
        <v>KREMEN2</v>
      </c>
      <c r="I3325" s="3" t="str">
        <f>"protein_coding"</f>
        <v>protein_coding</v>
      </c>
    </row>
    <row r="3326" spans="1:9" x14ac:dyDescent="0.2">
      <c r="A3326" s="3" t="str">
        <f>"ENSG00000162073.13"</f>
        <v>ENSG00000162073.13</v>
      </c>
      <c r="B3326" s="3">
        <v>447.91053705026599</v>
      </c>
      <c r="C3326" s="3">
        <v>-1.0454850517274401</v>
      </c>
      <c r="D3326" s="3">
        <v>0.346191330173162</v>
      </c>
      <c r="E3326" s="3">
        <v>-3.0199631261837201</v>
      </c>
      <c r="F3326" s="3">
        <v>2.5280546156711201E-3</v>
      </c>
      <c r="G3326" s="3">
        <v>1.33347061977788E-2</v>
      </c>
      <c r="H3326" s="3" t="str">
        <f>"PAQR4"</f>
        <v>PAQR4</v>
      </c>
      <c r="I3326" s="3" t="str">
        <f>"protein_coding"</f>
        <v>protein_coding</v>
      </c>
    </row>
    <row r="3327" spans="1:9" x14ac:dyDescent="0.2">
      <c r="A3327" s="3" t="str">
        <f>"ENSG00000085644.13"</f>
        <v>ENSG00000085644.13</v>
      </c>
      <c r="B3327" s="3">
        <v>191.837600916192</v>
      </c>
      <c r="C3327" s="3">
        <v>1.11093958916005</v>
      </c>
      <c r="D3327" s="3">
        <v>0.35089562651394401</v>
      </c>
      <c r="E3327" s="3">
        <v>3.1660115009039802</v>
      </c>
      <c r="F3327" s="3">
        <v>1.54544683193425E-3</v>
      </c>
      <c r="G3327" s="3">
        <v>8.8373982853616993E-3</v>
      </c>
      <c r="H3327" s="3" t="str">
        <f>"ZNF213"</f>
        <v>ZNF213</v>
      </c>
      <c r="I3327" s="3" t="str">
        <f>"protein_coding"</f>
        <v>protein_coding</v>
      </c>
    </row>
    <row r="3328" spans="1:9" x14ac:dyDescent="0.2">
      <c r="A3328" s="3" t="str">
        <f>"ENSG00000228146.8"</f>
        <v>ENSG00000228146.8</v>
      </c>
      <c r="B3328" s="3">
        <v>34.452196234784203</v>
      </c>
      <c r="C3328" s="3">
        <v>3.49772119618788</v>
      </c>
      <c r="D3328" s="3">
        <v>0.73088344330893995</v>
      </c>
      <c r="E3328" s="3">
        <v>4.7856073744845</v>
      </c>
      <c r="F3328" s="4">
        <v>1.70471019182305E-6</v>
      </c>
      <c r="G3328" s="4">
        <v>2.02751701538103E-5</v>
      </c>
      <c r="H3328" s="3" t="str">
        <f>"CASP16P"</f>
        <v>CASP16P</v>
      </c>
      <c r="I3328" s="3" t="str">
        <f>"transcribed_unitary_pseudogene"</f>
        <v>transcribed_unitary_pseudogene</v>
      </c>
    </row>
    <row r="3329" spans="1:9" x14ac:dyDescent="0.2">
      <c r="A3329" s="3" t="str">
        <f>"ENSG00000262312.2"</f>
        <v>ENSG00000262312.2</v>
      </c>
      <c r="B3329" s="3">
        <v>17.619783809949201</v>
      </c>
      <c r="C3329" s="3">
        <v>-2.3812744840164899</v>
      </c>
      <c r="D3329" s="3">
        <v>0.87654477091157901</v>
      </c>
      <c r="E3329" s="3">
        <v>-2.7166604183150098</v>
      </c>
      <c r="F3329" s="3">
        <v>6.5944229136817197E-3</v>
      </c>
      <c r="G3329" s="3">
        <v>2.97600840318736E-2</v>
      </c>
      <c r="H3329" s="3" t="str">
        <f>"AC004494.1"</f>
        <v>AC004494.1</v>
      </c>
      <c r="I3329" s="3" t="str">
        <f>"antisense"</f>
        <v>antisense</v>
      </c>
    </row>
    <row r="3330" spans="1:9" x14ac:dyDescent="0.2">
      <c r="A3330" s="3" t="str">
        <f>"ENSG00000162104.10"</f>
        <v>ENSG00000162104.10</v>
      </c>
      <c r="B3330" s="3">
        <v>4150.7221289577701</v>
      </c>
      <c r="C3330" s="3">
        <v>1.12360748582311</v>
      </c>
      <c r="D3330" s="3">
        <v>0.30632245398734298</v>
      </c>
      <c r="E3330" s="3">
        <v>3.6680545980136801</v>
      </c>
      <c r="F3330" s="3">
        <v>2.4440300151830498E-4</v>
      </c>
      <c r="G3330" s="3">
        <v>1.7820166675921599E-3</v>
      </c>
      <c r="H3330" s="3" t="str">
        <f>"ADCY9"</f>
        <v>ADCY9</v>
      </c>
      <c r="I3330" s="3" t="str">
        <f>"protein_coding"</f>
        <v>protein_coding</v>
      </c>
    </row>
    <row r="3331" spans="1:9" x14ac:dyDescent="0.2">
      <c r="A3331" s="3" t="str">
        <f>"ENSG00000126603.8"</f>
        <v>ENSG00000126603.8</v>
      </c>
      <c r="B3331" s="3">
        <v>332.17554628378502</v>
      </c>
      <c r="C3331" s="3">
        <v>2.71944105999872</v>
      </c>
      <c r="D3331" s="3">
        <v>0.37900653234481102</v>
      </c>
      <c r="E3331" s="3">
        <v>7.1751825573408201</v>
      </c>
      <c r="F3331" s="4">
        <v>7.2210763333264599E-13</v>
      </c>
      <c r="G3331" s="4">
        <v>2.11462369225643E-11</v>
      </c>
      <c r="H3331" s="3" t="str">
        <f>"GLIS2"</f>
        <v>GLIS2</v>
      </c>
      <c r="I3331" s="3" t="str">
        <f>"protein_coding"</f>
        <v>protein_coding</v>
      </c>
    </row>
    <row r="3332" spans="1:9" x14ac:dyDescent="0.2">
      <c r="A3332" s="3" t="str">
        <f>"ENSG00000280063.1"</f>
        <v>ENSG00000280063.1</v>
      </c>
      <c r="B3332" s="3">
        <v>196.00139587730899</v>
      </c>
      <c r="C3332" s="3">
        <v>1.1290733378706801</v>
      </c>
      <c r="D3332" s="3">
        <v>0.35198323200148102</v>
      </c>
      <c r="E3332" s="3">
        <v>3.2077475152734798</v>
      </c>
      <c r="F3332" s="3">
        <v>1.3377888860727999E-3</v>
      </c>
      <c r="G3332" s="3">
        <v>7.8237893917487006E-3</v>
      </c>
      <c r="H3332" s="3" t="str">
        <f>"AC012676.5"</f>
        <v>AC012676.5</v>
      </c>
      <c r="I3332" s="3" t="str">
        <f>"TEC"</f>
        <v>TEC</v>
      </c>
    </row>
    <row r="3333" spans="1:9" x14ac:dyDescent="0.2">
      <c r="A3333" s="3" t="str">
        <f>"ENSG00000089486.17"</f>
        <v>ENSG00000089486.17</v>
      </c>
      <c r="B3333" s="3">
        <v>10606.9736435421</v>
      </c>
      <c r="C3333" s="3">
        <v>2.6684488853108599</v>
      </c>
      <c r="D3333" s="3">
        <v>0.28454036365204199</v>
      </c>
      <c r="E3333" s="3">
        <v>9.3781031663193009</v>
      </c>
      <c r="F3333" s="4">
        <v>6.7170209436949804E-21</v>
      </c>
      <c r="G3333" s="4">
        <v>3.8665140008843802E-19</v>
      </c>
      <c r="H3333" s="3" t="str">
        <f>"CDIP1"</f>
        <v>CDIP1</v>
      </c>
      <c r="I3333" s="3" t="str">
        <f>"protein_coding"</f>
        <v>protein_coding</v>
      </c>
    </row>
    <row r="3334" spans="1:9" x14ac:dyDescent="0.2">
      <c r="A3334" s="3" t="str">
        <f>"ENSG00000278434.1"</f>
        <v>ENSG00000278434.1</v>
      </c>
      <c r="B3334" s="3">
        <v>330.85918975282499</v>
      </c>
      <c r="C3334" s="3">
        <v>3.2892623936647798</v>
      </c>
      <c r="D3334" s="3">
        <v>0.32595566389137498</v>
      </c>
      <c r="E3334" s="3">
        <v>10.0911343413898</v>
      </c>
      <c r="F3334" s="4">
        <v>6.0466684554565199E-24</v>
      </c>
      <c r="G3334" s="4">
        <v>4.3211348010513804E-22</v>
      </c>
      <c r="H3334" s="3" t="str">
        <f>"AC023830.3"</f>
        <v>AC023830.3</v>
      </c>
      <c r="I3334" s="3" t="str">
        <f>"sense_intronic"</f>
        <v>sense_intronic</v>
      </c>
    </row>
    <row r="3335" spans="1:9" x14ac:dyDescent="0.2">
      <c r="A3335" s="3" t="str">
        <f>"ENSG00000102858.13"</f>
        <v>ENSG00000102858.13</v>
      </c>
      <c r="B3335" s="3">
        <v>4711.6116894688103</v>
      </c>
      <c r="C3335" s="3">
        <v>1.76548478510916</v>
      </c>
      <c r="D3335" s="3">
        <v>0.28709952320834697</v>
      </c>
      <c r="E3335" s="3">
        <v>6.1493825046443797</v>
      </c>
      <c r="F3335" s="4">
        <v>7.7785183569685403E-10</v>
      </c>
      <c r="G3335" s="4">
        <v>1.6144276342371602E-8</v>
      </c>
      <c r="H3335" s="3" t="str">
        <f>"MGRN1"</f>
        <v>MGRN1</v>
      </c>
      <c r="I3335" s="3" t="str">
        <f>"protein_coding"</f>
        <v>protein_coding</v>
      </c>
    </row>
    <row r="3336" spans="1:9" x14ac:dyDescent="0.2">
      <c r="A3336" s="3" t="str">
        <f>"ENSG00000278700.1"</f>
        <v>ENSG00000278700.1</v>
      </c>
      <c r="B3336" s="3">
        <v>19.297848636350899</v>
      </c>
      <c r="C3336" s="3">
        <v>3.9434563331322501</v>
      </c>
      <c r="D3336" s="3">
        <v>0.965176801135745</v>
      </c>
      <c r="E3336" s="3">
        <v>4.0857346845592497</v>
      </c>
      <c r="F3336" s="4">
        <v>4.3937563590879203E-5</v>
      </c>
      <c r="G3336" s="3">
        <v>3.8985869916351499E-4</v>
      </c>
      <c r="H3336" s="3" t="str">
        <f>"RF00017"</f>
        <v>RF00017</v>
      </c>
      <c r="I3336" s="3" t="str">
        <f>"misc_RNA"</f>
        <v>misc_RNA</v>
      </c>
    </row>
    <row r="3337" spans="1:9" x14ac:dyDescent="0.2">
      <c r="A3337" s="3" t="str">
        <f>"ENSG00000183044.12"</f>
        <v>ENSG00000183044.12</v>
      </c>
      <c r="B3337" s="3">
        <v>5356.2989737363196</v>
      </c>
      <c r="C3337" s="3">
        <v>-1.2600783385223899</v>
      </c>
      <c r="D3337" s="3">
        <v>0.27302263791108899</v>
      </c>
      <c r="E3337" s="3">
        <v>-4.6152888572292801</v>
      </c>
      <c r="F3337" s="4">
        <v>3.9254895106608401E-6</v>
      </c>
      <c r="G3337" s="4">
        <v>4.4004317576057703E-5</v>
      </c>
      <c r="H3337" s="3" t="str">
        <f>"ABAT"</f>
        <v>ABAT</v>
      </c>
      <c r="I3337" s="3" t="str">
        <f>"protein_coding"</f>
        <v>protein_coding</v>
      </c>
    </row>
    <row r="3338" spans="1:9" x14ac:dyDescent="0.2">
      <c r="A3338" s="3" t="str">
        <f>"ENSG00000259939.1"</f>
        <v>ENSG00000259939.1</v>
      </c>
      <c r="B3338" s="3">
        <v>157.70638808048199</v>
      </c>
      <c r="C3338" s="3">
        <v>1.1897470652295301</v>
      </c>
      <c r="D3338" s="3">
        <v>0.35284804288707999</v>
      </c>
      <c r="E3338" s="3">
        <v>3.3718397741270101</v>
      </c>
      <c r="F3338" s="3">
        <v>7.4667873663966395E-4</v>
      </c>
      <c r="G3338" s="3">
        <v>4.7575237133157897E-3</v>
      </c>
      <c r="H3338" s="3" t="str">
        <f>"AC022167.1"</f>
        <v>AC022167.1</v>
      </c>
      <c r="I3338" s="3" t="str">
        <f>"antisense"</f>
        <v>antisense</v>
      </c>
    </row>
    <row r="3339" spans="1:9" x14ac:dyDescent="0.2">
      <c r="A3339" s="3" t="str">
        <f>"ENSG00000213853.10"</f>
        <v>ENSG00000213853.10</v>
      </c>
      <c r="B3339" s="3">
        <v>2017.49692867665</v>
      </c>
      <c r="C3339" s="3">
        <v>-2.6923172953124599</v>
      </c>
      <c r="D3339" s="3">
        <v>0.25594872789437301</v>
      </c>
      <c r="E3339" s="3">
        <v>-10.518971191853501</v>
      </c>
      <c r="F3339" s="4">
        <v>7.0640689143484895E-26</v>
      </c>
      <c r="G3339" s="4">
        <v>5.8839951503455701E-24</v>
      </c>
      <c r="H3339" s="3" t="str">
        <f>"EMP2"</f>
        <v>EMP2</v>
      </c>
      <c r="I3339" s="3" t="str">
        <f>"protein_coding"</f>
        <v>protein_coding</v>
      </c>
    </row>
    <row r="3340" spans="1:9" x14ac:dyDescent="0.2">
      <c r="A3340" s="3" t="str">
        <f>"ENSG00000179583.19"</f>
        <v>ENSG00000179583.19</v>
      </c>
      <c r="B3340" s="3">
        <v>108.64498203451301</v>
      </c>
      <c r="C3340" s="3">
        <v>1.4145397588758599</v>
      </c>
      <c r="D3340" s="3">
        <v>0.39766526352960302</v>
      </c>
      <c r="E3340" s="3">
        <v>3.5571116931880402</v>
      </c>
      <c r="F3340" s="3">
        <v>3.7495475943613701E-4</v>
      </c>
      <c r="G3340" s="3">
        <v>2.6044535806872202E-3</v>
      </c>
      <c r="H3340" s="3" t="str">
        <f>"CIITA"</f>
        <v>CIITA</v>
      </c>
      <c r="I3340" s="3" t="str">
        <f>"protein_coding"</f>
        <v>protein_coding</v>
      </c>
    </row>
    <row r="3341" spans="1:9" x14ac:dyDescent="0.2">
      <c r="A3341" s="3" t="str">
        <f>"ENSG00000229917.2"</f>
        <v>ENSG00000229917.2</v>
      </c>
      <c r="B3341" s="3">
        <v>34.211640061801198</v>
      </c>
      <c r="C3341" s="3">
        <v>2.02927141614787</v>
      </c>
      <c r="D3341" s="3">
        <v>0.63730493142839495</v>
      </c>
      <c r="E3341" s="3">
        <v>3.1841451651717998</v>
      </c>
      <c r="F3341" s="3">
        <v>1.4518218500489701E-3</v>
      </c>
      <c r="G3341" s="3">
        <v>8.3743587796335402E-3</v>
      </c>
      <c r="H3341" s="3" t="str">
        <f>"RPL7P46"</f>
        <v>RPL7P46</v>
      </c>
      <c r="I3341" s="3" t="str">
        <f>"processed_pseudogene"</f>
        <v>processed_pseudogene</v>
      </c>
    </row>
    <row r="3342" spans="1:9" x14ac:dyDescent="0.2">
      <c r="A3342" s="3" t="str">
        <f>"ENSG00000263033.2"</f>
        <v>ENSG00000263033.2</v>
      </c>
      <c r="B3342" s="3">
        <v>14.1142644137978</v>
      </c>
      <c r="C3342" s="3">
        <v>5.8850480985130398</v>
      </c>
      <c r="D3342" s="3">
        <v>1.6642928346969601</v>
      </c>
      <c r="E3342" s="3">
        <v>3.5360652739844398</v>
      </c>
      <c r="F3342" s="3">
        <v>4.0613433046195597E-4</v>
      </c>
      <c r="G3342" s="3">
        <v>2.7898167893966402E-3</v>
      </c>
      <c r="H3342" s="3" t="str">
        <f>"AC007220.1"</f>
        <v>AC007220.1</v>
      </c>
      <c r="I3342" s="3" t="str">
        <f>"lincRNA"</f>
        <v>lincRNA</v>
      </c>
    </row>
    <row r="3343" spans="1:9" x14ac:dyDescent="0.2">
      <c r="A3343" s="3" t="str">
        <f>"ENSG00000188897.9"</f>
        <v>ENSG00000188897.9</v>
      </c>
      <c r="B3343" s="3">
        <v>101.02445050181301</v>
      </c>
      <c r="C3343" s="3">
        <v>1.65825723224137</v>
      </c>
      <c r="D3343" s="3">
        <v>0.41318315248503701</v>
      </c>
      <c r="E3343" s="3">
        <v>4.0133708798821903</v>
      </c>
      <c r="F3343" s="4">
        <v>5.9857751628389099E-5</v>
      </c>
      <c r="G3343" s="3">
        <v>5.1548159610137901E-4</v>
      </c>
      <c r="H3343" s="3" t="str">
        <f>"AC099489.1"</f>
        <v>AC099489.1</v>
      </c>
      <c r="I3343" s="3" t="str">
        <f>"protein_coding"</f>
        <v>protein_coding</v>
      </c>
    </row>
    <row r="3344" spans="1:9" x14ac:dyDescent="0.2">
      <c r="A3344" s="3" t="str">
        <f>"ENSG00000184602.6"</f>
        <v>ENSG00000184602.6</v>
      </c>
      <c r="B3344" s="3">
        <v>1013.8002711799001</v>
      </c>
      <c r="C3344" s="3">
        <v>1.85249190952456</v>
      </c>
      <c r="D3344" s="3">
        <v>0.30795207718589002</v>
      </c>
      <c r="E3344" s="3">
        <v>6.015520097974</v>
      </c>
      <c r="F3344" s="4">
        <v>1.7931005317761499E-9</v>
      </c>
      <c r="G3344" s="4">
        <v>3.49925864056082E-8</v>
      </c>
      <c r="H3344" s="3" t="str">
        <f>"SNN"</f>
        <v>SNN</v>
      </c>
      <c r="I3344" s="3" t="str">
        <f>"protein_coding"</f>
        <v>protein_coding</v>
      </c>
    </row>
    <row r="3345" spans="1:9" x14ac:dyDescent="0.2">
      <c r="A3345" s="3" t="str">
        <f>"ENSG00000262420.3"</f>
        <v>ENSG00000262420.3</v>
      </c>
      <c r="B3345" s="3">
        <v>66.355014445633898</v>
      </c>
      <c r="C3345" s="3">
        <v>-1.3999136551853999</v>
      </c>
      <c r="D3345" s="3">
        <v>0.46728834319826401</v>
      </c>
      <c r="E3345" s="3">
        <v>-2.9958240464634001</v>
      </c>
      <c r="F3345" s="3">
        <v>2.7370431675566502E-3</v>
      </c>
      <c r="G3345" s="3">
        <v>1.4272454577091099E-2</v>
      </c>
      <c r="H3345" s="3" t="str">
        <f>"AC007613.1"</f>
        <v>AC007613.1</v>
      </c>
      <c r="I3345" s="3" t="str">
        <f>"antisense"</f>
        <v>antisense</v>
      </c>
    </row>
    <row r="3346" spans="1:9" x14ac:dyDescent="0.2">
      <c r="A3346" s="3" t="str">
        <f>"ENSG00000277369.1"</f>
        <v>ENSG00000277369.1</v>
      </c>
      <c r="B3346" s="3">
        <v>148.491186445442</v>
      </c>
      <c r="C3346" s="3">
        <v>1.0986201476995801</v>
      </c>
      <c r="D3346" s="3">
        <v>0.39195520163500602</v>
      </c>
      <c r="E3346" s="3">
        <v>2.8029227399375798</v>
      </c>
      <c r="F3346" s="3">
        <v>5.0641799256509199E-3</v>
      </c>
      <c r="G3346" s="3">
        <v>2.3967910824035502E-2</v>
      </c>
      <c r="H3346" s="3" t="str">
        <f>"AC010654.1"</f>
        <v>AC010654.1</v>
      </c>
      <c r="I3346" s="3" t="str">
        <f>"lincRNA"</f>
        <v>lincRNA</v>
      </c>
    </row>
    <row r="3347" spans="1:9" x14ac:dyDescent="0.2">
      <c r="A3347" s="3" t="str">
        <f>"ENSG00000234719.8"</f>
        <v>ENSG00000234719.8</v>
      </c>
      <c r="B3347" s="3">
        <v>35.7119141823717</v>
      </c>
      <c r="C3347" s="3">
        <v>1.60157825401707</v>
      </c>
      <c r="D3347" s="3">
        <v>0.60653966059930697</v>
      </c>
      <c r="E3347" s="3">
        <v>2.6405169489404599</v>
      </c>
      <c r="F3347" s="3">
        <v>8.2779651989211504E-3</v>
      </c>
      <c r="G3347" s="3">
        <v>3.6051283687476003E-2</v>
      </c>
      <c r="H3347" s="3" t="str">
        <f>"NPIPB2"</f>
        <v>NPIPB2</v>
      </c>
      <c r="I3347" s="3" t="str">
        <f>"protein_coding"</f>
        <v>protein_coding</v>
      </c>
    </row>
    <row r="3348" spans="1:9" x14ac:dyDescent="0.2">
      <c r="A3348" s="3" t="str">
        <f>"ENSG00000048471.14"</f>
        <v>ENSG00000048471.14</v>
      </c>
      <c r="B3348" s="3">
        <v>1404.4133799188901</v>
      </c>
      <c r="C3348" s="3">
        <v>1.5651644942743199</v>
      </c>
      <c r="D3348" s="3">
        <v>0.26830511452282502</v>
      </c>
      <c r="E3348" s="3">
        <v>5.8335246313061502</v>
      </c>
      <c r="F3348" s="4">
        <v>5.4268591662853501E-9</v>
      </c>
      <c r="G3348" s="4">
        <v>9.9682330892581494E-8</v>
      </c>
      <c r="H3348" s="3" t="str">
        <f>"SNX29"</f>
        <v>SNX29</v>
      </c>
      <c r="I3348" s="3" t="str">
        <f>"protein_coding"</f>
        <v>protein_coding</v>
      </c>
    </row>
    <row r="3349" spans="1:9" x14ac:dyDescent="0.2">
      <c r="A3349" s="3" t="str">
        <f>"ENSG00000241641.1"</f>
        <v>ENSG00000241641.1</v>
      </c>
      <c r="B3349" s="3">
        <v>29.600493122147999</v>
      </c>
      <c r="C3349" s="3">
        <v>1.9996483791737301</v>
      </c>
      <c r="D3349" s="3">
        <v>0.65791928882796502</v>
      </c>
      <c r="E3349" s="3">
        <v>3.0393521107064001</v>
      </c>
      <c r="F3349" s="3">
        <v>2.3708757408780899E-3</v>
      </c>
      <c r="G3349" s="3">
        <v>1.26542285724143E-2</v>
      </c>
      <c r="H3349" s="3" t="str">
        <f>"RPS23P6"</f>
        <v>RPS23P6</v>
      </c>
      <c r="I3349" s="3" t="str">
        <f>"processed_pseudogene"</f>
        <v>processed_pseudogene</v>
      </c>
    </row>
    <row r="3350" spans="1:9" x14ac:dyDescent="0.2">
      <c r="A3350" s="3" t="str">
        <f>"ENSG00000260601.1"</f>
        <v>ENSG00000260601.1</v>
      </c>
      <c r="B3350" s="3">
        <v>26.252521352190701</v>
      </c>
      <c r="C3350" s="3">
        <v>2.1667846022452202</v>
      </c>
      <c r="D3350" s="3">
        <v>0.70989711262140398</v>
      </c>
      <c r="E3350" s="3">
        <v>3.0522516062138099</v>
      </c>
      <c r="F3350" s="3">
        <v>2.2713162829457101E-3</v>
      </c>
      <c r="G3350" s="3">
        <v>1.22161558899935E-2</v>
      </c>
      <c r="H3350" s="3" t="str">
        <f>"AC131391.1"</f>
        <v>AC131391.1</v>
      </c>
      <c r="I3350" s="3" t="str">
        <f>"sense_intronic"</f>
        <v>sense_intronic</v>
      </c>
    </row>
    <row r="3351" spans="1:9" x14ac:dyDescent="0.2">
      <c r="A3351" s="3" t="str">
        <f>"ENSG00000262454.3"</f>
        <v>ENSG00000262454.3</v>
      </c>
      <c r="B3351" s="3">
        <v>262.60476574409398</v>
      </c>
      <c r="C3351" s="3">
        <v>1.4136772629615599</v>
      </c>
      <c r="D3351" s="3">
        <v>0.30605755459831901</v>
      </c>
      <c r="E3351" s="3">
        <v>4.6189915645667403</v>
      </c>
      <c r="F3351" s="4">
        <v>3.8560953160183702E-6</v>
      </c>
      <c r="G3351" s="4">
        <v>4.3284282764141997E-5</v>
      </c>
      <c r="H3351" s="3" t="str">
        <f>"MIR193BHG"</f>
        <v>MIR193BHG</v>
      </c>
      <c r="I3351" s="3" t="str">
        <f>"lincRNA"</f>
        <v>lincRNA</v>
      </c>
    </row>
    <row r="3352" spans="1:9" x14ac:dyDescent="0.2">
      <c r="A3352" s="3" t="str">
        <f>"ENSG00000260009.1"</f>
        <v>ENSG00000260009.1</v>
      </c>
      <c r="B3352" s="3">
        <v>50.614694550065003</v>
      </c>
      <c r="C3352" s="3">
        <v>3.7302687085193802</v>
      </c>
      <c r="D3352" s="3">
        <v>0.61011776715859201</v>
      </c>
      <c r="E3352" s="3">
        <v>6.1140142269447297</v>
      </c>
      <c r="F3352" s="4">
        <v>9.7155638313825594E-10</v>
      </c>
      <c r="G3352" s="4">
        <v>1.9757074226226999E-8</v>
      </c>
      <c r="H3352" s="3" t="str">
        <f>"LINC02130"</f>
        <v>LINC02130</v>
      </c>
      <c r="I3352" s="3" t="str">
        <f>"lincRNA"</f>
        <v>lincRNA</v>
      </c>
    </row>
    <row r="3353" spans="1:9" x14ac:dyDescent="0.2">
      <c r="A3353" s="3" t="str">
        <f>"ENSG00000255277.3"</f>
        <v>ENSG00000255277.3</v>
      </c>
      <c r="B3353" s="3">
        <v>231.56184162833901</v>
      </c>
      <c r="C3353" s="3">
        <v>-1.5776756106566501</v>
      </c>
      <c r="D3353" s="3">
        <v>0.32761555829035599</v>
      </c>
      <c r="E3353" s="3">
        <v>-4.8156309147516403</v>
      </c>
      <c r="F3353" s="4">
        <v>1.4673552383649401E-6</v>
      </c>
      <c r="G3353" s="4">
        <v>1.7669373394480601E-5</v>
      </c>
      <c r="H3353" s="3" t="str">
        <f>"ABCC6P2"</f>
        <v>ABCC6P2</v>
      </c>
      <c r="I3353" s="3" t="str">
        <f>"transcribed_unprocessed_pseudogene"</f>
        <v>transcribed_unprocessed_pseudogene</v>
      </c>
    </row>
    <row r="3354" spans="1:9" x14ac:dyDescent="0.2">
      <c r="A3354" s="3" t="str">
        <f>"ENSG00000157045.9"</f>
        <v>ENSG00000157045.9</v>
      </c>
      <c r="B3354" s="3">
        <v>1878.05543378217</v>
      </c>
      <c r="C3354" s="3">
        <v>1.47231232469623</v>
      </c>
      <c r="D3354" s="3">
        <v>0.250417686762965</v>
      </c>
      <c r="E3354" s="3">
        <v>5.8794262646865798</v>
      </c>
      <c r="F3354" s="4">
        <v>4.1169093742877903E-9</v>
      </c>
      <c r="G3354" s="4">
        <v>7.6939714197778098E-8</v>
      </c>
      <c r="H3354" s="3" t="str">
        <f>"NTAN1"</f>
        <v>NTAN1</v>
      </c>
      <c r="I3354" s="3" t="str">
        <f>"protein_coding"</f>
        <v>protein_coding</v>
      </c>
    </row>
    <row r="3355" spans="1:9" x14ac:dyDescent="0.2">
      <c r="A3355" s="3" t="str">
        <f>"ENSG00000166783.22"</f>
        <v>ENSG00000166783.22</v>
      </c>
      <c r="B3355" s="3">
        <v>5945.1326039220203</v>
      </c>
      <c r="C3355" s="3">
        <v>1.7064441897131399</v>
      </c>
      <c r="D3355" s="3">
        <v>0.234449562153971</v>
      </c>
      <c r="E3355" s="3">
        <v>7.2785130159145197</v>
      </c>
      <c r="F3355" s="4">
        <v>3.3751967335254301E-13</v>
      </c>
      <c r="G3355" s="4">
        <v>1.0372866001175801E-11</v>
      </c>
      <c r="H3355" s="3" t="str">
        <f>"MARF1"</f>
        <v>MARF1</v>
      </c>
      <c r="I3355" s="3" t="str">
        <f>"protein_coding"</f>
        <v>protein_coding</v>
      </c>
    </row>
    <row r="3356" spans="1:9" x14ac:dyDescent="0.2">
      <c r="A3356" s="3" t="str">
        <f>"ENSG00000262380.1"</f>
        <v>ENSG00000262380.1</v>
      </c>
      <c r="B3356" s="3">
        <v>60.527613107919201</v>
      </c>
      <c r="C3356" s="3">
        <v>1.49121961762148</v>
      </c>
      <c r="D3356" s="3">
        <v>0.47884978456226701</v>
      </c>
      <c r="E3356" s="3">
        <v>3.1141699666517701</v>
      </c>
      <c r="F3356" s="3">
        <v>1.84463194798474E-3</v>
      </c>
      <c r="G3356" s="3">
        <v>1.0238684168481E-2</v>
      </c>
      <c r="H3356" s="3" t="str">
        <f>"AC026401.2"</f>
        <v>AC026401.2</v>
      </c>
      <c r="I3356" s="3" t="str">
        <f>"sense_intronic"</f>
        <v>sense_intronic</v>
      </c>
    </row>
    <row r="3357" spans="1:9" x14ac:dyDescent="0.2">
      <c r="A3357" s="3" t="str">
        <f>"ENSG00000263335.1"</f>
        <v>ENSG00000263335.1</v>
      </c>
      <c r="B3357" s="3">
        <v>66.131114976592002</v>
      </c>
      <c r="C3357" s="3">
        <v>1.1638322540955599</v>
      </c>
      <c r="D3357" s="3">
        <v>0.46250999717986702</v>
      </c>
      <c r="E3357" s="3">
        <v>2.5163396709086898</v>
      </c>
      <c r="F3357" s="3">
        <v>1.18580838332206E-2</v>
      </c>
      <c r="G3357" s="3">
        <v>4.8565629896558701E-2</v>
      </c>
      <c r="H3357" s="3" t="str">
        <f>"AF001548.2"</f>
        <v>AF001548.2</v>
      </c>
      <c r="I3357" s="3" t="str">
        <f>"antisense"</f>
        <v>antisense</v>
      </c>
    </row>
    <row r="3358" spans="1:9" x14ac:dyDescent="0.2">
      <c r="A3358" s="3" t="str">
        <f>"ENSG00000170537.13"</f>
        <v>ENSG00000170537.13</v>
      </c>
      <c r="B3358" s="3">
        <v>6064.2298700757701</v>
      </c>
      <c r="C3358" s="3">
        <v>2.4370031349582701</v>
      </c>
      <c r="D3358" s="3">
        <v>0.23383878464128499</v>
      </c>
      <c r="E3358" s="3">
        <v>10.421723405279799</v>
      </c>
      <c r="F3358" s="4">
        <v>1.97344355213756E-25</v>
      </c>
      <c r="G3358" s="4">
        <v>1.5860055129079901E-23</v>
      </c>
      <c r="H3358" s="3" t="str">
        <f>"TMC7"</f>
        <v>TMC7</v>
      </c>
      <c r="I3358" s="3" t="str">
        <f>"protein_coding"</f>
        <v>protein_coding</v>
      </c>
    </row>
    <row r="3359" spans="1:9" x14ac:dyDescent="0.2">
      <c r="A3359" s="3" t="str">
        <f>"ENSG00000207167.1"</f>
        <v>ENSG00000207167.1</v>
      </c>
      <c r="B3359" s="3">
        <v>61.406228117882797</v>
      </c>
      <c r="C3359" s="3">
        <v>3.1202520130051798</v>
      </c>
      <c r="D3359" s="3">
        <v>0.53690537487380097</v>
      </c>
      <c r="E3359" s="3">
        <v>5.8115492208260902</v>
      </c>
      <c r="F3359" s="4">
        <v>6.1897328119153998E-9</v>
      </c>
      <c r="G3359" s="4">
        <v>1.1307387718499E-7</v>
      </c>
      <c r="H3359" s="3" t="str">
        <f>"RNU6-1340P"</f>
        <v>RNU6-1340P</v>
      </c>
      <c r="I3359" s="3" t="str">
        <f>"snRNA"</f>
        <v>snRNA</v>
      </c>
    </row>
    <row r="3360" spans="1:9" x14ac:dyDescent="0.2">
      <c r="A3360" s="3" t="str">
        <f>"ENSG00000261357.1"</f>
        <v>ENSG00000261357.1</v>
      </c>
      <c r="B3360" s="3">
        <v>132.61021964251199</v>
      </c>
      <c r="C3360" s="3">
        <v>2.75837300835168</v>
      </c>
      <c r="D3360" s="3">
        <v>0.44932450307193</v>
      </c>
      <c r="E3360" s="3">
        <v>6.1389329749286103</v>
      </c>
      <c r="F3360" s="4">
        <v>8.3077607747460902E-10</v>
      </c>
      <c r="G3360" s="4">
        <v>1.71156201710678E-8</v>
      </c>
      <c r="H3360" s="3" t="str">
        <f>"AC099518.2"</f>
        <v>AC099518.2</v>
      </c>
      <c r="I3360" s="3" t="str">
        <f>"lincRNA"</f>
        <v>lincRNA</v>
      </c>
    </row>
    <row r="3361" spans="1:9" x14ac:dyDescent="0.2">
      <c r="A3361" s="3" t="str">
        <f>"ENSG00000103528.17"</f>
        <v>ENSG00000103528.17</v>
      </c>
      <c r="B3361" s="3">
        <v>78.603993690378005</v>
      </c>
      <c r="C3361" s="3">
        <v>1.16557258745137</v>
      </c>
      <c r="D3361" s="3">
        <v>0.43313188196243102</v>
      </c>
      <c r="E3361" s="3">
        <v>2.6910339229022</v>
      </c>
      <c r="F3361" s="3">
        <v>7.1230951401387204E-3</v>
      </c>
      <c r="G3361" s="3">
        <v>3.1747246323563003E-2</v>
      </c>
      <c r="H3361" s="3" t="str">
        <f>"SYT17"</f>
        <v>SYT17</v>
      </c>
      <c r="I3361" s="3" t="str">
        <f>"protein_coding"</f>
        <v>protein_coding</v>
      </c>
    </row>
    <row r="3362" spans="1:9" x14ac:dyDescent="0.2">
      <c r="A3362" s="3" t="str">
        <f>"ENSG00000183549.10"</f>
        <v>ENSG00000183549.10</v>
      </c>
      <c r="B3362" s="3">
        <v>82.2576058990891</v>
      </c>
      <c r="C3362" s="3">
        <v>-2.6434367984068499</v>
      </c>
      <c r="D3362" s="3">
        <v>0.49301831518764599</v>
      </c>
      <c r="E3362" s="3">
        <v>-5.3617415762753904</v>
      </c>
      <c r="F3362" s="4">
        <v>8.2423399334858396E-8</v>
      </c>
      <c r="G3362" s="4">
        <v>1.24901241582432E-6</v>
      </c>
      <c r="H3362" s="3" t="str">
        <f>"ACSM5"</f>
        <v>ACSM5</v>
      </c>
      <c r="I3362" s="3" t="str">
        <f>"protein_coding"</f>
        <v>protein_coding</v>
      </c>
    </row>
    <row r="3363" spans="1:9" x14ac:dyDescent="0.2">
      <c r="A3363" s="3" t="str">
        <f>"ENSG00000066813.14"</f>
        <v>ENSG00000066813.14</v>
      </c>
      <c r="B3363" s="3">
        <v>54.350483528366702</v>
      </c>
      <c r="C3363" s="3">
        <v>-1.7524428930139899</v>
      </c>
      <c r="D3363" s="3">
        <v>0.50614165952226597</v>
      </c>
      <c r="E3363" s="3">
        <v>-3.4623565558070699</v>
      </c>
      <c r="F3363" s="3">
        <v>5.3546726132189801E-4</v>
      </c>
      <c r="G3363" s="3">
        <v>3.5511940307282699E-3</v>
      </c>
      <c r="H3363" s="3" t="str">
        <f>"ACSM2B"</f>
        <v>ACSM2B</v>
      </c>
      <c r="I3363" s="3" t="str">
        <f>"protein_coding"</f>
        <v>protein_coding</v>
      </c>
    </row>
    <row r="3364" spans="1:9" x14ac:dyDescent="0.2">
      <c r="A3364" s="3" t="str">
        <f>"ENSG00000005187.12"</f>
        <v>ENSG00000005187.12</v>
      </c>
      <c r="B3364" s="3">
        <v>10635.3779400494</v>
      </c>
      <c r="C3364" s="3">
        <v>-1.80004305488155</v>
      </c>
      <c r="D3364" s="3">
        <v>0.26111931132004801</v>
      </c>
      <c r="E3364" s="3">
        <v>-6.8935654195077101</v>
      </c>
      <c r="F3364" s="4">
        <v>5.4411079141091503E-12</v>
      </c>
      <c r="G3364" s="4">
        <v>1.4468400589790201E-10</v>
      </c>
      <c r="H3364" s="3" t="str">
        <f>"ACSM3"</f>
        <v>ACSM3</v>
      </c>
      <c r="I3364" s="3" t="str">
        <f>"protein_coding"</f>
        <v>protein_coding</v>
      </c>
    </row>
    <row r="3365" spans="1:9" x14ac:dyDescent="0.2">
      <c r="A3365" s="3" t="str">
        <f>"ENSG00000158486.13"</f>
        <v>ENSG00000158486.13</v>
      </c>
      <c r="B3365" s="3">
        <v>252.135952392874</v>
      </c>
      <c r="C3365" s="3">
        <v>2.5417517385064601</v>
      </c>
      <c r="D3365" s="3">
        <v>0.31922026087516497</v>
      </c>
      <c r="E3365" s="3">
        <v>7.9623759830847503</v>
      </c>
      <c r="F3365" s="4">
        <v>1.68766732041568E-15</v>
      </c>
      <c r="G3365" s="4">
        <v>6.4323138553115895E-14</v>
      </c>
      <c r="H3365" s="3" t="str">
        <f>"DNAH3"</f>
        <v>DNAH3</v>
      </c>
      <c r="I3365" s="3" t="str">
        <f>"protein_coding"</f>
        <v>protein_coding</v>
      </c>
    </row>
    <row r="3366" spans="1:9" x14ac:dyDescent="0.2">
      <c r="A3366" s="3" t="str">
        <f>"ENSG00000263331.1"</f>
        <v>ENSG00000263331.1</v>
      </c>
      <c r="B3366" s="3">
        <v>50.430800693523402</v>
      </c>
      <c r="C3366" s="3">
        <v>-1.8406795581512501</v>
      </c>
      <c r="D3366" s="3">
        <v>0.54319739941334999</v>
      </c>
      <c r="E3366" s="3">
        <v>-3.3886015657276101</v>
      </c>
      <c r="F3366" s="3">
        <v>7.02500067628653E-4</v>
      </c>
      <c r="G3366" s="3">
        <v>4.5195368801019898E-3</v>
      </c>
      <c r="H3366" s="3" t="str">
        <f>"AC008551.1"</f>
        <v>AC008551.1</v>
      </c>
      <c r="I3366" s="3" t="str">
        <f>"antisense"</f>
        <v>antisense</v>
      </c>
    </row>
    <row r="3367" spans="1:9" x14ac:dyDescent="0.2">
      <c r="A3367" s="3" t="str">
        <f>"ENSG00000175311.7"</f>
        <v>ENSG00000175311.7</v>
      </c>
      <c r="B3367" s="3">
        <v>630.07739847841697</v>
      </c>
      <c r="C3367" s="3">
        <v>-2.21230928209815</v>
      </c>
      <c r="D3367" s="3">
        <v>0.31393681312599903</v>
      </c>
      <c r="E3367" s="3">
        <v>-7.0469890423785104</v>
      </c>
      <c r="F3367" s="4">
        <v>1.82830710503021E-12</v>
      </c>
      <c r="G3367" s="4">
        <v>5.1044467510582602E-11</v>
      </c>
      <c r="H3367" s="3" t="str">
        <f>"ANKS4B"</f>
        <v>ANKS4B</v>
      </c>
      <c r="I3367" s="3" t="str">
        <f>"protein_coding"</f>
        <v>protein_coding</v>
      </c>
    </row>
    <row r="3368" spans="1:9" x14ac:dyDescent="0.2">
      <c r="A3368" s="3" t="str">
        <f>"ENSG00000103316.11"</f>
        <v>ENSG00000103316.11</v>
      </c>
      <c r="B3368" s="3">
        <v>61.058646280460898</v>
      </c>
      <c r="C3368" s="3">
        <v>-1.5666747278465301</v>
      </c>
      <c r="D3368" s="3">
        <v>0.485983712328586</v>
      </c>
      <c r="E3368" s="3">
        <v>-3.2237185899499101</v>
      </c>
      <c r="F3368" s="3">
        <v>1.2653768217086301E-3</v>
      </c>
      <c r="G3368" s="3">
        <v>7.4684547043830599E-3</v>
      </c>
      <c r="H3368" s="3" t="str">
        <f>"CRYM"</f>
        <v>CRYM</v>
      </c>
      <c r="I3368" s="3" t="str">
        <f>"protein_coding"</f>
        <v>protein_coding</v>
      </c>
    </row>
    <row r="3369" spans="1:9" x14ac:dyDescent="0.2">
      <c r="A3369" s="3" t="str">
        <f>"ENSG00000169246.16"</f>
        <v>ENSG00000169246.16</v>
      </c>
      <c r="B3369" s="3">
        <v>1159.45238650753</v>
      </c>
      <c r="C3369" s="3">
        <v>1.7806513776539601</v>
      </c>
      <c r="D3369" s="3">
        <v>0.29858901076155803</v>
      </c>
      <c r="E3369" s="3">
        <v>5.9635529556575699</v>
      </c>
      <c r="F3369" s="4">
        <v>2.4681141360268099E-9</v>
      </c>
      <c r="G3369" s="4">
        <v>4.71773640514852E-8</v>
      </c>
      <c r="H3369" s="3" t="str">
        <f>"NPIPB3"</f>
        <v>NPIPB3</v>
      </c>
      <c r="I3369" s="3" t="str">
        <f>"protein_coding"</f>
        <v>protein_coding</v>
      </c>
    </row>
    <row r="3370" spans="1:9" x14ac:dyDescent="0.2">
      <c r="A3370" s="3" t="str">
        <f>"ENSG00000180747.15"</f>
        <v>ENSG00000180747.15</v>
      </c>
      <c r="B3370" s="3">
        <v>2377.4982114491499</v>
      </c>
      <c r="C3370" s="3">
        <v>1.21264198559298</v>
      </c>
      <c r="D3370" s="3">
        <v>0.246043657963122</v>
      </c>
      <c r="E3370" s="3">
        <v>4.9285642866468002</v>
      </c>
      <c r="F3370" s="4">
        <v>8.2836078727618E-7</v>
      </c>
      <c r="G3370" s="4">
        <v>1.05292650853625E-5</v>
      </c>
      <c r="H3370" s="3" t="str">
        <f>"SMG1P3"</f>
        <v>SMG1P3</v>
      </c>
      <c r="I3370" s="3" t="str">
        <f>"transcribed_unprocessed_pseudogene"</f>
        <v>transcribed_unprocessed_pseudogene</v>
      </c>
    </row>
    <row r="3371" spans="1:9" x14ac:dyDescent="0.2">
      <c r="A3371" s="3" t="str">
        <f>"ENSG00000265462.1"</f>
        <v>ENSG00000265462.1</v>
      </c>
      <c r="B3371" s="3">
        <v>84.152417896819003</v>
      </c>
      <c r="C3371" s="3">
        <v>1.44304188868004</v>
      </c>
      <c r="D3371" s="3">
        <v>0.44831541923191998</v>
      </c>
      <c r="E3371" s="3">
        <v>3.2188094068955801</v>
      </c>
      <c r="F3371" s="3">
        <v>1.28724013439121E-3</v>
      </c>
      <c r="G3371" s="3">
        <v>7.5708500305379503E-3</v>
      </c>
      <c r="H3371" s="3" t="str">
        <f>"MIR3680-1"</f>
        <v>MIR3680-1</v>
      </c>
      <c r="I3371" s="3" t="str">
        <f>"miRNA"</f>
        <v>miRNA</v>
      </c>
    </row>
    <row r="3372" spans="1:9" x14ac:dyDescent="0.2">
      <c r="A3372" s="3" t="str">
        <f>"ENSG00000261596.2"</f>
        <v>ENSG00000261596.2</v>
      </c>
      <c r="B3372" s="3">
        <v>208.75317570418699</v>
      </c>
      <c r="C3372" s="3">
        <v>1.84673744347744</v>
      </c>
      <c r="D3372" s="3">
        <v>0.349140706834345</v>
      </c>
      <c r="E3372" s="3">
        <v>5.2893787728786901</v>
      </c>
      <c r="F3372" s="4">
        <v>1.2273249484460999E-7</v>
      </c>
      <c r="G3372" s="4">
        <v>1.8182190269824301E-6</v>
      </c>
      <c r="H3372" s="3" t="str">
        <f>"AC005632.2"</f>
        <v>AC005632.2</v>
      </c>
      <c r="I3372" s="3" t="str">
        <f>"sense_intronic"</f>
        <v>sense_intronic</v>
      </c>
    </row>
    <row r="3373" spans="1:9" x14ac:dyDescent="0.2">
      <c r="A3373" s="3" t="str">
        <f>"ENSG00000207248.1"</f>
        <v>ENSG00000207248.1</v>
      </c>
      <c r="B3373" s="3">
        <v>27.993344771625001</v>
      </c>
      <c r="C3373" s="3">
        <v>1.9409389960196599</v>
      </c>
      <c r="D3373" s="3">
        <v>0.69406696090059194</v>
      </c>
      <c r="E3373" s="3">
        <v>2.7964722503159898</v>
      </c>
      <c r="F3373" s="3">
        <v>5.1663847404299296E-3</v>
      </c>
      <c r="G3373" s="3">
        <v>2.43694251148814E-2</v>
      </c>
      <c r="H3373" s="3" t="str">
        <f>"RNU6-1005P"</f>
        <v>RNU6-1005P</v>
      </c>
      <c r="I3373" s="3" t="str">
        <f>"snRNA"</f>
        <v>snRNA</v>
      </c>
    </row>
    <row r="3374" spans="1:9" x14ac:dyDescent="0.2">
      <c r="A3374" s="3" t="str">
        <f>"ENSG00000207042.1"</f>
        <v>ENSG00000207042.1</v>
      </c>
      <c r="B3374" s="3">
        <v>15.7387998031462</v>
      </c>
      <c r="C3374" s="3">
        <v>2.3187890886026401</v>
      </c>
      <c r="D3374" s="3">
        <v>0.89888253685507802</v>
      </c>
      <c r="E3374" s="3">
        <v>2.5796352621504899</v>
      </c>
      <c r="F3374" s="3">
        <v>9.8904716561321899E-3</v>
      </c>
      <c r="G3374" s="3">
        <v>4.1884648907408298E-2</v>
      </c>
      <c r="H3374" s="3" t="str">
        <f>"RNU6-196P"</f>
        <v>RNU6-196P</v>
      </c>
      <c r="I3374" s="3" t="str">
        <f>"snRNA"</f>
        <v>snRNA</v>
      </c>
    </row>
    <row r="3375" spans="1:9" x14ac:dyDescent="0.2">
      <c r="A3375" s="3" t="str">
        <f>"ENSG00000155719.17"</f>
        <v>ENSG00000155719.17</v>
      </c>
      <c r="B3375" s="3">
        <v>269.04967381317101</v>
      </c>
      <c r="C3375" s="3">
        <v>3.6949491369388401</v>
      </c>
      <c r="D3375" s="3">
        <v>0.36762929275264999</v>
      </c>
      <c r="E3375" s="3">
        <v>10.0507473419015</v>
      </c>
      <c r="F3375" s="4">
        <v>9.1173332012782398E-24</v>
      </c>
      <c r="G3375" s="4">
        <v>6.3355391347556404E-22</v>
      </c>
      <c r="H3375" s="3" t="str">
        <f>"OTOA"</f>
        <v>OTOA</v>
      </c>
      <c r="I3375" s="3" t="str">
        <f>"protein_coding"</f>
        <v>protein_coding</v>
      </c>
    </row>
    <row r="3376" spans="1:9" x14ac:dyDescent="0.2">
      <c r="A3376" s="3" t="str">
        <f>"ENSG00000185864.16"</f>
        <v>ENSG00000185864.16</v>
      </c>
      <c r="B3376" s="3">
        <v>1444.2663518929101</v>
      </c>
      <c r="C3376" s="3">
        <v>2.3650577440033098</v>
      </c>
      <c r="D3376" s="3">
        <v>0.25935410321928898</v>
      </c>
      <c r="E3376" s="3">
        <v>9.1190295994800898</v>
      </c>
      <c r="F3376" s="4">
        <v>7.5799981258149604E-20</v>
      </c>
      <c r="G3376" s="4">
        <v>4.0311808214561397E-18</v>
      </c>
      <c r="H3376" s="3" t="str">
        <f>"NPIPB4"</f>
        <v>NPIPB4</v>
      </c>
      <c r="I3376" s="3" t="str">
        <f>"protein_coding"</f>
        <v>protein_coding</v>
      </c>
    </row>
    <row r="3377" spans="1:9" x14ac:dyDescent="0.2">
      <c r="A3377" s="3" t="str">
        <f>"ENSG00000243716.10"</f>
        <v>ENSG00000243716.10</v>
      </c>
      <c r="B3377" s="3">
        <v>7624.1192216670597</v>
      </c>
      <c r="C3377" s="3">
        <v>2.0187109537636698</v>
      </c>
      <c r="D3377" s="3">
        <v>0.25221604660867297</v>
      </c>
      <c r="E3377" s="3">
        <v>8.0038957905632806</v>
      </c>
      <c r="F3377" s="4">
        <v>1.2054341426163899E-15</v>
      </c>
      <c r="G3377" s="4">
        <v>4.6722181598636798E-14</v>
      </c>
      <c r="H3377" s="3" t="str">
        <f>"NPIPB5"</f>
        <v>NPIPB5</v>
      </c>
      <c r="I3377" s="3" t="str">
        <f>"protein_coding"</f>
        <v>protein_coding</v>
      </c>
    </row>
    <row r="3378" spans="1:9" x14ac:dyDescent="0.2">
      <c r="A3378" s="3" t="str">
        <f>"ENSG00000257838.5"</f>
        <v>ENSG00000257838.5</v>
      </c>
      <c r="B3378" s="3">
        <v>959.98250960030202</v>
      </c>
      <c r="C3378" s="3">
        <v>4.6505357554682796</v>
      </c>
      <c r="D3378" s="3">
        <v>0.28645404191477097</v>
      </c>
      <c r="E3378" s="3">
        <v>16.234840759733299</v>
      </c>
      <c r="F3378" s="4">
        <v>2.8598911468166901E-59</v>
      </c>
      <c r="G3378" s="4">
        <v>9.5920749064231805E-57</v>
      </c>
      <c r="H3378" s="3" t="str">
        <f>"OTOAP1"</f>
        <v>OTOAP1</v>
      </c>
      <c r="I3378" s="3" t="str">
        <f>"transcribed_unprocessed_pseudogene"</f>
        <v>transcribed_unprocessed_pseudogene</v>
      </c>
    </row>
    <row r="3379" spans="1:9" x14ac:dyDescent="0.2">
      <c r="A3379" s="3" t="str">
        <f>"ENSG00000134398.15"</f>
        <v>ENSG00000134398.15</v>
      </c>
      <c r="B3379" s="3">
        <v>167.46521127990101</v>
      </c>
      <c r="C3379" s="3">
        <v>1.1228048879786701</v>
      </c>
      <c r="D3379" s="3">
        <v>0.37193580688211503</v>
      </c>
      <c r="E3379" s="3">
        <v>3.0188136425771601</v>
      </c>
      <c r="F3379" s="3">
        <v>2.5376657674612301E-3</v>
      </c>
      <c r="G3379" s="3">
        <v>1.3371382987115101E-2</v>
      </c>
      <c r="H3379" s="3" t="str">
        <f>"ERN2"</f>
        <v>ERN2</v>
      </c>
      <c r="I3379" s="3" t="str">
        <f t="shared" ref="I3379:I3385" si="139">"protein_coding"</f>
        <v>protein_coding</v>
      </c>
    </row>
    <row r="3380" spans="1:9" x14ac:dyDescent="0.2">
      <c r="A3380" s="3" t="str">
        <f>"ENSG00000158865.12"</f>
        <v>ENSG00000158865.12</v>
      </c>
      <c r="B3380" s="3">
        <v>25.204051532446101</v>
      </c>
      <c r="C3380" s="3">
        <v>-2.1574437271041198</v>
      </c>
      <c r="D3380" s="3">
        <v>0.73989885773883501</v>
      </c>
      <c r="E3380" s="3">
        <v>-2.9158630325466</v>
      </c>
      <c r="F3380" s="3">
        <v>3.5470617949049702E-3</v>
      </c>
      <c r="G3380" s="3">
        <v>1.7831003087696699E-2</v>
      </c>
      <c r="H3380" s="3" t="str">
        <f>"SLC5A11"</f>
        <v>SLC5A11</v>
      </c>
      <c r="I3380" s="3" t="str">
        <f t="shared" si="139"/>
        <v>protein_coding</v>
      </c>
    </row>
    <row r="3381" spans="1:9" x14ac:dyDescent="0.2">
      <c r="A3381" s="3" t="str">
        <f>"ENSG00000103375.11"</f>
        <v>ENSG00000103375.11</v>
      </c>
      <c r="B3381" s="3">
        <v>17.512483411486301</v>
      </c>
      <c r="C3381" s="3">
        <v>2.8411854858111099</v>
      </c>
      <c r="D3381" s="3">
        <v>0.89198633639111902</v>
      </c>
      <c r="E3381" s="3">
        <v>3.1852343134607199</v>
      </c>
      <c r="F3381" s="3">
        <v>1.44636846778627E-3</v>
      </c>
      <c r="G3381" s="3">
        <v>8.3483614926814099E-3</v>
      </c>
      <c r="H3381" s="3" t="str">
        <f>"AQP8"</f>
        <v>AQP8</v>
      </c>
      <c r="I3381" s="3" t="str">
        <f t="shared" si="139"/>
        <v>protein_coding</v>
      </c>
    </row>
    <row r="3382" spans="1:9" x14ac:dyDescent="0.2">
      <c r="A3382" s="3" t="str">
        <f>"ENSG00000103522.16"</f>
        <v>ENSG00000103522.16</v>
      </c>
      <c r="B3382" s="3">
        <v>63.315424494823901</v>
      </c>
      <c r="C3382" s="3">
        <v>3.54007057129671</v>
      </c>
      <c r="D3382" s="3">
        <v>0.54657219285890402</v>
      </c>
      <c r="E3382" s="3">
        <v>6.4768581672258101</v>
      </c>
      <c r="F3382" s="4">
        <v>9.3652147398548905E-11</v>
      </c>
      <c r="G3382" s="4">
        <v>2.1573441097165701E-9</v>
      </c>
      <c r="H3382" s="3" t="str">
        <f>"IL21R"</f>
        <v>IL21R</v>
      </c>
      <c r="I3382" s="3" t="str">
        <f t="shared" si="139"/>
        <v>protein_coding</v>
      </c>
    </row>
    <row r="3383" spans="1:9" x14ac:dyDescent="0.2">
      <c r="A3383" s="3" t="str">
        <f>"ENSG00000188322.5"</f>
        <v>ENSG00000188322.5</v>
      </c>
      <c r="B3383" s="3">
        <v>384.858381643781</v>
      </c>
      <c r="C3383" s="3">
        <v>1.7566080140634901</v>
      </c>
      <c r="D3383" s="3">
        <v>0.35640581261705401</v>
      </c>
      <c r="E3383" s="3">
        <v>4.9286738652349298</v>
      </c>
      <c r="F3383" s="4">
        <v>8.2789640029733399E-7</v>
      </c>
      <c r="G3383" s="4">
        <v>1.05286824820422E-5</v>
      </c>
      <c r="H3383" s="3" t="str">
        <f>"SBK1"</f>
        <v>SBK1</v>
      </c>
      <c r="I3383" s="3" t="str">
        <f t="shared" si="139"/>
        <v>protein_coding</v>
      </c>
    </row>
    <row r="3384" spans="1:9" x14ac:dyDescent="0.2">
      <c r="A3384" s="3" t="str">
        <f>"ENSG00000184730.11"</f>
        <v>ENSG00000184730.11</v>
      </c>
      <c r="B3384" s="3">
        <v>44.984742735498997</v>
      </c>
      <c r="C3384" s="3">
        <v>1.64695505984923</v>
      </c>
      <c r="D3384" s="3">
        <v>0.57365591763259105</v>
      </c>
      <c r="E3384" s="3">
        <v>2.8709806858543501</v>
      </c>
      <c r="F3384" s="3">
        <v>4.0920052616888504E-3</v>
      </c>
      <c r="G3384" s="3">
        <v>2.0084759484445502E-2</v>
      </c>
      <c r="H3384" s="3" t="str">
        <f>"APOBR"</f>
        <v>APOBR</v>
      </c>
      <c r="I3384" s="3" t="str">
        <f t="shared" si="139"/>
        <v>protein_coding</v>
      </c>
    </row>
    <row r="3385" spans="1:9" x14ac:dyDescent="0.2">
      <c r="A3385" s="3" t="str">
        <f>"ENSG00000176046.8"</f>
        <v>ENSG00000176046.8</v>
      </c>
      <c r="B3385" s="3">
        <v>2611.6390834488702</v>
      </c>
      <c r="C3385" s="3">
        <v>5.8839965101048897</v>
      </c>
      <c r="D3385" s="3">
        <v>0.36099719248380602</v>
      </c>
      <c r="E3385" s="3">
        <v>16.299286068184099</v>
      </c>
      <c r="F3385" s="4">
        <v>9.9851642815090194E-60</v>
      </c>
      <c r="G3385" s="4">
        <v>3.53770151410365E-57</v>
      </c>
      <c r="H3385" s="3" t="str">
        <f>"NUPR1"</f>
        <v>NUPR1</v>
      </c>
      <c r="I3385" s="3" t="str">
        <f t="shared" si="139"/>
        <v>protein_coding</v>
      </c>
    </row>
    <row r="3386" spans="1:9" x14ac:dyDescent="0.2">
      <c r="A3386" s="3" t="str">
        <f>"ENSG00000275441.1"</f>
        <v>ENSG00000275441.1</v>
      </c>
      <c r="B3386" s="3">
        <v>23.932424268347098</v>
      </c>
      <c r="C3386" s="3">
        <v>-2.1541801479589702</v>
      </c>
      <c r="D3386" s="3">
        <v>0.76840450686917094</v>
      </c>
      <c r="E3386" s="3">
        <v>-2.8034454882833399</v>
      </c>
      <c r="F3386" s="3">
        <v>5.0559778413053601E-3</v>
      </c>
      <c r="G3386" s="3">
        <v>2.3933594768166401E-2</v>
      </c>
      <c r="H3386" s="3" t="str">
        <f>"AC020765.2"</f>
        <v>AC020765.2</v>
      </c>
      <c r="I3386" s="3" t="str">
        <f>"antisense"</f>
        <v>antisense</v>
      </c>
    </row>
    <row r="3387" spans="1:9" x14ac:dyDescent="0.2">
      <c r="A3387" s="3" t="str">
        <f>"ENSG00000255524.7"</f>
        <v>ENSG00000255524.7</v>
      </c>
      <c r="B3387" s="3">
        <v>32.411148740382899</v>
      </c>
      <c r="C3387" s="3">
        <v>1.81134462060183</v>
      </c>
      <c r="D3387" s="3">
        <v>0.63395551220184998</v>
      </c>
      <c r="E3387" s="3">
        <v>2.8572109331626199</v>
      </c>
      <c r="F3387" s="3">
        <v>4.2738171879557196E-3</v>
      </c>
      <c r="G3387" s="3">
        <v>2.0818720248455901E-2</v>
      </c>
      <c r="H3387" s="3" t="str">
        <f>"NPIPB8"</f>
        <v>NPIPB8</v>
      </c>
      <c r="I3387" s="3" t="str">
        <f>"protein_coding"</f>
        <v>protein_coding</v>
      </c>
    </row>
    <row r="3388" spans="1:9" x14ac:dyDescent="0.2">
      <c r="A3388" s="3" t="str">
        <f>"ENSG00000196993.8"</f>
        <v>ENSG00000196993.8</v>
      </c>
      <c r="B3388" s="3">
        <v>174.34000432012201</v>
      </c>
      <c r="C3388" s="3">
        <v>1.1645713466601599</v>
      </c>
      <c r="D3388" s="3">
        <v>0.34662355579204401</v>
      </c>
      <c r="E3388" s="3">
        <v>3.3597582368546299</v>
      </c>
      <c r="F3388" s="3">
        <v>7.8010706553770096E-4</v>
      </c>
      <c r="G3388" s="3">
        <v>4.9354987162798097E-3</v>
      </c>
      <c r="H3388" s="3" t="str">
        <f>"NPIPB9"</f>
        <v>NPIPB9</v>
      </c>
      <c r="I3388" s="3" t="str">
        <f>"protein_coding"</f>
        <v>protein_coding</v>
      </c>
    </row>
    <row r="3389" spans="1:9" x14ac:dyDescent="0.2">
      <c r="A3389" s="3" t="str">
        <f>"ENSG00000177455.13"</f>
        <v>ENSG00000177455.13</v>
      </c>
      <c r="B3389" s="3">
        <v>43.342990504427398</v>
      </c>
      <c r="C3389" s="3">
        <v>-2.5566145094524</v>
      </c>
      <c r="D3389" s="3">
        <v>0.59902377290562903</v>
      </c>
      <c r="E3389" s="3">
        <v>-4.2679683596717197</v>
      </c>
      <c r="F3389" s="4">
        <v>1.9726129800291199E-5</v>
      </c>
      <c r="G3389" s="3">
        <v>1.89032683857648E-4</v>
      </c>
      <c r="H3389" s="3" t="str">
        <f>"CD19"</f>
        <v>CD19</v>
      </c>
      <c r="I3389" s="3" t="str">
        <f>"protein_coding"</f>
        <v>protein_coding</v>
      </c>
    </row>
    <row r="3390" spans="1:9" x14ac:dyDescent="0.2">
      <c r="A3390" s="3" t="str">
        <f>"ENSG00000196796.5"</f>
        <v>ENSG00000196796.5</v>
      </c>
      <c r="B3390" s="3">
        <v>19.209950776451802</v>
      </c>
      <c r="C3390" s="3">
        <v>2.5493166163385599</v>
      </c>
      <c r="D3390" s="3">
        <v>0.83540205967759396</v>
      </c>
      <c r="E3390" s="3">
        <v>3.0516044182634801</v>
      </c>
      <c r="F3390" s="3">
        <v>2.27621862589581E-3</v>
      </c>
      <c r="G3390" s="3">
        <v>1.223467511419E-2</v>
      </c>
      <c r="H3390" s="3" t="str">
        <f>"NPIPB10P"</f>
        <v>NPIPB10P</v>
      </c>
      <c r="I3390" s="3" t="str">
        <f>"unprocessed_pseudogene"</f>
        <v>unprocessed_pseudogene</v>
      </c>
    </row>
    <row r="3391" spans="1:9" x14ac:dyDescent="0.2">
      <c r="A3391" s="3" t="str">
        <f>"ENSG00000284685.1"</f>
        <v>ENSG00000284685.1</v>
      </c>
      <c r="B3391" s="3">
        <v>5.1991257739592296</v>
      </c>
      <c r="C3391" s="3">
        <v>5.8961318233363498</v>
      </c>
      <c r="D3391" s="3">
        <v>1.9969850274013801</v>
      </c>
      <c r="E3391" s="3">
        <v>2.9525167902780001</v>
      </c>
      <c r="F3391" s="3">
        <v>3.15194928249683E-3</v>
      </c>
      <c r="G3391" s="3">
        <v>1.60695752333214E-2</v>
      </c>
      <c r="H3391" s="3" t="str">
        <f>"AC009093.10"</f>
        <v>AC009093.10</v>
      </c>
      <c r="I3391" s="3" t="str">
        <f>"processed_transcript"</f>
        <v>processed_transcript</v>
      </c>
    </row>
    <row r="3392" spans="1:9" x14ac:dyDescent="0.2">
      <c r="A3392" s="3" t="str">
        <f>"ENSG00000279106.1"</f>
        <v>ENSG00000279106.1</v>
      </c>
      <c r="B3392" s="3">
        <v>8.8669480640125808</v>
      </c>
      <c r="C3392" s="3">
        <v>4.0994109581964704</v>
      </c>
      <c r="D3392" s="3">
        <v>1.46667780265808</v>
      </c>
      <c r="E3392" s="3">
        <v>2.7950317041459698</v>
      </c>
      <c r="F3392" s="3">
        <v>5.1894625673512898E-3</v>
      </c>
      <c r="G3392" s="3">
        <v>2.44502753373676E-2</v>
      </c>
      <c r="H3392" s="3" t="str">
        <f>"AC009093.7"</f>
        <v>AC009093.7</v>
      </c>
      <c r="I3392" s="3" t="str">
        <f>"TEC"</f>
        <v>TEC</v>
      </c>
    </row>
    <row r="3393" spans="1:9" x14ac:dyDescent="0.2">
      <c r="A3393" s="3" t="str">
        <f>"ENSG00000277999.1"</f>
        <v>ENSG00000277999.1</v>
      </c>
      <c r="B3393" s="3">
        <v>94.373367272102797</v>
      </c>
      <c r="C3393" s="3">
        <v>2.8698770364586998</v>
      </c>
      <c r="D3393" s="3">
        <v>0.46931364801446501</v>
      </c>
      <c r="E3393" s="3">
        <v>6.1150513065204004</v>
      </c>
      <c r="F3393" s="4">
        <v>9.6525903068239801E-10</v>
      </c>
      <c r="G3393" s="4">
        <v>1.9660802361794099E-8</v>
      </c>
      <c r="H3393" s="3" t="str">
        <f>"AC009093.6"</f>
        <v>AC009093.6</v>
      </c>
      <c r="I3393" s="3" t="str">
        <f>"lincRNA"</f>
        <v>lincRNA</v>
      </c>
    </row>
    <row r="3394" spans="1:9" x14ac:dyDescent="0.2">
      <c r="A3394" s="3" t="str">
        <f>"ENSG00000198106.8"</f>
        <v>ENSG00000198106.8</v>
      </c>
      <c r="B3394" s="3">
        <v>30.181419564761001</v>
      </c>
      <c r="C3394" s="3">
        <v>3.4428883441976899</v>
      </c>
      <c r="D3394" s="3">
        <v>0.76794358294387999</v>
      </c>
      <c r="E3394" s="3">
        <v>4.4832568702501696</v>
      </c>
      <c r="F3394" s="4">
        <v>7.3512349932319898E-6</v>
      </c>
      <c r="G3394" s="4">
        <v>7.8190408564376594E-5</v>
      </c>
      <c r="H3394" s="3" t="str">
        <f>"AC025279.1"</f>
        <v>AC025279.1</v>
      </c>
      <c r="I3394" s="3" t="str">
        <f>"processed_transcript"</f>
        <v>processed_transcript</v>
      </c>
    </row>
    <row r="3395" spans="1:9" x14ac:dyDescent="0.2">
      <c r="A3395" s="3" t="str">
        <f>"ENSG00000271699.5"</f>
        <v>ENSG00000271699.5</v>
      </c>
      <c r="B3395" s="3">
        <v>20.2285289575367</v>
      </c>
      <c r="C3395" s="3">
        <v>4.3218819068535597</v>
      </c>
      <c r="D3395" s="3">
        <v>1.0282175581511701</v>
      </c>
      <c r="E3395" s="3">
        <v>4.2032757295301604</v>
      </c>
      <c r="F3395" s="4">
        <v>2.6307979907687E-5</v>
      </c>
      <c r="G3395" s="3">
        <v>2.4619688786378901E-4</v>
      </c>
      <c r="H3395" s="3" t="str">
        <f>"SNX29P2"</f>
        <v>SNX29P2</v>
      </c>
      <c r="I3395" s="3" t="str">
        <f>"transcribed_unprocessed_pseudogene"</f>
        <v>transcribed_unprocessed_pseudogene</v>
      </c>
    </row>
    <row r="3396" spans="1:9" x14ac:dyDescent="0.2">
      <c r="A3396" s="3" t="str">
        <f>"ENSG00000254206.5"</f>
        <v>ENSG00000254206.5</v>
      </c>
      <c r="B3396" s="3">
        <v>481.52712608978698</v>
      </c>
      <c r="C3396" s="3">
        <v>2.52193028718108</v>
      </c>
      <c r="D3396" s="3">
        <v>0.31705001823943102</v>
      </c>
      <c r="E3396" s="3">
        <v>7.9543609591486</v>
      </c>
      <c r="F3396" s="4">
        <v>1.80058457621039E-15</v>
      </c>
      <c r="G3396" s="4">
        <v>6.8213411166524806E-14</v>
      </c>
      <c r="H3396" s="3" t="str">
        <f>"NPIPB11"</f>
        <v>NPIPB11</v>
      </c>
      <c r="I3396" s="3" t="str">
        <f>"protein_coding"</f>
        <v>protein_coding</v>
      </c>
    </row>
    <row r="3397" spans="1:9" x14ac:dyDescent="0.2">
      <c r="A3397" s="3" t="str">
        <f>"ENSG00000254634.4"</f>
        <v>ENSG00000254634.4</v>
      </c>
      <c r="B3397" s="3">
        <v>162.591287906676</v>
      </c>
      <c r="C3397" s="3">
        <v>1.37819382609667</v>
      </c>
      <c r="D3397" s="3">
        <v>0.38909835350635702</v>
      </c>
      <c r="E3397" s="3">
        <v>3.5420191673315702</v>
      </c>
      <c r="F3397" s="3">
        <v>3.9707662000986398E-4</v>
      </c>
      <c r="G3397" s="3">
        <v>2.7380653443936798E-3</v>
      </c>
      <c r="H3397" s="3" t="str">
        <f>"SMG1P6"</f>
        <v>SMG1P6</v>
      </c>
      <c r="I3397" s="3" t="str">
        <f>"unprocessed_pseudogene"</f>
        <v>unprocessed_pseudogene</v>
      </c>
    </row>
    <row r="3398" spans="1:9" x14ac:dyDescent="0.2">
      <c r="A3398" s="3" t="str">
        <f>"ENSG00000169203.16"</f>
        <v>ENSG00000169203.16</v>
      </c>
      <c r="B3398" s="3">
        <v>786.03818764309699</v>
      </c>
      <c r="C3398" s="3">
        <v>1.91446341024865</v>
      </c>
      <c r="D3398" s="3">
        <v>0.29684737012938101</v>
      </c>
      <c r="E3398" s="3">
        <v>6.4493190874968302</v>
      </c>
      <c r="F3398" s="4">
        <v>1.12353788114943E-10</v>
      </c>
      <c r="G3398" s="4">
        <v>2.56466382942958E-9</v>
      </c>
      <c r="H3398" s="3" t="str">
        <f>"NPIPB12"</f>
        <v>NPIPB12</v>
      </c>
      <c r="I3398" s="3" t="str">
        <f>"protein_coding"</f>
        <v>protein_coding</v>
      </c>
    </row>
    <row r="3399" spans="1:9" x14ac:dyDescent="0.2">
      <c r="A3399" s="3" t="str">
        <f>"ENSG00000205534.6"</f>
        <v>ENSG00000205534.6</v>
      </c>
      <c r="B3399" s="3">
        <v>573.6130021486</v>
      </c>
      <c r="C3399" s="3">
        <v>1.1983347526439401</v>
      </c>
      <c r="D3399" s="3">
        <v>0.26943706810225299</v>
      </c>
      <c r="E3399" s="3">
        <v>4.44754970459062</v>
      </c>
      <c r="F3399" s="4">
        <v>8.6855365353216906E-6</v>
      </c>
      <c r="G3399" s="4">
        <v>9.0357597827136904E-5</v>
      </c>
      <c r="H3399" s="3" t="str">
        <f>"SMG1P2"</f>
        <v>SMG1P2</v>
      </c>
      <c r="I3399" s="3" t="str">
        <f>"unprocessed_pseudogene"</f>
        <v>unprocessed_pseudogene</v>
      </c>
    </row>
    <row r="3400" spans="1:9" x14ac:dyDescent="0.2">
      <c r="A3400" s="3" t="str">
        <f>"ENSG00000103495.14"</f>
        <v>ENSG00000103495.14</v>
      </c>
      <c r="B3400" s="3">
        <v>5314.7796732483803</v>
      </c>
      <c r="C3400" s="3">
        <v>-1.2038604906093699</v>
      </c>
      <c r="D3400" s="3">
        <v>0.29344169842407197</v>
      </c>
      <c r="E3400" s="3">
        <v>-4.1025542623106901</v>
      </c>
      <c r="F3400" s="4">
        <v>4.0861398330532703E-5</v>
      </c>
      <c r="G3400" s="3">
        <v>3.6513977797675003E-4</v>
      </c>
      <c r="H3400" s="3" t="str">
        <f>"MAZ"</f>
        <v>MAZ</v>
      </c>
      <c r="I3400" s="3" t="str">
        <f>"protein_coding"</f>
        <v>protein_coding</v>
      </c>
    </row>
    <row r="3401" spans="1:9" x14ac:dyDescent="0.2">
      <c r="A3401" s="3" t="str">
        <f>"ENSG00000013364.19"</f>
        <v>ENSG00000013364.19</v>
      </c>
      <c r="B3401" s="3">
        <v>1183.01710379271</v>
      </c>
      <c r="C3401" s="3">
        <v>2.33978788875655</v>
      </c>
      <c r="D3401" s="3">
        <v>0.30339344104909599</v>
      </c>
      <c r="E3401" s="3">
        <v>7.71205824577439</v>
      </c>
      <c r="F3401" s="4">
        <v>1.2380460128666499E-14</v>
      </c>
      <c r="G3401" s="4">
        <v>4.3254232574528501E-13</v>
      </c>
      <c r="H3401" s="3" t="str">
        <f>"MVP"</f>
        <v>MVP</v>
      </c>
      <c r="I3401" s="3" t="str">
        <f>"protein_coding"</f>
        <v>protein_coding</v>
      </c>
    </row>
    <row r="3402" spans="1:9" x14ac:dyDescent="0.2">
      <c r="A3402" s="3" t="str">
        <f>"ENSG00000174939.11"</f>
        <v>ENSG00000174939.11</v>
      </c>
      <c r="B3402" s="3">
        <v>648.11978901961595</v>
      </c>
      <c r="C3402" s="3">
        <v>-1.9071920366748401</v>
      </c>
      <c r="D3402" s="3">
        <v>0.28324096082111899</v>
      </c>
      <c r="E3402" s="3">
        <v>-6.7334612590843701</v>
      </c>
      <c r="F3402" s="4">
        <v>1.6567378841590499E-11</v>
      </c>
      <c r="G3402" s="4">
        <v>4.1509204657391199E-10</v>
      </c>
      <c r="H3402" s="3" t="str">
        <f>"ASPHD1"</f>
        <v>ASPHD1</v>
      </c>
      <c r="I3402" s="3" t="str">
        <f>"protein_coding"</f>
        <v>protein_coding</v>
      </c>
    </row>
    <row r="3403" spans="1:9" x14ac:dyDescent="0.2">
      <c r="A3403" s="3" t="str">
        <f>"ENSG00000285043.1"</f>
        <v>ENSG00000285043.1</v>
      </c>
      <c r="B3403" s="3">
        <v>38.351107049558003</v>
      </c>
      <c r="C3403" s="3">
        <v>-2.0407571605578601</v>
      </c>
      <c r="D3403" s="3">
        <v>0.71939694205410698</v>
      </c>
      <c r="E3403" s="3">
        <v>-2.8367609608276201</v>
      </c>
      <c r="F3403" s="3">
        <v>4.5573718085216699E-3</v>
      </c>
      <c r="G3403" s="3">
        <v>2.1957611155595198E-2</v>
      </c>
      <c r="H3403" s="3" t="str">
        <f>"AC093512.2"</f>
        <v>AC093512.2</v>
      </c>
      <c r="I3403" s="3" t="str">
        <f>"protein_coding"</f>
        <v>protein_coding</v>
      </c>
    </row>
    <row r="3404" spans="1:9" x14ac:dyDescent="0.2">
      <c r="A3404" s="3" t="str">
        <f>"ENSG00000090238.11"</f>
        <v>ENSG00000090238.11</v>
      </c>
      <c r="B3404" s="3">
        <v>1206.17692896741</v>
      </c>
      <c r="C3404" s="3">
        <v>2.0810607204860201</v>
      </c>
      <c r="D3404" s="3">
        <v>0.30540774670328003</v>
      </c>
      <c r="E3404" s="3">
        <v>6.8140403868271404</v>
      </c>
      <c r="F3404" s="4">
        <v>9.4895045260697902E-12</v>
      </c>
      <c r="G3404" s="4">
        <v>2.4432803106784601E-10</v>
      </c>
      <c r="H3404" s="3" t="str">
        <f>"YPEL3"</f>
        <v>YPEL3</v>
      </c>
      <c r="I3404" s="3" t="str">
        <f>"protein_coding"</f>
        <v>protein_coding</v>
      </c>
    </row>
    <row r="3405" spans="1:9" x14ac:dyDescent="0.2">
      <c r="A3405" s="3" t="str">
        <f>"ENSG00000250616.2"</f>
        <v>ENSG00000250616.2</v>
      </c>
      <c r="B3405" s="3">
        <v>50.597773948320203</v>
      </c>
      <c r="C3405" s="3">
        <v>-1.6591153560790499</v>
      </c>
      <c r="D3405" s="3">
        <v>0.51893792227487601</v>
      </c>
      <c r="E3405" s="3">
        <v>-3.1971364682811299</v>
      </c>
      <c r="F3405" s="3">
        <v>1.38799242998375E-3</v>
      </c>
      <c r="G3405" s="3">
        <v>8.0597759871286097E-3</v>
      </c>
      <c r="H3405" s="3" t="str">
        <f>"AC012645.1"</f>
        <v>AC012645.1</v>
      </c>
      <c r="I3405" s="3" t="str">
        <f>"antisense"</f>
        <v>antisense</v>
      </c>
    </row>
    <row r="3406" spans="1:9" x14ac:dyDescent="0.2">
      <c r="A3406" s="3" t="str">
        <f>"ENSG00000261052.5"</f>
        <v>ENSG00000261052.5</v>
      </c>
      <c r="B3406" s="3">
        <v>79.673017382934802</v>
      </c>
      <c r="C3406" s="3">
        <v>1.53573975147824</v>
      </c>
      <c r="D3406" s="3">
        <v>0.46251430079160299</v>
      </c>
      <c r="E3406" s="3">
        <v>3.32041571222726</v>
      </c>
      <c r="F3406" s="3">
        <v>8.9883496046855803E-4</v>
      </c>
      <c r="G3406" s="3">
        <v>5.5745052836751897E-3</v>
      </c>
      <c r="H3406" s="3" t="str">
        <f>"SULT1A3"</f>
        <v>SULT1A3</v>
      </c>
      <c r="I3406" s="3" t="str">
        <f>"protein_coding"</f>
        <v>protein_coding</v>
      </c>
    </row>
    <row r="3407" spans="1:9" x14ac:dyDescent="0.2">
      <c r="A3407" s="3" t="str">
        <f>"ENSG00000198064.13"</f>
        <v>ENSG00000198064.13</v>
      </c>
      <c r="B3407" s="3">
        <v>220.50674520291199</v>
      </c>
      <c r="C3407" s="3">
        <v>2.8076532113525201</v>
      </c>
      <c r="D3407" s="3">
        <v>0.33607995867504098</v>
      </c>
      <c r="E3407" s="3">
        <v>8.3541226987214401</v>
      </c>
      <c r="F3407" s="4">
        <v>6.5920797766894803E-17</v>
      </c>
      <c r="G3407" s="4">
        <v>2.87888483997611E-15</v>
      </c>
      <c r="H3407" s="3" t="str">
        <f>"NPIPB13"</f>
        <v>NPIPB13</v>
      </c>
      <c r="I3407" s="3" t="str">
        <f>"protein_coding"</f>
        <v>protein_coding</v>
      </c>
    </row>
    <row r="3408" spans="1:9" x14ac:dyDescent="0.2">
      <c r="A3408" s="3" t="str">
        <f>"ENSG00000180096.12"</f>
        <v>ENSG00000180096.12</v>
      </c>
      <c r="B3408" s="3">
        <v>88.690868378585094</v>
      </c>
      <c r="C3408" s="3">
        <v>-1.5774495313800001</v>
      </c>
      <c r="D3408" s="3">
        <v>0.43551295530728101</v>
      </c>
      <c r="E3408" s="3">
        <v>-3.6220496133507898</v>
      </c>
      <c r="F3408" s="3">
        <v>2.92278046393051E-4</v>
      </c>
      <c r="G3408" s="3">
        <v>2.0946593324835299E-3</v>
      </c>
      <c r="H3408" s="3" t="str">
        <f>"SEPT1"</f>
        <v>SEPT1</v>
      </c>
      <c r="I3408" s="3" t="str">
        <f>"protein_coding"</f>
        <v>protein_coding</v>
      </c>
    </row>
    <row r="3409" spans="1:9" x14ac:dyDescent="0.2">
      <c r="A3409" s="3" t="str">
        <f>"ENSG00000179958.8"</f>
        <v>ENSG00000179958.8</v>
      </c>
      <c r="B3409" s="3">
        <v>1774.43193491391</v>
      </c>
      <c r="C3409" s="3">
        <v>-1.2615934340303701</v>
      </c>
      <c r="D3409" s="3">
        <v>0.26467952553003898</v>
      </c>
      <c r="E3409" s="3">
        <v>-4.7664942405497497</v>
      </c>
      <c r="F3409" s="4">
        <v>1.87459086118282E-6</v>
      </c>
      <c r="G3409" s="4">
        <v>2.2159461049367401E-5</v>
      </c>
      <c r="H3409" s="3" t="str">
        <f>"DCTPP1"</f>
        <v>DCTPP1</v>
      </c>
      <c r="I3409" s="3" t="str">
        <f>"protein_coding"</f>
        <v>protein_coding</v>
      </c>
    </row>
    <row r="3410" spans="1:9" x14ac:dyDescent="0.2">
      <c r="A3410" s="3" t="str">
        <f>"ENSG00000196118.12"</f>
        <v>ENSG00000196118.12</v>
      </c>
      <c r="B3410" s="3">
        <v>284.00175908346301</v>
      </c>
      <c r="C3410" s="3">
        <v>-1.09750281073194</v>
      </c>
      <c r="D3410" s="3">
        <v>0.35912973150371102</v>
      </c>
      <c r="E3410" s="3">
        <v>-3.0560065470953601</v>
      </c>
      <c r="F3410" s="3">
        <v>2.24306357946511E-3</v>
      </c>
      <c r="G3410" s="3">
        <v>1.20796969260212E-2</v>
      </c>
      <c r="H3410" s="3" t="str">
        <f>"CCDC189"</f>
        <v>CCDC189</v>
      </c>
      <c r="I3410" s="3" t="str">
        <f>"protein_coding"</f>
        <v>protein_coding</v>
      </c>
    </row>
    <row r="3411" spans="1:9" x14ac:dyDescent="0.2">
      <c r="A3411" s="3" t="str">
        <f>"ENSG00000260852.1"</f>
        <v>ENSG00000260852.1</v>
      </c>
      <c r="B3411" s="3">
        <v>489.10374188765002</v>
      </c>
      <c r="C3411" s="3">
        <v>-1.11996640298009</v>
      </c>
      <c r="D3411" s="3">
        <v>0.30736510785552101</v>
      </c>
      <c r="E3411" s="3">
        <v>-3.6437655880788502</v>
      </c>
      <c r="F3411" s="3">
        <v>2.6867813573648499E-4</v>
      </c>
      <c r="G3411" s="3">
        <v>1.9394875115877599E-3</v>
      </c>
      <c r="H3411" s="3" t="str">
        <f>"FBXL19-AS1"</f>
        <v>FBXL19-AS1</v>
      </c>
      <c r="I3411" s="3" t="str">
        <f>"antisense"</f>
        <v>antisense</v>
      </c>
    </row>
    <row r="3412" spans="1:9" x14ac:dyDescent="0.2">
      <c r="A3412" s="3" t="str">
        <f>"ENSG00000175938.7"</f>
        <v>ENSG00000175938.7</v>
      </c>
      <c r="B3412" s="3">
        <v>804.875050555494</v>
      </c>
      <c r="C3412" s="3">
        <v>2.5894019131390098</v>
      </c>
      <c r="D3412" s="3">
        <v>0.29794503474665701</v>
      </c>
      <c r="E3412" s="3">
        <v>8.6908711713916507</v>
      </c>
      <c r="F3412" s="4">
        <v>3.5967071195933801E-18</v>
      </c>
      <c r="G3412" s="4">
        <v>1.7135448407835499E-16</v>
      </c>
      <c r="H3412" s="3" t="str">
        <f>"ORAI3"</f>
        <v>ORAI3</v>
      </c>
      <c r="I3412" s="3" t="str">
        <f>"protein_coding"</f>
        <v>protein_coding</v>
      </c>
    </row>
    <row r="3413" spans="1:9" x14ac:dyDescent="0.2">
      <c r="A3413" s="3" t="str">
        <f>"ENSG00000279196.1"</f>
        <v>ENSG00000279196.1</v>
      </c>
      <c r="B3413" s="3">
        <v>48.221852193193698</v>
      </c>
      <c r="C3413" s="3">
        <v>2.4375573308026102</v>
      </c>
      <c r="D3413" s="3">
        <v>0.55860400869409399</v>
      </c>
      <c r="E3413" s="3">
        <v>4.3636588582690896</v>
      </c>
      <c r="F3413" s="4">
        <v>1.27904982647399E-5</v>
      </c>
      <c r="G3413" s="3">
        <v>1.2747424082786501E-4</v>
      </c>
      <c r="H3413" s="3" t="str">
        <f>"AC135048.4"</f>
        <v>AC135048.4</v>
      </c>
      <c r="I3413" s="3" t="str">
        <f>"TEC"</f>
        <v>TEC</v>
      </c>
    </row>
    <row r="3414" spans="1:9" x14ac:dyDescent="0.2">
      <c r="A3414" s="3" t="str">
        <f>"ENSG00000099365.11"</f>
        <v>ENSG00000099365.11</v>
      </c>
      <c r="B3414" s="3">
        <v>519.59824542466504</v>
      </c>
      <c r="C3414" s="3">
        <v>2.87571555459082</v>
      </c>
      <c r="D3414" s="3">
        <v>0.31760014900259598</v>
      </c>
      <c r="E3414" s="3">
        <v>9.0545157602155797</v>
      </c>
      <c r="F3414" s="4">
        <v>1.37175073813338E-19</v>
      </c>
      <c r="G3414" s="4">
        <v>7.2189100037123893E-18</v>
      </c>
      <c r="H3414" s="3" t="str">
        <f>"STX1B"</f>
        <v>STX1B</v>
      </c>
      <c r="I3414" s="3" t="str">
        <f>"protein_coding"</f>
        <v>protein_coding</v>
      </c>
    </row>
    <row r="3415" spans="1:9" x14ac:dyDescent="0.2">
      <c r="A3415" s="3" t="str">
        <f>"ENSG00000103490.14"</f>
        <v>ENSG00000103490.14</v>
      </c>
      <c r="B3415" s="3">
        <v>369.03977055023802</v>
      </c>
      <c r="C3415" s="3">
        <v>1.18810695846884</v>
      </c>
      <c r="D3415" s="3">
        <v>0.34622733473311201</v>
      </c>
      <c r="E3415" s="3">
        <v>3.4315804654323201</v>
      </c>
      <c r="F3415" s="3">
        <v>6.0007508151632E-4</v>
      </c>
      <c r="G3415" s="3">
        <v>3.9309605925893299E-3</v>
      </c>
      <c r="H3415" s="3" t="str">
        <f>"PYCARD"</f>
        <v>PYCARD</v>
      </c>
      <c r="I3415" s="3" t="str">
        <f>"protein_coding"</f>
        <v>protein_coding</v>
      </c>
    </row>
    <row r="3416" spans="1:9" x14ac:dyDescent="0.2">
      <c r="A3416" s="3" t="str">
        <f>"ENSG00000261359.2"</f>
        <v>ENSG00000261359.2</v>
      </c>
      <c r="B3416" s="3">
        <v>46.020239628573101</v>
      </c>
      <c r="C3416" s="3">
        <v>2.7798947130643801</v>
      </c>
      <c r="D3416" s="3">
        <v>0.58060237039722995</v>
      </c>
      <c r="E3416" s="3">
        <v>4.7879493002456401</v>
      </c>
      <c r="F3416" s="4">
        <v>1.68494199642346E-6</v>
      </c>
      <c r="G3416" s="4">
        <v>2.00685207954698E-5</v>
      </c>
      <c r="H3416" s="3" t="str">
        <f>"PYCARD-AS1"</f>
        <v>PYCARD-AS1</v>
      </c>
      <c r="I3416" s="3" t="str">
        <f>"antisense"</f>
        <v>antisense</v>
      </c>
    </row>
    <row r="3417" spans="1:9" x14ac:dyDescent="0.2">
      <c r="A3417" s="3" t="str">
        <f>"ENSG00000169896.17"</f>
        <v>ENSG00000169896.17</v>
      </c>
      <c r="B3417" s="3">
        <v>224.70835288212101</v>
      </c>
      <c r="C3417" s="3">
        <v>3.2112870891266798</v>
      </c>
      <c r="D3417" s="3">
        <v>0.37994831564173998</v>
      </c>
      <c r="E3417" s="3">
        <v>8.4519050537248894</v>
      </c>
      <c r="F3417" s="4">
        <v>2.8658762084254101E-17</v>
      </c>
      <c r="G3417" s="4">
        <v>1.28276007158258E-15</v>
      </c>
      <c r="H3417" s="3" t="str">
        <f>"ITGAM"</f>
        <v>ITGAM</v>
      </c>
      <c r="I3417" s="3" t="str">
        <f>"protein_coding"</f>
        <v>protein_coding</v>
      </c>
    </row>
    <row r="3418" spans="1:9" x14ac:dyDescent="0.2">
      <c r="A3418" s="3" t="str">
        <f>"ENSG00000140678.16"</f>
        <v>ENSG00000140678.16</v>
      </c>
      <c r="B3418" s="3">
        <v>60.158852529436601</v>
      </c>
      <c r="C3418" s="3">
        <v>2.9034650924134899</v>
      </c>
      <c r="D3418" s="3">
        <v>0.52676773241637198</v>
      </c>
      <c r="E3418" s="3">
        <v>5.5118506957417601</v>
      </c>
      <c r="F3418" s="4">
        <v>3.5508007746990602E-8</v>
      </c>
      <c r="G3418" s="4">
        <v>5.7146764867277499E-7</v>
      </c>
      <c r="H3418" s="3" t="str">
        <f>"ITGAX"</f>
        <v>ITGAX</v>
      </c>
      <c r="I3418" s="3" t="str">
        <f>"protein_coding"</f>
        <v>protein_coding</v>
      </c>
    </row>
    <row r="3419" spans="1:9" x14ac:dyDescent="0.2">
      <c r="A3419" s="3" t="str">
        <f>"ENSG00000140691.16"</f>
        <v>ENSG00000140691.16</v>
      </c>
      <c r="B3419" s="3">
        <v>427.652515620739</v>
      </c>
      <c r="C3419" s="3">
        <v>-1.09356595209281</v>
      </c>
      <c r="D3419" s="3">
        <v>0.30403693307125901</v>
      </c>
      <c r="E3419" s="3">
        <v>-3.59681944244748</v>
      </c>
      <c r="F3419" s="3">
        <v>3.2213192148214799E-4</v>
      </c>
      <c r="G3419" s="3">
        <v>2.2838862696965699E-3</v>
      </c>
      <c r="H3419" s="3" t="str">
        <f>"ARMC5"</f>
        <v>ARMC5</v>
      </c>
      <c r="I3419" s="3" t="str">
        <f>"protein_coding"</f>
        <v>protein_coding</v>
      </c>
    </row>
    <row r="3420" spans="1:9" x14ac:dyDescent="0.2">
      <c r="A3420" s="3" t="str">
        <f>"ENSG00000131797.12"</f>
        <v>ENSG00000131797.12</v>
      </c>
      <c r="B3420" s="3">
        <v>2606.9492093405402</v>
      </c>
      <c r="C3420" s="3">
        <v>-1.06986219393907</v>
      </c>
      <c r="D3420" s="3">
        <v>0.306201547903104</v>
      </c>
      <c r="E3420" s="3">
        <v>-3.49398035792303</v>
      </c>
      <c r="F3420" s="3">
        <v>4.7587602908417498E-4</v>
      </c>
      <c r="G3420" s="3">
        <v>3.2032811109479302E-3</v>
      </c>
      <c r="H3420" s="3" t="str">
        <f>"CLUHP3"</f>
        <v>CLUHP3</v>
      </c>
      <c r="I3420" s="3" t="str">
        <f>"transcribed_unprocessed_pseudogene"</f>
        <v>transcribed_unprocessed_pseudogene</v>
      </c>
    </row>
    <row r="3421" spans="1:9" x14ac:dyDescent="0.2">
      <c r="A3421" s="3" t="str">
        <f>"ENSG00000260628.5"</f>
        <v>ENSG00000260628.5</v>
      </c>
      <c r="B3421" s="3">
        <v>39.455012407371399</v>
      </c>
      <c r="C3421" s="3">
        <v>7.3673072784538798</v>
      </c>
      <c r="D3421" s="3">
        <v>1.5141438238668099</v>
      </c>
      <c r="E3421" s="3">
        <v>4.8656588379030401</v>
      </c>
      <c r="F3421" s="4">
        <v>1.1407615101348401E-6</v>
      </c>
      <c r="G3421" s="4">
        <v>1.4066595974236299E-5</v>
      </c>
      <c r="H3421" s="3" t="str">
        <f>"AC142381.3"</f>
        <v>AC142381.3</v>
      </c>
      <c r="I3421" s="3" t="str">
        <f>"transcribed_unprocessed_pseudogene"</f>
        <v>transcribed_unprocessed_pseudogene</v>
      </c>
    </row>
    <row r="3422" spans="1:9" x14ac:dyDescent="0.2">
      <c r="A3422" s="3" t="str">
        <f>"ENSG00000261580.1"</f>
        <v>ENSG00000261580.1</v>
      </c>
      <c r="B3422" s="3">
        <v>22.776778219363599</v>
      </c>
      <c r="C3422" s="3">
        <v>2.83463758929742</v>
      </c>
      <c r="D3422" s="3">
        <v>0.79394042685629695</v>
      </c>
      <c r="E3422" s="3">
        <v>3.5703404102011902</v>
      </c>
      <c r="F3422" s="3">
        <v>3.5651761131015998E-4</v>
      </c>
      <c r="G3422" s="3">
        <v>2.4939378510865002E-3</v>
      </c>
      <c r="H3422" s="3" t="str">
        <f>"ENPP7P13"</f>
        <v>ENPP7P13</v>
      </c>
      <c r="I3422" s="3" t="str">
        <f>"processed_pseudogene"</f>
        <v>processed_pseudogene</v>
      </c>
    </row>
    <row r="3423" spans="1:9" x14ac:dyDescent="0.2">
      <c r="A3423" s="3" t="str">
        <f>"ENSG00000260781.1"</f>
        <v>ENSG00000260781.1</v>
      </c>
      <c r="B3423" s="3">
        <v>12.294123237630201</v>
      </c>
      <c r="C3423" s="3">
        <v>3.29559173548409</v>
      </c>
      <c r="D3423" s="3">
        <v>1.19518458503616</v>
      </c>
      <c r="E3423" s="3">
        <v>2.7573914328759499</v>
      </c>
      <c r="F3423" s="3">
        <v>5.8264557826030201E-3</v>
      </c>
      <c r="G3423" s="3">
        <v>2.6854984257299E-2</v>
      </c>
      <c r="H3423" s="3" t="str">
        <f>"ARHGAP23P1"</f>
        <v>ARHGAP23P1</v>
      </c>
      <c r="I3423" s="3" t="str">
        <f>"transcribed_unprocessed_pseudogene"</f>
        <v>transcribed_unprocessed_pseudogene</v>
      </c>
    </row>
    <row r="3424" spans="1:9" x14ac:dyDescent="0.2">
      <c r="A3424" s="3" t="str">
        <f>"ENSG00000091651.9"</f>
        <v>ENSG00000091651.9</v>
      </c>
      <c r="B3424" s="3">
        <v>1684.59640883</v>
      </c>
      <c r="C3424" s="3">
        <v>-1.0293267772997601</v>
      </c>
      <c r="D3424" s="3">
        <v>0.24404331122425599</v>
      </c>
      <c r="E3424" s="3">
        <v>-4.2178036846659896</v>
      </c>
      <c r="F3424" s="4">
        <v>2.46693451060463E-5</v>
      </c>
      <c r="G3424" s="3">
        <v>2.32418492937301E-4</v>
      </c>
      <c r="H3424" s="3" t="str">
        <f>"ORC6"</f>
        <v>ORC6</v>
      </c>
      <c r="I3424" s="3" t="str">
        <f t="shared" ref="I3424:I3429" si="140">"protein_coding"</f>
        <v>protein_coding</v>
      </c>
    </row>
    <row r="3425" spans="1:9" x14ac:dyDescent="0.2">
      <c r="A3425" s="3" t="str">
        <f>"ENSG00000171208.9"</f>
        <v>ENSG00000171208.9</v>
      </c>
      <c r="B3425" s="3">
        <v>1548.6792119910699</v>
      </c>
      <c r="C3425" s="3">
        <v>1.0097127803800301</v>
      </c>
      <c r="D3425" s="3">
        <v>0.24670311327946201</v>
      </c>
      <c r="E3425" s="3">
        <v>4.0928254490093998</v>
      </c>
      <c r="F3425" s="4">
        <v>4.2614851442284403E-5</v>
      </c>
      <c r="G3425" s="3">
        <v>3.79595109076014E-4</v>
      </c>
      <c r="H3425" s="3" t="str">
        <f>"NETO2"</f>
        <v>NETO2</v>
      </c>
      <c r="I3425" s="3" t="str">
        <f t="shared" si="140"/>
        <v>protein_coding</v>
      </c>
    </row>
    <row r="3426" spans="1:9" x14ac:dyDescent="0.2">
      <c r="A3426" s="3" t="str">
        <f>"ENSG00000129636.12"</f>
        <v>ENSG00000129636.12</v>
      </c>
      <c r="B3426" s="3">
        <v>3026.8451673324098</v>
      </c>
      <c r="C3426" s="3">
        <v>1.6671546027781201</v>
      </c>
      <c r="D3426" s="3">
        <v>0.25490723035436502</v>
      </c>
      <c r="E3426" s="3">
        <v>6.5402405434341198</v>
      </c>
      <c r="F3426" s="4">
        <v>6.1419965051965598E-11</v>
      </c>
      <c r="G3426" s="4">
        <v>1.4466472105638501E-9</v>
      </c>
      <c r="H3426" s="3" t="str">
        <f>"ITFG1"</f>
        <v>ITFG1</v>
      </c>
      <c r="I3426" s="3" t="str">
        <f t="shared" si="140"/>
        <v>protein_coding</v>
      </c>
    </row>
    <row r="3427" spans="1:9" x14ac:dyDescent="0.2">
      <c r="A3427" s="3" t="str">
        <f>"ENSG00000121270.15"</f>
        <v>ENSG00000121270.15</v>
      </c>
      <c r="B3427" s="3">
        <v>214.796072848205</v>
      </c>
      <c r="C3427" s="3">
        <v>1.88315996318896</v>
      </c>
      <c r="D3427" s="3">
        <v>0.33986637610319698</v>
      </c>
      <c r="E3427" s="3">
        <v>5.5408834047683397</v>
      </c>
      <c r="F3427" s="4">
        <v>3.0094955372786997E-8</v>
      </c>
      <c r="G3427" s="4">
        <v>4.9094591595490105E-7</v>
      </c>
      <c r="H3427" s="3" t="str">
        <f>"ABCC11"</f>
        <v>ABCC11</v>
      </c>
      <c r="I3427" s="3" t="str">
        <f t="shared" si="140"/>
        <v>protein_coding</v>
      </c>
    </row>
    <row r="3428" spans="1:9" x14ac:dyDescent="0.2">
      <c r="A3428" s="3" t="str">
        <f>"ENSG00000102910.13"</f>
        <v>ENSG00000102910.13</v>
      </c>
      <c r="B3428" s="3">
        <v>5498.1794230068999</v>
      </c>
      <c r="C3428" s="3">
        <v>1.7136142653828601</v>
      </c>
      <c r="D3428" s="3">
        <v>0.23679465611969799</v>
      </c>
      <c r="E3428" s="3">
        <v>7.2367100400975399</v>
      </c>
      <c r="F3428" s="4">
        <v>4.5969950615708796E-13</v>
      </c>
      <c r="G3428" s="4">
        <v>1.3865396975277599E-11</v>
      </c>
      <c r="H3428" s="3" t="str">
        <f>"LONP2"</f>
        <v>LONP2</v>
      </c>
      <c r="I3428" s="3" t="str">
        <f t="shared" si="140"/>
        <v>protein_coding</v>
      </c>
    </row>
    <row r="3429" spans="1:9" x14ac:dyDescent="0.2">
      <c r="A3429" s="3" t="str">
        <f>"ENSG00000102935.11"</f>
        <v>ENSG00000102935.11</v>
      </c>
      <c r="B3429" s="3">
        <v>347.75030823524799</v>
      </c>
      <c r="C3429" s="3">
        <v>5.0868352703030704</v>
      </c>
      <c r="D3429" s="3">
        <v>0.37297689754845198</v>
      </c>
      <c r="E3429" s="3">
        <v>13.638472794799</v>
      </c>
      <c r="F3429" s="4">
        <v>2.3646075815474199E-42</v>
      </c>
      <c r="G3429" s="4">
        <v>4.5405880697576698E-40</v>
      </c>
      <c r="H3429" s="3" t="str">
        <f>"ZNF423"</f>
        <v>ZNF423</v>
      </c>
      <c r="I3429" s="3" t="str">
        <f t="shared" si="140"/>
        <v>protein_coding</v>
      </c>
    </row>
    <row r="3430" spans="1:9" x14ac:dyDescent="0.2">
      <c r="A3430" s="3" t="str">
        <f>"ENSG00000275155.1"</f>
        <v>ENSG00000275155.1</v>
      </c>
      <c r="B3430" s="3">
        <v>19.199206542427099</v>
      </c>
      <c r="C3430" s="3">
        <v>7.7830181843066004</v>
      </c>
      <c r="D3430" s="3">
        <v>1.62580236299751</v>
      </c>
      <c r="E3430" s="3">
        <v>4.7871859221295097</v>
      </c>
      <c r="F3430" s="4">
        <v>1.6913613416080501E-6</v>
      </c>
      <c r="G3430" s="4">
        <v>2.0135444651277999E-5</v>
      </c>
      <c r="H3430" s="3" t="str">
        <f>"AC027348.1"</f>
        <v>AC027348.1</v>
      </c>
      <c r="I3430" s="3" t="str">
        <f>"sense_intronic"</f>
        <v>sense_intronic</v>
      </c>
    </row>
    <row r="3431" spans="1:9" x14ac:dyDescent="0.2">
      <c r="A3431" s="3" t="str">
        <f>"ENSG00000167207.13"</f>
        <v>ENSG00000167207.13</v>
      </c>
      <c r="B3431" s="3">
        <v>89.6942500333694</v>
      </c>
      <c r="C3431" s="3">
        <v>-4.11360304211511</v>
      </c>
      <c r="D3431" s="3">
        <v>0.52919392794849995</v>
      </c>
      <c r="E3431" s="3">
        <v>-7.77333757033478</v>
      </c>
      <c r="F3431" s="4">
        <v>7.6444661358208106E-15</v>
      </c>
      <c r="G3431" s="4">
        <v>2.73148502338881E-13</v>
      </c>
      <c r="H3431" s="3" t="str">
        <f>"NOD2"</f>
        <v>NOD2</v>
      </c>
      <c r="I3431" s="3" t="str">
        <f>"protein_coding"</f>
        <v>protein_coding</v>
      </c>
    </row>
    <row r="3432" spans="1:9" x14ac:dyDescent="0.2">
      <c r="A3432" s="3" t="str">
        <f>"ENSG00000270120.1"</f>
        <v>ENSG00000270120.1</v>
      </c>
      <c r="B3432" s="3">
        <v>11.919803978211499</v>
      </c>
      <c r="C3432" s="3">
        <v>-5.4995972961310597</v>
      </c>
      <c r="D3432" s="3">
        <v>1.68558542878645</v>
      </c>
      <c r="E3432" s="3">
        <v>-3.2627223765754301</v>
      </c>
      <c r="F3432" s="3">
        <v>1.1034756109853799E-3</v>
      </c>
      <c r="G3432" s="3">
        <v>6.6343042529486904E-3</v>
      </c>
      <c r="H3432" s="3" t="str">
        <f>"AC007728.3"</f>
        <v>AC007728.3</v>
      </c>
      <c r="I3432" s="3" t="str">
        <f>"sense_intronic"</f>
        <v>sense_intronic</v>
      </c>
    </row>
    <row r="3433" spans="1:9" x14ac:dyDescent="0.2">
      <c r="A3433" s="3" t="str">
        <f>"ENSG00000260605.1"</f>
        <v>ENSG00000260605.1</v>
      </c>
      <c r="B3433" s="3">
        <v>44.002412587957302</v>
      </c>
      <c r="C3433" s="3">
        <v>-3.86531953888989</v>
      </c>
      <c r="D3433" s="3">
        <v>0.68334643266627004</v>
      </c>
      <c r="E3433" s="3">
        <v>-5.6564567459703401</v>
      </c>
      <c r="F3433" s="4">
        <v>1.5452989930583999E-8</v>
      </c>
      <c r="G3433" s="4">
        <v>2.6533785781832099E-7</v>
      </c>
      <c r="H3433" s="3" t="str">
        <f>"AC027688.1"</f>
        <v>AC027688.1</v>
      </c>
      <c r="I3433" s="3" t="str">
        <f>"lincRNA"</f>
        <v>lincRNA</v>
      </c>
    </row>
    <row r="3434" spans="1:9" x14ac:dyDescent="0.2">
      <c r="A3434" s="3" t="str">
        <f>"ENSG00000260620.1"</f>
        <v>ENSG00000260620.1</v>
      </c>
      <c r="B3434" s="3">
        <v>18.427511760280399</v>
      </c>
      <c r="C3434" s="3">
        <v>-4.0669935172988501</v>
      </c>
      <c r="D3434" s="3">
        <v>1.02774130594998</v>
      </c>
      <c r="E3434" s="3">
        <v>-3.9572151997331302</v>
      </c>
      <c r="F3434" s="4">
        <v>7.5828612327207595E-5</v>
      </c>
      <c r="G3434" s="3">
        <v>6.3561104401563002E-4</v>
      </c>
      <c r="H3434" s="3" t="str">
        <f>"AC027688.2"</f>
        <v>AC027688.2</v>
      </c>
      <c r="I3434" s="3" t="str">
        <f>"lincRNA"</f>
        <v>lincRNA</v>
      </c>
    </row>
    <row r="3435" spans="1:9" x14ac:dyDescent="0.2">
      <c r="A3435" s="3" t="str">
        <f>"ENSG00000103449.11"</f>
        <v>ENSG00000103449.11</v>
      </c>
      <c r="B3435" s="3">
        <v>2416.3071953659801</v>
      </c>
      <c r="C3435" s="3">
        <v>-1.6142202943696899</v>
      </c>
      <c r="D3435" s="3">
        <v>0.28238310257351901</v>
      </c>
      <c r="E3435" s="3">
        <v>-5.7164195720578697</v>
      </c>
      <c r="F3435" s="4">
        <v>1.0879192526686701E-8</v>
      </c>
      <c r="G3435" s="4">
        <v>1.9057527020111701E-7</v>
      </c>
      <c r="H3435" s="3" t="str">
        <f>"SALL1"</f>
        <v>SALL1</v>
      </c>
      <c r="I3435" s="3" t="str">
        <f>"protein_coding"</f>
        <v>protein_coding</v>
      </c>
    </row>
    <row r="3436" spans="1:9" x14ac:dyDescent="0.2">
      <c r="A3436" s="3" t="str">
        <f>"ENSG00000103460.17"</f>
        <v>ENSG00000103460.17</v>
      </c>
      <c r="B3436" s="3">
        <v>1280.7095474862199</v>
      </c>
      <c r="C3436" s="3">
        <v>-2.6945979099033002</v>
      </c>
      <c r="D3436" s="3">
        <v>0.25178042354969798</v>
      </c>
      <c r="E3436" s="3">
        <v>-10.702174028917</v>
      </c>
      <c r="F3436" s="4">
        <v>9.9417869796277498E-27</v>
      </c>
      <c r="G3436" s="4">
        <v>8.6236431542253804E-25</v>
      </c>
      <c r="H3436" s="3" t="str">
        <f>"TOX3"</f>
        <v>TOX3</v>
      </c>
      <c r="I3436" s="3" t="str">
        <f>"protein_coding"</f>
        <v>protein_coding</v>
      </c>
    </row>
    <row r="3437" spans="1:9" x14ac:dyDescent="0.2">
      <c r="A3437" s="3" t="str">
        <f>"ENSG00000249231.7"</f>
        <v>ENSG00000249231.7</v>
      </c>
      <c r="B3437" s="3">
        <v>18.494722784254801</v>
      </c>
      <c r="C3437" s="3">
        <v>-3.6957374155451599</v>
      </c>
      <c r="D3437" s="3">
        <v>1.0292942232608799</v>
      </c>
      <c r="E3437" s="3">
        <v>-3.5905548987118401</v>
      </c>
      <c r="F3437" s="3">
        <v>3.2997471766694499E-4</v>
      </c>
      <c r="G3437" s="3">
        <v>2.32964188125512E-3</v>
      </c>
      <c r="H3437" s="3" t="str">
        <f>"CASC16"</f>
        <v>CASC16</v>
      </c>
      <c r="I3437" s="3" t="str">
        <f>"lincRNA"</f>
        <v>lincRNA</v>
      </c>
    </row>
    <row r="3438" spans="1:9" x14ac:dyDescent="0.2">
      <c r="A3438" s="3" t="str">
        <f>"ENSG00000260963.1"</f>
        <v>ENSG00000260963.1</v>
      </c>
      <c r="B3438" s="3">
        <v>73.0880281349082</v>
      </c>
      <c r="C3438" s="3">
        <v>-4.1811391279307104</v>
      </c>
      <c r="D3438" s="3">
        <v>0.58770447429554595</v>
      </c>
      <c r="E3438" s="3">
        <v>-7.1143564679211497</v>
      </c>
      <c r="F3438" s="4">
        <v>1.1243620900099201E-12</v>
      </c>
      <c r="G3438" s="4">
        <v>3.2213358057174902E-11</v>
      </c>
      <c r="H3438" s="3" t="str">
        <f>"AC026462.3"</f>
        <v>AC026462.3</v>
      </c>
      <c r="I3438" s="3" t="str">
        <f>"lincRNA"</f>
        <v>lincRNA</v>
      </c>
    </row>
    <row r="3439" spans="1:9" x14ac:dyDescent="0.2">
      <c r="A3439" s="3" t="str">
        <f>"ENSG00000260939.1"</f>
        <v>ENSG00000260939.1</v>
      </c>
      <c r="B3439" s="3">
        <v>8.9669898606464997</v>
      </c>
      <c r="C3439" s="3">
        <v>4.2048654002574102</v>
      </c>
      <c r="D3439" s="3">
        <v>1.4998848504456199</v>
      </c>
      <c r="E3439" s="3">
        <v>2.8034588115268502</v>
      </c>
      <c r="F3439" s="3">
        <v>5.0557689524976602E-3</v>
      </c>
      <c r="G3439" s="3">
        <v>2.3933594768166401E-2</v>
      </c>
      <c r="H3439" s="3" t="str">
        <f>"AC007346.2"</f>
        <v>AC007346.2</v>
      </c>
      <c r="I3439" s="3" t="str">
        <f>"processed_pseudogene"</f>
        <v>processed_pseudogene</v>
      </c>
    </row>
    <row r="3440" spans="1:9" x14ac:dyDescent="0.2">
      <c r="A3440" s="3" t="str">
        <f>"ENSG00000277639.2"</f>
        <v>ENSG00000277639.2</v>
      </c>
      <c r="B3440" s="3">
        <v>204.50732681309501</v>
      </c>
      <c r="C3440" s="3">
        <v>7.7487929987998303</v>
      </c>
      <c r="D3440" s="3">
        <v>0.78990805744741499</v>
      </c>
      <c r="E3440" s="3">
        <v>9.8097404194610007</v>
      </c>
      <c r="F3440" s="4">
        <v>1.02231200945407E-22</v>
      </c>
      <c r="G3440" s="4">
        <v>6.5602700504635797E-21</v>
      </c>
      <c r="H3440" s="3" t="str">
        <f>"AC007906.2"</f>
        <v>AC007906.2</v>
      </c>
      <c r="I3440" s="3" t="str">
        <f>"protein_coding"</f>
        <v>protein_coding</v>
      </c>
    </row>
    <row r="3441" spans="1:9" x14ac:dyDescent="0.2">
      <c r="A3441" s="3" t="str">
        <f>"ENSG00000177200.17"</f>
        <v>ENSG00000177200.17</v>
      </c>
      <c r="B3441" s="3">
        <v>4114.72997033509</v>
      </c>
      <c r="C3441" s="3">
        <v>1.28735944957172</v>
      </c>
      <c r="D3441" s="3">
        <v>0.26598480363976901</v>
      </c>
      <c r="E3441" s="3">
        <v>4.8399736825387603</v>
      </c>
      <c r="F3441" s="4">
        <v>1.2985632377519599E-6</v>
      </c>
      <c r="G3441" s="4">
        <v>1.5787993352175299E-5</v>
      </c>
      <c r="H3441" s="3" t="str">
        <f>"CHD9"</f>
        <v>CHD9</v>
      </c>
      <c r="I3441" s="3" t="str">
        <f>"protein_coding"</f>
        <v>protein_coding</v>
      </c>
    </row>
    <row r="3442" spans="1:9" x14ac:dyDescent="0.2">
      <c r="A3442" s="3" t="str">
        <f>"ENSG00000261291.1"</f>
        <v>ENSG00000261291.1</v>
      </c>
      <c r="B3442" s="3">
        <v>69.437014121948096</v>
      </c>
      <c r="C3442" s="3">
        <v>2.2788414554240801</v>
      </c>
      <c r="D3442" s="3">
        <v>0.49295133940361202</v>
      </c>
      <c r="E3442" s="3">
        <v>4.6228527509045598</v>
      </c>
      <c r="F3442" s="4">
        <v>3.78498406743535E-6</v>
      </c>
      <c r="G3442" s="4">
        <v>4.2543017969765998E-5</v>
      </c>
      <c r="H3442" s="3" t="str">
        <f>"AC007906.1"</f>
        <v>AC007906.1</v>
      </c>
      <c r="I3442" s="3" t="str">
        <f>"sense_intronic"</f>
        <v>sense_intronic</v>
      </c>
    </row>
    <row r="3443" spans="1:9" x14ac:dyDescent="0.2">
      <c r="A3443" s="3" t="str">
        <f>"ENSG00000261056.2"</f>
        <v>ENSG00000261056.2</v>
      </c>
      <c r="B3443" s="3">
        <v>71.597966351988006</v>
      </c>
      <c r="C3443" s="3">
        <v>2.0014232842686499</v>
      </c>
      <c r="D3443" s="3">
        <v>0.46349802586571298</v>
      </c>
      <c r="E3443" s="3">
        <v>4.3180837297643802</v>
      </c>
      <c r="F3443" s="4">
        <v>1.57389726390133E-5</v>
      </c>
      <c r="G3443" s="3">
        <v>1.5411205011069601E-4</v>
      </c>
      <c r="H3443" s="3" t="str">
        <f>"AC079416.1"</f>
        <v>AC079416.1</v>
      </c>
      <c r="I3443" s="3" t="str">
        <f>"transcribed_processed_pseudogene"</f>
        <v>transcribed_processed_pseudogene</v>
      </c>
    </row>
    <row r="3444" spans="1:9" x14ac:dyDescent="0.2">
      <c r="A3444" s="3" t="str">
        <f>"ENSG00000279589.1"</f>
        <v>ENSG00000279589.1</v>
      </c>
      <c r="B3444" s="3">
        <v>23.962860376781101</v>
      </c>
      <c r="C3444" s="3">
        <v>2.0054894139667101</v>
      </c>
      <c r="D3444" s="3">
        <v>0.724617847390297</v>
      </c>
      <c r="E3444" s="3">
        <v>2.7676511435503</v>
      </c>
      <c r="F3444" s="3">
        <v>5.6461857843595198E-3</v>
      </c>
      <c r="G3444" s="3">
        <v>2.61757838933954E-2</v>
      </c>
      <c r="H3444" s="3" t="str">
        <f>"AC079416.2"</f>
        <v>AC079416.2</v>
      </c>
      <c r="I3444" s="3" t="str">
        <f>"TEC"</f>
        <v>TEC</v>
      </c>
    </row>
    <row r="3445" spans="1:9" x14ac:dyDescent="0.2">
      <c r="A3445" s="3" t="str">
        <f>"ENSG00000261804.1"</f>
        <v>ENSG00000261804.1</v>
      </c>
      <c r="B3445" s="3">
        <v>156.01251091684099</v>
      </c>
      <c r="C3445" s="3">
        <v>8.3599645437608405</v>
      </c>
      <c r="D3445" s="3">
        <v>1.0844529021542599</v>
      </c>
      <c r="E3445" s="3">
        <v>7.70892357533811</v>
      </c>
      <c r="F3445" s="4">
        <v>1.26883363973775E-14</v>
      </c>
      <c r="G3445" s="4">
        <v>4.4207077849865698E-13</v>
      </c>
      <c r="H3445" s="3" t="str">
        <f>"AC007342.4"</f>
        <v>AC007342.4</v>
      </c>
      <c r="I3445" s="3" t="str">
        <f>"lincRNA"</f>
        <v>lincRNA</v>
      </c>
    </row>
    <row r="3446" spans="1:9" x14ac:dyDescent="0.2">
      <c r="A3446" s="3" t="str">
        <f>"ENSG00000262714.1"</f>
        <v>ENSG00000262714.1</v>
      </c>
      <c r="B3446" s="3">
        <v>200.41632327764</v>
      </c>
      <c r="C3446" s="3">
        <v>6.9023699066295396</v>
      </c>
      <c r="D3446" s="3">
        <v>0.65140978960170004</v>
      </c>
      <c r="E3446" s="3">
        <v>10.596048780368999</v>
      </c>
      <c r="F3446" s="4">
        <v>3.1083701698711002E-26</v>
      </c>
      <c r="G3446" s="4">
        <v>2.6505441228171998E-24</v>
      </c>
      <c r="H3446" s="3" t="str">
        <f>"AC007342.5"</f>
        <v>AC007342.5</v>
      </c>
      <c r="I3446" s="3" t="str">
        <f>"lincRNA"</f>
        <v>lincRNA</v>
      </c>
    </row>
    <row r="3447" spans="1:9" x14ac:dyDescent="0.2">
      <c r="A3447" s="3" t="str">
        <f>"ENSG00000279741.1"</f>
        <v>ENSG00000279741.1</v>
      </c>
      <c r="B3447" s="3">
        <v>62.139108191533701</v>
      </c>
      <c r="C3447" s="3">
        <v>6.0007662790824998</v>
      </c>
      <c r="D3447" s="3">
        <v>0.86989096304947999</v>
      </c>
      <c r="E3447" s="3">
        <v>6.8982970670787003</v>
      </c>
      <c r="F3447" s="4">
        <v>5.2629602464034302E-12</v>
      </c>
      <c r="G3447" s="4">
        <v>1.4039211558672201E-10</v>
      </c>
      <c r="H3447" s="3" t="str">
        <f>"AC007342.8"</f>
        <v>AC007342.8</v>
      </c>
      <c r="I3447" s="3" t="str">
        <f>"TEC"</f>
        <v>TEC</v>
      </c>
    </row>
    <row r="3448" spans="1:9" x14ac:dyDescent="0.2">
      <c r="A3448" s="3" t="str">
        <f>"ENSG00000280027.1"</f>
        <v>ENSG00000280027.1</v>
      </c>
      <c r="B3448" s="3">
        <v>92.769845443283401</v>
      </c>
      <c r="C3448" s="3">
        <v>7.0124018846462102</v>
      </c>
      <c r="D3448" s="3">
        <v>0.93953731074758395</v>
      </c>
      <c r="E3448" s="3">
        <v>7.4636757949149404</v>
      </c>
      <c r="F3448" s="4">
        <v>8.4141487286293298E-14</v>
      </c>
      <c r="G3448" s="4">
        <v>2.7205387052528401E-12</v>
      </c>
      <c r="H3448" s="3" t="str">
        <f>"AC007342.9"</f>
        <v>AC007342.9</v>
      </c>
      <c r="I3448" s="3" t="str">
        <f>"TEC"</f>
        <v>TEC</v>
      </c>
    </row>
    <row r="3449" spans="1:9" x14ac:dyDescent="0.2">
      <c r="A3449" s="3" t="str">
        <f>"ENSG00000279722.1"</f>
        <v>ENSG00000279722.1</v>
      </c>
      <c r="B3449" s="3">
        <v>60.166705547095198</v>
      </c>
      <c r="C3449" s="3">
        <v>1.6176752581199201</v>
      </c>
      <c r="D3449" s="3">
        <v>0.51603078479259801</v>
      </c>
      <c r="E3449" s="3">
        <v>3.13484254388058</v>
      </c>
      <c r="F3449" s="3">
        <v>1.71946376100996E-3</v>
      </c>
      <c r="G3449" s="3">
        <v>9.6654996442917408E-3</v>
      </c>
      <c r="H3449" s="3" t="str">
        <f>"AC007342.7"</f>
        <v>AC007342.7</v>
      </c>
      <c r="I3449" s="3" t="str">
        <f>"TEC"</f>
        <v>TEC</v>
      </c>
    </row>
    <row r="3450" spans="1:9" x14ac:dyDescent="0.2">
      <c r="A3450" s="3" t="str">
        <f>"ENSG00000177508.12"</f>
        <v>ENSG00000177508.12</v>
      </c>
      <c r="B3450" s="3">
        <v>1624.67357932664</v>
      </c>
      <c r="C3450" s="3">
        <v>-1.1975531837648501</v>
      </c>
      <c r="D3450" s="3">
        <v>0.280714992201753</v>
      </c>
      <c r="E3450" s="3">
        <v>-4.2660820299336004</v>
      </c>
      <c r="F3450" s="4">
        <v>1.9893566062300099E-5</v>
      </c>
      <c r="G3450" s="3">
        <v>1.9049206482571701E-4</v>
      </c>
      <c r="H3450" s="3" t="str">
        <f>"IRX3"</f>
        <v>IRX3</v>
      </c>
      <c r="I3450" s="3" t="str">
        <f>"protein_coding"</f>
        <v>protein_coding</v>
      </c>
    </row>
    <row r="3451" spans="1:9" x14ac:dyDescent="0.2">
      <c r="A3451" s="3" t="str">
        <f>"ENSG00000245694.9"</f>
        <v>ENSG00000245694.9</v>
      </c>
      <c r="B3451" s="3">
        <v>52.676827938408302</v>
      </c>
      <c r="C3451" s="3">
        <v>2.75157345861536</v>
      </c>
      <c r="D3451" s="3">
        <v>0.59400745095324603</v>
      </c>
      <c r="E3451" s="3">
        <v>4.6322204447094304</v>
      </c>
      <c r="F3451" s="4">
        <v>3.6176464714757301E-6</v>
      </c>
      <c r="G3451" s="4">
        <v>4.0771459224897902E-5</v>
      </c>
      <c r="H3451" s="3" t="str">
        <f>"CRNDE"</f>
        <v>CRNDE</v>
      </c>
      <c r="I3451" s="3" t="str">
        <f>"lincRNA"</f>
        <v>lincRNA</v>
      </c>
    </row>
    <row r="3452" spans="1:9" x14ac:dyDescent="0.2">
      <c r="A3452" s="3" t="str">
        <f>"ENSG00000087245.13"</f>
        <v>ENSG00000087245.13</v>
      </c>
      <c r="B3452" s="3">
        <v>446.267149217471</v>
      </c>
      <c r="C3452" s="3">
        <v>2.1738582355846501</v>
      </c>
      <c r="D3452" s="3">
        <v>0.33737615758536699</v>
      </c>
      <c r="E3452" s="3">
        <v>6.44342579257279</v>
      </c>
      <c r="F3452" s="4">
        <v>1.1680639439596501E-10</v>
      </c>
      <c r="G3452" s="4">
        <v>2.65906321360227E-9</v>
      </c>
      <c r="H3452" s="3" t="str">
        <f>"MMP2"</f>
        <v>MMP2</v>
      </c>
      <c r="I3452" s="3" t="str">
        <f>"protein_coding"</f>
        <v>protein_coding</v>
      </c>
    </row>
    <row r="3453" spans="1:9" x14ac:dyDescent="0.2">
      <c r="A3453" s="3" t="str">
        <f>"ENSG00000228695.10"</f>
        <v>ENSG00000228695.10</v>
      </c>
      <c r="B3453" s="3">
        <v>638.47085434721805</v>
      </c>
      <c r="C3453" s="3">
        <v>1.5285588427740999</v>
      </c>
      <c r="D3453" s="3">
        <v>0.26860090832998101</v>
      </c>
      <c r="E3453" s="3">
        <v>5.6908178467372901</v>
      </c>
      <c r="F3453" s="4">
        <v>1.26432326654048E-8</v>
      </c>
      <c r="G3453" s="4">
        <v>2.1964124150432199E-7</v>
      </c>
      <c r="H3453" s="3" t="str">
        <f>"CES1P1"</f>
        <v>CES1P1</v>
      </c>
      <c r="I3453" s="3" t="str">
        <f>"transcribed_unprocessed_pseudogene"</f>
        <v>transcribed_unprocessed_pseudogene</v>
      </c>
    </row>
    <row r="3454" spans="1:9" x14ac:dyDescent="0.2">
      <c r="A3454" s="3" t="str">
        <f>"ENSG00000198848.12"</f>
        <v>ENSG00000198848.12</v>
      </c>
      <c r="B3454" s="3">
        <v>13912.2833675027</v>
      </c>
      <c r="C3454" s="3">
        <v>2.1765338356158699</v>
      </c>
      <c r="D3454" s="3">
        <v>0.25711655279189699</v>
      </c>
      <c r="E3454" s="3">
        <v>8.4651641910332192</v>
      </c>
      <c r="F3454" s="4">
        <v>2.5579208342378901E-17</v>
      </c>
      <c r="G3454" s="4">
        <v>1.1531272147894999E-15</v>
      </c>
      <c r="H3454" s="3" t="str">
        <f>"CES1"</f>
        <v>CES1</v>
      </c>
      <c r="I3454" s="3" t="str">
        <f t="shared" ref="I3454:I3471" si="141">"protein_coding"</f>
        <v>protein_coding</v>
      </c>
    </row>
    <row r="3455" spans="1:9" x14ac:dyDescent="0.2">
      <c r="A3455" s="3" t="str">
        <f>"ENSG00000125124.12"</f>
        <v>ENSG00000125124.12</v>
      </c>
      <c r="B3455" s="3">
        <v>1246.4690875812601</v>
      </c>
      <c r="C3455" s="3">
        <v>1.4825986176187</v>
      </c>
      <c r="D3455" s="3">
        <v>0.24998352945150901</v>
      </c>
      <c r="E3455" s="3">
        <v>5.9307852036159296</v>
      </c>
      <c r="F3455" s="4">
        <v>3.0148940504207199E-9</v>
      </c>
      <c r="G3455" s="4">
        <v>5.7280709847683798E-8</v>
      </c>
      <c r="H3455" s="3" t="str">
        <f>"BBS2"</f>
        <v>BBS2</v>
      </c>
      <c r="I3455" s="3" t="str">
        <f t="shared" si="141"/>
        <v>protein_coding</v>
      </c>
    </row>
    <row r="3456" spans="1:9" x14ac:dyDescent="0.2">
      <c r="A3456" s="3" t="str">
        <f>"ENSG00000125148.7"</f>
        <v>ENSG00000125148.7</v>
      </c>
      <c r="B3456" s="3">
        <v>7519.1658695340402</v>
      </c>
      <c r="C3456" s="3">
        <v>2.5467082492805599</v>
      </c>
      <c r="D3456" s="3">
        <v>0.258457955807397</v>
      </c>
      <c r="E3456" s="3">
        <v>9.8534720717916908</v>
      </c>
      <c r="F3456" s="4">
        <v>6.6216128750245001E-23</v>
      </c>
      <c r="G3456" s="4">
        <v>4.2929554605989999E-21</v>
      </c>
      <c r="H3456" s="3" t="str">
        <f>"MT2A"</f>
        <v>MT2A</v>
      </c>
      <c r="I3456" s="3" t="str">
        <f t="shared" si="141"/>
        <v>protein_coding</v>
      </c>
    </row>
    <row r="3457" spans="1:9" x14ac:dyDescent="0.2">
      <c r="A3457" s="3" t="str">
        <f>"ENSG00000169715.14"</f>
        <v>ENSG00000169715.14</v>
      </c>
      <c r="B3457" s="3">
        <v>1163.4274282901999</v>
      </c>
      <c r="C3457" s="3">
        <v>-1.34065691463089</v>
      </c>
      <c r="D3457" s="3">
        <v>0.30183611188294801</v>
      </c>
      <c r="E3457" s="3">
        <v>-4.4416716948394797</v>
      </c>
      <c r="F3457" s="4">
        <v>8.9262680572387193E-6</v>
      </c>
      <c r="G3457" s="4">
        <v>9.2632125816765606E-5</v>
      </c>
      <c r="H3457" s="3" t="str">
        <f>"MT1E"</f>
        <v>MT1E</v>
      </c>
      <c r="I3457" s="3" t="str">
        <f t="shared" si="141"/>
        <v>protein_coding</v>
      </c>
    </row>
    <row r="3458" spans="1:9" x14ac:dyDescent="0.2">
      <c r="A3458" s="3" t="str">
        <f>"ENSG00000205364.4"</f>
        <v>ENSG00000205364.4</v>
      </c>
      <c r="B3458" s="3">
        <v>23.797267347161601</v>
      </c>
      <c r="C3458" s="3">
        <v>-4.4752403564376504</v>
      </c>
      <c r="D3458" s="3">
        <v>0.99063837766976204</v>
      </c>
      <c r="E3458" s="3">
        <v>-4.5175317828535704</v>
      </c>
      <c r="F3458" s="4">
        <v>6.2564639404170496E-6</v>
      </c>
      <c r="G3458" s="4">
        <v>6.7285741950060205E-5</v>
      </c>
      <c r="H3458" s="3" t="str">
        <f>"MT1M"</f>
        <v>MT1M</v>
      </c>
      <c r="I3458" s="3" t="str">
        <f t="shared" si="141"/>
        <v>protein_coding</v>
      </c>
    </row>
    <row r="3459" spans="1:9" x14ac:dyDescent="0.2">
      <c r="A3459" s="3" t="str">
        <f>"ENSG00000205362.11"</f>
        <v>ENSG00000205362.11</v>
      </c>
      <c r="B3459" s="3">
        <v>79.248214431923103</v>
      </c>
      <c r="C3459" s="3">
        <v>-2.7353835712052499</v>
      </c>
      <c r="D3459" s="3">
        <v>0.49101460280300901</v>
      </c>
      <c r="E3459" s="3">
        <v>-5.5708802866351199</v>
      </c>
      <c r="F3459" s="4">
        <v>2.5345544370798299E-8</v>
      </c>
      <c r="G3459" s="4">
        <v>4.1945208463646802E-7</v>
      </c>
      <c r="H3459" s="3" t="str">
        <f>"MT1A"</f>
        <v>MT1A</v>
      </c>
      <c r="I3459" s="3" t="str">
        <f t="shared" si="141"/>
        <v>protein_coding</v>
      </c>
    </row>
    <row r="3460" spans="1:9" x14ac:dyDescent="0.2">
      <c r="A3460" s="3" t="str">
        <f>"ENSG00000198417.7"</f>
        <v>ENSG00000198417.7</v>
      </c>
      <c r="B3460" s="3">
        <v>370.29906241684802</v>
      </c>
      <c r="C3460" s="3">
        <v>-4.5301191178342002</v>
      </c>
      <c r="D3460" s="3">
        <v>0.400230712043599</v>
      </c>
      <c r="E3460" s="3">
        <v>-11.318769353564001</v>
      </c>
      <c r="F3460" s="4">
        <v>1.0594875973648701E-29</v>
      </c>
      <c r="G3460" s="4">
        <v>1.05759565522672E-27</v>
      </c>
      <c r="H3460" s="3" t="str">
        <f>"MT1F"</f>
        <v>MT1F</v>
      </c>
      <c r="I3460" s="3" t="str">
        <f t="shared" si="141"/>
        <v>protein_coding</v>
      </c>
    </row>
    <row r="3461" spans="1:9" x14ac:dyDescent="0.2">
      <c r="A3461" s="3" t="str">
        <f>"ENSG00000125144.13"</f>
        <v>ENSG00000125144.13</v>
      </c>
      <c r="B3461" s="3">
        <v>505.58371719017401</v>
      </c>
      <c r="C3461" s="3">
        <v>-5.10274236859577</v>
      </c>
      <c r="D3461" s="3">
        <v>0.38274531163147801</v>
      </c>
      <c r="E3461" s="3">
        <v>-13.3319526419409</v>
      </c>
      <c r="F3461" s="4">
        <v>1.5089574656339099E-40</v>
      </c>
      <c r="G3461" s="4">
        <v>2.6177810377945498E-38</v>
      </c>
      <c r="H3461" s="3" t="str">
        <f>"MT1G"</f>
        <v>MT1G</v>
      </c>
      <c r="I3461" s="3" t="str">
        <f t="shared" si="141"/>
        <v>protein_coding</v>
      </c>
    </row>
    <row r="3462" spans="1:9" x14ac:dyDescent="0.2">
      <c r="A3462" s="3" t="str">
        <f>"ENSG00000187193.9"</f>
        <v>ENSG00000187193.9</v>
      </c>
      <c r="B3462" s="3">
        <v>310.41151070189898</v>
      </c>
      <c r="C3462" s="3">
        <v>-1.5342187541625301</v>
      </c>
      <c r="D3462" s="3">
        <v>0.29955443608556298</v>
      </c>
      <c r="E3462" s="3">
        <v>-5.1216692839237403</v>
      </c>
      <c r="F3462" s="4">
        <v>3.0284269065234702E-7</v>
      </c>
      <c r="G3462" s="4">
        <v>4.1651218607762704E-6</v>
      </c>
      <c r="H3462" s="3" t="str">
        <f>"MT1X"</f>
        <v>MT1X</v>
      </c>
      <c r="I3462" s="3" t="str">
        <f t="shared" si="141"/>
        <v>protein_coding</v>
      </c>
    </row>
    <row r="3463" spans="1:9" x14ac:dyDescent="0.2">
      <c r="A3463" s="3" t="str">
        <f>"ENSG00000087237.12"</f>
        <v>ENSG00000087237.12</v>
      </c>
      <c r="B3463" s="3">
        <v>110.849601389528</v>
      </c>
      <c r="C3463" s="3">
        <v>-2.0954153333685999</v>
      </c>
      <c r="D3463" s="3">
        <v>0.407531078965641</v>
      </c>
      <c r="E3463" s="3">
        <v>-5.1417313709840098</v>
      </c>
      <c r="F3463" s="4">
        <v>2.7221814852253901E-7</v>
      </c>
      <c r="G3463" s="4">
        <v>3.7819159210385902E-6</v>
      </c>
      <c r="H3463" s="3" t="str">
        <f>"CETP"</f>
        <v>CETP</v>
      </c>
      <c r="I3463" s="3" t="str">
        <f t="shared" si="141"/>
        <v>protein_coding</v>
      </c>
    </row>
    <row r="3464" spans="1:9" x14ac:dyDescent="0.2">
      <c r="A3464" s="3" t="str">
        <f>"ENSG00000140848.17"</f>
        <v>ENSG00000140848.17</v>
      </c>
      <c r="B3464" s="3">
        <v>612.76226472770395</v>
      </c>
      <c r="C3464" s="3">
        <v>-1.01140748815043</v>
      </c>
      <c r="D3464" s="3">
        <v>0.31312977367598799</v>
      </c>
      <c r="E3464" s="3">
        <v>-3.2299946321839901</v>
      </c>
      <c r="F3464" s="3">
        <v>1.23792542237232E-3</v>
      </c>
      <c r="G3464" s="3">
        <v>7.3287865379561704E-3</v>
      </c>
      <c r="H3464" s="3" t="str">
        <f>"CPNE2"</f>
        <v>CPNE2</v>
      </c>
      <c r="I3464" s="3" t="str">
        <f t="shared" si="141"/>
        <v>protein_coding</v>
      </c>
    </row>
    <row r="3465" spans="1:9" x14ac:dyDescent="0.2">
      <c r="A3465" s="3" t="str">
        <f>"ENSG00000125170.11"</f>
        <v>ENSG00000125170.11</v>
      </c>
      <c r="B3465" s="3">
        <v>1226.4534553712899</v>
      </c>
      <c r="C3465" s="3">
        <v>-1.05436866786828</v>
      </c>
      <c r="D3465" s="3">
        <v>0.29680189677074997</v>
      </c>
      <c r="E3465" s="3">
        <v>-3.5524323777576101</v>
      </c>
      <c r="F3465" s="3">
        <v>3.8168710936006199E-4</v>
      </c>
      <c r="G3465" s="3">
        <v>2.6413587994366899E-3</v>
      </c>
      <c r="H3465" s="3" t="str">
        <f>"DOK4"</f>
        <v>DOK4</v>
      </c>
      <c r="I3465" s="3" t="str">
        <f t="shared" si="141"/>
        <v>protein_coding</v>
      </c>
    </row>
    <row r="3466" spans="1:9" x14ac:dyDescent="0.2">
      <c r="A3466" s="3" t="str">
        <f>"ENSG00000135736.6"</f>
        <v>ENSG00000135736.6</v>
      </c>
      <c r="B3466" s="3">
        <v>124.052639609197</v>
      </c>
      <c r="C3466" s="3">
        <v>-1.6018020176248</v>
      </c>
      <c r="D3466" s="3">
        <v>0.42968891828287797</v>
      </c>
      <c r="E3466" s="3">
        <v>-3.7278178455844699</v>
      </c>
      <c r="F3466" s="3">
        <v>1.93144892318499E-4</v>
      </c>
      <c r="G3466" s="3">
        <v>1.4490187194368699E-3</v>
      </c>
      <c r="H3466" s="3" t="str">
        <f>"CCDC102A"</f>
        <v>CCDC102A</v>
      </c>
      <c r="I3466" s="3" t="str">
        <f t="shared" si="141"/>
        <v>protein_coding</v>
      </c>
    </row>
    <row r="3467" spans="1:9" x14ac:dyDescent="0.2">
      <c r="A3467" s="3" t="str">
        <f>"ENSG00000205336.11"</f>
        <v>ENSG00000205336.11</v>
      </c>
      <c r="B3467" s="3">
        <v>6758.8174859374103</v>
      </c>
      <c r="C3467" s="3">
        <v>6.8627333763693397</v>
      </c>
      <c r="D3467" s="3">
        <v>0.26964320542807901</v>
      </c>
      <c r="E3467" s="3">
        <v>25.451163753502399</v>
      </c>
      <c r="F3467" s="4">
        <v>6.8531569069097404E-143</v>
      </c>
      <c r="G3467" s="4">
        <v>4.3097790498328599E-139</v>
      </c>
      <c r="H3467" s="3" t="str">
        <f>"ADGRG1"</f>
        <v>ADGRG1</v>
      </c>
      <c r="I3467" s="3" t="str">
        <f t="shared" si="141"/>
        <v>protein_coding</v>
      </c>
    </row>
    <row r="3468" spans="1:9" x14ac:dyDescent="0.2">
      <c r="A3468" s="3" t="str">
        <f>"ENSG00000159625.14"</f>
        <v>ENSG00000159625.14</v>
      </c>
      <c r="B3468" s="3">
        <v>34.958795983433497</v>
      </c>
      <c r="C3468" s="3">
        <v>-3.0266573420613199</v>
      </c>
      <c r="D3468" s="3">
        <v>0.68445877554628898</v>
      </c>
      <c r="E3468" s="3">
        <v>-4.42197170990414</v>
      </c>
      <c r="F3468" s="4">
        <v>9.7804264808780105E-6</v>
      </c>
      <c r="G3468" s="3">
        <v>1.00378061251116E-4</v>
      </c>
      <c r="H3468" s="3" t="str">
        <f>"DRC7"</f>
        <v>DRC7</v>
      </c>
      <c r="I3468" s="3" t="str">
        <f t="shared" si="141"/>
        <v>protein_coding</v>
      </c>
    </row>
    <row r="3469" spans="1:9" x14ac:dyDescent="0.2">
      <c r="A3469" s="3" t="str">
        <f>"ENSG00000140854.13"</f>
        <v>ENSG00000140854.13</v>
      </c>
      <c r="B3469" s="3">
        <v>1510.2951816073401</v>
      </c>
      <c r="C3469" s="3">
        <v>-1.5870192968895001</v>
      </c>
      <c r="D3469" s="3">
        <v>0.31453514570880797</v>
      </c>
      <c r="E3469" s="3">
        <v>-5.0456024343897603</v>
      </c>
      <c r="F3469" s="4">
        <v>4.5209460132307899E-7</v>
      </c>
      <c r="G3469" s="4">
        <v>6.0459541181722704E-6</v>
      </c>
      <c r="H3469" s="3" t="str">
        <f>"KATNB1"</f>
        <v>KATNB1</v>
      </c>
      <c r="I3469" s="3" t="str">
        <f t="shared" si="141"/>
        <v>protein_coding</v>
      </c>
    </row>
    <row r="3470" spans="1:9" x14ac:dyDescent="0.2">
      <c r="A3470" s="3" t="str">
        <f>"ENSG00000070729.13"</f>
        <v>ENSG00000070729.13</v>
      </c>
      <c r="B3470" s="3">
        <v>361.14565667015898</v>
      </c>
      <c r="C3470" s="3">
        <v>4.4307662796042298</v>
      </c>
      <c r="D3470" s="3">
        <v>0.33767794964943099</v>
      </c>
      <c r="E3470" s="3">
        <v>13.1212780822797</v>
      </c>
      <c r="F3470" s="4">
        <v>2.4870482386537501E-39</v>
      </c>
      <c r="G3470" s="4">
        <v>3.9596011672996896E-37</v>
      </c>
      <c r="H3470" s="3" t="str">
        <f>"CNGB1"</f>
        <v>CNGB1</v>
      </c>
      <c r="I3470" s="3" t="str">
        <f t="shared" si="141"/>
        <v>protein_coding</v>
      </c>
    </row>
    <row r="3471" spans="1:9" x14ac:dyDescent="0.2">
      <c r="A3471" s="3" t="str">
        <f>"ENSG00000181938.13"</f>
        <v>ENSG00000181938.13</v>
      </c>
      <c r="B3471" s="3">
        <v>1175.10444333482</v>
      </c>
      <c r="C3471" s="3">
        <v>-1.7724114232711301</v>
      </c>
      <c r="D3471" s="3">
        <v>0.25214137666311998</v>
      </c>
      <c r="E3471" s="3">
        <v>-7.0294350206519596</v>
      </c>
      <c r="F3471" s="4">
        <v>2.0737149824915899E-12</v>
      </c>
      <c r="G3471" s="4">
        <v>5.7703872106831802E-11</v>
      </c>
      <c r="H3471" s="3" t="str">
        <f>"GINS3"</f>
        <v>GINS3</v>
      </c>
      <c r="I3471" s="3" t="str">
        <f t="shared" si="141"/>
        <v>protein_coding</v>
      </c>
    </row>
    <row r="3472" spans="1:9" x14ac:dyDescent="0.2">
      <c r="A3472" s="3" t="str">
        <f>"ENSG00000276131.1"</f>
        <v>ENSG00000276131.1</v>
      </c>
      <c r="B3472" s="3">
        <v>41.730712398727903</v>
      </c>
      <c r="C3472" s="3">
        <v>-1.8932286389190101</v>
      </c>
      <c r="D3472" s="3">
        <v>0.61396245421340501</v>
      </c>
      <c r="E3472" s="3">
        <v>-3.0836228273023099</v>
      </c>
      <c r="F3472" s="3">
        <v>2.0449667514678199E-3</v>
      </c>
      <c r="G3472" s="3">
        <v>1.1163441543657299E-2</v>
      </c>
      <c r="H3472" s="3" t="str">
        <f>"AC009118.2"</f>
        <v>AC009118.2</v>
      </c>
      <c r="I3472" s="3" t="str">
        <f>"antisense"</f>
        <v>antisense</v>
      </c>
    </row>
    <row r="3473" spans="1:9" x14ac:dyDescent="0.2">
      <c r="A3473" s="3" t="str">
        <f>"ENSG00000246898.1"</f>
        <v>ENSG00000246898.1</v>
      </c>
      <c r="B3473" s="3">
        <v>149.332994129985</v>
      </c>
      <c r="C3473" s="3">
        <v>-2.2285404153296602</v>
      </c>
      <c r="D3473" s="3">
        <v>0.392826933983625</v>
      </c>
      <c r="E3473" s="3">
        <v>-5.6730845635512299</v>
      </c>
      <c r="F3473" s="4">
        <v>1.4024895345265401E-8</v>
      </c>
      <c r="G3473" s="4">
        <v>2.42138807419458E-7</v>
      </c>
      <c r="H3473" s="3" t="str">
        <f>"LINC00920"</f>
        <v>LINC00920</v>
      </c>
      <c r="I3473" s="3" t="str">
        <f>"lincRNA"</f>
        <v>lincRNA</v>
      </c>
    </row>
    <row r="3474" spans="1:9" x14ac:dyDescent="0.2">
      <c r="A3474" s="3" t="str">
        <f>"ENSG00000166546.14"</f>
        <v>ENSG00000166546.14</v>
      </c>
      <c r="B3474" s="3">
        <v>37.3841826730335</v>
      </c>
      <c r="C3474" s="3">
        <v>-1.9028615520671599</v>
      </c>
      <c r="D3474" s="3">
        <v>0.64313439219189705</v>
      </c>
      <c r="E3474" s="3">
        <v>-2.95873082697682</v>
      </c>
      <c r="F3474" s="3">
        <v>3.0890879618679901E-3</v>
      </c>
      <c r="G3474" s="3">
        <v>1.5797114795850699E-2</v>
      </c>
      <c r="H3474" s="3" t="str">
        <f>"BEAN1"</f>
        <v>BEAN1</v>
      </c>
      <c r="I3474" s="3" t="str">
        <f t="shared" ref="I3474:I3480" si="142">"protein_coding"</f>
        <v>protein_coding</v>
      </c>
    </row>
    <row r="3475" spans="1:9" x14ac:dyDescent="0.2">
      <c r="A3475" s="3" t="str">
        <f>"ENSG00000217555.12"</f>
        <v>ENSG00000217555.12</v>
      </c>
      <c r="B3475" s="3">
        <v>164.803490606135</v>
      </c>
      <c r="C3475" s="3">
        <v>-1.2243013124809701</v>
      </c>
      <c r="D3475" s="3">
        <v>0.38090062676171899</v>
      </c>
      <c r="E3475" s="3">
        <v>-3.2142276133529601</v>
      </c>
      <c r="F3475" s="3">
        <v>1.3079594619459099E-3</v>
      </c>
      <c r="G3475" s="3">
        <v>7.6693986632283004E-3</v>
      </c>
      <c r="H3475" s="3" t="str">
        <f>"CKLF"</f>
        <v>CKLF</v>
      </c>
      <c r="I3475" s="3" t="str">
        <f t="shared" si="142"/>
        <v>protein_coding</v>
      </c>
    </row>
    <row r="3476" spans="1:9" x14ac:dyDescent="0.2">
      <c r="A3476" s="3" t="str">
        <f>"ENSG00000168748.14"</f>
        <v>ENSG00000168748.14</v>
      </c>
      <c r="B3476" s="3">
        <v>93.980726533390694</v>
      </c>
      <c r="C3476" s="3">
        <v>3.6276324856637499</v>
      </c>
      <c r="D3476" s="3">
        <v>0.47367626955647202</v>
      </c>
      <c r="E3476" s="3">
        <v>7.6584636360620104</v>
      </c>
      <c r="F3476" s="4">
        <v>1.8817050275123199E-14</v>
      </c>
      <c r="G3476" s="4">
        <v>6.4453099941513802E-13</v>
      </c>
      <c r="H3476" s="3" t="str">
        <f>"CA7"</f>
        <v>CA7</v>
      </c>
      <c r="I3476" s="3" t="str">
        <f t="shared" si="142"/>
        <v>protein_coding</v>
      </c>
    </row>
    <row r="3477" spans="1:9" x14ac:dyDescent="0.2">
      <c r="A3477" s="3" t="str">
        <f>"ENSG00000166592.12"</f>
        <v>ENSG00000166592.12</v>
      </c>
      <c r="B3477" s="3">
        <v>217.974548413045</v>
      </c>
      <c r="C3477" s="3">
        <v>3.4802531161924501</v>
      </c>
      <c r="D3477" s="3">
        <v>0.43201251185110701</v>
      </c>
      <c r="E3477" s="3">
        <v>8.0559081524748102</v>
      </c>
      <c r="F3477" s="4">
        <v>7.8890857485779796E-16</v>
      </c>
      <c r="G3477" s="4">
        <v>3.0959430890090297E-14</v>
      </c>
      <c r="H3477" s="3" t="str">
        <f>"RRAD"</f>
        <v>RRAD</v>
      </c>
      <c r="I3477" s="3" t="str">
        <f t="shared" si="142"/>
        <v>protein_coding</v>
      </c>
    </row>
    <row r="3478" spans="1:9" x14ac:dyDescent="0.2">
      <c r="A3478" s="3" t="str">
        <f>"ENSG00000172831.12"</f>
        <v>ENSG00000172831.12</v>
      </c>
      <c r="B3478" s="3">
        <v>4666.1518692884101</v>
      </c>
      <c r="C3478" s="3">
        <v>2.8387481966817201</v>
      </c>
      <c r="D3478" s="3">
        <v>0.27912624378908601</v>
      </c>
      <c r="E3478" s="3">
        <v>10.170122873959301</v>
      </c>
      <c r="F3478" s="4">
        <v>2.6956839518008298E-24</v>
      </c>
      <c r="G3478" s="4">
        <v>1.9944097002220499E-22</v>
      </c>
      <c r="H3478" s="3" t="str">
        <f>"CES2"</f>
        <v>CES2</v>
      </c>
      <c r="I3478" s="3" t="str">
        <f t="shared" si="142"/>
        <v>protein_coding</v>
      </c>
    </row>
    <row r="3479" spans="1:9" x14ac:dyDescent="0.2">
      <c r="A3479" s="3" t="str">
        <f>"ENSG00000172828.13"</f>
        <v>ENSG00000172828.13</v>
      </c>
      <c r="B3479" s="3">
        <v>376.147271607584</v>
      </c>
      <c r="C3479" s="3">
        <v>1.55420624628961</v>
      </c>
      <c r="D3479" s="3">
        <v>0.34929048108204103</v>
      </c>
      <c r="E3479" s="3">
        <v>4.44960950975518</v>
      </c>
      <c r="F3479" s="4">
        <v>8.6026557159761405E-6</v>
      </c>
      <c r="G3479" s="4">
        <v>8.9606544321068195E-5</v>
      </c>
      <c r="H3479" s="3" t="str">
        <f>"CES3"</f>
        <v>CES3</v>
      </c>
      <c r="I3479" s="3" t="str">
        <f t="shared" si="142"/>
        <v>protein_coding</v>
      </c>
    </row>
    <row r="3480" spans="1:9" x14ac:dyDescent="0.2">
      <c r="A3480" s="3" t="str">
        <f>"ENSG00000172824.16"</f>
        <v>ENSG00000172824.16</v>
      </c>
      <c r="B3480" s="3">
        <v>25.633708651027401</v>
      </c>
      <c r="C3480" s="3">
        <v>3.4212041492421799</v>
      </c>
      <c r="D3480" s="3">
        <v>0.83318329582356898</v>
      </c>
      <c r="E3480" s="3">
        <v>4.1061842770868999</v>
      </c>
      <c r="F3480" s="4">
        <v>4.02248622685015E-5</v>
      </c>
      <c r="G3480" s="3">
        <v>3.6009124923991299E-4</v>
      </c>
      <c r="H3480" s="3" t="str">
        <f>"CES4A"</f>
        <v>CES4A</v>
      </c>
      <c r="I3480" s="3" t="str">
        <f t="shared" si="142"/>
        <v>protein_coding</v>
      </c>
    </row>
    <row r="3481" spans="1:9" x14ac:dyDescent="0.2">
      <c r="A3481" s="3" t="str">
        <f>"ENSG00000280163.1"</f>
        <v>ENSG00000280163.1</v>
      </c>
      <c r="B3481" s="3">
        <v>15.4952623378376</v>
      </c>
      <c r="C3481" s="3">
        <v>3.34760435550962</v>
      </c>
      <c r="D3481" s="3">
        <v>1.0156509579264801</v>
      </c>
      <c r="E3481" s="3">
        <v>3.2960185085080602</v>
      </c>
      <c r="F3481" s="3">
        <v>9.8065554317370305E-4</v>
      </c>
      <c r="G3481" s="3">
        <v>5.99766355179541E-3</v>
      </c>
      <c r="H3481" s="3" t="str">
        <f>"AC040160.2"</f>
        <v>AC040160.2</v>
      </c>
      <c r="I3481" s="3" t="str">
        <f>"TEC"</f>
        <v>TEC</v>
      </c>
    </row>
    <row r="3482" spans="1:9" x14ac:dyDescent="0.2">
      <c r="A3482" s="3" t="str">
        <f>"ENSG00000125122.15"</f>
        <v>ENSG00000125122.15</v>
      </c>
      <c r="B3482" s="3">
        <v>88.114134139969394</v>
      </c>
      <c r="C3482" s="3">
        <v>1.10360080590001</v>
      </c>
      <c r="D3482" s="3">
        <v>0.438130671778935</v>
      </c>
      <c r="E3482" s="3">
        <v>2.5188850655423898</v>
      </c>
      <c r="F3482" s="3">
        <v>1.1772707831628501E-2</v>
      </c>
      <c r="G3482" s="3">
        <v>4.83103532633955E-2</v>
      </c>
      <c r="H3482" s="3" t="str">
        <f>"LRRC29"</f>
        <v>LRRC29</v>
      </c>
      <c r="I3482" s="3" t="str">
        <f t="shared" ref="I3482:I3488" si="143">"protein_coding"</f>
        <v>protein_coding</v>
      </c>
    </row>
    <row r="3483" spans="1:9" x14ac:dyDescent="0.2">
      <c r="A3483" s="3" t="str">
        <f>"ENSG00000196155.13"</f>
        <v>ENSG00000196155.13</v>
      </c>
      <c r="B3483" s="3">
        <v>501.80381963636302</v>
      </c>
      <c r="C3483" s="3">
        <v>-1.3488431734211299</v>
      </c>
      <c r="D3483" s="3">
        <v>0.32077369766097302</v>
      </c>
      <c r="E3483" s="3">
        <v>-4.20496812318674</v>
      </c>
      <c r="F3483" s="4">
        <v>2.6111895640565501E-5</v>
      </c>
      <c r="G3483" s="3">
        <v>2.4454383277677799E-4</v>
      </c>
      <c r="H3483" s="3" t="str">
        <f>"PLEKHG4"</f>
        <v>PLEKHG4</v>
      </c>
      <c r="I3483" s="3" t="str">
        <f t="shared" si="143"/>
        <v>protein_coding</v>
      </c>
    </row>
    <row r="3484" spans="1:9" x14ac:dyDescent="0.2">
      <c r="A3484" s="3" t="str">
        <f>"ENSG00000159713.11"</f>
        <v>ENSG00000159713.11</v>
      </c>
      <c r="B3484" s="3">
        <v>13.778116846701201</v>
      </c>
      <c r="C3484" s="3">
        <v>-3.64159265251444</v>
      </c>
      <c r="D3484" s="3">
        <v>1.10923866026994</v>
      </c>
      <c r="E3484" s="3">
        <v>-3.2829658602308598</v>
      </c>
      <c r="F3484" s="3">
        <v>1.02721104885516E-3</v>
      </c>
      <c r="G3484" s="3">
        <v>6.2474598486343099E-3</v>
      </c>
      <c r="H3484" s="3" t="str">
        <f>"TPPP3"</f>
        <v>TPPP3</v>
      </c>
      <c r="I3484" s="3" t="str">
        <f t="shared" si="143"/>
        <v>protein_coding</v>
      </c>
    </row>
    <row r="3485" spans="1:9" x14ac:dyDescent="0.2">
      <c r="A3485" s="3" t="str">
        <f>"ENSG00000039523.20"</f>
        <v>ENSG00000039523.20</v>
      </c>
      <c r="B3485" s="3">
        <v>1837.01427621677</v>
      </c>
      <c r="C3485" s="3">
        <v>-1.0746244757998</v>
      </c>
      <c r="D3485" s="3">
        <v>0.29245876017884698</v>
      </c>
      <c r="E3485" s="3">
        <v>-3.6744478952951698</v>
      </c>
      <c r="F3485" s="3">
        <v>2.38364279148961E-4</v>
      </c>
      <c r="G3485" s="3">
        <v>1.74405277544855E-3</v>
      </c>
      <c r="H3485" s="3" t="str">
        <f>"RIPOR1"</f>
        <v>RIPOR1</v>
      </c>
      <c r="I3485" s="3" t="str">
        <f t="shared" si="143"/>
        <v>protein_coding</v>
      </c>
    </row>
    <row r="3486" spans="1:9" x14ac:dyDescent="0.2">
      <c r="A3486" s="3" t="str">
        <f>"ENSG00000159753.14"</f>
        <v>ENSG00000159753.14</v>
      </c>
      <c r="B3486" s="3">
        <v>126.554569112007</v>
      </c>
      <c r="C3486" s="3">
        <v>-2.1115246497635498</v>
      </c>
      <c r="D3486" s="3">
        <v>0.43586817601495098</v>
      </c>
      <c r="E3486" s="3">
        <v>-4.8444111452888503</v>
      </c>
      <c r="F3486" s="4">
        <v>1.2698773095570199E-6</v>
      </c>
      <c r="G3486" s="4">
        <v>1.5484131712024601E-5</v>
      </c>
      <c r="H3486" s="3" t="str">
        <f>"CARMIL2"</f>
        <v>CARMIL2</v>
      </c>
      <c r="I3486" s="3" t="str">
        <f t="shared" si="143"/>
        <v>protein_coding</v>
      </c>
    </row>
    <row r="3487" spans="1:9" x14ac:dyDescent="0.2">
      <c r="A3487" s="3" t="str">
        <f>"ENSG00000102977.15"</f>
        <v>ENSG00000102977.15</v>
      </c>
      <c r="B3487" s="3">
        <v>758.52702850880701</v>
      </c>
      <c r="C3487" s="3">
        <v>-1.0055771863740499</v>
      </c>
      <c r="D3487" s="3">
        <v>0.286383958210501</v>
      </c>
      <c r="E3487" s="3">
        <v>-3.5112902016492198</v>
      </c>
      <c r="F3487" s="3">
        <v>4.4593729812227799E-4</v>
      </c>
      <c r="G3487" s="3">
        <v>3.0268625834500599E-3</v>
      </c>
      <c r="H3487" s="3" t="str">
        <f>"ACD"</f>
        <v>ACD</v>
      </c>
      <c r="I3487" s="3" t="str">
        <f t="shared" si="143"/>
        <v>protein_coding</v>
      </c>
    </row>
    <row r="3488" spans="1:9" x14ac:dyDescent="0.2">
      <c r="A3488" s="3" t="str">
        <f>"ENSG00000141084.11"</f>
        <v>ENSG00000141084.11</v>
      </c>
      <c r="B3488" s="3">
        <v>2747.3039137436599</v>
      </c>
      <c r="C3488" s="3">
        <v>1.26789008522572</v>
      </c>
      <c r="D3488" s="3">
        <v>0.27666764751712197</v>
      </c>
      <c r="E3488" s="3">
        <v>4.5827190009531398</v>
      </c>
      <c r="F3488" s="4">
        <v>4.5896861825324402E-6</v>
      </c>
      <c r="G3488" s="4">
        <v>5.0834588382625602E-5</v>
      </c>
      <c r="H3488" s="3" t="str">
        <f>"RANBP10"</f>
        <v>RANBP10</v>
      </c>
      <c r="I3488" s="3" t="str">
        <f t="shared" si="143"/>
        <v>protein_coding</v>
      </c>
    </row>
    <row r="3489" spans="1:9" x14ac:dyDescent="0.2">
      <c r="A3489" s="3" t="str">
        <f>"ENSG00000270165.1"</f>
        <v>ENSG00000270165.1</v>
      </c>
      <c r="B3489" s="3">
        <v>37.756767004684399</v>
      </c>
      <c r="C3489" s="3">
        <v>1.5685498814375101</v>
      </c>
      <c r="D3489" s="3">
        <v>0.59957884096800196</v>
      </c>
      <c r="E3489" s="3">
        <v>2.61608611622307</v>
      </c>
      <c r="F3489" s="3">
        <v>8.8944121943793693E-3</v>
      </c>
      <c r="G3489" s="3">
        <v>3.8364015560633201E-2</v>
      </c>
      <c r="H3489" s="3" t="str">
        <f>"AC010530.1"</f>
        <v>AC010530.1</v>
      </c>
      <c r="I3489" s="3" t="str">
        <f>"sense_intronic"</f>
        <v>sense_intronic</v>
      </c>
    </row>
    <row r="3490" spans="1:9" x14ac:dyDescent="0.2">
      <c r="A3490" s="3" t="str">
        <f>"ENSG00000124067.17"</f>
        <v>ENSG00000124067.17</v>
      </c>
      <c r="B3490" s="3">
        <v>5548.8481296058499</v>
      </c>
      <c r="C3490" s="3">
        <v>1.82454210792266</v>
      </c>
      <c r="D3490" s="3">
        <v>0.29572673368705399</v>
      </c>
      <c r="E3490" s="3">
        <v>6.1696894466546404</v>
      </c>
      <c r="F3490" s="4">
        <v>6.8424249442285402E-10</v>
      </c>
      <c r="G3490" s="4">
        <v>1.42720729247155E-8</v>
      </c>
      <c r="H3490" s="3" t="str">
        <f>"SLC12A4"</f>
        <v>SLC12A4</v>
      </c>
      <c r="I3490" s="3" t="str">
        <f>"protein_coding"</f>
        <v>protein_coding</v>
      </c>
    </row>
    <row r="3491" spans="1:9" x14ac:dyDescent="0.2">
      <c r="A3491" s="3" t="str">
        <f>"ENSG00000167261.14"</f>
        <v>ENSG00000167261.14</v>
      </c>
      <c r="B3491" s="3">
        <v>17.990901957333701</v>
      </c>
      <c r="C3491" s="3">
        <v>2.5494894074175001</v>
      </c>
      <c r="D3491" s="3">
        <v>0.85476913560227996</v>
      </c>
      <c r="E3491" s="3">
        <v>2.98266432563817</v>
      </c>
      <c r="F3491" s="3">
        <v>2.8575120516471002E-3</v>
      </c>
      <c r="G3491" s="3">
        <v>1.4790270711766E-2</v>
      </c>
      <c r="H3491" s="3" t="str">
        <f>"DPEP2"</f>
        <v>DPEP2</v>
      </c>
      <c r="I3491" s="3" t="str">
        <f>"protein_coding"</f>
        <v>protein_coding</v>
      </c>
    </row>
    <row r="3492" spans="1:9" x14ac:dyDescent="0.2">
      <c r="A3492" s="3" t="str">
        <f>"ENSG00000262160.1"</f>
        <v>ENSG00000262160.1</v>
      </c>
      <c r="B3492" s="3">
        <v>302.94095340827403</v>
      </c>
      <c r="C3492" s="3">
        <v>1.24506202762577</v>
      </c>
      <c r="D3492" s="3">
        <v>0.31277790851222398</v>
      </c>
      <c r="E3492" s="3">
        <v>3.9806584600175001</v>
      </c>
      <c r="F3492" s="4">
        <v>6.8724633801695806E-5</v>
      </c>
      <c r="G3492" s="3">
        <v>5.8305840245587105E-4</v>
      </c>
      <c r="H3492" s="3" t="str">
        <f>"AC020978.5"</f>
        <v>AC020978.5</v>
      </c>
      <c r="I3492" s="3" t="str">
        <f>"antisense"</f>
        <v>antisense</v>
      </c>
    </row>
    <row r="3493" spans="1:9" x14ac:dyDescent="0.2">
      <c r="A3493" s="3" t="str">
        <f>"ENSG00000184939.16"</f>
        <v>ENSG00000184939.16</v>
      </c>
      <c r="B3493" s="3">
        <v>2083.8292454532402</v>
      </c>
      <c r="C3493" s="3">
        <v>1.91779644575841</v>
      </c>
      <c r="D3493" s="3">
        <v>0.28828606469301798</v>
      </c>
      <c r="E3493" s="3">
        <v>6.6524077318845896</v>
      </c>
      <c r="F3493" s="4">
        <v>2.8833658298641399E-11</v>
      </c>
      <c r="G3493" s="4">
        <v>7.0282042102938395E-10</v>
      </c>
      <c r="H3493" s="3" t="str">
        <f>"ZFP90"</f>
        <v>ZFP90</v>
      </c>
      <c r="I3493" s="3" t="str">
        <f>"protein_coding"</f>
        <v>protein_coding</v>
      </c>
    </row>
    <row r="3494" spans="1:9" x14ac:dyDescent="0.2">
      <c r="A3494" s="3" t="str">
        <f>"ENSG00000275383.1"</f>
        <v>ENSG00000275383.1</v>
      </c>
      <c r="B3494" s="3">
        <v>23.3862835931881</v>
      </c>
      <c r="C3494" s="3">
        <v>2.0902833742004998</v>
      </c>
      <c r="D3494" s="3">
        <v>0.73708100462852</v>
      </c>
      <c r="E3494" s="3">
        <v>2.8358936956379499</v>
      </c>
      <c r="F3494" s="3">
        <v>4.5697653726026596E-3</v>
      </c>
      <c r="G3494" s="3">
        <v>2.20088929633965E-2</v>
      </c>
      <c r="H3494" s="3" t="str">
        <f>"AC126773.4"</f>
        <v>AC126773.4</v>
      </c>
      <c r="I3494" s="3" t="str">
        <f>"lincRNA"</f>
        <v>lincRNA</v>
      </c>
    </row>
    <row r="3495" spans="1:9" x14ac:dyDescent="0.2">
      <c r="A3495" s="3" t="str">
        <f>"ENSG00000062038.14"</f>
        <v>ENSG00000062038.14</v>
      </c>
      <c r="B3495" s="3">
        <v>58.768509206589002</v>
      </c>
      <c r="C3495" s="3">
        <v>2.6352137098112398</v>
      </c>
      <c r="D3495" s="3">
        <v>0.52598266240352598</v>
      </c>
      <c r="E3495" s="3">
        <v>5.0100771340435299</v>
      </c>
      <c r="F3495" s="4">
        <v>5.4408223994707501E-7</v>
      </c>
      <c r="G3495" s="4">
        <v>7.1731597200569602E-6</v>
      </c>
      <c r="H3495" s="3" t="str">
        <f>"CDH3"</f>
        <v>CDH3</v>
      </c>
      <c r="I3495" s="3" t="str">
        <f>"protein_coding"</f>
        <v>protein_coding</v>
      </c>
    </row>
    <row r="3496" spans="1:9" x14ac:dyDescent="0.2">
      <c r="A3496" s="3" t="str">
        <f>"ENSG00000039068.19"</f>
        <v>ENSG00000039068.19</v>
      </c>
      <c r="B3496" s="3">
        <v>826.17686579102201</v>
      </c>
      <c r="C3496" s="3">
        <v>2.4111662164505399</v>
      </c>
      <c r="D3496" s="3">
        <v>0.308607922928261</v>
      </c>
      <c r="E3496" s="3">
        <v>7.8130405518171004</v>
      </c>
      <c r="F3496" s="4">
        <v>5.5824625489661401E-15</v>
      </c>
      <c r="G3496" s="4">
        <v>2.0263614057610799E-13</v>
      </c>
      <c r="H3496" s="3" t="str">
        <f>"CDH1"</f>
        <v>CDH1</v>
      </c>
      <c r="I3496" s="3" t="str">
        <f>"protein_coding"</f>
        <v>protein_coding</v>
      </c>
    </row>
    <row r="3497" spans="1:9" x14ac:dyDescent="0.2">
      <c r="A3497" s="3" t="str">
        <f>"ENSG00000260459.2"</f>
        <v>ENSG00000260459.2</v>
      </c>
      <c r="B3497" s="3">
        <v>18.380190026962701</v>
      </c>
      <c r="C3497" s="3">
        <v>2.0781978786034201</v>
      </c>
      <c r="D3497" s="3">
        <v>0.82082155132751</v>
      </c>
      <c r="E3497" s="3">
        <v>2.5318510159027401</v>
      </c>
      <c r="F3497" s="3">
        <v>1.13462188885529E-2</v>
      </c>
      <c r="G3497" s="3">
        <v>4.69122511738247E-2</v>
      </c>
      <c r="H3497" s="3" t="str">
        <f>"FTLP14"</f>
        <v>FTLP14</v>
      </c>
      <c r="I3497" s="3" t="str">
        <f>"processed_pseudogene"</f>
        <v>processed_pseudogene</v>
      </c>
    </row>
    <row r="3498" spans="1:9" x14ac:dyDescent="0.2">
      <c r="A3498" s="3" t="str">
        <f>"ENSG00000132603.15"</f>
        <v>ENSG00000132603.15</v>
      </c>
      <c r="B3498" s="3">
        <v>1783.3840617323799</v>
      </c>
      <c r="C3498" s="3">
        <v>-1.1601643537579001</v>
      </c>
      <c r="D3498" s="3">
        <v>0.253010952946363</v>
      </c>
      <c r="E3498" s="3">
        <v>-4.5854313429816296</v>
      </c>
      <c r="F3498" s="4">
        <v>4.5305013543768099E-6</v>
      </c>
      <c r="G3498" s="4">
        <v>5.0226867152643701E-5</v>
      </c>
      <c r="H3498" s="3" t="str">
        <f>"NIP7"</f>
        <v>NIP7</v>
      </c>
      <c r="I3498" s="3" t="str">
        <f>"protein_coding"</f>
        <v>protein_coding</v>
      </c>
    </row>
    <row r="3499" spans="1:9" x14ac:dyDescent="0.2">
      <c r="A3499" s="3" t="str">
        <f>"ENSG00000102908.21"</f>
        <v>ENSG00000102908.21</v>
      </c>
      <c r="B3499" s="3">
        <v>9631.80219505889</v>
      </c>
      <c r="C3499" s="3">
        <v>1.2170509315750999</v>
      </c>
      <c r="D3499" s="3">
        <v>0.24875031772602799</v>
      </c>
      <c r="E3499" s="3">
        <v>4.8926608122589599</v>
      </c>
      <c r="F3499" s="4">
        <v>9.9481771080862706E-7</v>
      </c>
      <c r="G3499" s="4">
        <v>1.24748950724781E-5</v>
      </c>
      <c r="H3499" s="3" t="str">
        <f>"NFAT5"</f>
        <v>NFAT5</v>
      </c>
      <c r="I3499" s="3" t="str">
        <f>"protein_coding"</f>
        <v>protein_coding</v>
      </c>
    </row>
    <row r="3500" spans="1:9" x14ac:dyDescent="0.2">
      <c r="A3500" s="3" t="str">
        <f>"ENSG00000274093.1"</f>
        <v>ENSG00000274093.1</v>
      </c>
      <c r="B3500" s="3">
        <v>125.33685566721999</v>
      </c>
      <c r="C3500" s="3">
        <v>2.01853710642165</v>
      </c>
      <c r="D3500" s="3">
        <v>0.44168501445490399</v>
      </c>
      <c r="E3500" s="3">
        <v>4.5700828426628597</v>
      </c>
      <c r="F3500" s="4">
        <v>4.8753145627666604E-6</v>
      </c>
      <c r="G3500" s="4">
        <v>5.3544331968699099E-5</v>
      </c>
      <c r="H3500" s="3" t="str">
        <f>"AC009032.1"</f>
        <v>AC009032.1</v>
      </c>
      <c r="I3500" s="3" t="str">
        <f>"sense_intronic"</f>
        <v>sense_intronic</v>
      </c>
    </row>
    <row r="3501" spans="1:9" x14ac:dyDescent="0.2">
      <c r="A3501" s="3" t="str">
        <f>"ENSG00000132613.15"</f>
        <v>ENSG00000132613.15</v>
      </c>
      <c r="B3501" s="3">
        <v>8532.0155324422703</v>
      </c>
      <c r="C3501" s="3">
        <v>1.0795491104033299</v>
      </c>
      <c r="D3501" s="3">
        <v>0.28770995457519899</v>
      </c>
      <c r="E3501" s="3">
        <v>3.7522132732503701</v>
      </c>
      <c r="F3501" s="3">
        <v>1.75280249667813E-4</v>
      </c>
      <c r="G3501" s="3">
        <v>1.3264665103471199E-3</v>
      </c>
      <c r="H3501" s="3" t="str">
        <f>"MTSS1L"</f>
        <v>MTSS1L</v>
      </c>
      <c r="I3501" s="3" t="str">
        <f>"protein_coding"</f>
        <v>protein_coding</v>
      </c>
    </row>
    <row r="3502" spans="1:9" x14ac:dyDescent="0.2">
      <c r="A3502" s="3" t="str">
        <f>"ENSG00000261348.1"</f>
        <v>ENSG00000261348.1</v>
      </c>
      <c r="B3502" s="3">
        <v>13.310273390052499</v>
      </c>
      <c r="C3502" s="3">
        <v>7.2517983788373499</v>
      </c>
      <c r="D3502" s="3">
        <v>1.6908211978077301</v>
      </c>
      <c r="E3502" s="3">
        <v>4.2889209031917899</v>
      </c>
      <c r="F3502" s="4">
        <v>1.7954329301404499E-5</v>
      </c>
      <c r="G3502" s="3">
        <v>1.74042833748297E-4</v>
      </c>
      <c r="H3502" s="3" t="str">
        <f>"LINC02136"</f>
        <v>LINC02136</v>
      </c>
      <c r="I3502" s="3" t="str">
        <f>"lincRNA"</f>
        <v>lincRNA</v>
      </c>
    </row>
    <row r="3503" spans="1:9" x14ac:dyDescent="0.2">
      <c r="A3503" s="3" t="str">
        <f>"ENSG00000198650.11"</f>
        <v>ENSG00000198650.11</v>
      </c>
      <c r="B3503" s="3">
        <v>123.88320457234001</v>
      </c>
      <c r="C3503" s="3">
        <v>-1.70444645399104</v>
      </c>
      <c r="D3503" s="3">
        <v>0.38296438271142602</v>
      </c>
      <c r="E3503" s="3">
        <v>-4.4506657301219104</v>
      </c>
      <c r="F3503" s="4">
        <v>8.5604500487993506E-6</v>
      </c>
      <c r="G3503" s="4">
        <v>8.92408292488801E-5</v>
      </c>
      <c r="H3503" s="3" t="str">
        <f>"TAT"</f>
        <v>TAT</v>
      </c>
      <c r="I3503" s="3" t="str">
        <f>"protein_coding"</f>
        <v>protein_coding</v>
      </c>
    </row>
    <row r="3504" spans="1:9" x14ac:dyDescent="0.2">
      <c r="A3504" s="3" t="str">
        <f>"ENSG00000140832.9"</f>
        <v>ENSG00000140832.9</v>
      </c>
      <c r="B3504" s="3">
        <v>236.571305222718</v>
      </c>
      <c r="C3504" s="3">
        <v>1.55287645704449</v>
      </c>
      <c r="D3504" s="3">
        <v>0.31718469667951599</v>
      </c>
      <c r="E3504" s="3">
        <v>4.8958114098850096</v>
      </c>
      <c r="F3504" s="4">
        <v>9.7900921822862991E-7</v>
      </c>
      <c r="G3504" s="4">
        <v>1.22950458734604E-5</v>
      </c>
      <c r="H3504" s="3" t="str">
        <f>"MARVELD3"</f>
        <v>MARVELD3</v>
      </c>
      <c r="I3504" s="3" t="str">
        <f>"protein_coding"</f>
        <v>protein_coding</v>
      </c>
    </row>
    <row r="3505" spans="1:9" x14ac:dyDescent="0.2">
      <c r="A3505" s="3" t="str">
        <f>"ENSG00000261170.1"</f>
        <v>ENSG00000261170.1</v>
      </c>
      <c r="B3505" s="3">
        <v>18.8675288553836</v>
      </c>
      <c r="C3505" s="3">
        <v>2.5030099073464398</v>
      </c>
      <c r="D3505" s="3">
        <v>0.843600210742524</v>
      </c>
      <c r="E3505" s="3">
        <v>2.9670569962794699</v>
      </c>
      <c r="F3505" s="3">
        <v>3.00665216979703E-3</v>
      </c>
      <c r="G3505" s="3">
        <v>1.54446263694597E-2</v>
      </c>
      <c r="H3505" s="3" t="str">
        <f>"AC009053.3"</f>
        <v>AC009053.3</v>
      </c>
      <c r="I3505" s="3" t="str">
        <f>"antisense"</f>
        <v>antisense</v>
      </c>
    </row>
    <row r="3506" spans="1:9" x14ac:dyDescent="0.2">
      <c r="A3506" s="3" t="str">
        <f>"ENSG00000262904.1"</f>
        <v>ENSG00000262904.1</v>
      </c>
      <c r="B3506" s="3">
        <v>45.739019450150003</v>
      </c>
      <c r="C3506" s="3">
        <v>-3.05139561766596</v>
      </c>
      <c r="D3506" s="3">
        <v>0.60056234926911201</v>
      </c>
      <c r="E3506" s="3">
        <v>-5.08089729797336</v>
      </c>
      <c r="F3506" s="4">
        <v>3.7565618475747498E-7</v>
      </c>
      <c r="G3506" s="4">
        <v>5.0859156768429896E-6</v>
      </c>
      <c r="H3506" s="3" t="str">
        <f>"TMPOP2"</f>
        <v>TMPOP2</v>
      </c>
      <c r="I3506" s="3" t="str">
        <f>"processed_pseudogene"</f>
        <v>processed_pseudogene</v>
      </c>
    </row>
    <row r="3507" spans="1:9" x14ac:dyDescent="0.2">
      <c r="A3507" s="3" t="str">
        <f>"ENSG00000168404.13"</f>
        <v>ENSG00000168404.13</v>
      </c>
      <c r="B3507" s="3">
        <v>121.675146619166</v>
      </c>
      <c r="C3507" s="3">
        <v>-1.9820548026826199</v>
      </c>
      <c r="D3507" s="3">
        <v>0.38307546623302502</v>
      </c>
      <c r="E3507" s="3">
        <v>-5.1740583185166296</v>
      </c>
      <c r="F3507" s="4">
        <v>2.2906327636376101E-7</v>
      </c>
      <c r="G3507" s="4">
        <v>3.2316807161696E-6</v>
      </c>
      <c r="H3507" s="3" t="str">
        <f>"MLKL"</f>
        <v>MLKL</v>
      </c>
      <c r="I3507" s="3" t="str">
        <f>"protein_coding"</f>
        <v>protein_coding</v>
      </c>
    </row>
    <row r="3508" spans="1:9" x14ac:dyDescent="0.2">
      <c r="A3508" s="3" t="str">
        <f>"ENSG00000103089.9"</f>
        <v>ENSG00000103089.9</v>
      </c>
      <c r="B3508" s="3">
        <v>25.2608867732249</v>
      </c>
      <c r="C3508" s="3">
        <v>2.20790674528729</v>
      </c>
      <c r="D3508" s="3">
        <v>0.71732388959188698</v>
      </c>
      <c r="E3508" s="3">
        <v>3.07797743435458</v>
      </c>
      <c r="F3508" s="3">
        <v>2.08410695978166E-3</v>
      </c>
      <c r="G3508" s="3">
        <v>1.13475564011488E-2</v>
      </c>
      <c r="H3508" s="3" t="str">
        <f>"FA2H"</f>
        <v>FA2H</v>
      </c>
      <c r="I3508" s="3" t="str">
        <f>"protein_coding"</f>
        <v>protein_coding</v>
      </c>
    </row>
    <row r="3509" spans="1:9" x14ac:dyDescent="0.2">
      <c r="A3509" s="3" t="str">
        <f>"ENSG00000261058.1"</f>
        <v>ENSG00000261058.1</v>
      </c>
      <c r="B3509" s="3">
        <v>19.645811819257499</v>
      </c>
      <c r="C3509" s="3">
        <v>-3.0974494376564099</v>
      </c>
      <c r="D3509" s="3">
        <v>0.87521946060451095</v>
      </c>
      <c r="E3509" s="3">
        <v>-3.5390545766852699</v>
      </c>
      <c r="F3509" s="3">
        <v>4.01562821904302E-4</v>
      </c>
      <c r="G3509" s="3">
        <v>2.7632283174754001E-3</v>
      </c>
      <c r="H3509" s="3" t="str">
        <f>"AC099508.2"</f>
        <v>AC099508.2</v>
      </c>
      <c r="I3509" s="3" t="str">
        <f>"lincRNA"</f>
        <v>lincRNA</v>
      </c>
    </row>
    <row r="3510" spans="1:9" x14ac:dyDescent="0.2">
      <c r="A3510" s="3" t="str">
        <f>"ENSG00000274220.1"</f>
        <v>ENSG00000274220.1</v>
      </c>
      <c r="B3510" s="3">
        <v>68.526482296101193</v>
      </c>
      <c r="C3510" s="3">
        <v>-1.4602058204417201</v>
      </c>
      <c r="D3510" s="3">
        <v>0.46610982745580498</v>
      </c>
      <c r="E3510" s="3">
        <v>-3.1327505545464298</v>
      </c>
      <c r="F3510" s="3">
        <v>1.73176549929833E-3</v>
      </c>
      <c r="G3510" s="3">
        <v>9.7194469287928392E-3</v>
      </c>
      <c r="H3510" s="3" t="str">
        <f>"AC009163.6"</f>
        <v>AC009163.6</v>
      </c>
      <c r="I3510" s="3" t="str">
        <f>"lincRNA"</f>
        <v>lincRNA</v>
      </c>
    </row>
    <row r="3511" spans="1:9" x14ac:dyDescent="0.2">
      <c r="A3511" s="3" t="str">
        <f>"ENSG00000183196.10"</f>
        <v>ENSG00000183196.10</v>
      </c>
      <c r="B3511" s="3">
        <v>411.26577150031397</v>
      </c>
      <c r="C3511" s="3">
        <v>2.6638938203409301</v>
      </c>
      <c r="D3511" s="3">
        <v>0.309663484221744</v>
      </c>
      <c r="E3511" s="3">
        <v>8.6025442329305104</v>
      </c>
      <c r="F3511" s="4">
        <v>7.7968089234926797E-18</v>
      </c>
      <c r="G3511" s="4">
        <v>3.60530750864813E-16</v>
      </c>
      <c r="H3511" s="3" t="str">
        <f>"CHST6"</f>
        <v>CHST6</v>
      </c>
      <c r="I3511" s="3" t="str">
        <f>"protein_coding"</f>
        <v>protein_coding</v>
      </c>
    </row>
    <row r="3512" spans="1:9" x14ac:dyDescent="0.2">
      <c r="A3512" s="3" t="str">
        <f>"ENSG00000178573.7"</f>
        <v>ENSG00000178573.7</v>
      </c>
      <c r="B3512" s="3">
        <v>122.38529887299499</v>
      </c>
      <c r="C3512" s="3">
        <v>-1.8557231117030299</v>
      </c>
      <c r="D3512" s="3">
        <v>0.38936096715177398</v>
      </c>
      <c r="E3512" s="3">
        <v>-4.7660738190525098</v>
      </c>
      <c r="F3512" s="4">
        <v>1.87850458824496E-6</v>
      </c>
      <c r="G3512" s="4">
        <v>2.2195294935322699E-5</v>
      </c>
      <c r="H3512" s="3" t="str">
        <f>"MAF"</f>
        <v>MAF</v>
      </c>
      <c r="I3512" s="3" t="str">
        <f>"protein_coding"</f>
        <v>protein_coding</v>
      </c>
    </row>
    <row r="3513" spans="1:9" x14ac:dyDescent="0.2">
      <c r="A3513" s="3" t="str">
        <f>"ENSG00000166451.13"</f>
        <v>ENSG00000166451.13</v>
      </c>
      <c r="B3513" s="3">
        <v>1415.39238311246</v>
      </c>
      <c r="C3513" s="3">
        <v>-1.0519460023626801</v>
      </c>
      <c r="D3513" s="3">
        <v>0.27353484971387498</v>
      </c>
      <c r="E3513" s="3">
        <v>-3.8457476386026999</v>
      </c>
      <c r="F3513" s="3">
        <v>1.2018541202076201E-4</v>
      </c>
      <c r="G3513" s="3">
        <v>9.5612398462437099E-4</v>
      </c>
      <c r="H3513" s="3" t="str">
        <f>"CENPN"</f>
        <v>CENPN</v>
      </c>
      <c r="I3513" s="3" t="str">
        <f>"protein_coding"</f>
        <v>protein_coding</v>
      </c>
    </row>
    <row r="3514" spans="1:9" x14ac:dyDescent="0.2">
      <c r="A3514" s="3" t="str">
        <f>"ENSG00000284512.1"</f>
        <v>ENSG00000284512.1</v>
      </c>
      <c r="B3514" s="3">
        <v>9.9369718111004595</v>
      </c>
      <c r="C3514" s="3">
        <v>-3.0978378189347699</v>
      </c>
      <c r="D3514" s="3">
        <v>1.2063948523925601</v>
      </c>
      <c r="E3514" s="3">
        <v>-2.56784734516319</v>
      </c>
      <c r="F3514" s="3">
        <v>1.0233220985609999E-2</v>
      </c>
      <c r="G3514" s="3">
        <v>4.3089500149484303E-2</v>
      </c>
      <c r="H3514" s="3" t="str">
        <f>"AC092718.8"</f>
        <v>AC092718.8</v>
      </c>
      <c r="I3514" s="3" t="str">
        <f>"protein_coding"</f>
        <v>protein_coding</v>
      </c>
    </row>
    <row r="3515" spans="1:9" x14ac:dyDescent="0.2">
      <c r="A3515" s="3" t="str">
        <f>"ENSG00000279476.1"</f>
        <v>ENSG00000279476.1</v>
      </c>
      <c r="B3515" s="3">
        <v>271.74558331033398</v>
      </c>
      <c r="C3515" s="3">
        <v>1.29298084999072</v>
      </c>
      <c r="D3515" s="3">
        <v>0.37571481887610297</v>
      </c>
      <c r="E3515" s="3">
        <v>3.44138901376978</v>
      </c>
      <c r="F3515" s="3">
        <v>5.7873583665877203E-4</v>
      </c>
      <c r="G3515" s="3">
        <v>3.8010704885512799E-3</v>
      </c>
      <c r="H3515" s="3" t="str">
        <f>"AC092139.3"</f>
        <v>AC092139.3</v>
      </c>
      <c r="I3515" s="3" t="str">
        <f>"TEC"</f>
        <v>TEC</v>
      </c>
    </row>
    <row r="3516" spans="1:9" x14ac:dyDescent="0.2">
      <c r="A3516" s="3" t="str">
        <f>"ENSG00000279294.1"</f>
        <v>ENSG00000279294.1</v>
      </c>
      <c r="B3516" s="3">
        <v>39.628888416581702</v>
      </c>
      <c r="C3516" s="3">
        <v>1.6561129733525599</v>
      </c>
      <c r="D3516" s="3">
        <v>0.58511965670358301</v>
      </c>
      <c r="E3516" s="3">
        <v>2.83038341709914</v>
      </c>
      <c r="F3516" s="3">
        <v>4.6492251500510904E-3</v>
      </c>
      <c r="G3516" s="3">
        <v>2.23274644233553E-2</v>
      </c>
      <c r="H3516" s="3" t="str">
        <f>"AC092135.1"</f>
        <v>AC092135.1</v>
      </c>
      <c r="I3516" s="3" t="str">
        <f>"TEC"</f>
        <v>TEC</v>
      </c>
    </row>
    <row r="3517" spans="1:9" x14ac:dyDescent="0.2">
      <c r="A3517" s="3" t="str">
        <f>"ENSG00000279841.1"</f>
        <v>ENSG00000279841.1</v>
      </c>
      <c r="B3517" s="3">
        <v>95.469616191025295</v>
      </c>
      <c r="C3517" s="3">
        <v>1.6085212359830099</v>
      </c>
      <c r="D3517" s="3">
        <v>0.448842046294258</v>
      </c>
      <c r="E3517" s="3">
        <v>3.5837133558750298</v>
      </c>
      <c r="F3517" s="3">
        <v>3.3874382236872701E-4</v>
      </c>
      <c r="G3517" s="3">
        <v>2.3848589005556501E-3</v>
      </c>
      <c r="H3517" s="3" t="str">
        <f>"AC092135.3"</f>
        <v>AC092135.3</v>
      </c>
      <c r="I3517" s="3" t="str">
        <f>"TEC"</f>
        <v>TEC</v>
      </c>
    </row>
    <row r="3518" spans="1:9" x14ac:dyDescent="0.2">
      <c r="A3518" s="3" t="str">
        <f>"ENSG00000260300.5"</f>
        <v>ENSG00000260300.5</v>
      </c>
      <c r="B3518" s="3">
        <v>35.176777690850201</v>
      </c>
      <c r="C3518" s="3">
        <v>1.9299360779279799</v>
      </c>
      <c r="D3518" s="3">
        <v>0.67895976768527599</v>
      </c>
      <c r="E3518" s="3">
        <v>2.8424895992108099</v>
      </c>
      <c r="F3518" s="3">
        <v>4.4762691620842598E-3</v>
      </c>
      <c r="G3518" s="3">
        <v>2.1628995538269202E-2</v>
      </c>
      <c r="H3518" s="3" t="str">
        <f>"AC009119.2"</f>
        <v>AC009119.2</v>
      </c>
      <c r="I3518" s="3" t="str">
        <f>"protein_coding"</f>
        <v>protein_coding</v>
      </c>
    </row>
    <row r="3519" spans="1:9" x14ac:dyDescent="0.2">
      <c r="A3519" s="3" t="str">
        <f>"ENSG00000103187.8"</f>
        <v>ENSG00000103187.8</v>
      </c>
      <c r="B3519" s="3">
        <v>729.94713669793498</v>
      </c>
      <c r="C3519" s="3">
        <v>-3.2954810653213702</v>
      </c>
      <c r="D3519" s="3">
        <v>0.32749354463848901</v>
      </c>
      <c r="E3519" s="3">
        <v>-10.062735950899899</v>
      </c>
      <c r="F3519" s="4">
        <v>8.0723237916774096E-24</v>
      </c>
      <c r="G3519" s="4">
        <v>5.6405362494345899E-22</v>
      </c>
      <c r="H3519" s="3" t="str">
        <f>"COTL1"</f>
        <v>COTL1</v>
      </c>
      <c r="I3519" s="3" t="str">
        <f>"protein_coding"</f>
        <v>protein_coding</v>
      </c>
    </row>
    <row r="3520" spans="1:9" x14ac:dyDescent="0.2">
      <c r="A3520" s="3" t="str">
        <f>"ENSG00000103196.12"</f>
        <v>ENSG00000103196.12</v>
      </c>
      <c r="B3520" s="3">
        <v>129.26717405008799</v>
      </c>
      <c r="C3520" s="3">
        <v>1.60391551973427</v>
      </c>
      <c r="D3520" s="3">
        <v>0.37457880333208199</v>
      </c>
      <c r="E3520" s="3">
        <v>4.2819174642734001</v>
      </c>
      <c r="F3520" s="4">
        <v>1.85289712825061E-5</v>
      </c>
      <c r="G3520" s="3">
        <v>1.78923713094603E-4</v>
      </c>
      <c r="H3520" s="3" t="str">
        <f>"CRISPLD2"</f>
        <v>CRISPLD2</v>
      </c>
      <c r="I3520" s="3" t="str">
        <f>"protein_coding"</f>
        <v>protein_coding</v>
      </c>
    </row>
    <row r="3521" spans="1:9" x14ac:dyDescent="0.2">
      <c r="A3521" s="3" t="str">
        <f>"ENSG00000279622.2"</f>
        <v>ENSG00000279622.2</v>
      </c>
      <c r="B3521" s="3">
        <v>15.550476027776099</v>
      </c>
      <c r="C3521" s="3">
        <v>-2.7147287653718299</v>
      </c>
      <c r="D3521" s="3">
        <v>0.93558456311870297</v>
      </c>
      <c r="E3521" s="3">
        <v>-2.90163911674908</v>
      </c>
      <c r="F3521" s="3">
        <v>3.71215912370236E-3</v>
      </c>
      <c r="G3521" s="3">
        <v>1.8494625224149901E-2</v>
      </c>
      <c r="H3521" s="3" t="str">
        <f>"AC025280.2"</f>
        <v>AC025280.2</v>
      </c>
      <c r="I3521" s="3" t="str">
        <f>"antisense"</f>
        <v>antisense</v>
      </c>
    </row>
    <row r="3522" spans="1:9" x14ac:dyDescent="0.2">
      <c r="A3522" s="3" t="str">
        <f>"ENSG00000135709.12"</f>
        <v>ENSG00000135709.12</v>
      </c>
      <c r="B3522" s="3">
        <v>227.33599536090901</v>
      </c>
      <c r="C3522" s="3">
        <v>2.0712551973304598</v>
      </c>
      <c r="D3522" s="3">
        <v>0.33696879763408</v>
      </c>
      <c r="E3522" s="3">
        <v>6.14672697256578</v>
      </c>
      <c r="F3522" s="4">
        <v>7.9098107568622596E-10</v>
      </c>
      <c r="G3522" s="4">
        <v>1.63627705254005E-8</v>
      </c>
      <c r="H3522" s="3" t="str">
        <f>"KIAA0513"</f>
        <v>KIAA0513</v>
      </c>
      <c r="I3522" s="3" t="str">
        <f>"protein_coding"</f>
        <v>protein_coding</v>
      </c>
    </row>
    <row r="3523" spans="1:9" x14ac:dyDescent="0.2">
      <c r="A3523" s="3" t="str">
        <f>"ENSG00000153789.13"</f>
        <v>ENSG00000153789.13</v>
      </c>
      <c r="B3523" s="3">
        <v>9.2676381843546096</v>
      </c>
      <c r="C3523" s="3">
        <v>5.2377508519837797</v>
      </c>
      <c r="D3523" s="3">
        <v>1.7434551656043999</v>
      </c>
      <c r="E3523" s="3">
        <v>3.0042360453634198</v>
      </c>
      <c r="F3523" s="3">
        <v>2.6624867215667499E-3</v>
      </c>
      <c r="G3523" s="3">
        <v>1.39298780118577E-2</v>
      </c>
      <c r="H3523" s="3" t="str">
        <f>"FAM92B"</f>
        <v>FAM92B</v>
      </c>
      <c r="I3523" s="3" t="str">
        <f>"protein_coding"</f>
        <v>protein_coding</v>
      </c>
    </row>
    <row r="3524" spans="1:9" x14ac:dyDescent="0.2">
      <c r="A3524" s="3" t="str">
        <f>"ENSG00000278214.1"</f>
        <v>ENSG00000278214.1</v>
      </c>
      <c r="B3524" s="3">
        <v>43.482175469147798</v>
      </c>
      <c r="C3524" s="3">
        <v>2.7822232563247802</v>
      </c>
      <c r="D3524" s="3">
        <v>0.60049939553537501</v>
      </c>
      <c r="E3524" s="3">
        <v>4.6331824428304298</v>
      </c>
      <c r="F3524" s="4">
        <v>3.6008693543979201E-6</v>
      </c>
      <c r="G3524" s="4">
        <v>4.0618775161381098E-5</v>
      </c>
      <c r="H3524" s="3" t="str">
        <f>"LINC02139"</f>
        <v>LINC02139</v>
      </c>
      <c r="I3524" s="3" t="str">
        <f>"lincRNA"</f>
        <v>lincRNA</v>
      </c>
    </row>
    <row r="3525" spans="1:9" x14ac:dyDescent="0.2">
      <c r="A3525" s="3" t="str">
        <f>"ENSG00000131149.19"</f>
        <v>ENSG00000131149.19</v>
      </c>
      <c r="B3525" s="3">
        <v>3328.72376757145</v>
      </c>
      <c r="C3525" s="3">
        <v>2.26326032393994</v>
      </c>
      <c r="D3525" s="3">
        <v>0.26284157704886102</v>
      </c>
      <c r="E3525" s="3">
        <v>8.6107394018534897</v>
      </c>
      <c r="F3525" s="4">
        <v>7.2590835673966794E-18</v>
      </c>
      <c r="G3525" s="4">
        <v>3.3628406471061399E-16</v>
      </c>
      <c r="H3525" s="3" t="str">
        <f>"GSE1"</f>
        <v>GSE1</v>
      </c>
      <c r="I3525" s="3" t="str">
        <f>"protein_coding"</f>
        <v>protein_coding</v>
      </c>
    </row>
    <row r="3526" spans="1:9" x14ac:dyDescent="0.2">
      <c r="A3526" s="3" t="str">
        <f>"ENSG00000179219.5"</f>
        <v>ENSG00000179219.5</v>
      </c>
      <c r="B3526" s="3">
        <v>33.540938068360902</v>
      </c>
      <c r="C3526" s="3">
        <v>1.9056016467427901</v>
      </c>
      <c r="D3526" s="3">
        <v>0.62163758334205499</v>
      </c>
      <c r="E3526" s="3">
        <v>3.0654543705319002</v>
      </c>
      <c r="F3526" s="3">
        <v>2.1733953797335799E-3</v>
      </c>
      <c r="G3526" s="3">
        <v>1.1744739157292799E-2</v>
      </c>
      <c r="H3526" s="3" t="str">
        <f>"LINC00311"</f>
        <v>LINC00311</v>
      </c>
      <c r="I3526" s="3" t="str">
        <f>"lincRNA"</f>
        <v>lincRNA</v>
      </c>
    </row>
    <row r="3527" spans="1:9" x14ac:dyDescent="0.2">
      <c r="A3527" s="3" t="str">
        <f>"ENSG00000278716.1"</f>
        <v>ENSG00000278716.1</v>
      </c>
      <c r="B3527" s="3">
        <v>11.8556700056994</v>
      </c>
      <c r="C3527" s="3">
        <v>3.98542230734907</v>
      </c>
      <c r="D3527" s="3">
        <v>1.22453392328405</v>
      </c>
      <c r="E3527" s="3">
        <v>3.2546442622517602</v>
      </c>
      <c r="F3527" s="3">
        <v>1.1353448121152699E-3</v>
      </c>
      <c r="G3527" s="3">
        <v>6.7982858245083403E-3</v>
      </c>
      <c r="H3527" s="3" t="str">
        <f>"AC133540.1"</f>
        <v>AC133540.1</v>
      </c>
      <c r="I3527" s="3" t="str">
        <f>"lincRNA"</f>
        <v>lincRNA</v>
      </c>
    </row>
    <row r="3528" spans="1:9" x14ac:dyDescent="0.2">
      <c r="A3528" s="3" t="str">
        <f>"ENSG00000260417.1"</f>
        <v>ENSG00000260417.1</v>
      </c>
      <c r="B3528" s="3">
        <v>84.915262717487295</v>
      </c>
      <c r="C3528" s="3">
        <v>1.8296551088142301</v>
      </c>
      <c r="D3528" s="3">
        <v>0.48289635103087097</v>
      </c>
      <c r="E3528" s="3">
        <v>3.7889188951383499</v>
      </c>
      <c r="F3528" s="3">
        <v>1.5130429653309899E-4</v>
      </c>
      <c r="G3528" s="3">
        <v>1.1675029384325499E-3</v>
      </c>
      <c r="H3528" s="3" t="str">
        <f>"AC092127.1"</f>
        <v>AC092127.1</v>
      </c>
      <c r="I3528" s="3" t="str">
        <f>"lincRNA"</f>
        <v>lincRNA</v>
      </c>
    </row>
    <row r="3529" spans="1:9" x14ac:dyDescent="0.2">
      <c r="A3529" s="3" t="str">
        <f>"ENSG00000263968.2"</f>
        <v>ENSG00000263968.2</v>
      </c>
      <c r="B3529" s="3">
        <v>42.836504102692103</v>
      </c>
      <c r="C3529" s="3">
        <v>2.76801316872473</v>
      </c>
      <c r="D3529" s="3">
        <v>0.66929922717357604</v>
      </c>
      <c r="E3529" s="3">
        <v>4.1356885774602397</v>
      </c>
      <c r="F3529" s="4">
        <v>3.5389185801313499E-5</v>
      </c>
      <c r="G3529" s="3">
        <v>3.2172568443514297E-4</v>
      </c>
      <c r="H3529" s="3" t="str">
        <f>"RN7SL381P"</f>
        <v>RN7SL381P</v>
      </c>
      <c r="I3529" s="3" t="str">
        <f>"misc_RNA"</f>
        <v>misc_RNA</v>
      </c>
    </row>
    <row r="3530" spans="1:9" x14ac:dyDescent="0.2">
      <c r="A3530" s="3" t="str">
        <f>"ENSG00000131153.9"</f>
        <v>ENSG00000131153.9</v>
      </c>
      <c r="B3530" s="3">
        <v>1104.0661136300901</v>
      </c>
      <c r="C3530" s="3">
        <v>-2.1273766620532202</v>
      </c>
      <c r="D3530" s="3">
        <v>0.28062697835375</v>
      </c>
      <c r="E3530" s="3">
        <v>-7.5807988046377703</v>
      </c>
      <c r="F3530" s="4">
        <v>3.4343382853515098E-14</v>
      </c>
      <c r="G3530" s="4">
        <v>1.15034326988039E-12</v>
      </c>
      <c r="H3530" s="3" t="str">
        <f>"GINS2"</f>
        <v>GINS2</v>
      </c>
      <c r="I3530" s="3" t="str">
        <f>"protein_coding"</f>
        <v>protein_coding</v>
      </c>
    </row>
    <row r="3531" spans="1:9" x14ac:dyDescent="0.2">
      <c r="A3531" s="3" t="str">
        <f>"ENSG00000154102.11"</f>
        <v>ENSG00000154102.11</v>
      </c>
      <c r="B3531" s="3">
        <v>10.524299564171599</v>
      </c>
      <c r="C3531" s="3">
        <v>3.0236844844195101</v>
      </c>
      <c r="D3531" s="3">
        <v>1.17383838367411</v>
      </c>
      <c r="E3531" s="3">
        <v>2.57589505205596</v>
      </c>
      <c r="F3531" s="3">
        <v>9.99809874796799E-3</v>
      </c>
      <c r="G3531" s="3">
        <v>4.22836001566195E-2</v>
      </c>
      <c r="H3531" s="3" t="str">
        <f>"C16orf74"</f>
        <v>C16orf74</v>
      </c>
      <c r="I3531" s="3" t="str">
        <f>"protein_coding"</f>
        <v>protein_coding</v>
      </c>
    </row>
    <row r="3532" spans="1:9" x14ac:dyDescent="0.2">
      <c r="A3532" s="3" t="str">
        <f>"ENSG00000103241.7"</f>
        <v>ENSG00000103241.7</v>
      </c>
      <c r="B3532" s="3">
        <v>32.636351984318701</v>
      </c>
      <c r="C3532" s="3">
        <v>5.0309718259614904</v>
      </c>
      <c r="D3532" s="3">
        <v>0.94021796546847702</v>
      </c>
      <c r="E3532" s="3">
        <v>5.3508569403422701</v>
      </c>
      <c r="F3532" s="4">
        <v>8.7538705564410004E-8</v>
      </c>
      <c r="G3532" s="4">
        <v>1.3209574915853201E-6</v>
      </c>
      <c r="H3532" s="3" t="str">
        <f>"FOXF1"</f>
        <v>FOXF1</v>
      </c>
      <c r="I3532" s="3" t="str">
        <f>"protein_coding"</f>
        <v>protein_coding</v>
      </c>
    </row>
    <row r="3533" spans="1:9" x14ac:dyDescent="0.2">
      <c r="A3533" s="3" t="str">
        <f>"ENSG00000260456.6"</f>
        <v>ENSG00000260456.6</v>
      </c>
      <c r="B3533" s="3">
        <v>101.641243923727</v>
      </c>
      <c r="C3533" s="3">
        <v>-1.7145463158338501</v>
      </c>
      <c r="D3533" s="3">
        <v>0.41161505512240198</v>
      </c>
      <c r="E3533" s="3">
        <v>-4.1654120627924902</v>
      </c>
      <c r="F3533" s="4">
        <v>3.1079070385820997E-5</v>
      </c>
      <c r="G3533" s="3">
        <v>2.8543045474820202E-4</v>
      </c>
      <c r="H3533" s="3" t="str">
        <f>"C16orf95"</f>
        <v>C16orf95</v>
      </c>
      <c r="I3533" s="3" t="str">
        <f>"protein_coding"</f>
        <v>protein_coding</v>
      </c>
    </row>
    <row r="3534" spans="1:9" x14ac:dyDescent="0.2">
      <c r="A3534" s="3" t="str">
        <f>"ENSG00000276337.1"</f>
        <v>ENSG00000276337.1</v>
      </c>
      <c r="B3534" s="3">
        <v>105.24126382466</v>
      </c>
      <c r="C3534" s="3">
        <v>1.0019474437186999</v>
      </c>
      <c r="D3534" s="3">
        <v>0.39056215708585101</v>
      </c>
      <c r="E3534" s="3">
        <v>2.56539817168836</v>
      </c>
      <c r="F3534" s="3">
        <v>1.0305746595638401E-2</v>
      </c>
      <c r="G3534" s="3">
        <v>4.33151304282847E-2</v>
      </c>
      <c r="H3534" s="3" t="str">
        <f>"AC105429.1"</f>
        <v>AC105429.1</v>
      </c>
      <c r="I3534" s="3" t="str">
        <f>"sense_intronic"</f>
        <v>sense_intronic</v>
      </c>
    </row>
    <row r="3535" spans="1:9" x14ac:dyDescent="0.2">
      <c r="A3535" s="3" t="str">
        <f>"ENSG00000174990.6"</f>
        <v>ENSG00000174990.6</v>
      </c>
      <c r="B3535" s="3">
        <v>267.42718325897602</v>
      </c>
      <c r="C3535" s="3">
        <v>-1.4602509840776301</v>
      </c>
      <c r="D3535" s="3">
        <v>0.36066320324545298</v>
      </c>
      <c r="E3535" s="3">
        <v>-4.0487939189178803</v>
      </c>
      <c r="F3535" s="4">
        <v>5.1482251298083199E-5</v>
      </c>
      <c r="G3535" s="3">
        <v>4.5107489773712399E-4</v>
      </c>
      <c r="H3535" s="3" t="str">
        <f>"CA5A"</f>
        <v>CA5A</v>
      </c>
      <c r="I3535" s="3" t="str">
        <f>"protein_coding"</f>
        <v>protein_coding</v>
      </c>
    </row>
    <row r="3536" spans="1:9" x14ac:dyDescent="0.2">
      <c r="A3536" s="3" t="str">
        <f>"ENSG00000261273.1"</f>
        <v>ENSG00000261273.1</v>
      </c>
      <c r="B3536" s="3">
        <v>13.375367148525701</v>
      </c>
      <c r="C3536" s="3">
        <v>4.2038612920972902</v>
      </c>
      <c r="D3536" s="3">
        <v>1.23384065932303</v>
      </c>
      <c r="E3536" s="3">
        <v>3.4071346736164601</v>
      </c>
      <c r="F3536" s="3">
        <v>6.5648726342349697E-4</v>
      </c>
      <c r="G3536" s="3">
        <v>4.2485045308510603E-3</v>
      </c>
      <c r="H3536" s="3" t="str">
        <f>"AC138512.1"</f>
        <v>AC138512.1</v>
      </c>
      <c r="I3536" s="3" t="str">
        <f>"lincRNA"</f>
        <v>lincRNA</v>
      </c>
    </row>
    <row r="3537" spans="1:9" x14ac:dyDescent="0.2">
      <c r="A3537" s="3" t="str">
        <f>"ENSG00000225614.2"</f>
        <v>ENSG00000225614.2</v>
      </c>
      <c r="B3537" s="3">
        <v>14.487752902177199</v>
      </c>
      <c r="C3537" s="3">
        <v>4.3186555571409597</v>
      </c>
      <c r="D3537" s="3">
        <v>1.20098541445201</v>
      </c>
      <c r="E3537" s="3">
        <v>3.5959267324753301</v>
      </c>
      <c r="F3537" s="3">
        <v>3.2323877475535801E-4</v>
      </c>
      <c r="G3537" s="3">
        <v>2.2891529783139199E-3</v>
      </c>
      <c r="H3537" s="3" t="str">
        <f>"ZNF469"</f>
        <v>ZNF469</v>
      </c>
      <c r="I3537" s="3" t="str">
        <f>"protein_coding"</f>
        <v>protein_coding</v>
      </c>
    </row>
    <row r="3538" spans="1:9" x14ac:dyDescent="0.2">
      <c r="A3538" s="3" t="str">
        <f>"ENSG00000179588.9"</f>
        <v>ENSG00000179588.9</v>
      </c>
      <c r="B3538" s="3">
        <v>405.52666277635501</v>
      </c>
      <c r="C3538" s="3">
        <v>1.5576030003013599</v>
      </c>
      <c r="D3538" s="3">
        <v>0.36153288753093898</v>
      </c>
      <c r="E3538" s="3">
        <v>4.3083300413937202</v>
      </c>
      <c r="F3538" s="4">
        <v>1.6449180488631502E-5</v>
      </c>
      <c r="G3538" s="3">
        <v>1.6062854627000201E-4</v>
      </c>
      <c r="H3538" s="3" t="str">
        <f>"ZFPM1"</f>
        <v>ZFPM1</v>
      </c>
      <c r="I3538" s="3" t="str">
        <f>"protein_coding"</f>
        <v>protein_coding</v>
      </c>
    </row>
    <row r="3539" spans="1:9" x14ac:dyDescent="0.2">
      <c r="A3539" s="3" t="str">
        <f>"ENSG00000263456.1"</f>
        <v>ENSG00000263456.1</v>
      </c>
      <c r="B3539" s="3">
        <v>15.745292057057</v>
      </c>
      <c r="C3539" s="3">
        <v>2.66406631635421</v>
      </c>
      <c r="D3539" s="3">
        <v>0.91996366743997204</v>
      </c>
      <c r="E3539" s="3">
        <v>2.8958386191137699</v>
      </c>
      <c r="F3539" s="3">
        <v>3.78146810548231E-3</v>
      </c>
      <c r="G3539" s="3">
        <v>1.87598457464597E-2</v>
      </c>
      <c r="H3539" s="3" t="str">
        <f>"MIR5189"</f>
        <v>MIR5189</v>
      </c>
      <c r="I3539" s="3" t="str">
        <f>"miRNA"</f>
        <v>miRNA</v>
      </c>
    </row>
    <row r="3540" spans="1:9" x14ac:dyDescent="0.2">
      <c r="A3540" s="3" t="str">
        <f>"ENSG00000167508.12"</f>
        <v>ENSG00000167508.12</v>
      </c>
      <c r="B3540" s="3">
        <v>667.46952511008999</v>
      </c>
      <c r="C3540" s="3">
        <v>-1.1387553694333099</v>
      </c>
      <c r="D3540" s="3">
        <v>0.308885145764767</v>
      </c>
      <c r="E3540" s="3">
        <v>-3.68666277756371</v>
      </c>
      <c r="F3540" s="3">
        <v>2.27214126394854E-4</v>
      </c>
      <c r="G3540" s="3">
        <v>1.6726869620903001E-3</v>
      </c>
      <c r="H3540" s="3" t="str">
        <f>"MVD"</f>
        <v>MVD</v>
      </c>
      <c r="I3540" s="3" t="str">
        <f>"protein_coding"</f>
        <v>protein_coding</v>
      </c>
    </row>
    <row r="3541" spans="1:9" x14ac:dyDescent="0.2">
      <c r="A3541" s="3" t="str">
        <f>"ENSG00000185669.6"</f>
        <v>ENSG00000185669.6</v>
      </c>
      <c r="B3541" s="3">
        <v>146.18962386511899</v>
      </c>
      <c r="C3541" s="3">
        <v>5.9432510531214904</v>
      </c>
      <c r="D3541" s="3">
        <v>0.59377525004735598</v>
      </c>
      <c r="E3541" s="3">
        <v>10.009260326440801</v>
      </c>
      <c r="F3541" s="4">
        <v>1.3878628654042899E-23</v>
      </c>
      <c r="G3541" s="4">
        <v>9.4868723856644008E-22</v>
      </c>
      <c r="H3541" s="3" t="str">
        <f>"SNAI3"</f>
        <v>SNAI3</v>
      </c>
      <c r="I3541" s="3" t="str">
        <f>"protein_coding"</f>
        <v>protein_coding</v>
      </c>
    </row>
    <row r="3542" spans="1:9" x14ac:dyDescent="0.2">
      <c r="A3542" s="3" t="str">
        <f>"ENSG00000158717.10"</f>
        <v>ENSG00000158717.10</v>
      </c>
      <c r="B3542" s="3">
        <v>499.17043421254999</v>
      </c>
      <c r="C3542" s="3">
        <v>2.4061410561926899</v>
      </c>
      <c r="D3542" s="3">
        <v>0.35347492565664801</v>
      </c>
      <c r="E3542" s="3">
        <v>6.8071053462217002</v>
      </c>
      <c r="F3542" s="4">
        <v>9.9582013985886402E-12</v>
      </c>
      <c r="G3542" s="4">
        <v>2.55610771613773E-10</v>
      </c>
      <c r="H3542" s="3" t="str">
        <f>"RNF166"</f>
        <v>RNF166</v>
      </c>
      <c r="I3542" s="3" t="str">
        <f>"protein_coding"</f>
        <v>protein_coding</v>
      </c>
    </row>
    <row r="3543" spans="1:9" x14ac:dyDescent="0.2">
      <c r="A3543" s="3" t="str">
        <f>"ENSG00000260121.1"</f>
        <v>ENSG00000260121.1</v>
      </c>
      <c r="B3543" s="3">
        <v>29.536308336087401</v>
      </c>
      <c r="C3543" s="3">
        <v>2.11830225954141</v>
      </c>
      <c r="D3543" s="3">
        <v>0.70104671086030701</v>
      </c>
      <c r="E3543" s="3">
        <v>3.0216278412345399</v>
      </c>
      <c r="F3543" s="3">
        <v>2.51419448868892E-3</v>
      </c>
      <c r="G3543" s="3">
        <v>1.3269945942712901E-2</v>
      </c>
      <c r="H3543" s="3" t="str">
        <f>"AC138028.4"</f>
        <v>AC138028.4</v>
      </c>
      <c r="I3543" s="3" t="str">
        <f>"antisense"</f>
        <v>antisense</v>
      </c>
    </row>
    <row r="3544" spans="1:9" x14ac:dyDescent="0.2">
      <c r="A3544" s="3" t="str">
        <f>"ENSG00000224888.4"</f>
        <v>ENSG00000224888.4</v>
      </c>
      <c r="B3544" s="3">
        <v>20.883538848681098</v>
      </c>
      <c r="C3544" s="3">
        <v>3.5412136683097102</v>
      </c>
      <c r="D3544" s="3">
        <v>0.88062846263665695</v>
      </c>
      <c r="E3544" s="3">
        <v>4.02123462794638</v>
      </c>
      <c r="F3544" s="4">
        <v>5.7893904107587701E-5</v>
      </c>
      <c r="G3544" s="3">
        <v>5.0097047052850602E-4</v>
      </c>
      <c r="H3544" s="3" t="str">
        <f>"AC138028.2"</f>
        <v>AC138028.2</v>
      </c>
      <c r="I3544" s="3" t="str">
        <f>"antisense"</f>
        <v>antisense</v>
      </c>
    </row>
    <row r="3545" spans="1:9" x14ac:dyDescent="0.2">
      <c r="A3545" s="3" t="str">
        <f>"ENSG00000141012.13"</f>
        <v>ENSG00000141012.13</v>
      </c>
      <c r="B3545" s="3">
        <v>524.20269800103802</v>
      </c>
      <c r="C3545" s="3">
        <v>1.8204873494928799</v>
      </c>
      <c r="D3545" s="3">
        <v>0.288036141410901</v>
      </c>
      <c r="E3545" s="3">
        <v>6.3203434838958099</v>
      </c>
      <c r="F3545" s="4">
        <v>2.6098254736326801E-10</v>
      </c>
      <c r="G3545" s="4">
        <v>5.7487005069378297E-9</v>
      </c>
      <c r="H3545" s="3" t="str">
        <f>"GALNS"</f>
        <v>GALNS</v>
      </c>
      <c r="I3545" s="3" t="str">
        <f>"protein_coding"</f>
        <v>protein_coding</v>
      </c>
    </row>
    <row r="3546" spans="1:9" x14ac:dyDescent="0.2">
      <c r="A3546" s="3" t="str">
        <f>"ENSG00000176715.16"</f>
        <v>ENSG00000176715.16</v>
      </c>
      <c r="B3546" s="3">
        <v>814.84907819146395</v>
      </c>
      <c r="C3546" s="3">
        <v>1.27159186951155</v>
      </c>
      <c r="D3546" s="3">
        <v>0.278278610844996</v>
      </c>
      <c r="E3546" s="3">
        <v>4.5694919406502299</v>
      </c>
      <c r="F3546" s="4">
        <v>4.8890796574553401E-6</v>
      </c>
      <c r="G3546" s="4">
        <v>5.3658289172464701E-5</v>
      </c>
      <c r="H3546" s="3" t="str">
        <f>"ACSF3"</f>
        <v>ACSF3</v>
      </c>
      <c r="I3546" s="3" t="str">
        <f>"protein_coding"</f>
        <v>protein_coding</v>
      </c>
    </row>
    <row r="3547" spans="1:9" x14ac:dyDescent="0.2">
      <c r="A3547" s="3" t="str">
        <f>"ENSG00000261692.1"</f>
        <v>ENSG00000261692.1</v>
      </c>
      <c r="B3547" s="3">
        <v>28.044296681402098</v>
      </c>
      <c r="C3547" s="3">
        <v>1.8278482381200201</v>
      </c>
      <c r="D3547" s="3">
        <v>0.729604812349126</v>
      </c>
      <c r="E3547" s="3">
        <v>2.50525792481392</v>
      </c>
      <c r="F3547" s="3">
        <v>1.22362126881217E-2</v>
      </c>
      <c r="G3547" s="3">
        <v>4.9814198117769999E-2</v>
      </c>
      <c r="H3547" s="3" t="str">
        <f>"AC092120.1"</f>
        <v>AC092120.1</v>
      </c>
      <c r="I3547" s="3" t="str">
        <f>"sense_intronic"</f>
        <v>sense_intronic</v>
      </c>
    </row>
    <row r="3548" spans="1:9" x14ac:dyDescent="0.2">
      <c r="A3548" s="3" t="str">
        <f>"ENSG00000167523.13"</f>
        <v>ENSG00000167523.13</v>
      </c>
      <c r="B3548" s="3">
        <v>287.65345040674703</v>
      </c>
      <c r="C3548" s="3">
        <v>-1.23027145478417</v>
      </c>
      <c r="D3548" s="3">
        <v>0.32976456420049999</v>
      </c>
      <c r="E3548" s="3">
        <v>-3.7307569955762401</v>
      </c>
      <c r="F3548" s="3">
        <v>1.9090529370196501E-4</v>
      </c>
      <c r="G3548" s="3">
        <v>1.4343556341317001E-3</v>
      </c>
      <c r="H3548" s="3" t="str">
        <f>"SPATA33"</f>
        <v>SPATA33</v>
      </c>
      <c r="I3548" s="3" t="str">
        <f>"protein_coding"</f>
        <v>protein_coding</v>
      </c>
    </row>
    <row r="3549" spans="1:9" x14ac:dyDescent="0.2">
      <c r="A3549" s="3" t="str">
        <f>"ENSG00000261373.1"</f>
        <v>ENSG00000261373.1</v>
      </c>
      <c r="B3549" s="3">
        <v>31.4374143340012</v>
      </c>
      <c r="C3549" s="3">
        <v>5.4593740133040303</v>
      </c>
      <c r="D3549" s="3">
        <v>1.0364254273811999</v>
      </c>
      <c r="E3549" s="3">
        <v>5.2675029665168998</v>
      </c>
      <c r="F3549" s="4">
        <v>1.3829192721661399E-7</v>
      </c>
      <c r="G3549" s="4">
        <v>2.0367291739660002E-6</v>
      </c>
      <c r="H3549" s="3" t="str">
        <f>"VPS9D1-AS1"</f>
        <v>VPS9D1-AS1</v>
      </c>
      <c r="I3549" s="3" t="str">
        <f>"antisense"</f>
        <v>antisense</v>
      </c>
    </row>
    <row r="3550" spans="1:9" x14ac:dyDescent="0.2">
      <c r="A3550" s="3" t="str">
        <f>"ENSG00000141002.20"</f>
        <v>ENSG00000141002.20</v>
      </c>
      <c r="B3550" s="3">
        <v>1293.6344306892499</v>
      </c>
      <c r="C3550" s="3">
        <v>1.5749908533760699</v>
      </c>
      <c r="D3550" s="3">
        <v>0.30734850252034701</v>
      </c>
      <c r="E3550" s="3">
        <v>5.1244461595247097</v>
      </c>
      <c r="F3550" s="4">
        <v>2.98413603432468E-7</v>
      </c>
      <c r="G3550" s="4">
        <v>4.1169048924332699E-6</v>
      </c>
      <c r="H3550" s="3" t="str">
        <f>"TCF25"</f>
        <v>TCF25</v>
      </c>
      <c r="I3550" s="3" t="str">
        <f>"protein_coding"</f>
        <v>protein_coding</v>
      </c>
    </row>
    <row r="3551" spans="1:9" x14ac:dyDescent="0.2">
      <c r="A3551" s="3" t="str">
        <f>"ENSG00000258839.3"</f>
        <v>ENSG00000258839.3</v>
      </c>
      <c r="B3551" s="3">
        <v>181.68507909719699</v>
      </c>
      <c r="C3551" s="3">
        <v>1.61252798371691</v>
      </c>
      <c r="D3551" s="3">
        <v>0.41769318630874702</v>
      </c>
      <c r="E3551" s="3">
        <v>3.8605561128904098</v>
      </c>
      <c r="F3551" s="3">
        <v>1.13129256520158E-4</v>
      </c>
      <c r="G3551" s="3">
        <v>9.06295047058782E-4</v>
      </c>
      <c r="H3551" s="3" t="str">
        <f>"MC1R"</f>
        <v>MC1R</v>
      </c>
      <c r="I3551" s="3" t="str">
        <f>"protein_coding"</f>
        <v>protein_coding</v>
      </c>
    </row>
    <row r="3552" spans="1:9" x14ac:dyDescent="0.2">
      <c r="A3552" s="3" t="str">
        <f>"ENSG00000003249.13"</f>
        <v>ENSG00000003249.13</v>
      </c>
      <c r="B3552" s="3">
        <v>1158.5626311753799</v>
      </c>
      <c r="C3552" s="3">
        <v>1.0390031292115001</v>
      </c>
      <c r="D3552" s="3">
        <v>0.31878835191325899</v>
      </c>
      <c r="E3552" s="3">
        <v>3.2592255111448001</v>
      </c>
      <c r="F3552" s="3">
        <v>1.1171682758698001E-3</v>
      </c>
      <c r="G3552" s="3">
        <v>6.7022103456963597E-3</v>
      </c>
      <c r="H3552" s="3" t="str">
        <f>"DBNDD1"</f>
        <v>DBNDD1</v>
      </c>
      <c r="I3552" s="3" t="str">
        <f>"protein_coding"</f>
        <v>protein_coding</v>
      </c>
    </row>
    <row r="3553" spans="1:9" x14ac:dyDescent="0.2">
      <c r="A3553" s="3" t="str">
        <f>"ENSG00000260528.4"</f>
        <v>ENSG00000260528.4</v>
      </c>
      <c r="B3553" s="3">
        <v>195.909953938706</v>
      </c>
      <c r="C3553" s="3">
        <v>1.1873121414529499</v>
      </c>
      <c r="D3553" s="3">
        <v>0.32606154042404401</v>
      </c>
      <c r="E3553" s="3">
        <v>3.6413743856722398</v>
      </c>
      <c r="F3553" s="3">
        <v>2.7118643548597999E-4</v>
      </c>
      <c r="G3553" s="3">
        <v>1.9563219915829698E-3</v>
      </c>
      <c r="H3553" s="3" t="str">
        <f>"FAM157C"</f>
        <v>FAM157C</v>
      </c>
      <c r="I3553" s="3" t="str">
        <f>"lincRNA"</f>
        <v>lincRNA</v>
      </c>
    </row>
    <row r="3554" spans="1:9" x14ac:dyDescent="0.2">
      <c r="A3554" s="3" t="str">
        <f>"ENSG00000272636.4"</f>
        <v>ENSG00000272636.4</v>
      </c>
      <c r="B3554" s="3">
        <v>40.9097155290657</v>
      </c>
      <c r="C3554" s="3">
        <v>1.61591383534802</v>
      </c>
      <c r="D3554" s="3">
        <v>0.57808955733001399</v>
      </c>
      <c r="E3554" s="3">
        <v>2.7952655689048198</v>
      </c>
      <c r="F3554" s="3">
        <v>5.1857096867426603E-3</v>
      </c>
      <c r="G3554" s="3">
        <v>2.4441920024360499E-2</v>
      </c>
      <c r="H3554" s="3" t="str">
        <f>"DOC2B"</f>
        <v>DOC2B</v>
      </c>
      <c r="I3554" s="3" t="str">
        <f>"protein_coding"</f>
        <v>protein_coding</v>
      </c>
    </row>
    <row r="3555" spans="1:9" x14ac:dyDescent="0.2">
      <c r="A3555" s="3" t="str">
        <f>"ENSG00000181031.15"</f>
        <v>ENSG00000181031.15</v>
      </c>
      <c r="B3555" s="3">
        <v>771.95533011468399</v>
      </c>
      <c r="C3555" s="3">
        <v>1.80452242889851</v>
      </c>
      <c r="D3555" s="3">
        <v>0.27681044616669598</v>
      </c>
      <c r="E3555" s="3">
        <v>6.5189824079537102</v>
      </c>
      <c r="F3555" s="4">
        <v>7.0785954483043104E-11</v>
      </c>
      <c r="G3555" s="4">
        <v>1.65331539927665E-9</v>
      </c>
      <c r="H3555" s="3" t="str">
        <f>"RPH3AL"</f>
        <v>RPH3AL</v>
      </c>
      <c r="I3555" s="3" t="str">
        <f>"protein_coding"</f>
        <v>protein_coding</v>
      </c>
    </row>
    <row r="3556" spans="1:9" x14ac:dyDescent="0.2">
      <c r="A3556" s="3" t="str">
        <f>"ENSG00000262558.1"</f>
        <v>ENSG00000262558.1</v>
      </c>
      <c r="B3556" s="3">
        <v>33.785280091722498</v>
      </c>
      <c r="C3556" s="3">
        <v>-1.8715131829770599</v>
      </c>
      <c r="D3556" s="3">
        <v>0.62547624969106497</v>
      </c>
      <c r="E3556" s="3">
        <v>-2.9921410827372599</v>
      </c>
      <c r="F3556" s="3">
        <v>2.7702820522808001E-3</v>
      </c>
      <c r="G3556" s="3">
        <v>1.4421863622749101E-2</v>
      </c>
      <c r="H3556" s="3" t="str">
        <f>"AC129507.3"</f>
        <v>AC129507.3</v>
      </c>
      <c r="I3556" s="3" t="str">
        <f>"antisense"</f>
        <v>antisense</v>
      </c>
    </row>
    <row r="3557" spans="1:9" x14ac:dyDescent="0.2">
      <c r="A3557" s="3" t="str">
        <f>"ENSG00000183688.4"</f>
        <v>ENSG00000183688.4</v>
      </c>
      <c r="B3557" s="3">
        <v>627.83666915491801</v>
      </c>
      <c r="C3557" s="3">
        <v>-2.0882149060973498</v>
      </c>
      <c r="D3557" s="3">
        <v>0.35706954597615098</v>
      </c>
      <c r="E3557" s="3">
        <v>-5.8482022049475502</v>
      </c>
      <c r="F3557" s="4">
        <v>4.9691427969738496E-9</v>
      </c>
      <c r="G3557" s="4">
        <v>9.21012574817078E-8</v>
      </c>
      <c r="H3557" s="3" t="str">
        <f>"RFLNB"</f>
        <v>RFLNB</v>
      </c>
      <c r="I3557" s="3" t="str">
        <f>"protein_coding"</f>
        <v>protein_coding</v>
      </c>
    </row>
    <row r="3558" spans="1:9" x14ac:dyDescent="0.2">
      <c r="A3558" s="3" t="str">
        <f>"ENSG00000167695.15"</f>
        <v>ENSG00000167695.15</v>
      </c>
      <c r="B3558" s="3">
        <v>1062.2734431772301</v>
      </c>
      <c r="C3558" s="3">
        <v>-1.3661642691927101</v>
      </c>
      <c r="D3558" s="3">
        <v>0.27324309689534998</v>
      </c>
      <c r="E3558" s="3">
        <v>-4.9998125651311396</v>
      </c>
      <c r="F3558" s="4">
        <v>5.7386073114717704E-7</v>
      </c>
      <c r="G3558" s="4">
        <v>7.5341684196279899E-6</v>
      </c>
      <c r="H3558" s="3" t="str">
        <f>"FAM57A"</f>
        <v>FAM57A</v>
      </c>
      <c r="I3558" s="3" t="str">
        <f>"protein_coding"</f>
        <v>protein_coding</v>
      </c>
    </row>
    <row r="3559" spans="1:9" x14ac:dyDescent="0.2">
      <c r="A3559" s="3" t="str">
        <f>"ENSG00000171861.11"</f>
        <v>ENSG00000171861.11</v>
      </c>
      <c r="B3559" s="3">
        <v>872.42539111876397</v>
      </c>
      <c r="C3559" s="3">
        <v>-1.0864326303059899</v>
      </c>
      <c r="D3559" s="3">
        <v>0.28797541705095298</v>
      </c>
      <c r="E3559" s="3">
        <v>-3.7726575463688499</v>
      </c>
      <c r="F3559" s="3">
        <v>1.6151791182499999E-4</v>
      </c>
      <c r="G3559" s="3">
        <v>1.2372055639335801E-3</v>
      </c>
      <c r="H3559" s="3" t="str">
        <f>"MRM3"</f>
        <v>MRM3</v>
      </c>
      <c r="I3559" s="3" t="str">
        <f>"protein_coding"</f>
        <v>protein_coding</v>
      </c>
    </row>
    <row r="3560" spans="1:9" x14ac:dyDescent="0.2">
      <c r="A3560" s="3" t="str">
        <f>"ENSG00000167693.17"</f>
        <v>ENSG00000167693.17</v>
      </c>
      <c r="B3560" s="3">
        <v>3078.4278339893399</v>
      </c>
      <c r="C3560" s="3">
        <v>1.1124423478994701</v>
      </c>
      <c r="D3560" s="3">
        <v>0.264949510866267</v>
      </c>
      <c r="E3560" s="3">
        <v>4.1986956090701</v>
      </c>
      <c r="F3560" s="4">
        <v>2.68456895731234E-5</v>
      </c>
      <c r="G3560" s="3">
        <v>2.5057637150720501E-4</v>
      </c>
      <c r="H3560" s="3" t="str">
        <f>"NXN"</f>
        <v>NXN</v>
      </c>
      <c r="I3560" s="3" t="str">
        <f>"protein_coding"</f>
        <v>protein_coding</v>
      </c>
    </row>
    <row r="3561" spans="1:9" x14ac:dyDescent="0.2">
      <c r="A3561" s="3" t="str">
        <f>"ENSG00000186594.14"</f>
        <v>ENSG00000186594.14</v>
      </c>
      <c r="B3561" s="3">
        <v>779.54855321369303</v>
      </c>
      <c r="C3561" s="3">
        <v>1.13093456653235</v>
      </c>
      <c r="D3561" s="3">
        <v>0.26539628881326199</v>
      </c>
      <c r="E3561" s="3">
        <v>4.2613051282269296</v>
      </c>
      <c r="F3561" s="4">
        <v>2.0323652509509398E-5</v>
      </c>
      <c r="G3561" s="3">
        <v>1.9416691184075501E-4</v>
      </c>
      <c r="H3561" s="3" t="str">
        <f>"MIR22HG"</f>
        <v>MIR22HG</v>
      </c>
      <c r="I3561" s="3" t="str">
        <f>"lincRNA"</f>
        <v>lincRNA</v>
      </c>
    </row>
    <row r="3562" spans="1:9" x14ac:dyDescent="0.2">
      <c r="A3562" s="3" t="str">
        <f>"ENSG00000167716.18"</f>
        <v>ENSG00000167716.18</v>
      </c>
      <c r="B3562" s="3">
        <v>2977.64637109661</v>
      </c>
      <c r="C3562" s="3">
        <v>1.0581651772062299</v>
      </c>
      <c r="D3562" s="3">
        <v>0.27729279644050597</v>
      </c>
      <c r="E3562" s="3">
        <v>3.8160572174591501</v>
      </c>
      <c r="F3562" s="3">
        <v>1.3560107290191799E-4</v>
      </c>
      <c r="G3562" s="3">
        <v>1.0603186163654799E-3</v>
      </c>
      <c r="H3562" s="3" t="str">
        <f>"WDR81"</f>
        <v>WDR81</v>
      </c>
      <c r="I3562" s="3" t="str">
        <f>"protein_coding"</f>
        <v>protein_coding</v>
      </c>
    </row>
    <row r="3563" spans="1:9" x14ac:dyDescent="0.2">
      <c r="A3563" s="3" t="str">
        <f>"ENSG00000262445.3"</f>
        <v>ENSG00000262445.3</v>
      </c>
      <c r="B3563" s="3">
        <v>163.30711189492001</v>
      </c>
      <c r="C3563" s="3">
        <v>2.0161436876311001</v>
      </c>
      <c r="D3563" s="3">
        <v>0.377666570659004</v>
      </c>
      <c r="E3563" s="3">
        <v>5.3384224187834803</v>
      </c>
      <c r="F3563" s="4">
        <v>9.3758810219215699E-8</v>
      </c>
      <c r="G3563" s="4">
        <v>1.4097446928059601E-6</v>
      </c>
      <c r="H3563" s="3" t="str">
        <f>"AC099684.2"</f>
        <v>AC099684.2</v>
      </c>
      <c r="I3563" s="3" t="str">
        <f>"antisense"</f>
        <v>antisense</v>
      </c>
    </row>
    <row r="3564" spans="1:9" x14ac:dyDescent="0.2">
      <c r="A3564" s="3" t="str">
        <f>"ENSG00000228133.2"</f>
        <v>ENSG00000228133.2</v>
      </c>
      <c r="B3564" s="3">
        <v>34.064398811317901</v>
      </c>
      <c r="C3564" s="3">
        <v>2.7174789914594202</v>
      </c>
      <c r="D3564" s="3">
        <v>0.65084674802116005</v>
      </c>
      <c r="E3564" s="3">
        <v>4.1752977943297198</v>
      </c>
      <c r="F3564" s="4">
        <v>2.9759649369827402E-5</v>
      </c>
      <c r="G3564" s="3">
        <v>2.73812721250186E-4</v>
      </c>
      <c r="H3564" s="3" t="str">
        <f>"AC099684.1"</f>
        <v>AC099684.1</v>
      </c>
      <c r="I3564" s="3" t="str">
        <f>"antisense"</f>
        <v>antisense</v>
      </c>
    </row>
    <row r="3565" spans="1:9" x14ac:dyDescent="0.2">
      <c r="A3565" s="3" t="str">
        <f>"ENSG00000070366.14"</f>
        <v>ENSG00000070366.14</v>
      </c>
      <c r="B3565" s="3">
        <v>2697.7072113934801</v>
      </c>
      <c r="C3565" s="3">
        <v>1.0694941843197501</v>
      </c>
      <c r="D3565" s="3">
        <v>0.26902426645091698</v>
      </c>
      <c r="E3565" s="3">
        <v>3.9754561862726301</v>
      </c>
      <c r="F3565" s="4">
        <v>7.0244475827655096E-5</v>
      </c>
      <c r="G3565" s="3">
        <v>5.9474917180904203E-4</v>
      </c>
      <c r="H3565" s="3" t="str">
        <f>"SMG6"</f>
        <v>SMG6</v>
      </c>
      <c r="I3565" s="3" t="str">
        <f>"protein_coding"</f>
        <v>protein_coding</v>
      </c>
    </row>
    <row r="3566" spans="1:9" x14ac:dyDescent="0.2">
      <c r="A3566" s="3" t="str">
        <f>"ENSG00000262402.1"</f>
        <v>ENSG00000262402.1</v>
      </c>
      <c r="B3566" s="3">
        <v>29.827724607901601</v>
      </c>
      <c r="C3566" s="3">
        <v>2.5308085539558101</v>
      </c>
      <c r="D3566" s="3">
        <v>0.70104326811784301</v>
      </c>
      <c r="E3566" s="3">
        <v>3.6100604185965701</v>
      </c>
      <c r="F3566" s="3">
        <v>3.0612569049439102E-4</v>
      </c>
      <c r="G3566" s="3">
        <v>2.1851849444910298E-3</v>
      </c>
      <c r="H3566" s="3" t="str">
        <f>"MCUR1P1"</f>
        <v>MCUR1P1</v>
      </c>
      <c r="I3566" s="3" t="str">
        <f>"processed_pseudogene"</f>
        <v>processed_pseudogene</v>
      </c>
    </row>
    <row r="3567" spans="1:9" x14ac:dyDescent="0.2">
      <c r="A3567" s="3" t="str">
        <f>"ENSG00000262903.1"</f>
        <v>ENSG00000262903.1</v>
      </c>
      <c r="B3567" s="3">
        <v>220.993530612901</v>
      </c>
      <c r="C3567" s="3">
        <v>2.17610409527349</v>
      </c>
      <c r="D3567" s="3">
        <v>0.35895573199837399</v>
      </c>
      <c r="E3567" s="3">
        <v>6.0623188356924</v>
      </c>
      <c r="F3567" s="4">
        <v>1.3417290047716501E-9</v>
      </c>
      <c r="G3567" s="4">
        <v>2.68292473092454E-8</v>
      </c>
      <c r="H3567" s="3" t="str">
        <f>"AC027796.4"</f>
        <v>AC027796.4</v>
      </c>
      <c r="I3567" s="3" t="str">
        <f>"antisense"</f>
        <v>antisense</v>
      </c>
    </row>
    <row r="3568" spans="1:9" x14ac:dyDescent="0.2">
      <c r="A3568" s="3" t="str">
        <f>"ENSG00000213977.8"</f>
        <v>ENSG00000213977.8</v>
      </c>
      <c r="B3568" s="3">
        <v>421.54809204039998</v>
      </c>
      <c r="C3568" s="3">
        <v>1.48495454065169</v>
      </c>
      <c r="D3568" s="3">
        <v>0.30936387152990302</v>
      </c>
      <c r="E3568" s="3">
        <v>4.8000257215172502</v>
      </c>
      <c r="F3568" s="4">
        <v>1.5864525352846201E-6</v>
      </c>
      <c r="G3568" s="4">
        <v>1.8985353722685401E-5</v>
      </c>
      <c r="H3568" s="3" t="str">
        <f>"TAX1BP3"</f>
        <v>TAX1BP3</v>
      </c>
      <c r="I3568" s="3" t="str">
        <f t="shared" ref="I3568:I3580" si="144">"protein_coding"</f>
        <v>protein_coding</v>
      </c>
    </row>
    <row r="3569" spans="1:9" x14ac:dyDescent="0.2">
      <c r="A3569" s="3" t="str">
        <f>"ENSG00000083454.22"</f>
        <v>ENSG00000083454.22</v>
      </c>
      <c r="B3569" s="3">
        <v>115.471363240939</v>
      </c>
      <c r="C3569" s="3">
        <v>1.1692670461313099</v>
      </c>
      <c r="D3569" s="3">
        <v>0.41328125527082199</v>
      </c>
      <c r="E3569" s="3">
        <v>2.8292283553124</v>
      </c>
      <c r="F3569" s="3">
        <v>4.6660392442760597E-3</v>
      </c>
      <c r="G3569" s="3">
        <v>2.2391113542496101E-2</v>
      </c>
      <c r="H3569" s="3" t="str">
        <f>"P2RX5"</f>
        <v>P2RX5</v>
      </c>
      <c r="I3569" s="3" t="str">
        <f t="shared" si="144"/>
        <v>protein_coding</v>
      </c>
    </row>
    <row r="3570" spans="1:9" x14ac:dyDescent="0.2">
      <c r="A3570" s="3" t="str">
        <f>"ENSG00000074370.18"</f>
        <v>ENSG00000074370.18</v>
      </c>
      <c r="B3570" s="3">
        <v>31.0954547331432</v>
      </c>
      <c r="C3570" s="3">
        <v>3.3439753239151599</v>
      </c>
      <c r="D3570" s="3">
        <v>0.73471597921072496</v>
      </c>
      <c r="E3570" s="3">
        <v>4.5513850501896798</v>
      </c>
      <c r="F3570" s="4">
        <v>5.32939121269279E-6</v>
      </c>
      <c r="G3570" s="4">
        <v>5.8135661732561601E-5</v>
      </c>
      <c r="H3570" s="3" t="str">
        <f>"ATP2A3"</f>
        <v>ATP2A3</v>
      </c>
      <c r="I3570" s="3" t="str">
        <f t="shared" si="144"/>
        <v>protein_coding</v>
      </c>
    </row>
    <row r="3571" spans="1:9" x14ac:dyDescent="0.2">
      <c r="A3571" s="3" t="str">
        <f>"ENSG00000182557.8"</f>
        <v>ENSG00000182557.8</v>
      </c>
      <c r="B3571" s="3">
        <v>43.998061892764603</v>
      </c>
      <c r="C3571" s="3">
        <v>4.2786387193286401</v>
      </c>
      <c r="D3571" s="3">
        <v>0.70680498213194398</v>
      </c>
      <c r="E3571" s="3">
        <v>6.0534925863467102</v>
      </c>
      <c r="F3571" s="4">
        <v>1.4173859857200901E-9</v>
      </c>
      <c r="G3571" s="4">
        <v>2.8162989313419401E-8</v>
      </c>
      <c r="H3571" s="3" t="str">
        <f>"SPNS3"</f>
        <v>SPNS3</v>
      </c>
      <c r="I3571" s="3" t="str">
        <f t="shared" si="144"/>
        <v>protein_coding</v>
      </c>
    </row>
    <row r="3572" spans="1:9" x14ac:dyDescent="0.2">
      <c r="A3572" s="3" t="str">
        <f>"ENSG00000183018.9"</f>
        <v>ENSG00000183018.9</v>
      </c>
      <c r="B3572" s="3">
        <v>39.351239690777597</v>
      </c>
      <c r="C3572" s="3">
        <v>4.7240318535769097</v>
      </c>
      <c r="D3572" s="3">
        <v>0.80255581776612905</v>
      </c>
      <c r="E3572" s="3">
        <v>5.8862346381414197</v>
      </c>
      <c r="F3572" s="4">
        <v>3.9509329794099296E-9</v>
      </c>
      <c r="G3572" s="4">
        <v>7.4057912889014003E-8</v>
      </c>
      <c r="H3572" s="3" t="str">
        <f>"AC118754.1"</f>
        <v>AC118754.1</v>
      </c>
      <c r="I3572" s="3" t="str">
        <f t="shared" si="144"/>
        <v>protein_coding</v>
      </c>
    </row>
    <row r="3573" spans="1:9" x14ac:dyDescent="0.2">
      <c r="A3573" s="3" t="str">
        <f>"ENSG00000167741.10"</f>
        <v>ENSG00000167741.10</v>
      </c>
      <c r="B3573" s="3">
        <v>124.937098796404</v>
      </c>
      <c r="C3573" s="3">
        <v>2.99481188572712</v>
      </c>
      <c r="D3573" s="3">
        <v>0.431647394801565</v>
      </c>
      <c r="E3573" s="3">
        <v>6.9380979053606397</v>
      </c>
      <c r="F3573" s="4">
        <v>3.9741427406526998E-12</v>
      </c>
      <c r="G3573" s="4">
        <v>1.0784202873907099E-10</v>
      </c>
      <c r="H3573" s="3" t="str">
        <f>"GGT6"</f>
        <v>GGT6</v>
      </c>
      <c r="I3573" s="3" t="str">
        <f t="shared" si="144"/>
        <v>protein_coding</v>
      </c>
    </row>
    <row r="3574" spans="1:9" x14ac:dyDescent="0.2">
      <c r="A3574" s="3" t="str">
        <f>"ENSG00000108515.17"</f>
        <v>ENSG00000108515.17</v>
      </c>
      <c r="B3574" s="3">
        <v>587.15777715656805</v>
      </c>
      <c r="C3574" s="3">
        <v>-1.1482141340687599</v>
      </c>
      <c r="D3574" s="3">
        <v>0.33251787640582497</v>
      </c>
      <c r="E3574" s="3">
        <v>-3.4530899405462701</v>
      </c>
      <c r="F3574" s="3">
        <v>5.5420418825813096E-4</v>
      </c>
      <c r="G3574" s="3">
        <v>3.6600174207490899E-3</v>
      </c>
      <c r="H3574" s="3" t="str">
        <f>"ENO3"</f>
        <v>ENO3</v>
      </c>
      <c r="I3574" s="3" t="str">
        <f t="shared" si="144"/>
        <v>protein_coding</v>
      </c>
    </row>
    <row r="3575" spans="1:9" x14ac:dyDescent="0.2">
      <c r="A3575" s="3" t="str">
        <f>"ENSG00000132517.15"</f>
        <v>ENSG00000132517.15</v>
      </c>
      <c r="B3575" s="3">
        <v>256.00984102108998</v>
      </c>
      <c r="C3575" s="3">
        <v>7.6625268369523898</v>
      </c>
      <c r="D3575" s="3">
        <v>1.63034516263704</v>
      </c>
      <c r="E3575" s="3">
        <v>4.6999414679517599</v>
      </c>
      <c r="F3575" s="4">
        <v>2.6023606882410401E-6</v>
      </c>
      <c r="G3575" s="4">
        <v>3.0001092168975E-5</v>
      </c>
      <c r="H3575" s="3" t="str">
        <f>"SLC52A1"</f>
        <v>SLC52A1</v>
      </c>
      <c r="I3575" s="3" t="str">
        <f t="shared" si="144"/>
        <v>protein_coding</v>
      </c>
    </row>
    <row r="3576" spans="1:9" x14ac:dyDescent="0.2">
      <c r="A3576" s="3" t="str">
        <f>"ENSG00000167840.13"</f>
        <v>ENSG00000167840.13</v>
      </c>
      <c r="B3576" s="3">
        <v>564.06420016621803</v>
      </c>
      <c r="C3576" s="3">
        <v>-1.2350884335780301</v>
      </c>
      <c r="D3576" s="3">
        <v>0.27173125023772299</v>
      </c>
      <c r="E3576" s="3">
        <v>-4.54525724405093</v>
      </c>
      <c r="F3576" s="4">
        <v>5.4868201516653203E-6</v>
      </c>
      <c r="G3576" s="4">
        <v>5.9723479409407697E-5</v>
      </c>
      <c r="H3576" s="3" t="str">
        <f>"ZNF232"</f>
        <v>ZNF232</v>
      </c>
      <c r="I3576" s="3" t="str">
        <f t="shared" si="144"/>
        <v>protein_coding</v>
      </c>
    </row>
    <row r="3577" spans="1:9" x14ac:dyDescent="0.2">
      <c r="A3577" s="3" t="str">
        <f>"ENSG00000005100.13"</f>
        <v>ENSG00000005100.13</v>
      </c>
      <c r="B3577" s="3">
        <v>3540.99302554012</v>
      </c>
      <c r="C3577" s="3">
        <v>-1.3087449343495801</v>
      </c>
      <c r="D3577" s="3">
        <v>0.24594371244672</v>
      </c>
      <c r="E3577" s="3">
        <v>-5.3213189364745599</v>
      </c>
      <c r="F3577" s="4">
        <v>1.03017611665954E-7</v>
      </c>
      <c r="G3577" s="4">
        <v>1.53884086784862E-6</v>
      </c>
      <c r="H3577" s="3" t="str">
        <f>"DHX33"</f>
        <v>DHX33</v>
      </c>
      <c r="I3577" s="3" t="str">
        <f t="shared" si="144"/>
        <v>protein_coding</v>
      </c>
    </row>
    <row r="3578" spans="1:9" x14ac:dyDescent="0.2">
      <c r="A3578" s="3" t="str">
        <f>"ENSG00000072849.11"</f>
        <v>ENSG00000072849.11</v>
      </c>
      <c r="B3578" s="3">
        <v>1662.3398759495999</v>
      </c>
      <c r="C3578" s="3">
        <v>-1.09603818037463</v>
      </c>
      <c r="D3578" s="3">
        <v>0.246327406276412</v>
      </c>
      <c r="E3578" s="3">
        <v>-4.4495178061702303</v>
      </c>
      <c r="F3578" s="4">
        <v>8.6063294810159401E-6</v>
      </c>
      <c r="G3578" s="4">
        <v>8.9607706165130803E-5</v>
      </c>
      <c r="H3578" s="3" t="str">
        <f>"DERL2"</f>
        <v>DERL2</v>
      </c>
      <c r="I3578" s="3" t="str">
        <f t="shared" si="144"/>
        <v>protein_coding</v>
      </c>
    </row>
    <row r="3579" spans="1:9" x14ac:dyDescent="0.2">
      <c r="A3579" s="3" t="str">
        <f>"ENSG00000091592.16"</f>
        <v>ENSG00000091592.16</v>
      </c>
      <c r="B3579" s="3">
        <v>1400.9589750857299</v>
      </c>
      <c r="C3579" s="3">
        <v>-1.7586437801925201</v>
      </c>
      <c r="D3579" s="3">
        <v>0.2752244734664</v>
      </c>
      <c r="E3579" s="3">
        <v>-6.3898524649452</v>
      </c>
      <c r="F3579" s="4">
        <v>1.6604588092918099E-10</v>
      </c>
      <c r="G3579" s="4">
        <v>3.7127858975764901E-9</v>
      </c>
      <c r="H3579" s="3" t="str">
        <f>"NLRP1"</f>
        <v>NLRP1</v>
      </c>
      <c r="I3579" s="3" t="str">
        <f t="shared" si="144"/>
        <v>protein_coding</v>
      </c>
    </row>
    <row r="3580" spans="1:9" x14ac:dyDescent="0.2">
      <c r="A3580" s="3" t="str">
        <f>"ENSG00000286190.1"</f>
        <v>ENSG00000286190.1</v>
      </c>
      <c r="B3580" s="3">
        <v>102.91595194016099</v>
      </c>
      <c r="C3580" s="3">
        <v>-1.6705753265091701</v>
      </c>
      <c r="D3580" s="3">
        <v>0.45488740635284203</v>
      </c>
      <c r="E3580" s="3">
        <v>-3.6725029164983098</v>
      </c>
      <c r="F3580" s="3">
        <v>2.4018640923290801E-4</v>
      </c>
      <c r="G3580" s="3">
        <v>1.754832740126E-3</v>
      </c>
      <c r="H3580" s="3" t="str">
        <f>"AC055839.2"</f>
        <v>AC055839.2</v>
      </c>
      <c r="I3580" s="3" t="str">
        <f t="shared" si="144"/>
        <v>protein_coding</v>
      </c>
    </row>
    <row r="3581" spans="1:9" x14ac:dyDescent="0.2">
      <c r="A3581" s="3" t="str">
        <f>"ENSG00000282980.1"</f>
        <v>ENSG00000282980.1</v>
      </c>
      <c r="B3581" s="3">
        <v>20.2115837552297</v>
      </c>
      <c r="C3581" s="3">
        <v>-2.5429932893013198</v>
      </c>
      <c r="D3581" s="3">
        <v>0.92001249372836202</v>
      </c>
      <c r="E3581" s="3">
        <v>-2.7640856038767598</v>
      </c>
      <c r="F3581" s="3">
        <v>5.7082561668132803E-3</v>
      </c>
      <c r="G3581" s="3">
        <v>2.6414860904376E-2</v>
      </c>
      <c r="H3581" s="3" t="str">
        <f>"AC055839.1"</f>
        <v>AC055839.1</v>
      </c>
      <c r="I3581" s="3" t="str">
        <f>"processed_pseudogene"</f>
        <v>processed_pseudogene</v>
      </c>
    </row>
    <row r="3582" spans="1:9" x14ac:dyDescent="0.2">
      <c r="A3582" s="3" t="str">
        <f>"ENSG00000132530.17"</f>
        <v>ENSG00000132530.17</v>
      </c>
      <c r="B3582" s="3">
        <v>133.182845393001</v>
      </c>
      <c r="C3582" s="3">
        <v>1.5927945678549</v>
      </c>
      <c r="D3582" s="3">
        <v>0.370902753562804</v>
      </c>
      <c r="E3582" s="3">
        <v>4.2943724535741303</v>
      </c>
      <c r="F3582" s="4">
        <v>1.7518816055884299E-5</v>
      </c>
      <c r="G3582" s="3">
        <v>1.7041214922110199E-4</v>
      </c>
      <c r="H3582" s="3" t="str">
        <f>"XAF1"</f>
        <v>XAF1</v>
      </c>
      <c r="I3582" s="3" t="str">
        <f>"protein_coding"</f>
        <v>protein_coding</v>
      </c>
    </row>
    <row r="3583" spans="1:9" x14ac:dyDescent="0.2">
      <c r="A3583" s="3" t="str">
        <f>"ENSG00000267532.5"</f>
        <v>ENSG00000267532.5</v>
      </c>
      <c r="B3583" s="3">
        <v>22.5217654863322</v>
      </c>
      <c r="C3583" s="3">
        <v>-3.11958155227159</v>
      </c>
      <c r="D3583" s="3">
        <v>0.821812844632273</v>
      </c>
      <c r="E3583" s="3">
        <v>-3.7959756563156</v>
      </c>
      <c r="F3583" s="3">
        <v>1.4706392999218099E-4</v>
      </c>
      <c r="G3583" s="3">
        <v>1.13932650414331E-3</v>
      </c>
      <c r="H3583" s="3" t="str">
        <f>"MIR497HG"</f>
        <v>MIR497HG</v>
      </c>
      <c r="I3583" s="3" t="str">
        <f>"antisense"</f>
        <v>antisense</v>
      </c>
    </row>
    <row r="3584" spans="1:9" x14ac:dyDescent="0.2">
      <c r="A3584" s="3" t="str">
        <f>"ENSG00000174327.6"</f>
        <v>ENSG00000174327.6</v>
      </c>
      <c r="B3584" s="3">
        <v>233.006754295344</v>
      </c>
      <c r="C3584" s="3">
        <v>-1.32401210555981</v>
      </c>
      <c r="D3584" s="3">
        <v>0.38003435839191502</v>
      </c>
      <c r="E3584" s="3">
        <v>-3.4839273774146702</v>
      </c>
      <c r="F3584" s="3">
        <v>4.9411354135600399E-4</v>
      </c>
      <c r="G3584" s="3">
        <v>3.3074577256014602E-3</v>
      </c>
      <c r="H3584" s="3" t="str">
        <f>"SLC16A13"</f>
        <v>SLC16A13</v>
      </c>
      <c r="I3584" s="3" t="str">
        <f t="shared" ref="I3584:I3591" si="145">"protein_coding"</f>
        <v>protein_coding</v>
      </c>
    </row>
    <row r="3585" spans="1:9" x14ac:dyDescent="0.2">
      <c r="A3585" s="3" t="str">
        <f>"ENSG00000132535.19"</f>
        <v>ENSG00000132535.19</v>
      </c>
      <c r="B3585" s="3">
        <v>260.92576243429198</v>
      </c>
      <c r="C3585" s="3">
        <v>-1.35067655536833</v>
      </c>
      <c r="D3585" s="3">
        <v>0.35191008130656098</v>
      </c>
      <c r="E3585" s="3">
        <v>-3.83812975847006</v>
      </c>
      <c r="F3585" s="3">
        <v>1.2397496797767401E-4</v>
      </c>
      <c r="G3585" s="3">
        <v>9.8099726941755202E-4</v>
      </c>
      <c r="H3585" s="3" t="str">
        <f>"DLG4"</f>
        <v>DLG4</v>
      </c>
      <c r="I3585" s="3" t="str">
        <f t="shared" si="145"/>
        <v>protein_coding</v>
      </c>
    </row>
    <row r="3586" spans="1:9" x14ac:dyDescent="0.2">
      <c r="A3586" s="3" t="str">
        <f>"ENSG00000170291.14"</f>
        <v>ENSG00000170291.14</v>
      </c>
      <c r="B3586" s="3">
        <v>1011.3400026385</v>
      </c>
      <c r="C3586" s="3">
        <v>-1.2377474920793701</v>
      </c>
      <c r="D3586" s="3">
        <v>0.30035844270207301</v>
      </c>
      <c r="E3586" s="3">
        <v>-4.1209012836276404</v>
      </c>
      <c r="F3586" s="4">
        <v>3.77393115974766E-5</v>
      </c>
      <c r="G3586" s="3">
        <v>3.4026250295144203E-4</v>
      </c>
      <c r="H3586" s="3" t="str">
        <f>"ELP5"</f>
        <v>ELP5</v>
      </c>
      <c r="I3586" s="3" t="str">
        <f t="shared" si="145"/>
        <v>protein_coding</v>
      </c>
    </row>
    <row r="3587" spans="1:9" x14ac:dyDescent="0.2">
      <c r="A3587" s="3" t="str">
        <f>"ENSG00000181856.14"</f>
        <v>ENSG00000181856.14</v>
      </c>
      <c r="B3587" s="3">
        <v>161.146486156077</v>
      </c>
      <c r="C3587" s="3">
        <v>-1.35284341987631</v>
      </c>
      <c r="D3587" s="3">
        <v>0.39313662868406202</v>
      </c>
      <c r="E3587" s="3">
        <v>-3.4411533323787702</v>
      </c>
      <c r="F3587" s="3">
        <v>5.7924018700749203E-4</v>
      </c>
      <c r="G3587" s="3">
        <v>3.8033899514939898E-3</v>
      </c>
      <c r="H3587" s="3" t="str">
        <f>"SLC2A4"</f>
        <v>SLC2A4</v>
      </c>
      <c r="I3587" s="3" t="str">
        <f t="shared" si="145"/>
        <v>protein_coding</v>
      </c>
    </row>
    <row r="3588" spans="1:9" x14ac:dyDescent="0.2">
      <c r="A3588" s="3" t="str">
        <f>"ENSG00000132507.18"</f>
        <v>ENSG00000132507.18</v>
      </c>
      <c r="B3588" s="3">
        <v>14498.618429799</v>
      </c>
      <c r="C3588" s="3">
        <v>-1.27880009391437</v>
      </c>
      <c r="D3588" s="3">
        <v>0.27946143327239398</v>
      </c>
      <c r="E3588" s="3">
        <v>-4.57594480547841</v>
      </c>
      <c r="F3588" s="4">
        <v>4.7407553296972899E-6</v>
      </c>
      <c r="G3588" s="4">
        <v>5.22355235736029E-5</v>
      </c>
      <c r="H3588" s="3" t="str">
        <f>"EIF5A"</f>
        <v>EIF5A</v>
      </c>
      <c r="I3588" s="3" t="str">
        <f t="shared" si="145"/>
        <v>protein_coding</v>
      </c>
    </row>
    <row r="3589" spans="1:9" x14ac:dyDescent="0.2">
      <c r="A3589" s="3" t="str">
        <f>"ENSG00000213859.6"</f>
        <v>ENSG00000213859.6</v>
      </c>
      <c r="B3589" s="3">
        <v>269.10084843637799</v>
      </c>
      <c r="C3589" s="3">
        <v>1.19690582311537</v>
      </c>
      <c r="D3589" s="3">
        <v>0.31727840947470998</v>
      </c>
      <c r="E3589" s="3">
        <v>3.77241497490165</v>
      </c>
      <c r="F3589" s="3">
        <v>1.6167506884248801E-4</v>
      </c>
      <c r="G3589" s="3">
        <v>1.23803237647878E-3</v>
      </c>
      <c r="H3589" s="3" t="str">
        <f>"KCTD11"</f>
        <v>KCTD11</v>
      </c>
      <c r="I3589" s="3" t="str">
        <f t="shared" si="145"/>
        <v>protein_coding</v>
      </c>
    </row>
    <row r="3590" spans="1:9" x14ac:dyDescent="0.2">
      <c r="A3590" s="3" t="str">
        <f>"ENSG00000170175.11"</f>
        <v>ENSG00000170175.11</v>
      </c>
      <c r="B3590" s="3">
        <v>338.447811281226</v>
      </c>
      <c r="C3590" s="3">
        <v>1.0799787071765199</v>
      </c>
      <c r="D3590" s="3">
        <v>0.31152373648954301</v>
      </c>
      <c r="E3590" s="3">
        <v>3.4667621778887101</v>
      </c>
      <c r="F3590" s="3">
        <v>5.2676773574464905E-4</v>
      </c>
      <c r="G3590" s="3">
        <v>3.4982165329134501E-3</v>
      </c>
      <c r="H3590" s="3" t="str">
        <f>"CHRNB1"</f>
        <v>CHRNB1</v>
      </c>
      <c r="I3590" s="3" t="str">
        <f t="shared" si="145"/>
        <v>protein_coding</v>
      </c>
    </row>
    <row r="3591" spans="1:9" x14ac:dyDescent="0.2">
      <c r="A3591" s="3" t="str">
        <f>"ENSG00000174282.12"</f>
        <v>ENSG00000174282.12</v>
      </c>
      <c r="B3591" s="3">
        <v>1701.06058391382</v>
      </c>
      <c r="C3591" s="3">
        <v>1.0619882167632599</v>
      </c>
      <c r="D3591" s="3">
        <v>0.26730070068040701</v>
      </c>
      <c r="E3591" s="3">
        <v>3.9730094760694401</v>
      </c>
      <c r="F3591" s="4">
        <v>7.0970224624721499E-5</v>
      </c>
      <c r="G3591" s="3">
        <v>5.9968290239666405E-4</v>
      </c>
      <c r="H3591" s="3" t="str">
        <f>"ZBTB4"</f>
        <v>ZBTB4</v>
      </c>
      <c r="I3591" s="3" t="str">
        <f t="shared" si="145"/>
        <v>protein_coding</v>
      </c>
    </row>
    <row r="3592" spans="1:9" x14ac:dyDescent="0.2">
      <c r="A3592" s="3" t="str">
        <f>"ENSG00000233223.2"</f>
        <v>ENSG00000233223.2</v>
      </c>
      <c r="B3592" s="3">
        <v>96.9210810267233</v>
      </c>
      <c r="C3592" s="3">
        <v>-1.33934342346156</v>
      </c>
      <c r="D3592" s="3">
        <v>0.433049370804301</v>
      </c>
      <c r="E3592" s="3">
        <v>-3.0928192343842902</v>
      </c>
      <c r="F3592" s="3">
        <v>1.9826486263976699E-3</v>
      </c>
      <c r="G3592" s="3">
        <v>1.08751692536052E-2</v>
      </c>
      <c r="H3592" s="3" t="str">
        <f>"AC016876.1"</f>
        <v>AC016876.1</v>
      </c>
      <c r="I3592" s="3" t="str">
        <f>"antisense"</f>
        <v>antisense</v>
      </c>
    </row>
    <row r="3593" spans="1:9" x14ac:dyDescent="0.2">
      <c r="A3593" s="3" t="str">
        <f>"ENSG00000129214.15"</f>
        <v>ENSG00000129214.15</v>
      </c>
      <c r="B3593" s="3">
        <v>179.02412904847401</v>
      </c>
      <c r="C3593" s="3">
        <v>1.76950969892367</v>
      </c>
      <c r="D3593" s="3">
        <v>0.36467288898134598</v>
      </c>
      <c r="E3593" s="3">
        <v>4.85232040107645</v>
      </c>
      <c r="F3593" s="4">
        <v>1.22025273204311E-6</v>
      </c>
      <c r="G3593" s="4">
        <v>1.4915188277232399E-5</v>
      </c>
      <c r="H3593" s="3" t="str">
        <f>"SHBG"</f>
        <v>SHBG</v>
      </c>
      <c r="I3593" s="3" t="str">
        <f t="shared" ref="I3593:I3599" si="146">"protein_coding"</f>
        <v>protein_coding</v>
      </c>
    </row>
    <row r="3594" spans="1:9" x14ac:dyDescent="0.2">
      <c r="A3594" s="3" t="str">
        <f>"ENSG00000129244.9"</f>
        <v>ENSG00000129244.9</v>
      </c>
      <c r="B3594" s="3">
        <v>26.640374573569002</v>
      </c>
      <c r="C3594" s="3">
        <v>-1.99616131667234</v>
      </c>
      <c r="D3594" s="3">
        <v>0.71336868611125603</v>
      </c>
      <c r="E3594" s="3">
        <v>-2.7982183063766</v>
      </c>
      <c r="F3594" s="3">
        <v>5.1385369380216404E-3</v>
      </c>
      <c r="G3594" s="3">
        <v>2.42650453681123E-2</v>
      </c>
      <c r="H3594" s="3" t="str">
        <f>"ATP1B2"</f>
        <v>ATP1B2</v>
      </c>
      <c r="I3594" s="3" t="str">
        <f t="shared" si="146"/>
        <v>protein_coding</v>
      </c>
    </row>
    <row r="3595" spans="1:9" x14ac:dyDescent="0.2">
      <c r="A3595" s="3" t="str">
        <f>"ENSG00000141510.17"</f>
        <v>ENSG00000141510.17</v>
      </c>
      <c r="B3595" s="3">
        <v>1878.54153588398</v>
      </c>
      <c r="C3595" s="3">
        <v>1.62951914468135</v>
      </c>
      <c r="D3595" s="3">
        <v>0.270428007788242</v>
      </c>
      <c r="E3595" s="3">
        <v>6.0257040607914201</v>
      </c>
      <c r="F3595" s="4">
        <v>1.6837502741822999E-9</v>
      </c>
      <c r="G3595" s="4">
        <v>3.30324957021369E-8</v>
      </c>
      <c r="H3595" s="3" t="str">
        <f>"TP53"</f>
        <v>TP53</v>
      </c>
      <c r="I3595" s="3" t="str">
        <f t="shared" si="146"/>
        <v>protein_coding</v>
      </c>
    </row>
    <row r="3596" spans="1:9" x14ac:dyDescent="0.2">
      <c r="A3596" s="3" t="str">
        <f>"ENSG00000183914.14"</f>
        <v>ENSG00000183914.14</v>
      </c>
      <c r="B3596" s="3">
        <v>81.046023613012295</v>
      </c>
      <c r="C3596" s="3">
        <v>2.41054081987247</v>
      </c>
      <c r="D3596" s="3">
        <v>0.46115612697192099</v>
      </c>
      <c r="E3596" s="3">
        <v>5.2271685854002303</v>
      </c>
      <c r="F3596" s="4">
        <v>1.72125545760181E-7</v>
      </c>
      <c r="G3596" s="4">
        <v>2.4826938667416002E-6</v>
      </c>
      <c r="H3596" s="3" t="str">
        <f>"DNAH2"</f>
        <v>DNAH2</v>
      </c>
      <c r="I3596" s="3" t="str">
        <f t="shared" si="146"/>
        <v>protein_coding</v>
      </c>
    </row>
    <row r="3597" spans="1:9" x14ac:dyDescent="0.2">
      <c r="A3597" s="3" t="str">
        <f>"ENSG00000182224.12"</f>
        <v>ENSG00000182224.12</v>
      </c>
      <c r="B3597" s="3">
        <v>116.502790209484</v>
      </c>
      <c r="C3597" s="3">
        <v>-1.3608175650141601</v>
      </c>
      <c r="D3597" s="3">
        <v>0.40268401545215199</v>
      </c>
      <c r="E3597" s="3">
        <v>-3.37936822122469</v>
      </c>
      <c r="F3597" s="3">
        <v>7.2652628216475805E-4</v>
      </c>
      <c r="G3597" s="3">
        <v>4.6491398188385899E-3</v>
      </c>
      <c r="H3597" s="3" t="str">
        <f>"CYB5D1"</f>
        <v>CYB5D1</v>
      </c>
      <c r="I3597" s="3" t="str">
        <f t="shared" si="146"/>
        <v>protein_coding</v>
      </c>
    </row>
    <row r="3598" spans="1:9" x14ac:dyDescent="0.2">
      <c r="A3598" s="3" t="str">
        <f>"ENSG00000179477.10"</f>
        <v>ENSG00000179477.10</v>
      </c>
      <c r="B3598" s="3">
        <v>21.986105008728401</v>
      </c>
      <c r="C3598" s="3">
        <v>2.6646439548822398</v>
      </c>
      <c r="D3598" s="3">
        <v>0.83072180705941201</v>
      </c>
      <c r="E3598" s="3">
        <v>3.2076249019085501</v>
      </c>
      <c r="F3598" s="3">
        <v>1.3383593069992801E-3</v>
      </c>
      <c r="G3598" s="3">
        <v>7.8239433807964099E-3</v>
      </c>
      <c r="H3598" s="3" t="str">
        <f>"ALOX12B"</f>
        <v>ALOX12B</v>
      </c>
      <c r="I3598" s="3" t="str">
        <f t="shared" si="146"/>
        <v>protein_coding</v>
      </c>
    </row>
    <row r="3599" spans="1:9" x14ac:dyDescent="0.2">
      <c r="A3599" s="3" t="str">
        <f>"ENSG00000178999.13"</f>
        <v>ENSG00000178999.13</v>
      </c>
      <c r="B3599" s="3">
        <v>1595.46017420667</v>
      </c>
      <c r="C3599" s="3">
        <v>-1.4411011574572099</v>
      </c>
      <c r="D3599" s="3">
        <v>0.30834578403461699</v>
      </c>
      <c r="E3599" s="3">
        <v>-4.6736528665993298</v>
      </c>
      <c r="F3599" s="4">
        <v>2.9588928429143401E-6</v>
      </c>
      <c r="G3599" s="4">
        <v>3.3801521100594997E-5</v>
      </c>
      <c r="H3599" s="3" t="str">
        <f>"AURKB"</f>
        <v>AURKB</v>
      </c>
      <c r="I3599" s="3" t="str">
        <f t="shared" si="146"/>
        <v>protein_coding</v>
      </c>
    </row>
    <row r="3600" spans="1:9" x14ac:dyDescent="0.2">
      <c r="A3600" s="3" t="str">
        <f>"ENSG00000178977.3"</f>
        <v>ENSG00000178977.3</v>
      </c>
      <c r="B3600" s="3">
        <v>282.277989046296</v>
      </c>
      <c r="C3600" s="3">
        <v>3.21394812684396</v>
      </c>
      <c r="D3600" s="3">
        <v>0.34803052674247298</v>
      </c>
      <c r="E3600" s="3">
        <v>9.2346730527524699</v>
      </c>
      <c r="F3600" s="4">
        <v>2.5907600597698201E-20</v>
      </c>
      <c r="G3600" s="4">
        <v>1.4291791513927601E-18</v>
      </c>
      <c r="H3600" s="3" t="str">
        <f>"LINC00324"</f>
        <v>LINC00324</v>
      </c>
      <c r="I3600" s="3" t="str">
        <f>"lincRNA"</f>
        <v>lincRNA</v>
      </c>
    </row>
    <row r="3601" spans="1:9" x14ac:dyDescent="0.2">
      <c r="A3601" s="3" t="str">
        <f>"ENSG00000133026.12"</f>
        <v>ENSG00000133026.12</v>
      </c>
      <c r="B3601" s="3">
        <v>10650.8376282848</v>
      </c>
      <c r="C3601" s="3">
        <v>-1.13198992672607</v>
      </c>
      <c r="D3601" s="3">
        <v>0.241245659946936</v>
      </c>
      <c r="E3601" s="3">
        <v>-4.6922706380502701</v>
      </c>
      <c r="F3601" s="4">
        <v>2.7018937235282099E-6</v>
      </c>
      <c r="G3601" s="4">
        <v>3.1034765577786402E-5</v>
      </c>
      <c r="H3601" s="3" t="str">
        <f>"MYH10"</f>
        <v>MYH10</v>
      </c>
      <c r="I3601" s="3" t="str">
        <f t="shared" ref="I3601:I3610" si="147">"protein_coding"</f>
        <v>protein_coding</v>
      </c>
    </row>
    <row r="3602" spans="1:9" x14ac:dyDescent="0.2">
      <c r="A3602" s="3" t="str">
        <f>"ENSG00000065320.9"</f>
        <v>ENSG00000065320.9</v>
      </c>
      <c r="B3602" s="3">
        <v>1041.18184968625</v>
      </c>
      <c r="C3602" s="3">
        <v>6.3749847047745698</v>
      </c>
      <c r="D3602" s="3">
        <v>0.33916931216733798</v>
      </c>
      <c r="E3602" s="3">
        <v>18.795877091702501</v>
      </c>
      <c r="F3602" s="4">
        <v>8.1619638575436298E-79</v>
      </c>
      <c r="G3602" s="4">
        <v>6.2216424495912104E-76</v>
      </c>
      <c r="H3602" s="3" t="str">
        <f>"NTN1"</f>
        <v>NTN1</v>
      </c>
      <c r="I3602" s="3" t="str">
        <f t="shared" si="147"/>
        <v>protein_coding</v>
      </c>
    </row>
    <row r="3603" spans="1:9" x14ac:dyDescent="0.2">
      <c r="A3603" s="3" t="str">
        <f>"ENSG00000007237.18"</f>
        <v>ENSG00000007237.18</v>
      </c>
      <c r="B3603" s="3">
        <v>368.52833419770002</v>
      </c>
      <c r="C3603" s="3">
        <v>-2.6783850303588199</v>
      </c>
      <c r="D3603" s="3">
        <v>0.32349480851822898</v>
      </c>
      <c r="E3603" s="3">
        <v>-8.2795301804909496</v>
      </c>
      <c r="F3603" s="4">
        <v>1.2366219114750899E-16</v>
      </c>
      <c r="G3603" s="4">
        <v>5.2724108785010001E-15</v>
      </c>
      <c r="H3603" s="3" t="str">
        <f>"GAS7"</f>
        <v>GAS7</v>
      </c>
      <c r="I3603" s="3" t="str">
        <f t="shared" si="147"/>
        <v>protein_coding</v>
      </c>
    </row>
    <row r="3604" spans="1:9" x14ac:dyDescent="0.2">
      <c r="A3604" s="3" t="str">
        <f>"ENSG00000264424.1"</f>
        <v>ENSG00000264424.1</v>
      </c>
      <c r="B3604" s="3">
        <v>47.578355948586399</v>
      </c>
      <c r="C3604" s="3">
        <v>-3.0031178434777601</v>
      </c>
      <c r="D3604" s="3">
        <v>0.61182745692368101</v>
      </c>
      <c r="E3604" s="3">
        <v>-4.9084391514197199</v>
      </c>
      <c r="F3604" s="4">
        <v>9.1804103210380401E-7</v>
      </c>
      <c r="G3604" s="4">
        <v>1.15582193005862E-5</v>
      </c>
      <c r="H3604" s="3" t="str">
        <f>"MYH4"</f>
        <v>MYH4</v>
      </c>
      <c r="I3604" s="3" t="str">
        <f t="shared" si="147"/>
        <v>protein_coding</v>
      </c>
    </row>
    <row r="3605" spans="1:9" x14ac:dyDescent="0.2">
      <c r="A3605" s="3" t="str">
        <f>"ENSG00000187824.8"</f>
        <v>ENSG00000187824.8</v>
      </c>
      <c r="B3605" s="3">
        <v>49.638212726650103</v>
      </c>
      <c r="C3605" s="3">
        <v>-2.0339831864464002</v>
      </c>
      <c r="D3605" s="3">
        <v>0.54226219259348496</v>
      </c>
      <c r="E3605" s="3">
        <v>-3.7509219971955599</v>
      </c>
      <c r="F3605" s="3">
        <v>1.76185508741548E-4</v>
      </c>
      <c r="G3605" s="3">
        <v>1.3321149601423601E-3</v>
      </c>
      <c r="H3605" s="3" t="str">
        <f>"TMEM220"</f>
        <v>TMEM220</v>
      </c>
      <c r="I3605" s="3" t="str">
        <f t="shared" si="147"/>
        <v>protein_coding</v>
      </c>
    </row>
    <row r="3606" spans="1:9" x14ac:dyDescent="0.2">
      <c r="A3606" s="3" t="str">
        <f>"ENSG00000153976.3"</f>
        <v>ENSG00000153976.3</v>
      </c>
      <c r="B3606" s="3">
        <v>36.576786246887302</v>
      </c>
      <c r="C3606" s="3">
        <v>-1.5091023849492999</v>
      </c>
      <c r="D3606" s="3">
        <v>0.59252012753320904</v>
      </c>
      <c r="E3606" s="3">
        <v>-2.5469217243843101</v>
      </c>
      <c r="F3606" s="3">
        <v>1.0867780739142199E-2</v>
      </c>
      <c r="G3606" s="3">
        <v>4.5268922750972503E-2</v>
      </c>
      <c r="H3606" s="3" t="str">
        <f>"HS3ST3A1"</f>
        <v>HS3ST3A1</v>
      </c>
      <c r="I3606" s="3" t="str">
        <f t="shared" si="147"/>
        <v>protein_coding</v>
      </c>
    </row>
    <row r="3607" spans="1:9" x14ac:dyDescent="0.2">
      <c r="A3607" s="3" t="str">
        <f>"ENSG00000109099.15"</f>
        <v>ENSG00000109099.15</v>
      </c>
      <c r="B3607" s="3">
        <v>71.041948564236506</v>
      </c>
      <c r="C3607" s="3">
        <v>-2.9313137223189698</v>
      </c>
      <c r="D3607" s="3">
        <v>0.49994405138085402</v>
      </c>
      <c r="E3607" s="3">
        <v>-5.8632835298722599</v>
      </c>
      <c r="F3607" s="4">
        <v>4.5380234758077496E-9</v>
      </c>
      <c r="G3607" s="4">
        <v>8.4371012959308196E-8</v>
      </c>
      <c r="H3607" s="3" t="str">
        <f>"PMP22"</f>
        <v>PMP22</v>
      </c>
      <c r="I3607" s="3" t="str">
        <f t="shared" si="147"/>
        <v>protein_coding</v>
      </c>
    </row>
    <row r="3608" spans="1:9" x14ac:dyDescent="0.2">
      <c r="A3608" s="3" t="str">
        <f>"ENSG00000241322.10"</f>
        <v>ENSG00000241322.10</v>
      </c>
      <c r="B3608" s="3">
        <v>21.7144755329807</v>
      </c>
      <c r="C3608" s="3">
        <v>-1.9754705502768399</v>
      </c>
      <c r="D3608" s="3">
        <v>0.75667405539112298</v>
      </c>
      <c r="E3608" s="3">
        <v>-2.6107285378718701</v>
      </c>
      <c r="F3608" s="3">
        <v>9.0349580827540805E-3</v>
      </c>
      <c r="G3608" s="3">
        <v>3.8876397774428001E-2</v>
      </c>
      <c r="H3608" s="3" t="str">
        <f>"CDRT1"</f>
        <v>CDRT1</v>
      </c>
      <c r="I3608" s="3" t="str">
        <f t="shared" si="147"/>
        <v>protein_coding</v>
      </c>
    </row>
    <row r="3609" spans="1:9" x14ac:dyDescent="0.2">
      <c r="A3609" s="3" t="str">
        <f>"ENSG00000170425.3"</f>
        <v>ENSG00000170425.3</v>
      </c>
      <c r="B3609" s="3">
        <v>647.37751774426101</v>
      </c>
      <c r="C3609" s="3">
        <v>1.04077536347211</v>
      </c>
      <c r="D3609" s="3">
        <v>0.26492214703364902</v>
      </c>
      <c r="E3609" s="3">
        <v>3.9286083671212402</v>
      </c>
      <c r="F3609" s="4">
        <v>8.5438848416361096E-5</v>
      </c>
      <c r="G3609" s="3">
        <v>7.0581748174501299E-4</v>
      </c>
      <c r="H3609" s="3" t="str">
        <f>"ADORA2B"</f>
        <v>ADORA2B</v>
      </c>
      <c r="I3609" s="3" t="str">
        <f t="shared" si="147"/>
        <v>protein_coding</v>
      </c>
    </row>
    <row r="3610" spans="1:9" x14ac:dyDescent="0.2">
      <c r="A3610" s="3" t="str">
        <f>"ENSG00000166582.10"</f>
        <v>ENSG00000166582.10</v>
      </c>
      <c r="B3610" s="3">
        <v>1451.4547584913901</v>
      </c>
      <c r="C3610" s="3">
        <v>-2.12492550390373</v>
      </c>
      <c r="D3610" s="3">
        <v>0.27220894528608303</v>
      </c>
      <c r="E3610" s="3">
        <v>-7.8062295185431996</v>
      </c>
      <c r="F3610" s="4">
        <v>5.8924231333948698E-15</v>
      </c>
      <c r="G3610" s="4">
        <v>2.1296537919618999E-13</v>
      </c>
      <c r="H3610" s="3" t="str">
        <f>"CENPV"</f>
        <v>CENPV</v>
      </c>
      <c r="I3610" s="3" t="str">
        <f t="shared" si="147"/>
        <v>protein_coding</v>
      </c>
    </row>
    <row r="3611" spans="1:9" x14ac:dyDescent="0.2">
      <c r="A3611" s="3" t="str">
        <f>"ENSG00000265095.1"</f>
        <v>ENSG00000265095.1</v>
      </c>
      <c r="B3611" s="3">
        <v>17.343953167636201</v>
      </c>
      <c r="C3611" s="3">
        <v>-2.91086810507477</v>
      </c>
      <c r="D3611" s="3">
        <v>0.91951451592830102</v>
      </c>
      <c r="E3611" s="3">
        <v>-3.1656575884896001</v>
      </c>
      <c r="F3611" s="3">
        <v>1.5473282089760499E-3</v>
      </c>
      <c r="G3611" s="3">
        <v>8.8461457038164996E-3</v>
      </c>
      <c r="H3611" s="3" t="str">
        <f>"FTLP12"</f>
        <v>FTLP12</v>
      </c>
      <c r="I3611" s="3" t="str">
        <f>"processed_pseudogene"</f>
        <v>processed_pseudogene</v>
      </c>
    </row>
    <row r="3612" spans="1:9" x14ac:dyDescent="0.2">
      <c r="A3612" s="3" t="str">
        <f>"ENSG00000278864.1"</f>
        <v>ENSG00000278864.1</v>
      </c>
      <c r="B3612" s="3">
        <v>198.29102652286201</v>
      </c>
      <c r="C3612" s="3">
        <v>1.3589543616766899</v>
      </c>
      <c r="D3612" s="3">
        <v>0.35194949102104001</v>
      </c>
      <c r="E3612" s="3">
        <v>3.8612198521277401</v>
      </c>
      <c r="F3612" s="3">
        <v>1.1282232473266E-4</v>
      </c>
      <c r="G3612" s="3">
        <v>9.0412410915898802E-4</v>
      </c>
      <c r="H3612" s="3" t="str">
        <f>"AC055811.4"</f>
        <v>AC055811.4</v>
      </c>
      <c r="I3612" s="3" t="str">
        <f>"TEC"</f>
        <v>TEC</v>
      </c>
    </row>
    <row r="3613" spans="1:9" x14ac:dyDescent="0.2">
      <c r="A3613" s="3" t="str">
        <f>"ENSG00000179598.6"</f>
        <v>ENSG00000179598.6</v>
      </c>
      <c r="B3613" s="3">
        <v>165.31800885332501</v>
      </c>
      <c r="C3613" s="3">
        <v>1.33834501959188</v>
      </c>
      <c r="D3613" s="3">
        <v>0.36970222574897998</v>
      </c>
      <c r="E3613" s="3">
        <v>3.6200621104742599</v>
      </c>
      <c r="F3613" s="3">
        <v>2.9453230728962199E-4</v>
      </c>
      <c r="G3613" s="3">
        <v>2.1078122873031098E-3</v>
      </c>
      <c r="H3613" s="3" t="str">
        <f>"PLD6"</f>
        <v>PLD6</v>
      </c>
      <c r="I3613" s="3" t="str">
        <f t="shared" ref="I3613:I3618" si="148">"protein_coding"</f>
        <v>protein_coding</v>
      </c>
    </row>
    <row r="3614" spans="1:9" x14ac:dyDescent="0.2">
      <c r="A3614" s="3" t="str">
        <f>"ENSG00000175662.17"</f>
        <v>ENSG00000175662.17</v>
      </c>
      <c r="B3614" s="3">
        <v>562.87163116841305</v>
      </c>
      <c r="C3614" s="3">
        <v>1.33075241597156</v>
      </c>
      <c r="D3614" s="3">
        <v>0.30772556464047501</v>
      </c>
      <c r="E3614" s="3">
        <v>4.3244779403567399</v>
      </c>
      <c r="F3614" s="4">
        <v>1.5289350170605601E-5</v>
      </c>
      <c r="G3614" s="3">
        <v>1.5023578263343099E-4</v>
      </c>
      <c r="H3614" s="3" t="str">
        <f>"TOM1L2"</f>
        <v>TOM1L2</v>
      </c>
      <c r="I3614" s="3" t="str">
        <f t="shared" si="148"/>
        <v>protein_coding</v>
      </c>
    </row>
    <row r="3615" spans="1:9" x14ac:dyDescent="0.2">
      <c r="A3615" s="3" t="str">
        <f>"ENSG00000171962.17"</f>
        <v>ENSG00000171962.17</v>
      </c>
      <c r="B3615" s="3">
        <v>74.298691172500099</v>
      </c>
      <c r="C3615" s="3">
        <v>2.3222843252483898</v>
      </c>
      <c r="D3615" s="3">
        <v>0.47055943528180999</v>
      </c>
      <c r="E3615" s="3">
        <v>4.9351562228427399</v>
      </c>
      <c r="F3615" s="4">
        <v>8.0086629343789099E-7</v>
      </c>
      <c r="G3615" s="4">
        <v>1.0221101781547501E-5</v>
      </c>
      <c r="H3615" s="3" t="str">
        <f>"DRC3"</f>
        <v>DRC3</v>
      </c>
      <c r="I3615" s="3" t="str">
        <f t="shared" si="148"/>
        <v>protein_coding</v>
      </c>
    </row>
    <row r="3616" spans="1:9" x14ac:dyDescent="0.2">
      <c r="A3616" s="3" t="str">
        <f>"ENSG00000176974.20"</f>
        <v>ENSG00000176974.20</v>
      </c>
      <c r="B3616" s="3">
        <v>782.16688303401804</v>
      </c>
      <c r="C3616" s="3">
        <v>-1.5722961780119999</v>
      </c>
      <c r="D3616" s="3">
        <v>0.30264903897818501</v>
      </c>
      <c r="E3616" s="3">
        <v>-5.1951137308099504</v>
      </c>
      <c r="F3616" s="4">
        <v>2.0459472377933301E-7</v>
      </c>
      <c r="G3616" s="4">
        <v>2.9126090982847399E-6</v>
      </c>
      <c r="H3616" s="3" t="str">
        <f>"SHMT1"</f>
        <v>SHMT1</v>
      </c>
      <c r="I3616" s="3" t="str">
        <f t="shared" si="148"/>
        <v>protein_coding</v>
      </c>
    </row>
    <row r="3617" spans="1:9" x14ac:dyDescent="0.2">
      <c r="A3617" s="3" t="str">
        <f>"ENSG00000171931.12"</f>
        <v>ENSG00000171931.12</v>
      </c>
      <c r="B3617" s="3">
        <v>39.8297551706004</v>
      </c>
      <c r="C3617" s="3">
        <v>-3.44515956948272</v>
      </c>
      <c r="D3617" s="3">
        <v>0.67434276947362803</v>
      </c>
      <c r="E3617" s="3">
        <v>-5.1089145245405501</v>
      </c>
      <c r="F3617" s="4">
        <v>3.2401488304930698E-7</v>
      </c>
      <c r="G3617" s="4">
        <v>4.4248612286131004E-6</v>
      </c>
      <c r="H3617" s="3" t="str">
        <f>"FBXW10"</f>
        <v>FBXW10</v>
      </c>
      <c r="I3617" s="3" t="str">
        <f t="shared" si="148"/>
        <v>protein_coding</v>
      </c>
    </row>
    <row r="3618" spans="1:9" x14ac:dyDescent="0.2">
      <c r="A3618" s="3" t="str">
        <f>"ENSG00000141127.15"</f>
        <v>ENSG00000141127.15</v>
      </c>
      <c r="B3618" s="3">
        <v>1903.2815043794401</v>
      </c>
      <c r="C3618" s="3">
        <v>1.1600003121268501</v>
      </c>
      <c r="D3618" s="3">
        <v>0.24155596399700899</v>
      </c>
      <c r="E3618" s="3">
        <v>4.8022010838913296</v>
      </c>
      <c r="F3618" s="4">
        <v>1.56930981072318E-6</v>
      </c>
      <c r="G3618" s="4">
        <v>1.8798089661305499E-5</v>
      </c>
      <c r="H3618" s="3" t="str">
        <f>"PRPSAP2"</f>
        <v>PRPSAP2</v>
      </c>
      <c r="I3618" s="3" t="str">
        <f t="shared" si="148"/>
        <v>protein_coding</v>
      </c>
    </row>
    <row r="3619" spans="1:9" x14ac:dyDescent="0.2">
      <c r="A3619" s="3" t="str">
        <f>"ENSG00000235672.1"</f>
        <v>ENSG00000235672.1</v>
      </c>
      <c r="B3619" s="3">
        <v>46.4269684765043</v>
      </c>
      <c r="C3619" s="3">
        <v>1.9185990706748</v>
      </c>
      <c r="D3619" s="3">
        <v>0.57281337221471795</v>
      </c>
      <c r="E3619" s="3">
        <v>3.34943135712206</v>
      </c>
      <c r="F3619" s="3">
        <v>8.09776178561281E-4</v>
      </c>
      <c r="G3619" s="3">
        <v>5.09120714114197E-3</v>
      </c>
      <c r="H3619" s="3" t="str">
        <f>"AC090286.2"</f>
        <v>AC090286.2</v>
      </c>
      <c r="I3619" s="3" t="str">
        <f>"transcribed_processed_pseudogene"</f>
        <v>transcribed_processed_pseudogene</v>
      </c>
    </row>
    <row r="3620" spans="1:9" x14ac:dyDescent="0.2">
      <c r="A3620" s="3" t="str">
        <f>"ENSG00000154025.15"</f>
        <v>ENSG00000154025.15</v>
      </c>
      <c r="B3620" s="3">
        <v>35.605947005062497</v>
      </c>
      <c r="C3620" s="3">
        <v>4.3756589193866402</v>
      </c>
      <c r="D3620" s="3">
        <v>0.79266399636556395</v>
      </c>
      <c r="E3620" s="3">
        <v>5.5201938519340201</v>
      </c>
      <c r="F3620" s="4">
        <v>3.3862588401668501E-8</v>
      </c>
      <c r="G3620" s="4">
        <v>5.4708632706741999E-7</v>
      </c>
      <c r="H3620" s="3" t="str">
        <f>"SLC5A10"</f>
        <v>SLC5A10</v>
      </c>
      <c r="I3620" s="3" t="str">
        <f>"protein_coding"</f>
        <v>protein_coding</v>
      </c>
    </row>
    <row r="3621" spans="1:9" x14ac:dyDescent="0.2">
      <c r="A3621" s="3" t="str">
        <f>"ENSG00000196893.3"</f>
        <v>ENSG00000196893.3</v>
      </c>
      <c r="B3621" s="3">
        <v>16.067257675566999</v>
      </c>
      <c r="C3621" s="3">
        <v>-5.9456018658055001</v>
      </c>
      <c r="D3621" s="3">
        <v>1.72044436007214</v>
      </c>
      <c r="E3621" s="3">
        <v>-3.4558524552088401</v>
      </c>
      <c r="F3621" s="3">
        <v>5.4855550114399701E-4</v>
      </c>
      <c r="G3621" s="3">
        <v>3.6293828593575101E-3</v>
      </c>
      <c r="H3621" s="3" t="str">
        <f>"AC090286.1"</f>
        <v>AC090286.1</v>
      </c>
      <c r="I3621" s="3" t="str">
        <f>"antisense"</f>
        <v>antisense</v>
      </c>
    </row>
    <row r="3622" spans="1:9" x14ac:dyDescent="0.2">
      <c r="A3622" s="3" t="str">
        <f>"ENSG00000154016.13"</f>
        <v>ENSG00000154016.13</v>
      </c>
      <c r="B3622" s="3">
        <v>340.30680729579399</v>
      </c>
      <c r="C3622" s="3">
        <v>1.0642659304648701</v>
      </c>
      <c r="D3622" s="3">
        <v>0.32325342385422401</v>
      </c>
      <c r="E3622" s="3">
        <v>3.2923577970973499</v>
      </c>
      <c r="F3622" s="3">
        <v>9.93511266885102E-4</v>
      </c>
      <c r="G3622" s="3">
        <v>6.0689111021113998E-3</v>
      </c>
      <c r="H3622" s="3" t="str">
        <f>"GRAP"</f>
        <v>GRAP</v>
      </c>
      <c r="I3622" s="3" t="str">
        <f>"protein_coding"</f>
        <v>protein_coding</v>
      </c>
    </row>
    <row r="3623" spans="1:9" x14ac:dyDescent="0.2">
      <c r="A3623" s="3" t="str">
        <f>"ENSG00000265185.5"</f>
        <v>ENSG00000265185.5</v>
      </c>
      <c r="B3623" s="3">
        <v>182.566951694333</v>
      </c>
      <c r="C3623" s="3">
        <v>-1.0415341749870699</v>
      </c>
      <c r="D3623" s="3">
        <v>0.35220790015064601</v>
      </c>
      <c r="E3623" s="3">
        <v>-2.9571573338973498</v>
      </c>
      <c r="F3623" s="3">
        <v>3.1048964366306598E-3</v>
      </c>
      <c r="G3623" s="3">
        <v>1.58682791270712E-2</v>
      </c>
      <c r="H3623" s="3" t="str">
        <f>"SNORD3B-1"</f>
        <v>SNORD3B-1</v>
      </c>
      <c r="I3623" s="3" t="str">
        <f>"snoRNA"</f>
        <v>snoRNA</v>
      </c>
    </row>
    <row r="3624" spans="1:9" x14ac:dyDescent="0.2">
      <c r="A3624" s="3" t="str">
        <f>"ENSG00000262769.1"</f>
        <v>ENSG00000262769.1</v>
      </c>
      <c r="B3624" s="3">
        <v>9.6737317577246298</v>
      </c>
      <c r="C3624" s="3">
        <v>-4.1397693224340397</v>
      </c>
      <c r="D3624" s="3">
        <v>1.4206393690771899</v>
      </c>
      <c r="E3624" s="3">
        <v>-2.91401844306422</v>
      </c>
      <c r="F3624" s="3">
        <v>3.5680882620978999E-3</v>
      </c>
      <c r="G3624" s="3">
        <v>1.79116464244807E-2</v>
      </c>
      <c r="H3624" s="3" t="str">
        <f>"AC025627.1"</f>
        <v>AC025627.1</v>
      </c>
      <c r="I3624" s="3" t="str">
        <f>"antisense"</f>
        <v>antisense</v>
      </c>
    </row>
    <row r="3625" spans="1:9" x14ac:dyDescent="0.2">
      <c r="A3625" s="3" t="str">
        <f>"ENSG00000072210.18"</f>
        <v>ENSG00000072210.18</v>
      </c>
      <c r="B3625" s="3">
        <v>3559.6058105649399</v>
      </c>
      <c r="C3625" s="3">
        <v>-1.02382705226217</v>
      </c>
      <c r="D3625" s="3">
        <v>0.249124679019536</v>
      </c>
      <c r="E3625" s="3">
        <v>-4.1096974265720201</v>
      </c>
      <c r="F3625" s="4">
        <v>3.9617787917680702E-5</v>
      </c>
      <c r="G3625" s="3">
        <v>3.5554243848350301E-4</v>
      </c>
      <c r="H3625" s="3" t="str">
        <f>"ALDH3A2"</f>
        <v>ALDH3A2</v>
      </c>
      <c r="I3625" s="3" t="str">
        <f>"protein_coding"</f>
        <v>protein_coding</v>
      </c>
    </row>
    <row r="3626" spans="1:9" x14ac:dyDescent="0.2">
      <c r="A3626" s="3" t="str">
        <f>"ENSG00000128487.16"</f>
        <v>ENSG00000128487.16</v>
      </c>
      <c r="B3626" s="3">
        <v>1976.00142014278</v>
      </c>
      <c r="C3626" s="3">
        <v>1.33017524026915</v>
      </c>
      <c r="D3626" s="3">
        <v>0.244158330686289</v>
      </c>
      <c r="E3626" s="3">
        <v>5.4480026814168001</v>
      </c>
      <c r="F3626" s="4">
        <v>5.0938590612865301E-8</v>
      </c>
      <c r="G3626" s="4">
        <v>7.9736169686784396E-7</v>
      </c>
      <c r="H3626" s="3" t="str">
        <f>"SPECC1"</f>
        <v>SPECC1</v>
      </c>
      <c r="I3626" s="3" t="str">
        <f>"protein_coding"</f>
        <v>protein_coding</v>
      </c>
    </row>
    <row r="3627" spans="1:9" x14ac:dyDescent="0.2">
      <c r="A3627" s="3" t="str">
        <f>"ENSG00000225681.2"</f>
        <v>ENSG00000225681.2</v>
      </c>
      <c r="B3627" s="3">
        <v>10.0026539787772</v>
      </c>
      <c r="C3627" s="3">
        <v>3.18587713502078</v>
      </c>
      <c r="D3627" s="3">
        <v>1.27098300309449</v>
      </c>
      <c r="E3627" s="3">
        <v>2.5066245002994201</v>
      </c>
      <c r="F3627" s="3">
        <v>1.21890123233079E-2</v>
      </c>
      <c r="G3627" s="3">
        <v>4.9654187043370102E-2</v>
      </c>
      <c r="H3627" s="3" t="str">
        <f>"AC005730.1"</f>
        <v>AC005730.1</v>
      </c>
      <c r="I3627" s="3" t="str">
        <f>"transcribed_processed_pseudogene"</f>
        <v>transcribed_processed_pseudogene</v>
      </c>
    </row>
    <row r="3628" spans="1:9" x14ac:dyDescent="0.2">
      <c r="A3628" s="3" t="str">
        <f>"ENSG00000225014.1"</f>
        <v>ENSG00000225014.1</v>
      </c>
      <c r="B3628" s="3">
        <v>21.236038393197099</v>
      </c>
      <c r="C3628" s="3">
        <v>3.5478563788235</v>
      </c>
      <c r="D3628" s="3">
        <v>0.89780474728079296</v>
      </c>
      <c r="E3628" s="3">
        <v>3.9517015136854599</v>
      </c>
      <c r="F3628" s="4">
        <v>7.7597490232999102E-5</v>
      </c>
      <c r="G3628" s="3">
        <v>6.4849331123292104E-4</v>
      </c>
      <c r="H3628" s="3" t="str">
        <f>"KCTD9P1"</f>
        <v>KCTD9P1</v>
      </c>
      <c r="I3628" s="3" t="str">
        <f>"transcribed_processed_pseudogene"</f>
        <v>transcribed_processed_pseudogene</v>
      </c>
    </row>
    <row r="3629" spans="1:9" x14ac:dyDescent="0.2">
      <c r="A3629" s="3" t="str">
        <f>"ENSG00000274180.1"</f>
        <v>ENSG00000274180.1</v>
      </c>
      <c r="B3629" s="3">
        <v>832.80402431449295</v>
      </c>
      <c r="C3629" s="3">
        <v>1.31449709031933</v>
      </c>
      <c r="D3629" s="3">
        <v>0.27970164543189402</v>
      </c>
      <c r="E3629" s="3">
        <v>4.69964017655162</v>
      </c>
      <c r="F3629" s="4">
        <v>2.6062028110276199E-6</v>
      </c>
      <c r="G3629" s="4">
        <v>3.00178716627288E-5</v>
      </c>
      <c r="H3629" s="3" t="str">
        <f>"NATD1"</f>
        <v>NATD1</v>
      </c>
      <c r="I3629" s="3" t="str">
        <f>"protein_coding"</f>
        <v>protein_coding</v>
      </c>
    </row>
    <row r="3630" spans="1:9" x14ac:dyDescent="0.2">
      <c r="A3630" s="3" t="str">
        <f>"ENSG00000184185.10"</f>
        <v>ENSG00000184185.10</v>
      </c>
      <c r="B3630" s="3">
        <v>9.0227010163359598</v>
      </c>
      <c r="C3630" s="3">
        <v>5.2251495962445702</v>
      </c>
      <c r="D3630" s="3">
        <v>1.75316941267018</v>
      </c>
      <c r="E3630" s="3">
        <v>2.9804019842476901</v>
      </c>
      <c r="F3630" s="3">
        <v>2.87870346188916E-3</v>
      </c>
      <c r="G3630" s="3">
        <v>1.48877026282528E-2</v>
      </c>
      <c r="H3630" s="3" t="str">
        <f>"KCNJ12"</f>
        <v>KCNJ12</v>
      </c>
      <c r="I3630" s="3" t="str">
        <f>"protein_coding"</f>
        <v>protein_coding</v>
      </c>
    </row>
    <row r="3631" spans="1:9" x14ac:dyDescent="0.2">
      <c r="A3631" s="3" t="str">
        <f>"ENSG00000212719.11"</f>
        <v>ENSG00000212719.11</v>
      </c>
      <c r="B3631" s="3">
        <v>704.63351738524295</v>
      </c>
      <c r="C3631" s="3">
        <v>-1.2832178141872701</v>
      </c>
      <c r="D3631" s="3">
        <v>0.28308829890888898</v>
      </c>
      <c r="E3631" s="3">
        <v>-4.5329242470748303</v>
      </c>
      <c r="F3631" s="4">
        <v>5.8172681792193198E-6</v>
      </c>
      <c r="G3631" s="4">
        <v>6.3020405274875999E-5</v>
      </c>
      <c r="H3631" s="3" t="str">
        <f>"C17orf51"</f>
        <v>C17orf51</v>
      </c>
      <c r="I3631" s="3" t="str">
        <f>"protein_coding"</f>
        <v>protein_coding</v>
      </c>
    </row>
    <row r="3632" spans="1:9" x14ac:dyDescent="0.2">
      <c r="A3632" s="3" t="str">
        <f>"ENSG00000276399.1"</f>
        <v>ENSG00000276399.1</v>
      </c>
      <c r="B3632" s="3">
        <v>5.7540401289928003</v>
      </c>
      <c r="C3632" s="3">
        <v>6.0415437064340001</v>
      </c>
      <c r="D3632" s="3">
        <v>1.9537670873677999</v>
      </c>
      <c r="E3632" s="3">
        <v>3.09225380317642</v>
      </c>
      <c r="F3632" s="3">
        <v>1.9864293156741002E-3</v>
      </c>
      <c r="G3632" s="3">
        <v>1.0888783925862301E-2</v>
      </c>
      <c r="H3632" s="3" t="str">
        <f>"AC209154.1"</f>
        <v>AC209154.1</v>
      </c>
      <c r="I3632" s="3" t="str">
        <f>"lincRNA"</f>
        <v>lincRNA</v>
      </c>
    </row>
    <row r="3633" spans="1:9" x14ac:dyDescent="0.2">
      <c r="A3633" s="3" t="str">
        <f>"ENSG00000109046.15"</f>
        <v>ENSG00000109046.15</v>
      </c>
      <c r="B3633" s="3">
        <v>9336.40748216879</v>
      </c>
      <c r="C3633" s="3">
        <v>1.16113349705139</v>
      </c>
      <c r="D3633" s="3">
        <v>0.237706287902888</v>
      </c>
      <c r="E3633" s="3">
        <v>4.8847403545578798</v>
      </c>
      <c r="F3633" s="4">
        <v>1.03565237604309E-6</v>
      </c>
      <c r="G3633" s="4">
        <v>1.29353701685024E-5</v>
      </c>
      <c r="H3633" s="3" t="str">
        <f>"WSB1"</f>
        <v>WSB1</v>
      </c>
      <c r="I3633" s="3" t="str">
        <f>"protein_coding"</f>
        <v>protein_coding</v>
      </c>
    </row>
    <row r="3634" spans="1:9" x14ac:dyDescent="0.2">
      <c r="A3634" s="3" t="str">
        <f>"ENSG00000141068.14"</f>
        <v>ENSG00000141068.14</v>
      </c>
      <c r="B3634" s="3">
        <v>2566.74857757668</v>
      </c>
      <c r="C3634" s="3">
        <v>1.4154405017095599</v>
      </c>
      <c r="D3634" s="3">
        <v>0.28529342479601499</v>
      </c>
      <c r="E3634" s="3">
        <v>4.9613498899303403</v>
      </c>
      <c r="F3634" s="4">
        <v>7.0004959556642998E-7</v>
      </c>
      <c r="G3634" s="4">
        <v>9.0352732562716995E-6</v>
      </c>
      <c r="H3634" s="3" t="str">
        <f>"KSR1"</f>
        <v>KSR1</v>
      </c>
      <c r="I3634" s="3" t="str">
        <f>"protein_coding"</f>
        <v>protein_coding</v>
      </c>
    </row>
    <row r="3635" spans="1:9" x14ac:dyDescent="0.2">
      <c r="A3635" s="3" t="str">
        <f>"ENSG00000265801.1"</f>
        <v>ENSG00000265801.1</v>
      </c>
      <c r="B3635" s="3">
        <v>58.104534087282801</v>
      </c>
      <c r="C3635" s="3">
        <v>1.57156696123391</v>
      </c>
      <c r="D3635" s="3">
        <v>0.50109897826341998</v>
      </c>
      <c r="E3635" s="3">
        <v>3.1362406019669802</v>
      </c>
      <c r="F3635" s="3">
        <v>1.7112874721717101E-3</v>
      </c>
      <c r="G3635" s="3">
        <v>9.6238534255690105E-3</v>
      </c>
      <c r="H3635" s="3" t="str">
        <f>"AC069366.2"</f>
        <v>AC069366.2</v>
      </c>
      <c r="I3635" s="3" t="str">
        <f>"sense_intronic"</f>
        <v>sense_intronic</v>
      </c>
    </row>
    <row r="3636" spans="1:9" x14ac:dyDescent="0.2">
      <c r="A3636" s="3" t="str">
        <f>"ENSG00000232859.9"</f>
        <v>ENSG00000232859.9</v>
      </c>
      <c r="B3636" s="3">
        <v>62.607307356932097</v>
      </c>
      <c r="C3636" s="3">
        <v>2.7401117239159301</v>
      </c>
      <c r="D3636" s="3">
        <v>0.52671466749652895</v>
      </c>
      <c r="E3636" s="3">
        <v>5.2022696404861204</v>
      </c>
      <c r="F3636" s="4">
        <v>1.9686930789561999E-7</v>
      </c>
      <c r="G3636" s="4">
        <v>2.8121791255618E-6</v>
      </c>
      <c r="H3636" s="3" t="str">
        <f>"LYRM9"</f>
        <v>LYRM9</v>
      </c>
      <c r="I3636" s="3" t="str">
        <f t="shared" ref="I3636:I3641" si="149">"protein_coding"</f>
        <v>protein_coding</v>
      </c>
    </row>
    <row r="3637" spans="1:9" x14ac:dyDescent="0.2">
      <c r="A3637" s="3" t="str">
        <f>"ENSG00000109101.7"</f>
        <v>ENSG00000109101.7</v>
      </c>
      <c r="B3637" s="3">
        <v>129.35499165017899</v>
      </c>
      <c r="C3637" s="3">
        <v>6.2778834621916699</v>
      </c>
      <c r="D3637" s="3">
        <v>0.65864284183728805</v>
      </c>
      <c r="E3637" s="3">
        <v>9.5315443566948606</v>
      </c>
      <c r="F3637" s="4">
        <v>1.5496055888256401E-21</v>
      </c>
      <c r="G3637" s="4">
        <v>9.2152077037609901E-20</v>
      </c>
      <c r="H3637" s="3" t="str">
        <f>"FOXN1"</f>
        <v>FOXN1</v>
      </c>
      <c r="I3637" s="3" t="str">
        <f t="shared" si="149"/>
        <v>protein_coding</v>
      </c>
    </row>
    <row r="3638" spans="1:9" x14ac:dyDescent="0.2">
      <c r="A3638" s="3" t="str">
        <f>"ENSG00000109107.14"</f>
        <v>ENSG00000109107.14</v>
      </c>
      <c r="B3638" s="3">
        <v>272.44956741407998</v>
      </c>
      <c r="C3638" s="3">
        <v>-1.8226952333169</v>
      </c>
      <c r="D3638" s="3">
        <v>0.32269934749872897</v>
      </c>
      <c r="E3638" s="3">
        <v>-5.6482767859457201</v>
      </c>
      <c r="F3638" s="4">
        <v>1.62064100531315E-8</v>
      </c>
      <c r="G3638" s="4">
        <v>2.7695125331964799E-7</v>
      </c>
      <c r="H3638" s="3" t="str">
        <f>"ALDOC"</f>
        <v>ALDOC</v>
      </c>
      <c r="I3638" s="3" t="str">
        <f t="shared" si="149"/>
        <v>protein_coding</v>
      </c>
    </row>
    <row r="3639" spans="1:9" x14ac:dyDescent="0.2">
      <c r="A3639" s="3" t="str">
        <f>"ENSG00000167525.13"</f>
        <v>ENSG00000167525.13</v>
      </c>
      <c r="B3639" s="3">
        <v>67.674780327185601</v>
      </c>
      <c r="C3639" s="3">
        <v>-1.4276036804125101</v>
      </c>
      <c r="D3639" s="3">
        <v>0.50451840202456999</v>
      </c>
      <c r="E3639" s="3">
        <v>-2.8296364903316</v>
      </c>
      <c r="F3639" s="3">
        <v>4.6600917926635397E-3</v>
      </c>
      <c r="G3639" s="3">
        <v>2.2366840115331299E-2</v>
      </c>
      <c r="H3639" s="3" t="str">
        <f>"PROCA1"</f>
        <v>PROCA1</v>
      </c>
      <c r="I3639" s="3" t="str">
        <f t="shared" si="149"/>
        <v>protein_coding</v>
      </c>
    </row>
    <row r="3640" spans="1:9" x14ac:dyDescent="0.2">
      <c r="A3640" s="3" t="str">
        <f>"ENSG00000160606.11"</f>
        <v>ENSG00000160606.11</v>
      </c>
      <c r="B3640" s="3">
        <v>717.46852660887305</v>
      </c>
      <c r="C3640" s="3">
        <v>1.24606015763954</v>
      </c>
      <c r="D3640" s="3">
        <v>0.28920871666640202</v>
      </c>
      <c r="E3640" s="3">
        <v>4.3085152204345798</v>
      </c>
      <c r="F3640" s="4">
        <v>1.6435416793835499E-5</v>
      </c>
      <c r="G3640" s="3">
        <v>1.60556469688905E-4</v>
      </c>
      <c r="H3640" s="3" t="str">
        <f>"TLCD1"</f>
        <v>TLCD1</v>
      </c>
      <c r="I3640" s="3" t="str">
        <f t="shared" si="149"/>
        <v>protein_coding</v>
      </c>
    </row>
    <row r="3641" spans="1:9" x14ac:dyDescent="0.2">
      <c r="A3641" s="3" t="str">
        <f>"ENSG00000167536.14"</f>
        <v>ENSG00000167536.14</v>
      </c>
      <c r="B3641" s="3">
        <v>938.01347261300805</v>
      </c>
      <c r="C3641" s="3">
        <v>2.0400432842662499</v>
      </c>
      <c r="D3641" s="3">
        <v>0.275592705082358</v>
      </c>
      <c r="E3641" s="3">
        <v>7.4023849203722802</v>
      </c>
      <c r="F3641" s="4">
        <v>1.33760099612153E-13</v>
      </c>
      <c r="G3641" s="4">
        <v>4.2537740907000099E-12</v>
      </c>
      <c r="H3641" s="3" t="str">
        <f>"DHRS13"</f>
        <v>DHRS13</v>
      </c>
      <c r="I3641" s="3" t="str">
        <f t="shared" si="149"/>
        <v>protein_coding</v>
      </c>
    </row>
    <row r="3642" spans="1:9" x14ac:dyDescent="0.2">
      <c r="A3642" s="3" t="str">
        <f>"ENSG00000266111.2"</f>
        <v>ENSG00000266111.2</v>
      </c>
      <c r="B3642" s="3">
        <v>44.7885552749295</v>
      </c>
      <c r="C3642" s="3">
        <v>1.4728235630340201</v>
      </c>
      <c r="D3642" s="3">
        <v>0.54568527423717395</v>
      </c>
      <c r="E3642" s="3">
        <v>2.69903483302333</v>
      </c>
      <c r="F3642" s="3">
        <v>6.95408972053526E-3</v>
      </c>
      <c r="G3642" s="3">
        <v>3.11338026462364E-2</v>
      </c>
      <c r="H3642" s="3" t="str">
        <f>"AC068025.2"</f>
        <v>AC068025.2</v>
      </c>
      <c r="I3642" s="3" t="str">
        <f>"lincRNA"</f>
        <v>lincRNA</v>
      </c>
    </row>
    <row r="3643" spans="1:9" x14ac:dyDescent="0.2">
      <c r="A3643" s="3" t="str">
        <f>"ENSG00000265713.1"</f>
        <v>ENSG00000265713.1</v>
      </c>
      <c r="B3643" s="3">
        <v>33.556312533376101</v>
      </c>
      <c r="C3643" s="3">
        <v>1.54621823340536</v>
      </c>
      <c r="D3643" s="3">
        <v>0.61176771210816605</v>
      </c>
      <c r="E3643" s="3">
        <v>2.5274596923022501</v>
      </c>
      <c r="F3643" s="3">
        <v>1.1489101135682E-2</v>
      </c>
      <c r="G3643" s="3">
        <v>4.7355126834029197E-2</v>
      </c>
      <c r="H3643" s="3" t="str">
        <f>"AC023389.2"</f>
        <v>AC023389.2</v>
      </c>
      <c r="I3643" s="3" t="str">
        <f>"transcribed_processed_pseudogene"</f>
        <v>transcribed_processed_pseudogene</v>
      </c>
    </row>
    <row r="3644" spans="1:9" x14ac:dyDescent="0.2">
      <c r="A3644" s="3" t="str">
        <f>"ENSG00000108576.10"</f>
        <v>ENSG00000108576.10</v>
      </c>
      <c r="B3644" s="3">
        <v>270.31527568815397</v>
      </c>
      <c r="C3644" s="3">
        <v>-3.3330589551488301</v>
      </c>
      <c r="D3644" s="3">
        <v>0.33104451720761202</v>
      </c>
      <c r="E3644" s="3">
        <v>-10.068310399046799</v>
      </c>
      <c r="F3644" s="4">
        <v>7.6277145923657494E-24</v>
      </c>
      <c r="G3644" s="4">
        <v>5.3506443183328704E-22</v>
      </c>
      <c r="H3644" s="3" t="str">
        <f>"SLC6A4"</f>
        <v>SLC6A4</v>
      </c>
      <c r="I3644" s="3" t="str">
        <f>"protein_coding"</f>
        <v>protein_coding</v>
      </c>
    </row>
    <row r="3645" spans="1:9" x14ac:dyDescent="0.2">
      <c r="A3645" s="3" t="str">
        <f>"ENSG00000266865.6"</f>
        <v>ENSG00000266865.6</v>
      </c>
      <c r="B3645" s="3">
        <v>18.244888422847598</v>
      </c>
      <c r="C3645" s="3">
        <v>2.8897707112137501</v>
      </c>
      <c r="D3645" s="3">
        <v>0.88520189518382797</v>
      </c>
      <c r="E3645" s="3">
        <v>3.2645329014050999</v>
      </c>
      <c r="F3645" s="3">
        <v>1.0964472795679399E-3</v>
      </c>
      <c r="G3645" s="3">
        <v>6.5999357065162799E-3</v>
      </c>
      <c r="H3645" s="3" t="str">
        <f>"AC138207.8"</f>
        <v>AC138207.8</v>
      </c>
      <c r="I3645" s="3" t="str">
        <f>"transcribed_unprocessed_pseudogene"</f>
        <v>transcribed_unprocessed_pseudogene</v>
      </c>
    </row>
    <row r="3646" spans="1:9" x14ac:dyDescent="0.2">
      <c r="A3646" s="3" t="str">
        <f>"ENSG00000266371.1"</f>
        <v>ENSG00000266371.1</v>
      </c>
      <c r="B3646" s="3">
        <v>101.854286665413</v>
      </c>
      <c r="C3646" s="3">
        <v>1.14907025514094</v>
      </c>
      <c r="D3646" s="3">
        <v>0.40366029127474001</v>
      </c>
      <c r="E3646" s="3">
        <v>2.8466269285795498</v>
      </c>
      <c r="F3646" s="3">
        <v>4.4185110605701704E-3</v>
      </c>
      <c r="G3646" s="3">
        <v>2.13991766764693E-2</v>
      </c>
      <c r="H3646" s="3" t="str">
        <f>"AC079915.1"</f>
        <v>AC079915.1</v>
      </c>
      <c r="I3646" s="3" t="str">
        <f>"sense_intronic"</f>
        <v>sense_intronic</v>
      </c>
    </row>
    <row r="3647" spans="1:9" x14ac:dyDescent="0.2">
      <c r="A3647" s="3" t="str">
        <f>"ENSG00000263535.2"</f>
        <v>ENSG00000263535.2</v>
      </c>
      <c r="B3647" s="3">
        <v>403.396099689165</v>
      </c>
      <c r="C3647" s="3">
        <v>-1.1669757549588899</v>
      </c>
      <c r="D3647" s="3">
        <v>0.28548429107684298</v>
      </c>
      <c r="E3647" s="3">
        <v>-4.0877056686974598</v>
      </c>
      <c r="F3647" s="4">
        <v>4.3566039456643101E-5</v>
      </c>
      <c r="G3647" s="3">
        <v>3.8738201574120101E-4</v>
      </c>
      <c r="H3647" s="3" t="str">
        <f>"AK4P1"</f>
        <v>AK4P1</v>
      </c>
      <c r="I3647" s="3" t="str">
        <f>"processed_pseudogene"</f>
        <v>processed_pseudogene</v>
      </c>
    </row>
    <row r="3648" spans="1:9" x14ac:dyDescent="0.2">
      <c r="A3648" s="3" t="str">
        <f>"ENSG00000006042.12"</f>
        <v>ENSG00000006042.12</v>
      </c>
      <c r="B3648" s="3">
        <v>1884.71659390114</v>
      </c>
      <c r="C3648" s="3">
        <v>-1.2502935730368001</v>
      </c>
      <c r="D3648" s="3">
        <v>0.253164100570831</v>
      </c>
      <c r="E3648" s="3">
        <v>-4.9386685166564099</v>
      </c>
      <c r="F3648" s="4">
        <v>7.8657788402316703E-7</v>
      </c>
      <c r="G3648" s="4">
        <v>1.00540481059973E-5</v>
      </c>
      <c r="H3648" s="3" t="str">
        <f>"TMEM98"</f>
        <v>TMEM98</v>
      </c>
      <c r="I3648" s="3" t="str">
        <f>"protein_coding"</f>
        <v>protein_coding</v>
      </c>
    </row>
    <row r="3649" spans="1:9" x14ac:dyDescent="0.2">
      <c r="A3649" s="3" t="str">
        <f>"ENSG00000141161.11"</f>
        <v>ENSG00000141161.11</v>
      </c>
      <c r="B3649" s="3">
        <v>1059.1301142202799</v>
      </c>
      <c r="C3649" s="3">
        <v>8.3154777621378209</v>
      </c>
      <c r="D3649" s="3">
        <v>0.464241433572254</v>
      </c>
      <c r="E3649" s="3">
        <v>17.911968128634498</v>
      </c>
      <c r="F3649" s="4">
        <v>9.51122054535145E-72</v>
      </c>
      <c r="G3649" s="4">
        <v>5.3167722848514599E-69</v>
      </c>
      <c r="H3649" s="3" t="str">
        <f>"UNC45B"</f>
        <v>UNC45B</v>
      </c>
      <c r="I3649" s="3" t="str">
        <f>"protein_coding"</f>
        <v>protein_coding</v>
      </c>
    </row>
    <row r="3650" spans="1:9" x14ac:dyDescent="0.2">
      <c r="A3650" s="3" t="str">
        <f>"ENSG00000172123.12"</f>
        <v>ENSG00000172123.12</v>
      </c>
      <c r="B3650" s="3">
        <v>15.909694658696701</v>
      </c>
      <c r="C3650" s="3">
        <v>-3.8379070714743699</v>
      </c>
      <c r="D3650" s="3">
        <v>1.08885461313343</v>
      </c>
      <c r="E3650" s="3">
        <v>-3.5247194852120098</v>
      </c>
      <c r="F3650" s="3">
        <v>4.23931454561616E-4</v>
      </c>
      <c r="G3650" s="3">
        <v>2.9009781663486001E-3</v>
      </c>
      <c r="H3650" s="3" t="str">
        <f>"SLFN12"</f>
        <v>SLFN12</v>
      </c>
      <c r="I3650" s="3" t="str">
        <f>"protein_coding"</f>
        <v>protein_coding</v>
      </c>
    </row>
    <row r="3651" spans="1:9" x14ac:dyDescent="0.2">
      <c r="A3651" s="3" t="str">
        <f>"ENSG00000154760.14"</f>
        <v>ENSG00000154760.14</v>
      </c>
      <c r="B3651" s="3">
        <v>10.1186772435662</v>
      </c>
      <c r="C3651" s="3">
        <v>-3.12807516100681</v>
      </c>
      <c r="D3651" s="3">
        <v>1.19561256360018</v>
      </c>
      <c r="E3651" s="3">
        <v>-2.6162949907348501</v>
      </c>
      <c r="F3651" s="3">
        <v>8.8889725384997294E-3</v>
      </c>
      <c r="G3651" s="3">
        <v>3.8347128143707901E-2</v>
      </c>
      <c r="H3651" s="3" t="str">
        <f>"SLFN13"</f>
        <v>SLFN13</v>
      </c>
      <c r="I3651" s="3" t="str">
        <f>"protein_coding"</f>
        <v>protein_coding</v>
      </c>
    </row>
    <row r="3652" spans="1:9" x14ac:dyDescent="0.2">
      <c r="A3652" s="3" t="str">
        <f>"ENSG00000267321.2"</f>
        <v>ENSG00000267321.2</v>
      </c>
      <c r="B3652" s="3">
        <v>314.69417923932201</v>
      </c>
      <c r="C3652" s="3">
        <v>-1.23533713049205</v>
      </c>
      <c r="D3652" s="3">
        <v>0.328717788413737</v>
      </c>
      <c r="E3652" s="3">
        <v>-3.7580477054597399</v>
      </c>
      <c r="F3652" s="3">
        <v>1.7124423811317401E-4</v>
      </c>
      <c r="G3652" s="3">
        <v>1.2994415715646801E-3</v>
      </c>
      <c r="H3652" s="3" t="str">
        <f>"LINC02001"</f>
        <v>LINC02001</v>
      </c>
      <c r="I3652" s="3" t="str">
        <f>"lincRNA"</f>
        <v>lincRNA</v>
      </c>
    </row>
    <row r="3653" spans="1:9" x14ac:dyDescent="0.2">
      <c r="A3653" s="3" t="str">
        <f>"ENSG00000270885.1"</f>
        <v>ENSG00000270885.1</v>
      </c>
      <c r="B3653" s="3">
        <v>553.29800932113096</v>
      </c>
      <c r="C3653" s="3">
        <v>-2.2430043490145</v>
      </c>
      <c r="D3653" s="3">
        <v>0.31140238705380902</v>
      </c>
      <c r="E3653" s="3">
        <v>-7.2029131511664204</v>
      </c>
      <c r="F3653" s="4">
        <v>5.8939517230055295E-13</v>
      </c>
      <c r="G3653" s="4">
        <v>1.7483768348137299E-11</v>
      </c>
      <c r="H3653" s="3" t="str">
        <f>"RASL10B"</f>
        <v>RASL10B</v>
      </c>
      <c r="I3653" s="3" t="str">
        <f t="shared" ref="I3653:I3658" si="150">"protein_coding"</f>
        <v>protein_coding</v>
      </c>
    </row>
    <row r="3654" spans="1:9" x14ac:dyDescent="0.2">
      <c r="A3654" s="3" t="str">
        <f>"ENSG00000270765.5"</f>
        <v>ENSG00000270765.5</v>
      </c>
      <c r="B3654" s="3">
        <v>75.417340427799402</v>
      </c>
      <c r="C3654" s="3">
        <v>6.7225715918104596</v>
      </c>
      <c r="D3654" s="3">
        <v>0.93667887752090895</v>
      </c>
      <c r="E3654" s="3">
        <v>7.1770291325485696</v>
      </c>
      <c r="F3654" s="4">
        <v>7.1242511454189103E-13</v>
      </c>
      <c r="G3654" s="4">
        <v>2.0887009039978199E-11</v>
      </c>
      <c r="H3654" s="3" t="str">
        <f>"GAS2L2"</f>
        <v>GAS2L2</v>
      </c>
      <c r="I3654" s="3" t="str">
        <f t="shared" si="150"/>
        <v>protein_coding</v>
      </c>
    </row>
    <row r="3655" spans="1:9" x14ac:dyDescent="0.2">
      <c r="A3655" s="3" t="str">
        <f>"ENSG00000277161.2"</f>
        <v>ENSG00000277161.2</v>
      </c>
      <c r="B3655" s="3">
        <v>1335.96197753513</v>
      </c>
      <c r="C3655" s="3">
        <v>-1.51085506217045</v>
      </c>
      <c r="D3655" s="3">
        <v>0.25424558554722698</v>
      </c>
      <c r="E3655" s="3">
        <v>-5.9425026354678003</v>
      </c>
      <c r="F3655" s="4">
        <v>2.8070314063340098E-9</v>
      </c>
      <c r="G3655" s="4">
        <v>5.3452592752711499E-8</v>
      </c>
      <c r="H3655" s="3" t="str">
        <f>"PIGW"</f>
        <v>PIGW</v>
      </c>
      <c r="I3655" s="3" t="str">
        <f t="shared" si="150"/>
        <v>protein_coding</v>
      </c>
    </row>
    <row r="3656" spans="1:9" x14ac:dyDescent="0.2">
      <c r="A3656" s="3" t="str">
        <f>"ENSG00000276023.5"</f>
        <v>ENSG00000276023.5</v>
      </c>
      <c r="B3656" s="3">
        <v>1436.2879127438</v>
      </c>
      <c r="C3656" s="3">
        <v>1.4102302054093401</v>
      </c>
      <c r="D3656" s="3">
        <v>0.25127509597507602</v>
      </c>
      <c r="E3656" s="3">
        <v>5.6122959576909901</v>
      </c>
      <c r="F3656" s="4">
        <v>1.99659572492703E-8</v>
      </c>
      <c r="G3656" s="4">
        <v>3.3527613792082401E-7</v>
      </c>
      <c r="H3656" s="3" t="str">
        <f>"DUSP14"</f>
        <v>DUSP14</v>
      </c>
      <c r="I3656" s="3" t="str">
        <f t="shared" si="150"/>
        <v>protein_coding</v>
      </c>
    </row>
    <row r="3657" spans="1:9" x14ac:dyDescent="0.2">
      <c r="A3657" s="3" t="str">
        <f>"ENSG00000275832.5"</f>
        <v>ENSG00000275832.5</v>
      </c>
      <c r="B3657" s="3">
        <v>261.394774709015</v>
      </c>
      <c r="C3657" s="3">
        <v>3.5523594460549899</v>
      </c>
      <c r="D3657" s="3">
        <v>0.35393143310493502</v>
      </c>
      <c r="E3657" s="3">
        <v>10.0368577464036</v>
      </c>
      <c r="F3657" s="4">
        <v>1.04964641881284E-23</v>
      </c>
      <c r="G3657" s="4">
        <v>7.2737894394592101E-22</v>
      </c>
      <c r="H3657" s="3" t="str">
        <f>"ARHGAP23"</f>
        <v>ARHGAP23</v>
      </c>
      <c r="I3657" s="3" t="str">
        <f t="shared" si="150"/>
        <v>protein_coding</v>
      </c>
    </row>
    <row r="3658" spans="1:9" x14ac:dyDescent="0.2">
      <c r="A3658" s="3" t="str">
        <f>"ENSG00000273604.1"</f>
        <v>ENSG00000273604.1</v>
      </c>
      <c r="B3658" s="3">
        <v>2281.9508126268802</v>
      </c>
      <c r="C3658" s="3">
        <v>-2.6656403118803502</v>
      </c>
      <c r="D3658" s="3">
        <v>0.26061902698096001</v>
      </c>
      <c r="E3658" s="3">
        <v>-10.228110904869199</v>
      </c>
      <c r="F3658" s="4">
        <v>1.48385591661605E-24</v>
      </c>
      <c r="G3658" s="4">
        <v>1.11755675396637E-22</v>
      </c>
      <c r="H3658" s="3" t="str">
        <f>"EPOP"</f>
        <v>EPOP</v>
      </c>
      <c r="I3658" s="3" t="str">
        <f t="shared" si="150"/>
        <v>protein_coding</v>
      </c>
    </row>
    <row r="3659" spans="1:9" x14ac:dyDescent="0.2">
      <c r="A3659" s="3" t="str">
        <f>"ENSG00000277969.1"</f>
        <v>ENSG00000277969.1</v>
      </c>
      <c r="B3659" s="3">
        <v>281.527368912106</v>
      </c>
      <c r="C3659" s="3">
        <v>-2.38008703875576</v>
      </c>
      <c r="D3659" s="3">
        <v>0.31342193587172201</v>
      </c>
      <c r="E3659" s="3">
        <v>-7.5938751132271998</v>
      </c>
      <c r="F3659" s="4">
        <v>3.1047764639522899E-14</v>
      </c>
      <c r="G3659" s="4">
        <v>1.0441263629775399E-12</v>
      </c>
      <c r="H3659" s="3" t="str">
        <f>"AC006449.6"</f>
        <v>AC006449.6</v>
      </c>
      <c r="I3659" s="3" t="str">
        <f>"lincRNA"</f>
        <v>lincRNA</v>
      </c>
    </row>
    <row r="3660" spans="1:9" x14ac:dyDescent="0.2">
      <c r="A3660" s="3" t="str">
        <f>"ENSG00000277972.1"</f>
        <v>ENSG00000277972.1</v>
      </c>
      <c r="B3660" s="3">
        <v>634.74103396940302</v>
      </c>
      <c r="C3660" s="3">
        <v>-1.08517128093063</v>
      </c>
      <c r="D3660" s="3">
        <v>0.32090671959464501</v>
      </c>
      <c r="E3660" s="3">
        <v>-3.3815785543580201</v>
      </c>
      <c r="F3660" s="3">
        <v>7.2070623055427001E-4</v>
      </c>
      <c r="G3660" s="3">
        <v>4.6213013585502602E-3</v>
      </c>
      <c r="H3660" s="3" t="str">
        <f>"CISD3"</f>
        <v>CISD3</v>
      </c>
      <c r="I3660" s="3" t="str">
        <f>"protein_coding"</f>
        <v>protein_coding</v>
      </c>
    </row>
    <row r="3661" spans="1:9" x14ac:dyDescent="0.2">
      <c r="A3661" s="3" t="str">
        <f>"ENSG00000161381.14"</f>
        <v>ENSG00000161381.14</v>
      </c>
      <c r="B3661" s="3">
        <v>25.158105178607901</v>
      </c>
      <c r="C3661" s="3">
        <v>2.8204566972512701</v>
      </c>
      <c r="D3661" s="3">
        <v>0.75740738090583704</v>
      </c>
      <c r="E3661" s="3">
        <v>3.7238304885253202</v>
      </c>
      <c r="F3661" s="3">
        <v>1.96222702051251E-4</v>
      </c>
      <c r="G3661" s="3">
        <v>1.4681683730217801E-3</v>
      </c>
      <c r="H3661" s="3" t="str">
        <f>"PLXDC1"</f>
        <v>PLXDC1</v>
      </c>
      <c r="I3661" s="3" t="str">
        <f>"protein_coding"</f>
        <v>protein_coding</v>
      </c>
    </row>
    <row r="3662" spans="1:9" x14ac:dyDescent="0.2">
      <c r="A3662" s="3" t="str">
        <f>"ENSG00000108306.13"</f>
        <v>ENSG00000108306.13</v>
      </c>
      <c r="B3662" s="3">
        <v>1207.9331984937901</v>
      </c>
      <c r="C3662" s="3">
        <v>1.1567194535074601</v>
      </c>
      <c r="D3662" s="3">
        <v>0.25772246315757902</v>
      </c>
      <c r="E3662" s="3">
        <v>4.4882368394880796</v>
      </c>
      <c r="F3662" s="4">
        <v>7.1815064671020103E-6</v>
      </c>
      <c r="G3662" s="4">
        <v>7.6514525700953505E-5</v>
      </c>
      <c r="H3662" s="3" t="str">
        <f>"FBXL20"</f>
        <v>FBXL20</v>
      </c>
      <c r="I3662" s="3" t="str">
        <f>"protein_coding"</f>
        <v>protein_coding</v>
      </c>
    </row>
    <row r="3663" spans="1:9" x14ac:dyDescent="0.2">
      <c r="A3663" s="3" t="str">
        <f>"ENSG00000266469.1"</f>
        <v>ENSG00000266469.1</v>
      </c>
      <c r="B3663" s="3">
        <v>34.204238835477703</v>
      </c>
      <c r="C3663" s="3">
        <v>1.9725878788109401</v>
      </c>
      <c r="D3663" s="3">
        <v>0.653485230212835</v>
      </c>
      <c r="E3663" s="3">
        <v>3.0185653594167499</v>
      </c>
      <c r="F3663" s="3">
        <v>2.5397461158767798E-3</v>
      </c>
      <c r="G3663" s="3">
        <v>1.3376740691976601E-2</v>
      </c>
      <c r="H3663" s="3" t="str">
        <f>"AC005288.1"</f>
        <v>AC005288.1</v>
      </c>
      <c r="I3663" s="3" t="str">
        <f>"antisense"</f>
        <v>antisense</v>
      </c>
    </row>
    <row r="3664" spans="1:9" x14ac:dyDescent="0.2">
      <c r="A3664" s="3" t="str">
        <f>"ENSG00000141744.3"</f>
        <v>ENSG00000141744.3</v>
      </c>
      <c r="B3664" s="3">
        <v>16.639853389635</v>
      </c>
      <c r="C3664" s="3">
        <v>-3.2948067596377899</v>
      </c>
      <c r="D3664" s="3">
        <v>0.96665565619985605</v>
      </c>
      <c r="E3664" s="3">
        <v>-3.4084596086577799</v>
      </c>
      <c r="F3664" s="3">
        <v>6.5330756149931698E-4</v>
      </c>
      <c r="G3664" s="3">
        <v>4.23446320781121E-3</v>
      </c>
      <c r="H3664" s="3" t="str">
        <f>"PNMT"</f>
        <v>PNMT</v>
      </c>
      <c r="I3664" s="3" t="str">
        <f t="shared" ref="I3664:I3670" si="151">"protein_coding"</f>
        <v>protein_coding</v>
      </c>
    </row>
    <row r="3665" spans="1:9" x14ac:dyDescent="0.2">
      <c r="A3665" s="3" t="str">
        <f>"ENSG00000161395.14"</f>
        <v>ENSG00000161395.14</v>
      </c>
      <c r="B3665" s="3">
        <v>351.98889776096797</v>
      </c>
      <c r="C3665" s="3">
        <v>-1.0756233727343201</v>
      </c>
      <c r="D3665" s="3">
        <v>0.31805544146020698</v>
      </c>
      <c r="E3665" s="3">
        <v>-3.38187382613572</v>
      </c>
      <c r="F3665" s="3">
        <v>7.1993203525692504E-4</v>
      </c>
      <c r="G3665" s="3">
        <v>4.6175141119041202E-3</v>
      </c>
      <c r="H3665" s="3" t="str">
        <f>"PGAP3"</f>
        <v>PGAP3</v>
      </c>
      <c r="I3665" s="3" t="str">
        <f t="shared" si="151"/>
        <v>protein_coding</v>
      </c>
    </row>
    <row r="3666" spans="1:9" x14ac:dyDescent="0.2">
      <c r="A3666" s="3" t="str">
        <f>"ENSG00000141736.13"</f>
        <v>ENSG00000141736.13</v>
      </c>
      <c r="B3666" s="3">
        <v>2452.61075523002</v>
      </c>
      <c r="C3666" s="3">
        <v>-1.07445231202249</v>
      </c>
      <c r="D3666" s="3">
        <v>0.29744848223398102</v>
      </c>
      <c r="E3666" s="3">
        <v>-3.6122299362660599</v>
      </c>
      <c r="F3666" s="3">
        <v>3.0357519816181198E-4</v>
      </c>
      <c r="G3666" s="3">
        <v>2.1675941270963301E-3</v>
      </c>
      <c r="H3666" s="3" t="str">
        <f>"ERBB2"</f>
        <v>ERBB2</v>
      </c>
      <c r="I3666" s="3" t="str">
        <f t="shared" si="151"/>
        <v>protein_coding</v>
      </c>
    </row>
    <row r="3667" spans="1:9" x14ac:dyDescent="0.2">
      <c r="A3667" s="3" t="str">
        <f>"ENSG00000172057.10"</f>
        <v>ENSG00000172057.10</v>
      </c>
      <c r="B3667" s="3">
        <v>2183.9282947455099</v>
      </c>
      <c r="C3667" s="3">
        <v>-1.0242358469463</v>
      </c>
      <c r="D3667" s="3">
        <v>0.28404110051084502</v>
      </c>
      <c r="E3667" s="3">
        <v>-3.60594239743553</v>
      </c>
      <c r="F3667" s="3">
        <v>3.1102212890078403E-4</v>
      </c>
      <c r="G3667" s="3">
        <v>2.2144810791110102E-3</v>
      </c>
      <c r="H3667" s="3" t="str">
        <f>"ORMDL3"</f>
        <v>ORMDL3</v>
      </c>
      <c r="I3667" s="3" t="str">
        <f t="shared" si="151"/>
        <v>protein_coding</v>
      </c>
    </row>
    <row r="3668" spans="1:9" x14ac:dyDescent="0.2">
      <c r="A3668" s="3" t="str">
        <f>"ENSG00000108342.12"</f>
        <v>ENSG00000108342.12</v>
      </c>
      <c r="B3668" s="3">
        <v>110.444708927782</v>
      </c>
      <c r="C3668" s="3">
        <v>1.7445361772425301</v>
      </c>
      <c r="D3668" s="3">
        <v>0.39389771145997499</v>
      </c>
      <c r="E3668" s="3">
        <v>4.42890660820657</v>
      </c>
      <c r="F3668" s="4">
        <v>9.4712021634606694E-6</v>
      </c>
      <c r="G3668" s="4">
        <v>9.7482852054767995E-5</v>
      </c>
      <c r="H3668" s="3" t="str">
        <f>"CSF3"</f>
        <v>CSF3</v>
      </c>
      <c r="I3668" s="3" t="str">
        <f t="shared" si="151"/>
        <v>protein_coding</v>
      </c>
    </row>
    <row r="3669" spans="1:9" x14ac:dyDescent="0.2">
      <c r="A3669" s="3" t="str">
        <f>"ENSG00000094804.11"</f>
        <v>ENSG00000094804.11</v>
      </c>
      <c r="B3669" s="3">
        <v>3930.8381680685602</v>
      </c>
      <c r="C3669" s="3">
        <v>-2.4389654006195101</v>
      </c>
      <c r="D3669" s="3">
        <v>0.25136466937634</v>
      </c>
      <c r="E3669" s="3">
        <v>-9.7028966189672694</v>
      </c>
      <c r="F3669" s="4">
        <v>2.9305829296335499E-22</v>
      </c>
      <c r="G3669" s="4">
        <v>1.8338013332072599E-20</v>
      </c>
      <c r="H3669" s="3" t="str">
        <f>"CDC6"</f>
        <v>CDC6</v>
      </c>
      <c r="I3669" s="3" t="str">
        <f t="shared" si="151"/>
        <v>protein_coding</v>
      </c>
    </row>
    <row r="3670" spans="1:9" x14ac:dyDescent="0.2">
      <c r="A3670" s="3" t="str">
        <f>"ENSG00000131759.18"</f>
        <v>ENSG00000131759.18</v>
      </c>
      <c r="B3670" s="3">
        <v>1314.3906060120801</v>
      </c>
      <c r="C3670" s="3">
        <v>-1.04149320769035</v>
      </c>
      <c r="D3670" s="3">
        <v>0.31023303281367798</v>
      </c>
      <c r="E3670" s="3">
        <v>-3.35713188967808</v>
      </c>
      <c r="F3670" s="3">
        <v>7.8755535373358399E-4</v>
      </c>
      <c r="G3670" s="3">
        <v>4.9663963206739298E-3</v>
      </c>
      <c r="H3670" s="3" t="str">
        <f>"RARA"</f>
        <v>RARA</v>
      </c>
      <c r="I3670" s="3" t="str">
        <f t="shared" si="151"/>
        <v>protein_coding</v>
      </c>
    </row>
    <row r="3671" spans="1:9" x14ac:dyDescent="0.2">
      <c r="A3671" s="3" t="str">
        <f>"ENSG00000266208.1"</f>
        <v>ENSG00000266208.1</v>
      </c>
      <c r="B3671" s="3">
        <v>814.79661966017102</v>
      </c>
      <c r="C3671" s="3">
        <v>1.87428288493323</v>
      </c>
      <c r="D3671" s="3">
        <v>0.29323241605935502</v>
      </c>
      <c r="E3671" s="3">
        <v>6.3917997543417799</v>
      </c>
      <c r="F3671" s="4">
        <v>1.6394451001084001E-10</v>
      </c>
      <c r="G3671" s="4">
        <v>3.6756008460986298E-9</v>
      </c>
      <c r="H3671" s="3" t="str">
        <f>"AC080112.1"</f>
        <v>AC080112.1</v>
      </c>
      <c r="I3671" s="3" t="str">
        <f>"antisense"</f>
        <v>antisense</v>
      </c>
    </row>
    <row r="3672" spans="1:9" x14ac:dyDescent="0.2">
      <c r="A3672" s="3" t="str">
        <f>"ENSG00000279806.1"</f>
        <v>ENSG00000279806.1</v>
      </c>
      <c r="B3672" s="3">
        <v>319.25923507967201</v>
      </c>
      <c r="C3672" s="3">
        <v>-1.75442851706787</v>
      </c>
      <c r="D3672" s="3">
        <v>0.32340102565665801</v>
      </c>
      <c r="E3672" s="3">
        <v>-5.4249318273049498</v>
      </c>
      <c r="F3672" s="4">
        <v>5.7976663434622901E-8</v>
      </c>
      <c r="G3672" s="4">
        <v>8.9803138466621899E-7</v>
      </c>
      <c r="H3672" s="3" t="str">
        <f>"AC018629.1"</f>
        <v>AC018629.1</v>
      </c>
      <c r="I3672" s="3" t="str">
        <f>"TEC"</f>
        <v>TEC</v>
      </c>
    </row>
    <row r="3673" spans="1:9" x14ac:dyDescent="0.2">
      <c r="A3673" s="3" t="str">
        <f>"ENSG00000131746.13"</f>
        <v>ENSG00000131746.13</v>
      </c>
      <c r="B3673" s="3">
        <v>4988.5947966170297</v>
      </c>
      <c r="C3673" s="3">
        <v>-1.15328382379818</v>
      </c>
      <c r="D3673" s="3">
        <v>0.25608907005299503</v>
      </c>
      <c r="E3673" s="3">
        <v>-4.5034480525058003</v>
      </c>
      <c r="F3673" s="4">
        <v>6.6859716453268103E-6</v>
      </c>
      <c r="G3673" s="4">
        <v>7.1537905886089303E-5</v>
      </c>
      <c r="H3673" s="3" t="str">
        <f>"TNS4"</f>
        <v>TNS4</v>
      </c>
      <c r="I3673" s="3" t="str">
        <f t="shared" ref="I3673:I3692" si="152">"protein_coding"</f>
        <v>protein_coding</v>
      </c>
    </row>
    <row r="3674" spans="1:9" x14ac:dyDescent="0.2">
      <c r="A3674" s="3" t="str">
        <f>"ENSG00000187242.5"</f>
        <v>ENSG00000187242.5</v>
      </c>
      <c r="B3674" s="3">
        <v>26.324238437931601</v>
      </c>
      <c r="C3674" s="3">
        <v>-2.8980334652454798</v>
      </c>
      <c r="D3674" s="3">
        <v>0.74695787344380304</v>
      </c>
      <c r="E3674" s="3">
        <v>-3.87978166945918</v>
      </c>
      <c r="F3674" s="3">
        <v>1.04550267881294E-4</v>
      </c>
      <c r="G3674" s="3">
        <v>8.4564694165722E-4</v>
      </c>
      <c r="H3674" s="3" t="str">
        <f>"KRT12"</f>
        <v>KRT12</v>
      </c>
      <c r="I3674" s="3" t="str">
        <f t="shared" si="152"/>
        <v>protein_coding</v>
      </c>
    </row>
    <row r="3675" spans="1:9" x14ac:dyDescent="0.2">
      <c r="A3675" s="3" t="str">
        <f>"ENSG00000171431.3"</f>
        <v>ENSG00000171431.3</v>
      </c>
      <c r="B3675" s="3">
        <v>16.809716993304601</v>
      </c>
      <c r="C3675" s="3">
        <v>-3.5867436295191801</v>
      </c>
      <c r="D3675" s="3">
        <v>1.0178615484295299</v>
      </c>
      <c r="E3675" s="3">
        <v>-3.5238030506734499</v>
      </c>
      <c r="F3675" s="3">
        <v>4.2540032095729897E-4</v>
      </c>
      <c r="G3675" s="3">
        <v>2.9083181415692E-3</v>
      </c>
      <c r="H3675" s="3" t="str">
        <f>"KRT20"</f>
        <v>KRT20</v>
      </c>
      <c r="I3675" s="3" t="str">
        <f t="shared" si="152"/>
        <v>protein_coding</v>
      </c>
    </row>
    <row r="3676" spans="1:9" x14ac:dyDescent="0.2">
      <c r="A3676" s="3" t="str">
        <f>"ENSG00000006059.3"</f>
        <v>ENSG00000006059.3</v>
      </c>
      <c r="B3676" s="3">
        <v>9.8550725488863193</v>
      </c>
      <c r="C3676" s="3">
        <v>5.3540841906844401</v>
      </c>
      <c r="D3676" s="3">
        <v>1.7300814763738901</v>
      </c>
      <c r="E3676" s="3">
        <v>3.0947006044513898</v>
      </c>
      <c r="F3676" s="3">
        <v>1.9701165653868802E-3</v>
      </c>
      <c r="G3676" s="3">
        <v>1.08111435868907E-2</v>
      </c>
      <c r="H3676" s="3" t="str">
        <f>"KRT33A"</f>
        <v>KRT33A</v>
      </c>
      <c r="I3676" s="3" t="str">
        <f t="shared" si="152"/>
        <v>protein_coding</v>
      </c>
    </row>
    <row r="3677" spans="1:9" x14ac:dyDescent="0.2">
      <c r="A3677" s="3" t="str">
        <f>"ENSG00000108417.3"</f>
        <v>ENSG00000108417.3</v>
      </c>
      <c r="B3677" s="3">
        <v>25.3443919482851</v>
      </c>
      <c r="C3677" s="3">
        <v>-2.7011902841030602</v>
      </c>
      <c r="D3677" s="3">
        <v>0.77068072782128605</v>
      </c>
      <c r="E3677" s="3">
        <v>-3.5049407447093199</v>
      </c>
      <c r="F3677" s="3">
        <v>4.5670892052877902E-4</v>
      </c>
      <c r="G3677" s="3">
        <v>3.0916342561629201E-3</v>
      </c>
      <c r="H3677" s="3" t="str">
        <f>"KRT37"</f>
        <v>KRT37</v>
      </c>
      <c r="I3677" s="3" t="str">
        <f t="shared" si="152"/>
        <v>protein_coding</v>
      </c>
    </row>
    <row r="3678" spans="1:9" x14ac:dyDescent="0.2">
      <c r="A3678" s="3" t="str">
        <f>"ENSG00000171346.16"</f>
        <v>ENSG00000171346.16</v>
      </c>
      <c r="B3678" s="3">
        <v>209.15755734341201</v>
      </c>
      <c r="C3678" s="3">
        <v>3.65842690799087</v>
      </c>
      <c r="D3678" s="3">
        <v>0.443478248038576</v>
      </c>
      <c r="E3678" s="3">
        <v>8.2493942468913204</v>
      </c>
      <c r="F3678" s="4">
        <v>1.59199417598967E-16</v>
      </c>
      <c r="G3678" s="4">
        <v>6.7532231866813E-15</v>
      </c>
      <c r="H3678" s="3" t="str">
        <f>"KRT15"</f>
        <v>KRT15</v>
      </c>
      <c r="I3678" s="3" t="str">
        <f t="shared" si="152"/>
        <v>protein_coding</v>
      </c>
    </row>
    <row r="3679" spans="1:9" x14ac:dyDescent="0.2">
      <c r="A3679" s="3" t="str">
        <f>"ENSG00000171345.13"</f>
        <v>ENSG00000171345.13</v>
      </c>
      <c r="B3679" s="3">
        <v>14360.7089213994</v>
      </c>
      <c r="C3679" s="3">
        <v>1.18692727452347</v>
      </c>
      <c r="D3679" s="3">
        <v>0.31703039016365298</v>
      </c>
      <c r="E3679" s="3">
        <v>3.7438911579131902</v>
      </c>
      <c r="F3679" s="3">
        <v>1.81192167842945E-4</v>
      </c>
      <c r="G3679" s="3">
        <v>1.3662736756862299E-3</v>
      </c>
      <c r="H3679" s="3" t="str">
        <f>"KRT19"</f>
        <v>KRT19</v>
      </c>
      <c r="I3679" s="3" t="str">
        <f t="shared" si="152"/>
        <v>protein_coding</v>
      </c>
    </row>
    <row r="3680" spans="1:9" x14ac:dyDescent="0.2">
      <c r="A3680" s="3" t="str">
        <f>"ENSG00000128422.16"</f>
        <v>ENSG00000128422.16</v>
      </c>
      <c r="B3680" s="3">
        <v>31.478562318181801</v>
      </c>
      <c r="C3680" s="3">
        <v>2.0147155310042</v>
      </c>
      <c r="D3680" s="3">
        <v>0.69730112960139701</v>
      </c>
      <c r="E3680" s="3">
        <v>2.8893048433119399</v>
      </c>
      <c r="F3680" s="3">
        <v>3.86094580080234E-3</v>
      </c>
      <c r="G3680" s="3">
        <v>1.9122286201847399E-2</v>
      </c>
      <c r="H3680" s="3" t="str">
        <f>"KRT17"</f>
        <v>KRT17</v>
      </c>
      <c r="I3680" s="3" t="str">
        <f t="shared" si="152"/>
        <v>protein_coding</v>
      </c>
    </row>
    <row r="3681" spans="1:9" x14ac:dyDescent="0.2">
      <c r="A3681" s="3" t="str">
        <f>"ENSG00000184502.4"</f>
        <v>ENSG00000184502.4</v>
      </c>
      <c r="B3681" s="3">
        <v>113.950850826402</v>
      </c>
      <c r="C3681" s="3">
        <v>6.3228376404247602</v>
      </c>
      <c r="D3681" s="3">
        <v>0.70775250673116297</v>
      </c>
      <c r="E3681" s="3">
        <v>8.9336845582186903</v>
      </c>
      <c r="F3681" s="4">
        <v>4.1205107956358799E-19</v>
      </c>
      <c r="G3681" s="4">
        <v>2.0897469569399299E-17</v>
      </c>
      <c r="H3681" s="3" t="str">
        <f>"GAST"</f>
        <v>GAST</v>
      </c>
      <c r="I3681" s="3" t="str">
        <f t="shared" si="152"/>
        <v>protein_coding</v>
      </c>
    </row>
    <row r="3682" spans="1:9" x14ac:dyDescent="0.2">
      <c r="A3682" s="3" t="str">
        <f>"ENSG00000173801.17"</f>
        <v>ENSG00000173801.17</v>
      </c>
      <c r="B3682" s="3">
        <v>2465.5776426667899</v>
      </c>
      <c r="C3682" s="3">
        <v>1.16192745307104</v>
      </c>
      <c r="D3682" s="3">
        <v>0.31190226773622698</v>
      </c>
      <c r="E3682" s="3">
        <v>3.7252933795712901</v>
      </c>
      <c r="F3682" s="3">
        <v>1.95088194228985E-4</v>
      </c>
      <c r="G3682" s="3">
        <v>1.4618538950938701E-3</v>
      </c>
      <c r="H3682" s="3" t="str">
        <f>"JUP"</f>
        <v>JUP</v>
      </c>
      <c r="I3682" s="3" t="str">
        <f t="shared" si="152"/>
        <v>protein_coding</v>
      </c>
    </row>
    <row r="3683" spans="1:9" x14ac:dyDescent="0.2">
      <c r="A3683" s="3" t="str">
        <f>"ENSG00000131473.17"</f>
        <v>ENSG00000131473.17</v>
      </c>
      <c r="B3683" s="3">
        <v>14419.5665000097</v>
      </c>
      <c r="C3683" s="3">
        <v>-1.0941259825382199</v>
      </c>
      <c r="D3683" s="3">
        <v>0.26508986955283098</v>
      </c>
      <c r="E3683" s="3">
        <v>-4.1273775734389702</v>
      </c>
      <c r="F3683" s="4">
        <v>3.6692366307972501E-5</v>
      </c>
      <c r="G3683" s="3">
        <v>3.31655219000017E-4</v>
      </c>
      <c r="H3683" s="3" t="str">
        <f>"ACLY"</f>
        <v>ACLY</v>
      </c>
      <c r="I3683" s="3" t="str">
        <f t="shared" si="152"/>
        <v>protein_coding</v>
      </c>
    </row>
    <row r="3684" spans="1:9" x14ac:dyDescent="0.2">
      <c r="A3684" s="3" t="str">
        <f>"ENSG00000173786.17"</f>
        <v>ENSG00000173786.17</v>
      </c>
      <c r="B3684" s="3">
        <v>6572.7972465008397</v>
      </c>
      <c r="C3684" s="3">
        <v>-1.7824780961820199</v>
      </c>
      <c r="D3684" s="3">
        <v>0.29298204281542201</v>
      </c>
      <c r="E3684" s="3">
        <v>-6.0839158572765601</v>
      </c>
      <c r="F3684" s="4">
        <v>1.17282171174447E-9</v>
      </c>
      <c r="G3684" s="4">
        <v>2.3639687627349501E-8</v>
      </c>
      <c r="H3684" s="3" t="str">
        <f>"CNP"</f>
        <v>CNP</v>
      </c>
      <c r="I3684" s="3" t="str">
        <f t="shared" si="152"/>
        <v>protein_coding</v>
      </c>
    </row>
    <row r="3685" spans="1:9" x14ac:dyDescent="0.2">
      <c r="A3685" s="3" t="str">
        <f>"ENSG00000267221.2"</f>
        <v>ENSG00000267221.2</v>
      </c>
      <c r="B3685" s="3">
        <v>105.739427845728</v>
      </c>
      <c r="C3685" s="3">
        <v>3.1706852646192498</v>
      </c>
      <c r="D3685" s="3">
        <v>0.43971735835423498</v>
      </c>
      <c r="E3685" s="3">
        <v>7.2107348149420796</v>
      </c>
      <c r="F3685" s="4">
        <v>5.56507399673659E-13</v>
      </c>
      <c r="G3685" s="4">
        <v>1.6527678440130901E-11</v>
      </c>
      <c r="H3685" s="3" t="str">
        <f>"C17orf113"</f>
        <v>C17orf113</v>
      </c>
      <c r="I3685" s="3" t="str">
        <f t="shared" si="152"/>
        <v>protein_coding</v>
      </c>
    </row>
    <row r="3686" spans="1:9" x14ac:dyDescent="0.2">
      <c r="A3686" s="3" t="str">
        <f>"ENSG00000089558.9"</f>
        <v>ENSG00000089558.9</v>
      </c>
      <c r="B3686" s="3">
        <v>108.639918622227</v>
      </c>
      <c r="C3686" s="3">
        <v>3.1470688118466201</v>
      </c>
      <c r="D3686" s="3">
        <v>0.43449020846076902</v>
      </c>
      <c r="E3686" s="3">
        <v>7.2431294205581001</v>
      </c>
      <c r="F3686" s="4">
        <v>4.3844814802769002E-13</v>
      </c>
      <c r="G3686" s="4">
        <v>1.3272157838311099E-11</v>
      </c>
      <c r="H3686" s="3" t="str">
        <f>"KCNH4"</f>
        <v>KCNH4</v>
      </c>
      <c r="I3686" s="3" t="str">
        <f t="shared" si="152"/>
        <v>protein_coding</v>
      </c>
    </row>
    <row r="3687" spans="1:9" x14ac:dyDescent="0.2">
      <c r="A3687" s="3" t="str">
        <f>"ENSG00000168610.14"</f>
        <v>ENSG00000168610.14</v>
      </c>
      <c r="B3687" s="3">
        <v>11526.866886034901</v>
      </c>
      <c r="C3687" s="3">
        <v>1.8013827117728001</v>
      </c>
      <c r="D3687" s="3">
        <v>0.250288676263556</v>
      </c>
      <c r="E3687" s="3">
        <v>7.1972201805723097</v>
      </c>
      <c r="F3687" s="4">
        <v>6.1452487715483496E-13</v>
      </c>
      <c r="G3687" s="4">
        <v>1.8143630615997499E-11</v>
      </c>
      <c r="H3687" s="3" t="str">
        <f>"STAT3"</f>
        <v>STAT3</v>
      </c>
      <c r="I3687" s="3" t="str">
        <f t="shared" si="152"/>
        <v>protein_coding</v>
      </c>
    </row>
    <row r="3688" spans="1:9" x14ac:dyDescent="0.2">
      <c r="A3688" s="3" t="str">
        <f>"ENSG00000177469.13"</f>
        <v>ENSG00000177469.13</v>
      </c>
      <c r="B3688" s="3">
        <v>1635.87679609629</v>
      </c>
      <c r="C3688" s="3">
        <v>-1.8261584606291501</v>
      </c>
      <c r="D3688" s="3">
        <v>0.28843292654649999</v>
      </c>
      <c r="E3688" s="3">
        <v>-6.33131065337904</v>
      </c>
      <c r="F3688" s="4">
        <v>2.4308735353487903E-10</v>
      </c>
      <c r="G3688" s="4">
        <v>5.35921330251523E-9</v>
      </c>
      <c r="H3688" s="3" t="str">
        <f>"CAVIN1"</f>
        <v>CAVIN1</v>
      </c>
      <c r="I3688" s="3" t="str">
        <f t="shared" si="152"/>
        <v>protein_coding</v>
      </c>
    </row>
    <row r="3689" spans="1:9" x14ac:dyDescent="0.2">
      <c r="A3689" s="3" t="str">
        <f>"ENSG00000131470.14"</f>
        <v>ENSG00000131470.14</v>
      </c>
      <c r="B3689" s="3">
        <v>969.87655839373201</v>
      </c>
      <c r="C3689" s="3">
        <v>-1.3647668952765399</v>
      </c>
      <c r="D3689" s="3">
        <v>0.28029299442862199</v>
      </c>
      <c r="E3689" s="3">
        <v>-4.8690724434929802</v>
      </c>
      <c r="F3689" s="4">
        <v>1.1212330055290999E-6</v>
      </c>
      <c r="G3689" s="4">
        <v>1.38581549594624E-5</v>
      </c>
      <c r="H3689" s="3" t="str">
        <f>"PSMC3IP"</f>
        <v>PSMC3IP</v>
      </c>
      <c r="I3689" s="3" t="str">
        <f t="shared" si="152"/>
        <v>protein_coding</v>
      </c>
    </row>
    <row r="3690" spans="1:9" x14ac:dyDescent="0.2">
      <c r="A3690" s="3" t="str">
        <f>"ENSG00000068137.15"</f>
        <v>ENSG00000068137.15</v>
      </c>
      <c r="B3690" s="3">
        <v>366.95073689043198</v>
      </c>
      <c r="C3690" s="3">
        <v>-1.7179493045168099</v>
      </c>
      <c r="D3690" s="3">
        <v>0.35406059589107303</v>
      </c>
      <c r="E3690" s="3">
        <v>-4.8521335738963103</v>
      </c>
      <c r="F3690" s="4">
        <v>1.2214031146736501E-6</v>
      </c>
      <c r="G3690" s="4">
        <v>1.49219987127808E-5</v>
      </c>
      <c r="H3690" s="3" t="str">
        <f>"PLEKHH3"</f>
        <v>PLEKHH3</v>
      </c>
      <c r="I3690" s="3" t="str">
        <f t="shared" si="152"/>
        <v>protein_coding</v>
      </c>
    </row>
    <row r="3691" spans="1:9" x14ac:dyDescent="0.2">
      <c r="A3691" s="3" t="str">
        <f>"ENSG00000184451.5"</f>
        <v>ENSG00000184451.5</v>
      </c>
      <c r="B3691" s="3">
        <v>28.204093375281801</v>
      </c>
      <c r="C3691" s="3">
        <v>-1.94622383674389</v>
      </c>
      <c r="D3691" s="3">
        <v>0.75236765606091305</v>
      </c>
      <c r="E3691" s="3">
        <v>-2.58679891548437</v>
      </c>
      <c r="F3691" s="3">
        <v>9.6872106524545191E-3</v>
      </c>
      <c r="G3691" s="3">
        <v>4.11624635071779E-2</v>
      </c>
      <c r="H3691" s="3" t="str">
        <f>"CCR10"</f>
        <v>CCR10</v>
      </c>
      <c r="I3691" s="3" t="str">
        <f t="shared" si="152"/>
        <v>protein_coding</v>
      </c>
    </row>
    <row r="3692" spans="1:9" x14ac:dyDescent="0.2">
      <c r="A3692" s="3" t="str">
        <f>"ENSG00000108797.12"</f>
        <v>ENSG00000108797.12</v>
      </c>
      <c r="B3692" s="3">
        <v>1045.3391621713999</v>
      </c>
      <c r="C3692" s="3">
        <v>-2.8353439000272398</v>
      </c>
      <c r="D3692" s="3">
        <v>0.31435110346300399</v>
      </c>
      <c r="E3692" s="3">
        <v>-9.0196721716325499</v>
      </c>
      <c r="F3692" s="4">
        <v>1.8865299422636101E-19</v>
      </c>
      <c r="G3692" s="4">
        <v>9.7645392381977707E-18</v>
      </c>
      <c r="H3692" s="3" t="str">
        <f>"CNTNAP1"</f>
        <v>CNTNAP1</v>
      </c>
      <c r="I3692" s="3" t="str">
        <f t="shared" si="152"/>
        <v>protein_coding</v>
      </c>
    </row>
    <row r="3693" spans="1:9" x14ac:dyDescent="0.2">
      <c r="A3693" s="3" t="str">
        <f>"ENSG00000214578.5"</f>
        <v>ENSG00000214578.5</v>
      </c>
      <c r="B3693" s="3">
        <v>23.523773790058499</v>
      </c>
      <c r="C3693" s="3">
        <v>-2.00361034507032</v>
      </c>
      <c r="D3693" s="3">
        <v>0.73686296299290499</v>
      </c>
      <c r="E3693" s="3">
        <v>-2.7191084987258498</v>
      </c>
      <c r="F3693" s="3">
        <v>6.5458132784055496E-3</v>
      </c>
      <c r="G3693" s="3">
        <v>2.9577857556725599E-2</v>
      </c>
      <c r="H3693" s="3" t="str">
        <f>"HMGN2P15"</f>
        <v>HMGN2P15</v>
      </c>
      <c r="I3693" s="3" t="str">
        <f>"processed_pseudogene"</f>
        <v>processed_pseudogene</v>
      </c>
    </row>
    <row r="3694" spans="1:9" x14ac:dyDescent="0.2">
      <c r="A3694" s="3" t="str">
        <f>"ENSG00000197291.8"</f>
        <v>ENSG00000197291.8</v>
      </c>
      <c r="B3694" s="3">
        <v>122.09805243173101</v>
      </c>
      <c r="C3694" s="3">
        <v>-2.4366732908114499</v>
      </c>
      <c r="D3694" s="3">
        <v>0.39643830017686699</v>
      </c>
      <c r="E3694" s="3">
        <v>-6.1464124170756103</v>
      </c>
      <c r="F3694" s="4">
        <v>7.9255051801274196E-10</v>
      </c>
      <c r="G3694" s="4">
        <v>1.6381765226467201E-8</v>
      </c>
      <c r="H3694" s="3" t="str">
        <f>"RAMP2-AS1"</f>
        <v>RAMP2-AS1</v>
      </c>
      <c r="I3694" s="3" t="str">
        <f>"lincRNA"</f>
        <v>lincRNA</v>
      </c>
    </row>
    <row r="3695" spans="1:9" x14ac:dyDescent="0.2">
      <c r="A3695" s="3" t="str">
        <f>"ENSG00000131477.11"</f>
        <v>ENSG00000131477.11</v>
      </c>
      <c r="B3695" s="3">
        <v>124.85428489250999</v>
      </c>
      <c r="C3695" s="3">
        <v>-1.9768986293975499</v>
      </c>
      <c r="D3695" s="3">
        <v>0.39747142538851499</v>
      </c>
      <c r="E3695" s="3">
        <v>-4.9736874228510803</v>
      </c>
      <c r="F3695" s="4">
        <v>6.5691201166908696E-7</v>
      </c>
      <c r="G3695" s="4">
        <v>8.5354450689751408E-6</v>
      </c>
      <c r="H3695" s="3" t="str">
        <f>"RAMP2"</f>
        <v>RAMP2</v>
      </c>
      <c r="I3695" s="3" t="str">
        <f>"protein_coding"</f>
        <v>protein_coding</v>
      </c>
    </row>
    <row r="3696" spans="1:9" x14ac:dyDescent="0.2">
      <c r="A3696" s="3" t="str">
        <f>"ENSG00000126562.17"</f>
        <v>ENSG00000126562.17</v>
      </c>
      <c r="B3696" s="3">
        <v>1450.4362471999</v>
      </c>
      <c r="C3696" s="3">
        <v>-2.2355229103040002</v>
      </c>
      <c r="D3696" s="3">
        <v>0.28775437091390399</v>
      </c>
      <c r="E3696" s="3">
        <v>-7.7688582216979301</v>
      </c>
      <c r="F3696" s="4">
        <v>7.9196752105880006E-15</v>
      </c>
      <c r="G3696" s="4">
        <v>2.8218049564071001E-13</v>
      </c>
      <c r="H3696" s="3" t="str">
        <f>"WNK4"</f>
        <v>WNK4</v>
      </c>
      <c r="I3696" s="3" t="str">
        <f>"protein_coding"</f>
        <v>protein_coding</v>
      </c>
    </row>
    <row r="3697" spans="1:9" x14ac:dyDescent="0.2">
      <c r="A3697" s="3" t="str">
        <f>"ENSG00000131471.7"</f>
        <v>ENSG00000131471.7</v>
      </c>
      <c r="B3697" s="3">
        <v>700.54085660967701</v>
      </c>
      <c r="C3697" s="3">
        <v>-1.82295273247044</v>
      </c>
      <c r="D3697" s="3">
        <v>0.27366037186747699</v>
      </c>
      <c r="E3697" s="3">
        <v>-6.6613690540229999</v>
      </c>
      <c r="F3697" s="4">
        <v>2.7128844920502301E-11</v>
      </c>
      <c r="G3697" s="4">
        <v>6.6254960580119903E-10</v>
      </c>
      <c r="H3697" s="3" t="str">
        <f>"AOC3"</f>
        <v>AOC3</v>
      </c>
      <c r="I3697" s="3" t="str">
        <f>"protein_coding"</f>
        <v>protein_coding</v>
      </c>
    </row>
    <row r="3698" spans="1:9" x14ac:dyDescent="0.2">
      <c r="A3698" s="3" t="str">
        <f>"ENSG00000068079.7"</f>
        <v>ENSG00000068079.7</v>
      </c>
      <c r="B3698" s="3">
        <v>489.26703401377301</v>
      </c>
      <c r="C3698" s="3">
        <v>-1.327600473508</v>
      </c>
      <c r="D3698" s="3">
        <v>0.31697584906556903</v>
      </c>
      <c r="E3698" s="3">
        <v>-4.1883332040018599</v>
      </c>
      <c r="F3698" s="4">
        <v>2.8101072882101901E-5</v>
      </c>
      <c r="G3698" s="3">
        <v>2.6045780705573801E-4</v>
      </c>
      <c r="H3698" s="3" t="str">
        <f>"IFI35"</f>
        <v>IFI35</v>
      </c>
      <c r="I3698" s="3" t="str">
        <f>"protein_coding"</f>
        <v>protein_coding</v>
      </c>
    </row>
    <row r="3699" spans="1:9" x14ac:dyDescent="0.2">
      <c r="A3699" s="3" t="str">
        <f>"ENSG00000012048.22"</f>
        <v>ENSG00000012048.22</v>
      </c>
      <c r="B3699" s="3">
        <v>2769.17841887328</v>
      </c>
      <c r="C3699" s="3">
        <v>-1.3789862835475399</v>
      </c>
      <c r="D3699" s="3">
        <v>0.26175173519814299</v>
      </c>
      <c r="E3699" s="3">
        <v>-5.2682985367935196</v>
      </c>
      <c r="F3699" s="4">
        <v>1.3769404729564801E-7</v>
      </c>
      <c r="G3699" s="4">
        <v>2.0303011487233401E-6</v>
      </c>
      <c r="H3699" s="3" t="str">
        <f>"BRCA1"</f>
        <v>BRCA1</v>
      </c>
      <c r="I3699" s="3" t="str">
        <f>"protein_coding"</f>
        <v>protein_coding</v>
      </c>
    </row>
    <row r="3700" spans="1:9" x14ac:dyDescent="0.2">
      <c r="A3700" s="3" t="str">
        <f>"ENSG00000267002.3"</f>
        <v>ENSG00000267002.3</v>
      </c>
      <c r="B3700" s="3">
        <v>4138.8904955161997</v>
      </c>
      <c r="C3700" s="3">
        <v>-3.0287696418191801</v>
      </c>
      <c r="D3700" s="3">
        <v>0.23908567013448101</v>
      </c>
      <c r="E3700" s="3">
        <v>-12.6681354014883</v>
      </c>
      <c r="F3700" s="4">
        <v>8.8800125187332807E-37</v>
      </c>
      <c r="G3700" s="4">
        <v>1.22734458741064E-34</v>
      </c>
      <c r="H3700" s="3" t="str">
        <f>"AC060780.1"</f>
        <v>AC060780.1</v>
      </c>
      <c r="I3700" s="3" t="str">
        <f>"lincRNA"</f>
        <v>lincRNA</v>
      </c>
    </row>
    <row r="3701" spans="1:9" x14ac:dyDescent="0.2">
      <c r="A3701" s="3" t="str">
        <f>"ENSG00000267340.1"</f>
        <v>ENSG00000267340.1</v>
      </c>
      <c r="B3701" s="3">
        <v>58.499034820493698</v>
      </c>
      <c r="C3701" s="3">
        <v>-1.47521914827294</v>
      </c>
      <c r="D3701" s="3">
        <v>0.57487473129895605</v>
      </c>
      <c r="E3701" s="3">
        <v>-2.5661575782599102</v>
      </c>
      <c r="F3701" s="3">
        <v>1.0283210054757699E-2</v>
      </c>
      <c r="G3701" s="3">
        <v>4.3235312850505601E-2</v>
      </c>
      <c r="H3701" s="3" t="str">
        <f>"AC060780.2"</f>
        <v>AC060780.2</v>
      </c>
      <c r="I3701" s="3" t="str">
        <f>"processed_pseudogene"</f>
        <v>processed_pseudogene</v>
      </c>
    </row>
    <row r="3702" spans="1:9" x14ac:dyDescent="0.2">
      <c r="A3702" s="3" t="str">
        <f>"ENSG00000278048.1"</f>
        <v>ENSG00000278048.1</v>
      </c>
      <c r="B3702" s="3">
        <v>349.19443454666703</v>
      </c>
      <c r="C3702" s="3">
        <v>1.0702799811920201</v>
      </c>
      <c r="D3702" s="3">
        <v>0.30811579191605498</v>
      </c>
      <c r="E3702" s="3">
        <v>3.4736291007233202</v>
      </c>
      <c r="F3702" s="3">
        <v>5.1347027857535997E-4</v>
      </c>
      <c r="G3702" s="3">
        <v>3.4206421762614301E-3</v>
      </c>
      <c r="H3702" s="3" t="str">
        <f>"RF00004"</f>
        <v>RF00004</v>
      </c>
      <c r="I3702" s="3" t="str">
        <f>"snRNA"</f>
        <v>snRNA</v>
      </c>
    </row>
    <row r="3703" spans="1:9" x14ac:dyDescent="0.2">
      <c r="A3703" s="3" t="str">
        <f>"ENSG00000161647.18"</f>
        <v>ENSG00000161647.18</v>
      </c>
      <c r="B3703" s="3">
        <v>475.609243394202</v>
      </c>
      <c r="C3703" s="3">
        <v>-2.1268377657947801</v>
      </c>
      <c r="D3703" s="3">
        <v>0.30153695625076499</v>
      </c>
      <c r="E3703" s="3">
        <v>-7.0533237193853404</v>
      </c>
      <c r="F3703" s="4">
        <v>1.7469378478418799E-12</v>
      </c>
      <c r="G3703" s="4">
        <v>4.89356587555261E-11</v>
      </c>
      <c r="H3703" s="3" t="str">
        <f>"MPP3"</f>
        <v>MPP3</v>
      </c>
      <c r="I3703" s="3" t="str">
        <f>"protein_coding"</f>
        <v>protein_coding</v>
      </c>
    </row>
    <row r="3704" spans="1:9" x14ac:dyDescent="0.2">
      <c r="A3704" s="3" t="str">
        <f>"ENSG00000108852.14"</f>
        <v>ENSG00000108852.14</v>
      </c>
      <c r="B3704" s="3">
        <v>71.580164026989607</v>
      </c>
      <c r="C3704" s="3">
        <v>-2.7897174288822701</v>
      </c>
      <c r="D3704" s="3">
        <v>0.49156113048505801</v>
      </c>
      <c r="E3704" s="3">
        <v>-5.6752197353957996</v>
      </c>
      <c r="F3704" s="4">
        <v>1.3851074310306201E-8</v>
      </c>
      <c r="G3704" s="4">
        <v>2.3930204277180703E-7</v>
      </c>
      <c r="H3704" s="3" t="str">
        <f>"MPP2"</f>
        <v>MPP2</v>
      </c>
      <c r="I3704" s="3" t="str">
        <f>"protein_coding"</f>
        <v>protein_coding</v>
      </c>
    </row>
    <row r="3705" spans="1:9" x14ac:dyDescent="0.2">
      <c r="A3705" s="3" t="str">
        <f>"ENSG00000267634.1"</f>
        <v>ENSG00000267634.1</v>
      </c>
      <c r="B3705" s="3">
        <v>6.9130877408385301</v>
      </c>
      <c r="C3705" s="3">
        <v>4.7914145092834897</v>
      </c>
      <c r="D3705" s="3">
        <v>1.8554293534931801</v>
      </c>
      <c r="E3705" s="3">
        <v>2.58237507144251</v>
      </c>
      <c r="F3705" s="3">
        <v>9.8122880349247495E-3</v>
      </c>
      <c r="G3705" s="3">
        <v>4.1602579726703497E-2</v>
      </c>
      <c r="H3705" s="3" t="str">
        <f>"RPL7L1P5"</f>
        <v>RPL7L1P5</v>
      </c>
      <c r="I3705" s="3" t="str">
        <f>"processed_pseudogene"</f>
        <v>processed_pseudogene</v>
      </c>
    </row>
    <row r="3706" spans="1:9" x14ac:dyDescent="0.2">
      <c r="A3706" s="3" t="str">
        <f>"ENSG00000005961.18"</f>
        <v>ENSG00000005961.18</v>
      </c>
      <c r="B3706" s="3">
        <v>232.88495995026699</v>
      </c>
      <c r="C3706" s="3">
        <v>1.97279361702642</v>
      </c>
      <c r="D3706" s="3">
        <v>0.34879580676317801</v>
      </c>
      <c r="E3706" s="3">
        <v>5.6560129989346102</v>
      </c>
      <c r="F3706" s="4">
        <v>1.5492973861813698E-8</v>
      </c>
      <c r="G3706" s="4">
        <v>2.6566172971637497E-7</v>
      </c>
      <c r="H3706" s="3" t="str">
        <f>"ITGA2B"</f>
        <v>ITGA2B</v>
      </c>
      <c r="I3706" s="3" t="str">
        <f t="shared" ref="I3706:I3711" si="153">"protein_coding"</f>
        <v>protein_coding</v>
      </c>
    </row>
    <row r="3707" spans="1:9" x14ac:dyDescent="0.2">
      <c r="A3707" s="3" t="str">
        <f>"ENSG00000180340.6"</f>
        <v>ENSG00000180340.6</v>
      </c>
      <c r="B3707" s="3">
        <v>65.033921969729803</v>
      </c>
      <c r="C3707" s="3">
        <v>-5.1359204947320301</v>
      </c>
      <c r="D3707" s="3">
        <v>0.71007986885739804</v>
      </c>
      <c r="E3707" s="3">
        <v>-7.2328772015411902</v>
      </c>
      <c r="F3707" s="4">
        <v>4.7286695106438398E-13</v>
      </c>
      <c r="G3707" s="4">
        <v>1.4211431486289801E-11</v>
      </c>
      <c r="H3707" s="3" t="str">
        <f>"FZD2"</f>
        <v>FZD2</v>
      </c>
      <c r="I3707" s="3" t="str">
        <f t="shared" si="153"/>
        <v>protein_coding</v>
      </c>
    </row>
    <row r="3708" spans="1:9" x14ac:dyDescent="0.2">
      <c r="A3708" s="3" t="str">
        <f>"ENSG00000182963.10"</f>
        <v>ENSG00000182963.10</v>
      </c>
      <c r="B3708" s="3">
        <v>1795.11359169655</v>
      </c>
      <c r="C3708" s="3">
        <v>-1.5221738213624201</v>
      </c>
      <c r="D3708" s="3">
        <v>0.24291938642699101</v>
      </c>
      <c r="E3708" s="3">
        <v>-6.2661685580204098</v>
      </c>
      <c r="F3708" s="4">
        <v>3.70039777934116E-10</v>
      </c>
      <c r="G3708" s="4">
        <v>7.9900005269808408E-9</v>
      </c>
      <c r="H3708" s="3" t="str">
        <f>"GJC1"</f>
        <v>GJC1</v>
      </c>
      <c r="I3708" s="3" t="str">
        <f t="shared" si="153"/>
        <v>protein_coding</v>
      </c>
    </row>
    <row r="3709" spans="1:9" x14ac:dyDescent="0.2">
      <c r="A3709" s="3" t="str">
        <f>"ENSG00000186185.13"</f>
        <v>ENSG00000186185.13</v>
      </c>
      <c r="B3709" s="3">
        <v>2243.2889700229298</v>
      </c>
      <c r="C3709" s="3">
        <v>-1.0155993555906699</v>
      </c>
      <c r="D3709" s="3">
        <v>0.31116011617443601</v>
      </c>
      <c r="E3709" s="3">
        <v>-3.2639123807927999</v>
      </c>
      <c r="F3709" s="3">
        <v>1.0988514211273299E-3</v>
      </c>
      <c r="G3709" s="3">
        <v>6.6080821177283899E-3</v>
      </c>
      <c r="H3709" s="3" t="str">
        <f>"KIF18B"</f>
        <v>KIF18B</v>
      </c>
      <c r="I3709" s="3" t="str">
        <f t="shared" si="153"/>
        <v>protein_coding</v>
      </c>
    </row>
    <row r="3710" spans="1:9" x14ac:dyDescent="0.2">
      <c r="A3710" s="3" t="str">
        <f>"ENSG00000172992.12"</f>
        <v>ENSG00000172992.12</v>
      </c>
      <c r="B3710" s="3">
        <v>1269.98560671878</v>
      </c>
      <c r="C3710" s="3">
        <v>1.04286550795616</v>
      </c>
      <c r="D3710" s="3">
        <v>0.27347976896512199</v>
      </c>
      <c r="E3710" s="3">
        <v>3.8133186666877901</v>
      </c>
      <c r="F3710" s="3">
        <v>1.37113135954462E-4</v>
      </c>
      <c r="G3710" s="3">
        <v>1.07047825416962E-3</v>
      </c>
      <c r="H3710" s="3" t="str">
        <f>"DCAKD"</f>
        <v>DCAKD</v>
      </c>
      <c r="I3710" s="3" t="str">
        <f t="shared" si="153"/>
        <v>protein_coding</v>
      </c>
    </row>
    <row r="3711" spans="1:9" x14ac:dyDescent="0.2">
      <c r="A3711" s="3" t="str">
        <f>"ENSG00000161714.12"</f>
        <v>ENSG00000161714.12</v>
      </c>
      <c r="B3711" s="3">
        <v>1060.8155380616699</v>
      </c>
      <c r="C3711" s="3">
        <v>1.3183326611297299</v>
      </c>
      <c r="D3711" s="3">
        <v>0.31489346593123602</v>
      </c>
      <c r="E3711" s="3">
        <v>4.1865989731829503</v>
      </c>
      <c r="F3711" s="4">
        <v>2.8316548796870701E-5</v>
      </c>
      <c r="G3711" s="3">
        <v>2.62165176660023E-4</v>
      </c>
      <c r="H3711" s="3" t="str">
        <f>"PLCD3"</f>
        <v>PLCD3</v>
      </c>
      <c r="I3711" s="3" t="str">
        <f t="shared" si="153"/>
        <v>protein_coding</v>
      </c>
    </row>
    <row r="3712" spans="1:9" x14ac:dyDescent="0.2">
      <c r="A3712" s="3" t="str">
        <f>"ENSG00000224505.2"</f>
        <v>ENSG00000224505.2</v>
      </c>
      <c r="B3712" s="3">
        <v>97.805086872390902</v>
      </c>
      <c r="C3712" s="3">
        <v>2.3017103536482599</v>
      </c>
      <c r="D3712" s="3">
        <v>0.47294494447652802</v>
      </c>
      <c r="E3712" s="3">
        <v>4.8667617246567101</v>
      </c>
      <c r="F3712" s="4">
        <v>1.1344166175763999E-6</v>
      </c>
      <c r="G3712" s="4">
        <v>1.4008959261234401E-5</v>
      </c>
      <c r="H3712" s="3" t="str">
        <f>"AC138150.1"</f>
        <v>AC138150.1</v>
      </c>
      <c r="I3712" s="3" t="str">
        <f>"antisense"</f>
        <v>antisense</v>
      </c>
    </row>
    <row r="3713" spans="1:9" x14ac:dyDescent="0.2">
      <c r="A3713" s="3" t="str">
        <f>"ENSG00000184922.14"</f>
        <v>ENSG00000184922.14</v>
      </c>
      <c r="B3713" s="3">
        <v>71.731822424208104</v>
      </c>
      <c r="C3713" s="3">
        <v>-1.84699465374355</v>
      </c>
      <c r="D3713" s="3">
        <v>0.47220250686526499</v>
      </c>
      <c r="E3713" s="3">
        <v>-3.91144609969332</v>
      </c>
      <c r="F3713" s="4">
        <v>9.1745133057475502E-5</v>
      </c>
      <c r="G3713" s="3">
        <v>7.5247760745379699E-4</v>
      </c>
      <c r="H3713" s="3" t="str">
        <f>"FMNL1"</f>
        <v>FMNL1</v>
      </c>
      <c r="I3713" s="3" t="str">
        <f>"protein_coding"</f>
        <v>protein_coding</v>
      </c>
    </row>
    <row r="3714" spans="1:9" x14ac:dyDescent="0.2">
      <c r="A3714" s="3" t="str">
        <f>"ENSG00000108379.10"</f>
        <v>ENSG00000108379.10</v>
      </c>
      <c r="B3714" s="3">
        <v>619.40159759671997</v>
      </c>
      <c r="C3714" s="3">
        <v>-1.05856405357345</v>
      </c>
      <c r="D3714" s="3">
        <v>0.27108305716380199</v>
      </c>
      <c r="E3714" s="3">
        <v>-3.9049436163537399</v>
      </c>
      <c r="F3714" s="4">
        <v>9.42473564798368E-5</v>
      </c>
      <c r="G3714" s="3">
        <v>7.70488219775851E-4</v>
      </c>
      <c r="H3714" s="3" t="str">
        <f>"WNT3"</f>
        <v>WNT3</v>
      </c>
      <c r="I3714" s="3" t="str">
        <f>"protein_coding"</f>
        <v>protein_coding</v>
      </c>
    </row>
    <row r="3715" spans="1:9" x14ac:dyDescent="0.2">
      <c r="A3715" s="3" t="str">
        <f>"ENSG00000262265.2"</f>
        <v>ENSG00000262265.2</v>
      </c>
      <c r="B3715" s="3">
        <v>131.385511244188</v>
      </c>
      <c r="C3715" s="3">
        <v>1.0371210341719299</v>
      </c>
      <c r="D3715" s="3">
        <v>0.37208710757419</v>
      </c>
      <c r="E3715" s="3">
        <v>2.7873070930444599</v>
      </c>
      <c r="F3715" s="3">
        <v>5.31480870131014E-3</v>
      </c>
      <c r="G3715" s="3">
        <v>2.4942912851018E-2</v>
      </c>
      <c r="H3715" s="3" t="str">
        <f>"AC002558.3"</f>
        <v>AC002558.3</v>
      </c>
      <c r="I3715" s="3" t="str">
        <f>"sense_intronic"</f>
        <v>sense_intronic</v>
      </c>
    </row>
    <row r="3716" spans="1:9" x14ac:dyDescent="0.2">
      <c r="A3716" s="3" t="str">
        <f>"ENSG00000263766.5"</f>
        <v>ENSG00000263766.5</v>
      </c>
      <c r="B3716" s="3">
        <v>153.87608596397101</v>
      </c>
      <c r="C3716" s="3">
        <v>1.4247962310380899</v>
      </c>
      <c r="D3716" s="3">
        <v>0.35125015152149303</v>
      </c>
      <c r="E3716" s="3">
        <v>4.0563576267977997</v>
      </c>
      <c r="F3716" s="4">
        <v>4.9843921963648299E-5</v>
      </c>
      <c r="G3716" s="3">
        <v>4.3809359084401501E-4</v>
      </c>
      <c r="H3716" s="3" t="str">
        <f>"AC025682.1"</f>
        <v>AC025682.1</v>
      </c>
      <c r="I3716" s="3" t="str">
        <f>"antisense"</f>
        <v>antisense</v>
      </c>
    </row>
    <row r="3717" spans="1:9" x14ac:dyDescent="0.2">
      <c r="A3717" s="3" t="str">
        <f>"ENSG00000198933.9"</f>
        <v>ENSG00000198933.9</v>
      </c>
      <c r="B3717" s="3">
        <v>802.471191660106</v>
      </c>
      <c r="C3717" s="3">
        <v>-1.6831977653682799</v>
      </c>
      <c r="D3717" s="3">
        <v>0.29568039030215099</v>
      </c>
      <c r="E3717" s="3">
        <v>-5.6926256206853703</v>
      </c>
      <c r="F3717" s="4">
        <v>1.2510049303745001E-8</v>
      </c>
      <c r="G3717" s="4">
        <v>2.1767171440845799E-7</v>
      </c>
      <c r="H3717" s="3" t="str">
        <f>"TBKBP1"</f>
        <v>TBKBP1</v>
      </c>
      <c r="I3717" s="3" t="str">
        <f>"protein_coding"</f>
        <v>protein_coding</v>
      </c>
    </row>
    <row r="3718" spans="1:9" x14ac:dyDescent="0.2">
      <c r="A3718" s="3" t="str">
        <f>"ENSG00000189120.5"</f>
        <v>ENSG00000189120.5</v>
      </c>
      <c r="B3718" s="3">
        <v>108.624172780454</v>
      </c>
      <c r="C3718" s="3">
        <v>3.1071657950320799</v>
      </c>
      <c r="D3718" s="3">
        <v>0.42694142745286501</v>
      </c>
      <c r="E3718" s="3">
        <v>7.2777331859535002</v>
      </c>
      <c r="F3718" s="4">
        <v>3.3947589280971202E-13</v>
      </c>
      <c r="G3718" s="4">
        <v>1.04140440044248E-11</v>
      </c>
      <c r="H3718" s="3" t="str">
        <f>"SP6"</f>
        <v>SP6</v>
      </c>
      <c r="I3718" s="3" t="str">
        <f>"protein_coding"</f>
        <v>protein_coding</v>
      </c>
    </row>
    <row r="3719" spans="1:9" x14ac:dyDescent="0.2">
      <c r="A3719" s="3" t="str">
        <f>"ENSG00000108439.10"</f>
        <v>ENSG00000108439.10</v>
      </c>
      <c r="B3719" s="3">
        <v>5362.3324749773901</v>
      </c>
      <c r="C3719" s="3">
        <v>1.7363832722494501</v>
      </c>
      <c r="D3719" s="3">
        <v>0.26539226127825599</v>
      </c>
      <c r="E3719" s="3">
        <v>6.5427049902894501</v>
      </c>
      <c r="F3719" s="4">
        <v>6.0415937500058698E-11</v>
      </c>
      <c r="G3719" s="4">
        <v>1.4256687690562599E-9</v>
      </c>
      <c r="H3719" s="3" t="str">
        <f>"PNPO"</f>
        <v>PNPO</v>
      </c>
      <c r="I3719" s="3" t="str">
        <f>"protein_coding"</f>
        <v>protein_coding</v>
      </c>
    </row>
    <row r="3720" spans="1:9" x14ac:dyDescent="0.2">
      <c r="A3720" s="3" t="str">
        <f>"ENSG00000244649.4"</f>
        <v>ENSG00000244649.4</v>
      </c>
      <c r="B3720" s="3">
        <v>473.74291877643498</v>
      </c>
      <c r="C3720" s="3">
        <v>7.2581896594233601</v>
      </c>
      <c r="D3720" s="3">
        <v>0.49175940204691998</v>
      </c>
      <c r="E3720" s="3">
        <v>14.7596357674333</v>
      </c>
      <c r="F3720" s="4">
        <v>2.6671732702896799E-49</v>
      </c>
      <c r="G3720" s="4">
        <v>6.8461983279731495E-47</v>
      </c>
      <c r="H3720" s="3" t="str">
        <f>"LINC02086"</f>
        <v>LINC02086</v>
      </c>
      <c r="I3720" s="3" t="str">
        <f>"lincRNA"</f>
        <v>lincRNA</v>
      </c>
    </row>
    <row r="3721" spans="1:9" x14ac:dyDescent="0.2">
      <c r="A3721" s="3" t="str">
        <f>"ENSG00000173868.11"</f>
        <v>ENSG00000173868.11</v>
      </c>
      <c r="B3721" s="3">
        <v>40.475952135562601</v>
      </c>
      <c r="C3721" s="3">
        <v>3.0145492205063</v>
      </c>
      <c r="D3721" s="3">
        <v>0.62801901264535598</v>
      </c>
      <c r="E3721" s="3">
        <v>4.8000922898947698</v>
      </c>
      <c r="F3721" s="4">
        <v>1.58592529012813E-6</v>
      </c>
      <c r="G3721" s="4">
        <v>1.8985353722685401E-5</v>
      </c>
      <c r="H3721" s="3" t="str">
        <f>"PHOSPHO1"</f>
        <v>PHOSPHO1</v>
      </c>
      <c r="I3721" s="3" t="str">
        <f>"protein_coding"</f>
        <v>protein_coding</v>
      </c>
    </row>
    <row r="3722" spans="1:9" x14ac:dyDescent="0.2">
      <c r="A3722" s="3" t="str">
        <f>"ENSG00000064300.9"</f>
        <v>ENSG00000064300.9</v>
      </c>
      <c r="B3722" s="3">
        <v>589.50425525112098</v>
      </c>
      <c r="C3722" s="3">
        <v>2.4324656578132902</v>
      </c>
      <c r="D3722" s="3">
        <v>0.34650935530259902</v>
      </c>
      <c r="E3722" s="3">
        <v>7.0199133748901898</v>
      </c>
      <c r="F3722" s="4">
        <v>2.22005843917094E-12</v>
      </c>
      <c r="G3722" s="4">
        <v>6.1436270668146198E-11</v>
      </c>
      <c r="H3722" s="3" t="str">
        <f>"NGFR"</f>
        <v>NGFR</v>
      </c>
      <c r="I3722" s="3" t="str">
        <f>"protein_coding"</f>
        <v>protein_coding</v>
      </c>
    </row>
    <row r="3723" spans="1:9" x14ac:dyDescent="0.2">
      <c r="A3723" s="3" t="str">
        <f>"ENSG00000249906.1"</f>
        <v>ENSG00000249906.1</v>
      </c>
      <c r="B3723" s="3">
        <v>33.845376919465899</v>
      </c>
      <c r="C3723" s="3">
        <v>4.1044539556657602</v>
      </c>
      <c r="D3723" s="3">
        <v>0.81283822443896703</v>
      </c>
      <c r="E3723" s="3">
        <v>5.0495336369038499</v>
      </c>
      <c r="F3723" s="4">
        <v>4.4288995131120901E-7</v>
      </c>
      <c r="G3723" s="4">
        <v>5.9386443098259299E-6</v>
      </c>
      <c r="H3723" s="3" t="str">
        <f>"AC006487.1"</f>
        <v>AC006487.1</v>
      </c>
      <c r="I3723" s="3" t="str">
        <f>"antisense"</f>
        <v>antisense</v>
      </c>
    </row>
    <row r="3724" spans="1:9" x14ac:dyDescent="0.2">
      <c r="A3724" s="3" t="str">
        <f>"ENSG00000182575.7"</f>
        <v>ENSG00000182575.7</v>
      </c>
      <c r="B3724" s="3">
        <v>148.832533373893</v>
      </c>
      <c r="C3724" s="3">
        <v>-3.0801129003388601</v>
      </c>
      <c r="D3724" s="3">
        <v>0.406693515317893</v>
      </c>
      <c r="E3724" s="3">
        <v>-7.5735481002968097</v>
      </c>
      <c r="F3724" s="4">
        <v>3.6316615599705099E-14</v>
      </c>
      <c r="G3724" s="4">
        <v>1.21320646136863E-12</v>
      </c>
      <c r="H3724" s="3" t="str">
        <f>"NXPH3"</f>
        <v>NXPH3</v>
      </c>
      <c r="I3724" s="3" t="str">
        <f>"protein_coding"</f>
        <v>protein_coding</v>
      </c>
    </row>
    <row r="3725" spans="1:9" x14ac:dyDescent="0.2">
      <c r="A3725" s="3" t="str">
        <f>"ENSG00000121104.8"</f>
        <v>ENSG00000121104.8</v>
      </c>
      <c r="B3725" s="3">
        <v>748.66503355678697</v>
      </c>
      <c r="C3725" s="3">
        <v>-1.9342846594190799</v>
      </c>
      <c r="D3725" s="3">
        <v>0.29114025508581698</v>
      </c>
      <c r="E3725" s="3">
        <v>-6.6438241556425197</v>
      </c>
      <c r="F3725" s="4">
        <v>3.0564720015928002E-11</v>
      </c>
      <c r="G3725" s="4">
        <v>7.4357401547453402E-10</v>
      </c>
      <c r="H3725" s="3" t="str">
        <f>"FAM117A"</f>
        <v>FAM117A</v>
      </c>
      <c r="I3725" s="3" t="str">
        <f>"protein_coding"</f>
        <v>protein_coding</v>
      </c>
    </row>
    <row r="3726" spans="1:9" x14ac:dyDescent="0.2">
      <c r="A3726" s="3" t="str">
        <f>"ENSG00000108813.11"</f>
        <v>ENSG00000108813.11</v>
      </c>
      <c r="B3726" s="3">
        <v>194.076559555139</v>
      </c>
      <c r="C3726" s="3">
        <v>-1.9071824057593401</v>
      </c>
      <c r="D3726" s="3">
        <v>0.33966327465296903</v>
      </c>
      <c r="E3726" s="3">
        <v>-5.6149208586294499</v>
      </c>
      <c r="F3726" s="4">
        <v>1.9665223078307299E-8</v>
      </c>
      <c r="G3726" s="4">
        <v>3.30945170265505E-7</v>
      </c>
      <c r="H3726" s="3" t="str">
        <f>"DLX4"</f>
        <v>DLX4</v>
      </c>
      <c r="I3726" s="3" t="str">
        <f>"protein_coding"</f>
        <v>protein_coding</v>
      </c>
    </row>
    <row r="3727" spans="1:9" x14ac:dyDescent="0.2">
      <c r="A3727" s="3" t="str">
        <f>"ENSG00000246640.1"</f>
        <v>ENSG00000246640.1</v>
      </c>
      <c r="B3727" s="3">
        <v>9.3169323615780897</v>
      </c>
      <c r="C3727" s="3">
        <v>4.2163943780930602</v>
      </c>
      <c r="D3727" s="3">
        <v>1.4650434499540299</v>
      </c>
      <c r="E3727" s="3">
        <v>2.8779995420786801</v>
      </c>
      <c r="F3727" s="3">
        <v>4.0020572009936504E-3</v>
      </c>
      <c r="G3727" s="3">
        <v>1.9720225052104801E-2</v>
      </c>
      <c r="H3727" s="3" t="str">
        <f>"PICART1"</f>
        <v>PICART1</v>
      </c>
      <c r="I3727" s="3" t="str">
        <f>"lincRNA"</f>
        <v>lincRNA</v>
      </c>
    </row>
    <row r="3728" spans="1:9" x14ac:dyDescent="0.2">
      <c r="A3728" s="3" t="str">
        <f>"ENSG00000005884.18"</f>
        <v>ENSG00000005884.18</v>
      </c>
      <c r="B3728" s="3">
        <v>1537.25539288701</v>
      </c>
      <c r="C3728" s="3">
        <v>4.9963632785046599</v>
      </c>
      <c r="D3728" s="3">
        <v>0.30559750542046199</v>
      </c>
      <c r="E3728" s="3">
        <v>16.349489736934601</v>
      </c>
      <c r="F3728" s="4">
        <v>4.3863767106918802E-60</v>
      </c>
      <c r="G3728" s="4">
        <v>1.6226368552566799E-57</v>
      </c>
      <c r="H3728" s="3" t="str">
        <f>"ITGA3"</f>
        <v>ITGA3</v>
      </c>
      <c r="I3728" s="3" t="str">
        <f>"protein_coding"</f>
        <v>protein_coding</v>
      </c>
    </row>
    <row r="3729" spans="1:9" x14ac:dyDescent="0.2">
      <c r="A3729" s="3" t="str">
        <f>"ENSG00000108819.11"</f>
        <v>ENSG00000108819.11</v>
      </c>
      <c r="B3729" s="3">
        <v>3086.7188660342799</v>
      </c>
      <c r="C3729" s="3">
        <v>1.4556630253842999</v>
      </c>
      <c r="D3729" s="3">
        <v>0.278576535232892</v>
      </c>
      <c r="E3729" s="3">
        <v>5.2253612249407801</v>
      </c>
      <c r="F3729" s="4">
        <v>1.7381544317955801E-7</v>
      </c>
      <c r="G3729" s="4">
        <v>2.5056317897889898E-6</v>
      </c>
      <c r="H3729" s="3" t="str">
        <f>"PPP1R9B"</f>
        <v>PPP1R9B</v>
      </c>
      <c r="I3729" s="3" t="str">
        <f>"protein_coding"</f>
        <v>protein_coding</v>
      </c>
    </row>
    <row r="3730" spans="1:9" x14ac:dyDescent="0.2">
      <c r="A3730" s="3" t="str">
        <f>"ENSG00000279792.1"</f>
        <v>ENSG00000279792.1</v>
      </c>
      <c r="B3730" s="3">
        <v>116.933456007806</v>
      </c>
      <c r="C3730" s="3">
        <v>1.2095751704557001</v>
      </c>
      <c r="D3730" s="3">
        <v>0.37890661947725701</v>
      </c>
      <c r="E3730" s="3">
        <v>3.1922777493949401</v>
      </c>
      <c r="F3730" s="3">
        <v>1.4115552730663799E-3</v>
      </c>
      <c r="G3730" s="3">
        <v>8.1739578485231796E-3</v>
      </c>
      <c r="H3730" s="3" t="str">
        <f>"AC015909.5"</f>
        <v>AC015909.5</v>
      </c>
      <c r="I3730" s="3" t="str">
        <f>"TEC"</f>
        <v>TEC</v>
      </c>
    </row>
    <row r="3731" spans="1:9" x14ac:dyDescent="0.2">
      <c r="A3731" s="3" t="str">
        <f>"ENSG00000108826.16"</f>
        <v>ENSG00000108826.16</v>
      </c>
      <c r="B3731" s="3">
        <v>2213.1798325956001</v>
      </c>
      <c r="C3731" s="3">
        <v>1.2361035442597501</v>
      </c>
      <c r="D3731" s="3">
        <v>0.27643926374015398</v>
      </c>
      <c r="E3731" s="3">
        <v>4.4715194489219101</v>
      </c>
      <c r="F3731" s="4">
        <v>7.7665795004284293E-6</v>
      </c>
      <c r="G3731" s="4">
        <v>8.1984182682869096E-5</v>
      </c>
      <c r="H3731" s="3" t="str">
        <f>"MRPL27"</f>
        <v>MRPL27</v>
      </c>
      <c r="I3731" s="3" t="str">
        <f>"protein_coding"</f>
        <v>protein_coding</v>
      </c>
    </row>
    <row r="3732" spans="1:9" x14ac:dyDescent="0.2">
      <c r="A3732" s="3" t="str">
        <f>"ENSG00000108829.10"</f>
        <v>ENSG00000108829.10</v>
      </c>
      <c r="B3732" s="3">
        <v>8846.13151307107</v>
      </c>
      <c r="C3732" s="3">
        <v>-1.0664108975537301</v>
      </c>
      <c r="D3732" s="3">
        <v>0.23443524937897101</v>
      </c>
      <c r="E3732" s="3">
        <v>-4.5488504837847401</v>
      </c>
      <c r="F3732" s="4">
        <v>5.3939748580953399E-6</v>
      </c>
      <c r="G3732" s="4">
        <v>5.8795920164069698E-5</v>
      </c>
      <c r="H3732" s="3" t="str">
        <f>"LRRC59"</f>
        <v>LRRC59</v>
      </c>
      <c r="I3732" s="3" t="str">
        <f>"protein_coding"</f>
        <v>protein_coding</v>
      </c>
    </row>
    <row r="3733" spans="1:9" x14ac:dyDescent="0.2">
      <c r="A3733" s="3" t="str">
        <f>"ENSG00000136444.10"</f>
        <v>ENSG00000136444.10</v>
      </c>
      <c r="B3733" s="3">
        <v>466.48368537383999</v>
      </c>
      <c r="C3733" s="3">
        <v>1.02347237239654</v>
      </c>
      <c r="D3733" s="3">
        <v>0.27488818765540302</v>
      </c>
      <c r="E3733" s="3">
        <v>3.72323154780136</v>
      </c>
      <c r="F3733" s="3">
        <v>1.96688981500968E-4</v>
      </c>
      <c r="G3733" s="3">
        <v>1.4709779471766501E-3</v>
      </c>
      <c r="H3733" s="3" t="str">
        <f>"RSAD1"</f>
        <v>RSAD1</v>
      </c>
      <c r="I3733" s="3" t="str">
        <f>"protein_coding"</f>
        <v>protein_coding</v>
      </c>
    </row>
    <row r="3734" spans="1:9" x14ac:dyDescent="0.2">
      <c r="A3734" s="3" t="str">
        <f>"ENSG00000049283.18"</f>
        <v>ENSG00000049283.18</v>
      </c>
      <c r="B3734" s="3">
        <v>417.24983084678098</v>
      </c>
      <c r="C3734" s="3">
        <v>2.9446798266402801</v>
      </c>
      <c r="D3734" s="3">
        <v>0.30531309223838898</v>
      </c>
      <c r="E3734" s="3">
        <v>9.6447872741109393</v>
      </c>
      <c r="F3734" s="4">
        <v>5.17183125204224E-22</v>
      </c>
      <c r="G3734" s="4">
        <v>3.1577042510952001E-20</v>
      </c>
      <c r="H3734" s="3" t="str">
        <f>"EPN3"</f>
        <v>EPN3</v>
      </c>
      <c r="I3734" s="3" t="str">
        <f>"protein_coding"</f>
        <v>protein_coding</v>
      </c>
    </row>
    <row r="3735" spans="1:9" x14ac:dyDescent="0.2">
      <c r="A3735" s="3" t="str">
        <f>"ENSG00000250286.1"</f>
        <v>ENSG00000250286.1</v>
      </c>
      <c r="B3735" s="3">
        <v>204.10369450806999</v>
      </c>
      <c r="C3735" s="3">
        <v>2.2357596286913601</v>
      </c>
      <c r="D3735" s="3">
        <v>0.35399690224678199</v>
      </c>
      <c r="E3735" s="3">
        <v>6.3157604332162904</v>
      </c>
      <c r="F3735" s="4">
        <v>2.6883623459265098E-10</v>
      </c>
      <c r="G3735" s="4">
        <v>5.9010257252863299E-9</v>
      </c>
      <c r="H3735" s="3" t="str">
        <f>"AC021491.2"</f>
        <v>AC021491.2</v>
      </c>
      <c r="I3735" s="3" t="str">
        <f>"processed_transcript"</f>
        <v>processed_transcript</v>
      </c>
    </row>
    <row r="3736" spans="1:9" x14ac:dyDescent="0.2">
      <c r="A3736" s="3" t="str">
        <f>"ENSG00000108846.16"</f>
        <v>ENSG00000108846.16</v>
      </c>
      <c r="B3736" s="3">
        <v>2562.6024651110001</v>
      </c>
      <c r="C3736" s="3">
        <v>1.8909002306862499</v>
      </c>
      <c r="D3736" s="3">
        <v>0.30214856896181602</v>
      </c>
      <c r="E3736" s="3">
        <v>6.2581803289136602</v>
      </c>
      <c r="F3736" s="4">
        <v>3.8949529735692602E-10</v>
      </c>
      <c r="G3736" s="4">
        <v>8.3956762682206198E-9</v>
      </c>
      <c r="H3736" s="3" t="str">
        <f>"ABCC3"</f>
        <v>ABCC3</v>
      </c>
      <c r="I3736" s="3" t="str">
        <f>"protein_coding"</f>
        <v>protein_coding</v>
      </c>
    </row>
    <row r="3737" spans="1:9" x14ac:dyDescent="0.2">
      <c r="A3737" s="3" t="str">
        <f>"ENSG00000173714.7"</f>
        <v>ENSG00000173714.7</v>
      </c>
      <c r="B3737" s="3">
        <v>4180.4314616319398</v>
      </c>
      <c r="C3737" s="3">
        <v>10.5318852306801</v>
      </c>
      <c r="D3737" s="3">
        <v>0.49386232267819102</v>
      </c>
      <c r="E3737" s="3">
        <v>21.325549140023799</v>
      </c>
      <c r="F3737" s="4">
        <v>6.5777136963615798E-101</v>
      </c>
      <c r="G3737" s="4">
        <v>1.10308258687984E-97</v>
      </c>
      <c r="H3737" s="3" t="str">
        <f>"WFIKKN2"</f>
        <v>WFIKKN2</v>
      </c>
      <c r="I3737" s="3" t="str">
        <f>"protein_coding"</f>
        <v>protein_coding</v>
      </c>
    </row>
    <row r="3738" spans="1:9" x14ac:dyDescent="0.2">
      <c r="A3738" s="3" t="str">
        <f>"ENSG00000247011.2"</f>
        <v>ENSG00000247011.2</v>
      </c>
      <c r="B3738" s="3">
        <v>97.262895914637994</v>
      </c>
      <c r="C3738" s="3">
        <v>1.77713577934863</v>
      </c>
      <c r="D3738" s="3">
        <v>0.41884261399182998</v>
      </c>
      <c r="E3738" s="3">
        <v>4.24296793110764</v>
      </c>
      <c r="F3738" s="4">
        <v>2.2058296696503999E-5</v>
      </c>
      <c r="G3738" s="3">
        <v>2.0915056667944099E-4</v>
      </c>
      <c r="H3738" s="3" t="str">
        <f>"AC005920.1"</f>
        <v>AC005920.1</v>
      </c>
      <c r="I3738" s="3" t="str">
        <f>"lincRNA"</f>
        <v>lincRNA</v>
      </c>
    </row>
    <row r="3739" spans="1:9" x14ac:dyDescent="0.2">
      <c r="A3739" s="3" t="str">
        <f>"ENSG00000214226.9"</f>
        <v>ENSG00000214226.9</v>
      </c>
      <c r="B3739" s="3">
        <v>124.742156846809</v>
      </c>
      <c r="C3739" s="3">
        <v>-1.0854904479055201</v>
      </c>
      <c r="D3739" s="3">
        <v>0.38845110526218901</v>
      </c>
      <c r="E3739" s="3">
        <v>-2.7944068975498499</v>
      </c>
      <c r="F3739" s="3">
        <v>5.1995010194457398E-3</v>
      </c>
      <c r="G3739" s="3">
        <v>2.4473205741241299E-2</v>
      </c>
      <c r="H3739" s="3" t="str">
        <f>"C17orf67"</f>
        <v>C17orf67</v>
      </c>
      <c r="I3739" s="3" t="str">
        <f>"protein_coding"</f>
        <v>protein_coding</v>
      </c>
    </row>
    <row r="3740" spans="1:9" x14ac:dyDescent="0.2">
      <c r="A3740" s="3" t="str">
        <f>"ENSG00000263120.1"</f>
        <v>ENSG00000263120.1</v>
      </c>
      <c r="B3740" s="3">
        <v>23.1361033230788</v>
      </c>
      <c r="C3740" s="3">
        <v>2.3844555743660498</v>
      </c>
      <c r="D3740" s="3">
        <v>0.76851253037515599</v>
      </c>
      <c r="E3740" s="3">
        <v>3.1026892602545599</v>
      </c>
      <c r="F3740" s="3">
        <v>1.91770883177728E-3</v>
      </c>
      <c r="G3740" s="3">
        <v>1.0576956238674299E-2</v>
      </c>
      <c r="H3740" s="3" t="str">
        <f>"AC004584.3"</f>
        <v>AC004584.3</v>
      </c>
      <c r="I3740" s="3" t="str">
        <f>"sense_intronic"</f>
        <v>sense_intronic</v>
      </c>
    </row>
    <row r="3741" spans="1:9" x14ac:dyDescent="0.2">
      <c r="A3741" s="3" t="str">
        <f>"ENSG00000279069.1"</f>
        <v>ENSG00000279069.1</v>
      </c>
      <c r="B3741" s="3">
        <v>230.40588659729801</v>
      </c>
      <c r="C3741" s="3">
        <v>-1.1156999672932399</v>
      </c>
      <c r="D3741" s="3">
        <v>0.334774388725607</v>
      </c>
      <c r="E3741" s="3">
        <v>-3.3326921200286601</v>
      </c>
      <c r="F3741" s="3">
        <v>8.6010064110505298E-4</v>
      </c>
      <c r="G3741" s="3">
        <v>5.3673608600837497E-3</v>
      </c>
      <c r="H3741" s="3" t="str">
        <f>"AC015813.5"</f>
        <v>AC015813.5</v>
      </c>
      <c r="I3741" s="3" t="str">
        <f>"TEC"</f>
        <v>TEC</v>
      </c>
    </row>
    <row r="3742" spans="1:9" x14ac:dyDescent="0.2">
      <c r="A3742" s="3" t="str">
        <f>"ENSG00000265148.5"</f>
        <v>ENSG00000265148.5</v>
      </c>
      <c r="B3742" s="3">
        <v>74.094422388020007</v>
      </c>
      <c r="C3742" s="3">
        <v>-2.0669669195265099</v>
      </c>
      <c r="D3742" s="3">
        <v>0.46135148020608202</v>
      </c>
      <c r="E3742" s="3">
        <v>-4.4802433897106102</v>
      </c>
      <c r="F3742" s="4">
        <v>7.4557969778117796E-6</v>
      </c>
      <c r="G3742" s="4">
        <v>7.9001926275002295E-5</v>
      </c>
      <c r="H3742" s="3" t="str">
        <f>"TSPOAP1-AS1"</f>
        <v>TSPOAP1-AS1</v>
      </c>
      <c r="I3742" s="3" t="str">
        <f>"antisense"</f>
        <v>antisense</v>
      </c>
    </row>
    <row r="3743" spans="1:9" x14ac:dyDescent="0.2">
      <c r="A3743" s="3" t="str">
        <f>"ENSG00000264672.5"</f>
        <v>ENSG00000264672.5</v>
      </c>
      <c r="B3743" s="3">
        <v>25.268391685080498</v>
      </c>
      <c r="C3743" s="3">
        <v>5.1208514816982502</v>
      </c>
      <c r="D3743" s="3">
        <v>1.05422146505823</v>
      </c>
      <c r="E3743" s="3">
        <v>4.8574722213756001</v>
      </c>
      <c r="F3743" s="4">
        <v>1.1889381090411201E-6</v>
      </c>
      <c r="G3743" s="4">
        <v>1.45891405526485E-5</v>
      </c>
      <c r="H3743" s="3" t="str">
        <f>"SEPT4-AS1"</f>
        <v>SEPT4-AS1</v>
      </c>
      <c r="I3743" s="3" t="str">
        <f>"antisense"</f>
        <v>antisense</v>
      </c>
    </row>
    <row r="3744" spans="1:9" x14ac:dyDescent="0.2">
      <c r="A3744" s="3" t="str">
        <f>"ENSG00000108387.14"</f>
        <v>ENSG00000108387.14</v>
      </c>
      <c r="B3744" s="3">
        <v>108.744055112632</v>
      </c>
      <c r="C3744" s="3">
        <v>1.7342488002412499</v>
      </c>
      <c r="D3744" s="3">
        <v>0.39178154416122901</v>
      </c>
      <c r="E3744" s="3">
        <v>4.4265709451784696</v>
      </c>
      <c r="F3744" s="4">
        <v>9.5742902570109298E-6</v>
      </c>
      <c r="G3744" s="4">
        <v>9.8382872310093903E-5</v>
      </c>
      <c r="H3744" s="3" t="str">
        <f>"SEPT4"</f>
        <v>SEPT4</v>
      </c>
      <c r="I3744" s="3" t="str">
        <f>"protein_coding"</f>
        <v>protein_coding</v>
      </c>
    </row>
    <row r="3745" spans="1:9" x14ac:dyDescent="0.2">
      <c r="A3745" s="3" t="str">
        <f>"ENSG00000108384.15"</f>
        <v>ENSG00000108384.15</v>
      </c>
      <c r="B3745" s="3">
        <v>3332.0360549141701</v>
      </c>
      <c r="C3745" s="3">
        <v>1.9330721023034101</v>
      </c>
      <c r="D3745" s="3">
        <v>0.25248889776550998</v>
      </c>
      <c r="E3745" s="3">
        <v>7.6560677297529702</v>
      </c>
      <c r="F3745" s="4">
        <v>1.9171264375724801E-14</v>
      </c>
      <c r="G3745" s="4">
        <v>6.5523526545021199E-13</v>
      </c>
      <c r="H3745" s="3" t="str">
        <f>"RAD51C"</f>
        <v>RAD51C</v>
      </c>
      <c r="I3745" s="3" t="str">
        <f>"protein_coding"</f>
        <v>protein_coding</v>
      </c>
    </row>
    <row r="3746" spans="1:9" x14ac:dyDescent="0.2">
      <c r="A3746" s="3" t="str">
        <f>"ENSG00000224738.1"</f>
        <v>ENSG00000224738.1</v>
      </c>
      <c r="B3746" s="3">
        <v>40.526289284484001</v>
      </c>
      <c r="C3746" s="3">
        <v>-2.4752933229471998</v>
      </c>
      <c r="D3746" s="3">
        <v>0.604773595674435</v>
      </c>
      <c r="E3746" s="3">
        <v>-4.0929255851303896</v>
      </c>
      <c r="F3746" s="4">
        <v>4.2596445392483003E-5</v>
      </c>
      <c r="G3746" s="3">
        <v>3.7956556282249797E-4</v>
      </c>
      <c r="H3746" s="3" t="str">
        <f>"AC099850.1"</f>
        <v>AC099850.1</v>
      </c>
      <c r="I3746" s="3" t="str">
        <f>"antisense"</f>
        <v>antisense</v>
      </c>
    </row>
    <row r="3747" spans="1:9" x14ac:dyDescent="0.2">
      <c r="A3747" s="3" t="str">
        <f>"ENSG00000175155.9"</f>
        <v>ENSG00000175155.9</v>
      </c>
      <c r="B3747" s="3">
        <v>544.07594945829101</v>
      </c>
      <c r="C3747" s="3">
        <v>-1.2534799906731999</v>
      </c>
      <c r="D3747" s="3">
        <v>0.31010587514941401</v>
      </c>
      <c r="E3747" s="3">
        <v>-4.0421033302553599</v>
      </c>
      <c r="F3747" s="4">
        <v>5.2973877835178797E-5</v>
      </c>
      <c r="G3747" s="3">
        <v>4.6253311244148602E-4</v>
      </c>
      <c r="H3747" s="3" t="str">
        <f>"YPEL2"</f>
        <v>YPEL2</v>
      </c>
      <c r="I3747" s="3" t="str">
        <f>"protein_coding"</f>
        <v>protein_coding</v>
      </c>
    </row>
    <row r="3748" spans="1:9" x14ac:dyDescent="0.2">
      <c r="A3748" s="3" t="str">
        <f>"ENSG00000267248.2"</f>
        <v>ENSG00000267248.2</v>
      </c>
      <c r="B3748" s="3">
        <v>66.883478716108399</v>
      </c>
      <c r="C3748" s="3">
        <v>-1.7777775958223001</v>
      </c>
      <c r="D3748" s="3">
        <v>0.48895752488685801</v>
      </c>
      <c r="E3748" s="3">
        <v>-3.6358528202090001</v>
      </c>
      <c r="F3748" s="3">
        <v>2.7706249517933602E-4</v>
      </c>
      <c r="G3748" s="3">
        <v>1.9958496753253699E-3</v>
      </c>
      <c r="H3748" s="3" t="str">
        <f>"AC025048.2"</f>
        <v>AC025048.2</v>
      </c>
      <c r="I3748" s="3" t="str">
        <f>"processed_transcript"</f>
        <v>processed_transcript</v>
      </c>
    </row>
    <row r="3749" spans="1:9" x14ac:dyDescent="0.2">
      <c r="A3749" s="3" t="str">
        <f>"ENSG00000259349.1"</f>
        <v>ENSG00000259349.1</v>
      </c>
      <c r="B3749" s="3">
        <v>70.366395345258397</v>
      </c>
      <c r="C3749" s="3">
        <v>1.6323214954071401</v>
      </c>
      <c r="D3749" s="3">
        <v>0.46363623953396998</v>
      </c>
      <c r="E3749" s="3">
        <v>3.5206943638570798</v>
      </c>
      <c r="F3749" s="3">
        <v>4.3041841873312701E-4</v>
      </c>
      <c r="G3749" s="3">
        <v>2.9389726718870302E-3</v>
      </c>
      <c r="H3749" s="3" t="str">
        <f>"AC011921.1"</f>
        <v>AC011921.1</v>
      </c>
      <c r="I3749" s="3" t="str">
        <f>"antisense"</f>
        <v>antisense</v>
      </c>
    </row>
    <row r="3750" spans="1:9" x14ac:dyDescent="0.2">
      <c r="A3750" s="3" t="str">
        <f>"ENSG00000170836.11"</f>
        <v>ENSG00000170836.11</v>
      </c>
      <c r="B3750" s="3">
        <v>3174.0105612254602</v>
      </c>
      <c r="C3750" s="3">
        <v>2.4397255619011302</v>
      </c>
      <c r="D3750" s="3">
        <v>0.246809606733875</v>
      </c>
      <c r="E3750" s="3">
        <v>9.8850510488102099</v>
      </c>
      <c r="F3750" s="4">
        <v>4.8333539316465399E-23</v>
      </c>
      <c r="G3750" s="4">
        <v>3.19115533203593E-21</v>
      </c>
      <c r="H3750" s="3" t="str">
        <f>"PPM1D"</f>
        <v>PPM1D</v>
      </c>
      <c r="I3750" s="3" t="str">
        <f>"protein_coding"</f>
        <v>protein_coding</v>
      </c>
    </row>
    <row r="3751" spans="1:9" x14ac:dyDescent="0.2">
      <c r="A3751" s="3" t="str">
        <f>"ENSG00000187013.4"</f>
        <v>ENSG00000187013.4</v>
      </c>
      <c r="B3751" s="3">
        <v>31.770598335215201</v>
      </c>
      <c r="C3751" s="3">
        <v>2.6766060221811898</v>
      </c>
      <c r="D3751" s="3">
        <v>0.67026740432419996</v>
      </c>
      <c r="E3751" s="3">
        <v>3.9933405755869802</v>
      </c>
      <c r="F3751" s="4">
        <v>6.5148887354272398E-5</v>
      </c>
      <c r="G3751" s="3">
        <v>5.5572067188766399E-4</v>
      </c>
      <c r="H3751" s="3" t="str">
        <f>"C17orf82"</f>
        <v>C17orf82</v>
      </c>
      <c r="I3751" s="3" t="str">
        <f>"lincRNA"</f>
        <v>lincRNA</v>
      </c>
    </row>
    <row r="3752" spans="1:9" x14ac:dyDescent="0.2">
      <c r="A3752" s="3" t="str">
        <f>"ENSG00000121075.10"</f>
        <v>ENSG00000121075.10</v>
      </c>
      <c r="B3752" s="3">
        <v>33.743817257523801</v>
      </c>
      <c r="C3752" s="3">
        <v>-1.89145944697599</v>
      </c>
      <c r="D3752" s="3">
        <v>0.63003801276544702</v>
      </c>
      <c r="E3752" s="3">
        <v>-3.0021354404851599</v>
      </c>
      <c r="F3752" s="3">
        <v>2.6809286803646201E-3</v>
      </c>
      <c r="G3752" s="3">
        <v>1.4014705102778901E-2</v>
      </c>
      <c r="H3752" s="3" t="str">
        <f>"TBX4"</f>
        <v>TBX4</v>
      </c>
      <c r="I3752" s="3" t="str">
        <f t="shared" ref="I3752:I3758" si="154">"protein_coding"</f>
        <v>protein_coding</v>
      </c>
    </row>
    <row r="3753" spans="1:9" x14ac:dyDescent="0.2">
      <c r="A3753" s="3" t="str">
        <f>"ENSG00000011028.14"</f>
        <v>ENSG00000011028.14</v>
      </c>
      <c r="B3753" s="3">
        <v>246.78464217717899</v>
      </c>
      <c r="C3753" s="3">
        <v>4.54294880966901</v>
      </c>
      <c r="D3753" s="3">
        <v>0.37555157458437899</v>
      </c>
      <c r="E3753" s="3">
        <v>12.096737484582899</v>
      </c>
      <c r="F3753" s="4">
        <v>1.09892367368451E-33</v>
      </c>
      <c r="G3753" s="4">
        <v>1.3101149294565801E-31</v>
      </c>
      <c r="H3753" s="3" t="str">
        <f>"AC080038.1"</f>
        <v>AC080038.1</v>
      </c>
      <c r="I3753" s="3" t="str">
        <f t="shared" si="154"/>
        <v>protein_coding</v>
      </c>
    </row>
    <row r="3754" spans="1:9" x14ac:dyDescent="0.2">
      <c r="A3754" s="3" t="str">
        <f>"ENSG00000008283.16"</f>
        <v>ENSG00000008283.16</v>
      </c>
      <c r="B3754" s="3">
        <v>307.19603411785101</v>
      </c>
      <c r="C3754" s="3">
        <v>-1.52542141266488</v>
      </c>
      <c r="D3754" s="3">
        <v>0.30680467440418802</v>
      </c>
      <c r="E3754" s="3">
        <v>-4.9719627500044803</v>
      </c>
      <c r="F3754" s="4">
        <v>6.62784420158177E-7</v>
      </c>
      <c r="G3754" s="4">
        <v>8.5984229443419005E-6</v>
      </c>
      <c r="H3754" s="3" t="str">
        <f>"CYB561"</f>
        <v>CYB561</v>
      </c>
      <c r="I3754" s="3" t="str">
        <f t="shared" si="154"/>
        <v>protein_coding</v>
      </c>
    </row>
    <row r="3755" spans="1:9" x14ac:dyDescent="0.2">
      <c r="A3755" s="3" t="str">
        <f>"ENSG00000266173.7"</f>
        <v>ENSG00000266173.7</v>
      </c>
      <c r="B3755" s="3">
        <v>481.60175072290298</v>
      </c>
      <c r="C3755" s="3">
        <v>1.5646579190193199</v>
      </c>
      <c r="D3755" s="3">
        <v>0.28649578578227097</v>
      </c>
      <c r="E3755" s="3">
        <v>5.4613645179703099</v>
      </c>
      <c r="F3755" s="4">
        <v>4.7248875927136401E-8</v>
      </c>
      <c r="G3755" s="4">
        <v>7.4423636440019797E-7</v>
      </c>
      <c r="H3755" s="3" t="str">
        <f>"STRADA"</f>
        <v>STRADA</v>
      </c>
      <c r="I3755" s="3" t="str">
        <f t="shared" si="154"/>
        <v>protein_coding</v>
      </c>
    </row>
    <row r="3756" spans="1:9" x14ac:dyDescent="0.2">
      <c r="A3756" s="3" t="str">
        <f>"ENSG00000136487.18"</f>
        <v>ENSG00000136487.18</v>
      </c>
      <c r="B3756" s="3">
        <v>33.621865686131102</v>
      </c>
      <c r="C3756" s="3">
        <v>8.5889514643510196</v>
      </c>
      <c r="D3756" s="3">
        <v>1.5571450248565499</v>
      </c>
      <c r="E3756" s="3">
        <v>5.5158327113059098</v>
      </c>
      <c r="F3756" s="4">
        <v>3.4713234493308703E-8</v>
      </c>
      <c r="G3756" s="4">
        <v>5.5939232138320298E-7</v>
      </c>
      <c r="H3756" s="3" t="str">
        <f>"GH2"</f>
        <v>GH2</v>
      </c>
      <c r="I3756" s="3" t="str">
        <f t="shared" si="154"/>
        <v>protein_coding</v>
      </c>
    </row>
    <row r="3757" spans="1:9" x14ac:dyDescent="0.2">
      <c r="A3757" s="3" t="str">
        <f>"ENSG00000007312.12"</f>
        <v>ENSG00000007312.12</v>
      </c>
      <c r="B3757" s="3">
        <v>53.489361861343703</v>
      </c>
      <c r="C3757" s="3">
        <v>3.5424205885356601</v>
      </c>
      <c r="D3757" s="3">
        <v>0.58725334698903298</v>
      </c>
      <c r="E3757" s="3">
        <v>6.0321845872796898</v>
      </c>
      <c r="F3757" s="4">
        <v>1.61757854879807E-9</v>
      </c>
      <c r="G3757" s="4">
        <v>3.1938923386982398E-8</v>
      </c>
      <c r="H3757" s="3" t="str">
        <f>"CD79B"</f>
        <v>CD79B</v>
      </c>
      <c r="I3757" s="3" t="str">
        <f t="shared" si="154"/>
        <v>protein_coding</v>
      </c>
    </row>
    <row r="3758" spans="1:9" x14ac:dyDescent="0.2">
      <c r="A3758" s="3" t="str">
        <f>"ENSG00000007314.12"</f>
        <v>ENSG00000007314.12</v>
      </c>
      <c r="B3758" s="3">
        <v>43.189305755146698</v>
      </c>
      <c r="C3758" s="3">
        <v>2.3269012995521101</v>
      </c>
      <c r="D3758" s="3">
        <v>0.57740217153058904</v>
      </c>
      <c r="E3758" s="3">
        <v>4.0299489927166698</v>
      </c>
      <c r="F3758" s="4">
        <v>5.5788957476221099E-5</v>
      </c>
      <c r="G3758" s="3">
        <v>4.8425508119887602E-4</v>
      </c>
      <c r="H3758" s="3" t="str">
        <f>"SCN4A"</f>
        <v>SCN4A</v>
      </c>
      <c r="I3758" s="3" t="str">
        <f t="shared" si="154"/>
        <v>protein_coding</v>
      </c>
    </row>
    <row r="3759" spans="1:9" x14ac:dyDescent="0.2">
      <c r="A3759" s="3" t="str">
        <f>"ENSG00000263489.1"</f>
        <v>ENSG00000263489.1</v>
      </c>
      <c r="B3759" s="3">
        <v>4.2293041744426798</v>
      </c>
      <c r="C3759" s="3">
        <v>5.5958574028861001</v>
      </c>
      <c r="D3759" s="3">
        <v>2.1123594452672698</v>
      </c>
      <c r="E3759" s="3">
        <v>2.64910283873495</v>
      </c>
      <c r="F3759" s="3">
        <v>8.0705769184657699E-3</v>
      </c>
      <c r="G3759" s="3">
        <v>3.5293864445256097E-2</v>
      </c>
      <c r="H3759" s="3" t="str">
        <f>"AC127029.2"</f>
        <v>AC127029.2</v>
      </c>
      <c r="I3759" s="3" t="str">
        <f>"lincRNA"</f>
        <v>lincRNA</v>
      </c>
    </row>
    <row r="3760" spans="1:9" x14ac:dyDescent="0.2">
      <c r="A3760" s="3" t="str">
        <f>"ENSG00000108622.11"</f>
        <v>ENSG00000108622.11</v>
      </c>
      <c r="B3760" s="3">
        <v>413.197199463684</v>
      </c>
      <c r="C3760" s="3">
        <v>-1.86286457066339</v>
      </c>
      <c r="D3760" s="3">
        <v>0.32443763038957901</v>
      </c>
      <c r="E3760" s="3">
        <v>-5.7418264596079496</v>
      </c>
      <c r="F3760" s="4">
        <v>9.3660782203063305E-9</v>
      </c>
      <c r="G3760" s="4">
        <v>1.65568304730714E-7</v>
      </c>
      <c r="H3760" s="3" t="str">
        <f>"ICAM2"</f>
        <v>ICAM2</v>
      </c>
      <c r="I3760" s="3" t="str">
        <f>"protein_coding"</f>
        <v>protein_coding</v>
      </c>
    </row>
    <row r="3761" spans="1:9" x14ac:dyDescent="0.2">
      <c r="A3761" s="3" t="str">
        <f>"ENSG00000266402.3"</f>
        <v>ENSG00000266402.3</v>
      </c>
      <c r="B3761" s="3">
        <v>46.710642320324901</v>
      </c>
      <c r="C3761" s="3">
        <v>-1.65271517499606</v>
      </c>
      <c r="D3761" s="3">
        <v>0.56550288180783703</v>
      </c>
      <c r="E3761" s="3">
        <v>-2.9225583602908398</v>
      </c>
      <c r="F3761" s="3">
        <v>3.4716855356065001E-3</v>
      </c>
      <c r="G3761" s="3">
        <v>1.7504559961551699E-2</v>
      </c>
      <c r="H3761" s="3" t="str">
        <f>"SNHG25"</f>
        <v>SNHG25</v>
      </c>
      <c r="I3761" s="3" t="str">
        <f>"lincRNA"</f>
        <v>lincRNA</v>
      </c>
    </row>
    <row r="3762" spans="1:9" x14ac:dyDescent="0.2">
      <c r="A3762" s="3" t="str">
        <f>"ENSG00000258890.7"</f>
        <v>ENSG00000258890.7</v>
      </c>
      <c r="B3762" s="3">
        <v>3511.8181568670502</v>
      </c>
      <c r="C3762" s="3">
        <v>1.14384378561156</v>
      </c>
      <c r="D3762" s="3">
        <v>0.27574502185723199</v>
      </c>
      <c r="E3762" s="3">
        <v>4.1481937839073098</v>
      </c>
      <c r="F3762" s="4">
        <v>3.3510869309969898E-5</v>
      </c>
      <c r="G3762" s="3">
        <v>3.0653306090628799E-4</v>
      </c>
      <c r="H3762" s="3" t="str">
        <f>"CEP95"</f>
        <v>CEP95</v>
      </c>
      <c r="I3762" s="3" t="str">
        <f>"protein_coding"</f>
        <v>protein_coding</v>
      </c>
    </row>
    <row r="3763" spans="1:9" x14ac:dyDescent="0.2">
      <c r="A3763" s="3" t="str">
        <f>"ENSG00000108854.16"</f>
        <v>ENSG00000108854.16</v>
      </c>
      <c r="B3763" s="3">
        <v>1961.4335643484501</v>
      </c>
      <c r="C3763" s="3">
        <v>1.1466277976844901</v>
      </c>
      <c r="D3763" s="3">
        <v>0.25781846820102899</v>
      </c>
      <c r="E3763" s="3">
        <v>4.4474230480278596</v>
      </c>
      <c r="F3763" s="4">
        <v>8.6906576677827393E-6</v>
      </c>
      <c r="G3763" s="4">
        <v>9.0373498814830502E-5</v>
      </c>
      <c r="H3763" s="3" t="str">
        <f>"SMURF2"</f>
        <v>SMURF2</v>
      </c>
      <c r="I3763" s="3" t="str">
        <f>"protein_coding"</f>
        <v>protein_coding</v>
      </c>
    </row>
    <row r="3764" spans="1:9" x14ac:dyDescent="0.2">
      <c r="A3764" s="3" t="str">
        <f>"ENSG00000214174.8"</f>
        <v>ENSG00000214174.8</v>
      </c>
      <c r="B3764" s="3">
        <v>318.74048473966599</v>
      </c>
      <c r="C3764" s="3">
        <v>2.1651920467324302</v>
      </c>
      <c r="D3764" s="3">
        <v>0.39639068644979902</v>
      </c>
      <c r="E3764" s="3">
        <v>5.4622677089731297</v>
      </c>
      <c r="F3764" s="4">
        <v>4.70090444236584E-8</v>
      </c>
      <c r="G3764" s="4">
        <v>7.4092262686536802E-7</v>
      </c>
      <c r="H3764" s="3" t="str">
        <f>"AMZ2P1"</f>
        <v>AMZ2P1</v>
      </c>
      <c r="I3764" s="3" t="str">
        <f>"transcribed_unprocessed_pseudogene"</f>
        <v>transcribed_unprocessed_pseudogene</v>
      </c>
    </row>
    <row r="3765" spans="1:9" x14ac:dyDescent="0.2">
      <c r="A3765" s="3" t="str">
        <f>"ENSG00000091583.11"</f>
        <v>ENSG00000091583.11</v>
      </c>
      <c r="B3765" s="3">
        <v>14788.4981538827</v>
      </c>
      <c r="C3765" s="3">
        <v>-2.0399492419133098</v>
      </c>
      <c r="D3765" s="3">
        <v>0.28547801708658799</v>
      </c>
      <c r="E3765" s="3">
        <v>-7.1457314392602402</v>
      </c>
      <c r="F3765" s="4">
        <v>8.9517926061870503E-13</v>
      </c>
      <c r="G3765" s="4">
        <v>2.5823663189063699E-11</v>
      </c>
      <c r="H3765" s="3" t="str">
        <f>"APOH"</f>
        <v>APOH</v>
      </c>
      <c r="I3765" s="3" t="str">
        <f>"protein_coding"</f>
        <v>protein_coding</v>
      </c>
    </row>
    <row r="3766" spans="1:9" x14ac:dyDescent="0.2">
      <c r="A3766" s="3" t="str">
        <f>"ENSG00000108878.5"</f>
        <v>ENSG00000108878.5</v>
      </c>
      <c r="B3766" s="3">
        <v>26.751558332637199</v>
      </c>
      <c r="C3766" s="3">
        <v>4.4239182486458297</v>
      </c>
      <c r="D3766" s="3">
        <v>0.89869169413455496</v>
      </c>
      <c r="E3766" s="3">
        <v>4.9226206022812802</v>
      </c>
      <c r="F3766" s="4">
        <v>8.53929058704408E-7</v>
      </c>
      <c r="G3766" s="4">
        <v>1.08105613848563E-5</v>
      </c>
      <c r="H3766" s="3" t="str">
        <f>"CACNG1"</f>
        <v>CACNG1</v>
      </c>
      <c r="I3766" s="3" t="str">
        <f>"protein_coding"</f>
        <v>protein_coding</v>
      </c>
    </row>
    <row r="3767" spans="1:9" x14ac:dyDescent="0.2">
      <c r="A3767" s="3" t="str">
        <f>"ENSG00000154217.15"</f>
        <v>ENSG00000154217.15</v>
      </c>
      <c r="B3767" s="3">
        <v>375.12864406731399</v>
      </c>
      <c r="C3767" s="3">
        <v>1.88688290329284</v>
      </c>
      <c r="D3767" s="3">
        <v>0.28948441692252003</v>
      </c>
      <c r="E3767" s="3">
        <v>6.51808108827447</v>
      </c>
      <c r="F3767" s="4">
        <v>7.12124951926342E-11</v>
      </c>
      <c r="G3767" s="4">
        <v>1.6617349875424099E-9</v>
      </c>
      <c r="H3767" s="3" t="str">
        <f>"PITPNC1"</f>
        <v>PITPNC1</v>
      </c>
      <c r="I3767" s="3" t="str">
        <f>"protein_coding"</f>
        <v>protein_coding</v>
      </c>
    </row>
    <row r="3768" spans="1:9" x14ac:dyDescent="0.2">
      <c r="A3768" s="3" t="str">
        <f>"ENSG00000279917.1"</f>
        <v>ENSG00000279917.1</v>
      </c>
      <c r="B3768" s="3">
        <v>16.411779274359301</v>
      </c>
      <c r="C3768" s="3">
        <v>3.1604534804568698</v>
      </c>
      <c r="D3768" s="3">
        <v>0.94005684490212105</v>
      </c>
      <c r="E3768" s="3">
        <v>3.36198124357675</v>
      </c>
      <c r="F3768" s="3">
        <v>7.7385379883421603E-4</v>
      </c>
      <c r="G3768" s="3">
        <v>4.9045836003211597E-3</v>
      </c>
      <c r="H3768" s="3" t="str">
        <f>"AC079331.2"</f>
        <v>AC079331.2</v>
      </c>
      <c r="I3768" s="3" t="str">
        <f>"TEC"</f>
        <v>TEC</v>
      </c>
    </row>
    <row r="3769" spans="1:9" x14ac:dyDescent="0.2">
      <c r="A3769" s="3" t="str">
        <f>"ENSG00000237854.3"</f>
        <v>ENSG00000237854.3</v>
      </c>
      <c r="B3769" s="3">
        <v>241.65553872111099</v>
      </c>
      <c r="C3769" s="3">
        <v>1.16923551521364</v>
      </c>
      <c r="D3769" s="3">
        <v>0.31404831015246398</v>
      </c>
      <c r="E3769" s="3">
        <v>3.7231071698682299</v>
      </c>
      <c r="F3769" s="3">
        <v>1.9678594103102201E-4</v>
      </c>
      <c r="G3769" s="3">
        <v>1.47106993956474E-3</v>
      </c>
      <c r="H3769" s="3" t="str">
        <f>"LINC00674"</f>
        <v>LINC00674</v>
      </c>
      <c r="I3769" s="3" t="str">
        <f>"transcribed_unprocessed_pseudogene"</f>
        <v>transcribed_unprocessed_pseudogene</v>
      </c>
    </row>
    <row r="3770" spans="1:9" x14ac:dyDescent="0.2">
      <c r="A3770" s="3" t="str">
        <f>"ENSG00000278730.1"</f>
        <v>ENSG00000278730.1</v>
      </c>
      <c r="B3770" s="3">
        <v>1507.5834070624601</v>
      </c>
      <c r="C3770" s="3">
        <v>1.12143558601667</v>
      </c>
      <c r="D3770" s="3">
        <v>0.25021988429179198</v>
      </c>
      <c r="E3770" s="3">
        <v>4.4818004340091298</v>
      </c>
      <c r="F3770" s="4">
        <v>7.4015942200143701E-6</v>
      </c>
      <c r="G3770" s="4">
        <v>7.8593120559080295E-5</v>
      </c>
      <c r="H3770" s="3" t="str">
        <f>"AC005332.6"</f>
        <v>AC005332.6</v>
      </c>
      <c r="I3770" s="3" t="str">
        <f>"lincRNA"</f>
        <v>lincRNA</v>
      </c>
    </row>
    <row r="3771" spans="1:9" x14ac:dyDescent="0.2">
      <c r="A3771" s="3" t="str">
        <f>"ENSG00000274561.1"</f>
        <v>ENSG00000274561.1</v>
      </c>
      <c r="B3771" s="3">
        <v>130.418175499668</v>
      </c>
      <c r="C3771" s="3">
        <v>1.32777349694852</v>
      </c>
      <c r="D3771" s="3">
        <v>0.42684736094194098</v>
      </c>
      <c r="E3771" s="3">
        <v>3.1106517655830501</v>
      </c>
      <c r="F3771" s="3">
        <v>1.86674941161079E-3</v>
      </c>
      <c r="G3771" s="3">
        <v>1.0331811099905301E-2</v>
      </c>
      <c r="H3771" s="3" t="str">
        <f>"AC005332.3"</f>
        <v>AC005332.3</v>
      </c>
      <c r="I3771" s="3" t="str">
        <f>"lincRNA"</f>
        <v>lincRNA</v>
      </c>
    </row>
    <row r="3772" spans="1:9" x14ac:dyDescent="0.2">
      <c r="A3772" s="3" t="str">
        <f>"ENSG00000267472.1"</f>
        <v>ENSG00000267472.1</v>
      </c>
      <c r="B3772" s="3">
        <v>29.716680547399399</v>
      </c>
      <c r="C3772" s="3">
        <v>6.9540604960723202</v>
      </c>
      <c r="D3772" s="3">
        <v>1.53861760610039</v>
      </c>
      <c r="E3772" s="3">
        <v>4.5196808281021097</v>
      </c>
      <c r="F3772" s="4">
        <v>6.1932929525476004E-6</v>
      </c>
      <c r="G3772" s="4">
        <v>6.67204643346187E-5</v>
      </c>
      <c r="H3772" s="3" t="str">
        <f>"ARHGAP27P2"</f>
        <v>ARHGAP27P2</v>
      </c>
      <c r="I3772" s="3" t="str">
        <f>"processed_pseudogene"</f>
        <v>processed_pseudogene</v>
      </c>
    </row>
    <row r="3773" spans="1:9" x14ac:dyDescent="0.2">
      <c r="A3773" s="3" t="str">
        <f>"ENSG00000274712.1"</f>
        <v>ENSG00000274712.1</v>
      </c>
      <c r="B3773" s="3">
        <v>271.85571631840003</v>
      </c>
      <c r="C3773" s="3">
        <v>-1.1751398756771401</v>
      </c>
      <c r="D3773" s="3">
        <v>0.30665779500724799</v>
      </c>
      <c r="E3773" s="3">
        <v>-3.8320887152057099</v>
      </c>
      <c r="F3773" s="3">
        <v>1.2705990136367901E-4</v>
      </c>
      <c r="G3773" s="3">
        <v>1.0035139148519201E-3</v>
      </c>
      <c r="H3773" s="3" t="str">
        <f>"AC005332.4"</f>
        <v>AC005332.4</v>
      </c>
      <c r="I3773" s="3" t="str">
        <f>"lincRNA"</f>
        <v>lincRNA</v>
      </c>
    </row>
    <row r="3774" spans="1:9" x14ac:dyDescent="0.2">
      <c r="A3774" s="3" t="str">
        <f>"ENSG00000196704.12"</f>
        <v>ENSG00000196704.12</v>
      </c>
      <c r="B3774" s="3">
        <v>2260.46966047571</v>
      </c>
      <c r="C3774" s="3">
        <v>1.6704305050693899</v>
      </c>
      <c r="D3774" s="3">
        <v>0.29494151445082101</v>
      </c>
      <c r="E3774" s="3">
        <v>5.6635991314404004</v>
      </c>
      <c r="F3774" s="4">
        <v>1.4823047056763699E-8</v>
      </c>
      <c r="G3774" s="4">
        <v>2.5539297857047401E-7</v>
      </c>
      <c r="H3774" s="3" t="str">
        <f>"AMZ2"</f>
        <v>AMZ2</v>
      </c>
      <c r="I3774" s="3" t="str">
        <f t="shared" ref="I3774:I3779" si="155">"protein_coding"</f>
        <v>protein_coding</v>
      </c>
    </row>
    <row r="3775" spans="1:9" x14ac:dyDescent="0.2">
      <c r="A3775" s="3" t="str">
        <f>"ENSG00000108946.14"</f>
        <v>ENSG00000108946.14</v>
      </c>
      <c r="B3775" s="3">
        <v>18815.833657006999</v>
      </c>
      <c r="C3775" s="3">
        <v>-1.4746287394942601</v>
      </c>
      <c r="D3775" s="3">
        <v>0.23479067088237299</v>
      </c>
      <c r="E3775" s="3">
        <v>-6.2806104431339698</v>
      </c>
      <c r="F3775" s="4">
        <v>3.3724620529763902E-10</v>
      </c>
      <c r="G3775" s="4">
        <v>7.3070011147821701E-9</v>
      </c>
      <c r="H3775" s="3" t="str">
        <f>"PRKAR1A"</f>
        <v>PRKAR1A</v>
      </c>
      <c r="I3775" s="3" t="str">
        <f t="shared" si="155"/>
        <v>protein_coding</v>
      </c>
    </row>
    <row r="3776" spans="1:9" x14ac:dyDescent="0.2">
      <c r="A3776" s="3" t="str">
        <f>"ENSG00000108950.12"</f>
        <v>ENSG00000108950.12</v>
      </c>
      <c r="B3776" s="3">
        <v>245.339445371295</v>
      </c>
      <c r="C3776" s="3">
        <v>-4.6094397782222298</v>
      </c>
      <c r="D3776" s="3">
        <v>0.40559708405127398</v>
      </c>
      <c r="E3776" s="3">
        <v>-11.3645781971143</v>
      </c>
      <c r="F3776" s="4">
        <v>6.2766915894957703E-30</v>
      </c>
      <c r="G3776" s="4">
        <v>6.44449701770474E-28</v>
      </c>
      <c r="H3776" s="3" t="str">
        <f>"FAM20A"</f>
        <v>FAM20A</v>
      </c>
      <c r="I3776" s="3" t="str">
        <f t="shared" si="155"/>
        <v>protein_coding</v>
      </c>
    </row>
    <row r="3777" spans="1:9" x14ac:dyDescent="0.2">
      <c r="A3777" s="3" t="str">
        <f>"ENSG00000154265.16"</f>
        <v>ENSG00000154265.16</v>
      </c>
      <c r="B3777" s="3">
        <v>1908.80006426299</v>
      </c>
      <c r="C3777" s="3">
        <v>1.86810049129322</v>
      </c>
      <c r="D3777" s="3">
        <v>0.25830750320738799</v>
      </c>
      <c r="E3777" s="3">
        <v>7.2320798586844397</v>
      </c>
      <c r="F3777" s="4">
        <v>4.7565234070260901E-13</v>
      </c>
      <c r="G3777" s="4">
        <v>1.4278084284456001E-11</v>
      </c>
      <c r="H3777" s="3" t="str">
        <f>"ABCA5"</f>
        <v>ABCA5</v>
      </c>
      <c r="I3777" s="3" t="str">
        <f t="shared" si="155"/>
        <v>protein_coding</v>
      </c>
    </row>
    <row r="3778" spans="1:9" x14ac:dyDescent="0.2">
      <c r="A3778" s="3" t="str">
        <f>"ENSG00000108984.15"</f>
        <v>ENSG00000108984.15</v>
      </c>
      <c r="B3778" s="3">
        <v>374.59729795684598</v>
      </c>
      <c r="C3778" s="3">
        <v>-1.11936240602146</v>
      </c>
      <c r="D3778" s="3">
        <v>0.28678357576809599</v>
      </c>
      <c r="E3778" s="3">
        <v>-3.9031607825638601</v>
      </c>
      <c r="F3778" s="4">
        <v>9.4944585138779096E-5</v>
      </c>
      <c r="G3778" s="3">
        <v>7.75408210234556E-4</v>
      </c>
      <c r="H3778" s="3" t="str">
        <f>"MAP2K6"</f>
        <v>MAP2K6</v>
      </c>
      <c r="I3778" s="3" t="str">
        <f t="shared" si="155"/>
        <v>protein_coding</v>
      </c>
    </row>
    <row r="3779" spans="1:9" x14ac:dyDescent="0.2">
      <c r="A3779" s="3" t="str">
        <f>"ENSG00000180616.9"</f>
        <v>ENSG00000180616.9</v>
      </c>
      <c r="B3779" s="3">
        <v>32.061912979932401</v>
      </c>
      <c r="C3779" s="3">
        <v>-1.64016411801943</v>
      </c>
      <c r="D3779" s="3">
        <v>0.62738517843424502</v>
      </c>
      <c r="E3779" s="3">
        <v>-2.61428572812759</v>
      </c>
      <c r="F3779" s="3">
        <v>8.9414225665320098E-3</v>
      </c>
      <c r="G3779" s="3">
        <v>3.8531153802201699E-2</v>
      </c>
      <c r="H3779" s="3" t="str">
        <f>"SSTR2"</f>
        <v>SSTR2</v>
      </c>
      <c r="I3779" s="3" t="str">
        <f t="shared" si="155"/>
        <v>protein_coding</v>
      </c>
    </row>
    <row r="3780" spans="1:9" x14ac:dyDescent="0.2">
      <c r="A3780" s="3" t="str">
        <f>"ENSG00000277728.1"</f>
        <v>ENSG00000277728.1</v>
      </c>
      <c r="B3780" s="3">
        <v>459.71384168602998</v>
      </c>
      <c r="C3780" s="3">
        <v>4.6891737507622304</v>
      </c>
      <c r="D3780" s="3">
        <v>0.32849360963685198</v>
      </c>
      <c r="E3780" s="3">
        <v>14.274779213958199</v>
      </c>
      <c r="F3780" s="4">
        <v>3.1428157162105102E-46</v>
      </c>
      <c r="G3780" s="4">
        <v>7.0587079768995804E-44</v>
      </c>
      <c r="H3780" s="3" t="str">
        <f>"AC097641.2"</f>
        <v>AC097641.2</v>
      </c>
      <c r="I3780" s="3" t="str">
        <f>"antisense"</f>
        <v>antisense</v>
      </c>
    </row>
    <row r="3781" spans="1:9" x14ac:dyDescent="0.2">
      <c r="A3781" s="3" t="str">
        <f>"ENSG00000133193.12"</f>
        <v>ENSG00000133193.12</v>
      </c>
      <c r="B3781" s="3">
        <v>7135.9497479716001</v>
      </c>
      <c r="C3781" s="3">
        <v>2.2701656668444499</v>
      </c>
      <c r="D3781" s="3">
        <v>0.23482475190034399</v>
      </c>
      <c r="E3781" s="3">
        <v>9.6674888335786306</v>
      </c>
      <c r="F3781" s="4">
        <v>4.14421904282001E-22</v>
      </c>
      <c r="G3781" s="4">
        <v>2.5613717450156601E-20</v>
      </c>
      <c r="H3781" s="3" t="str">
        <f>"FAM104A"</f>
        <v>FAM104A</v>
      </c>
      <c r="I3781" s="3" t="str">
        <f>"protein_coding"</f>
        <v>protein_coding</v>
      </c>
    </row>
    <row r="3782" spans="1:9" x14ac:dyDescent="0.2">
      <c r="A3782" s="3" t="str">
        <f>"ENSG00000141219.15"</f>
        <v>ENSG00000141219.15</v>
      </c>
      <c r="B3782" s="3">
        <v>4165.2993610553604</v>
      </c>
      <c r="C3782" s="3">
        <v>1.49864047011757</v>
      </c>
      <c r="D3782" s="3">
        <v>0.26466834459905803</v>
      </c>
      <c r="E3782" s="3">
        <v>5.6623336364151804</v>
      </c>
      <c r="F3782" s="4">
        <v>1.4932812504362799E-8</v>
      </c>
      <c r="G3782" s="4">
        <v>2.57108075665467E-7</v>
      </c>
      <c r="H3782" s="3" t="str">
        <f>"C17orf80"</f>
        <v>C17orf80</v>
      </c>
      <c r="I3782" s="3" t="str">
        <f>"protein_coding"</f>
        <v>protein_coding</v>
      </c>
    </row>
    <row r="3783" spans="1:9" x14ac:dyDescent="0.2">
      <c r="A3783" s="3" t="str">
        <f>"ENSG00000265010.1"</f>
        <v>ENSG00000265010.1</v>
      </c>
      <c r="B3783" s="3">
        <v>52.307229714767203</v>
      </c>
      <c r="C3783" s="3">
        <v>1.7710364296208001</v>
      </c>
      <c r="D3783" s="3">
        <v>0.51183972032537695</v>
      </c>
      <c r="E3783" s="3">
        <v>3.4601387100144398</v>
      </c>
      <c r="F3783" s="3">
        <v>5.3989719649209897E-4</v>
      </c>
      <c r="G3783" s="3">
        <v>3.5768011529520001E-3</v>
      </c>
      <c r="H3783" s="3" t="str">
        <f>"AC087301.1"</f>
        <v>AC087301.1</v>
      </c>
      <c r="I3783" s="3" t="str">
        <f>"sense_intronic"</f>
        <v>sense_intronic</v>
      </c>
    </row>
    <row r="3784" spans="1:9" x14ac:dyDescent="0.2">
      <c r="A3784" s="3" t="str">
        <f>"ENSG00000177338.13"</f>
        <v>ENSG00000177338.13</v>
      </c>
      <c r="B3784" s="3">
        <v>180.15560261542601</v>
      </c>
      <c r="C3784" s="3">
        <v>8.5689407690400898</v>
      </c>
      <c r="D3784" s="3">
        <v>1.07327364408736</v>
      </c>
      <c r="E3784" s="3">
        <v>7.98392918362077</v>
      </c>
      <c r="F3784" s="4">
        <v>1.4174736222415899E-15</v>
      </c>
      <c r="G3784" s="4">
        <v>5.4604209751129002E-14</v>
      </c>
      <c r="H3784" s="3" t="str">
        <f>"LINC00469"</f>
        <v>LINC00469</v>
      </c>
      <c r="I3784" s="3" t="str">
        <f>"lincRNA"</f>
        <v>lincRNA</v>
      </c>
    </row>
    <row r="3785" spans="1:9" x14ac:dyDescent="0.2">
      <c r="A3785" s="3" t="str">
        <f>"ENSG00000172794.20"</f>
        <v>ENSG00000172794.20</v>
      </c>
      <c r="B3785" s="3">
        <v>259.46888629780898</v>
      </c>
      <c r="C3785" s="3">
        <v>2.2204048946455699</v>
      </c>
      <c r="D3785" s="3">
        <v>0.33088943401427801</v>
      </c>
      <c r="E3785" s="3">
        <v>6.7104134082134497</v>
      </c>
      <c r="F3785" s="4">
        <v>1.9407378667196899E-11</v>
      </c>
      <c r="G3785" s="4">
        <v>4.8240376519104598E-10</v>
      </c>
      <c r="H3785" s="3" t="str">
        <f>"RAB37"</f>
        <v>RAB37</v>
      </c>
      <c r="I3785" s="3" t="str">
        <f>"protein_coding"</f>
        <v>protein_coding</v>
      </c>
    </row>
    <row r="3786" spans="1:9" x14ac:dyDescent="0.2">
      <c r="A3786" s="3" t="str">
        <f>"ENSG00000161509.14"</f>
        <v>ENSG00000161509.14</v>
      </c>
      <c r="B3786" s="3">
        <v>447.80864274421799</v>
      </c>
      <c r="C3786" s="3">
        <v>8.0753504524991602</v>
      </c>
      <c r="D3786" s="3">
        <v>0.614035800221026</v>
      </c>
      <c r="E3786" s="3">
        <v>13.151269762434699</v>
      </c>
      <c r="F3786" s="4">
        <v>1.6734046117344499E-39</v>
      </c>
      <c r="G3786" s="4">
        <v>2.6983649364218E-37</v>
      </c>
      <c r="H3786" s="3" t="str">
        <f>"GRIN2C"</f>
        <v>GRIN2C</v>
      </c>
      <c r="I3786" s="3" t="str">
        <f>"protein_coding"</f>
        <v>protein_coding</v>
      </c>
    </row>
    <row r="3787" spans="1:9" x14ac:dyDescent="0.2">
      <c r="A3787" s="3" t="str">
        <f>"ENSG00000161513.12"</f>
        <v>ENSG00000161513.12</v>
      </c>
      <c r="B3787" s="3">
        <v>13812.7768955356</v>
      </c>
      <c r="C3787" s="3">
        <v>5.5537579682544802</v>
      </c>
      <c r="D3787" s="3">
        <v>0.26589822843158201</v>
      </c>
      <c r="E3787" s="3">
        <v>20.886780634130901</v>
      </c>
      <c r="F3787" s="4">
        <v>7.0622546159954997E-97</v>
      </c>
      <c r="G3787" s="4">
        <v>9.3500534139666796E-94</v>
      </c>
      <c r="H3787" s="3" t="str">
        <f>"FDXR"</f>
        <v>FDXR</v>
      </c>
      <c r="I3787" s="3" t="str">
        <f>"protein_coding"</f>
        <v>protein_coding</v>
      </c>
    </row>
    <row r="3788" spans="1:9" x14ac:dyDescent="0.2">
      <c r="A3788" s="3" t="str">
        <f>"ENSG00000182040.9"</f>
        <v>ENSG00000182040.9</v>
      </c>
      <c r="B3788" s="3">
        <v>159.08465670539999</v>
      </c>
      <c r="C3788" s="3">
        <v>7.39145631428753</v>
      </c>
      <c r="D3788" s="3">
        <v>0.80524770700591297</v>
      </c>
      <c r="E3788" s="3">
        <v>9.1791088009062296</v>
      </c>
      <c r="F3788" s="4">
        <v>4.34673823516633E-20</v>
      </c>
      <c r="G3788" s="4">
        <v>2.3565129376208801E-18</v>
      </c>
      <c r="H3788" s="3" t="str">
        <f>"USH1G"</f>
        <v>USH1G</v>
      </c>
      <c r="I3788" s="3" t="str">
        <f>"protein_coding"</f>
        <v>protein_coding</v>
      </c>
    </row>
    <row r="3789" spans="1:9" x14ac:dyDescent="0.2">
      <c r="A3789" s="3" t="str">
        <f>"ENSG00000183034.12"</f>
        <v>ENSG00000183034.12</v>
      </c>
      <c r="B3789" s="3">
        <v>13.797794972872101</v>
      </c>
      <c r="C3789" s="3">
        <v>4.18931994150749</v>
      </c>
      <c r="D3789" s="3">
        <v>1.18378727465609</v>
      </c>
      <c r="E3789" s="3">
        <v>3.5389128023229901</v>
      </c>
      <c r="F3789" s="3">
        <v>4.0177854550340898E-4</v>
      </c>
      <c r="G3789" s="3">
        <v>2.7636694865021201E-3</v>
      </c>
      <c r="H3789" s="3" t="str">
        <f>"OTOP2"</f>
        <v>OTOP2</v>
      </c>
      <c r="I3789" s="3" t="str">
        <f>"protein_coding"</f>
        <v>protein_coding</v>
      </c>
    </row>
    <row r="3790" spans="1:9" x14ac:dyDescent="0.2">
      <c r="A3790" s="3" t="str">
        <f>"ENSG00000232724.1"</f>
        <v>ENSG00000232724.1</v>
      </c>
      <c r="B3790" s="3">
        <v>47.001801568454603</v>
      </c>
      <c r="C3790" s="3">
        <v>-1.51090650230151</v>
      </c>
      <c r="D3790" s="3">
        <v>0.55638512256117401</v>
      </c>
      <c r="E3790" s="3">
        <v>-2.71557674897281</v>
      </c>
      <c r="F3790" s="3">
        <v>6.6160439550898998E-3</v>
      </c>
      <c r="G3790" s="3">
        <v>2.9846948653207701E-2</v>
      </c>
      <c r="H3790" s="3" t="str">
        <f>"TRIM80P"</f>
        <v>TRIM80P</v>
      </c>
      <c r="I3790" s="3" t="str">
        <f>"unitary_pseudogene"</f>
        <v>unitary_pseudogene</v>
      </c>
    </row>
    <row r="3791" spans="1:9" x14ac:dyDescent="0.2">
      <c r="A3791" s="3" t="str">
        <f>"ENSG00000265342.1"</f>
        <v>ENSG00000265342.1</v>
      </c>
      <c r="B3791" s="3">
        <v>18.595110489590699</v>
      </c>
      <c r="C3791" s="3">
        <v>2.4614827915637201</v>
      </c>
      <c r="D3791" s="3">
        <v>0.87946187763371897</v>
      </c>
      <c r="E3791" s="3">
        <v>2.7988510408053</v>
      </c>
      <c r="F3791" s="3">
        <v>5.1284790078831898E-3</v>
      </c>
      <c r="G3791" s="3">
        <v>2.42337700658911E-2</v>
      </c>
      <c r="H3791" s="3" t="str">
        <f>"AC011933.3"</f>
        <v>AC011933.3</v>
      </c>
      <c r="I3791" s="3" t="str">
        <f>"antisense"</f>
        <v>antisense</v>
      </c>
    </row>
    <row r="3792" spans="1:9" x14ac:dyDescent="0.2">
      <c r="A3792" s="3" t="str">
        <f>"ENSG00000177303.10"</f>
        <v>ENSG00000177303.10</v>
      </c>
      <c r="B3792" s="3">
        <v>874.92329471808898</v>
      </c>
      <c r="C3792" s="3">
        <v>-1.1777486408031901</v>
      </c>
      <c r="D3792" s="3">
        <v>0.321367193856329</v>
      </c>
      <c r="E3792" s="3">
        <v>-3.6648066863032498</v>
      </c>
      <c r="F3792" s="3">
        <v>2.4752547293091E-4</v>
      </c>
      <c r="G3792" s="3">
        <v>1.8032155434627899E-3</v>
      </c>
      <c r="H3792" s="3" t="str">
        <f>"CASKIN2"</f>
        <v>CASKIN2</v>
      </c>
      <c r="I3792" s="3" t="str">
        <f>"protein_coding"</f>
        <v>protein_coding</v>
      </c>
    </row>
    <row r="3793" spans="1:9" x14ac:dyDescent="0.2">
      <c r="A3793" s="3" t="str">
        <f>"ENSG00000266714.9"</f>
        <v>ENSG00000266714.9</v>
      </c>
      <c r="B3793" s="3">
        <v>431.46542328825302</v>
      </c>
      <c r="C3793" s="3">
        <v>1.5477749905553999</v>
      </c>
      <c r="D3793" s="3">
        <v>0.33073491364223701</v>
      </c>
      <c r="E3793" s="3">
        <v>4.6798052661282199</v>
      </c>
      <c r="F3793" s="4">
        <v>2.8714752183583801E-6</v>
      </c>
      <c r="G3793" s="4">
        <v>3.2862583766062398E-5</v>
      </c>
      <c r="H3793" s="3" t="str">
        <f>"MYO15B"</f>
        <v>MYO15B</v>
      </c>
      <c r="I3793" s="3" t="str">
        <f>"protein_coding"</f>
        <v>protein_coding</v>
      </c>
    </row>
    <row r="3794" spans="1:9" x14ac:dyDescent="0.2">
      <c r="A3794" s="3" t="str">
        <f>"ENSG00000188878.19"</f>
        <v>ENSG00000188878.19</v>
      </c>
      <c r="B3794" s="3">
        <v>335.13934029177102</v>
      </c>
      <c r="C3794" s="3">
        <v>1.09149881526805</v>
      </c>
      <c r="D3794" s="3">
        <v>0.342597101656755</v>
      </c>
      <c r="E3794" s="3">
        <v>3.1859546096266098</v>
      </c>
      <c r="F3794" s="3">
        <v>1.4427723125768901E-3</v>
      </c>
      <c r="G3794" s="3">
        <v>8.3317120116785503E-3</v>
      </c>
      <c r="H3794" s="3" t="str">
        <f>"FBF1"</f>
        <v>FBF1</v>
      </c>
      <c r="I3794" s="3" t="str">
        <f>"protein_coding"</f>
        <v>protein_coding</v>
      </c>
    </row>
    <row r="3795" spans="1:9" x14ac:dyDescent="0.2">
      <c r="A3795" s="3" t="str">
        <f>"ENSG00000186919.12"</f>
        <v>ENSG00000186919.12</v>
      </c>
      <c r="B3795" s="3">
        <v>24.271809237843499</v>
      </c>
      <c r="C3795" s="3">
        <v>2.2506378830678</v>
      </c>
      <c r="D3795" s="3">
        <v>0.74990862594558405</v>
      </c>
      <c r="E3795" s="3">
        <v>3.00121615514144</v>
      </c>
      <c r="F3795" s="3">
        <v>2.6890360761068302E-3</v>
      </c>
      <c r="G3795" s="3">
        <v>1.40512468829388E-2</v>
      </c>
      <c r="H3795" s="3" t="str">
        <f>"ZACN"</f>
        <v>ZACN</v>
      </c>
      <c r="I3795" s="3" t="str">
        <f>"protein_coding"</f>
        <v>protein_coding</v>
      </c>
    </row>
    <row r="3796" spans="1:9" x14ac:dyDescent="0.2">
      <c r="A3796" s="3" t="str">
        <f>"ENSG00000129654.8"</f>
        <v>ENSG00000129654.8</v>
      </c>
      <c r="B3796" s="3">
        <v>526.27250792598102</v>
      </c>
      <c r="C3796" s="3">
        <v>2.5617815338061898</v>
      </c>
      <c r="D3796" s="3">
        <v>0.325068109843901</v>
      </c>
      <c r="E3796" s="3">
        <v>7.8807531598112304</v>
      </c>
      <c r="F3796" s="4">
        <v>3.2541359419095798E-15</v>
      </c>
      <c r="G3796" s="4">
        <v>1.20379102380493E-13</v>
      </c>
      <c r="H3796" s="3" t="str">
        <f>"FOXJ1"</f>
        <v>FOXJ1</v>
      </c>
      <c r="I3796" s="3" t="str">
        <f>"protein_coding"</f>
        <v>protein_coding</v>
      </c>
    </row>
    <row r="3797" spans="1:9" x14ac:dyDescent="0.2">
      <c r="A3797" s="3" t="str">
        <f>"ENSG00000267128.1"</f>
        <v>ENSG00000267128.1</v>
      </c>
      <c r="B3797" s="3">
        <v>380.12491668031402</v>
      </c>
      <c r="C3797" s="3">
        <v>5.3327004494205497</v>
      </c>
      <c r="D3797" s="3">
        <v>0.36914260594520099</v>
      </c>
      <c r="E3797" s="3">
        <v>14.446179778587201</v>
      </c>
      <c r="F3797" s="4">
        <v>2.6498081940536302E-47</v>
      </c>
      <c r="G3797" s="4">
        <v>6.2295257122821503E-45</v>
      </c>
      <c r="H3797" s="3" t="str">
        <f>"RNF157-AS1"</f>
        <v>RNF157-AS1</v>
      </c>
      <c r="I3797" s="3" t="str">
        <f>"antisense"</f>
        <v>antisense</v>
      </c>
    </row>
    <row r="3798" spans="1:9" x14ac:dyDescent="0.2">
      <c r="A3798" s="3" t="str">
        <f>"ENSG00000185262.9"</f>
        <v>ENSG00000185262.9</v>
      </c>
      <c r="B3798" s="3">
        <v>1876.0849507334401</v>
      </c>
      <c r="C3798" s="3">
        <v>1.2470321640845801</v>
      </c>
      <c r="D3798" s="3">
        <v>0.31687069597926298</v>
      </c>
      <c r="E3798" s="3">
        <v>3.9354606781505299</v>
      </c>
      <c r="F3798" s="4">
        <v>8.3037259789919704E-5</v>
      </c>
      <c r="G3798" s="3">
        <v>6.8778474481904204E-4</v>
      </c>
      <c r="H3798" s="3" t="str">
        <f>"UBALD2"</f>
        <v>UBALD2</v>
      </c>
      <c r="I3798" s="3" t="str">
        <f>"protein_coding"</f>
        <v>protein_coding</v>
      </c>
    </row>
    <row r="3799" spans="1:9" x14ac:dyDescent="0.2">
      <c r="A3799" s="3" t="str">
        <f>"ENSG00000129667.12"</f>
        <v>ENSG00000129667.12</v>
      </c>
      <c r="B3799" s="3">
        <v>1385.45664653829</v>
      </c>
      <c r="C3799" s="3">
        <v>1.73015606171749</v>
      </c>
      <c r="D3799" s="3">
        <v>0.32017035883920802</v>
      </c>
      <c r="E3799" s="3">
        <v>5.4038608320590402</v>
      </c>
      <c r="F3799" s="4">
        <v>6.5221555064867994E-8</v>
      </c>
      <c r="G3799" s="4">
        <v>1.0040686766565199E-6</v>
      </c>
      <c r="H3799" s="3" t="str">
        <f>"RHBDF2"</f>
        <v>RHBDF2</v>
      </c>
      <c r="I3799" s="3" t="str">
        <f>"protein_coding"</f>
        <v>protein_coding</v>
      </c>
    </row>
    <row r="3800" spans="1:9" x14ac:dyDescent="0.2">
      <c r="A3800" s="3" t="str">
        <f>"ENSG00000161544.10"</f>
        <v>ENSG00000161544.10</v>
      </c>
      <c r="B3800" s="3">
        <v>12491.0309314892</v>
      </c>
      <c r="C3800" s="3">
        <v>9.5053778969586702</v>
      </c>
      <c r="D3800" s="3">
        <v>0.32137442936059901</v>
      </c>
      <c r="E3800" s="3">
        <v>29.5772688445388</v>
      </c>
      <c r="F3800" s="4">
        <v>2.9299471304490101E-192</v>
      </c>
      <c r="G3800" s="4">
        <v>7.3702820066444695E-188</v>
      </c>
      <c r="H3800" s="3" t="str">
        <f>"CYGB"</f>
        <v>CYGB</v>
      </c>
      <c r="I3800" s="3" t="str">
        <f>"protein_coding"</f>
        <v>protein_coding</v>
      </c>
    </row>
    <row r="3801" spans="1:9" x14ac:dyDescent="0.2">
      <c r="A3801" s="3" t="str">
        <f>"ENSG00000214140.11"</f>
        <v>ENSG00000214140.11</v>
      </c>
      <c r="B3801" s="3">
        <v>12.475678119206201</v>
      </c>
      <c r="C3801" s="3">
        <v>3.0106213460823898</v>
      </c>
      <c r="D3801" s="3">
        <v>1.1012050767274499</v>
      </c>
      <c r="E3801" s="3">
        <v>2.7339334059640601</v>
      </c>
      <c r="F3801" s="3">
        <v>6.2582700297808798E-3</v>
      </c>
      <c r="G3801" s="3">
        <v>2.8522530088019301E-2</v>
      </c>
      <c r="H3801" s="3" t="str">
        <f>"PRCD"</f>
        <v>PRCD</v>
      </c>
      <c r="I3801" s="3" t="str">
        <f>"protein_coding"</f>
        <v>protein_coding</v>
      </c>
    </row>
    <row r="3802" spans="1:9" x14ac:dyDescent="0.2">
      <c r="A3802" s="3" t="str">
        <f>"ENSG00000267546.2"</f>
        <v>ENSG00000267546.2</v>
      </c>
      <c r="B3802" s="3">
        <v>489.25820113873402</v>
      </c>
      <c r="C3802" s="3">
        <v>6.4133262700078602</v>
      </c>
      <c r="D3802" s="3">
        <v>0.40448987470950198</v>
      </c>
      <c r="E3802" s="3">
        <v>15.855344400434699</v>
      </c>
      <c r="F3802" s="4">
        <v>1.2911782173415799E-56</v>
      </c>
      <c r="G3802" s="4">
        <v>3.9609253728326097E-54</v>
      </c>
      <c r="H3802" s="3" t="str">
        <f>"AC015802.4"</f>
        <v>AC015802.4</v>
      </c>
      <c r="I3802" s="3" t="str">
        <f>"antisense"</f>
        <v>antisense</v>
      </c>
    </row>
    <row r="3803" spans="1:9" x14ac:dyDescent="0.2">
      <c r="A3803" s="3" t="str">
        <f>"ENSG00000284526.1"</f>
        <v>ENSG00000284526.1</v>
      </c>
      <c r="B3803" s="3">
        <v>18.617348585274399</v>
      </c>
      <c r="C3803" s="3">
        <v>2.9730002967899898</v>
      </c>
      <c r="D3803" s="3">
        <v>0.87492279150410002</v>
      </c>
      <c r="E3803" s="3">
        <v>3.3980144598576998</v>
      </c>
      <c r="F3803" s="3">
        <v>6.7876832333435295E-4</v>
      </c>
      <c r="G3803" s="3">
        <v>4.37581167951708E-3</v>
      </c>
      <c r="H3803" s="3" t="str">
        <f>"AC015802.6"</f>
        <v>AC015802.6</v>
      </c>
      <c r="I3803" s="3" t="str">
        <f>"protein_coding"</f>
        <v>protein_coding</v>
      </c>
    </row>
    <row r="3804" spans="1:9" x14ac:dyDescent="0.2">
      <c r="A3804" s="3" t="str">
        <f>"ENSG00000070731.10"</f>
        <v>ENSG00000070731.10</v>
      </c>
      <c r="B3804" s="3">
        <v>45.435271364173097</v>
      </c>
      <c r="C3804" s="3">
        <v>4.3817636736201697</v>
      </c>
      <c r="D3804" s="3">
        <v>0.72833132698505199</v>
      </c>
      <c r="E3804" s="3">
        <v>6.0161680697693001</v>
      </c>
      <c r="F3804" s="4">
        <v>1.7859414840724301E-9</v>
      </c>
      <c r="G3804" s="4">
        <v>3.4879936360125803E-8</v>
      </c>
      <c r="H3804" s="3" t="str">
        <f>"ST6GALNAC2"</f>
        <v>ST6GALNAC2</v>
      </c>
      <c r="I3804" s="3" t="str">
        <f>"protein_coding"</f>
        <v>protein_coding</v>
      </c>
    </row>
    <row r="3805" spans="1:9" x14ac:dyDescent="0.2">
      <c r="A3805" s="3" t="str">
        <f>"ENSG00000182534.13"</f>
        <v>ENSG00000182534.13</v>
      </c>
      <c r="B3805" s="3">
        <v>4114.8079872394901</v>
      </c>
      <c r="C3805" s="3">
        <v>1.89059230199354</v>
      </c>
      <c r="D3805" s="3">
        <v>0.24201897310016099</v>
      </c>
      <c r="E3805" s="3">
        <v>7.8117524331908896</v>
      </c>
      <c r="F3805" s="4">
        <v>5.6398257177862898E-15</v>
      </c>
      <c r="G3805" s="4">
        <v>2.04423365894689E-13</v>
      </c>
      <c r="H3805" s="3" t="str">
        <f>"MXRA7"</f>
        <v>MXRA7</v>
      </c>
      <c r="I3805" s="3" t="str">
        <f>"protein_coding"</f>
        <v>protein_coding</v>
      </c>
    </row>
    <row r="3806" spans="1:9" x14ac:dyDescent="0.2">
      <c r="A3806" s="3" t="str">
        <f>"ENSG00000212418.1"</f>
        <v>ENSG00000212418.1</v>
      </c>
      <c r="B3806" s="3">
        <v>35.998707097314501</v>
      </c>
      <c r="C3806" s="3">
        <v>2.2630500970124001</v>
      </c>
      <c r="D3806" s="3">
        <v>0.62215609168503205</v>
      </c>
      <c r="E3806" s="3">
        <v>3.6374313894174199</v>
      </c>
      <c r="F3806" s="3">
        <v>2.7537051225543099E-4</v>
      </c>
      <c r="G3806" s="3">
        <v>1.9847980618296198E-3</v>
      </c>
      <c r="H3806" s="3" t="str">
        <f>"RNY4P36"</f>
        <v>RNY4P36</v>
      </c>
      <c r="I3806" s="3" t="str">
        <f>"misc_RNA"</f>
        <v>misc_RNA</v>
      </c>
    </row>
    <row r="3807" spans="1:9" x14ac:dyDescent="0.2">
      <c r="A3807" s="3" t="str">
        <f>"ENSG00000161547.16"</f>
        <v>ENSG00000161547.16</v>
      </c>
      <c r="B3807" s="3">
        <v>5632.2393436414004</v>
      </c>
      <c r="C3807" s="3">
        <v>-1.9187602281323199</v>
      </c>
      <c r="D3807" s="3">
        <v>0.23938639411454801</v>
      </c>
      <c r="E3807" s="3">
        <v>-8.0153269998050796</v>
      </c>
      <c r="F3807" s="4">
        <v>1.0984437773358701E-15</v>
      </c>
      <c r="G3807" s="4">
        <v>4.2772992598891399E-14</v>
      </c>
      <c r="H3807" s="3" t="str">
        <f>"SRSF2"</f>
        <v>SRSF2</v>
      </c>
      <c r="I3807" s="3" t="str">
        <f>"protein_coding"</f>
        <v>protein_coding</v>
      </c>
    </row>
    <row r="3808" spans="1:9" x14ac:dyDescent="0.2">
      <c r="A3808" s="3" t="str">
        <f>"ENSG00000279801.1"</f>
        <v>ENSG00000279801.1</v>
      </c>
      <c r="B3808" s="3">
        <v>320.44835749214798</v>
      </c>
      <c r="C3808" s="3">
        <v>1.26477160215988</v>
      </c>
      <c r="D3808" s="3">
        <v>0.325018498671864</v>
      </c>
      <c r="E3808" s="3">
        <v>3.8913834361064601</v>
      </c>
      <c r="F3808" s="4">
        <v>9.9674271417172396E-5</v>
      </c>
      <c r="G3808" s="3">
        <v>8.09464800381289E-4</v>
      </c>
      <c r="H3808" s="3" t="str">
        <f>"AC111170.3"</f>
        <v>AC111170.3</v>
      </c>
      <c r="I3808" s="3" t="str">
        <f>"TEC"</f>
        <v>TEC</v>
      </c>
    </row>
    <row r="3809" spans="1:9" x14ac:dyDescent="0.2">
      <c r="A3809" s="3" t="str">
        <f>"ENSG00000267263.1"</f>
        <v>ENSG00000267263.1</v>
      </c>
      <c r="B3809" s="3">
        <v>263.53432170285902</v>
      </c>
      <c r="C3809" s="3">
        <v>1.4356151340650201</v>
      </c>
      <c r="D3809" s="3">
        <v>0.34936713652242701</v>
      </c>
      <c r="E3809" s="3">
        <v>4.1091876824907496</v>
      </c>
      <c r="F3809" s="4">
        <v>3.97053294943275E-5</v>
      </c>
      <c r="G3809" s="3">
        <v>3.5620098553131502E-4</v>
      </c>
      <c r="H3809" s="3" t="str">
        <f>"AC111170.2"</f>
        <v>AC111170.2</v>
      </c>
      <c r="I3809" s="3" t="str">
        <f>"sense_intronic"</f>
        <v>sense_intronic</v>
      </c>
    </row>
    <row r="3810" spans="1:9" x14ac:dyDescent="0.2">
      <c r="A3810" s="3" t="str">
        <f>"ENSG00000167895.14"</f>
        <v>ENSG00000167895.14</v>
      </c>
      <c r="B3810" s="3">
        <v>160.046260145834</v>
      </c>
      <c r="C3810" s="3">
        <v>-2.0781102810004</v>
      </c>
      <c r="D3810" s="3">
        <v>0.37452399085759502</v>
      </c>
      <c r="E3810" s="3">
        <v>-5.54867066390565</v>
      </c>
      <c r="F3810" s="4">
        <v>2.8784981576407499E-8</v>
      </c>
      <c r="G3810" s="4">
        <v>4.7079727669345298E-7</v>
      </c>
      <c r="H3810" s="3" t="str">
        <f>"TMC8"</f>
        <v>TMC8</v>
      </c>
      <c r="I3810" s="3" t="str">
        <f>"protein_coding"</f>
        <v>protein_coding</v>
      </c>
    </row>
    <row r="3811" spans="1:9" x14ac:dyDescent="0.2">
      <c r="A3811" s="3" t="str">
        <f>"ENSG00000187997.11"</f>
        <v>ENSG00000187997.11</v>
      </c>
      <c r="B3811" s="3">
        <v>11.889743194725799</v>
      </c>
      <c r="C3811" s="3">
        <v>-3.0454375766298898</v>
      </c>
      <c r="D3811" s="3">
        <v>1.11394443948331</v>
      </c>
      <c r="E3811" s="3">
        <v>-2.73392232923436</v>
      </c>
      <c r="F3811" s="3">
        <v>6.2584805600875903E-3</v>
      </c>
      <c r="G3811" s="3">
        <v>2.8522530088019301E-2</v>
      </c>
      <c r="H3811" s="3" t="str">
        <f>"C17orf99"</f>
        <v>C17orf99</v>
      </c>
      <c r="I3811" s="3" t="str">
        <f>"protein_coding"</f>
        <v>protein_coding</v>
      </c>
    </row>
    <row r="3812" spans="1:9" x14ac:dyDescent="0.2">
      <c r="A3812" s="3" t="str">
        <f>"ENSG00000167900.12"</f>
        <v>ENSG00000167900.12</v>
      </c>
      <c r="B3812" s="3">
        <v>4053.5499942133602</v>
      </c>
      <c r="C3812" s="3">
        <v>-1.29325109001066</v>
      </c>
      <c r="D3812" s="3">
        <v>0.28583346766802697</v>
      </c>
      <c r="E3812" s="3">
        <v>-4.5244914829661198</v>
      </c>
      <c r="F3812" s="4">
        <v>6.05408907803165E-6</v>
      </c>
      <c r="G3812" s="4">
        <v>6.53047215942908E-5</v>
      </c>
      <c r="H3812" s="3" t="str">
        <f>"TK1"</f>
        <v>TK1</v>
      </c>
      <c r="I3812" s="3" t="str">
        <f>"protein_coding"</f>
        <v>protein_coding</v>
      </c>
    </row>
    <row r="3813" spans="1:9" x14ac:dyDescent="0.2">
      <c r="A3813" s="3" t="str">
        <f>"ENSG00000089685.15"</f>
        <v>ENSG00000089685.15</v>
      </c>
      <c r="B3813" s="3">
        <v>4948.9573684069601</v>
      </c>
      <c r="C3813" s="3">
        <v>-1.0074378257702801</v>
      </c>
      <c r="D3813" s="3">
        <v>0.25811290517809299</v>
      </c>
      <c r="E3813" s="3">
        <v>-3.90308971601076</v>
      </c>
      <c r="F3813" s="4">
        <v>9.4972478462837097E-5</v>
      </c>
      <c r="G3813" s="3">
        <v>7.75408210234556E-4</v>
      </c>
      <c r="H3813" s="3" t="str">
        <f>"BIRC5"</f>
        <v>BIRC5</v>
      </c>
      <c r="I3813" s="3" t="str">
        <f>"protein_coding"</f>
        <v>protein_coding</v>
      </c>
    </row>
    <row r="3814" spans="1:9" x14ac:dyDescent="0.2">
      <c r="A3814" s="3" t="str">
        <f>"ENSG00000187775.16"</f>
        <v>ENSG00000187775.16</v>
      </c>
      <c r="B3814" s="3">
        <v>679.01887902995304</v>
      </c>
      <c r="C3814" s="3">
        <v>1.1980891502917399</v>
      </c>
      <c r="D3814" s="3">
        <v>0.295575324926448</v>
      </c>
      <c r="E3814" s="3">
        <v>4.0534139667777698</v>
      </c>
      <c r="F3814" s="4">
        <v>5.04755679443081E-5</v>
      </c>
      <c r="G3814" s="3">
        <v>4.4302613804573197E-4</v>
      </c>
      <c r="H3814" s="3" t="str">
        <f>"DNAH17"</f>
        <v>DNAH17</v>
      </c>
      <c r="I3814" s="3" t="str">
        <f>"protein_coding"</f>
        <v>protein_coding</v>
      </c>
    </row>
    <row r="3815" spans="1:9" x14ac:dyDescent="0.2">
      <c r="A3815" s="3" t="str">
        <f>"ENSG00000252391.1"</f>
        <v>ENSG00000252391.1</v>
      </c>
      <c r="B3815" s="3">
        <v>39.547919801413897</v>
      </c>
      <c r="C3815" s="3">
        <v>1.8733641640780301</v>
      </c>
      <c r="D3815" s="3">
        <v>0.60089213798779395</v>
      </c>
      <c r="E3815" s="3">
        <v>3.11763800130813</v>
      </c>
      <c r="F3815" s="3">
        <v>1.8230657425988099E-3</v>
      </c>
      <c r="G3815" s="3">
        <v>1.01368741722089E-2</v>
      </c>
      <c r="H3815" s="3" t="str">
        <f>"RNU6-638P"</f>
        <v>RNU6-638P</v>
      </c>
      <c r="I3815" s="3" t="str">
        <f>"snRNA"</f>
        <v>snRNA</v>
      </c>
    </row>
    <row r="3816" spans="1:9" x14ac:dyDescent="0.2">
      <c r="A3816" s="3" t="str">
        <f>"ENSG00000178404.9"</f>
        <v>ENSG00000178404.9</v>
      </c>
      <c r="B3816" s="3">
        <v>135.22433559141399</v>
      </c>
      <c r="C3816" s="3">
        <v>1.20412192812548</v>
      </c>
      <c r="D3816" s="3">
        <v>0.41672583821374298</v>
      </c>
      <c r="E3816" s="3">
        <v>2.8894822871719099</v>
      </c>
      <c r="F3816" s="3">
        <v>3.8587674559495098E-3</v>
      </c>
      <c r="G3816" s="3">
        <v>1.9115260999293001E-2</v>
      </c>
      <c r="H3816" s="3" t="str">
        <f>"CEP295NL"</f>
        <v>CEP295NL</v>
      </c>
      <c r="I3816" s="3" t="str">
        <f>"protein_coding"</f>
        <v>protein_coding</v>
      </c>
    </row>
    <row r="3817" spans="1:9" x14ac:dyDescent="0.2">
      <c r="A3817" s="3" t="str">
        <f>"ENSG00000267719.1"</f>
        <v>ENSG00000267719.1</v>
      </c>
      <c r="B3817" s="3">
        <v>22.862065296201401</v>
      </c>
      <c r="C3817" s="3">
        <v>5.5862324985590703</v>
      </c>
      <c r="D3817" s="3">
        <v>1.2342799330344401</v>
      </c>
      <c r="E3817" s="3">
        <v>4.5259040101425798</v>
      </c>
      <c r="F3817" s="4">
        <v>6.01378736698895E-6</v>
      </c>
      <c r="G3817" s="4">
        <v>6.4953551402579195E-5</v>
      </c>
      <c r="H3817" s="3" t="str">
        <f>"LINC02078"</f>
        <v>LINC02078</v>
      </c>
      <c r="I3817" s="3" t="str">
        <f>"lincRNA"</f>
        <v>lincRNA</v>
      </c>
    </row>
    <row r="3818" spans="1:9" x14ac:dyDescent="0.2">
      <c r="A3818" s="3" t="str">
        <f>"ENSG00000173894.11"</f>
        <v>ENSG00000173894.11</v>
      </c>
      <c r="B3818" s="3">
        <v>960.47012820945395</v>
      </c>
      <c r="C3818" s="3">
        <v>-2.3717721635973699</v>
      </c>
      <c r="D3818" s="3">
        <v>0.32833829137658699</v>
      </c>
      <c r="E3818" s="3">
        <v>-7.2235624838440398</v>
      </c>
      <c r="F3818" s="4">
        <v>5.0643013240615805E-13</v>
      </c>
      <c r="G3818" s="4">
        <v>1.5104117834349599E-11</v>
      </c>
      <c r="H3818" s="3" t="str">
        <f>"CBX2"</f>
        <v>CBX2</v>
      </c>
      <c r="I3818" s="3" t="str">
        <f>"protein_coding"</f>
        <v>protein_coding</v>
      </c>
    </row>
    <row r="3819" spans="1:9" x14ac:dyDescent="0.2">
      <c r="A3819" s="3" t="str">
        <f>"ENSG00000141570.11"</f>
        <v>ENSG00000141570.11</v>
      </c>
      <c r="B3819" s="3">
        <v>449.180864626328</v>
      </c>
      <c r="C3819" s="3">
        <v>-1.48339723539968</v>
      </c>
      <c r="D3819" s="3">
        <v>0.31375014087326902</v>
      </c>
      <c r="E3819" s="3">
        <v>-4.7279571931693702</v>
      </c>
      <c r="F3819" s="4">
        <v>2.2678998117206901E-6</v>
      </c>
      <c r="G3819" s="4">
        <v>2.6485153093702E-5</v>
      </c>
      <c r="H3819" s="3" t="str">
        <f>"CBX8"</f>
        <v>CBX8</v>
      </c>
      <c r="I3819" s="3" t="str">
        <f>"protein_coding"</f>
        <v>protein_coding</v>
      </c>
    </row>
    <row r="3820" spans="1:9" x14ac:dyDescent="0.2">
      <c r="A3820" s="3" t="str">
        <f>"ENSG00000141527.18"</f>
        <v>ENSG00000141527.18</v>
      </c>
      <c r="B3820" s="3">
        <v>32.926997960023897</v>
      </c>
      <c r="C3820" s="3">
        <v>5.4967329504951303</v>
      </c>
      <c r="D3820" s="3">
        <v>1.01985181500664</v>
      </c>
      <c r="E3820" s="3">
        <v>5.3897368908044001</v>
      </c>
      <c r="F3820" s="4">
        <v>7.0560912479570603E-8</v>
      </c>
      <c r="G3820" s="4">
        <v>1.0816330002581299E-6</v>
      </c>
      <c r="H3820" s="3" t="str">
        <f>"CARD14"</f>
        <v>CARD14</v>
      </c>
      <c r="I3820" s="3" t="str">
        <f>"protein_coding"</f>
        <v>protein_coding</v>
      </c>
    </row>
    <row r="3821" spans="1:9" x14ac:dyDescent="0.2">
      <c r="A3821" s="3" t="str">
        <f>"ENSG00000262580.5"</f>
        <v>ENSG00000262580.5</v>
      </c>
      <c r="B3821" s="3">
        <v>207.03657132479501</v>
      </c>
      <c r="C3821" s="3">
        <v>1.7436527829521999</v>
      </c>
      <c r="D3821" s="3">
        <v>0.39798555232736299</v>
      </c>
      <c r="E3821" s="3">
        <v>4.3811961835186404</v>
      </c>
      <c r="F3821" s="4">
        <v>1.18029536836269E-5</v>
      </c>
      <c r="G3821" s="3">
        <v>1.1866638685517E-4</v>
      </c>
      <c r="H3821" s="3" t="str">
        <f>"AC087741.1"</f>
        <v>AC087741.1</v>
      </c>
      <c r="I3821" s="3" t="str">
        <f>"antisense"</f>
        <v>antisense</v>
      </c>
    </row>
    <row r="3822" spans="1:9" x14ac:dyDescent="0.2">
      <c r="A3822" s="3" t="str">
        <f>"ENSG00000181523.13"</f>
        <v>ENSG00000181523.13</v>
      </c>
      <c r="B3822" s="3">
        <v>1364.5710698303301</v>
      </c>
      <c r="C3822" s="3">
        <v>1.1533496230965801</v>
      </c>
      <c r="D3822" s="3">
        <v>0.31201086862934002</v>
      </c>
      <c r="E3822" s="3">
        <v>3.6965046383263198</v>
      </c>
      <c r="F3822" s="3">
        <v>2.1858826742140799E-4</v>
      </c>
      <c r="G3822" s="3">
        <v>1.616280972071E-3</v>
      </c>
      <c r="H3822" s="3" t="str">
        <f>"SGSH"</f>
        <v>SGSH</v>
      </c>
      <c r="I3822" s="3" t="str">
        <f>"protein_coding"</f>
        <v>protein_coding</v>
      </c>
    </row>
    <row r="3823" spans="1:9" x14ac:dyDescent="0.2">
      <c r="A3823" s="3" t="str">
        <f>"ENSG00000173821.19"</f>
        <v>ENSG00000173821.19</v>
      </c>
      <c r="B3823" s="3">
        <v>20566.212596681798</v>
      </c>
      <c r="C3823" s="3">
        <v>1.44559610582714</v>
      </c>
      <c r="D3823" s="3">
        <v>0.26148367193541799</v>
      </c>
      <c r="E3823" s="3">
        <v>5.5284373786221401</v>
      </c>
      <c r="F3823" s="4">
        <v>3.2309571350537301E-8</v>
      </c>
      <c r="G3823" s="4">
        <v>5.2401500149759202E-7</v>
      </c>
      <c r="H3823" s="3" t="str">
        <f>"AC124319.1"</f>
        <v>AC124319.1</v>
      </c>
      <c r="I3823" s="3" t="str">
        <f>"protein_coding"</f>
        <v>protein_coding</v>
      </c>
    </row>
    <row r="3824" spans="1:9" x14ac:dyDescent="0.2">
      <c r="A3824" s="3" t="str">
        <f>"ENSG00000262979.1"</f>
        <v>ENSG00000262979.1</v>
      </c>
      <c r="B3824" s="3">
        <v>25.943739577519199</v>
      </c>
      <c r="C3824" s="3">
        <v>2.99502210737487</v>
      </c>
      <c r="D3824" s="3">
        <v>0.76586024962620602</v>
      </c>
      <c r="E3824" s="3">
        <v>3.9106640001705899</v>
      </c>
      <c r="F3824" s="4">
        <v>9.2042739064683202E-5</v>
      </c>
      <c r="G3824" s="3">
        <v>7.5418081471404104E-4</v>
      </c>
      <c r="H3824" s="3" t="str">
        <f>"AC124319.2"</f>
        <v>AC124319.2</v>
      </c>
      <c r="I3824" s="3" t="str">
        <f>"sense_intronic"</f>
        <v>sense_intronic</v>
      </c>
    </row>
    <row r="3825" spans="1:9" x14ac:dyDescent="0.2">
      <c r="A3825" s="3" t="str">
        <f>"ENSG00000280248.1"</f>
        <v>ENSG00000280248.1</v>
      </c>
      <c r="B3825" s="3">
        <v>44.2667434706375</v>
      </c>
      <c r="C3825" s="3">
        <v>2.2020240501468402</v>
      </c>
      <c r="D3825" s="3">
        <v>0.57104109438944906</v>
      </c>
      <c r="E3825" s="3">
        <v>3.85615688920115</v>
      </c>
      <c r="F3825" s="3">
        <v>1.15183578323918E-4</v>
      </c>
      <c r="G3825" s="3">
        <v>9.2070000404771203E-4</v>
      </c>
      <c r="H3825" s="3" t="str">
        <f>"AC124319.5"</f>
        <v>AC124319.5</v>
      </c>
      <c r="I3825" s="3" t="str">
        <f>"TEC"</f>
        <v>TEC</v>
      </c>
    </row>
    <row r="3826" spans="1:9" x14ac:dyDescent="0.2">
      <c r="A3826" s="3" t="str">
        <f>"ENSG00000263069.5"</f>
        <v>ENSG00000263069.5</v>
      </c>
      <c r="B3826" s="3">
        <v>83.271258476698307</v>
      </c>
      <c r="C3826" s="3">
        <v>-1.1671829360613899</v>
      </c>
      <c r="D3826" s="3">
        <v>0.44233144064809099</v>
      </c>
      <c r="E3826" s="3">
        <v>-2.6387067000059199</v>
      </c>
      <c r="F3826" s="3">
        <v>8.3222948517816392E-3</v>
      </c>
      <c r="G3826" s="3">
        <v>3.6225528118457702E-2</v>
      </c>
      <c r="H3826" s="3" t="str">
        <f>"AC124319.3"</f>
        <v>AC124319.3</v>
      </c>
      <c r="I3826" s="3" t="str">
        <f>"antisense"</f>
        <v>antisense</v>
      </c>
    </row>
    <row r="3827" spans="1:9" x14ac:dyDescent="0.2">
      <c r="A3827" s="3" t="str">
        <f>"ENSG00000261924.1"</f>
        <v>ENSG00000261924.1</v>
      </c>
      <c r="B3827" s="3">
        <v>240.32839357068599</v>
      </c>
      <c r="C3827" s="3">
        <v>7.98312900333719</v>
      </c>
      <c r="D3827" s="3">
        <v>0.788386158755639</v>
      </c>
      <c r="E3827" s="3">
        <v>10.125912174736101</v>
      </c>
      <c r="F3827" s="4">
        <v>4.2400655456749103E-24</v>
      </c>
      <c r="G3827" s="4">
        <v>3.0737420403876799E-22</v>
      </c>
      <c r="H3827" s="3" t="str">
        <f>"AC127496.1"</f>
        <v>AC127496.1</v>
      </c>
      <c r="I3827" s="3" t="str">
        <f>"antisense"</f>
        <v>antisense</v>
      </c>
    </row>
    <row r="3828" spans="1:9" x14ac:dyDescent="0.2">
      <c r="A3828" s="3" t="str">
        <f>"ENSG00000181409.13"</f>
        <v>ENSG00000181409.13</v>
      </c>
      <c r="B3828" s="3">
        <v>44.670112775366398</v>
      </c>
      <c r="C3828" s="3">
        <v>1.5857440116741901</v>
      </c>
      <c r="D3828" s="3">
        <v>0.55806694183603001</v>
      </c>
      <c r="E3828" s="3">
        <v>2.8414942595544601</v>
      </c>
      <c r="F3828" s="3">
        <v>4.4902660346740298E-3</v>
      </c>
      <c r="G3828" s="3">
        <v>2.1684131714767799E-2</v>
      </c>
      <c r="H3828" s="3" t="str">
        <f>"AATK"</f>
        <v>AATK</v>
      </c>
      <c r="I3828" s="3" t="str">
        <f>"protein_coding"</f>
        <v>protein_coding</v>
      </c>
    </row>
    <row r="3829" spans="1:9" x14ac:dyDescent="0.2">
      <c r="A3829" s="3" t="str">
        <f>"ENSG00000263167.1"</f>
        <v>ENSG00000263167.1</v>
      </c>
      <c r="B3829" s="3">
        <v>6.1055201414448197</v>
      </c>
      <c r="C3829" s="3">
        <v>-6.00538009099456</v>
      </c>
      <c r="D3829" s="3">
        <v>1.96886326812329</v>
      </c>
      <c r="E3829" s="3">
        <v>-3.0501763064120002</v>
      </c>
      <c r="F3829" s="3">
        <v>2.2870706522039098E-3</v>
      </c>
      <c r="G3829" s="3">
        <v>1.2274645243479701E-2</v>
      </c>
      <c r="H3829" s="3" t="str">
        <f>"AC115099.1"</f>
        <v>AC115099.1</v>
      </c>
      <c r="I3829" s="3" t="str">
        <f>"antisense"</f>
        <v>antisense</v>
      </c>
    </row>
    <row r="3830" spans="1:9" x14ac:dyDescent="0.2">
      <c r="A3830" s="3" t="str">
        <f>"ENSG00000224877.4"</f>
        <v>ENSG00000224877.4</v>
      </c>
      <c r="B3830" s="3">
        <v>642.51285014538098</v>
      </c>
      <c r="C3830" s="3">
        <v>1.5776618147803201</v>
      </c>
      <c r="D3830" s="3">
        <v>0.28215130543104999</v>
      </c>
      <c r="E3830" s="3">
        <v>5.5915453319277901</v>
      </c>
      <c r="F3830" s="4">
        <v>2.25057517245587E-8</v>
      </c>
      <c r="G3830" s="4">
        <v>3.74426048036557E-7</v>
      </c>
      <c r="H3830" s="3" t="str">
        <f>"NDUFAF8"</f>
        <v>NDUFAF8</v>
      </c>
      <c r="I3830" s="3" t="str">
        <f>"protein_coding"</f>
        <v>protein_coding</v>
      </c>
    </row>
    <row r="3831" spans="1:9" x14ac:dyDescent="0.2">
      <c r="A3831" s="3" t="str">
        <f>"ENSG00000157637.13"</f>
        <v>ENSG00000157637.13</v>
      </c>
      <c r="B3831" s="3">
        <v>3167.1299244813899</v>
      </c>
      <c r="C3831" s="3">
        <v>1.9261966896629701</v>
      </c>
      <c r="D3831" s="3">
        <v>0.293602983798749</v>
      </c>
      <c r="E3831" s="3">
        <v>6.5605487544475602</v>
      </c>
      <c r="F3831" s="4">
        <v>5.3610122692351797E-11</v>
      </c>
      <c r="G3831" s="4">
        <v>1.2746338717638101E-9</v>
      </c>
      <c r="H3831" s="3" t="str">
        <f>"SLC38A10"</f>
        <v>SLC38A10</v>
      </c>
      <c r="I3831" s="3" t="str">
        <f>"protein_coding"</f>
        <v>protein_coding</v>
      </c>
    </row>
    <row r="3832" spans="1:9" x14ac:dyDescent="0.2">
      <c r="A3832" s="3" t="str">
        <f>"ENSG00000185168.5"</f>
        <v>ENSG00000185168.5</v>
      </c>
      <c r="B3832" s="3">
        <v>68.023163750615097</v>
      </c>
      <c r="C3832" s="3">
        <v>4.3873053936489104</v>
      </c>
      <c r="D3832" s="3">
        <v>0.60736807926130798</v>
      </c>
      <c r="E3832" s="3">
        <v>7.2234704842981303</v>
      </c>
      <c r="F3832" s="4">
        <v>5.0677302533059295E-13</v>
      </c>
      <c r="G3832" s="4">
        <v>1.5104117834349599E-11</v>
      </c>
      <c r="H3832" s="3" t="str">
        <f>"LINC00482"</f>
        <v>LINC00482</v>
      </c>
      <c r="I3832" s="3" t="str">
        <f>"lincRNA"</f>
        <v>lincRNA</v>
      </c>
    </row>
    <row r="3833" spans="1:9" x14ac:dyDescent="0.2">
      <c r="A3833" s="3" t="str">
        <f>"ENSG00000262877.4"</f>
        <v>ENSG00000262877.4</v>
      </c>
      <c r="B3833" s="3">
        <v>38.486728319375203</v>
      </c>
      <c r="C3833" s="3">
        <v>2.3264203861945298</v>
      </c>
      <c r="D3833" s="3">
        <v>0.664740151687082</v>
      </c>
      <c r="E3833" s="3">
        <v>3.4997440432779201</v>
      </c>
      <c r="F3833" s="3">
        <v>4.6570509623479998E-4</v>
      </c>
      <c r="G3833" s="3">
        <v>3.1449158914862801E-3</v>
      </c>
      <c r="H3833" s="3" t="str">
        <f>"AC110285.2"</f>
        <v>AC110285.2</v>
      </c>
      <c r="I3833" s="3" t="str">
        <f>"lincRNA"</f>
        <v>lincRNA</v>
      </c>
    </row>
    <row r="3834" spans="1:9" x14ac:dyDescent="0.2">
      <c r="A3834" s="3" t="str">
        <f>"ENSG00000266074.8"</f>
        <v>ENSG00000266074.8</v>
      </c>
      <c r="B3834" s="3">
        <v>500.358610908559</v>
      </c>
      <c r="C3834" s="3">
        <v>2.9505087720104299</v>
      </c>
      <c r="D3834" s="3">
        <v>0.36615393418764303</v>
      </c>
      <c r="E3834" s="3">
        <v>8.0581102550666301</v>
      </c>
      <c r="F3834" s="4">
        <v>7.7482918622010903E-16</v>
      </c>
      <c r="G3834" s="4">
        <v>3.0549887428474699E-14</v>
      </c>
      <c r="H3834" s="3" t="str">
        <f>"BAHCC1"</f>
        <v>BAHCC1</v>
      </c>
      <c r="I3834" s="3" t="str">
        <f>"protein_coding"</f>
        <v>protein_coding</v>
      </c>
    </row>
    <row r="3835" spans="1:9" x14ac:dyDescent="0.2">
      <c r="A3835" s="3" t="str">
        <f>"ENSG00000279692.1"</f>
        <v>ENSG00000279692.1</v>
      </c>
      <c r="B3835" s="3">
        <v>122.158661218394</v>
      </c>
      <c r="C3835" s="3">
        <v>2.4440268067978899</v>
      </c>
      <c r="D3835" s="3">
        <v>0.40331449204322001</v>
      </c>
      <c r="E3835" s="3">
        <v>6.0598536750223904</v>
      </c>
      <c r="F3835" s="4">
        <v>1.36245434716381E-9</v>
      </c>
      <c r="G3835" s="4">
        <v>2.7157321000717598E-8</v>
      </c>
      <c r="H3835" s="3" t="str">
        <f>"AC110285.7"</f>
        <v>AC110285.7</v>
      </c>
      <c r="I3835" s="3" t="str">
        <f>"TEC"</f>
        <v>TEC</v>
      </c>
    </row>
    <row r="3836" spans="1:9" x14ac:dyDescent="0.2">
      <c r="A3836" s="3" t="str">
        <f>"ENSG00000185504.17"</f>
        <v>ENSG00000185504.17</v>
      </c>
      <c r="B3836" s="3">
        <v>635.45165672514804</v>
      </c>
      <c r="C3836" s="3">
        <v>1.16183427084225</v>
      </c>
      <c r="D3836" s="3">
        <v>0.33016986541037302</v>
      </c>
      <c r="E3836" s="3">
        <v>3.51889858088107</v>
      </c>
      <c r="F3836" s="3">
        <v>4.3334233229067699E-4</v>
      </c>
      <c r="G3836" s="3">
        <v>2.9549271804749202E-3</v>
      </c>
      <c r="H3836" s="3" t="str">
        <f>"FAAP100"</f>
        <v>FAAP100</v>
      </c>
      <c r="I3836" s="3" t="str">
        <f t="shared" ref="I3836:I3849" si="156">"protein_coding"</f>
        <v>protein_coding</v>
      </c>
    </row>
    <row r="3837" spans="1:9" x14ac:dyDescent="0.2">
      <c r="A3837" s="3" t="str">
        <f>"ENSG00000185527.12"</f>
        <v>ENSG00000185527.12</v>
      </c>
      <c r="B3837" s="3">
        <v>271.49160202787601</v>
      </c>
      <c r="C3837" s="3">
        <v>-1.4259754567335701</v>
      </c>
      <c r="D3837" s="3">
        <v>0.34151624881999798</v>
      </c>
      <c r="E3837" s="3">
        <v>-4.1754249224175499</v>
      </c>
      <c r="F3837" s="4">
        <v>2.97430338390873E-5</v>
      </c>
      <c r="G3837" s="3">
        <v>2.7375997666382701E-4</v>
      </c>
      <c r="H3837" s="3" t="str">
        <f>"AC139530.1"</f>
        <v>AC139530.1</v>
      </c>
      <c r="I3837" s="3" t="str">
        <f t="shared" si="156"/>
        <v>protein_coding</v>
      </c>
    </row>
    <row r="3838" spans="1:9" x14ac:dyDescent="0.2">
      <c r="A3838" s="3" t="str">
        <f>"ENSG00000262814.8"</f>
        <v>ENSG00000262814.8</v>
      </c>
      <c r="B3838" s="3">
        <v>506.26496777360097</v>
      </c>
      <c r="C3838" s="3">
        <v>1.0230133892617399</v>
      </c>
      <c r="D3838" s="3">
        <v>0.30633207684172298</v>
      </c>
      <c r="E3838" s="3">
        <v>3.3395568619812401</v>
      </c>
      <c r="F3838" s="3">
        <v>8.3912170364855302E-4</v>
      </c>
      <c r="G3838" s="3">
        <v>5.2546941636244402E-3</v>
      </c>
      <c r="H3838" s="3" t="str">
        <f>"MRPL12"</f>
        <v>MRPL12</v>
      </c>
      <c r="I3838" s="3" t="str">
        <f t="shared" si="156"/>
        <v>protein_coding</v>
      </c>
    </row>
    <row r="3839" spans="1:9" x14ac:dyDescent="0.2">
      <c r="A3839" s="3" t="str">
        <f>"ENSG00000182676.5"</f>
        <v>ENSG00000182676.5</v>
      </c>
      <c r="B3839" s="3">
        <v>19.3470255184696</v>
      </c>
      <c r="C3839" s="3">
        <v>-4.5906664219887299</v>
      </c>
      <c r="D3839" s="3">
        <v>1.11176674749464</v>
      </c>
      <c r="E3839" s="3">
        <v>-4.12916327308203</v>
      </c>
      <c r="F3839" s="4">
        <v>3.6408579497662599E-5</v>
      </c>
      <c r="G3839" s="3">
        <v>3.2944525800852599E-4</v>
      </c>
      <c r="H3839" s="3" t="str">
        <f>"PPP1R27"</f>
        <v>PPP1R27</v>
      </c>
      <c r="I3839" s="3" t="str">
        <f t="shared" si="156"/>
        <v>protein_coding</v>
      </c>
    </row>
    <row r="3840" spans="1:9" x14ac:dyDescent="0.2">
      <c r="A3840" s="3" t="str">
        <f>"ENSG00000185813.10"</f>
        <v>ENSG00000185813.10</v>
      </c>
      <c r="B3840" s="3">
        <v>1589.07221928492</v>
      </c>
      <c r="C3840" s="3">
        <v>-1.0520979174560601</v>
      </c>
      <c r="D3840" s="3">
        <v>0.316611201745297</v>
      </c>
      <c r="E3840" s="3">
        <v>-3.32299650693481</v>
      </c>
      <c r="F3840" s="3">
        <v>8.9056029619408996E-4</v>
      </c>
      <c r="G3840" s="3">
        <v>5.5320458172466698E-3</v>
      </c>
      <c r="H3840" s="3" t="str">
        <f>"PCYT2"</f>
        <v>PCYT2</v>
      </c>
      <c r="I3840" s="3" t="str">
        <f t="shared" si="156"/>
        <v>protein_coding</v>
      </c>
    </row>
    <row r="3841" spans="1:9" x14ac:dyDescent="0.2">
      <c r="A3841" s="3" t="str">
        <f>"ENSG00000169696.16"</f>
        <v>ENSG00000169696.16</v>
      </c>
      <c r="B3841" s="3">
        <v>2787.6528549500699</v>
      </c>
      <c r="C3841" s="3">
        <v>2.6107863425151501</v>
      </c>
      <c r="D3841" s="3">
        <v>0.31182914730701</v>
      </c>
      <c r="E3841" s="3">
        <v>8.3724897594153003</v>
      </c>
      <c r="F3841" s="4">
        <v>5.6413427820944004E-17</v>
      </c>
      <c r="G3841" s="4">
        <v>2.4852535496249499E-15</v>
      </c>
      <c r="H3841" s="3" t="str">
        <f>"ASPSCR1"</f>
        <v>ASPSCR1</v>
      </c>
      <c r="I3841" s="3" t="str">
        <f t="shared" si="156"/>
        <v>protein_coding</v>
      </c>
    </row>
    <row r="3842" spans="1:9" x14ac:dyDescent="0.2">
      <c r="A3842" s="3" t="str">
        <f>"ENSG00000169738.7"</f>
        <v>ENSG00000169738.7</v>
      </c>
      <c r="B3842" s="3">
        <v>1591.2909402677799</v>
      </c>
      <c r="C3842" s="3">
        <v>1.35776272968258</v>
      </c>
      <c r="D3842" s="3">
        <v>0.312439852376248</v>
      </c>
      <c r="E3842" s="3">
        <v>4.34567715787911</v>
      </c>
      <c r="F3842" s="4">
        <v>1.38846657487942E-5</v>
      </c>
      <c r="G3842" s="3">
        <v>1.3739920020099E-4</v>
      </c>
      <c r="H3842" s="3" t="str">
        <f>"DCXR"</f>
        <v>DCXR</v>
      </c>
      <c r="I3842" s="3" t="str">
        <f t="shared" si="156"/>
        <v>protein_coding</v>
      </c>
    </row>
    <row r="3843" spans="1:9" x14ac:dyDescent="0.2">
      <c r="A3843" s="3" t="str">
        <f>"ENSG00000169733.12"</f>
        <v>ENSG00000169733.12</v>
      </c>
      <c r="B3843" s="3">
        <v>2743.6258497478998</v>
      </c>
      <c r="C3843" s="3">
        <v>2.7409585694627001</v>
      </c>
      <c r="D3843" s="3">
        <v>0.32497925308125902</v>
      </c>
      <c r="E3843" s="3">
        <v>8.4342570901821308</v>
      </c>
      <c r="F3843" s="4">
        <v>3.3331328005942399E-17</v>
      </c>
      <c r="G3843" s="4">
        <v>1.4866126879246099E-15</v>
      </c>
      <c r="H3843" s="3" t="str">
        <f>"RFNG"</f>
        <v>RFNG</v>
      </c>
      <c r="I3843" s="3" t="str">
        <f t="shared" si="156"/>
        <v>protein_coding</v>
      </c>
    </row>
    <row r="3844" spans="1:9" x14ac:dyDescent="0.2">
      <c r="A3844" s="3" t="str">
        <f>"ENSG00000169727.12"</f>
        <v>ENSG00000169727.12</v>
      </c>
      <c r="B3844" s="3">
        <v>2386.1265911554001</v>
      </c>
      <c r="C3844" s="3">
        <v>1.0457423809772699</v>
      </c>
      <c r="D3844" s="3">
        <v>0.31671847410077603</v>
      </c>
      <c r="E3844" s="3">
        <v>3.3018041778154101</v>
      </c>
      <c r="F3844" s="3">
        <v>9.6065111342849801E-4</v>
      </c>
      <c r="G3844" s="3">
        <v>5.8925088413298897E-3</v>
      </c>
      <c r="H3844" s="3" t="str">
        <f>"GPS1"</f>
        <v>GPS1</v>
      </c>
      <c r="I3844" s="3" t="str">
        <f t="shared" si="156"/>
        <v>protein_coding</v>
      </c>
    </row>
    <row r="3845" spans="1:9" x14ac:dyDescent="0.2">
      <c r="A3845" s="3" t="str">
        <f>"ENSG00000169718.17"</f>
        <v>ENSG00000169718.17</v>
      </c>
      <c r="B3845" s="3">
        <v>1474.0128560494099</v>
      </c>
      <c r="C3845" s="3">
        <v>1.1825664518249199</v>
      </c>
      <c r="D3845" s="3">
        <v>0.33135390217212601</v>
      </c>
      <c r="E3845" s="3">
        <v>3.5688924864709302</v>
      </c>
      <c r="F3845" s="3">
        <v>3.58493493106845E-4</v>
      </c>
      <c r="G3845" s="3">
        <v>2.5035824039707599E-3</v>
      </c>
      <c r="H3845" s="3" t="str">
        <f>"DUS1L"</f>
        <v>DUS1L</v>
      </c>
      <c r="I3845" s="3" t="str">
        <f t="shared" si="156"/>
        <v>protein_coding</v>
      </c>
    </row>
    <row r="3846" spans="1:9" x14ac:dyDescent="0.2">
      <c r="A3846" s="3" t="str">
        <f>"ENSG00000169710.9"</f>
        <v>ENSG00000169710.9</v>
      </c>
      <c r="B3846" s="3">
        <v>7991.7985554112201</v>
      </c>
      <c r="C3846" s="3">
        <v>1.25635448088119</v>
      </c>
      <c r="D3846" s="3">
        <v>0.35202169739795802</v>
      </c>
      <c r="E3846" s="3">
        <v>3.5689688737023801</v>
      </c>
      <c r="F3846" s="3">
        <v>3.5838899735858299E-4</v>
      </c>
      <c r="G3846" s="3">
        <v>2.5035476891294502E-3</v>
      </c>
      <c r="H3846" s="3" t="str">
        <f>"FASN"</f>
        <v>FASN</v>
      </c>
      <c r="I3846" s="3" t="str">
        <f t="shared" si="156"/>
        <v>protein_coding</v>
      </c>
    </row>
    <row r="3847" spans="1:9" x14ac:dyDescent="0.2">
      <c r="A3847" s="3" t="str">
        <f>"ENSG00000176155.18"</f>
        <v>ENSG00000176155.18</v>
      </c>
      <c r="B3847" s="3">
        <v>1368.0266600903501</v>
      </c>
      <c r="C3847" s="3">
        <v>2.2147425450712901</v>
      </c>
      <c r="D3847" s="3">
        <v>0.321573667294833</v>
      </c>
      <c r="E3847" s="3">
        <v>6.8872011931272903</v>
      </c>
      <c r="F3847" s="4">
        <v>5.6900722923364002E-12</v>
      </c>
      <c r="G3847" s="4">
        <v>1.5098498788367301E-10</v>
      </c>
      <c r="H3847" s="3" t="str">
        <f>"CCDC57"</f>
        <v>CCDC57</v>
      </c>
      <c r="I3847" s="3" t="str">
        <f t="shared" si="156"/>
        <v>protein_coding</v>
      </c>
    </row>
    <row r="3848" spans="1:9" x14ac:dyDescent="0.2">
      <c r="A3848" s="3" t="str">
        <f>"ENSG00000141574.7"</f>
        <v>ENSG00000141574.7</v>
      </c>
      <c r="B3848" s="3">
        <v>97.115610754739194</v>
      </c>
      <c r="C3848" s="3">
        <v>-1.25233095543103</v>
      </c>
      <c r="D3848" s="3">
        <v>0.42236276825570102</v>
      </c>
      <c r="E3848" s="3">
        <v>-2.9650600137009802</v>
      </c>
      <c r="F3848" s="3">
        <v>3.0262388749008099E-3</v>
      </c>
      <c r="G3848" s="3">
        <v>1.5532552315472299E-2</v>
      </c>
      <c r="H3848" s="3" t="str">
        <f>"SECTM1"</f>
        <v>SECTM1</v>
      </c>
      <c r="I3848" s="3" t="str">
        <f t="shared" si="156"/>
        <v>protein_coding</v>
      </c>
    </row>
    <row r="3849" spans="1:9" x14ac:dyDescent="0.2">
      <c r="A3849" s="3" t="str">
        <f>"ENSG00000182459.5"</f>
        <v>ENSG00000182459.5</v>
      </c>
      <c r="B3849" s="3">
        <v>141.140506105969</v>
      </c>
      <c r="C3849" s="3">
        <v>-1.2475776762930799</v>
      </c>
      <c r="D3849" s="3">
        <v>0.36038802811655701</v>
      </c>
      <c r="E3849" s="3">
        <v>-3.46176226444899</v>
      </c>
      <c r="F3849" s="3">
        <v>5.3665096807414402E-4</v>
      </c>
      <c r="G3849" s="3">
        <v>3.5581062472074599E-3</v>
      </c>
      <c r="H3849" s="3" t="str">
        <f>"TEX19"</f>
        <v>TEX19</v>
      </c>
      <c r="I3849" s="3" t="str">
        <f t="shared" si="156"/>
        <v>protein_coding</v>
      </c>
    </row>
    <row r="3850" spans="1:9" x14ac:dyDescent="0.2">
      <c r="A3850" s="3" t="str">
        <f>"ENSG00000279744.1"</f>
        <v>ENSG00000279744.1</v>
      </c>
      <c r="B3850" s="3">
        <v>186.83679439148699</v>
      </c>
      <c r="C3850" s="3">
        <v>1.3466211873176399</v>
      </c>
      <c r="D3850" s="3">
        <v>0.36419050234232803</v>
      </c>
      <c r="E3850" s="3">
        <v>3.69757360133422</v>
      </c>
      <c r="F3850" s="3">
        <v>2.17670118401276E-4</v>
      </c>
      <c r="G3850" s="3">
        <v>1.6104387730541501E-3</v>
      </c>
      <c r="H3850" s="3" t="str">
        <f>"AC132938.5"</f>
        <v>AC132938.5</v>
      </c>
      <c r="I3850" s="3" t="str">
        <f>"TEC"</f>
        <v>TEC</v>
      </c>
    </row>
    <row r="3851" spans="1:9" x14ac:dyDescent="0.2">
      <c r="A3851" s="3" t="str">
        <f>"ENSG00000262652.1"</f>
        <v>ENSG00000262652.1</v>
      </c>
      <c r="B3851" s="3">
        <v>71.751797673954002</v>
      </c>
      <c r="C3851" s="3">
        <v>1.6783392880314301</v>
      </c>
      <c r="D3851" s="3">
        <v>0.452047132237474</v>
      </c>
      <c r="E3851" s="3">
        <v>3.71275287097663</v>
      </c>
      <c r="F3851" s="3">
        <v>2.0501705347173601E-4</v>
      </c>
      <c r="G3851" s="3">
        <v>1.52625154781933E-3</v>
      </c>
      <c r="H3851" s="3" t="str">
        <f>"AC124283.3"</f>
        <v>AC124283.3</v>
      </c>
      <c r="I3851" s="3" t="str">
        <f>"sense_intronic"</f>
        <v>sense_intronic</v>
      </c>
    </row>
    <row r="3852" spans="1:9" x14ac:dyDescent="0.2">
      <c r="A3852" s="3" t="str">
        <f>"ENSG00000262663.1"</f>
        <v>ENSG00000262663.1</v>
      </c>
      <c r="B3852" s="3">
        <v>66.513669297967695</v>
      </c>
      <c r="C3852" s="3">
        <v>1.43275026285719</v>
      </c>
      <c r="D3852" s="3">
        <v>0.49809090262718703</v>
      </c>
      <c r="E3852" s="3">
        <v>2.8764834998995701</v>
      </c>
      <c r="F3852" s="3">
        <v>4.0213321899747701E-3</v>
      </c>
      <c r="G3852" s="3">
        <v>1.97919411541411E-2</v>
      </c>
      <c r="H3852" s="3" t="str">
        <f>"AC087222.1"</f>
        <v>AC087222.1</v>
      </c>
      <c r="I3852" s="3" t="str">
        <f>"lincRNA"</f>
        <v>lincRNA</v>
      </c>
    </row>
    <row r="3853" spans="1:9" x14ac:dyDescent="0.2">
      <c r="A3853" s="3" t="str">
        <f>"ENSG00000175711.8"</f>
        <v>ENSG00000175711.8</v>
      </c>
      <c r="B3853" s="3">
        <v>870.00812385083202</v>
      </c>
      <c r="C3853" s="3">
        <v>1.7596966182156799</v>
      </c>
      <c r="D3853" s="3">
        <v>0.30104807468698702</v>
      </c>
      <c r="E3853" s="3">
        <v>5.8452345860218999</v>
      </c>
      <c r="F3853" s="4">
        <v>5.0585488677651398E-9</v>
      </c>
      <c r="G3853" s="4">
        <v>9.35645564475235E-8</v>
      </c>
      <c r="H3853" s="3" t="str">
        <f>"B3GNTL1"</f>
        <v>B3GNTL1</v>
      </c>
      <c r="I3853" s="3" t="str">
        <f>"protein_coding"</f>
        <v>protein_coding</v>
      </c>
    </row>
    <row r="3854" spans="1:9" x14ac:dyDescent="0.2">
      <c r="A3854" s="3" t="str">
        <f>"ENSG00000176845.13"</f>
        <v>ENSG00000176845.13</v>
      </c>
      <c r="B3854" s="3">
        <v>405.27044490957098</v>
      </c>
      <c r="C3854" s="3">
        <v>3.19154968716076</v>
      </c>
      <c r="D3854" s="3">
        <v>0.31686781784842</v>
      </c>
      <c r="E3854" s="3">
        <v>10.072179967129101</v>
      </c>
      <c r="F3854" s="4">
        <v>7.3334329151895504E-24</v>
      </c>
      <c r="G3854" s="4">
        <v>5.1896256408239303E-22</v>
      </c>
      <c r="H3854" s="3" t="str">
        <f>"METRNL"</f>
        <v>METRNL</v>
      </c>
      <c r="I3854" s="3" t="str">
        <f>"protein_coding"</f>
        <v>protein_coding</v>
      </c>
    </row>
    <row r="3855" spans="1:9" x14ac:dyDescent="0.2">
      <c r="A3855" s="3" t="str">
        <f>"ENSG00000277521.1"</f>
        <v>ENSG00000277521.1</v>
      </c>
      <c r="B3855" s="3">
        <v>18.9334847209117</v>
      </c>
      <c r="C3855" s="3">
        <v>6.3109177734931903</v>
      </c>
      <c r="D3855" s="3">
        <v>1.5989724934564</v>
      </c>
      <c r="E3855" s="3">
        <v>3.9468582476057898</v>
      </c>
      <c r="F3855" s="4">
        <v>7.91834055189483E-5</v>
      </c>
      <c r="G3855" s="3">
        <v>6.6007369376869804E-4</v>
      </c>
      <c r="H3855" s="3" t="str">
        <f>"MIR8078"</f>
        <v>MIR8078</v>
      </c>
      <c r="I3855" s="3" t="str">
        <f>"miRNA"</f>
        <v>miRNA</v>
      </c>
    </row>
    <row r="3856" spans="1:9" x14ac:dyDescent="0.2">
      <c r="A3856" s="3" t="str">
        <f>"ENSG00000263727.1"</f>
        <v>ENSG00000263727.1</v>
      </c>
      <c r="B3856" s="3">
        <v>82.180276085589995</v>
      </c>
      <c r="C3856" s="3">
        <v>2.3039282468937601</v>
      </c>
      <c r="D3856" s="3">
        <v>0.44985062929928799</v>
      </c>
      <c r="E3856" s="3">
        <v>5.1215405666598404</v>
      </c>
      <c r="F3856" s="4">
        <v>3.0304952515380501E-7</v>
      </c>
      <c r="G3856" s="4">
        <v>4.1656889646141903E-6</v>
      </c>
      <c r="H3856" s="3" t="str">
        <f>"AP001178.1"</f>
        <v>AP001178.1</v>
      </c>
      <c r="I3856" s="3" t="str">
        <f>"sense_intronic"</f>
        <v>sense_intronic</v>
      </c>
    </row>
    <row r="3857" spans="1:9" x14ac:dyDescent="0.2">
      <c r="A3857" s="3" t="str">
        <f>"ENSG00000264635.1"</f>
        <v>ENSG00000264635.1</v>
      </c>
      <c r="B3857" s="3">
        <v>85.096037780238206</v>
      </c>
      <c r="C3857" s="3">
        <v>1.07210118737993</v>
      </c>
      <c r="D3857" s="3">
        <v>0.423958393495252</v>
      </c>
      <c r="E3857" s="3">
        <v>2.52878868263742</v>
      </c>
      <c r="F3857" s="3">
        <v>1.14456916545325E-2</v>
      </c>
      <c r="G3857" s="3">
        <v>4.7222629747378397E-2</v>
      </c>
      <c r="H3857" s="3" t="str">
        <f>"AP001020.2"</f>
        <v>AP001020.2</v>
      </c>
      <c r="I3857" s="3" t="str">
        <f>"sense_intronic"</f>
        <v>sense_intronic</v>
      </c>
    </row>
    <row r="3858" spans="1:9" x14ac:dyDescent="0.2">
      <c r="A3858" s="3" t="str">
        <f>"ENSG00000206687.1"</f>
        <v>ENSG00000206687.1</v>
      </c>
      <c r="B3858" s="3">
        <v>46.912596839053798</v>
      </c>
      <c r="C3858" s="3">
        <v>1.89574494502383</v>
      </c>
      <c r="D3858" s="3">
        <v>0.57405084017462604</v>
      </c>
      <c r="E3858" s="3">
        <v>3.3023990426477701</v>
      </c>
      <c r="F3858" s="3">
        <v>9.5861589025904997E-4</v>
      </c>
      <c r="G3858" s="3">
        <v>5.8851206520985702E-3</v>
      </c>
      <c r="H3858" s="3" t="str">
        <f>"RNU1-109P"</f>
        <v>RNU1-109P</v>
      </c>
      <c r="I3858" s="3" t="str">
        <f>"snRNA"</f>
        <v>snRNA</v>
      </c>
    </row>
    <row r="3859" spans="1:9" x14ac:dyDescent="0.2">
      <c r="A3859" s="3" t="str">
        <f>"ENSG00000266405.3"</f>
        <v>ENSG00000266405.3</v>
      </c>
      <c r="B3859" s="3">
        <v>24.402807180802998</v>
      </c>
      <c r="C3859" s="3">
        <v>-1.82893350676653</v>
      </c>
      <c r="D3859" s="3">
        <v>0.72444888941164898</v>
      </c>
      <c r="E3859" s="3">
        <v>-2.5245859763162501</v>
      </c>
      <c r="F3859" s="3">
        <v>1.15834666846366E-2</v>
      </c>
      <c r="G3859" s="3">
        <v>4.7665974881732798E-2</v>
      </c>
      <c r="H3859" s="3" t="str">
        <f>"AP005061.1"</f>
        <v>AP005061.1</v>
      </c>
      <c r="I3859" s="3" t="str">
        <f>"transcribed_processed_pseudogene"</f>
        <v>transcribed_processed_pseudogene</v>
      </c>
    </row>
    <row r="3860" spans="1:9" x14ac:dyDescent="0.2">
      <c r="A3860" s="3" t="str">
        <f>"ENSG00000101577.9"</f>
        <v>ENSG00000101577.9</v>
      </c>
      <c r="B3860" s="3">
        <v>5538.51351983117</v>
      </c>
      <c r="C3860" s="3">
        <v>1.15454865199713</v>
      </c>
      <c r="D3860" s="3">
        <v>0.24355645347072899</v>
      </c>
      <c r="E3860" s="3">
        <v>4.7403738868117697</v>
      </c>
      <c r="F3860" s="4">
        <v>2.13324199087283E-6</v>
      </c>
      <c r="G3860" s="4">
        <v>2.5028779048696801E-5</v>
      </c>
      <c r="H3860" s="3" t="str">
        <f>"LPIN2"</f>
        <v>LPIN2</v>
      </c>
      <c r="I3860" s="3" t="str">
        <f>"protein_coding"</f>
        <v>protein_coding</v>
      </c>
    </row>
    <row r="3861" spans="1:9" x14ac:dyDescent="0.2">
      <c r="A3861" s="3" t="str">
        <f>"ENSG00000263606.1"</f>
        <v>ENSG00000263606.1</v>
      </c>
      <c r="B3861" s="3">
        <v>174.796130117198</v>
      </c>
      <c r="C3861" s="3">
        <v>1.45447803392565</v>
      </c>
      <c r="D3861" s="3">
        <v>0.36072215924945999</v>
      </c>
      <c r="E3861" s="3">
        <v>4.0321283199011901</v>
      </c>
      <c r="F3861" s="4">
        <v>5.5273990849054299E-5</v>
      </c>
      <c r="G3861" s="3">
        <v>4.8011645020993102E-4</v>
      </c>
      <c r="H3861" s="3" t="str">
        <f>"AP000919.1"</f>
        <v>AP000919.1</v>
      </c>
      <c r="I3861" s="3" t="str">
        <f>"transcribed_processed_pseudogene"</f>
        <v>transcribed_processed_pseudogene</v>
      </c>
    </row>
    <row r="3862" spans="1:9" x14ac:dyDescent="0.2">
      <c r="A3862" s="3" t="str">
        <f>"ENSG00000101605.12"</f>
        <v>ENSG00000101605.12</v>
      </c>
      <c r="B3862" s="3">
        <v>261.21954412746601</v>
      </c>
      <c r="C3862" s="3">
        <v>3.0319828241077098</v>
      </c>
      <c r="D3862" s="3">
        <v>0.335230760233171</v>
      </c>
      <c r="E3862" s="3">
        <v>9.0444648396788008</v>
      </c>
      <c r="F3862" s="4">
        <v>1.5040005657902799E-19</v>
      </c>
      <c r="G3862" s="4">
        <v>7.8655164724437796E-18</v>
      </c>
      <c r="H3862" s="3" t="str">
        <f>"MYOM1"</f>
        <v>MYOM1</v>
      </c>
      <c r="I3862" s="3" t="str">
        <f>"protein_coding"</f>
        <v>protein_coding</v>
      </c>
    </row>
    <row r="3863" spans="1:9" x14ac:dyDescent="0.2">
      <c r="A3863" s="3" t="str">
        <f>"ENSG00000264575.1"</f>
        <v>ENSG00000264575.1</v>
      </c>
      <c r="B3863" s="3">
        <v>200.96752341470099</v>
      </c>
      <c r="C3863" s="3">
        <v>-1.3639010738055899</v>
      </c>
      <c r="D3863" s="3">
        <v>0.35374703944248298</v>
      </c>
      <c r="E3863" s="3">
        <v>-3.8555830063062602</v>
      </c>
      <c r="F3863" s="3">
        <v>1.15454146187625E-4</v>
      </c>
      <c r="G3863" s="3">
        <v>9.2198382455546603E-4</v>
      </c>
      <c r="H3863" s="3" t="str">
        <f>"LINC00526"</f>
        <v>LINC00526</v>
      </c>
      <c r="I3863" s="3" t="str">
        <f>"lincRNA"</f>
        <v>lincRNA</v>
      </c>
    </row>
    <row r="3864" spans="1:9" x14ac:dyDescent="0.2">
      <c r="A3864" s="3" t="str">
        <f>"ENSG00000265933.5"</f>
        <v>ENSG00000265933.5</v>
      </c>
      <c r="B3864" s="3">
        <v>90.500265598059698</v>
      </c>
      <c r="C3864" s="3">
        <v>-2.7829209024986601</v>
      </c>
      <c r="D3864" s="3">
        <v>0.46748454917307702</v>
      </c>
      <c r="E3864" s="3">
        <v>-5.9529687289586404</v>
      </c>
      <c r="F3864" s="4">
        <v>2.6332162627969698E-9</v>
      </c>
      <c r="G3864" s="4">
        <v>5.0256870326751002E-8</v>
      </c>
      <c r="H3864" s="3" t="str">
        <f>"LINC00668"</f>
        <v>LINC00668</v>
      </c>
      <c r="I3864" s="3" t="str">
        <f>"lincRNA"</f>
        <v>lincRNA</v>
      </c>
    </row>
    <row r="3865" spans="1:9" x14ac:dyDescent="0.2">
      <c r="A3865" s="3" t="str">
        <f>"ENSG00000101680.15"</f>
        <v>ENSG00000101680.15</v>
      </c>
      <c r="B3865" s="3">
        <v>399.31409072966397</v>
      </c>
      <c r="C3865" s="3">
        <v>3.8941834755304101</v>
      </c>
      <c r="D3865" s="3">
        <v>0.313595485855517</v>
      </c>
      <c r="E3865" s="3">
        <v>12.4178556489955</v>
      </c>
      <c r="F3865" s="4">
        <v>2.0909092139086699E-35</v>
      </c>
      <c r="G3865" s="4">
        <v>2.69727288594219E-33</v>
      </c>
      <c r="H3865" s="3" t="str">
        <f>"LAMA1"</f>
        <v>LAMA1</v>
      </c>
      <c r="I3865" s="3" t="str">
        <f>"protein_coding"</f>
        <v>protein_coding</v>
      </c>
    </row>
    <row r="3866" spans="1:9" x14ac:dyDescent="0.2">
      <c r="A3866" s="3" t="str">
        <f>"ENSG00000173482.16"</f>
        <v>ENSG00000173482.16</v>
      </c>
      <c r="B3866" s="3">
        <v>2292.0611196956002</v>
      </c>
      <c r="C3866" s="3">
        <v>2.2625113838087199</v>
      </c>
      <c r="D3866" s="3">
        <v>0.25022148356681301</v>
      </c>
      <c r="E3866" s="3">
        <v>9.04203488668308</v>
      </c>
      <c r="F3866" s="4">
        <v>1.5378199169529001E-19</v>
      </c>
      <c r="G3866" s="4">
        <v>8.0256970977075201E-18</v>
      </c>
      <c r="H3866" s="3" t="str">
        <f>"PTPRM"</f>
        <v>PTPRM</v>
      </c>
      <c r="I3866" s="3" t="str">
        <f>"protein_coding"</f>
        <v>protein_coding</v>
      </c>
    </row>
    <row r="3867" spans="1:9" x14ac:dyDescent="0.2">
      <c r="A3867" s="3" t="str">
        <f>"ENSG00000266767.1"</f>
        <v>ENSG00000266767.1</v>
      </c>
      <c r="B3867" s="3">
        <v>19.067461897761699</v>
      </c>
      <c r="C3867" s="3">
        <v>2.5528218898245698</v>
      </c>
      <c r="D3867" s="3">
        <v>0.84906980204945703</v>
      </c>
      <c r="E3867" s="3">
        <v>3.0066101557995002</v>
      </c>
      <c r="F3867" s="3">
        <v>2.6417831832233601E-3</v>
      </c>
      <c r="G3867" s="3">
        <v>1.3835947527375299E-2</v>
      </c>
      <c r="H3867" s="3" t="str">
        <f>"AP000897.2"</f>
        <v>AP000897.2</v>
      </c>
      <c r="I3867" s="3" t="str">
        <f>"antisense"</f>
        <v>antisense</v>
      </c>
    </row>
    <row r="3868" spans="1:9" x14ac:dyDescent="0.2">
      <c r="A3868" s="3" t="str">
        <f>"ENSG00000264596.1"</f>
        <v>ENSG00000264596.1</v>
      </c>
      <c r="B3868" s="3">
        <v>129.984739266161</v>
      </c>
      <c r="C3868" s="3">
        <v>2.3497347196754599</v>
      </c>
      <c r="D3868" s="3">
        <v>0.38737652750582602</v>
      </c>
      <c r="E3868" s="3">
        <v>6.0657643218718702</v>
      </c>
      <c r="F3868" s="4">
        <v>1.3132759062766599E-9</v>
      </c>
      <c r="G3868" s="4">
        <v>2.6302114189800399E-8</v>
      </c>
      <c r="H3868" s="3" t="str">
        <f>"AP000897.1"</f>
        <v>AP000897.1</v>
      </c>
      <c r="I3868" s="3" t="str">
        <f>"sense_intronic"</f>
        <v>sense_intronic</v>
      </c>
    </row>
    <row r="3869" spans="1:9" x14ac:dyDescent="0.2">
      <c r="A3869" s="3" t="str">
        <f>"ENSG00000199856.2"</f>
        <v>ENSG00000199856.2</v>
      </c>
      <c r="B3869" s="3">
        <v>19.034812873341799</v>
      </c>
      <c r="C3869" s="3">
        <v>3.00735192906237</v>
      </c>
      <c r="D3869" s="3">
        <v>0.87186778856061298</v>
      </c>
      <c r="E3869" s="3">
        <v>3.4493210650978101</v>
      </c>
      <c r="F3869" s="3">
        <v>5.6199805679832599E-4</v>
      </c>
      <c r="G3869" s="3">
        <v>3.7027399472922698E-3</v>
      </c>
      <c r="H3869" s="3" t="str">
        <f>"RF00012"</f>
        <v>RF00012</v>
      </c>
      <c r="I3869" s="3" t="str">
        <f>"snoRNA"</f>
        <v>snoRNA</v>
      </c>
    </row>
    <row r="3870" spans="1:9" x14ac:dyDescent="0.2">
      <c r="A3870" s="3" t="str">
        <f>"ENSG00000273368.1"</f>
        <v>ENSG00000273368.1</v>
      </c>
      <c r="B3870" s="3">
        <v>47.1259288379471</v>
      </c>
      <c r="C3870" s="3">
        <v>2.8746698562184401</v>
      </c>
      <c r="D3870" s="3">
        <v>0.57834454214406705</v>
      </c>
      <c r="E3870" s="3">
        <v>4.9705143677181098</v>
      </c>
      <c r="F3870" s="4">
        <v>6.6775512745166597E-7</v>
      </c>
      <c r="G3870" s="4">
        <v>8.6539826022909099E-6</v>
      </c>
      <c r="H3870" s="3" t="str">
        <f>"AC006566.1"</f>
        <v>AC006566.1</v>
      </c>
      <c r="I3870" s="3" t="str">
        <f>"sense_intronic"</f>
        <v>sense_intronic</v>
      </c>
    </row>
    <row r="3871" spans="1:9" x14ac:dyDescent="0.2">
      <c r="A3871" s="3" t="str">
        <f>"ENSG00000266805.1"</f>
        <v>ENSG00000266805.1</v>
      </c>
      <c r="B3871" s="3">
        <v>68.387270688486794</v>
      </c>
      <c r="C3871" s="3">
        <v>1.44154351276113</v>
      </c>
      <c r="D3871" s="3">
        <v>0.51920132579856604</v>
      </c>
      <c r="E3871" s="3">
        <v>2.77646346635178</v>
      </c>
      <c r="F3871" s="3">
        <v>5.4953810629823499E-3</v>
      </c>
      <c r="G3871" s="3">
        <v>2.5599377386828302E-2</v>
      </c>
      <c r="H3871" s="3" t="str">
        <f>"AP005432.1"</f>
        <v>AP005432.1</v>
      </c>
      <c r="I3871" s="3" t="str">
        <f>"sense_intronic"</f>
        <v>sense_intronic</v>
      </c>
    </row>
    <row r="3872" spans="1:9" x14ac:dyDescent="0.2">
      <c r="A3872" s="3" t="str">
        <f>"ENSG00000168461.13"</f>
        <v>ENSG00000168461.13</v>
      </c>
      <c r="B3872" s="3">
        <v>80.827039063801806</v>
      </c>
      <c r="C3872" s="3">
        <v>1.4790364443191399</v>
      </c>
      <c r="D3872" s="3">
        <v>0.44845850281118099</v>
      </c>
      <c r="E3872" s="3">
        <v>3.2980452707390699</v>
      </c>
      <c r="F3872" s="3">
        <v>9.7360435925266395E-4</v>
      </c>
      <c r="G3872" s="3">
        <v>5.9646901259134896E-3</v>
      </c>
      <c r="H3872" s="3" t="str">
        <f>"RAB31"</f>
        <v>RAB31</v>
      </c>
      <c r="I3872" s="3" t="str">
        <f>"protein_coding"</f>
        <v>protein_coding</v>
      </c>
    </row>
    <row r="3873" spans="1:9" x14ac:dyDescent="0.2">
      <c r="A3873" s="3" t="str">
        <f>"ENSG00000154856.13"</f>
        <v>ENSG00000154856.13</v>
      </c>
      <c r="B3873" s="3">
        <v>29.29746569357</v>
      </c>
      <c r="C3873" s="3">
        <v>-4.1844972490583396</v>
      </c>
      <c r="D3873" s="3">
        <v>0.86209077660529099</v>
      </c>
      <c r="E3873" s="3">
        <v>-4.8538940012047203</v>
      </c>
      <c r="F3873" s="4">
        <v>1.21060461425049E-6</v>
      </c>
      <c r="G3873" s="4">
        <v>1.48188608620297E-5</v>
      </c>
      <c r="H3873" s="3" t="str">
        <f>"APCDD1"</f>
        <v>APCDD1</v>
      </c>
      <c r="I3873" s="3" t="str">
        <f>"protein_coding"</f>
        <v>protein_coding</v>
      </c>
    </row>
    <row r="3874" spans="1:9" x14ac:dyDescent="0.2">
      <c r="A3874" s="3" t="str">
        <f>"ENSG00000154864.12"</f>
        <v>ENSG00000154864.12</v>
      </c>
      <c r="B3874" s="3">
        <v>6907.1232720266098</v>
      </c>
      <c r="C3874" s="3">
        <v>2.1323327718323402</v>
      </c>
      <c r="D3874" s="3">
        <v>0.23728791707257799</v>
      </c>
      <c r="E3874" s="3">
        <v>8.9862678139659593</v>
      </c>
      <c r="F3874" s="4">
        <v>2.5576824823433301E-19</v>
      </c>
      <c r="G3874" s="4">
        <v>1.31303067027238E-17</v>
      </c>
      <c r="H3874" s="3" t="str">
        <f>"PIEZO2"</f>
        <v>PIEZO2</v>
      </c>
      <c r="I3874" s="3" t="str">
        <f>"protein_coding"</f>
        <v>protein_coding</v>
      </c>
    </row>
    <row r="3875" spans="1:9" x14ac:dyDescent="0.2">
      <c r="A3875" s="3" t="str">
        <f>"ENSG00000141404.16"</f>
        <v>ENSG00000141404.16</v>
      </c>
      <c r="B3875" s="3">
        <v>192.69045483404699</v>
      </c>
      <c r="C3875" s="3">
        <v>-3.2052734316257299</v>
      </c>
      <c r="D3875" s="3">
        <v>0.36234057784524198</v>
      </c>
      <c r="E3875" s="3">
        <v>-8.8460239553813604</v>
      </c>
      <c r="F3875" s="4">
        <v>9.0692797857119591E-19</v>
      </c>
      <c r="G3875" s="4">
        <v>4.4732888825408698E-17</v>
      </c>
      <c r="H3875" s="3" t="str">
        <f>"GNAL"</f>
        <v>GNAL</v>
      </c>
      <c r="I3875" s="3" t="str">
        <f>"protein_coding"</f>
        <v>protein_coding</v>
      </c>
    </row>
    <row r="3876" spans="1:9" x14ac:dyDescent="0.2">
      <c r="A3876" s="3" t="str">
        <f>"ENSG00000272703.1"</f>
        <v>ENSG00000272703.1</v>
      </c>
      <c r="B3876" s="3">
        <v>5.1277381839816796</v>
      </c>
      <c r="C3876" s="3">
        <v>-5.7437045451783497</v>
      </c>
      <c r="D3876" s="3">
        <v>2.0202268878984002</v>
      </c>
      <c r="E3876" s="3">
        <v>-2.8430987527115801</v>
      </c>
      <c r="F3876" s="3">
        <v>4.4677225096068796E-3</v>
      </c>
      <c r="G3876" s="3">
        <v>2.1591846249598701E-2</v>
      </c>
      <c r="H3876" s="3" t="str">
        <f>"AP005137.2"</f>
        <v>AP005137.2</v>
      </c>
      <c r="I3876" s="3" t="str">
        <f>"antisense"</f>
        <v>antisense</v>
      </c>
    </row>
    <row r="3877" spans="1:9" x14ac:dyDescent="0.2">
      <c r="A3877" s="3" t="str">
        <f>"ENSG00000141401.12"</f>
        <v>ENSG00000141401.12</v>
      </c>
      <c r="B3877" s="3">
        <v>1059.20204444714</v>
      </c>
      <c r="C3877" s="3">
        <v>-1.7564414406450599</v>
      </c>
      <c r="D3877" s="3">
        <v>0.30559442166477102</v>
      </c>
      <c r="E3877" s="3">
        <v>-5.7476227186235596</v>
      </c>
      <c r="F3877" s="4">
        <v>9.0506908306486697E-9</v>
      </c>
      <c r="G3877" s="4">
        <v>1.60218246196318E-7</v>
      </c>
      <c r="H3877" s="3" t="str">
        <f>"IMPA2"</f>
        <v>IMPA2</v>
      </c>
      <c r="I3877" s="3" t="str">
        <f>"protein_coding"</f>
        <v>protein_coding</v>
      </c>
    </row>
    <row r="3878" spans="1:9" x14ac:dyDescent="0.2">
      <c r="A3878" s="3" t="str">
        <f>"ENSG00000181626.11"</f>
        <v>ENSG00000181626.11</v>
      </c>
      <c r="B3878" s="3">
        <v>179.213719872979</v>
      </c>
      <c r="C3878" s="3">
        <v>5.6055328781135296</v>
      </c>
      <c r="D3878" s="3">
        <v>0.54304327682862197</v>
      </c>
      <c r="E3878" s="3">
        <v>10.322442275411101</v>
      </c>
      <c r="F3878" s="4">
        <v>5.5785781714693103E-25</v>
      </c>
      <c r="G3878" s="4">
        <v>4.30893543116183E-23</v>
      </c>
      <c r="H3878" s="3" t="str">
        <f>"ANKRD62"</f>
        <v>ANKRD62</v>
      </c>
      <c r="I3878" s="3" t="str">
        <f>"protein_coding"</f>
        <v>protein_coding</v>
      </c>
    </row>
    <row r="3879" spans="1:9" x14ac:dyDescent="0.2">
      <c r="A3879" s="3" t="str">
        <f>"ENSG00000200827.1"</f>
        <v>ENSG00000200827.1</v>
      </c>
      <c r="B3879" s="3">
        <v>6.3439562616640099</v>
      </c>
      <c r="C3879" s="3">
        <v>6.1808710572548504</v>
      </c>
      <c r="D3879" s="3">
        <v>1.9221784537139801</v>
      </c>
      <c r="E3879" s="3">
        <v>3.2155552702780201</v>
      </c>
      <c r="F3879" s="3">
        <v>1.30192421484249E-3</v>
      </c>
      <c r="G3879" s="3">
        <v>7.6393523733059802E-3</v>
      </c>
      <c r="H3879" s="3" t="str">
        <f>"RNU6-324P"</f>
        <v>RNU6-324P</v>
      </c>
      <c r="I3879" s="3" t="str">
        <f>"snRNA"</f>
        <v>snRNA</v>
      </c>
    </row>
    <row r="3880" spans="1:9" x14ac:dyDescent="0.2">
      <c r="A3880" s="3" t="str">
        <f>"ENSG00000279285.1"</f>
        <v>ENSG00000279285.1</v>
      </c>
      <c r="B3880" s="3">
        <v>11.7507399482314</v>
      </c>
      <c r="C3880" s="3">
        <v>4.0043682373509597</v>
      </c>
      <c r="D3880" s="3">
        <v>1.27854011805107</v>
      </c>
      <c r="E3880" s="3">
        <v>3.1319848167572402</v>
      </c>
      <c r="F3880" s="3">
        <v>1.7362885423234001E-3</v>
      </c>
      <c r="G3880" s="3">
        <v>9.7354018474767896E-3</v>
      </c>
      <c r="H3880" s="3" t="str">
        <f>"AP005264.6"</f>
        <v>AP005264.6</v>
      </c>
      <c r="I3880" s="3" t="str">
        <f>"TEC"</f>
        <v>TEC</v>
      </c>
    </row>
    <row r="3881" spans="1:9" x14ac:dyDescent="0.2">
      <c r="A3881" s="3" t="str">
        <f>"ENSG00000267733.5"</f>
        <v>ENSG00000267733.5</v>
      </c>
      <c r="B3881" s="3">
        <v>23.525828383528399</v>
      </c>
      <c r="C3881" s="3">
        <v>3.1530023043852</v>
      </c>
      <c r="D3881" s="3">
        <v>0.82049815054604103</v>
      </c>
      <c r="E3881" s="3">
        <v>3.8427902638011799</v>
      </c>
      <c r="F3881" s="3">
        <v>1.21643416996501E-4</v>
      </c>
      <c r="G3881" s="3">
        <v>9.6497639689277102E-4</v>
      </c>
      <c r="H3881" s="3" t="str">
        <f>"AP005264.5"</f>
        <v>AP005264.5</v>
      </c>
      <c r="I3881" s="3" t="str">
        <f>"transcribed_processed_pseudogene"</f>
        <v>transcribed_processed_pseudogene</v>
      </c>
    </row>
    <row r="3882" spans="1:9" x14ac:dyDescent="0.2">
      <c r="A3882" s="3" t="str">
        <f>"ENSG00000176014.12"</f>
        <v>ENSG00000176014.12</v>
      </c>
      <c r="B3882" s="3">
        <v>3563.8966788241501</v>
      </c>
      <c r="C3882" s="3">
        <v>1.27080873246735</v>
      </c>
      <c r="D3882" s="3">
        <v>0.26324080369519598</v>
      </c>
      <c r="E3882" s="3">
        <v>4.8275522435298797</v>
      </c>
      <c r="F3882" s="4">
        <v>1.3822143499642599E-6</v>
      </c>
      <c r="G3882" s="4">
        <v>1.6692079679957299E-5</v>
      </c>
      <c r="H3882" s="3" t="str">
        <f>"TUBB6"</f>
        <v>TUBB6</v>
      </c>
      <c r="I3882" s="3" t="str">
        <f>"protein_coding"</f>
        <v>protein_coding</v>
      </c>
    </row>
    <row r="3883" spans="1:9" x14ac:dyDescent="0.2">
      <c r="A3883" s="3" t="str">
        <f>"ENSG00000101624.10"</f>
        <v>ENSG00000101624.10</v>
      </c>
      <c r="B3883" s="3">
        <v>1880.6985597053999</v>
      </c>
      <c r="C3883" s="3">
        <v>1.43377402597339</v>
      </c>
      <c r="D3883" s="3">
        <v>0.26718091031291902</v>
      </c>
      <c r="E3883" s="3">
        <v>5.3663041431147596</v>
      </c>
      <c r="F3883" s="4">
        <v>8.0366379931563095E-8</v>
      </c>
      <c r="G3883" s="4">
        <v>1.2205533554042599E-6</v>
      </c>
      <c r="H3883" s="3" t="str">
        <f>"CEP76"</f>
        <v>CEP76</v>
      </c>
      <c r="I3883" s="3" t="str">
        <f>"protein_coding"</f>
        <v>protein_coding</v>
      </c>
    </row>
    <row r="3884" spans="1:9" x14ac:dyDescent="0.2">
      <c r="A3884" s="3" t="str">
        <f>"ENSG00000267249.1"</f>
        <v>ENSG00000267249.1</v>
      </c>
      <c r="B3884" s="3">
        <v>124.102556536207</v>
      </c>
      <c r="C3884" s="3">
        <v>1.6303431037701801</v>
      </c>
      <c r="D3884" s="3">
        <v>0.381204201872336</v>
      </c>
      <c r="E3884" s="3">
        <v>4.2768235390967</v>
      </c>
      <c r="F3884" s="4">
        <v>1.89578956767135E-5</v>
      </c>
      <c r="G3884" s="3">
        <v>1.8243529676653699E-4</v>
      </c>
      <c r="H3884" s="3" t="str">
        <f>"AP005482.3"</f>
        <v>AP005482.3</v>
      </c>
      <c r="I3884" s="3" t="str">
        <f>"sense_intronic"</f>
        <v>sense_intronic</v>
      </c>
    </row>
    <row r="3885" spans="1:9" x14ac:dyDescent="0.2">
      <c r="A3885" s="3" t="str">
        <f>"ENSG00000267656.1"</f>
        <v>ENSG00000267656.1</v>
      </c>
      <c r="B3885" s="3">
        <v>13.230518781164401</v>
      </c>
      <c r="C3885" s="3">
        <v>-3.5536620412435602</v>
      </c>
      <c r="D3885" s="3">
        <v>1.11310976096417</v>
      </c>
      <c r="E3885" s="3">
        <v>-3.1925531208758802</v>
      </c>
      <c r="F3885" s="3">
        <v>1.4102100342619601E-3</v>
      </c>
      <c r="G3885" s="3">
        <v>8.1699293901104607E-3</v>
      </c>
      <c r="H3885" s="3" t="str">
        <f>"AP001357.2"</f>
        <v>AP001357.2</v>
      </c>
      <c r="I3885" s="3" t="str">
        <f>"processed_pseudogene"</f>
        <v>processed_pseudogene</v>
      </c>
    </row>
    <row r="3886" spans="1:9" x14ac:dyDescent="0.2">
      <c r="A3886" s="3" t="str">
        <f>"ENSG00000168675.18"</f>
        <v>ENSG00000168675.18</v>
      </c>
      <c r="B3886" s="3">
        <v>421.884983081847</v>
      </c>
      <c r="C3886" s="3">
        <v>-1.3824961059480301</v>
      </c>
      <c r="D3886" s="3">
        <v>0.28265960896312797</v>
      </c>
      <c r="E3886" s="3">
        <v>-4.8910281558069197</v>
      </c>
      <c r="F3886" s="4">
        <v>1.00310612730766E-6</v>
      </c>
      <c r="G3886" s="4">
        <v>1.2560047104243E-5</v>
      </c>
      <c r="H3886" s="3" t="str">
        <f>"LDLRAD4"</f>
        <v>LDLRAD4</v>
      </c>
      <c r="I3886" s="3" t="str">
        <f>"protein_coding"</f>
        <v>protein_coding</v>
      </c>
    </row>
    <row r="3887" spans="1:9" x14ac:dyDescent="0.2">
      <c r="A3887" s="3" t="str">
        <f>"ENSG00000267702.1"</f>
        <v>ENSG00000267702.1</v>
      </c>
      <c r="B3887" s="3">
        <v>63.735424320521403</v>
      </c>
      <c r="C3887" s="3">
        <v>-1.45812751308251</v>
      </c>
      <c r="D3887" s="3">
        <v>0.490731426274991</v>
      </c>
      <c r="E3887" s="3">
        <v>-2.9713351030944901</v>
      </c>
      <c r="F3887" s="3">
        <v>2.96508054347911E-3</v>
      </c>
      <c r="G3887" s="3">
        <v>1.52716218409535E-2</v>
      </c>
      <c r="H3887" s="3" t="str">
        <f>"AP005131.6"</f>
        <v>AP005131.6</v>
      </c>
      <c r="I3887" s="3" t="str">
        <f>"sense_intronic"</f>
        <v>sense_intronic</v>
      </c>
    </row>
    <row r="3888" spans="1:9" x14ac:dyDescent="0.2">
      <c r="A3888" s="3" t="str">
        <f>"ENSG00000267324.1"</f>
        <v>ENSG00000267324.1</v>
      </c>
      <c r="B3888" s="3">
        <v>25.683503219930099</v>
      </c>
      <c r="C3888" s="3">
        <v>4.1246963114334898</v>
      </c>
      <c r="D3888" s="3">
        <v>0.883481617121046</v>
      </c>
      <c r="E3888" s="3">
        <v>4.6686837977166098</v>
      </c>
      <c r="F3888" s="4">
        <v>3.03135513419981E-6</v>
      </c>
      <c r="G3888" s="4">
        <v>3.4566517860741703E-5</v>
      </c>
      <c r="H3888" s="3" t="str">
        <f>"AC006557.2"</f>
        <v>AC006557.2</v>
      </c>
      <c r="I3888" s="3" t="str">
        <f>"processed_pseudogene"</f>
        <v>processed_pseudogene</v>
      </c>
    </row>
    <row r="3889" spans="1:9" x14ac:dyDescent="0.2">
      <c r="A3889" s="3" t="str">
        <f>"ENSG00000175319.3"</f>
        <v>ENSG00000175319.3</v>
      </c>
      <c r="B3889" s="3">
        <v>9.7901078053349302</v>
      </c>
      <c r="C3889" s="3">
        <v>5.3148665465128699</v>
      </c>
      <c r="D3889" s="3">
        <v>1.74229065981626</v>
      </c>
      <c r="E3889" s="3">
        <v>3.0505051017568801</v>
      </c>
      <c r="F3889" s="3">
        <v>2.2845679901562E-3</v>
      </c>
      <c r="G3889" s="3">
        <v>1.2268853446836E-2</v>
      </c>
      <c r="H3889" s="3" t="str">
        <f>"NF1P5"</f>
        <v>NF1P5</v>
      </c>
      <c r="I3889" s="3" t="str">
        <f>"processed_pseudogene"</f>
        <v>processed_pseudogene</v>
      </c>
    </row>
    <row r="3890" spans="1:9" x14ac:dyDescent="0.2">
      <c r="A3890" s="3" t="str">
        <f>"ENSG00000186481.16"</f>
        <v>ENSG00000186481.16</v>
      </c>
      <c r="B3890" s="3">
        <v>2212.83704834634</v>
      </c>
      <c r="C3890" s="3">
        <v>3.32382930798097</v>
      </c>
      <c r="D3890" s="3">
        <v>0.27490315585416097</v>
      </c>
      <c r="E3890" s="3">
        <v>12.090909970288999</v>
      </c>
      <c r="F3890" s="4">
        <v>1.1797276858844E-33</v>
      </c>
      <c r="G3890" s="4">
        <v>1.3998136763406601E-31</v>
      </c>
      <c r="H3890" s="3" t="str">
        <f>"ANKRD20A5P"</f>
        <v>ANKRD20A5P</v>
      </c>
      <c r="I3890" s="3" t="str">
        <f>"transcribed_unprocessed_pseudogene"</f>
        <v>transcribed_unprocessed_pseudogene</v>
      </c>
    </row>
    <row r="3891" spans="1:9" x14ac:dyDescent="0.2">
      <c r="A3891" s="3" t="str">
        <f>"ENSG00000212329.1"</f>
        <v>ENSG00000212329.1</v>
      </c>
      <c r="B3891" s="3">
        <v>74.899418020752293</v>
      </c>
      <c r="C3891" s="3">
        <v>2.9696336308699198</v>
      </c>
      <c r="D3891" s="3">
        <v>0.48489663107532299</v>
      </c>
      <c r="E3891" s="3">
        <v>6.1242612147755402</v>
      </c>
      <c r="F3891" s="4">
        <v>9.11053289989478E-10</v>
      </c>
      <c r="G3891" s="4">
        <v>1.8677706201862499E-8</v>
      </c>
      <c r="H3891" s="3" t="str">
        <f>"RNU6-316P"</f>
        <v>RNU6-316P</v>
      </c>
      <c r="I3891" s="3" t="str">
        <f>"snRNA"</f>
        <v>snRNA</v>
      </c>
    </row>
    <row r="3892" spans="1:9" x14ac:dyDescent="0.2">
      <c r="A3892" s="3" t="str">
        <f>"ENSG00000266145.1"</f>
        <v>ENSG00000266145.1</v>
      </c>
      <c r="B3892" s="3">
        <v>220.45006532870701</v>
      </c>
      <c r="C3892" s="3">
        <v>3.0760366268694002</v>
      </c>
      <c r="D3892" s="3">
        <v>0.35437739660038797</v>
      </c>
      <c r="E3892" s="3">
        <v>8.6801152002876503</v>
      </c>
      <c r="F3892" s="4">
        <v>3.9536815760540797E-18</v>
      </c>
      <c r="G3892" s="4">
        <v>1.8729728822154499E-16</v>
      </c>
      <c r="H3892" s="3" t="str">
        <f>"RHOT1P1"</f>
        <v>RHOT1P1</v>
      </c>
      <c r="I3892" s="3" t="str">
        <f>"processed_pseudogene"</f>
        <v>processed_pseudogene</v>
      </c>
    </row>
    <row r="3893" spans="1:9" x14ac:dyDescent="0.2">
      <c r="A3893" s="3" t="str">
        <f>"ENSG00000283294.1"</f>
        <v>ENSG00000283294.1</v>
      </c>
      <c r="B3893" s="3">
        <v>172.60890077305399</v>
      </c>
      <c r="C3893" s="3">
        <v>3.5260669312693902</v>
      </c>
      <c r="D3893" s="3">
        <v>0.43232773172082101</v>
      </c>
      <c r="E3893" s="3">
        <v>8.1560045135998394</v>
      </c>
      <c r="F3893" s="4">
        <v>3.46289512807556E-16</v>
      </c>
      <c r="G3893" s="4">
        <v>1.41640856823969E-14</v>
      </c>
      <c r="H3893" s="3" t="str">
        <f>"AP005212.4"</f>
        <v>AP005212.4</v>
      </c>
      <c r="I3893" s="3" t="str">
        <f>"processed_transcript"</f>
        <v>processed_transcript</v>
      </c>
    </row>
    <row r="3894" spans="1:9" x14ac:dyDescent="0.2">
      <c r="A3894" s="3" t="str">
        <f>"ENSG00000274214.1"</f>
        <v>ENSG00000274214.1</v>
      </c>
      <c r="B3894" s="3">
        <v>60.3192572487185</v>
      </c>
      <c r="C3894" s="3">
        <v>3.5496746638799399</v>
      </c>
      <c r="D3894" s="3">
        <v>0.55390319882110595</v>
      </c>
      <c r="E3894" s="3">
        <v>6.4084747505247304</v>
      </c>
      <c r="F3894" s="4">
        <v>1.4698261504528099E-10</v>
      </c>
      <c r="G3894" s="4">
        <v>3.3071088385188202E-9</v>
      </c>
      <c r="H3894" s="3" t="str">
        <f>"AP005212.2"</f>
        <v>AP005212.2</v>
      </c>
      <c r="I3894" s="3" t="str">
        <f>"processed_pseudogene"</f>
        <v>processed_pseudogene</v>
      </c>
    </row>
    <row r="3895" spans="1:9" x14ac:dyDescent="0.2">
      <c r="A3895" s="3" t="str">
        <f>"ENSG00000265787.2"</f>
        <v>ENSG00000265787.2</v>
      </c>
      <c r="B3895" s="3">
        <v>33.594642518200502</v>
      </c>
      <c r="C3895" s="3">
        <v>4.48641267468295</v>
      </c>
      <c r="D3895" s="3">
        <v>0.821329340835248</v>
      </c>
      <c r="E3895" s="3">
        <v>5.4623796467815398</v>
      </c>
      <c r="F3895" s="4">
        <v>4.6979403004638901E-8</v>
      </c>
      <c r="G3895" s="4">
        <v>7.4091967559980698E-7</v>
      </c>
      <c r="H3895" s="3" t="str">
        <f>"CYP4F35P"</f>
        <v>CYP4F35P</v>
      </c>
      <c r="I3895" s="3" t="str">
        <f>"transcribed_unprocessed_pseudogene"</f>
        <v>transcribed_unprocessed_pseudogene</v>
      </c>
    </row>
    <row r="3896" spans="1:9" x14ac:dyDescent="0.2">
      <c r="A3896" s="3" t="str">
        <f>"ENSG00000266010.2"</f>
        <v>ENSG00000266010.2</v>
      </c>
      <c r="B3896" s="3">
        <v>20.0188095773394</v>
      </c>
      <c r="C3896" s="3">
        <v>-5.2367209598680304</v>
      </c>
      <c r="D3896" s="3">
        <v>1.2518594310840601</v>
      </c>
      <c r="E3896" s="3">
        <v>-4.1831541384268798</v>
      </c>
      <c r="F3896" s="4">
        <v>2.8749232686201499E-5</v>
      </c>
      <c r="G3896" s="3">
        <v>2.6568219993438599E-4</v>
      </c>
      <c r="H3896" s="3" t="str">
        <f>"GATA6-AS1"</f>
        <v>GATA6-AS1</v>
      </c>
      <c r="I3896" s="3" t="str">
        <f>"antisense"</f>
        <v>antisense</v>
      </c>
    </row>
    <row r="3897" spans="1:9" x14ac:dyDescent="0.2">
      <c r="A3897" s="3" t="str">
        <f>"ENSG00000141448.9"</f>
        <v>ENSG00000141448.9</v>
      </c>
      <c r="B3897" s="3">
        <v>913.46055011676401</v>
      </c>
      <c r="C3897" s="3">
        <v>-2.74889021458565</v>
      </c>
      <c r="D3897" s="3">
        <v>0.27657509101900601</v>
      </c>
      <c r="E3897" s="3">
        <v>-9.9390375483841105</v>
      </c>
      <c r="F3897" s="4">
        <v>2.8153401752839198E-23</v>
      </c>
      <c r="G3897" s="4">
        <v>1.8935797355419002E-21</v>
      </c>
      <c r="H3897" s="3" t="str">
        <f>"GATA6"</f>
        <v>GATA6</v>
      </c>
      <c r="I3897" s="3" t="str">
        <f t="shared" ref="I3897:I3905" si="157">"protein_coding"</f>
        <v>protein_coding</v>
      </c>
    </row>
    <row r="3898" spans="1:9" x14ac:dyDescent="0.2">
      <c r="A3898" s="3" t="str">
        <f>"ENSG00000101773.19"</f>
        <v>ENSG00000101773.19</v>
      </c>
      <c r="B3898" s="3">
        <v>1222.67979330812</v>
      </c>
      <c r="C3898" s="3">
        <v>-1.1441599010410499</v>
      </c>
      <c r="D3898" s="3">
        <v>0.29770942560291003</v>
      </c>
      <c r="E3898" s="3">
        <v>-3.8432101997575101</v>
      </c>
      <c r="F3898" s="3">
        <v>1.21435374815691E-4</v>
      </c>
      <c r="G3898" s="3">
        <v>9.6454273870814596E-4</v>
      </c>
      <c r="H3898" s="3" t="str">
        <f>"RBBP8"</f>
        <v>RBBP8</v>
      </c>
      <c r="I3898" s="3" t="str">
        <f t="shared" si="157"/>
        <v>protein_coding</v>
      </c>
    </row>
    <row r="3899" spans="1:9" x14ac:dyDescent="0.2">
      <c r="A3899" s="3" t="str">
        <f>"ENSG00000134508.12"</f>
        <v>ENSG00000134508.12</v>
      </c>
      <c r="B3899" s="3">
        <v>1373.36147156109</v>
      </c>
      <c r="C3899" s="3">
        <v>-1.4372818073003799</v>
      </c>
      <c r="D3899" s="3">
        <v>0.27891164300374999</v>
      </c>
      <c r="E3899" s="3">
        <v>-5.15317966586663</v>
      </c>
      <c r="F3899" s="4">
        <v>2.56106378237397E-7</v>
      </c>
      <c r="G3899" s="4">
        <v>3.5810761226024101E-6</v>
      </c>
      <c r="H3899" s="3" t="str">
        <f>"CABLES1"</f>
        <v>CABLES1</v>
      </c>
      <c r="I3899" s="3" t="str">
        <f t="shared" si="157"/>
        <v>protein_coding</v>
      </c>
    </row>
    <row r="3900" spans="1:9" x14ac:dyDescent="0.2">
      <c r="A3900" s="3" t="str">
        <f>"ENSG00000101782.15"</f>
        <v>ENSG00000101782.15</v>
      </c>
      <c r="B3900" s="3">
        <v>2645.96959810321</v>
      </c>
      <c r="C3900" s="3">
        <v>1.13877276433393</v>
      </c>
      <c r="D3900" s="3">
        <v>0.24449177570480099</v>
      </c>
      <c r="E3900" s="3">
        <v>4.6577139907924003</v>
      </c>
      <c r="F3900" s="4">
        <v>3.1973999838935801E-6</v>
      </c>
      <c r="G3900" s="4">
        <v>3.6344598551668803E-5</v>
      </c>
      <c r="H3900" s="3" t="str">
        <f>"RIOK3"</f>
        <v>RIOK3</v>
      </c>
      <c r="I3900" s="3" t="str">
        <f t="shared" si="157"/>
        <v>protein_coding</v>
      </c>
    </row>
    <row r="3901" spans="1:9" x14ac:dyDescent="0.2">
      <c r="A3901" s="3" t="str">
        <f>"ENSG00000053747.16"</f>
        <v>ENSG00000053747.16</v>
      </c>
      <c r="B3901" s="3">
        <v>1028.42418216089</v>
      </c>
      <c r="C3901" s="3">
        <v>4.81624308025249</v>
      </c>
      <c r="D3901" s="3">
        <v>0.282600733010131</v>
      </c>
      <c r="E3901" s="3">
        <v>17.0425710823611</v>
      </c>
      <c r="F3901" s="4">
        <v>3.9689316351772597E-65</v>
      </c>
      <c r="G3901" s="4">
        <v>1.6921775471675301E-62</v>
      </c>
      <c r="H3901" s="3" t="str">
        <f>"LAMA3"</f>
        <v>LAMA3</v>
      </c>
      <c r="I3901" s="3" t="str">
        <f t="shared" si="157"/>
        <v>protein_coding</v>
      </c>
    </row>
    <row r="3902" spans="1:9" x14ac:dyDescent="0.2">
      <c r="A3902" s="3" t="str">
        <f>"ENSG00000168234.13"</f>
        <v>ENSG00000168234.13</v>
      </c>
      <c r="B3902" s="3">
        <v>982.24669763717395</v>
      </c>
      <c r="C3902" s="3">
        <v>1.2102496573708501</v>
      </c>
      <c r="D3902" s="3">
        <v>0.26712923144912998</v>
      </c>
      <c r="E3902" s="3">
        <v>4.5305773943400096</v>
      </c>
      <c r="F3902" s="4">
        <v>5.8822700536611203E-6</v>
      </c>
      <c r="G3902" s="4">
        <v>6.3642366967675497E-5</v>
      </c>
      <c r="H3902" s="3" t="str">
        <f>"TTC39C"</f>
        <v>TTC39C</v>
      </c>
      <c r="I3902" s="3" t="str">
        <f t="shared" si="157"/>
        <v>protein_coding</v>
      </c>
    </row>
    <row r="3903" spans="1:9" x14ac:dyDescent="0.2">
      <c r="A3903" s="3" t="str">
        <f>"ENSG00000154040.20"</f>
        <v>ENSG00000154040.20</v>
      </c>
      <c r="B3903" s="3">
        <v>568.35146631108603</v>
      </c>
      <c r="C3903" s="3">
        <v>7.1325043007811004</v>
      </c>
      <c r="D3903" s="3">
        <v>0.448291103376669</v>
      </c>
      <c r="E3903" s="3">
        <v>15.910430180426999</v>
      </c>
      <c r="F3903" s="4">
        <v>5.3643634637885498E-57</v>
      </c>
      <c r="G3903" s="4">
        <v>1.7300072170718099E-54</v>
      </c>
      <c r="H3903" s="3" t="str">
        <f>"CABYR"</f>
        <v>CABYR</v>
      </c>
      <c r="I3903" s="3" t="str">
        <f t="shared" si="157"/>
        <v>protein_coding</v>
      </c>
    </row>
    <row r="3904" spans="1:9" x14ac:dyDescent="0.2">
      <c r="A3904" s="3" t="str">
        <f>"ENSG00000141447.18"</f>
        <v>ENSG00000141447.18</v>
      </c>
      <c r="B3904" s="3">
        <v>112.707338438318</v>
      </c>
      <c r="C3904" s="3">
        <v>2.61579975337771</v>
      </c>
      <c r="D3904" s="3">
        <v>0.44357719673575302</v>
      </c>
      <c r="E3904" s="3">
        <v>5.8970564145929201</v>
      </c>
      <c r="F3904" s="4">
        <v>3.7004337322728401E-9</v>
      </c>
      <c r="G3904" s="4">
        <v>6.9673959981529301E-8</v>
      </c>
      <c r="H3904" s="3" t="str">
        <f>"OSBPL1A"</f>
        <v>OSBPL1A</v>
      </c>
      <c r="I3904" s="3" t="str">
        <f t="shared" si="157"/>
        <v>protein_coding</v>
      </c>
    </row>
    <row r="3905" spans="1:9" x14ac:dyDescent="0.2">
      <c r="A3905" s="3" t="str">
        <f>"ENSG00000154059.11"</f>
        <v>ENSG00000154059.11</v>
      </c>
      <c r="B3905" s="3">
        <v>345.15007249436599</v>
      </c>
      <c r="C3905" s="3">
        <v>1.3493793024730401</v>
      </c>
      <c r="D3905" s="3">
        <v>0.294104468653272</v>
      </c>
      <c r="E3905" s="3">
        <v>4.5880952052580204</v>
      </c>
      <c r="F3905" s="4">
        <v>4.4730864735824003E-6</v>
      </c>
      <c r="G3905" s="4">
        <v>4.9655997459384503E-5</v>
      </c>
      <c r="H3905" s="3" t="str">
        <f>"IMPACT"</f>
        <v>IMPACT</v>
      </c>
      <c r="I3905" s="3" t="str">
        <f t="shared" si="157"/>
        <v>protein_coding</v>
      </c>
    </row>
    <row r="3906" spans="1:9" x14ac:dyDescent="0.2">
      <c r="A3906" s="3" t="str">
        <f>"ENSG00000188985.6"</f>
        <v>ENSG00000188985.6</v>
      </c>
      <c r="B3906" s="3">
        <v>521.705098666553</v>
      </c>
      <c r="C3906" s="3">
        <v>-1.84892832299194</v>
      </c>
      <c r="D3906" s="3">
        <v>0.289897058444605</v>
      </c>
      <c r="E3906" s="3">
        <v>-6.3778788681474303</v>
      </c>
      <c r="F3906" s="4">
        <v>1.7955743909814901E-10</v>
      </c>
      <c r="G3906" s="4">
        <v>3.9971392747911E-9</v>
      </c>
      <c r="H3906" s="3" t="str">
        <f>"DHFRP1"</f>
        <v>DHFRP1</v>
      </c>
      <c r="I3906" s="3" t="str">
        <f>"processed_pseudogene"</f>
        <v>processed_pseudogene</v>
      </c>
    </row>
    <row r="3907" spans="1:9" x14ac:dyDescent="0.2">
      <c r="A3907" s="3" t="str">
        <f>"ENSG00000141384.12"</f>
        <v>ENSG00000141384.12</v>
      </c>
      <c r="B3907" s="3">
        <v>207.848897871182</v>
      </c>
      <c r="C3907" s="3">
        <v>-1.30995178070148</v>
      </c>
      <c r="D3907" s="3">
        <v>0.32549245359204798</v>
      </c>
      <c r="E3907" s="3">
        <v>-4.0245227385311004</v>
      </c>
      <c r="F3907" s="4">
        <v>5.7090977987603198E-5</v>
      </c>
      <c r="G3907" s="3">
        <v>4.9436266825409901E-4</v>
      </c>
      <c r="H3907" s="3" t="str">
        <f>"TAF4B"</f>
        <v>TAF4B</v>
      </c>
      <c r="I3907" s="3" t="str">
        <f>"protein_coding"</f>
        <v>protein_coding</v>
      </c>
    </row>
    <row r="3908" spans="1:9" x14ac:dyDescent="0.2">
      <c r="A3908" s="3" t="str">
        <f>"ENSG00000134504.13"</f>
        <v>ENSG00000134504.13</v>
      </c>
      <c r="B3908" s="3">
        <v>612.13183367690999</v>
      </c>
      <c r="C3908" s="3">
        <v>1.29717089037372</v>
      </c>
      <c r="D3908" s="3">
        <v>0.29073491988876998</v>
      </c>
      <c r="E3908" s="3">
        <v>4.4616962106581504</v>
      </c>
      <c r="F3908" s="4">
        <v>8.1313445605020502E-6</v>
      </c>
      <c r="G3908" s="4">
        <v>8.5333321827045906E-5</v>
      </c>
      <c r="H3908" s="3" t="str">
        <f>"KCTD1"</f>
        <v>KCTD1</v>
      </c>
      <c r="I3908" s="3" t="str">
        <f>"protein_coding"</f>
        <v>protein_coding</v>
      </c>
    </row>
    <row r="3909" spans="1:9" x14ac:dyDescent="0.2">
      <c r="A3909" s="3" t="str">
        <f>"ENSG00000277534.1"</f>
        <v>ENSG00000277534.1</v>
      </c>
      <c r="B3909" s="3">
        <v>364.74564397611499</v>
      </c>
      <c r="C3909" s="3">
        <v>1.7377395977597301</v>
      </c>
      <c r="D3909" s="3">
        <v>0.30518879262725601</v>
      </c>
      <c r="E3909" s="3">
        <v>5.6939823471241402</v>
      </c>
      <c r="F3909" s="4">
        <v>1.24109921954864E-8</v>
      </c>
      <c r="G3909" s="4">
        <v>2.1620395337774301E-7</v>
      </c>
      <c r="H3909" s="3" t="str">
        <f>"AC007996.1"</f>
        <v>AC007996.1</v>
      </c>
      <c r="I3909" s="3" t="str">
        <f>"sense_intronic"</f>
        <v>sense_intronic</v>
      </c>
    </row>
    <row r="3910" spans="1:9" x14ac:dyDescent="0.2">
      <c r="A3910" s="3" t="str">
        <f>"ENSG00000154080.14"</f>
        <v>ENSG00000154080.14</v>
      </c>
      <c r="B3910" s="3">
        <v>376.42853565224698</v>
      </c>
      <c r="C3910" s="3">
        <v>-1.1324630226827599</v>
      </c>
      <c r="D3910" s="3">
        <v>0.30763858096412899</v>
      </c>
      <c r="E3910" s="3">
        <v>-3.6811475957718298</v>
      </c>
      <c r="F3910" s="3">
        <v>2.3218654201304399E-4</v>
      </c>
      <c r="G3910" s="3">
        <v>1.70529998958777E-3</v>
      </c>
      <c r="H3910" s="3" t="str">
        <f>"CHST9"</f>
        <v>CHST9</v>
      </c>
      <c r="I3910" s="3" t="str">
        <f>"protein_coding"</f>
        <v>protein_coding</v>
      </c>
    </row>
    <row r="3911" spans="1:9" x14ac:dyDescent="0.2">
      <c r="A3911" s="3" t="str">
        <f>"ENSG00000170558.9"</f>
        <v>ENSG00000170558.9</v>
      </c>
      <c r="B3911" s="3">
        <v>2958.0194930965599</v>
      </c>
      <c r="C3911" s="3">
        <v>-1.3823117613901901</v>
      </c>
      <c r="D3911" s="3">
        <v>0.23691218573018399</v>
      </c>
      <c r="E3911" s="3">
        <v>-5.8347009763545197</v>
      </c>
      <c r="F3911" s="4">
        <v>5.3887119609599796E-9</v>
      </c>
      <c r="G3911" s="4">
        <v>9.9160972478382094E-8</v>
      </c>
      <c r="H3911" s="3" t="str">
        <f>"CDH2"</f>
        <v>CDH2</v>
      </c>
      <c r="I3911" s="3" t="str">
        <f>"protein_coding"</f>
        <v>protein_coding</v>
      </c>
    </row>
    <row r="3912" spans="1:9" x14ac:dyDescent="0.2">
      <c r="A3912" s="3" t="str">
        <f>"ENSG00000274578.1"</f>
        <v>ENSG00000274578.1</v>
      </c>
      <c r="B3912" s="3">
        <v>81.827866878261602</v>
      </c>
      <c r="C3912" s="3">
        <v>-2.2284097757705501</v>
      </c>
      <c r="D3912" s="3">
        <v>0.476016904006204</v>
      </c>
      <c r="E3912" s="3">
        <v>-4.6813668947805098</v>
      </c>
      <c r="F3912" s="4">
        <v>2.84968398855873E-6</v>
      </c>
      <c r="G3912" s="4">
        <v>3.2642896508285499E-5</v>
      </c>
      <c r="H3912" s="3" t="str">
        <f>"AC006249.1"</f>
        <v>AC006249.1</v>
      </c>
      <c r="I3912" s="3" t="str">
        <f>"sense_intronic"</f>
        <v>sense_intronic</v>
      </c>
    </row>
    <row r="3913" spans="1:9" x14ac:dyDescent="0.2">
      <c r="A3913" s="3" t="str">
        <f>"ENSG00000134762.17"</f>
        <v>ENSG00000134762.17</v>
      </c>
      <c r="B3913" s="3">
        <v>2229.9722890704202</v>
      </c>
      <c r="C3913" s="3">
        <v>6.8176608260915801</v>
      </c>
      <c r="D3913" s="3">
        <v>0.31264094468077402</v>
      </c>
      <c r="E3913" s="3">
        <v>21.806679330030899</v>
      </c>
      <c r="F3913" s="4">
        <v>2.0051190340639199E-105</v>
      </c>
      <c r="G3913" s="4">
        <v>4.2032307751564903E-102</v>
      </c>
      <c r="H3913" s="3" t="str">
        <f>"DSC3"</f>
        <v>DSC3</v>
      </c>
      <c r="I3913" s="3" t="str">
        <f t="shared" ref="I3913:I3918" si="158">"protein_coding"</f>
        <v>protein_coding</v>
      </c>
    </row>
    <row r="3914" spans="1:9" x14ac:dyDescent="0.2">
      <c r="A3914" s="3" t="str">
        <f>"ENSG00000118271.10"</f>
        <v>ENSG00000118271.10</v>
      </c>
      <c r="B3914" s="3">
        <v>3465.8942422621199</v>
      </c>
      <c r="C3914" s="3">
        <v>-1.9914239474595701</v>
      </c>
      <c r="D3914" s="3">
        <v>0.27139127464289198</v>
      </c>
      <c r="E3914" s="3">
        <v>-7.3378333554753201</v>
      </c>
      <c r="F3914" s="4">
        <v>2.1707921253592901E-13</v>
      </c>
      <c r="G3914" s="4">
        <v>6.8002834263278799E-12</v>
      </c>
      <c r="H3914" s="3" t="str">
        <f>"TTR"</f>
        <v>TTR</v>
      </c>
      <c r="I3914" s="3" t="str">
        <f t="shared" si="158"/>
        <v>protein_coding</v>
      </c>
    </row>
    <row r="3915" spans="1:9" x14ac:dyDescent="0.2">
      <c r="A3915" s="3" t="str">
        <f>"ENSG00000118276.11"</f>
        <v>ENSG00000118276.11</v>
      </c>
      <c r="B3915" s="3">
        <v>617.010849772955</v>
      </c>
      <c r="C3915" s="3">
        <v>-2.0172344793355999</v>
      </c>
      <c r="D3915" s="3">
        <v>0.27194022974985899</v>
      </c>
      <c r="E3915" s="3">
        <v>-7.4179332759670498</v>
      </c>
      <c r="F3915" s="4">
        <v>1.1896200115766299E-13</v>
      </c>
      <c r="G3915" s="4">
        <v>3.80240043090343E-12</v>
      </c>
      <c r="H3915" s="3" t="str">
        <f>"B4GALT6"</f>
        <v>B4GALT6</v>
      </c>
      <c r="I3915" s="3" t="str">
        <f t="shared" si="158"/>
        <v>protein_coding</v>
      </c>
    </row>
    <row r="3916" spans="1:9" x14ac:dyDescent="0.2">
      <c r="A3916" s="3" t="str">
        <f>"ENSG00000101695.9"</f>
        <v>ENSG00000101695.9</v>
      </c>
      <c r="B3916" s="3">
        <v>38.174787621008903</v>
      </c>
      <c r="C3916" s="3">
        <v>-3.3706173950909699</v>
      </c>
      <c r="D3916" s="3">
        <v>0.67009568402310704</v>
      </c>
      <c r="E3916" s="3">
        <v>-5.0300538795512297</v>
      </c>
      <c r="F3916" s="4">
        <v>4.9034202491823598E-7</v>
      </c>
      <c r="G3916" s="4">
        <v>6.5193201040265397E-6</v>
      </c>
      <c r="H3916" s="3" t="str">
        <f>"RNF125"</f>
        <v>RNF125</v>
      </c>
      <c r="I3916" s="3" t="str">
        <f t="shared" si="158"/>
        <v>protein_coding</v>
      </c>
    </row>
    <row r="3917" spans="1:9" x14ac:dyDescent="0.2">
      <c r="A3917" s="3" t="str">
        <f>"ENSG00000134758.14"</f>
        <v>ENSG00000134758.14</v>
      </c>
      <c r="B3917" s="3">
        <v>1275.0455848849999</v>
      </c>
      <c r="C3917" s="3">
        <v>-1.3428428199288001</v>
      </c>
      <c r="D3917" s="3">
        <v>0.25009282411515998</v>
      </c>
      <c r="E3917" s="3">
        <v>-5.3693776487983396</v>
      </c>
      <c r="F3917" s="4">
        <v>7.9008817126164195E-8</v>
      </c>
      <c r="G3917" s="4">
        <v>1.20161233059774E-6</v>
      </c>
      <c r="H3917" s="3" t="str">
        <f>"RNF138"</f>
        <v>RNF138</v>
      </c>
      <c r="I3917" s="3" t="str">
        <f t="shared" si="158"/>
        <v>protein_coding</v>
      </c>
    </row>
    <row r="3918" spans="1:9" x14ac:dyDescent="0.2">
      <c r="A3918" s="3" t="str">
        <f>"ENSG00000166960.16"</f>
        <v>ENSG00000166960.16</v>
      </c>
      <c r="B3918" s="3">
        <v>80.617181890897498</v>
      </c>
      <c r="C3918" s="3">
        <v>3.8226954658149799</v>
      </c>
      <c r="D3918" s="3">
        <v>0.60230368344379903</v>
      </c>
      <c r="E3918" s="3">
        <v>6.3467907816168498</v>
      </c>
      <c r="F3918" s="4">
        <v>2.1985279318751701E-10</v>
      </c>
      <c r="G3918" s="4">
        <v>4.8725964869004299E-9</v>
      </c>
      <c r="H3918" s="3" t="str">
        <f>"CCDC178"</f>
        <v>CCDC178</v>
      </c>
      <c r="I3918" s="3" t="str">
        <f t="shared" si="158"/>
        <v>protein_coding</v>
      </c>
    </row>
    <row r="3919" spans="1:9" x14ac:dyDescent="0.2">
      <c r="A3919" s="3" t="str">
        <f>"ENSG00000278464.1"</f>
        <v>ENSG00000278464.1</v>
      </c>
      <c r="B3919" s="3">
        <v>55.645953019891898</v>
      </c>
      <c r="C3919" s="3">
        <v>-3.0756170476708098</v>
      </c>
      <c r="D3919" s="3">
        <v>0.56678880519949104</v>
      </c>
      <c r="E3919" s="3">
        <v>-5.42638989947638</v>
      </c>
      <c r="F3919" s="4">
        <v>5.7505269448105E-8</v>
      </c>
      <c r="G3919" s="4">
        <v>8.9292904504140897E-7</v>
      </c>
      <c r="H3919" s="3" t="str">
        <f>"AC068506.1"</f>
        <v>AC068506.1</v>
      </c>
      <c r="I3919" s="3" t="str">
        <f>"lincRNA"</f>
        <v>lincRNA</v>
      </c>
    </row>
    <row r="3920" spans="1:9" x14ac:dyDescent="0.2">
      <c r="A3920" s="3" t="str">
        <f>"ENSG00000166974.12"</f>
        <v>ENSG00000166974.12</v>
      </c>
      <c r="B3920" s="3">
        <v>3276.1955450363598</v>
      </c>
      <c r="C3920" s="3">
        <v>-1.8615607406805399</v>
      </c>
      <c r="D3920" s="3">
        <v>0.26391868640434002</v>
      </c>
      <c r="E3920" s="3">
        <v>-7.0535389746087196</v>
      </c>
      <c r="F3920" s="4">
        <v>1.7442362264599599E-12</v>
      </c>
      <c r="G3920" s="4">
        <v>4.8914450698551099E-11</v>
      </c>
      <c r="H3920" s="3" t="str">
        <f>"MAPRE2"</f>
        <v>MAPRE2</v>
      </c>
      <c r="I3920" s="3" t="str">
        <f t="shared" ref="I3920:I3930" si="159">"protein_coding"</f>
        <v>protein_coding</v>
      </c>
    </row>
    <row r="3921" spans="1:9" x14ac:dyDescent="0.2">
      <c r="A3921" s="3" t="str">
        <f>"ENSG00000152229.18"</f>
        <v>ENSG00000152229.18</v>
      </c>
      <c r="B3921" s="3">
        <v>224.27864919161701</v>
      </c>
      <c r="C3921" s="3">
        <v>2.9482217984249499</v>
      </c>
      <c r="D3921" s="3">
        <v>0.36228571746604799</v>
      </c>
      <c r="E3921" s="3">
        <v>8.1378361229524607</v>
      </c>
      <c r="F3921" s="4">
        <v>4.0240500634866202E-16</v>
      </c>
      <c r="G3921" s="4">
        <v>1.6221951818430398E-14</v>
      </c>
      <c r="H3921" s="3" t="str">
        <f>"PSTPIP2"</f>
        <v>PSTPIP2</v>
      </c>
      <c r="I3921" s="3" t="str">
        <f t="shared" si="159"/>
        <v>protein_coding</v>
      </c>
    </row>
    <row r="3922" spans="1:9" x14ac:dyDescent="0.2">
      <c r="A3922" s="3" t="str">
        <f>"ENSG00000152240.13"</f>
        <v>ENSG00000152240.13</v>
      </c>
      <c r="B3922" s="3">
        <v>653.39193122153301</v>
      </c>
      <c r="C3922" s="3">
        <v>-1.33791327638652</v>
      </c>
      <c r="D3922" s="3">
        <v>0.29412863536308398</v>
      </c>
      <c r="E3922" s="3">
        <v>-4.5487351979005801</v>
      </c>
      <c r="F3922" s="4">
        <v>5.3969302189957E-6</v>
      </c>
      <c r="G3922" s="4">
        <v>5.8795920164069698E-5</v>
      </c>
      <c r="H3922" s="3" t="str">
        <f>"HAUS1"</f>
        <v>HAUS1</v>
      </c>
      <c r="I3922" s="3" t="str">
        <f t="shared" si="159"/>
        <v>protein_coding</v>
      </c>
    </row>
    <row r="3923" spans="1:9" x14ac:dyDescent="0.2">
      <c r="A3923" s="3" t="str">
        <f>"ENSG00000101670.12"</f>
        <v>ENSG00000101670.12</v>
      </c>
      <c r="B3923" s="3">
        <v>203.05664869267699</v>
      </c>
      <c r="C3923" s="3">
        <v>-2.6935707048337898</v>
      </c>
      <c r="D3923" s="3">
        <v>0.35615017467585403</v>
      </c>
      <c r="E3923" s="3">
        <v>-7.5630194686421701</v>
      </c>
      <c r="F3923" s="4">
        <v>3.9381863173796897E-14</v>
      </c>
      <c r="G3923" s="4">
        <v>1.3121202226978299E-12</v>
      </c>
      <c r="H3923" s="3" t="str">
        <f>"LIPG"</f>
        <v>LIPG</v>
      </c>
      <c r="I3923" s="3" t="str">
        <f t="shared" si="159"/>
        <v>protein_coding</v>
      </c>
    </row>
    <row r="3924" spans="1:9" x14ac:dyDescent="0.2">
      <c r="A3924" s="3" t="str">
        <f>"ENSG00000167315.18"</f>
        <v>ENSG00000167315.18</v>
      </c>
      <c r="B3924" s="3">
        <v>1923.1637813560301</v>
      </c>
      <c r="C3924" s="3">
        <v>-1.3025935417207399</v>
      </c>
      <c r="D3924" s="3">
        <v>0.27180405206833602</v>
      </c>
      <c r="E3924" s="3">
        <v>-4.7923992736990204</v>
      </c>
      <c r="F3924" s="4">
        <v>1.64798516203632E-6</v>
      </c>
      <c r="G3924" s="4">
        <v>1.96469510668359E-5</v>
      </c>
      <c r="H3924" s="3" t="str">
        <f>"ACAA2"</f>
        <v>ACAA2</v>
      </c>
      <c r="I3924" s="3" t="str">
        <f t="shared" si="159"/>
        <v>protein_coding</v>
      </c>
    </row>
    <row r="3925" spans="1:9" x14ac:dyDescent="0.2">
      <c r="A3925" s="3" t="str">
        <f>"ENSG00000141642.9"</f>
        <v>ENSG00000141642.9</v>
      </c>
      <c r="B3925" s="3">
        <v>129.17435586451199</v>
      </c>
      <c r="C3925" s="3">
        <v>1.1476324950313599</v>
      </c>
      <c r="D3925" s="3">
        <v>0.401369872645092</v>
      </c>
      <c r="E3925" s="3">
        <v>2.8592890828309399</v>
      </c>
      <c r="F3925" s="3">
        <v>4.2459166330524999E-3</v>
      </c>
      <c r="G3925" s="3">
        <v>2.0698843586130899E-2</v>
      </c>
      <c r="H3925" s="3" t="str">
        <f>"ELAC1"</f>
        <v>ELAC1</v>
      </c>
      <c r="I3925" s="3" t="str">
        <f t="shared" si="159"/>
        <v>protein_coding</v>
      </c>
    </row>
    <row r="3926" spans="1:9" x14ac:dyDescent="0.2">
      <c r="A3926" s="3" t="str">
        <f>"ENSG00000176624.11"</f>
        <v>ENSG00000176624.11</v>
      </c>
      <c r="B3926" s="3">
        <v>2317.7118599350001</v>
      </c>
      <c r="C3926" s="3">
        <v>-1.09745259220223</v>
      </c>
      <c r="D3926" s="3">
        <v>0.25487851651355897</v>
      </c>
      <c r="E3926" s="3">
        <v>-4.3057869577008798</v>
      </c>
      <c r="F3926" s="4">
        <v>1.66393136873474E-5</v>
      </c>
      <c r="G3926" s="3">
        <v>1.62233308451637E-4</v>
      </c>
      <c r="H3926" s="3" t="str">
        <f>"MEX3C"</f>
        <v>MEX3C</v>
      </c>
      <c r="I3926" s="3" t="str">
        <f t="shared" si="159"/>
        <v>protein_coding</v>
      </c>
    </row>
    <row r="3927" spans="1:9" x14ac:dyDescent="0.2">
      <c r="A3927" s="3" t="str">
        <f>"ENSG00000166510.14"</f>
        <v>ENSG00000166510.14</v>
      </c>
      <c r="B3927" s="3">
        <v>107.778737823792</v>
      </c>
      <c r="C3927" s="3">
        <v>-1.7864894392444199</v>
      </c>
      <c r="D3927" s="3">
        <v>0.40050958804319597</v>
      </c>
      <c r="E3927" s="3">
        <v>-4.4605410022087701</v>
      </c>
      <c r="F3927" s="4">
        <v>8.1753015414243295E-6</v>
      </c>
      <c r="G3927" s="4">
        <v>8.5723097238236295E-5</v>
      </c>
      <c r="H3927" s="3" t="str">
        <f>"CCDC68"</f>
        <v>CCDC68</v>
      </c>
      <c r="I3927" s="3" t="str">
        <f t="shared" si="159"/>
        <v>protein_coding</v>
      </c>
    </row>
    <row r="3928" spans="1:9" x14ac:dyDescent="0.2">
      <c r="A3928" s="3" t="str">
        <f>"ENSG00000119547.6"</f>
        <v>ENSG00000119547.6</v>
      </c>
      <c r="B3928" s="3">
        <v>2700.1724377415599</v>
      </c>
      <c r="C3928" s="3">
        <v>-1.0406272364026401</v>
      </c>
      <c r="D3928" s="3">
        <v>0.24287426135092099</v>
      </c>
      <c r="E3928" s="3">
        <v>-4.2846336644090703</v>
      </c>
      <c r="F3928" s="4">
        <v>1.8304053786102901E-5</v>
      </c>
      <c r="G3928" s="3">
        <v>1.7715985878777099E-4</v>
      </c>
      <c r="H3928" s="3" t="str">
        <f>"ONECUT2"</f>
        <v>ONECUT2</v>
      </c>
      <c r="I3928" s="3" t="str">
        <f t="shared" si="159"/>
        <v>protein_coding</v>
      </c>
    </row>
    <row r="3929" spans="1:9" x14ac:dyDescent="0.2">
      <c r="A3929" s="3" t="str">
        <f>"ENSG00000081923.13"</f>
        <v>ENSG00000081923.13</v>
      </c>
      <c r="B3929" s="3">
        <v>516.30722654405395</v>
      </c>
      <c r="C3929" s="3">
        <v>2.07932703499301</v>
      </c>
      <c r="D3929" s="3">
        <v>0.28932734605961602</v>
      </c>
      <c r="E3929" s="3">
        <v>7.1867628943880399</v>
      </c>
      <c r="F3929" s="4">
        <v>6.6345477984388999E-13</v>
      </c>
      <c r="G3929" s="4">
        <v>1.9519537996459698E-11</v>
      </c>
      <c r="H3929" s="3" t="str">
        <f>"ATP8B1"</f>
        <v>ATP8B1</v>
      </c>
      <c r="I3929" s="3" t="str">
        <f t="shared" si="159"/>
        <v>protein_coding</v>
      </c>
    </row>
    <row r="3930" spans="1:9" x14ac:dyDescent="0.2">
      <c r="A3930" s="3" t="str">
        <f>"ENSG00000198796.7"</f>
        <v>ENSG00000198796.7</v>
      </c>
      <c r="B3930" s="3">
        <v>1417.6876615241399</v>
      </c>
      <c r="C3930" s="3">
        <v>1.7410782775647999</v>
      </c>
      <c r="D3930" s="3">
        <v>0.25569451279747402</v>
      </c>
      <c r="E3930" s="3">
        <v>6.8092125189399004</v>
      </c>
      <c r="F3930" s="4">
        <v>9.8134422621975095E-12</v>
      </c>
      <c r="G3930" s="4">
        <v>2.5241016370713503E-10</v>
      </c>
      <c r="H3930" s="3" t="str">
        <f>"ALPK2"</f>
        <v>ALPK2</v>
      </c>
      <c r="I3930" s="3" t="str">
        <f t="shared" si="159"/>
        <v>protein_coding</v>
      </c>
    </row>
    <row r="3931" spans="1:9" x14ac:dyDescent="0.2">
      <c r="A3931" s="3" t="str">
        <f>"ENSG00000274354.1"</f>
        <v>ENSG00000274354.1</v>
      </c>
      <c r="B3931" s="3">
        <v>18.739181825389601</v>
      </c>
      <c r="C3931" s="3">
        <v>2.3506378178776801</v>
      </c>
      <c r="D3931" s="3">
        <v>0.82490553844761905</v>
      </c>
      <c r="E3931" s="3">
        <v>2.8495842351856702</v>
      </c>
      <c r="F3931" s="3">
        <v>4.3776412060164199E-3</v>
      </c>
      <c r="G3931" s="3">
        <v>2.1221731458343301E-2</v>
      </c>
      <c r="H3931" s="3" t="str">
        <f>"AC105105.3"</f>
        <v>AC105105.3</v>
      </c>
      <c r="I3931" s="3" t="str">
        <f>"sense_intronic"</f>
        <v>sense_intronic</v>
      </c>
    </row>
    <row r="3932" spans="1:9" x14ac:dyDescent="0.2">
      <c r="A3932" s="3" t="str">
        <f>"ENSG00000266946.1"</f>
        <v>ENSG00000266946.1</v>
      </c>
      <c r="B3932" s="3">
        <v>359.86860269598799</v>
      </c>
      <c r="C3932" s="3">
        <v>1.64492860277015</v>
      </c>
      <c r="D3932" s="3">
        <v>0.310234338625752</v>
      </c>
      <c r="E3932" s="3">
        <v>5.3022131916689403</v>
      </c>
      <c r="F3932" s="4">
        <v>1.14407122103116E-7</v>
      </c>
      <c r="G3932" s="4">
        <v>1.7039142430455299E-6</v>
      </c>
      <c r="H3932" s="3" t="str">
        <f>"MRPL37P1"</f>
        <v>MRPL37P1</v>
      </c>
      <c r="I3932" s="3" t="str">
        <f>"processed_pseudogene"</f>
        <v>processed_pseudogene</v>
      </c>
    </row>
    <row r="3933" spans="1:9" x14ac:dyDescent="0.2">
      <c r="A3933" s="3" t="str">
        <f>"ENSG00000166562.9"</f>
        <v>ENSG00000166562.9</v>
      </c>
      <c r="B3933" s="3">
        <v>1302.7685643183099</v>
      </c>
      <c r="C3933" s="3">
        <v>-1.3320489387262999</v>
      </c>
      <c r="D3933" s="3">
        <v>0.2585436655053</v>
      </c>
      <c r="E3933" s="3">
        <v>-5.1521236697984198</v>
      </c>
      <c r="F3933" s="4">
        <v>2.5755309291971898E-7</v>
      </c>
      <c r="G3933" s="4">
        <v>3.59540328810931E-6</v>
      </c>
      <c r="H3933" s="3" t="str">
        <f>"SEC11C"</f>
        <v>SEC11C</v>
      </c>
      <c r="I3933" s="3" t="str">
        <f>"protein_coding"</f>
        <v>protein_coding</v>
      </c>
    </row>
    <row r="3934" spans="1:9" x14ac:dyDescent="0.2">
      <c r="A3934" s="3" t="str">
        <f>"ENSG00000267677.1"</f>
        <v>ENSG00000267677.1</v>
      </c>
      <c r="B3934" s="3">
        <v>12.047871442393999</v>
      </c>
      <c r="C3934" s="3">
        <v>-3.0840766503272299</v>
      </c>
      <c r="D3934" s="3">
        <v>1.1168930597652</v>
      </c>
      <c r="E3934" s="3">
        <v>-2.7612998606827999</v>
      </c>
      <c r="F3934" s="3">
        <v>5.75717904766974E-3</v>
      </c>
      <c r="G3934" s="3">
        <v>2.6582569556558799E-2</v>
      </c>
      <c r="H3934" s="3" t="str">
        <f>"AC016229.2"</f>
        <v>AC016229.2</v>
      </c>
      <c r="I3934" s="3" t="str">
        <f>"lincRNA"</f>
        <v>lincRNA</v>
      </c>
    </row>
    <row r="3935" spans="1:9" x14ac:dyDescent="0.2">
      <c r="A3935" s="3" t="str">
        <f>"ENSG00000183287.14"</f>
        <v>ENSG00000183287.14</v>
      </c>
      <c r="B3935" s="3">
        <v>35.999574188733</v>
      </c>
      <c r="C3935" s="3">
        <v>-2.9230244726779802</v>
      </c>
      <c r="D3935" s="3">
        <v>0.66326627618293399</v>
      </c>
      <c r="E3935" s="3">
        <v>-4.40701506716103</v>
      </c>
      <c r="F3935" s="4">
        <v>1.0480490028084101E-5</v>
      </c>
      <c r="G3935" s="3">
        <v>1.06606035849759E-4</v>
      </c>
      <c r="H3935" s="3" t="str">
        <f>"CCBE1"</f>
        <v>CCBE1</v>
      </c>
      <c r="I3935" s="3" t="str">
        <f t="shared" ref="I3935:I3940" si="160">"protein_coding"</f>
        <v>protein_coding</v>
      </c>
    </row>
    <row r="3936" spans="1:9" x14ac:dyDescent="0.2">
      <c r="A3936" s="3" t="str">
        <f>"ENSG00000141682.11"</f>
        <v>ENSG00000141682.11</v>
      </c>
      <c r="B3936" s="3">
        <v>451.77105152811498</v>
      </c>
      <c r="C3936" s="3">
        <v>2.7007946307119899</v>
      </c>
      <c r="D3936" s="3">
        <v>0.287009721726732</v>
      </c>
      <c r="E3936" s="3">
        <v>9.4101154987477305</v>
      </c>
      <c r="F3936" s="4">
        <v>4.9559202545528599E-21</v>
      </c>
      <c r="G3936" s="4">
        <v>2.8658890575466002E-19</v>
      </c>
      <c r="H3936" s="3" t="str">
        <f>"PMAIP1"</f>
        <v>PMAIP1</v>
      </c>
      <c r="I3936" s="3" t="str">
        <f t="shared" si="160"/>
        <v>protein_coding</v>
      </c>
    </row>
    <row r="3937" spans="1:9" x14ac:dyDescent="0.2">
      <c r="A3937" s="3" t="str">
        <f>"ENSG00000171791.13"</f>
        <v>ENSG00000171791.13</v>
      </c>
      <c r="B3937" s="3">
        <v>64.577374090999299</v>
      </c>
      <c r="C3937" s="3">
        <v>-1.7615437587254801</v>
      </c>
      <c r="D3937" s="3">
        <v>0.494647453691133</v>
      </c>
      <c r="E3937" s="3">
        <v>-3.5612106068283098</v>
      </c>
      <c r="F3937" s="3">
        <v>3.6914882820470699E-4</v>
      </c>
      <c r="G3937" s="3">
        <v>2.5687244186692699E-3</v>
      </c>
      <c r="H3937" s="3" t="str">
        <f>"BCL2"</f>
        <v>BCL2</v>
      </c>
      <c r="I3937" s="3" t="str">
        <f t="shared" si="160"/>
        <v>protein_coding</v>
      </c>
    </row>
    <row r="3938" spans="1:9" x14ac:dyDescent="0.2">
      <c r="A3938" s="3" t="str">
        <f>"ENSG00000206075.14"</f>
        <v>ENSG00000206075.14</v>
      </c>
      <c r="B3938" s="3">
        <v>123.06888347202199</v>
      </c>
      <c r="C3938" s="3">
        <v>4.8803657947962096</v>
      </c>
      <c r="D3938" s="3">
        <v>0.52896741851610596</v>
      </c>
      <c r="E3938" s="3">
        <v>9.2262124735147797</v>
      </c>
      <c r="F3938" s="4">
        <v>2.8037068803034197E-20</v>
      </c>
      <c r="G3938" s="4">
        <v>1.53989621340683E-18</v>
      </c>
      <c r="H3938" s="3" t="str">
        <f>"SERPINB5"</f>
        <v>SERPINB5</v>
      </c>
      <c r="I3938" s="3" t="str">
        <f t="shared" si="160"/>
        <v>protein_coding</v>
      </c>
    </row>
    <row r="3939" spans="1:9" x14ac:dyDescent="0.2">
      <c r="A3939" s="3" t="str">
        <f>"ENSG00000171451.14"</f>
        <v>ENSG00000171451.14</v>
      </c>
      <c r="B3939" s="3">
        <v>182.246612227236</v>
      </c>
      <c r="C3939" s="3">
        <v>2.2930631953203902</v>
      </c>
      <c r="D3939" s="3">
        <v>0.38254994318199798</v>
      </c>
      <c r="E3939" s="3">
        <v>5.9941537992320901</v>
      </c>
      <c r="F3939" s="4">
        <v>2.0454772050784702E-9</v>
      </c>
      <c r="G3939" s="4">
        <v>3.96715336112173E-8</v>
      </c>
      <c r="H3939" s="3" t="str">
        <f>"DSEL"</f>
        <v>DSEL</v>
      </c>
      <c r="I3939" s="3" t="str">
        <f t="shared" si="160"/>
        <v>protein_coding</v>
      </c>
    </row>
    <row r="3940" spans="1:9" x14ac:dyDescent="0.2">
      <c r="A3940" s="3" t="str">
        <f>"ENSG00000150636.17"</f>
        <v>ENSG00000150636.17</v>
      </c>
      <c r="B3940" s="3">
        <v>49.574729835372899</v>
      </c>
      <c r="C3940" s="3">
        <v>-1.40248338631436</v>
      </c>
      <c r="D3940" s="3">
        <v>0.536577085330184</v>
      </c>
      <c r="E3940" s="3">
        <v>-2.61375937336447</v>
      </c>
      <c r="F3940" s="3">
        <v>8.9552082028939595E-3</v>
      </c>
      <c r="G3940" s="3">
        <v>3.85799387470111E-2</v>
      </c>
      <c r="H3940" s="3" t="str">
        <f>"CCDC102B"</f>
        <v>CCDC102B</v>
      </c>
      <c r="I3940" s="3" t="str">
        <f t="shared" si="160"/>
        <v>protein_coding</v>
      </c>
    </row>
    <row r="3941" spans="1:9" x14ac:dyDescent="0.2">
      <c r="A3941" s="3" t="str">
        <f>"ENSG00000260457.2"</f>
        <v>ENSG00000260457.2</v>
      </c>
      <c r="B3941" s="3">
        <v>5.4091364397851098</v>
      </c>
      <c r="C3941" s="3">
        <v>5.9481311674588397</v>
      </c>
      <c r="D3941" s="3">
        <v>2.0348154915649599</v>
      </c>
      <c r="E3941" s="3">
        <v>2.9231796160958998</v>
      </c>
      <c r="F3941" s="3">
        <v>3.4647658514316499E-3</v>
      </c>
      <c r="G3941" s="3">
        <v>1.7473172612823398E-2</v>
      </c>
      <c r="H3941" s="3" t="str">
        <f>"AC027458.1"</f>
        <v>AC027458.1</v>
      </c>
      <c r="I3941" s="3" t="str">
        <f>"lincRNA"</f>
        <v>lincRNA</v>
      </c>
    </row>
    <row r="3942" spans="1:9" x14ac:dyDescent="0.2">
      <c r="A3942" s="3" t="str">
        <f>"ENSG00000075336.12"</f>
        <v>ENSG00000075336.12</v>
      </c>
      <c r="B3942" s="3">
        <v>1795.68247693986</v>
      </c>
      <c r="C3942" s="3">
        <v>1.25181395941</v>
      </c>
      <c r="D3942" s="3">
        <v>0.245290946010115</v>
      </c>
      <c r="E3942" s="3">
        <v>5.1033842861790104</v>
      </c>
      <c r="F3942" s="4">
        <v>3.3363254503845098E-7</v>
      </c>
      <c r="G3942" s="4">
        <v>4.5512617518667203E-6</v>
      </c>
      <c r="H3942" s="3" t="str">
        <f>"TIMM21"</f>
        <v>TIMM21</v>
      </c>
      <c r="I3942" s="3" t="str">
        <f>"protein_coding"</f>
        <v>protein_coding</v>
      </c>
    </row>
    <row r="3943" spans="1:9" x14ac:dyDescent="0.2">
      <c r="A3943" s="3" t="str">
        <f>"ENSG00000187773.8"</f>
        <v>ENSG00000187773.8</v>
      </c>
      <c r="B3943" s="3">
        <v>14.0285150167498</v>
      </c>
      <c r="C3943" s="3">
        <v>4.8073568576300598</v>
      </c>
      <c r="D3943" s="3">
        <v>1.3331410636232499</v>
      </c>
      <c r="E3943" s="3">
        <v>3.6060376420815401</v>
      </c>
      <c r="F3943" s="3">
        <v>3.1090805679879401E-4</v>
      </c>
      <c r="G3943" s="3">
        <v>2.2142956310231198E-3</v>
      </c>
      <c r="H3943" s="3" t="str">
        <f>"DIPK1C"</f>
        <v>DIPK1C</v>
      </c>
      <c r="I3943" s="3" t="str">
        <f>"protein_coding"</f>
        <v>protein_coding</v>
      </c>
    </row>
    <row r="3944" spans="1:9" x14ac:dyDescent="0.2">
      <c r="A3944" s="3" t="str">
        <f>"ENSG00000179981.10"</f>
        <v>ENSG00000179981.10</v>
      </c>
      <c r="B3944" s="3">
        <v>322.32393533259801</v>
      </c>
      <c r="C3944" s="3">
        <v>-1.6342202601778599</v>
      </c>
      <c r="D3944" s="3">
        <v>0.34617204627853798</v>
      </c>
      <c r="E3944" s="3">
        <v>-4.7208325390402104</v>
      </c>
      <c r="F3944" s="4">
        <v>2.348812613477E-6</v>
      </c>
      <c r="G3944" s="4">
        <v>2.7328575990755702E-5</v>
      </c>
      <c r="H3944" s="3" t="str">
        <f>"TSHZ1"</f>
        <v>TSHZ1</v>
      </c>
      <c r="I3944" s="3" t="str">
        <f>"protein_coding"</f>
        <v>protein_coding</v>
      </c>
    </row>
    <row r="3945" spans="1:9" x14ac:dyDescent="0.2">
      <c r="A3945" s="3" t="str">
        <f>"ENSG00000275763.3"</f>
        <v>ENSG00000275763.3</v>
      </c>
      <c r="B3945" s="3">
        <v>22.678682653649201</v>
      </c>
      <c r="C3945" s="3">
        <v>-2.12392295793709</v>
      </c>
      <c r="D3945" s="3">
        <v>0.78053509901052198</v>
      </c>
      <c r="E3945" s="3">
        <v>-2.7211114024591199</v>
      </c>
      <c r="F3945" s="3">
        <v>6.5062831186555401E-3</v>
      </c>
      <c r="G3945" s="3">
        <v>2.9420376029081499E-2</v>
      </c>
      <c r="H3945" s="3" t="str">
        <f>"C18orf65"</f>
        <v>C18orf65</v>
      </c>
      <c r="I3945" s="3" t="str">
        <f>"lincRNA"</f>
        <v>lincRNA</v>
      </c>
    </row>
    <row r="3946" spans="1:9" x14ac:dyDescent="0.2">
      <c r="A3946" s="3" t="str">
        <f>"ENSG00000197971.15"</f>
        <v>ENSG00000197971.15</v>
      </c>
      <c r="B3946" s="3">
        <v>612.66967294722099</v>
      </c>
      <c r="C3946" s="3">
        <v>1.05760941023725</v>
      </c>
      <c r="D3946" s="3">
        <v>0.28429954291025</v>
      </c>
      <c r="E3946" s="3">
        <v>3.7200531503180101</v>
      </c>
      <c r="F3946" s="3">
        <v>1.9918085685703701E-4</v>
      </c>
      <c r="G3946" s="3">
        <v>1.48764680945331E-3</v>
      </c>
      <c r="H3946" s="3" t="str">
        <f>"MBP"</f>
        <v>MBP</v>
      </c>
      <c r="I3946" s="3" t="str">
        <f>"protein_coding"</f>
        <v>protein_coding</v>
      </c>
    </row>
    <row r="3947" spans="1:9" x14ac:dyDescent="0.2">
      <c r="A3947" s="3" t="str">
        <f>"ENSG00000279433.1"</f>
        <v>ENSG00000279433.1</v>
      </c>
      <c r="B3947" s="3">
        <v>25.1103016475472</v>
      </c>
      <c r="C3947" s="3">
        <v>1.83285978522191</v>
      </c>
      <c r="D3947" s="3">
        <v>0.70691199010565298</v>
      </c>
      <c r="E3947" s="3">
        <v>2.5927694124242802</v>
      </c>
      <c r="F3947" s="3">
        <v>9.5206579886852206E-3</v>
      </c>
      <c r="G3947" s="3">
        <v>4.0564368877054301E-2</v>
      </c>
      <c r="H3947" s="3" t="str">
        <f>"AC018529.3"</f>
        <v>AC018529.3</v>
      </c>
      <c r="I3947" s="3" t="str">
        <f>"TEC"</f>
        <v>TEC</v>
      </c>
    </row>
    <row r="3948" spans="1:9" x14ac:dyDescent="0.2">
      <c r="A3948" s="3" t="str">
        <f>"ENSG00000267780.2"</f>
        <v>ENSG00000267780.2</v>
      </c>
      <c r="B3948" s="3">
        <v>29.077545512949602</v>
      </c>
      <c r="C3948" s="3">
        <v>8.3811286964318494</v>
      </c>
      <c r="D3948" s="3">
        <v>1.57063385257482</v>
      </c>
      <c r="E3948" s="3">
        <v>5.3361441832495</v>
      </c>
      <c r="F3948" s="4">
        <v>9.4943913451679798E-8</v>
      </c>
      <c r="G3948" s="4">
        <v>1.4250084384707699E-6</v>
      </c>
      <c r="H3948" s="3" t="str">
        <f>"AC021594.2"</f>
        <v>AC021594.2</v>
      </c>
      <c r="I3948" s="3" t="str">
        <f>"lincRNA"</f>
        <v>lincRNA</v>
      </c>
    </row>
    <row r="3949" spans="1:9" x14ac:dyDescent="0.2">
      <c r="A3949" s="3" t="str">
        <f>"ENSG00000178342.4"</f>
        <v>ENSG00000178342.4</v>
      </c>
      <c r="B3949" s="3">
        <v>30.978380738940398</v>
      </c>
      <c r="C3949" s="3">
        <v>4.6596967279216299</v>
      </c>
      <c r="D3949" s="3">
        <v>0.87381117579539003</v>
      </c>
      <c r="E3949" s="3">
        <v>5.3326128767809902</v>
      </c>
      <c r="F3949" s="4">
        <v>9.6809553580853596E-8</v>
      </c>
      <c r="G3949" s="4">
        <v>1.44955019067046E-6</v>
      </c>
      <c r="H3949" s="3" t="str">
        <f>"KCNG2"</f>
        <v>KCNG2</v>
      </c>
      <c r="I3949" s="3" t="str">
        <f>"protein_coding"</f>
        <v>protein_coding</v>
      </c>
    </row>
    <row r="3950" spans="1:9" x14ac:dyDescent="0.2">
      <c r="A3950" s="3" t="str">
        <f>"ENSG00000178184.16"</f>
        <v>ENSG00000178184.16</v>
      </c>
      <c r="B3950" s="3">
        <v>811.21521049793103</v>
      </c>
      <c r="C3950" s="3">
        <v>1.82048216635152</v>
      </c>
      <c r="D3950" s="3">
        <v>0.30385438239096602</v>
      </c>
      <c r="E3950" s="3">
        <v>5.99129804226133</v>
      </c>
      <c r="F3950" s="4">
        <v>2.0817272751326599E-9</v>
      </c>
      <c r="G3950" s="4">
        <v>4.0312432337153301E-8</v>
      </c>
      <c r="H3950" s="3" t="str">
        <f>"PARD6G"</f>
        <v>PARD6G</v>
      </c>
      <c r="I3950" s="3" t="str">
        <f>"protein_coding"</f>
        <v>protein_coding</v>
      </c>
    </row>
    <row r="3951" spans="1:9" x14ac:dyDescent="0.2">
      <c r="A3951" s="3" t="str">
        <f>"ENSG00000282393.1"</f>
        <v>ENSG00000282393.1</v>
      </c>
      <c r="B3951" s="3">
        <v>50.981593105627397</v>
      </c>
      <c r="C3951" s="3">
        <v>1.77785789182204</v>
      </c>
      <c r="D3951" s="3">
        <v>0.54730580522600103</v>
      </c>
      <c r="E3951" s="3">
        <v>3.24838120634936</v>
      </c>
      <c r="F3951" s="3">
        <v>1.16063661306435E-3</v>
      </c>
      <c r="G3951" s="3">
        <v>6.9233611576082097E-3</v>
      </c>
      <c r="H3951" s="3" t="str">
        <f>"AC016588.2"</f>
        <v>AC016588.2</v>
      </c>
      <c r="I3951" s="3" t="str">
        <f>"lincRNA"</f>
        <v>lincRNA</v>
      </c>
    </row>
    <row r="3952" spans="1:9" x14ac:dyDescent="0.2">
      <c r="A3952" s="3" t="str">
        <f>"ENSG00000141934.10"</f>
        <v>ENSG00000141934.10</v>
      </c>
      <c r="B3952" s="3">
        <v>29.622726402147499</v>
      </c>
      <c r="C3952" s="3">
        <v>-2.6098986657674499</v>
      </c>
      <c r="D3952" s="3">
        <v>0.702512891501064</v>
      </c>
      <c r="E3952" s="3">
        <v>-3.71509006787173</v>
      </c>
      <c r="F3952" s="3">
        <v>2.03131327644885E-4</v>
      </c>
      <c r="G3952" s="3">
        <v>1.5135570340364601E-3</v>
      </c>
      <c r="H3952" s="3" t="str">
        <f>"PLPP2"</f>
        <v>PLPP2</v>
      </c>
      <c r="I3952" s="3" t="str">
        <f>"protein_coding"</f>
        <v>protein_coding</v>
      </c>
    </row>
    <row r="3953" spans="1:9" x14ac:dyDescent="0.2">
      <c r="A3953" s="3" t="str">
        <f>"ENSG00000129946.10"</f>
        <v>ENSG00000129946.10</v>
      </c>
      <c r="B3953" s="3">
        <v>364.10436281787298</v>
      </c>
      <c r="C3953" s="3">
        <v>1.0565205772033499</v>
      </c>
      <c r="D3953" s="3">
        <v>0.34931900756219397</v>
      </c>
      <c r="E3953" s="3">
        <v>3.02451499727007</v>
      </c>
      <c r="F3953" s="3">
        <v>2.4903212455689599E-3</v>
      </c>
      <c r="G3953" s="3">
        <v>1.31750053800036E-2</v>
      </c>
      <c r="H3953" s="3" t="str">
        <f>"SHC2"</f>
        <v>SHC2</v>
      </c>
      <c r="I3953" s="3" t="str">
        <f>"protein_coding"</f>
        <v>protein_coding</v>
      </c>
    </row>
    <row r="3954" spans="1:9" x14ac:dyDescent="0.2">
      <c r="A3954" s="3" t="str">
        <f>"ENSG00000181781.9"</f>
        <v>ENSG00000181781.9</v>
      </c>
      <c r="B3954" s="3">
        <v>22.500478382721099</v>
      </c>
      <c r="C3954" s="3">
        <v>2.1979461577355899</v>
      </c>
      <c r="D3954" s="3">
        <v>0.75060906036520902</v>
      </c>
      <c r="E3954" s="3">
        <v>2.92821692915108</v>
      </c>
      <c r="F3954" s="3">
        <v>3.4091210007107199E-3</v>
      </c>
      <c r="G3954" s="3">
        <v>1.7234011007411201E-2</v>
      </c>
      <c r="H3954" s="3" t="str">
        <f>"ODF3L2"</f>
        <v>ODF3L2</v>
      </c>
      <c r="I3954" s="3" t="str">
        <f>"protein_coding"</f>
        <v>protein_coding</v>
      </c>
    </row>
    <row r="3955" spans="1:9" x14ac:dyDescent="0.2">
      <c r="A3955" s="3" t="str">
        <f>"ENSG00000141933.9"</f>
        <v>ENSG00000141933.9</v>
      </c>
      <c r="B3955" s="3">
        <v>125.50972968602601</v>
      </c>
      <c r="C3955" s="3">
        <v>1.1158754704449401</v>
      </c>
      <c r="D3955" s="3">
        <v>0.37527334604787399</v>
      </c>
      <c r="E3955" s="3">
        <v>2.9735004689157498</v>
      </c>
      <c r="F3955" s="3">
        <v>2.9442395679220501E-3</v>
      </c>
      <c r="G3955" s="3">
        <v>1.5179820932789301E-2</v>
      </c>
      <c r="H3955" s="3" t="str">
        <f>"TPGS1"</f>
        <v>TPGS1</v>
      </c>
      <c r="I3955" s="3" t="str">
        <f>"protein_coding"</f>
        <v>protein_coding</v>
      </c>
    </row>
    <row r="3956" spans="1:9" x14ac:dyDescent="0.2">
      <c r="A3956" s="3" t="str">
        <f>"ENSG00000197540.8"</f>
        <v>ENSG00000197540.8</v>
      </c>
      <c r="B3956" s="3">
        <v>17.6627684876605</v>
      </c>
      <c r="C3956" s="3">
        <v>-4.4545706361330497</v>
      </c>
      <c r="D3956" s="3">
        <v>1.13490507670547</v>
      </c>
      <c r="E3956" s="3">
        <v>-3.9250601019992701</v>
      </c>
      <c r="F3956" s="4">
        <v>8.6708086421034294E-5</v>
      </c>
      <c r="G3956" s="3">
        <v>7.1536304162713002E-4</v>
      </c>
      <c r="H3956" s="3" t="str">
        <f>"GZMM"</f>
        <v>GZMM</v>
      </c>
      <c r="I3956" s="3" t="str">
        <f>"protein_coding"</f>
        <v>protein_coding</v>
      </c>
    </row>
    <row r="3957" spans="1:9" x14ac:dyDescent="0.2">
      <c r="A3957" s="3" t="str">
        <f>"ENSG00000267751.5"</f>
        <v>ENSG00000267751.5</v>
      </c>
      <c r="B3957" s="3">
        <v>73.931363582526103</v>
      </c>
      <c r="C3957" s="3">
        <v>-2.1403033763214201</v>
      </c>
      <c r="D3957" s="3">
        <v>0.541557755360909</v>
      </c>
      <c r="E3957" s="3">
        <v>-3.9521239519413101</v>
      </c>
      <c r="F3957" s="4">
        <v>7.7460597149698701E-5</v>
      </c>
      <c r="G3957" s="3">
        <v>6.4756441385864798E-4</v>
      </c>
      <c r="H3957" s="3" t="str">
        <f>"AC009005.1"</f>
        <v>AC009005.1</v>
      </c>
      <c r="I3957" s="3" t="str">
        <f>"antisense"</f>
        <v>antisense</v>
      </c>
    </row>
    <row r="3958" spans="1:9" x14ac:dyDescent="0.2">
      <c r="A3958" s="3" t="str">
        <f>"ENSG00000099822.3"</f>
        <v>ENSG00000099822.3</v>
      </c>
      <c r="B3958" s="3">
        <v>135.57304649828899</v>
      </c>
      <c r="C3958" s="3">
        <v>3.0575022468783</v>
      </c>
      <c r="D3958" s="3">
        <v>0.44108450075829297</v>
      </c>
      <c r="E3958" s="3">
        <v>6.93178346013514</v>
      </c>
      <c r="F3958" s="4">
        <v>4.1556774307074703E-12</v>
      </c>
      <c r="G3958" s="4">
        <v>1.12525366813182E-10</v>
      </c>
      <c r="H3958" s="3" t="str">
        <f>"HCN2"</f>
        <v>HCN2</v>
      </c>
      <c r="I3958" s="3" t="str">
        <f>"protein_coding"</f>
        <v>protein_coding</v>
      </c>
    </row>
    <row r="3959" spans="1:9" x14ac:dyDescent="0.2">
      <c r="A3959" s="3" t="str">
        <f>"ENSG00000099864.18"</f>
        <v>ENSG00000099864.18</v>
      </c>
      <c r="B3959" s="3">
        <v>1518.65127282555</v>
      </c>
      <c r="C3959" s="3">
        <v>2.7416402778083202</v>
      </c>
      <c r="D3959" s="3">
        <v>0.32165542905058198</v>
      </c>
      <c r="E3959" s="3">
        <v>8.5235317989213506</v>
      </c>
      <c r="F3959" s="4">
        <v>1.5476026801313999E-17</v>
      </c>
      <c r="G3959" s="4">
        <v>7.0653258473149501E-16</v>
      </c>
      <c r="H3959" s="3" t="str">
        <f>"PALM"</f>
        <v>PALM</v>
      </c>
      <c r="I3959" s="3" t="str">
        <f>"protein_coding"</f>
        <v>protein_coding</v>
      </c>
    </row>
    <row r="3960" spans="1:9" x14ac:dyDescent="0.2">
      <c r="A3960" s="3" t="str">
        <f>"ENSG00000129951.18"</f>
        <v>ENSG00000129951.18</v>
      </c>
      <c r="B3960" s="3">
        <v>76.780035466481905</v>
      </c>
      <c r="C3960" s="3">
        <v>5.1334301643660103</v>
      </c>
      <c r="D3960" s="3">
        <v>0.63731679830906596</v>
      </c>
      <c r="E3960" s="3">
        <v>8.0547542101291896</v>
      </c>
      <c r="F3960" s="4">
        <v>7.9638677823628796E-16</v>
      </c>
      <c r="G3960" s="4">
        <v>3.1204220259398499E-14</v>
      </c>
      <c r="H3960" s="3" t="str">
        <f>"PLPPR3"</f>
        <v>PLPPR3</v>
      </c>
      <c r="I3960" s="3" t="str">
        <f>"protein_coding"</f>
        <v>protein_coding</v>
      </c>
    </row>
    <row r="3961" spans="1:9" x14ac:dyDescent="0.2">
      <c r="A3961" s="3" t="str">
        <f>"ENSG00000197766.7"</f>
        <v>ENSG00000197766.7</v>
      </c>
      <c r="B3961" s="3">
        <v>105.75292946551301</v>
      </c>
      <c r="C3961" s="3">
        <v>1.46973085136222</v>
      </c>
      <c r="D3961" s="3">
        <v>0.429426929395061</v>
      </c>
      <c r="E3961" s="3">
        <v>3.4225400196318598</v>
      </c>
      <c r="F3961" s="3">
        <v>6.2038964517655503E-4</v>
      </c>
      <c r="G3961" s="3">
        <v>4.0450755636122901E-3</v>
      </c>
      <c r="H3961" s="3" t="str">
        <f>"CFD"</f>
        <v>CFD</v>
      </c>
      <c r="I3961" s="3" t="str">
        <f>"protein_coding"</f>
        <v>protein_coding</v>
      </c>
    </row>
    <row r="3962" spans="1:9" x14ac:dyDescent="0.2">
      <c r="A3962" s="3" t="str">
        <f>"ENSG00000275162.1"</f>
        <v>ENSG00000275162.1</v>
      </c>
      <c r="B3962" s="3">
        <v>41.366245820019003</v>
      </c>
      <c r="C3962" s="3">
        <v>1.5981168941938599</v>
      </c>
      <c r="D3962" s="3">
        <v>0.57019649847267295</v>
      </c>
      <c r="E3962" s="3">
        <v>2.8027476466000301</v>
      </c>
      <c r="F3962" s="3">
        <v>5.0669298826778904E-3</v>
      </c>
      <c r="G3962" s="3">
        <v>2.3971905435163102E-2</v>
      </c>
      <c r="H3962" s="3" t="str">
        <f>"AC005391.1"</f>
        <v>AC005391.1</v>
      </c>
      <c r="I3962" s="3" t="str">
        <f>"sense_intronic"</f>
        <v>sense_intronic</v>
      </c>
    </row>
    <row r="3963" spans="1:9" x14ac:dyDescent="0.2">
      <c r="A3963" s="3" t="str">
        <f>"ENSG00000065268.10"</f>
        <v>ENSG00000065268.10</v>
      </c>
      <c r="B3963" s="3">
        <v>1115.05596132962</v>
      </c>
      <c r="C3963" s="3">
        <v>-1.09800055482535</v>
      </c>
      <c r="D3963" s="3">
        <v>0.29853469837506902</v>
      </c>
      <c r="E3963" s="3">
        <v>-3.6779662826525299</v>
      </c>
      <c r="F3963" s="3">
        <v>2.3510102844100401E-4</v>
      </c>
      <c r="G3963" s="3">
        <v>1.7246912716341401E-3</v>
      </c>
      <c r="H3963" s="3" t="str">
        <f>"WDR18"</f>
        <v>WDR18</v>
      </c>
      <c r="I3963" s="3" t="str">
        <f>"protein_coding"</f>
        <v>protein_coding</v>
      </c>
    </row>
    <row r="3964" spans="1:9" x14ac:dyDescent="0.2">
      <c r="A3964" s="3" t="str">
        <f>"ENSG00000116032.5"</f>
        <v>ENSG00000116032.5</v>
      </c>
      <c r="B3964" s="3">
        <v>62.907342809540303</v>
      </c>
      <c r="C3964" s="3">
        <v>3.2670012435058799</v>
      </c>
      <c r="D3964" s="3">
        <v>0.52826453708672405</v>
      </c>
      <c r="E3964" s="3">
        <v>6.1844038623579598</v>
      </c>
      <c r="F3964" s="4">
        <v>6.2337589075434505E-10</v>
      </c>
      <c r="G3964" s="4">
        <v>1.3078415789762799E-8</v>
      </c>
      <c r="H3964" s="3" t="str">
        <f>"GRIN3B"</f>
        <v>GRIN3B</v>
      </c>
      <c r="I3964" s="3" t="str">
        <f>"protein_coding"</f>
        <v>protein_coding</v>
      </c>
    </row>
    <row r="3965" spans="1:9" x14ac:dyDescent="0.2">
      <c r="A3965" s="3" t="str">
        <f>"ENSG00000207357.1"</f>
        <v>ENSG00000207357.1</v>
      </c>
      <c r="B3965" s="3">
        <v>12.8181997776156</v>
      </c>
      <c r="C3965" s="3">
        <v>-3.5091359912579501</v>
      </c>
      <c r="D3965" s="3">
        <v>1.13530459798429</v>
      </c>
      <c r="E3965" s="3">
        <v>-3.0909202671145102</v>
      </c>
      <c r="F3965" s="3">
        <v>1.9953720685508499E-3</v>
      </c>
      <c r="G3965" s="3">
        <v>1.09258999530685E-2</v>
      </c>
      <c r="H3965" s="3" t="str">
        <f>"RNU6-2"</f>
        <v>RNU6-2</v>
      </c>
      <c r="I3965" s="3" t="str">
        <f>"snRNA"</f>
        <v>snRNA</v>
      </c>
    </row>
    <row r="3966" spans="1:9" x14ac:dyDescent="0.2">
      <c r="A3966" s="3" t="str">
        <f>"ENSG00000064687.12"</f>
        <v>ENSG00000064687.12</v>
      </c>
      <c r="B3966" s="3">
        <v>843.19311641064405</v>
      </c>
      <c r="C3966" s="3">
        <v>1.6746805930063899</v>
      </c>
      <c r="D3966" s="3">
        <v>0.33294336396323898</v>
      </c>
      <c r="E3966" s="3">
        <v>5.0299263306275002</v>
      </c>
      <c r="F3966" s="4">
        <v>4.9066832550428699E-7</v>
      </c>
      <c r="G3966" s="4">
        <v>6.5202122176758302E-6</v>
      </c>
      <c r="H3966" s="3" t="str">
        <f>"ABCA7"</f>
        <v>ABCA7</v>
      </c>
      <c r="I3966" s="3" t="str">
        <f>"protein_coding"</f>
        <v>protein_coding</v>
      </c>
    </row>
    <row r="3967" spans="1:9" x14ac:dyDescent="0.2">
      <c r="A3967" s="3" t="str">
        <f>"ENSG00000267493.3"</f>
        <v>ENSG00000267493.3</v>
      </c>
      <c r="B3967" s="3">
        <v>19.406148950679199</v>
      </c>
      <c r="C3967" s="3">
        <v>-3.5242904139920901</v>
      </c>
      <c r="D3967" s="3">
        <v>0.96276885757281205</v>
      </c>
      <c r="E3967" s="3">
        <v>-3.6605779115841002</v>
      </c>
      <c r="F3967" s="3">
        <v>2.51647017651427E-4</v>
      </c>
      <c r="G3967" s="3">
        <v>1.82953200260741E-3</v>
      </c>
      <c r="H3967" s="3" t="str">
        <f>"CIRBP-AS1"</f>
        <v>CIRBP-AS1</v>
      </c>
      <c r="I3967" s="3" t="str">
        <f>"antisense"</f>
        <v>antisense</v>
      </c>
    </row>
    <row r="3968" spans="1:9" x14ac:dyDescent="0.2">
      <c r="A3968" s="3" t="str">
        <f>"ENSG00000228300.14"</f>
        <v>ENSG00000228300.14</v>
      </c>
      <c r="B3968" s="3">
        <v>463.10066209279302</v>
      </c>
      <c r="C3968" s="3">
        <v>-1.0878351075194801</v>
      </c>
      <c r="D3968" s="3">
        <v>0.29883372365952598</v>
      </c>
      <c r="E3968" s="3">
        <v>-3.6402688899961602</v>
      </c>
      <c r="F3968" s="3">
        <v>2.7235347155602402E-4</v>
      </c>
      <c r="G3968" s="3">
        <v>1.9641776310182898E-3</v>
      </c>
      <c r="H3968" s="3" t="str">
        <f>"C19orf24"</f>
        <v>C19orf24</v>
      </c>
      <c r="I3968" s="3" t="str">
        <f>"protein_coding"</f>
        <v>protein_coding</v>
      </c>
    </row>
    <row r="3969" spans="1:9" x14ac:dyDescent="0.2">
      <c r="A3969" s="3" t="str">
        <f>"ENSG00000160953.16"</f>
        <v>ENSG00000160953.16</v>
      </c>
      <c r="B3969" s="3">
        <v>1078.4690660895301</v>
      </c>
      <c r="C3969" s="3">
        <v>1.3986985742310001</v>
      </c>
      <c r="D3969" s="3">
        <v>0.281266563979852</v>
      </c>
      <c r="E3969" s="3">
        <v>4.9728576139295297</v>
      </c>
      <c r="F3969" s="4">
        <v>6.5973117541077405E-7</v>
      </c>
      <c r="G3969" s="4">
        <v>8.5632289563766908E-6</v>
      </c>
      <c r="H3969" s="3" t="str">
        <f>"PWWP3A"</f>
        <v>PWWP3A</v>
      </c>
      <c r="I3969" s="3" t="str">
        <f>"protein_coding"</f>
        <v>protein_coding</v>
      </c>
    </row>
    <row r="3970" spans="1:9" x14ac:dyDescent="0.2">
      <c r="A3970" s="3" t="str">
        <f>"ENSG00000130005.12"</f>
        <v>ENSG00000130005.12</v>
      </c>
      <c r="B3970" s="3">
        <v>2128.6801851984901</v>
      </c>
      <c r="C3970" s="3">
        <v>1.4829379103863001</v>
      </c>
      <c r="D3970" s="3">
        <v>0.29163290712473999</v>
      </c>
      <c r="E3970" s="3">
        <v>5.0849471172743996</v>
      </c>
      <c r="F3970" s="4">
        <v>3.6772851329217198E-7</v>
      </c>
      <c r="G3970" s="4">
        <v>4.9893261876292202E-6</v>
      </c>
      <c r="H3970" s="3" t="str">
        <f>"GAMT"</f>
        <v>GAMT</v>
      </c>
      <c r="I3970" s="3" t="str">
        <f>"protein_coding"</f>
        <v>protein_coding</v>
      </c>
    </row>
    <row r="3971" spans="1:9" x14ac:dyDescent="0.2">
      <c r="A3971" s="3" t="str">
        <f>"ENSG00000267317.2"</f>
        <v>ENSG00000267317.2</v>
      </c>
      <c r="B3971" s="3">
        <v>204.65845845087901</v>
      </c>
      <c r="C3971" s="3">
        <v>1.8735373770719199</v>
      </c>
      <c r="D3971" s="3">
        <v>0.34095274307022999</v>
      </c>
      <c r="E3971" s="3">
        <v>5.4950060240049297</v>
      </c>
      <c r="F3971" s="4">
        <v>3.9069707776805599E-8</v>
      </c>
      <c r="G3971" s="4">
        <v>6.2518988493991498E-7</v>
      </c>
      <c r="H3971" s="3" t="str">
        <f>"AC027307.2"</f>
        <v>AC027307.2</v>
      </c>
      <c r="I3971" s="3" t="str">
        <f>"antisense"</f>
        <v>antisense</v>
      </c>
    </row>
    <row r="3972" spans="1:9" x14ac:dyDescent="0.2">
      <c r="A3972" s="3" t="str">
        <f>"ENSG00000119559.16"</f>
        <v>ENSG00000119559.16</v>
      </c>
      <c r="B3972" s="3">
        <v>967.50487744220004</v>
      </c>
      <c r="C3972" s="3">
        <v>1.43573769200112</v>
      </c>
      <c r="D3972" s="3">
        <v>0.29643604887632602</v>
      </c>
      <c r="E3972" s="3">
        <v>4.8433302813320003</v>
      </c>
      <c r="F3972" s="4">
        <v>1.2768078599825E-6</v>
      </c>
      <c r="G3972" s="4">
        <v>1.55535601539273E-5</v>
      </c>
      <c r="H3972" s="3" t="str">
        <f>"C19orf25"</f>
        <v>C19orf25</v>
      </c>
      <c r="I3972" s="3" t="str">
        <f>"protein_coding"</f>
        <v>protein_coding</v>
      </c>
    </row>
    <row r="3973" spans="1:9" x14ac:dyDescent="0.2">
      <c r="A3973" s="3" t="str">
        <f>"ENSG00000267073.1"</f>
        <v>ENSG00000267073.1</v>
      </c>
      <c r="B3973" s="3">
        <v>26.0265917515752</v>
      </c>
      <c r="C3973" s="3">
        <v>2.4267072792705799</v>
      </c>
      <c r="D3973" s="3">
        <v>0.80428941825784395</v>
      </c>
      <c r="E3973" s="3">
        <v>3.01720652315311</v>
      </c>
      <c r="F3973" s="3">
        <v>2.5511593710875399E-3</v>
      </c>
      <c r="G3973" s="3">
        <v>1.3428418911844899E-2</v>
      </c>
      <c r="H3973" s="3" t="str">
        <f>"AC005256.1"</f>
        <v>AC005256.1</v>
      </c>
      <c r="I3973" s="3" t="str">
        <f>"lincRNA"</f>
        <v>lincRNA</v>
      </c>
    </row>
    <row r="3974" spans="1:9" x14ac:dyDescent="0.2">
      <c r="A3974" s="3" t="str">
        <f>"ENSG00000267283.1"</f>
        <v>ENSG00000267283.1</v>
      </c>
      <c r="B3974" s="3">
        <v>48.008164346884897</v>
      </c>
      <c r="C3974" s="3">
        <v>2.0418205795623798</v>
      </c>
      <c r="D3974" s="3">
        <v>0.54926343445997305</v>
      </c>
      <c r="E3974" s="3">
        <v>3.7173794056942202</v>
      </c>
      <c r="F3974" s="3">
        <v>2.01300022274576E-4</v>
      </c>
      <c r="G3974" s="3">
        <v>1.50124579315653E-3</v>
      </c>
      <c r="H3974" s="3" t="str">
        <f>"AC005306.1"</f>
        <v>AC005306.1</v>
      </c>
      <c r="I3974" s="3" t="str">
        <f>"processed_transcript"</f>
        <v>processed_transcript</v>
      </c>
    </row>
    <row r="3975" spans="1:9" x14ac:dyDescent="0.2">
      <c r="A3975" s="3" t="str">
        <f>"ENSG00000172081.14"</f>
        <v>ENSG00000172081.14</v>
      </c>
      <c r="B3975" s="3">
        <v>587.76756168490795</v>
      </c>
      <c r="C3975" s="3">
        <v>1.4306716973014699</v>
      </c>
      <c r="D3975" s="3">
        <v>0.31099678663737601</v>
      </c>
      <c r="E3975" s="3">
        <v>4.60027806965621</v>
      </c>
      <c r="F3975" s="4">
        <v>4.2192732839904299E-6</v>
      </c>
      <c r="G3975" s="4">
        <v>4.7087763735039598E-5</v>
      </c>
      <c r="H3975" s="3" t="str">
        <f>"MOB3A"</f>
        <v>MOB3A</v>
      </c>
      <c r="I3975" s="3" t="str">
        <f>"protein_coding"</f>
        <v>protein_coding</v>
      </c>
    </row>
    <row r="3976" spans="1:9" x14ac:dyDescent="0.2">
      <c r="A3976" s="3" t="str">
        <f>"ENSG00000065000.17"</f>
        <v>ENSG00000065000.17</v>
      </c>
      <c r="B3976" s="3">
        <v>5506.4482124823799</v>
      </c>
      <c r="C3976" s="3">
        <v>1.0115438246494199</v>
      </c>
      <c r="D3976" s="3">
        <v>0.286276710816181</v>
      </c>
      <c r="E3976" s="3">
        <v>3.53344783711358</v>
      </c>
      <c r="F3976" s="3">
        <v>4.1017702243241298E-4</v>
      </c>
      <c r="G3976" s="3">
        <v>2.8152804909378801E-3</v>
      </c>
      <c r="H3976" s="3" t="str">
        <f>"AP3D1"</f>
        <v>AP3D1</v>
      </c>
      <c r="I3976" s="3" t="str">
        <f>"protein_coding"</f>
        <v>protein_coding</v>
      </c>
    </row>
    <row r="3977" spans="1:9" x14ac:dyDescent="0.2">
      <c r="A3977" s="3" t="str">
        <f>"ENSG00000176619.13"</f>
        <v>ENSG00000176619.13</v>
      </c>
      <c r="B3977" s="3">
        <v>6377.3603255427497</v>
      </c>
      <c r="C3977" s="3">
        <v>-1.07166463559989</v>
      </c>
      <c r="D3977" s="3">
        <v>0.27996727772084101</v>
      </c>
      <c r="E3977" s="3">
        <v>-3.82782103795881</v>
      </c>
      <c r="F3977" s="3">
        <v>1.2928269951269301E-4</v>
      </c>
      <c r="G3977" s="3">
        <v>1.01755516465638E-3</v>
      </c>
      <c r="H3977" s="3" t="str">
        <f>"LMNB2"</f>
        <v>LMNB2</v>
      </c>
      <c r="I3977" s="3" t="str">
        <f>"protein_coding"</f>
        <v>protein_coding</v>
      </c>
    </row>
    <row r="3978" spans="1:9" x14ac:dyDescent="0.2">
      <c r="A3978" s="3" t="str">
        <f>"ENSG00000172006.11"</f>
        <v>ENSG00000172006.11</v>
      </c>
      <c r="B3978" s="3">
        <v>255.65785889588199</v>
      </c>
      <c r="C3978" s="3">
        <v>1.21702723191607</v>
      </c>
      <c r="D3978" s="3">
        <v>0.308021983162163</v>
      </c>
      <c r="E3978" s="3">
        <v>3.9511051108172</v>
      </c>
      <c r="F3978" s="4">
        <v>7.7791146829039705E-5</v>
      </c>
      <c r="G3978" s="3">
        <v>6.4968004597758798E-4</v>
      </c>
      <c r="H3978" s="3" t="str">
        <f>"ZNF554"</f>
        <v>ZNF554</v>
      </c>
      <c r="I3978" s="3" t="str">
        <f>"protein_coding"</f>
        <v>protein_coding</v>
      </c>
    </row>
    <row r="3979" spans="1:9" x14ac:dyDescent="0.2">
      <c r="A3979" s="3" t="str">
        <f>"ENSG00000104964.14"</f>
        <v>ENSG00000104964.14</v>
      </c>
      <c r="B3979" s="3">
        <v>3802.9685055213499</v>
      </c>
      <c r="C3979" s="3">
        <v>-1.0534535471294</v>
      </c>
      <c r="D3979" s="3">
        <v>0.27025469467093799</v>
      </c>
      <c r="E3979" s="3">
        <v>-3.8980027651770599</v>
      </c>
      <c r="F3979" s="4">
        <v>9.69893092566911E-5</v>
      </c>
      <c r="G3979" s="3">
        <v>7.90108736764781E-4</v>
      </c>
      <c r="H3979" s="3" t="str">
        <f>"AES"</f>
        <v>AES</v>
      </c>
      <c r="I3979" s="3" t="str">
        <f>"protein_coding"</f>
        <v>protein_coding</v>
      </c>
    </row>
    <row r="3980" spans="1:9" x14ac:dyDescent="0.2">
      <c r="A3980" s="3" t="str">
        <f>"ENSG00000267551.3"</f>
        <v>ENSG00000267551.3</v>
      </c>
      <c r="B3980" s="3">
        <v>43.821766648780198</v>
      </c>
      <c r="C3980" s="3">
        <v>7.5200205435339802</v>
      </c>
      <c r="D3980" s="3">
        <v>1.5066104975235499</v>
      </c>
      <c r="E3980" s="3">
        <v>4.9913501571207703</v>
      </c>
      <c r="F3980" s="4">
        <v>5.9958687858433604E-7</v>
      </c>
      <c r="G3980" s="4">
        <v>7.8391933112208793E-6</v>
      </c>
      <c r="H3980" s="3" t="str">
        <f>"AC005264.1"</f>
        <v>AC005264.1</v>
      </c>
      <c r="I3980" s="3" t="str">
        <f>"antisense"</f>
        <v>antisense</v>
      </c>
    </row>
    <row r="3981" spans="1:9" x14ac:dyDescent="0.2">
      <c r="A3981" s="3" t="str">
        <f>"ENSG00000125910.5"</f>
        <v>ENSG00000125910.5</v>
      </c>
      <c r="B3981" s="3">
        <v>129.41408388503899</v>
      </c>
      <c r="C3981" s="3">
        <v>6.6717549482802498</v>
      </c>
      <c r="D3981" s="3">
        <v>1.6141081201685701</v>
      </c>
      <c r="E3981" s="3">
        <v>4.1334002753071299</v>
      </c>
      <c r="F3981" s="4">
        <v>3.5743542501926397E-5</v>
      </c>
      <c r="G3981" s="3">
        <v>3.2412718516076401E-4</v>
      </c>
      <c r="H3981" s="3" t="str">
        <f>"S1PR4"</f>
        <v>S1PR4</v>
      </c>
      <c r="I3981" s="3" t="str">
        <f t="shared" ref="I3981:I3987" si="161">"protein_coding"</f>
        <v>protein_coding</v>
      </c>
    </row>
    <row r="3982" spans="1:9" x14ac:dyDescent="0.2">
      <c r="A3982" s="3" t="str">
        <f>"ENSG00000161091.13"</f>
        <v>ENSG00000161091.13</v>
      </c>
      <c r="B3982" s="3">
        <v>828.18985911864797</v>
      </c>
      <c r="C3982" s="3">
        <v>-1.03689958887098</v>
      </c>
      <c r="D3982" s="3">
        <v>0.31527851586760702</v>
      </c>
      <c r="E3982" s="3">
        <v>-3.2888368115333102</v>
      </c>
      <c r="F3982" s="3">
        <v>1.0060233475861699E-3</v>
      </c>
      <c r="G3982" s="3">
        <v>6.1349132869164E-3</v>
      </c>
      <c r="H3982" s="3" t="str">
        <f>"MFSD12"</f>
        <v>MFSD12</v>
      </c>
      <c r="I3982" s="3" t="str">
        <f t="shared" si="161"/>
        <v>protein_coding</v>
      </c>
    </row>
    <row r="3983" spans="1:9" x14ac:dyDescent="0.2">
      <c r="A3983" s="3" t="str">
        <f>"ENSG00000007264.15"</f>
        <v>ENSG00000007264.15</v>
      </c>
      <c r="B3983" s="3">
        <v>37.015279470056498</v>
      </c>
      <c r="C3983" s="3">
        <v>-3.3348970832685199</v>
      </c>
      <c r="D3983" s="3">
        <v>0.70423946065189202</v>
      </c>
      <c r="E3983" s="3">
        <v>-4.7354589874607598</v>
      </c>
      <c r="F3983" s="4">
        <v>2.1855990087653702E-6</v>
      </c>
      <c r="G3983" s="4">
        <v>2.55834076619325E-5</v>
      </c>
      <c r="H3983" s="3" t="str">
        <f>"MATK"</f>
        <v>MATK</v>
      </c>
      <c r="I3983" s="3" t="str">
        <f t="shared" si="161"/>
        <v>protein_coding</v>
      </c>
    </row>
    <row r="3984" spans="1:9" x14ac:dyDescent="0.2">
      <c r="A3984" s="3" t="str">
        <f>"ENSG00000060566.14"</f>
        <v>ENSG00000060566.14</v>
      </c>
      <c r="B3984" s="3">
        <v>117.865701258351</v>
      </c>
      <c r="C3984" s="3">
        <v>-2.8815782424879601</v>
      </c>
      <c r="D3984" s="3">
        <v>0.437719865321891</v>
      </c>
      <c r="E3984" s="3">
        <v>-6.5831561936740099</v>
      </c>
      <c r="F3984" s="4">
        <v>4.6056484708668999E-11</v>
      </c>
      <c r="G3984" s="4">
        <v>1.0991943765147699E-9</v>
      </c>
      <c r="H3984" s="3" t="str">
        <f>"CREB3L3"</f>
        <v>CREB3L3</v>
      </c>
      <c r="I3984" s="3" t="str">
        <f t="shared" si="161"/>
        <v>protein_coding</v>
      </c>
    </row>
    <row r="3985" spans="1:9" x14ac:dyDescent="0.2">
      <c r="A3985" s="3" t="str">
        <f>"ENSG00000089847.12"</f>
        <v>ENSG00000089847.12</v>
      </c>
      <c r="B3985" s="3">
        <v>26.9657837746011</v>
      </c>
      <c r="C3985" s="3">
        <v>4.1982254195645901</v>
      </c>
      <c r="D3985" s="3">
        <v>0.87354883528736604</v>
      </c>
      <c r="E3985" s="3">
        <v>4.8059424384482501</v>
      </c>
      <c r="F3985" s="4">
        <v>1.54024212600663E-6</v>
      </c>
      <c r="G3985" s="4">
        <v>1.85027653675724E-5</v>
      </c>
      <c r="H3985" s="3" t="str">
        <f>"ANKRD24"</f>
        <v>ANKRD24</v>
      </c>
      <c r="I3985" s="3" t="str">
        <f t="shared" si="161"/>
        <v>protein_coding</v>
      </c>
    </row>
    <row r="3986" spans="1:9" x14ac:dyDescent="0.2">
      <c r="A3986" s="3" t="str">
        <f>"ENSG00000105246.6"</f>
        <v>ENSG00000105246.6</v>
      </c>
      <c r="B3986" s="3">
        <v>188.405632204705</v>
      </c>
      <c r="C3986" s="3">
        <v>8.0444093491499906</v>
      </c>
      <c r="D3986" s="3">
        <v>0.89556051147375304</v>
      </c>
      <c r="E3986" s="3">
        <v>8.9825413761398902</v>
      </c>
      <c r="F3986" s="4">
        <v>2.6458343720864298E-19</v>
      </c>
      <c r="G3986" s="4">
        <v>1.35551860753226E-17</v>
      </c>
      <c r="H3986" s="3" t="str">
        <f>"EBI3"</f>
        <v>EBI3</v>
      </c>
      <c r="I3986" s="3" t="str">
        <f t="shared" si="161"/>
        <v>protein_coding</v>
      </c>
    </row>
    <row r="3987" spans="1:9" x14ac:dyDescent="0.2">
      <c r="A3987" s="3" t="str">
        <f>"ENSG00000105255.11"</f>
        <v>ENSG00000105255.11</v>
      </c>
      <c r="B3987" s="3">
        <v>98.268455478533198</v>
      </c>
      <c r="C3987" s="3">
        <v>-1.96856450597041</v>
      </c>
      <c r="D3987" s="3">
        <v>0.42501050385390399</v>
      </c>
      <c r="E3987" s="3">
        <v>-4.6318020098794896</v>
      </c>
      <c r="F3987" s="4">
        <v>3.6249672832906801E-6</v>
      </c>
      <c r="G3987" s="4">
        <v>4.08173912315028E-5</v>
      </c>
      <c r="H3987" s="3" t="str">
        <f>"FSD1"</f>
        <v>FSD1</v>
      </c>
      <c r="I3987" s="3" t="str">
        <f t="shared" si="161"/>
        <v>protein_coding</v>
      </c>
    </row>
    <row r="3988" spans="1:9" x14ac:dyDescent="0.2">
      <c r="A3988" s="3" t="str">
        <f>"ENSG00000269318.1"</f>
        <v>ENSG00000269318.1</v>
      </c>
      <c r="B3988" s="3">
        <v>42.516228466361603</v>
      </c>
      <c r="C3988" s="3">
        <v>2.3043012289342202</v>
      </c>
      <c r="D3988" s="3">
        <v>0.60555879148714997</v>
      </c>
      <c r="E3988" s="3">
        <v>3.80524775022297</v>
      </c>
      <c r="F3988" s="3">
        <v>1.41662322132674E-4</v>
      </c>
      <c r="G3988" s="3">
        <v>1.1025729310790301E-3</v>
      </c>
      <c r="H3988" s="3" t="str">
        <f>"AC007292.2"</f>
        <v>AC007292.2</v>
      </c>
      <c r="I3988" s="3" t="str">
        <f>"antisense"</f>
        <v>antisense</v>
      </c>
    </row>
    <row r="3989" spans="1:9" x14ac:dyDescent="0.2">
      <c r="A3989" s="3" t="str">
        <f>"ENSG00000141985.9"</f>
        <v>ENSG00000141985.9</v>
      </c>
      <c r="B3989" s="3">
        <v>2435.6648986699802</v>
      </c>
      <c r="C3989" s="3">
        <v>1.13455978471668</v>
      </c>
      <c r="D3989" s="3">
        <v>0.286028143121204</v>
      </c>
      <c r="E3989" s="3">
        <v>3.96660193062162</v>
      </c>
      <c r="F3989" s="4">
        <v>7.2904604478038403E-5</v>
      </c>
      <c r="G3989" s="3">
        <v>6.1396562626215504E-4</v>
      </c>
      <c r="H3989" s="3" t="str">
        <f>"SH3GL1"</f>
        <v>SH3GL1</v>
      </c>
      <c r="I3989" s="3" t="str">
        <f t="shared" ref="I3989:I4002" si="162">"protein_coding"</f>
        <v>protein_coding</v>
      </c>
    </row>
    <row r="3990" spans="1:9" x14ac:dyDescent="0.2">
      <c r="A3990" s="3" t="str">
        <f>"ENSG00000167671.12"</f>
        <v>ENSG00000167671.12</v>
      </c>
      <c r="B3990" s="3">
        <v>660.05314474801798</v>
      </c>
      <c r="C3990" s="3">
        <v>1.5286978726498399</v>
      </c>
      <c r="D3990" s="3">
        <v>0.32049052563805902</v>
      </c>
      <c r="E3990" s="3">
        <v>4.7698691548100598</v>
      </c>
      <c r="F3990" s="4">
        <v>1.8434562192037901E-6</v>
      </c>
      <c r="G3990" s="4">
        <v>2.1811919658547099E-5</v>
      </c>
      <c r="H3990" s="3" t="str">
        <f>"UBXN6"</f>
        <v>UBXN6</v>
      </c>
      <c r="I3990" s="3" t="str">
        <f t="shared" si="162"/>
        <v>protein_coding</v>
      </c>
    </row>
    <row r="3991" spans="1:9" x14ac:dyDescent="0.2">
      <c r="A3991" s="3" t="str">
        <f>"ENSG00000167676.4"</f>
        <v>ENSG00000167676.4</v>
      </c>
      <c r="B3991" s="3">
        <v>326.23190786819902</v>
      </c>
      <c r="C3991" s="3">
        <v>4.89788341051913</v>
      </c>
      <c r="D3991" s="3">
        <v>0.36696871485196503</v>
      </c>
      <c r="E3991" s="3">
        <v>13.346869126145901</v>
      </c>
      <c r="F3991" s="4">
        <v>1.23532721099242E-40</v>
      </c>
      <c r="G3991" s="4">
        <v>2.1579622217023899E-38</v>
      </c>
      <c r="H3991" s="3" t="str">
        <f>"PLIN4"</f>
        <v>PLIN4</v>
      </c>
      <c r="I3991" s="3" t="str">
        <f t="shared" si="162"/>
        <v>protein_coding</v>
      </c>
    </row>
    <row r="3992" spans="1:9" x14ac:dyDescent="0.2">
      <c r="A3992" s="3" t="str">
        <f>"ENSG00000214456.8"</f>
        <v>ENSG00000214456.8</v>
      </c>
      <c r="B3992" s="3">
        <v>69.019650438715303</v>
      </c>
      <c r="C3992" s="3">
        <v>1.71575958131108</v>
      </c>
      <c r="D3992" s="3">
        <v>0.47068713138132101</v>
      </c>
      <c r="E3992" s="3">
        <v>3.6452230514054098</v>
      </c>
      <c r="F3992" s="3">
        <v>2.6715998485772602E-4</v>
      </c>
      <c r="G3992" s="3">
        <v>1.93004291185988E-3</v>
      </c>
      <c r="H3992" s="3" t="str">
        <f>"PLIN5"</f>
        <v>PLIN5</v>
      </c>
      <c r="I3992" s="3" t="str">
        <f t="shared" si="162"/>
        <v>protein_coding</v>
      </c>
    </row>
    <row r="3993" spans="1:9" x14ac:dyDescent="0.2">
      <c r="A3993" s="3" t="str">
        <f>"ENSG00000074842.7"</f>
        <v>ENSG00000074842.7</v>
      </c>
      <c r="B3993" s="3">
        <v>2512.00117126032</v>
      </c>
      <c r="C3993" s="3">
        <v>-1.0345272270485699</v>
      </c>
      <c r="D3993" s="3">
        <v>0.281575949704854</v>
      </c>
      <c r="E3993" s="3">
        <v>-3.6740610415518602</v>
      </c>
      <c r="F3993" s="3">
        <v>2.3872566193737E-4</v>
      </c>
      <c r="G3993" s="3">
        <v>1.74618901600307E-3</v>
      </c>
      <c r="H3993" s="3" t="str">
        <f>"MYDGF"</f>
        <v>MYDGF</v>
      </c>
      <c r="I3993" s="3" t="str">
        <f t="shared" si="162"/>
        <v>protein_coding</v>
      </c>
    </row>
    <row r="3994" spans="1:9" x14ac:dyDescent="0.2">
      <c r="A3994" s="3" t="str">
        <f>"ENSG00000276043.5"</f>
        <v>ENSG00000276043.5</v>
      </c>
      <c r="B3994" s="3">
        <v>6073.9174165637996</v>
      </c>
      <c r="C3994" s="3">
        <v>-4.8331196806057104</v>
      </c>
      <c r="D3994" s="3">
        <v>0.285870229565441</v>
      </c>
      <c r="E3994" s="3">
        <v>-16.9066911512705</v>
      </c>
      <c r="F3994" s="4">
        <v>4.0163513396058201E-64</v>
      </c>
      <c r="G3994" s="4">
        <v>1.62953738625459E-61</v>
      </c>
      <c r="H3994" s="3" t="str">
        <f>"UHRF1"</f>
        <v>UHRF1</v>
      </c>
      <c r="I3994" s="3" t="str">
        <f t="shared" si="162"/>
        <v>protein_coding</v>
      </c>
    </row>
    <row r="3995" spans="1:9" x14ac:dyDescent="0.2">
      <c r="A3995" s="3" t="str">
        <f>"ENSG00000127663.15"</f>
        <v>ENSG00000127663.15</v>
      </c>
      <c r="B3995" s="3">
        <v>2270.3902054707901</v>
      </c>
      <c r="C3995" s="3">
        <v>2.3779994722018301</v>
      </c>
      <c r="D3995" s="3">
        <v>0.28017327488138</v>
      </c>
      <c r="E3995" s="3">
        <v>8.4876027994055896</v>
      </c>
      <c r="F3995" s="4">
        <v>2.1094312033450301E-17</v>
      </c>
      <c r="G3995" s="4">
        <v>9.5436586187309709E-16</v>
      </c>
      <c r="H3995" s="3" t="str">
        <f>"KDM4B"</f>
        <v>KDM4B</v>
      </c>
      <c r="I3995" s="3" t="str">
        <f t="shared" si="162"/>
        <v>protein_coding</v>
      </c>
    </row>
    <row r="3996" spans="1:9" x14ac:dyDescent="0.2">
      <c r="A3996" s="3" t="str">
        <f>"ENSG00000223573.7"</f>
        <v>ENSG00000223573.7</v>
      </c>
      <c r="B3996" s="3">
        <v>208.63653924484899</v>
      </c>
      <c r="C3996" s="3">
        <v>5.2382453386149699</v>
      </c>
      <c r="D3996" s="3">
        <v>0.44969348726799802</v>
      </c>
      <c r="E3996" s="3">
        <v>11.648479435267401</v>
      </c>
      <c r="F3996" s="4">
        <v>2.3358958961384101E-31</v>
      </c>
      <c r="G3996" s="4">
        <v>2.5327353994552503E-29</v>
      </c>
      <c r="H3996" s="3" t="str">
        <f>"TINCR"</f>
        <v>TINCR</v>
      </c>
      <c r="I3996" s="3" t="str">
        <f t="shared" si="162"/>
        <v>protein_coding</v>
      </c>
    </row>
    <row r="3997" spans="1:9" x14ac:dyDescent="0.2">
      <c r="A3997" s="3" t="str">
        <f>"ENSG00000174898.16"</f>
        <v>ENSG00000174898.16</v>
      </c>
      <c r="B3997" s="3">
        <v>98.759459598940595</v>
      </c>
      <c r="C3997" s="3">
        <v>3.3592127053762</v>
      </c>
      <c r="D3997" s="3">
        <v>0.44766061033824001</v>
      </c>
      <c r="E3997" s="3">
        <v>7.5039273677397498</v>
      </c>
      <c r="F3997" s="4">
        <v>6.1933630028522696E-14</v>
      </c>
      <c r="G3997" s="4">
        <v>2.0154469125064499E-12</v>
      </c>
      <c r="H3997" s="3" t="str">
        <f>"CATSPERD"</f>
        <v>CATSPERD</v>
      </c>
      <c r="I3997" s="3" t="str">
        <f t="shared" si="162"/>
        <v>protein_coding</v>
      </c>
    </row>
    <row r="3998" spans="1:9" x14ac:dyDescent="0.2">
      <c r="A3998" s="3" t="str">
        <f>"ENSG00000171124.13"</f>
        <v>ENSG00000171124.13</v>
      </c>
      <c r="B3998" s="3">
        <v>47.064073518046399</v>
      </c>
      <c r="C3998" s="3">
        <v>-4.4479698345184797</v>
      </c>
      <c r="D3998" s="3">
        <v>0.71307366482683199</v>
      </c>
      <c r="E3998" s="3">
        <v>-6.2377424015493004</v>
      </c>
      <c r="F3998" s="4">
        <v>4.4393088626938501E-10</v>
      </c>
      <c r="G3998" s="4">
        <v>9.5038991013671405E-9</v>
      </c>
      <c r="H3998" s="3" t="str">
        <f>"FUT3"</f>
        <v>FUT3</v>
      </c>
      <c r="I3998" s="3" t="str">
        <f t="shared" si="162"/>
        <v>protein_coding</v>
      </c>
    </row>
    <row r="3999" spans="1:9" x14ac:dyDescent="0.2">
      <c r="A3999" s="3" t="str">
        <f>"ENSG00000187650.3"</f>
        <v>ENSG00000187650.3</v>
      </c>
      <c r="B3999" s="3">
        <v>273.09506985849902</v>
      </c>
      <c r="C3999" s="3">
        <v>2.71981144989013</v>
      </c>
      <c r="D3999" s="3">
        <v>0.37266869484590498</v>
      </c>
      <c r="E3999" s="3">
        <v>7.2982020961399598</v>
      </c>
      <c r="F3999" s="4">
        <v>2.9163836896816598E-13</v>
      </c>
      <c r="G3999" s="4">
        <v>9.0346837086135603E-12</v>
      </c>
      <c r="H3999" s="3" t="str">
        <f>"VMAC"</f>
        <v>VMAC</v>
      </c>
      <c r="I3999" s="3" t="str">
        <f t="shared" si="162"/>
        <v>protein_coding</v>
      </c>
    </row>
    <row r="4000" spans="1:9" x14ac:dyDescent="0.2">
      <c r="A4000" s="3" t="str">
        <f>"ENSG00000105519.16"</f>
        <v>ENSG00000105519.16</v>
      </c>
      <c r="B4000" s="3">
        <v>406.41751964927698</v>
      </c>
      <c r="C4000" s="3">
        <v>2.4424256460162699</v>
      </c>
      <c r="D4000" s="3">
        <v>0.318922864409727</v>
      </c>
      <c r="E4000" s="3">
        <v>7.6583585517983996</v>
      </c>
      <c r="F4000" s="4">
        <v>1.8832450191617E-14</v>
      </c>
      <c r="G4000" s="4">
        <v>6.4453099941513802E-13</v>
      </c>
      <c r="H4000" s="3" t="str">
        <f>"CAPS"</f>
        <v>CAPS</v>
      </c>
      <c r="I4000" s="3" t="str">
        <f t="shared" si="162"/>
        <v>protein_coding</v>
      </c>
    </row>
    <row r="4001" spans="1:9" x14ac:dyDescent="0.2">
      <c r="A4001" s="3" t="str">
        <f>"ENSG00000130382.9"</f>
        <v>ENSG00000130382.9</v>
      </c>
      <c r="B4001" s="3">
        <v>1883.01414974511</v>
      </c>
      <c r="C4001" s="3">
        <v>1.3211101191596799</v>
      </c>
      <c r="D4001" s="3">
        <v>0.27766952636727099</v>
      </c>
      <c r="E4001" s="3">
        <v>4.7578505875083303</v>
      </c>
      <c r="F4001" s="4">
        <v>1.9566523588749402E-6</v>
      </c>
      <c r="G4001" s="4">
        <v>2.30861116733111E-5</v>
      </c>
      <c r="H4001" s="3" t="str">
        <f>"MLLT1"</f>
        <v>MLLT1</v>
      </c>
      <c r="I4001" s="3" t="str">
        <f t="shared" si="162"/>
        <v>protein_coding</v>
      </c>
    </row>
    <row r="4002" spans="1:9" x14ac:dyDescent="0.2">
      <c r="A4002" s="3" t="str">
        <f>"ENSG00000205744.10"</f>
        <v>ENSG00000205744.10</v>
      </c>
      <c r="B4002" s="3">
        <v>421.83050823743201</v>
      </c>
      <c r="C4002" s="3">
        <v>4.0176737800689404</v>
      </c>
      <c r="D4002" s="3">
        <v>0.36606484855322702</v>
      </c>
      <c r="E4002" s="3">
        <v>10.9753061402856</v>
      </c>
      <c r="F4002" s="4">
        <v>5.0235401612951003E-28</v>
      </c>
      <c r="G4002" s="4">
        <v>4.6119398816561402E-26</v>
      </c>
      <c r="H4002" s="3" t="str">
        <f>"DENND1C"</f>
        <v>DENND1C</v>
      </c>
      <c r="I4002" s="3" t="str">
        <f t="shared" si="162"/>
        <v>protein_coding</v>
      </c>
    </row>
    <row r="4003" spans="1:9" x14ac:dyDescent="0.2">
      <c r="A4003" s="3" t="str">
        <f>"ENSG00000276980.1"</f>
        <v>ENSG00000276980.1</v>
      </c>
      <c r="B4003" s="3">
        <v>187.51063596975499</v>
      </c>
      <c r="C4003" s="3">
        <v>1.51951215200037</v>
      </c>
      <c r="D4003" s="3">
        <v>0.371026624994933</v>
      </c>
      <c r="E4003" s="3">
        <v>4.0954261760085799</v>
      </c>
      <c r="F4003" s="4">
        <v>4.2139249340480003E-5</v>
      </c>
      <c r="G4003" s="3">
        <v>3.7589106991481401E-4</v>
      </c>
      <c r="H4003" s="3" t="str">
        <f>"AC008760.2"</f>
        <v>AC008760.2</v>
      </c>
      <c r="I4003" s="3" t="str">
        <f>"sense_intronic"</f>
        <v>sense_intronic</v>
      </c>
    </row>
    <row r="4004" spans="1:9" x14ac:dyDescent="0.2">
      <c r="A4004" s="3" t="str">
        <f>"ENSG00000076826.9"</f>
        <v>ENSG00000076826.9</v>
      </c>
      <c r="B4004" s="3">
        <v>2067.3608278291999</v>
      </c>
      <c r="C4004" s="3">
        <v>-1.4650651757756901</v>
      </c>
      <c r="D4004" s="3">
        <v>0.32072481991499702</v>
      </c>
      <c r="E4004" s="3">
        <v>-4.5679819109852096</v>
      </c>
      <c r="F4004" s="4">
        <v>4.9244251841527502E-6</v>
      </c>
      <c r="G4004" s="4">
        <v>5.4022640866708502E-5</v>
      </c>
      <c r="H4004" s="3" t="str">
        <f>"CAMSAP3"</f>
        <v>CAMSAP3</v>
      </c>
      <c r="I4004" s="3" t="str">
        <f>"protein_coding"</f>
        <v>protein_coding</v>
      </c>
    </row>
    <row r="4005" spans="1:9" x14ac:dyDescent="0.2">
      <c r="A4005" s="3" t="str">
        <f>"ENSG00000142459.8"</f>
        <v>ENSG00000142459.8</v>
      </c>
      <c r="B4005" s="3">
        <v>387.73066119496701</v>
      </c>
      <c r="C4005" s="3">
        <v>1.30445490684855</v>
      </c>
      <c r="D4005" s="3">
        <v>0.32131876261791398</v>
      </c>
      <c r="E4005" s="3">
        <v>4.0596910563847199</v>
      </c>
      <c r="F4005" s="4">
        <v>4.91376875110939E-5</v>
      </c>
      <c r="G4005" s="3">
        <v>4.3264211737541701E-4</v>
      </c>
      <c r="H4005" s="3" t="str">
        <f>"EVI5L"</f>
        <v>EVI5L</v>
      </c>
      <c r="I4005" s="3" t="str">
        <f>"protein_coding"</f>
        <v>protein_coding</v>
      </c>
    </row>
    <row r="4006" spans="1:9" x14ac:dyDescent="0.2">
      <c r="A4006" s="3" t="str">
        <f>"ENSG00000178531.6"</f>
        <v>ENSG00000178531.6</v>
      </c>
      <c r="B4006" s="3">
        <v>153.18394428760899</v>
      </c>
      <c r="C4006" s="3">
        <v>1.0698030765186799</v>
      </c>
      <c r="D4006" s="3">
        <v>0.38169262594382403</v>
      </c>
      <c r="E4006" s="3">
        <v>2.80278685990683</v>
      </c>
      <c r="F4006" s="3">
        <v>5.0663138943979804E-3</v>
      </c>
      <c r="G4006" s="3">
        <v>2.3971905435163102E-2</v>
      </c>
      <c r="H4006" s="3" t="str">
        <f>"CTXN1"</f>
        <v>CTXN1</v>
      </c>
      <c r="I4006" s="3" t="str">
        <f>"protein_coding"</f>
        <v>protein_coding</v>
      </c>
    </row>
    <row r="4007" spans="1:9" x14ac:dyDescent="0.2">
      <c r="A4007" s="3" t="str">
        <f>"ENSG00000142449.13"</f>
        <v>ENSG00000142449.13</v>
      </c>
      <c r="B4007" s="3">
        <v>39.205867228681797</v>
      </c>
      <c r="C4007" s="3">
        <v>-1.7142717497247399</v>
      </c>
      <c r="D4007" s="3">
        <v>0.66742855545992397</v>
      </c>
      <c r="E4007" s="3">
        <v>-2.5684722892077101</v>
      </c>
      <c r="F4007" s="3">
        <v>1.0214787876937E-2</v>
      </c>
      <c r="G4007" s="3">
        <v>4.3027633076164098E-2</v>
      </c>
      <c r="H4007" s="3" t="str">
        <f>"FBN3"</f>
        <v>FBN3</v>
      </c>
      <c r="I4007" s="3" t="str">
        <f>"protein_coding"</f>
        <v>protein_coding</v>
      </c>
    </row>
    <row r="4008" spans="1:9" x14ac:dyDescent="0.2">
      <c r="A4008" s="3" t="str">
        <f>"ENSG00000186994.11"</f>
        <v>ENSG00000186994.11</v>
      </c>
      <c r="B4008" s="3">
        <v>528.13935002406004</v>
      </c>
      <c r="C4008" s="3">
        <v>6.4080673421288399</v>
      </c>
      <c r="D4008" s="3">
        <v>0.40390360627584099</v>
      </c>
      <c r="E4008" s="3">
        <v>15.8653382702221</v>
      </c>
      <c r="F4008" s="4">
        <v>1.1012256186966799E-56</v>
      </c>
      <c r="G4008" s="4">
        <v>3.4199173380635802E-54</v>
      </c>
      <c r="H4008" s="3" t="str">
        <f>"KANK3"</f>
        <v>KANK3</v>
      </c>
      <c r="I4008" s="3" t="str">
        <f>"protein_coding"</f>
        <v>protein_coding</v>
      </c>
    </row>
    <row r="4009" spans="1:9" x14ac:dyDescent="0.2">
      <c r="A4009" s="3" t="str">
        <f>"ENSG00000269386.5"</f>
        <v>ENSG00000269386.5</v>
      </c>
      <c r="B4009" s="3">
        <v>191.39702577175601</v>
      </c>
      <c r="C4009" s="3">
        <v>-1.09969401373074</v>
      </c>
      <c r="D4009" s="3">
        <v>0.35433734286302598</v>
      </c>
      <c r="E4009" s="3">
        <v>-3.1035227753453101</v>
      </c>
      <c r="F4009" s="3">
        <v>1.9123151554027299E-3</v>
      </c>
      <c r="G4009" s="3">
        <v>1.05561307294614E-2</v>
      </c>
      <c r="H4009" s="3" t="str">
        <f>"RAB11B-AS1"</f>
        <v>RAB11B-AS1</v>
      </c>
      <c r="I4009" s="3" t="str">
        <f>"antisense"</f>
        <v>antisense</v>
      </c>
    </row>
    <row r="4010" spans="1:9" x14ac:dyDescent="0.2">
      <c r="A4010" s="3" t="str">
        <f>"ENSG00000099785.10"</f>
        <v>ENSG00000099785.10</v>
      </c>
      <c r="B4010" s="3">
        <v>818.70712006572705</v>
      </c>
      <c r="C4010" s="3">
        <v>2.2541417309664702</v>
      </c>
      <c r="D4010" s="3">
        <v>0.29883254308659501</v>
      </c>
      <c r="E4010" s="3">
        <v>7.5431601514473403</v>
      </c>
      <c r="F4010" s="4">
        <v>4.5871723896661402E-14</v>
      </c>
      <c r="G4010" s="4">
        <v>1.5143086806043501E-12</v>
      </c>
      <c r="H4010" s="3" t="str">
        <f>"MARCH2"</f>
        <v>MARCH2</v>
      </c>
      <c r="I4010" s="3" t="str">
        <f>"protein_coding"</f>
        <v>protein_coding</v>
      </c>
    </row>
    <row r="4011" spans="1:9" x14ac:dyDescent="0.2">
      <c r="A4011" s="3" t="str">
        <f>"ENSG00000133246.12"</f>
        <v>ENSG00000133246.12</v>
      </c>
      <c r="B4011" s="3">
        <v>49.975172470849898</v>
      </c>
      <c r="C4011" s="3">
        <v>5.3591033900306702</v>
      </c>
      <c r="D4011" s="3">
        <v>0.80931983913948702</v>
      </c>
      <c r="E4011" s="3">
        <v>6.6217373291241204</v>
      </c>
      <c r="F4011" s="4">
        <v>3.5500147865121501E-11</v>
      </c>
      <c r="G4011" s="4">
        <v>8.5701172701260297E-10</v>
      </c>
      <c r="H4011" s="3" t="str">
        <f>"PRAM1"</f>
        <v>PRAM1</v>
      </c>
      <c r="I4011" s="3" t="str">
        <f>"protein_coding"</f>
        <v>protein_coding</v>
      </c>
    </row>
    <row r="4012" spans="1:9" x14ac:dyDescent="0.2">
      <c r="A4012" s="3" t="str">
        <f>"ENSG00000181143.15"</f>
        <v>ENSG00000181143.15</v>
      </c>
      <c r="B4012" s="3">
        <v>134.157203492793</v>
      </c>
      <c r="C4012" s="3">
        <v>2.1394323964625599</v>
      </c>
      <c r="D4012" s="3">
        <v>0.41122550229286597</v>
      </c>
      <c r="E4012" s="3">
        <v>5.2025771372002598</v>
      </c>
      <c r="F4012" s="4">
        <v>1.9654373735556499E-7</v>
      </c>
      <c r="G4012" s="4">
        <v>2.8091237006700199E-6</v>
      </c>
      <c r="H4012" s="3" t="str">
        <f>"MUC16"</f>
        <v>MUC16</v>
      </c>
      <c r="I4012" s="3" t="str">
        <f>"protein_coding"</f>
        <v>protein_coding</v>
      </c>
    </row>
    <row r="4013" spans="1:9" x14ac:dyDescent="0.2">
      <c r="A4013" s="3" t="str">
        <f>"ENSG00000196110.7"</f>
        <v>ENSG00000196110.7</v>
      </c>
      <c r="B4013" s="3">
        <v>136.33062723556199</v>
      </c>
      <c r="C4013" s="3">
        <v>1.12105866323346</v>
      </c>
      <c r="D4013" s="3">
        <v>0.39427578674241198</v>
      </c>
      <c r="E4013" s="3">
        <v>2.8433363166830001</v>
      </c>
      <c r="F4013" s="3">
        <v>4.4643934075010404E-3</v>
      </c>
      <c r="G4013" s="3">
        <v>2.1584050771802601E-2</v>
      </c>
      <c r="H4013" s="3" t="str">
        <f>"ZNF699"</f>
        <v>ZNF699</v>
      </c>
      <c r="I4013" s="3" t="str">
        <f>"protein_coding"</f>
        <v>protein_coding</v>
      </c>
    </row>
    <row r="4014" spans="1:9" x14ac:dyDescent="0.2">
      <c r="A4014" s="3" t="str">
        <f>"ENSG00000171469.11"</f>
        <v>ENSG00000171469.11</v>
      </c>
      <c r="B4014" s="3">
        <v>3917.9770526083698</v>
      </c>
      <c r="C4014" s="3">
        <v>2.6116873452304299</v>
      </c>
      <c r="D4014" s="3">
        <v>0.30673346630456499</v>
      </c>
      <c r="E4014" s="3">
        <v>8.5145171040358694</v>
      </c>
      <c r="F4014" s="4">
        <v>1.6728593229355399E-17</v>
      </c>
      <c r="G4014" s="4">
        <v>7.5958079906937701E-16</v>
      </c>
      <c r="H4014" s="3" t="str">
        <f>"ZNF561"</f>
        <v>ZNF561</v>
      </c>
      <c r="I4014" s="3" t="str">
        <f>"protein_coding"</f>
        <v>protein_coding</v>
      </c>
    </row>
    <row r="4015" spans="1:9" x14ac:dyDescent="0.2">
      <c r="A4015" s="3" t="str">
        <f>"ENSG00000267106.6"</f>
        <v>ENSG00000267106.6</v>
      </c>
      <c r="B4015" s="3">
        <v>208.28965770588999</v>
      </c>
      <c r="C4015" s="3">
        <v>1.24604522294682</v>
      </c>
      <c r="D4015" s="3">
        <v>0.35625374994145398</v>
      </c>
      <c r="E4015" s="3">
        <v>3.49763398462918</v>
      </c>
      <c r="F4015" s="3">
        <v>4.6940486139051001E-4</v>
      </c>
      <c r="G4015" s="3">
        <v>3.1639547932149699E-3</v>
      </c>
      <c r="H4015" s="3" t="str">
        <f>"ZNF561-AS1"</f>
        <v>ZNF561-AS1</v>
      </c>
      <c r="I4015" s="3" t="str">
        <f>"processed_transcript"</f>
        <v>processed_transcript</v>
      </c>
    </row>
    <row r="4016" spans="1:9" x14ac:dyDescent="0.2">
      <c r="A4016" s="3" t="str">
        <f>"ENSG00000224689.9"</f>
        <v>ENSG00000224689.9</v>
      </c>
      <c r="B4016" s="3">
        <v>16.119975957779801</v>
      </c>
      <c r="C4016" s="3">
        <v>4.4495695102878798</v>
      </c>
      <c r="D4016" s="3">
        <v>1.14755349589393</v>
      </c>
      <c r="E4016" s="3">
        <v>3.8774397239073499</v>
      </c>
      <c r="F4016" s="3">
        <v>1.05561468831236E-4</v>
      </c>
      <c r="G4016" s="3">
        <v>8.5272920631012902E-4</v>
      </c>
      <c r="H4016" s="3" t="str">
        <f>"ZNF812P"</f>
        <v>ZNF812P</v>
      </c>
      <c r="I4016" s="3" t="str">
        <f>"transcribed_unprocessed_pseudogene"</f>
        <v>transcribed_unprocessed_pseudogene</v>
      </c>
    </row>
    <row r="4017" spans="1:9" x14ac:dyDescent="0.2">
      <c r="A4017" s="3" t="str">
        <f>"ENSG00000130813.18"</f>
        <v>ENSG00000130813.18</v>
      </c>
      <c r="B4017" s="3">
        <v>514.01216582272195</v>
      </c>
      <c r="C4017" s="3">
        <v>-1.21982950278459</v>
      </c>
      <c r="D4017" s="3">
        <v>0.28079172816876102</v>
      </c>
      <c r="E4017" s="3">
        <v>-4.3442501342185302</v>
      </c>
      <c r="F4017" s="4">
        <v>1.39752207214162E-5</v>
      </c>
      <c r="G4017" s="3">
        <v>1.3813228968456801E-4</v>
      </c>
      <c r="H4017" s="3" t="str">
        <f>"C19orf66"</f>
        <v>C19orf66</v>
      </c>
      <c r="I4017" s="3" t="str">
        <f t="shared" ref="I4017:I4033" si="163">"protein_coding"</f>
        <v>protein_coding</v>
      </c>
    </row>
    <row r="4018" spans="1:9" x14ac:dyDescent="0.2">
      <c r="A4018" s="3" t="str">
        <f>"ENSG00000130812.10"</f>
        <v>ENSG00000130812.10</v>
      </c>
      <c r="B4018" s="3">
        <v>13.644548250584601</v>
      </c>
      <c r="C4018" s="3">
        <v>-2.4785895637930699</v>
      </c>
      <c r="D4018" s="3">
        <v>0.97091352656435004</v>
      </c>
      <c r="E4018" s="3">
        <v>-2.55284275682485</v>
      </c>
      <c r="F4018" s="3">
        <v>1.06847721521298E-2</v>
      </c>
      <c r="G4018" s="3">
        <v>4.4610032113996001E-2</v>
      </c>
      <c r="H4018" s="3" t="str">
        <f>"ANGPTL6"</f>
        <v>ANGPTL6</v>
      </c>
      <c r="I4018" s="3" t="str">
        <f t="shared" si="163"/>
        <v>protein_coding</v>
      </c>
    </row>
    <row r="4019" spans="1:9" x14ac:dyDescent="0.2">
      <c r="A4019" s="3" t="str">
        <f>"ENSG00000244165.2"</f>
        <v>ENSG00000244165.2</v>
      </c>
      <c r="B4019" s="3">
        <v>86.6637808459745</v>
      </c>
      <c r="C4019" s="3">
        <v>-1.45082520267571</v>
      </c>
      <c r="D4019" s="3">
        <v>0.435148370689593</v>
      </c>
      <c r="E4019" s="3">
        <v>-3.33409315166812</v>
      </c>
      <c r="F4019" s="3">
        <v>8.5577992837892396E-4</v>
      </c>
      <c r="G4019" s="3">
        <v>5.3443753968152501E-3</v>
      </c>
      <c r="H4019" s="3" t="str">
        <f>"P2RY11"</f>
        <v>P2RY11</v>
      </c>
      <c r="I4019" s="3" t="str">
        <f t="shared" si="163"/>
        <v>protein_coding</v>
      </c>
    </row>
    <row r="4020" spans="1:9" x14ac:dyDescent="0.2">
      <c r="A4020" s="3" t="str">
        <f>"ENSG00000130816.16"</f>
        <v>ENSG00000130816.16</v>
      </c>
      <c r="B4020" s="3">
        <v>7024.4478275503798</v>
      </c>
      <c r="C4020" s="3">
        <v>-1.0552111835222699</v>
      </c>
      <c r="D4020" s="3">
        <v>0.27430586614143798</v>
      </c>
      <c r="E4020" s="3">
        <v>-3.8468414779659899</v>
      </c>
      <c r="F4020" s="3">
        <v>1.1965032850583399E-4</v>
      </c>
      <c r="G4020" s="3">
        <v>9.5216830546164001E-4</v>
      </c>
      <c r="H4020" s="3" t="str">
        <f>"DNMT1"</f>
        <v>DNMT1</v>
      </c>
      <c r="I4020" s="3" t="str">
        <f t="shared" si="163"/>
        <v>protein_coding</v>
      </c>
    </row>
    <row r="4021" spans="1:9" x14ac:dyDescent="0.2">
      <c r="A4021" s="3" t="str">
        <f>"ENSG00000267534.4"</f>
        <v>ENSG00000267534.4</v>
      </c>
      <c r="B4021" s="3">
        <v>352.46163039206101</v>
      </c>
      <c r="C4021" s="3">
        <v>-1.4721876035841199</v>
      </c>
      <c r="D4021" s="3">
        <v>0.32155384449718699</v>
      </c>
      <c r="E4021" s="3">
        <v>-4.5783548502932003</v>
      </c>
      <c r="F4021" s="4">
        <v>4.6864718954123798E-6</v>
      </c>
      <c r="G4021" s="4">
        <v>5.1728038845589502E-5</v>
      </c>
      <c r="H4021" s="3" t="str">
        <f>"S1PR2"</f>
        <v>S1PR2</v>
      </c>
      <c r="I4021" s="3" t="str">
        <f t="shared" si="163"/>
        <v>protein_coding</v>
      </c>
    </row>
    <row r="4022" spans="1:9" x14ac:dyDescent="0.2">
      <c r="A4022" s="3" t="str">
        <f>"ENSG00000105371.10"</f>
        <v>ENSG00000105371.10</v>
      </c>
      <c r="B4022" s="3">
        <v>744.26638060008599</v>
      </c>
      <c r="C4022" s="3">
        <v>4.0505708856751204</v>
      </c>
      <c r="D4022" s="3">
        <v>0.31576717318036102</v>
      </c>
      <c r="E4022" s="3">
        <v>12.8277136754855</v>
      </c>
      <c r="F4022" s="4">
        <v>1.1469916534433E-37</v>
      </c>
      <c r="G4022" s="4">
        <v>1.6872850901968499E-35</v>
      </c>
      <c r="H4022" s="3" t="str">
        <f>"ICAM4"</f>
        <v>ICAM4</v>
      </c>
      <c r="I4022" s="3" t="str">
        <f t="shared" si="163"/>
        <v>protein_coding</v>
      </c>
    </row>
    <row r="4023" spans="1:9" x14ac:dyDescent="0.2">
      <c r="A4023" s="3" t="str">
        <f>"ENSG00000076662.10"</f>
        <v>ENSG00000076662.10</v>
      </c>
      <c r="B4023" s="3">
        <v>272.22003947063303</v>
      </c>
      <c r="C4023" s="3">
        <v>-1.93587454034387</v>
      </c>
      <c r="D4023" s="3">
        <v>0.36812123913195</v>
      </c>
      <c r="E4023" s="3">
        <v>-5.2587961099684604</v>
      </c>
      <c r="F4023" s="4">
        <v>1.45001550703367E-7</v>
      </c>
      <c r="G4023" s="4">
        <v>2.1280711831640599E-6</v>
      </c>
      <c r="H4023" s="3" t="str">
        <f>"ICAM3"</f>
        <v>ICAM3</v>
      </c>
      <c r="I4023" s="3" t="str">
        <f t="shared" si="163"/>
        <v>protein_coding</v>
      </c>
    </row>
    <row r="4024" spans="1:9" x14ac:dyDescent="0.2">
      <c r="A4024" s="3" t="str">
        <f>"ENSG00000130734.10"</f>
        <v>ENSG00000130734.10</v>
      </c>
      <c r="B4024" s="3">
        <v>681.40224297878694</v>
      </c>
      <c r="C4024" s="3">
        <v>1.22691771223576</v>
      </c>
      <c r="D4024" s="3">
        <v>0.293255998728709</v>
      </c>
      <c r="E4024" s="3">
        <v>4.1837770328810304</v>
      </c>
      <c r="F4024" s="4">
        <v>2.8670532216089499E-5</v>
      </c>
      <c r="G4024" s="3">
        <v>2.6505227412559001E-4</v>
      </c>
      <c r="H4024" s="3" t="str">
        <f>"ATG4D"</f>
        <v>ATG4D</v>
      </c>
      <c r="I4024" s="3" t="str">
        <f t="shared" si="163"/>
        <v>protein_coding</v>
      </c>
    </row>
    <row r="4025" spans="1:9" x14ac:dyDescent="0.2">
      <c r="A4025" s="3" t="str">
        <f>"ENSG00000129347.20"</f>
        <v>ENSG00000129347.20</v>
      </c>
      <c r="B4025" s="3">
        <v>1212.13159281803</v>
      </c>
      <c r="C4025" s="3">
        <v>-1.17521720173551</v>
      </c>
      <c r="D4025" s="3">
        <v>0.262201449838596</v>
      </c>
      <c r="E4025" s="3">
        <v>-4.48211557357497</v>
      </c>
      <c r="F4025" s="4">
        <v>7.3906697433384899E-6</v>
      </c>
      <c r="G4025" s="4">
        <v>7.8510260723682301E-5</v>
      </c>
      <c r="H4025" s="3" t="str">
        <f>"KRI1"</f>
        <v>KRI1</v>
      </c>
      <c r="I4025" s="3" t="str">
        <f t="shared" si="163"/>
        <v>protein_coding</v>
      </c>
    </row>
    <row r="4026" spans="1:9" x14ac:dyDescent="0.2">
      <c r="A4026" s="3" t="str">
        <f>"ENSG00000129354.11"</f>
        <v>ENSG00000129354.11</v>
      </c>
      <c r="B4026" s="3">
        <v>165.594664736076</v>
      </c>
      <c r="C4026" s="3">
        <v>-2.31684971836092</v>
      </c>
      <c r="D4026" s="3">
        <v>0.40800405098480202</v>
      </c>
      <c r="E4026" s="3">
        <v>-5.6784968501384299</v>
      </c>
      <c r="F4026" s="4">
        <v>1.3588353528231799E-8</v>
      </c>
      <c r="G4026" s="4">
        <v>2.350859924365E-7</v>
      </c>
      <c r="H4026" s="3" t="str">
        <f>"AP1M2"</f>
        <v>AP1M2</v>
      </c>
      <c r="I4026" s="3" t="str">
        <f t="shared" si="163"/>
        <v>protein_coding</v>
      </c>
    </row>
    <row r="4027" spans="1:9" x14ac:dyDescent="0.2">
      <c r="A4027" s="3" t="str">
        <f>"ENSG00000129353.15"</f>
        <v>ENSG00000129353.15</v>
      </c>
      <c r="B4027" s="3">
        <v>168.32037918617499</v>
      </c>
      <c r="C4027" s="3">
        <v>-1.63951719839705</v>
      </c>
      <c r="D4027" s="3">
        <v>0.37345676667246902</v>
      </c>
      <c r="E4027" s="3">
        <v>-4.3901124432830096</v>
      </c>
      <c r="F4027" s="4">
        <v>1.1329206280187199E-5</v>
      </c>
      <c r="G4027" s="3">
        <v>1.1426871851568101E-4</v>
      </c>
      <c r="H4027" s="3" t="str">
        <f>"SLC44A2"</f>
        <v>SLC44A2</v>
      </c>
      <c r="I4027" s="3" t="str">
        <f t="shared" si="163"/>
        <v>protein_coding</v>
      </c>
    </row>
    <row r="4028" spans="1:9" x14ac:dyDescent="0.2">
      <c r="A4028" s="3" t="str">
        <f>"ENSG00000099203.7"</f>
        <v>ENSG00000099203.7</v>
      </c>
      <c r="B4028" s="3">
        <v>734.90098509696202</v>
      </c>
      <c r="C4028" s="3">
        <v>-1.04274761622054</v>
      </c>
      <c r="D4028" s="3">
        <v>0.31396488080449098</v>
      </c>
      <c r="E4028" s="3">
        <v>-3.3212237418039998</v>
      </c>
      <c r="F4028" s="3">
        <v>8.9623658675841401E-4</v>
      </c>
      <c r="G4028" s="3">
        <v>5.56250464838586E-3</v>
      </c>
      <c r="H4028" s="3" t="str">
        <f>"TMED1"</f>
        <v>TMED1</v>
      </c>
      <c r="I4028" s="3" t="str">
        <f t="shared" si="163"/>
        <v>protein_coding</v>
      </c>
    </row>
    <row r="4029" spans="1:9" x14ac:dyDescent="0.2">
      <c r="A4029" s="3" t="str">
        <f>"ENSG00000161888.11"</f>
        <v>ENSG00000161888.11</v>
      </c>
      <c r="B4029" s="3">
        <v>1324.27254688216</v>
      </c>
      <c r="C4029" s="3">
        <v>-1.5036229407274799</v>
      </c>
      <c r="D4029" s="3">
        <v>0.27875717429466401</v>
      </c>
      <c r="E4029" s="3">
        <v>-5.3940241880126703</v>
      </c>
      <c r="F4029" s="4">
        <v>6.88969374393387E-8</v>
      </c>
      <c r="G4029" s="4">
        <v>1.0574145584420799E-6</v>
      </c>
      <c r="H4029" s="3" t="str">
        <f>"SPC24"</f>
        <v>SPC24</v>
      </c>
      <c r="I4029" s="3" t="str">
        <f t="shared" si="163"/>
        <v>protein_coding</v>
      </c>
    </row>
    <row r="4030" spans="1:9" x14ac:dyDescent="0.2">
      <c r="A4030" s="3" t="str">
        <f>"ENSG00000105518.14"</f>
        <v>ENSG00000105518.14</v>
      </c>
      <c r="B4030" s="3">
        <v>680.59516757326298</v>
      </c>
      <c r="C4030" s="3">
        <v>-1.1769071658208901</v>
      </c>
      <c r="D4030" s="3">
        <v>0.31084861353288501</v>
      </c>
      <c r="E4030" s="3">
        <v>-3.7861103913091201</v>
      </c>
      <c r="F4030" s="3">
        <v>1.5302371584148899E-4</v>
      </c>
      <c r="G4030" s="3">
        <v>1.17942311667061E-3</v>
      </c>
      <c r="H4030" s="3" t="str">
        <f>"TMEM205"</f>
        <v>TMEM205</v>
      </c>
      <c r="I4030" s="3" t="str">
        <f t="shared" si="163"/>
        <v>protein_coding</v>
      </c>
    </row>
    <row r="4031" spans="1:9" x14ac:dyDescent="0.2">
      <c r="A4031" s="3" t="str">
        <f>"ENSG00000205517.12"</f>
        <v>ENSG00000205517.12</v>
      </c>
      <c r="B4031" s="3">
        <v>363.66644425566898</v>
      </c>
      <c r="C4031" s="3">
        <v>1.2322391376042501</v>
      </c>
      <c r="D4031" s="3">
        <v>0.34634178658898501</v>
      </c>
      <c r="E4031" s="3">
        <v>3.55787024644123</v>
      </c>
      <c r="F4031" s="3">
        <v>3.7387390601751702E-4</v>
      </c>
      <c r="G4031" s="3">
        <v>2.5994466848730398E-3</v>
      </c>
      <c r="H4031" s="3" t="str">
        <f>"RGL3"</f>
        <v>RGL3</v>
      </c>
      <c r="I4031" s="3" t="str">
        <f t="shared" si="163"/>
        <v>protein_coding</v>
      </c>
    </row>
    <row r="4032" spans="1:9" x14ac:dyDescent="0.2">
      <c r="A4032" s="3" t="str">
        <f>"ENSG00000196361.10"</f>
        <v>ENSG00000196361.10</v>
      </c>
      <c r="B4032" s="3">
        <v>95.519051072973895</v>
      </c>
      <c r="C4032" s="3">
        <v>6.0577928040706999</v>
      </c>
      <c r="D4032" s="3">
        <v>0.71145334507654001</v>
      </c>
      <c r="E4032" s="3">
        <v>8.5146733035867399</v>
      </c>
      <c r="F4032" s="4">
        <v>1.6706060841496301E-17</v>
      </c>
      <c r="G4032" s="4">
        <v>7.5958079906937701E-16</v>
      </c>
      <c r="H4032" s="3" t="str">
        <f>"ELAVL3"</f>
        <v>ELAVL3</v>
      </c>
      <c r="I4032" s="3" t="str">
        <f t="shared" si="163"/>
        <v>protein_coding</v>
      </c>
    </row>
    <row r="4033" spans="1:9" x14ac:dyDescent="0.2">
      <c r="A4033" s="3" t="str">
        <f>"ENSG00000130176.8"</f>
        <v>ENSG00000130176.8</v>
      </c>
      <c r="B4033" s="3">
        <v>60.849876886177</v>
      </c>
      <c r="C4033" s="3">
        <v>-1.54839653900731</v>
      </c>
      <c r="D4033" s="3">
        <v>0.51262776210476402</v>
      </c>
      <c r="E4033" s="3">
        <v>-3.0205085511753298</v>
      </c>
      <c r="F4033" s="3">
        <v>2.52350582332495E-3</v>
      </c>
      <c r="G4033" s="3">
        <v>1.3313504401371501E-2</v>
      </c>
      <c r="H4033" s="3" t="str">
        <f>"CNN1"</f>
        <v>CNN1</v>
      </c>
      <c r="I4033" s="3" t="str">
        <f t="shared" si="163"/>
        <v>protein_coding</v>
      </c>
    </row>
    <row r="4034" spans="1:9" x14ac:dyDescent="0.2">
      <c r="A4034" s="3" t="str">
        <f>"ENSG00000267500.1"</f>
        <v>ENSG00000267500.1</v>
      </c>
      <c r="B4034" s="3">
        <v>67.495130771680394</v>
      </c>
      <c r="C4034" s="3">
        <v>-1.6274799813812499</v>
      </c>
      <c r="D4034" s="3">
        <v>0.48458081905032502</v>
      </c>
      <c r="E4034" s="3">
        <v>-3.35853157492028</v>
      </c>
      <c r="F4034" s="3">
        <v>7.8357768788038897E-4</v>
      </c>
      <c r="G4034" s="3">
        <v>4.9512425869457904E-3</v>
      </c>
      <c r="H4034" s="3" t="str">
        <f>"ZNF887P"</f>
        <v>ZNF887P</v>
      </c>
      <c r="I4034" s="3" t="str">
        <f>"transcribed_unprocessed_pseudogene"</f>
        <v>transcribed_unprocessed_pseudogene</v>
      </c>
    </row>
    <row r="4035" spans="1:9" x14ac:dyDescent="0.2">
      <c r="A4035" s="3" t="str">
        <f>"ENSG00000197044.11"</f>
        <v>ENSG00000197044.11</v>
      </c>
      <c r="B4035" s="3">
        <v>652.88253376588898</v>
      </c>
      <c r="C4035" s="3">
        <v>1.5981185418974699</v>
      </c>
      <c r="D4035" s="3">
        <v>0.33496797725898297</v>
      </c>
      <c r="E4035" s="3">
        <v>4.77095916742475</v>
      </c>
      <c r="F4035" s="4">
        <v>1.8335071010707799E-6</v>
      </c>
      <c r="G4035" s="4">
        <v>2.1706098936078299E-5</v>
      </c>
      <c r="H4035" s="3" t="str">
        <f>"ZNF441"</f>
        <v>ZNF441</v>
      </c>
      <c r="I4035" s="3" t="str">
        <f t="shared" ref="I4035:I4057" si="164">"protein_coding"</f>
        <v>protein_coding</v>
      </c>
    </row>
    <row r="4036" spans="1:9" x14ac:dyDescent="0.2">
      <c r="A4036" s="3" t="str">
        <f>"ENSG00000177599.13"</f>
        <v>ENSG00000177599.13</v>
      </c>
      <c r="B4036" s="3">
        <v>231.06677497593901</v>
      </c>
      <c r="C4036" s="3">
        <v>2.9838225234636599</v>
      </c>
      <c r="D4036" s="3">
        <v>0.37378733565149702</v>
      </c>
      <c r="E4036" s="3">
        <v>7.9826742076827299</v>
      </c>
      <c r="F4036" s="4">
        <v>1.4319649817617999E-15</v>
      </c>
      <c r="G4036" s="4">
        <v>5.5078102624186701E-14</v>
      </c>
      <c r="H4036" s="3" t="str">
        <f>"ZNF491"</f>
        <v>ZNF491</v>
      </c>
      <c r="I4036" s="3" t="str">
        <f t="shared" si="164"/>
        <v>protein_coding</v>
      </c>
    </row>
    <row r="4037" spans="1:9" x14ac:dyDescent="0.2">
      <c r="A4037" s="3" t="str">
        <f>"ENSG00000171295.12"</f>
        <v>ENSG00000171295.12</v>
      </c>
      <c r="B4037" s="3">
        <v>2331.1385561601101</v>
      </c>
      <c r="C4037" s="3">
        <v>2.60922444851359</v>
      </c>
      <c r="D4037" s="3">
        <v>0.28896395306711098</v>
      </c>
      <c r="E4037" s="3">
        <v>9.0295845582774099</v>
      </c>
      <c r="F4037" s="4">
        <v>1.7232475262921701E-19</v>
      </c>
      <c r="G4037" s="4">
        <v>8.9562585793139398E-18</v>
      </c>
      <c r="H4037" s="3" t="str">
        <f>"ZNF440"</f>
        <v>ZNF440</v>
      </c>
      <c r="I4037" s="3" t="str">
        <f t="shared" si="164"/>
        <v>protein_coding</v>
      </c>
    </row>
    <row r="4038" spans="1:9" x14ac:dyDescent="0.2">
      <c r="A4038" s="3" t="str">
        <f>"ENSG00000257446.3"</f>
        <v>ENSG00000257446.3</v>
      </c>
      <c r="B4038" s="3">
        <v>102.96592113288899</v>
      </c>
      <c r="C4038" s="3">
        <v>-1.23061699782325</v>
      </c>
      <c r="D4038" s="3">
        <v>0.46793963640672298</v>
      </c>
      <c r="E4038" s="3">
        <v>-2.6298627046707899</v>
      </c>
      <c r="F4038" s="3">
        <v>8.5419357807654302E-3</v>
      </c>
      <c r="G4038" s="3">
        <v>3.7059743802199799E-2</v>
      </c>
      <c r="H4038" s="3" t="str">
        <f>"ZNF878"</f>
        <v>ZNF878</v>
      </c>
      <c r="I4038" s="3" t="str">
        <f t="shared" si="164"/>
        <v>protein_coding</v>
      </c>
    </row>
    <row r="4039" spans="1:9" x14ac:dyDescent="0.2">
      <c r="A4039" s="3" t="str">
        <f>"ENSG00000188868.13"</f>
        <v>ENSG00000188868.13</v>
      </c>
      <c r="B4039" s="3">
        <v>752.18588060811499</v>
      </c>
      <c r="C4039" s="3">
        <v>1.7468025121995101</v>
      </c>
      <c r="D4039" s="3">
        <v>0.27897759180689502</v>
      </c>
      <c r="E4039" s="3">
        <v>6.2614437987142404</v>
      </c>
      <c r="F4039" s="4">
        <v>3.8142928783029598E-10</v>
      </c>
      <c r="G4039" s="4">
        <v>8.2288625517762401E-9</v>
      </c>
      <c r="H4039" s="3" t="str">
        <f>"ZNF563"</f>
        <v>ZNF563</v>
      </c>
      <c r="I4039" s="3" t="str">
        <f t="shared" si="164"/>
        <v>protein_coding</v>
      </c>
    </row>
    <row r="4040" spans="1:9" x14ac:dyDescent="0.2">
      <c r="A4040" s="3" t="str">
        <f>"ENSG00000196466.10"</f>
        <v>ENSG00000196466.10</v>
      </c>
      <c r="B4040" s="3">
        <v>470.31637003812</v>
      </c>
      <c r="C4040" s="3">
        <v>-1.27748534787382</v>
      </c>
      <c r="D4040" s="3">
        <v>0.321067125333101</v>
      </c>
      <c r="E4040" s="3">
        <v>-3.9788730987280601</v>
      </c>
      <c r="F4040" s="4">
        <v>6.9242685035608804E-5</v>
      </c>
      <c r="G4040" s="3">
        <v>5.8646455961977703E-4</v>
      </c>
      <c r="H4040" s="3" t="str">
        <f>"ZNF799"</f>
        <v>ZNF799</v>
      </c>
      <c r="I4040" s="3" t="str">
        <f t="shared" si="164"/>
        <v>protein_coding</v>
      </c>
    </row>
    <row r="4041" spans="1:9" x14ac:dyDescent="0.2">
      <c r="A4041" s="3" t="str">
        <f>"ENSG00000180855.16"</f>
        <v>ENSG00000180855.16</v>
      </c>
      <c r="B4041" s="3">
        <v>467.338583103801</v>
      </c>
      <c r="C4041" s="3">
        <v>-1.48452348787392</v>
      </c>
      <c r="D4041" s="3">
        <v>0.31943428938677199</v>
      </c>
      <c r="E4041" s="3">
        <v>-4.6473517001690903</v>
      </c>
      <c r="F4041" s="4">
        <v>3.3622364635952998E-6</v>
      </c>
      <c r="G4041" s="4">
        <v>3.8114942875953002E-5</v>
      </c>
      <c r="H4041" s="3" t="str">
        <f>"ZNF443"</f>
        <v>ZNF443</v>
      </c>
      <c r="I4041" s="3" t="str">
        <f t="shared" si="164"/>
        <v>protein_coding</v>
      </c>
    </row>
    <row r="4042" spans="1:9" x14ac:dyDescent="0.2">
      <c r="A4042" s="3" t="str">
        <f>"ENSG00000249709.8"</f>
        <v>ENSG00000249709.8</v>
      </c>
      <c r="B4042" s="3">
        <v>100.565674069103</v>
      </c>
      <c r="C4042" s="3">
        <v>1.06914706765787</v>
      </c>
      <c r="D4042" s="3">
        <v>0.39975383015375998</v>
      </c>
      <c r="E4042" s="3">
        <v>2.6745136306677502</v>
      </c>
      <c r="F4042" s="3">
        <v>7.48377339012551E-3</v>
      </c>
      <c r="G4042" s="3">
        <v>3.30967509895582E-2</v>
      </c>
      <c r="H4042" s="3" t="str">
        <f>"ZNF564"</f>
        <v>ZNF564</v>
      </c>
      <c r="I4042" s="3" t="str">
        <f t="shared" si="164"/>
        <v>protein_coding</v>
      </c>
    </row>
    <row r="4043" spans="1:9" x14ac:dyDescent="0.2">
      <c r="A4043" s="3" t="str">
        <f>"ENSG00000104774.13"</f>
        <v>ENSG00000104774.13</v>
      </c>
      <c r="B4043" s="3">
        <v>2276.78925697556</v>
      </c>
      <c r="C4043" s="3">
        <v>1.15882738346193</v>
      </c>
      <c r="D4043" s="3">
        <v>0.30255448377801197</v>
      </c>
      <c r="E4043" s="3">
        <v>3.8301444718042101</v>
      </c>
      <c r="F4043" s="3">
        <v>1.28068046162343E-4</v>
      </c>
      <c r="G4043" s="3">
        <v>1.0098908154275101E-3</v>
      </c>
      <c r="H4043" s="3" t="str">
        <f>"MAN2B1"</f>
        <v>MAN2B1</v>
      </c>
      <c r="I4043" s="3" t="str">
        <f t="shared" si="164"/>
        <v>protein_coding</v>
      </c>
    </row>
    <row r="4044" spans="1:9" x14ac:dyDescent="0.2">
      <c r="A4044" s="3" t="str">
        <f>"ENSG00000285589.1"</f>
        <v>ENSG00000285589.1</v>
      </c>
      <c r="B4044" s="3">
        <v>97.091495974286502</v>
      </c>
      <c r="C4044" s="3">
        <v>-1.11187678346514</v>
      </c>
      <c r="D4044" s="3">
        <v>0.41494318759139398</v>
      </c>
      <c r="E4044" s="3">
        <v>-2.6795879935256002</v>
      </c>
      <c r="F4044" s="3">
        <v>7.3712826409316704E-3</v>
      </c>
      <c r="G4044" s="3">
        <v>3.2668184431401702E-2</v>
      </c>
      <c r="H4044" s="3" t="str">
        <f>"AC010422.8"</f>
        <v>AC010422.8</v>
      </c>
      <c r="I4044" s="3" t="str">
        <f t="shared" si="164"/>
        <v>protein_coding</v>
      </c>
    </row>
    <row r="4045" spans="1:9" x14ac:dyDescent="0.2">
      <c r="A4045" s="3" t="str">
        <f>"ENSG00000167815.12"</f>
        <v>ENSG00000167815.12</v>
      </c>
      <c r="B4045" s="3">
        <v>8084.4280846698302</v>
      </c>
      <c r="C4045" s="3">
        <v>-1.66501326399133</v>
      </c>
      <c r="D4045" s="3">
        <v>0.31219033802811502</v>
      </c>
      <c r="E4045" s="3">
        <v>-5.33332733648336</v>
      </c>
      <c r="F4045" s="4">
        <v>9.6429253242036304E-8</v>
      </c>
      <c r="G4045" s="4">
        <v>1.44471582209852E-6</v>
      </c>
      <c r="H4045" s="3" t="str">
        <f>"PRDX2"</f>
        <v>PRDX2</v>
      </c>
      <c r="I4045" s="3" t="str">
        <f t="shared" si="164"/>
        <v>protein_coding</v>
      </c>
    </row>
    <row r="4046" spans="1:9" x14ac:dyDescent="0.2">
      <c r="A4046" s="3" t="str">
        <f>"ENSG00000008441.16"</f>
        <v>ENSG00000008441.16</v>
      </c>
      <c r="B4046" s="3">
        <v>1162.8507103536799</v>
      </c>
      <c r="C4046" s="3">
        <v>-1.6765944648818201</v>
      </c>
      <c r="D4046" s="3">
        <v>0.33302975721150402</v>
      </c>
      <c r="E4046" s="3">
        <v>-5.03436833669201</v>
      </c>
      <c r="F4046" s="4">
        <v>4.7942705470297001E-7</v>
      </c>
      <c r="G4046" s="4">
        <v>6.3944790885754004E-6</v>
      </c>
      <c r="H4046" s="3" t="str">
        <f>"NFIX"</f>
        <v>NFIX</v>
      </c>
      <c r="I4046" s="3" t="str">
        <f t="shared" si="164"/>
        <v>protein_coding</v>
      </c>
    </row>
    <row r="4047" spans="1:9" x14ac:dyDescent="0.2">
      <c r="A4047" s="3" t="str">
        <f>"ENSG00000037757.14"</f>
        <v>ENSG00000037757.14</v>
      </c>
      <c r="B4047" s="3">
        <v>2176.9261706156899</v>
      </c>
      <c r="C4047" s="3">
        <v>2.0900120881787401</v>
      </c>
      <c r="D4047" s="3">
        <v>0.28608083878902202</v>
      </c>
      <c r="E4047" s="3">
        <v>7.3056696038285498</v>
      </c>
      <c r="F4047" s="4">
        <v>2.7588933476692E-13</v>
      </c>
      <c r="G4047" s="4">
        <v>8.61041714151598E-12</v>
      </c>
      <c r="H4047" s="3" t="str">
        <f>"MRI1"</f>
        <v>MRI1</v>
      </c>
      <c r="I4047" s="3" t="str">
        <f t="shared" si="164"/>
        <v>protein_coding</v>
      </c>
    </row>
    <row r="4048" spans="1:9" x14ac:dyDescent="0.2">
      <c r="A4048" s="3" t="str">
        <f>"ENSG00000132016.11"</f>
        <v>ENSG00000132016.11</v>
      </c>
      <c r="B4048" s="3">
        <v>78.314181441654199</v>
      </c>
      <c r="C4048" s="3">
        <v>-2.3684896317977402</v>
      </c>
      <c r="D4048" s="3">
        <v>0.50663759707641398</v>
      </c>
      <c r="E4048" s="3">
        <v>-4.6749188087604701</v>
      </c>
      <c r="F4048" s="4">
        <v>2.9406993647412702E-6</v>
      </c>
      <c r="G4048" s="4">
        <v>3.36089470786309E-5</v>
      </c>
      <c r="H4048" s="3" t="str">
        <f>"C19orf57"</f>
        <v>C19orf57</v>
      </c>
      <c r="I4048" s="3" t="str">
        <f t="shared" si="164"/>
        <v>protein_coding</v>
      </c>
    </row>
    <row r="4049" spans="1:9" x14ac:dyDescent="0.2">
      <c r="A4049" s="3" t="str">
        <f>"ENSG00000132000.13"</f>
        <v>ENSG00000132000.13</v>
      </c>
      <c r="B4049" s="3">
        <v>15.971123840100599</v>
      </c>
      <c r="C4049" s="3">
        <v>2.9261295701761401</v>
      </c>
      <c r="D4049" s="3">
        <v>0.95077460434078898</v>
      </c>
      <c r="E4049" s="3">
        <v>3.0776269757488302</v>
      </c>
      <c r="F4049" s="3">
        <v>2.08655923948465E-3</v>
      </c>
      <c r="G4049" s="3">
        <v>1.13542163649459E-2</v>
      </c>
      <c r="H4049" s="3" t="str">
        <f>"PODNL1"</f>
        <v>PODNL1</v>
      </c>
      <c r="I4049" s="3" t="str">
        <f t="shared" si="164"/>
        <v>protein_coding</v>
      </c>
    </row>
    <row r="4050" spans="1:9" x14ac:dyDescent="0.2">
      <c r="A4050" s="3" t="str">
        <f>"ENSG00000141858.11"</f>
        <v>ENSG00000141858.11</v>
      </c>
      <c r="B4050" s="3">
        <v>1358.46745983186</v>
      </c>
      <c r="C4050" s="3">
        <v>-1.0430295803688501</v>
      </c>
      <c r="D4050" s="3">
        <v>0.29853624328790301</v>
      </c>
      <c r="E4050" s="3">
        <v>-3.49381223827812</v>
      </c>
      <c r="F4050" s="3">
        <v>4.7617578968732E-4</v>
      </c>
      <c r="G4050" s="3">
        <v>3.2044414097336898E-3</v>
      </c>
      <c r="H4050" s="3" t="str">
        <f>"SAMD1"</f>
        <v>SAMD1</v>
      </c>
      <c r="I4050" s="3" t="str">
        <f t="shared" si="164"/>
        <v>protein_coding</v>
      </c>
    </row>
    <row r="4051" spans="1:9" x14ac:dyDescent="0.2">
      <c r="A4051" s="3" t="str">
        <f>"ENSG00000072062.13"</f>
        <v>ENSG00000072062.13</v>
      </c>
      <c r="B4051" s="3">
        <v>4286.5640838260697</v>
      </c>
      <c r="C4051" s="3">
        <v>1.02369516469092</v>
      </c>
      <c r="D4051" s="3">
        <v>0.270891162494867</v>
      </c>
      <c r="E4051" s="3">
        <v>3.7789906295311999</v>
      </c>
      <c r="F4051" s="3">
        <v>1.5746534891593E-4</v>
      </c>
      <c r="G4051" s="3">
        <v>1.2113274776697899E-3</v>
      </c>
      <c r="H4051" s="3" t="str">
        <f>"PRKACA"</f>
        <v>PRKACA</v>
      </c>
      <c r="I4051" s="3" t="str">
        <f t="shared" si="164"/>
        <v>protein_coding</v>
      </c>
    </row>
    <row r="4052" spans="1:9" x14ac:dyDescent="0.2">
      <c r="A4052" s="3" t="str">
        <f>"ENSG00000105011.9"</f>
        <v>ENSG00000105011.9</v>
      </c>
      <c r="B4052" s="3">
        <v>1500.0861478650399</v>
      </c>
      <c r="C4052" s="3">
        <v>-1.3249760584482799</v>
      </c>
      <c r="D4052" s="3">
        <v>0.30179894051925399</v>
      </c>
      <c r="E4052" s="3">
        <v>-4.39026080134217</v>
      </c>
      <c r="F4052" s="4">
        <v>1.13214792598235E-5</v>
      </c>
      <c r="G4052" s="3">
        <v>1.14236586755258E-4</v>
      </c>
      <c r="H4052" s="3" t="str">
        <f>"ASF1B"</f>
        <v>ASF1B</v>
      </c>
      <c r="I4052" s="3" t="str">
        <f t="shared" si="164"/>
        <v>protein_coding</v>
      </c>
    </row>
    <row r="4053" spans="1:9" x14ac:dyDescent="0.2">
      <c r="A4053" s="3" t="str">
        <f>"ENSG00000072071.16"</f>
        <v>ENSG00000072071.16</v>
      </c>
      <c r="B4053" s="3">
        <v>547.22923256051797</v>
      </c>
      <c r="C4053" s="3">
        <v>-1.0317768506200999</v>
      </c>
      <c r="D4053" s="3">
        <v>0.31063198836078698</v>
      </c>
      <c r="E4053" s="3">
        <v>-3.32154088851187</v>
      </c>
      <c r="F4053" s="3">
        <v>8.9521864478559496E-4</v>
      </c>
      <c r="G4053" s="3">
        <v>5.5575579984160003E-3</v>
      </c>
      <c r="H4053" s="3" t="str">
        <f>"ADGRL1"</f>
        <v>ADGRL1</v>
      </c>
      <c r="I4053" s="3" t="str">
        <f t="shared" si="164"/>
        <v>protein_coding</v>
      </c>
    </row>
    <row r="4054" spans="1:9" x14ac:dyDescent="0.2">
      <c r="A4054" s="3" t="str">
        <f>"ENSG00000123146.20"</f>
        <v>ENSG00000123146.20</v>
      </c>
      <c r="B4054" s="3">
        <v>372.34034673108198</v>
      </c>
      <c r="C4054" s="3">
        <v>-1.10934776342996</v>
      </c>
      <c r="D4054" s="3">
        <v>0.33561605156917301</v>
      </c>
      <c r="E4054" s="3">
        <v>-3.3054073493898901</v>
      </c>
      <c r="F4054" s="3">
        <v>9.4838453676709402E-4</v>
      </c>
      <c r="G4054" s="3">
        <v>5.8371942800039796E-3</v>
      </c>
      <c r="H4054" s="3" t="str">
        <f>"ADGRE5"</f>
        <v>ADGRE5</v>
      </c>
      <c r="I4054" s="3" t="str">
        <f t="shared" si="164"/>
        <v>protein_coding</v>
      </c>
    </row>
    <row r="4055" spans="1:9" x14ac:dyDescent="0.2">
      <c r="A4055" s="3" t="str">
        <f>"ENSG00000099797.15"</f>
        <v>ENSG00000099797.15</v>
      </c>
      <c r="B4055" s="3">
        <v>2938.0787870261502</v>
      </c>
      <c r="C4055" s="3">
        <v>-1.22689031190146</v>
      </c>
      <c r="D4055" s="3">
        <v>0.29681344803706999</v>
      </c>
      <c r="E4055" s="3">
        <v>-4.1335401748650904</v>
      </c>
      <c r="F4055" s="4">
        <v>3.5721781910293402E-5</v>
      </c>
      <c r="G4055" s="3">
        <v>3.2404667290062398E-4</v>
      </c>
      <c r="H4055" s="3" t="str">
        <f>"TECR"</f>
        <v>TECR</v>
      </c>
      <c r="I4055" s="3" t="str">
        <f t="shared" si="164"/>
        <v>protein_coding</v>
      </c>
    </row>
    <row r="4056" spans="1:9" x14ac:dyDescent="0.2">
      <c r="A4056" s="3" t="str">
        <f>"ENSG00000105137.13"</f>
        <v>ENSG00000105137.13</v>
      </c>
      <c r="B4056" s="3">
        <v>440.54238233683901</v>
      </c>
      <c r="C4056" s="3">
        <v>-2.24679996954371</v>
      </c>
      <c r="D4056" s="3">
        <v>0.33727167480671699</v>
      </c>
      <c r="E4056" s="3">
        <v>-6.6616918566651098</v>
      </c>
      <c r="F4056" s="4">
        <v>2.7069312455727301E-11</v>
      </c>
      <c r="G4056" s="4">
        <v>6.6173814851683203E-10</v>
      </c>
      <c r="H4056" s="3" t="str">
        <f>"SYDE1"</f>
        <v>SYDE1</v>
      </c>
      <c r="I4056" s="3" t="str">
        <f t="shared" si="164"/>
        <v>protein_coding</v>
      </c>
    </row>
    <row r="4057" spans="1:9" x14ac:dyDescent="0.2">
      <c r="A4057" s="3" t="str">
        <f>"ENSG00000074181.9"</f>
        <v>ENSG00000074181.9</v>
      </c>
      <c r="B4057" s="3">
        <v>323.98105591810798</v>
      </c>
      <c r="C4057" s="3">
        <v>3.5721304133737899</v>
      </c>
      <c r="D4057" s="3">
        <v>0.34699420262165098</v>
      </c>
      <c r="E4057" s="3">
        <v>10.294495949457399</v>
      </c>
      <c r="F4057" s="4">
        <v>7.4609295065701698E-25</v>
      </c>
      <c r="G4057" s="4">
        <v>5.6872630829628106E-23</v>
      </c>
      <c r="H4057" s="3" t="str">
        <f>"NOTCH3"</f>
        <v>NOTCH3</v>
      </c>
      <c r="I4057" s="3" t="str">
        <f t="shared" si="164"/>
        <v>protein_coding</v>
      </c>
    </row>
    <row r="4058" spans="1:9" x14ac:dyDescent="0.2">
      <c r="A4058" s="3" t="str">
        <f>"ENSG00000279203.1"</f>
        <v>ENSG00000279203.1</v>
      </c>
      <c r="B4058" s="3">
        <v>50.5581300812092</v>
      </c>
      <c r="C4058" s="3">
        <v>1.4275599320403101</v>
      </c>
      <c r="D4058" s="3">
        <v>0.535358523480997</v>
      </c>
      <c r="E4058" s="3">
        <v>2.6665493672502998</v>
      </c>
      <c r="F4058" s="3">
        <v>7.6634350383669404E-3</v>
      </c>
      <c r="G4058" s="3">
        <v>3.37784665130752E-2</v>
      </c>
      <c r="H4058" s="3" t="str">
        <f>"AC005785.2"</f>
        <v>AC005785.2</v>
      </c>
      <c r="I4058" s="3" t="str">
        <f>"TEC"</f>
        <v>TEC</v>
      </c>
    </row>
    <row r="4059" spans="1:9" x14ac:dyDescent="0.2">
      <c r="A4059" s="3" t="str">
        <f>"ENSG00000186529.16"</f>
        <v>ENSG00000186529.16</v>
      </c>
      <c r="B4059" s="3">
        <v>777.49914649578898</v>
      </c>
      <c r="C4059" s="3">
        <v>3.3542652843446898</v>
      </c>
      <c r="D4059" s="3">
        <v>0.275534541515496</v>
      </c>
      <c r="E4059" s="3">
        <v>12.173665290368101</v>
      </c>
      <c r="F4059" s="4">
        <v>4.2936018004552898E-34</v>
      </c>
      <c r="G4059" s="4">
        <v>5.1677298225096997E-32</v>
      </c>
      <c r="H4059" s="3" t="str">
        <f>"CYP4F3"</f>
        <v>CYP4F3</v>
      </c>
      <c r="I4059" s="3" t="str">
        <f>"protein_coding"</f>
        <v>protein_coding</v>
      </c>
    </row>
    <row r="4060" spans="1:9" x14ac:dyDescent="0.2">
      <c r="A4060" s="3" t="str">
        <f>"ENSG00000186204.14"</f>
        <v>ENSG00000186204.14</v>
      </c>
      <c r="B4060" s="3">
        <v>1027.1516450060601</v>
      </c>
      <c r="C4060" s="3">
        <v>1.6356125727936199</v>
      </c>
      <c r="D4060" s="3">
        <v>0.29232406032826502</v>
      </c>
      <c r="E4060" s="3">
        <v>5.5952033881744399</v>
      </c>
      <c r="F4060" s="4">
        <v>2.20363284195574E-8</v>
      </c>
      <c r="G4060" s="4">
        <v>3.6758875424002998E-7</v>
      </c>
      <c r="H4060" s="3" t="str">
        <f>"CYP4F12"</f>
        <v>CYP4F12</v>
      </c>
      <c r="I4060" s="3" t="str">
        <f>"protein_coding"</f>
        <v>protein_coding</v>
      </c>
    </row>
    <row r="4061" spans="1:9" x14ac:dyDescent="0.2">
      <c r="A4061" s="3" t="str">
        <f>"ENSG00000267594.5"</f>
        <v>ENSG00000267594.5</v>
      </c>
      <c r="B4061" s="3">
        <v>4.1593006191673796</v>
      </c>
      <c r="C4061" s="3">
        <v>5.5741995582969404</v>
      </c>
      <c r="D4061" s="3">
        <v>2.1109445316003002</v>
      </c>
      <c r="E4061" s="3">
        <v>2.6406186779674101</v>
      </c>
      <c r="F4061" s="3">
        <v>8.2754803244566508E-3</v>
      </c>
      <c r="G4061" s="3">
        <v>3.6046702608087802E-2</v>
      </c>
      <c r="H4061" s="3" t="str">
        <f>"CYP4F24P"</f>
        <v>CYP4F24P</v>
      </c>
      <c r="I4061" s="3" t="str">
        <f>"unprocessed_pseudogene"</f>
        <v>unprocessed_pseudogene</v>
      </c>
    </row>
    <row r="4062" spans="1:9" x14ac:dyDescent="0.2">
      <c r="A4062" s="3" t="str">
        <f>"ENSG00000186115.13"</f>
        <v>ENSG00000186115.13</v>
      </c>
      <c r="B4062" s="3">
        <v>1775.62939556775</v>
      </c>
      <c r="C4062" s="3">
        <v>6.2254496341223504</v>
      </c>
      <c r="D4062" s="3">
        <v>0.28559238554702998</v>
      </c>
      <c r="E4062" s="3">
        <v>21.7983740084596</v>
      </c>
      <c r="F4062" s="4">
        <v>2.40406191280463E-105</v>
      </c>
      <c r="G4062" s="4">
        <v>4.6518598012769502E-102</v>
      </c>
      <c r="H4062" s="3" t="str">
        <f>"CYP4F2"</f>
        <v>CYP4F2</v>
      </c>
      <c r="I4062" s="3" t="str">
        <f>"protein_coding"</f>
        <v>protein_coding</v>
      </c>
    </row>
    <row r="4063" spans="1:9" x14ac:dyDescent="0.2">
      <c r="A4063" s="3" t="str">
        <f>"ENSG00000267056.2"</f>
        <v>ENSG00000267056.2</v>
      </c>
      <c r="B4063" s="3">
        <v>177.657091425776</v>
      </c>
      <c r="C4063" s="3">
        <v>2.0297376829387099</v>
      </c>
      <c r="D4063" s="3">
        <v>0.38690754815531803</v>
      </c>
      <c r="E4063" s="3">
        <v>5.2460534632007203</v>
      </c>
      <c r="F4063" s="4">
        <v>1.55391826959289E-7</v>
      </c>
      <c r="G4063" s="4">
        <v>2.2647053343921798E-6</v>
      </c>
      <c r="H4063" s="3" t="str">
        <f>"AC005336.1"</f>
        <v>AC005336.1</v>
      </c>
      <c r="I4063" s="3" t="str">
        <f>"processed_pseudogene"</f>
        <v>processed_pseudogene</v>
      </c>
    </row>
    <row r="4064" spans="1:9" x14ac:dyDescent="0.2">
      <c r="A4064" s="3" t="str">
        <f>"ENSG00000171903.16"</f>
        <v>ENSG00000171903.16</v>
      </c>
      <c r="B4064" s="3">
        <v>1267.44640132627</v>
      </c>
      <c r="C4064" s="3">
        <v>2.2251116996265501</v>
      </c>
      <c r="D4064" s="3">
        <v>0.28410442656990398</v>
      </c>
      <c r="E4064" s="3">
        <v>7.8320205231968103</v>
      </c>
      <c r="F4064" s="4">
        <v>4.8009113802101304E-15</v>
      </c>
      <c r="G4064" s="4">
        <v>1.7502453010026899E-13</v>
      </c>
      <c r="H4064" s="3" t="str">
        <f>"CYP4F11"</f>
        <v>CYP4F11</v>
      </c>
      <c r="I4064" s="3" t="str">
        <f>"protein_coding"</f>
        <v>protein_coding</v>
      </c>
    </row>
    <row r="4065" spans="1:9" x14ac:dyDescent="0.2">
      <c r="A4065" s="3" t="str">
        <f>"ENSG00000167460.16"</f>
        <v>ENSG00000167460.16</v>
      </c>
      <c r="B4065" s="3">
        <v>11780.508637835201</v>
      </c>
      <c r="C4065" s="3">
        <v>-1.49194179508091</v>
      </c>
      <c r="D4065" s="3">
        <v>0.25725211421532601</v>
      </c>
      <c r="E4065" s="3">
        <v>-5.7995317147602501</v>
      </c>
      <c r="F4065" s="4">
        <v>6.6500361200929201E-9</v>
      </c>
      <c r="G4065" s="4">
        <v>1.20693837374414E-7</v>
      </c>
      <c r="H4065" s="3" t="str">
        <f>"TPM4"</f>
        <v>TPM4</v>
      </c>
      <c r="I4065" s="3" t="str">
        <f>"protein_coding"</f>
        <v>protein_coding</v>
      </c>
    </row>
    <row r="4066" spans="1:9" x14ac:dyDescent="0.2">
      <c r="A4066" s="3" t="str">
        <f>"ENSG00000279198.1"</f>
        <v>ENSG00000279198.1</v>
      </c>
      <c r="B4066" s="3">
        <v>33.294452705177498</v>
      </c>
      <c r="C4066" s="3">
        <v>-1.7967463592117501</v>
      </c>
      <c r="D4066" s="3">
        <v>0.627213859724286</v>
      </c>
      <c r="E4066" s="3">
        <v>-2.8646470918253901</v>
      </c>
      <c r="F4066" s="3">
        <v>4.1747421541892902E-3</v>
      </c>
      <c r="G4066" s="3">
        <v>2.0407236472722801E-2</v>
      </c>
      <c r="H4066" s="3" t="str">
        <f>"AC008894.3"</f>
        <v>AC008894.3</v>
      </c>
      <c r="I4066" s="3" t="str">
        <f>"TEC"</f>
        <v>TEC</v>
      </c>
    </row>
    <row r="4067" spans="1:9" x14ac:dyDescent="0.2">
      <c r="A4067" s="3" t="str">
        <f>"ENSG00000072954.7"</f>
        <v>ENSG00000072954.7</v>
      </c>
      <c r="B4067" s="3">
        <v>223.17071493668601</v>
      </c>
      <c r="C4067" s="3">
        <v>-1.3096630236631801</v>
      </c>
      <c r="D4067" s="3">
        <v>0.33222435616055401</v>
      </c>
      <c r="E4067" s="3">
        <v>-3.94210418164</v>
      </c>
      <c r="F4067" s="4">
        <v>8.0769876205510205E-5</v>
      </c>
      <c r="G4067" s="3">
        <v>6.7208174520471298E-4</v>
      </c>
      <c r="H4067" s="3" t="str">
        <f>"TMEM38A"</f>
        <v>TMEM38A</v>
      </c>
      <c r="I4067" s="3" t="str">
        <f>"protein_coding"</f>
        <v>protein_coding</v>
      </c>
    </row>
    <row r="4068" spans="1:9" x14ac:dyDescent="0.2">
      <c r="A4068" s="3" t="str">
        <f>"ENSG00000268743.1"</f>
        <v>ENSG00000268743.1</v>
      </c>
      <c r="B4068" s="3">
        <v>40.269423153741599</v>
      </c>
      <c r="C4068" s="3">
        <v>1.88660285762917</v>
      </c>
      <c r="D4068" s="3">
        <v>0.59640063753491601</v>
      </c>
      <c r="E4068" s="3">
        <v>3.1633146225782101</v>
      </c>
      <c r="F4068" s="3">
        <v>1.5598365717474499E-3</v>
      </c>
      <c r="G4068" s="3">
        <v>8.9075343841787096E-3</v>
      </c>
      <c r="H4068" s="3" t="str">
        <f>"AC008737.1"</f>
        <v>AC008737.1</v>
      </c>
      <c r="I4068" s="3" t="str">
        <f>"sense_intronic"</f>
        <v>sense_intronic</v>
      </c>
    </row>
    <row r="4069" spans="1:9" x14ac:dyDescent="0.2">
      <c r="A4069" s="3" t="str">
        <f>"ENSG00000160111.13"</f>
        <v>ENSG00000160111.13</v>
      </c>
      <c r="B4069" s="3">
        <v>629.26363716464698</v>
      </c>
      <c r="C4069" s="3">
        <v>4.04295478532653</v>
      </c>
      <c r="D4069" s="3">
        <v>0.29679973028612999</v>
      </c>
      <c r="E4069" s="3">
        <v>13.6218276931347</v>
      </c>
      <c r="F4069" s="4">
        <v>2.9703972805580601E-42</v>
      </c>
      <c r="G4069" s="4">
        <v>5.6606320903361996E-40</v>
      </c>
      <c r="H4069" s="3" t="str">
        <f>"CPAMD8"</f>
        <v>CPAMD8</v>
      </c>
      <c r="I4069" s="3" t="str">
        <f t="shared" ref="I4069:I4082" si="165">"protein_coding"</f>
        <v>protein_coding</v>
      </c>
    </row>
    <row r="4070" spans="1:9" x14ac:dyDescent="0.2">
      <c r="A4070" s="3" t="str">
        <f>"ENSG00000099331.13"</f>
        <v>ENSG00000099331.13</v>
      </c>
      <c r="B4070" s="3">
        <v>5240.3885634762501</v>
      </c>
      <c r="C4070" s="3">
        <v>1.1761335168143301</v>
      </c>
      <c r="D4070" s="3">
        <v>0.28980040293638698</v>
      </c>
      <c r="E4070" s="3">
        <v>4.0584260922249404</v>
      </c>
      <c r="F4070" s="4">
        <v>4.9404563948999997E-5</v>
      </c>
      <c r="G4070" s="3">
        <v>4.34535596551432E-4</v>
      </c>
      <c r="H4070" s="3" t="str">
        <f>"MYO9B"</f>
        <v>MYO9B</v>
      </c>
      <c r="I4070" s="3" t="str">
        <f t="shared" si="165"/>
        <v>protein_coding</v>
      </c>
    </row>
    <row r="4071" spans="1:9" x14ac:dyDescent="0.2">
      <c r="A4071" s="3" t="str">
        <f>"ENSG00000127220.6"</f>
        <v>ENSG00000127220.6</v>
      </c>
      <c r="B4071" s="3">
        <v>473.714660926188</v>
      </c>
      <c r="C4071" s="3">
        <v>-1.0201558340999901</v>
      </c>
      <c r="D4071" s="3">
        <v>0.29978096593750497</v>
      </c>
      <c r="E4071" s="3">
        <v>-3.4030040263218502</v>
      </c>
      <c r="F4071" s="3">
        <v>6.6649298356698098E-4</v>
      </c>
      <c r="G4071" s="3">
        <v>4.3032933782411204E-3</v>
      </c>
      <c r="H4071" s="3" t="str">
        <f>"ABHD8"</f>
        <v>ABHD8</v>
      </c>
      <c r="I4071" s="3" t="str">
        <f t="shared" si="165"/>
        <v>protein_coding</v>
      </c>
    </row>
    <row r="4072" spans="1:9" x14ac:dyDescent="0.2">
      <c r="A4072" s="3" t="str">
        <f>"ENSG00000167483.18"</f>
        <v>ENSG00000167483.18</v>
      </c>
      <c r="B4072" s="3">
        <v>82.106840637595894</v>
      </c>
      <c r="C4072" s="3">
        <v>1.2355636738351801</v>
      </c>
      <c r="D4072" s="3">
        <v>0.44775983820621501</v>
      </c>
      <c r="E4072" s="3">
        <v>2.7594338938146299</v>
      </c>
      <c r="F4072" s="3">
        <v>5.7901600459163696E-3</v>
      </c>
      <c r="G4072" s="3">
        <v>2.67054411358684E-2</v>
      </c>
      <c r="H4072" s="3" t="str">
        <f>"FAM129C"</f>
        <v>FAM129C</v>
      </c>
      <c r="I4072" s="3" t="str">
        <f t="shared" si="165"/>
        <v>protein_coding</v>
      </c>
    </row>
    <row r="4073" spans="1:9" x14ac:dyDescent="0.2">
      <c r="A4073" s="3" t="str">
        <f>"ENSG00000130309.11"</f>
        <v>ENSG00000130309.11</v>
      </c>
      <c r="B4073" s="3">
        <v>4735.2894595950102</v>
      </c>
      <c r="C4073" s="3">
        <v>-1.5346852224379199</v>
      </c>
      <c r="D4073" s="3">
        <v>0.27353806031903399</v>
      </c>
      <c r="E4073" s="3">
        <v>-5.6104997624388497</v>
      </c>
      <c r="F4073" s="4">
        <v>2.01743149441737E-8</v>
      </c>
      <c r="G4073" s="4">
        <v>3.3809786303843499E-7</v>
      </c>
      <c r="H4073" s="3" t="str">
        <f>"COLGALT1"</f>
        <v>COLGALT1</v>
      </c>
      <c r="I4073" s="3" t="str">
        <f t="shared" si="165"/>
        <v>protein_coding</v>
      </c>
    </row>
    <row r="4074" spans="1:9" x14ac:dyDescent="0.2">
      <c r="A4074" s="3" t="str">
        <f>"ENSG00000130477.15"</f>
        <v>ENSG00000130477.15</v>
      </c>
      <c r="B4074" s="3">
        <v>440.690706481022</v>
      </c>
      <c r="C4074" s="3">
        <v>3.8428472720753599</v>
      </c>
      <c r="D4074" s="3">
        <v>0.30574620593741503</v>
      </c>
      <c r="E4074" s="3">
        <v>12.5687488428294</v>
      </c>
      <c r="F4074" s="4">
        <v>3.1364819736532501E-36</v>
      </c>
      <c r="G4074" s="4">
        <v>4.2418389272713696E-34</v>
      </c>
      <c r="H4074" s="3" t="str">
        <f>"UNC13A"</f>
        <v>UNC13A</v>
      </c>
      <c r="I4074" s="3" t="str">
        <f t="shared" si="165"/>
        <v>protein_coding</v>
      </c>
    </row>
    <row r="4075" spans="1:9" x14ac:dyDescent="0.2">
      <c r="A4075" s="3" t="str">
        <f>"ENSG00000179913.10"</f>
        <v>ENSG00000179913.10</v>
      </c>
      <c r="B4075" s="3">
        <v>136.73425930718</v>
      </c>
      <c r="C4075" s="3">
        <v>-1.49248427578562</v>
      </c>
      <c r="D4075" s="3">
        <v>0.41803505902103999</v>
      </c>
      <c r="E4075" s="3">
        <v>-3.5702370975313502</v>
      </c>
      <c r="F4075" s="3">
        <v>3.5665825688301902E-4</v>
      </c>
      <c r="G4075" s="3">
        <v>2.4942280933812401E-3</v>
      </c>
      <c r="H4075" s="3" t="str">
        <f>"B3GNT3"</f>
        <v>B3GNT3</v>
      </c>
      <c r="I4075" s="3" t="str">
        <f t="shared" si="165"/>
        <v>protein_coding</v>
      </c>
    </row>
    <row r="4076" spans="1:9" x14ac:dyDescent="0.2">
      <c r="A4076" s="3" t="str">
        <f>"ENSG00000105639.18"</f>
        <v>ENSG00000105639.18</v>
      </c>
      <c r="B4076" s="3">
        <v>742.61513126179898</v>
      </c>
      <c r="C4076" s="3">
        <v>-1.11832011773103</v>
      </c>
      <c r="D4076" s="3">
        <v>0.31309732833708798</v>
      </c>
      <c r="E4076" s="3">
        <v>-3.5717970628194502</v>
      </c>
      <c r="F4076" s="3">
        <v>3.5454009813906901E-4</v>
      </c>
      <c r="G4076" s="3">
        <v>2.4821753878898601E-3</v>
      </c>
      <c r="H4076" s="3" t="str">
        <f>"JAK3"</f>
        <v>JAK3</v>
      </c>
      <c r="I4076" s="3" t="str">
        <f t="shared" si="165"/>
        <v>protein_coding</v>
      </c>
    </row>
    <row r="4077" spans="1:9" x14ac:dyDescent="0.2">
      <c r="A4077" s="3" t="str">
        <f>"ENSG00000105641.4"</f>
        <v>ENSG00000105641.4</v>
      </c>
      <c r="B4077" s="3">
        <v>19.3797165625495</v>
      </c>
      <c r="C4077" s="3">
        <v>3.0379142143328601</v>
      </c>
      <c r="D4077" s="3">
        <v>0.86466404254168805</v>
      </c>
      <c r="E4077" s="3">
        <v>3.5134041256103199</v>
      </c>
      <c r="F4077" s="3">
        <v>4.4240403918828399E-4</v>
      </c>
      <c r="G4077" s="3">
        <v>3.0093763130831E-3</v>
      </c>
      <c r="H4077" s="3" t="str">
        <f>"SLC5A5"</f>
        <v>SLC5A5</v>
      </c>
      <c r="I4077" s="3" t="str">
        <f t="shared" si="165"/>
        <v>protein_coding</v>
      </c>
    </row>
    <row r="4078" spans="1:9" x14ac:dyDescent="0.2">
      <c r="A4078" s="3" t="str">
        <f>"ENSG00000105642.15"</f>
        <v>ENSG00000105642.15</v>
      </c>
      <c r="B4078" s="3">
        <v>10.137697553048801</v>
      </c>
      <c r="C4078" s="3">
        <v>3.2732903443851402</v>
      </c>
      <c r="D4078" s="3">
        <v>1.2015755939153501</v>
      </c>
      <c r="E4078" s="3">
        <v>2.7241651386402501</v>
      </c>
      <c r="F4078" s="3">
        <v>6.4464264612732998E-3</v>
      </c>
      <c r="G4078" s="3">
        <v>2.92193137851211E-2</v>
      </c>
      <c r="H4078" s="3" t="str">
        <f>"KCNN1"</f>
        <v>KCNN1</v>
      </c>
      <c r="I4078" s="3" t="str">
        <f t="shared" si="165"/>
        <v>protein_coding</v>
      </c>
    </row>
    <row r="4079" spans="1:9" x14ac:dyDescent="0.2">
      <c r="A4079" s="3" t="str">
        <f>"ENSG00000285188.1"</f>
        <v>ENSG00000285188.1</v>
      </c>
      <c r="B4079" s="3">
        <v>208.79144283219699</v>
      </c>
      <c r="C4079" s="3">
        <v>7.7899795098625804</v>
      </c>
      <c r="D4079" s="3">
        <v>0.79463532940342996</v>
      </c>
      <c r="E4079" s="3">
        <v>9.8032131489936098</v>
      </c>
      <c r="F4079" s="4">
        <v>1.0906007586439501E-22</v>
      </c>
      <c r="G4079" s="4">
        <v>6.9806773749843807E-21</v>
      </c>
      <c r="H4079" s="3" t="str">
        <f>"AC008397.2"</f>
        <v>AC008397.2</v>
      </c>
      <c r="I4079" s="3" t="str">
        <f t="shared" si="165"/>
        <v>protein_coding</v>
      </c>
    </row>
    <row r="4080" spans="1:9" x14ac:dyDescent="0.2">
      <c r="A4080" s="3" t="str">
        <f>"ENSG00000105650.22"</f>
        <v>ENSG00000105650.22</v>
      </c>
      <c r="B4080" s="3">
        <v>1087.4575972381799</v>
      </c>
      <c r="C4080" s="3">
        <v>8.3605466642260104</v>
      </c>
      <c r="D4080" s="3">
        <v>0.47811939569991502</v>
      </c>
      <c r="E4080" s="3">
        <v>17.486315634585502</v>
      </c>
      <c r="F4080" s="4">
        <v>1.82159961086525E-68</v>
      </c>
      <c r="G4080" s="4">
        <v>9.1644676422630697E-66</v>
      </c>
      <c r="H4080" s="3" t="str">
        <f>"PDE4C"</f>
        <v>PDE4C</v>
      </c>
      <c r="I4080" s="3" t="str">
        <f t="shared" si="165"/>
        <v>protein_coding</v>
      </c>
    </row>
    <row r="4081" spans="1:9" x14ac:dyDescent="0.2">
      <c r="A4081" s="3" t="str">
        <f>"ENSG00000130518.17"</f>
        <v>ENSG00000130518.17</v>
      </c>
      <c r="B4081" s="3">
        <v>61.304236280804297</v>
      </c>
      <c r="C4081" s="3">
        <v>1.89536991030322</v>
      </c>
      <c r="D4081" s="3">
        <v>0.48755036565437099</v>
      </c>
      <c r="E4081" s="3">
        <v>3.8875366399517102</v>
      </c>
      <c r="F4081" s="3">
        <v>1.01266705280957E-4</v>
      </c>
      <c r="G4081" s="3">
        <v>8.2120050655785904E-4</v>
      </c>
      <c r="H4081" s="3" t="str">
        <f>"IQCN"</f>
        <v>IQCN</v>
      </c>
      <c r="I4081" s="3" t="str">
        <f t="shared" si="165"/>
        <v>protein_coding</v>
      </c>
    </row>
    <row r="4082" spans="1:9" x14ac:dyDescent="0.2">
      <c r="A4082" s="3" t="str">
        <f>"ENSG00000130513.6"</f>
        <v>ENSG00000130513.6</v>
      </c>
      <c r="B4082" s="3">
        <v>23592.0324139431</v>
      </c>
      <c r="C4082" s="3">
        <v>2.6919426438406902</v>
      </c>
      <c r="D4082" s="3">
        <v>0.29161410696985601</v>
      </c>
      <c r="E4082" s="3">
        <v>9.2311811380200393</v>
      </c>
      <c r="F4082" s="4">
        <v>2.6766384436764599E-20</v>
      </c>
      <c r="G4082" s="4">
        <v>1.4733225394022201E-18</v>
      </c>
      <c r="H4082" s="3" t="str">
        <f>"GDF15"</f>
        <v>GDF15</v>
      </c>
      <c r="I4082" s="3" t="str">
        <f t="shared" si="165"/>
        <v>protein_coding</v>
      </c>
    </row>
    <row r="4083" spans="1:9" x14ac:dyDescent="0.2">
      <c r="A4083" s="3" t="str">
        <f>"ENSG00000264175.1"</f>
        <v>ENSG00000264175.1</v>
      </c>
      <c r="B4083" s="3">
        <v>166.21267749617701</v>
      </c>
      <c r="C4083" s="3">
        <v>3.6509197496961701</v>
      </c>
      <c r="D4083" s="3">
        <v>0.44882442907388698</v>
      </c>
      <c r="E4083" s="3">
        <v>8.1344051553288796</v>
      </c>
      <c r="F4083" s="4">
        <v>4.1396591912156398E-16</v>
      </c>
      <c r="G4083" s="4">
        <v>1.6634684817097301E-14</v>
      </c>
      <c r="H4083" s="3" t="str">
        <f>"MIR3189"</f>
        <v>MIR3189</v>
      </c>
      <c r="I4083" s="3" t="str">
        <f>"miRNA"</f>
        <v>miRNA</v>
      </c>
    </row>
    <row r="4084" spans="1:9" x14ac:dyDescent="0.2">
      <c r="A4084" s="3" t="str">
        <f>"ENSG00000105655.18"</f>
        <v>ENSG00000105655.18</v>
      </c>
      <c r="B4084" s="3">
        <v>3398.0443293252802</v>
      </c>
      <c r="C4084" s="3">
        <v>2.4973099352691199</v>
      </c>
      <c r="D4084" s="3">
        <v>0.29678589375893899</v>
      </c>
      <c r="E4084" s="3">
        <v>8.4145169557739692</v>
      </c>
      <c r="F4084" s="4">
        <v>3.9451721018009902E-17</v>
      </c>
      <c r="G4084" s="4">
        <v>1.7502787340529799E-15</v>
      </c>
      <c r="H4084" s="3" t="str">
        <f>"ISYNA1"</f>
        <v>ISYNA1</v>
      </c>
      <c r="I4084" s="3" t="str">
        <f>"protein_coding"</f>
        <v>protein_coding</v>
      </c>
    </row>
    <row r="4085" spans="1:9" x14ac:dyDescent="0.2">
      <c r="A4085" s="3" t="str">
        <f>"ENSG00000280121.1"</f>
        <v>ENSG00000280121.1</v>
      </c>
      <c r="B4085" s="3">
        <v>21.919407257178499</v>
      </c>
      <c r="C4085" s="3">
        <v>2.7308725898976398</v>
      </c>
      <c r="D4085" s="3">
        <v>0.79729681109553296</v>
      </c>
      <c r="E4085" s="3">
        <v>3.42516432010465</v>
      </c>
      <c r="F4085" s="3">
        <v>6.1442768368223405E-4</v>
      </c>
      <c r="G4085" s="3">
        <v>4.0114010856544501E-3</v>
      </c>
      <c r="H4085" s="3" t="str">
        <f>"AC010335.3"</f>
        <v>AC010335.3</v>
      </c>
      <c r="I4085" s="3" t="str">
        <f>"TEC"</f>
        <v>TEC</v>
      </c>
    </row>
    <row r="4086" spans="1:9" x14ac:dyDescent="0.2">
      <c r="A4086" s="3" t="str">
        <f>"ENSG00000223802.7"</f>
        <v>ENSG00000223802.7</v>
      </c>
      <c r="B4086" s="3">
        <v>101.843060386327</v>
      </c>
      <c r="C4086" s="3">
        <v>-1.11676839011792</v>
      </c>
      <c r="D4086" s="3">
        <v>0.44329976791589198</v>
      </c>
      <c r="E4086" s="3">
        <v>-2.5192171775055101</v>
      </c>
      <c r="F4086" s="3">
        <v>1.17616086481417E-2</v>
      </c>
      <c r="G4086" s="3">
        <v>4.8272681602872403E-2</v>
      </c>
      <c r="H4086" s="3" t="str">
        <f>"CERS1"</f>
        <v>CERS1</v>
      </c>
      <c r="I4086" s="3" t="str">
        <f>"protein_coding"</f>
        <v>protein_coding</v>
      </c>
    </row>
    <row r="4087" spans="1:9" x14ac:dyDescent="0.2">
      <c r="A4087" s="3" t="str">
        <f>"ENSG00000105676.14"</f>
        <v>ENSG00000105676.14</v>
      </c>
      <c r="B4087" s="3">
        <v>1202.4581281043199</v>
      </c>
      <c r="C4087" s="3">
        <v>-1.02114865567725</v>
      </c>
      <c r="D4087" s="3">
        <v>0.28144256094382503</v>
      </c>
      <c r="E4087" s="3">
        <v>-3.6282666425887999</v>
      </c>
      <c r="F4087" s="3">
        <v>2.8533049046941501E-4</v>
      </c>
      <c r="G4087" s="3">
        <v>2.04953983088468E-3</v>
      </c>
      <c r="H4087" s="3" t="str">
        <f>"ARMC6"</f>
        <v>ARMC6</v>
      </c>
      <c r="I4087" s="3" t="str">
        <f>"protein_coding"</f>
        <v>protein_coding</v>
      </c>
    </row>
    <row r="4088" spans="1:9" x14ac:dyDescent="0.2">
      <c r="A4088" s="3" t="str">
        <f>"ENSG00000064547.14"</f>
        <v>ENSG00000064547.14</v>
      </c>
      <c r="B4088" s="3">
        <v>82.9455313310403</v>
      </c>
      <c r="C4088" s="3">
        <v>1.3862224360486299</v>
      </c>
      <c r="D4088" s="3">
        <v>0.51971599038322502</v>
      </c>
      <c r="E4088" s="3">
        <v>2.66726916565809</v>
      </c>
      <c r="F4088" s="3">
        <v>7.6470400213999997E-3</v>
      </c>
      <c r="G4088" s="3">
        <v>3.3718017833184399E-2</v>
      </c>
      <c r="H4088" s="3" t="str">
        <f>"LPAR2"</f>
        <v>LPAR2</v>
      </c>
      <c r="I4088" s="3" t="str">
        <f>"protein_coding"</f>
        <v>protein_coding</v>
      </c>
    </row>
    <row r="4089" spans="1:9" x14ac:dyDescent="0.2">
      <c r="A4089" s="3" t="str">
        <f>"ENSG00000266904.5"</f>
        <v>ENSG00000266904.5</v>
      </c>
      <c r="B4089" s="3">
        <v>80.634359638889194</v>
      </c>
      <c r="C4089" s="3">
        <v>3.8345941013062999</v>
      </c>
      <c r="D4089" s="3">
        <v>0.53111667147717501</v>
      </c>
      <c r="E4089" s="3">
        <v>7.2198714656071399</v>
      </c>
      <c r="F4089" s="4">
        <v>5.2036735483591497E-13</v>
      </c>
      <c r="G4089" s="4">
        <v>1.54909358708845E-11</v>
      </c>
      <c r="H4089" s="3" t="str">
        <f>"LINC00663"</f>
        <v>LINC00663</v>
      </c>
      <c r="I4089" s="3" t="str">
        <f>"lincRNA"</f>
        <v>lincRNA</v>
      </c>
    </row>
    <row r="4090" spans="1:9" x14ac:dyDescent="0.2">
      <c r="A4090" s="3" t="str">
        <f>"ENSG00000267419.2"</f>
        <v>ENSG00000267419.2</v>
      </c>
      <c r="B4090" s="3">
        <v>328.42361608717101</v>
      </c>
      <c r="C4090" s="3">
        <v>3.0615487582263001</v>
      </c>
      <c r="D4090" s="3">
        <v>0.30904199657281201</v>
      </c>
      <c r="E4090" s="3">
        <v>9.9065783685648192</v>
      </c>
      <c r="F4090" s="4">
        <v>3.8976631244851098E-23</v>
      </c>
      <c r="G4090" s="4">
        <v>2.6075988270325301E-21</v>
      </c>
      <c r="H4090" s="3" t="str">
        <f>"AC011477.1"</f>
        <v>AC011477.1</v>
      </c>
      <c r="I4090" s="3" t="str">
        <f>"transcribed_unprocessed_pseudogene"</f>
        <v>transcribed_unprocessed_pseudogene</v>
      </c>
    </row>
    <row r="4091" spans="1:9" x14ac:dyDescent="0.2">
      <c r="A4091" s="3" t="str">
        <f>"ENSG00000197124.12"</f>
        <v>ENSG00000197124.12</v>
      </c>
      <c r="B4091" s="3">
        <v>694.21304976820602</v>
      </c>
      <c r="C4091" s="3">
        <v>2.6468465673969201</v>
      </c>
      <c r="D4091" s="3">
        <v>0.29050670485834801</v>
      </c>
      <c r="E4091" s="3">
        <v>9.1111376196550307</v>
      </c>
      <c r="F4091" s="4">
        <v>8.1522595635483001E-20</v>
      </c>
      <c r="G4091" s="4">
        <v>4.3172650383380502E-18</v>
      </c>
      <c r="H4091" s="3" t="str">
        <f>"ZNF682"</f>
        <v>ZNF682</v>
      </c>
      <c r="I4091" s="3" t="str">
        <f t="shared" ref="I4091:I4097" si="166">"protein_coding"</f>
        <v>protein_coding</v>
      </c>
    </row>
    <row r="4092" spans="1:9" x14ac:dyDescent="0.2">
      <c r="A4092" s="3" t="str">
        <f>"ENSG00000166289.6"</f>
        <v>ENSG00000166289.6</v>
      </c>
      <c r="B4092" s="3">
        <v>389.770275562194</v>
      </c>
      <c r="C4092" s="3">
        <v>3.0327662796474901</v>
      </c>
      <c r="D4092" s="3">
        <v>0.372178936404302</v>
      </c>
      <c r="E4092" s="3">
        <v>8.1486779153803592</v>
      </c>
      <c r="F4092" s="4">
        <v>3.6792444258718502E-16</v>
      </c>
      <c r="G4092" s="4">
        <v>1.49759536460852E-14</v>
      </c>
      <c r="H4092" s="3" t="str">
        <f>"PLEKHF1"</f>
        <v>PLEKHF1</v>
      </c>
      <c r="I4092" s="3" t="str">
        <f t="shared" si="166"/>
        <v>protein_coding</v>
      </c>
    </row>
    <row r="4093" spans="1:9" x14ac:dyDescent="0.2">
      <c r="A4093" s="3" t="str">
        <f>"ENSG00000105173.14"</f>
        <v>ENSG00000105173.14</v>
      </c>
      <c r="B4093" s="3">
        <v>1232.9724080348101</v>
      </c>
      <c r="C4093" s="3">
        <v>-1.9177674807785901</v>
      </c>
      <c r="D4093" s="3">
        <v>0.277242497000803</v>
      </c>
      <c r="E4093" s="3">
        <v>-6.9172926283846099</v>
      </c>
      <c r="F4093" s="4">
        <v>4.6035653823536604E-12</v>
      </c>
      <c r="G4093" s="4">
        <v>1.2414187209821699E-10</v>
      </c>
      <c r="H4093" s="3" t="str">
        <f>"CCNE1"</f>
        <v>CCNE1</v>
      </c>
      <c r="I4093" s="3" t="str">
        <f t="shared" si="166"/>
        <v>protein_coding</v>
      </c>
    </row>
    <row r="4094" spans="1:9" x14ac:dyDescent="0.2">
      <c r="A4094" s="3" t="str">
        <f>"ENSG00000105185.12"</f>
        <v>ENSG00000105185.12</v>
      </c>
      <c r="B4094" s="3">
        <v>2183.0989585406701</v>
      </c>
      <c r="C4094" s="3">
        <v>-1.3223558687244199</v>
      </c>
      <c r="D4094" s="3">
        <v>0.24160370161907699</v>
      </c>
      <c r="E4094" s="3">
        <v>-5.47324341416466</v>
      </c>
      <c r="F4094" s="4">
        <v>4.4187249969350799E-8</v>
      </c>
      <c r="G4094" s="4">
        <v>6.9995609129661202E-7</v>
      </c>
      <c r="H4094" s="3" t="str">
        <f>"PDCD5"</f>
        <v>PDCD5</v>
      </c>
      <c r="I4094" s="3" t="str">
        <f t="shared" si="166"/>
        <v>protein_coding</v>
      </c>
    </row>
    <row r="4095" spans="1:9" x14ac:dyDescent="0.2">
      <c r="A4095" s="3" t="str">
        <f>"ENSG00000105186.16"</f>
        <v>ENSG00000105186.16</v>
      </c>
      <c r="B4095" s="3">
        <v>1118.21375096666</v>
      </c>
      <c r="C4095" s="3">
        <v>-1.5741799363360001</v>
      </c>
      <c r="D4095" s="3">
        <v>0.26642247931266899</v>
      </c>
      <c r="E4095" s="3">
        <v>-5.9085852680192401</v>
      </c>
      <c r="F4095" s="4">
        <v>3.45058195576581E-9</v>
      </c>
      <c r="G4095" s="4">
        <v>6.5262698569390301E-8</v>
      </c>
      <c r="H4095" s="3" t="str">
        <f>"ANKRD27"</f>
        <v>ANKRD27</v>
      </c>
      <c r="I4095" s="3" t="str">
        <f t="shared" si="166"/>
        <v>protein_coding</v>
      </c>
    </row>
    <row r="4096" spans="1:9" x14ac:dyDescent="0.2">
      <c r="A4096" s="3" t="str">
        <f>"ENSG00000213965.3"</f>
        <v>ENSG00000213965.3</v>
      </c>
      <c r="B4096" s="3">
        <v>133.70856736947201</v>
      </c>
      <c r="C4096" s="3">
        <v>-2.7942381412281398</v>
      </c>
      <c r="D4096" s="3">
        <v>0.42183886847160101</v>
      </c>
      <c r="E4096" s="3">
        <v>-6.6239466063243002</v>
      </c>
      <c r="F4096" s="4">
        <v>3.4973313596264197E-11</v>
      </c>
      <c r="G4096" s="4">
        <v>8.4510442220367496E-10</v>
      </c>
      <c r="H4096" s="3" t="str">
        <f>"NUDT19"</f>
        <v>NUDT19</v>
      </c>
      <c r="I4096" s="3" t="str">
        <f t="shared" si="166"/>
        <v>protein_coding</v>
      </c>
    </row>
    <row r="4097" spans="1:9" x14ac:dyDescent="0.2">
      <c r="A4097" s="3" t="str">
        <f>"ENSG00000245848.3"</f>
        <v>ENSG00000245848.3</v>
      </c>
      <c r="B4097" s="3">
        <v>1655.3703018091101</v>
      </c>
      <c r="C4097" s="3">
        <v>2.7866274836696201</v>
      </c>
      <c r="D4097" s="3">
        <v>0.265551531928997</v>
      </c>
      <c r="E4097" s="3">
        <v>10.4937352966004</v>
      </c>
      <c r="F4097" s="4">
        <v>9.23055100900587E-26</v>
      </c>
      <c r="G4097" s="4">
        <v>7.5633391085192998E-24</v>
      </c>
      <c r="H4097" s="3" t="str">
        <f>"CEBPA"</f>
        <v>CEBPA</v>
      </c>
      <c r="I4097" s="3" t="str">
        <f t="shared" si="166"/>
        <v>protein_coding</v>
      </c>
    </row>
    <row r="4098" spans="1:9" x14ac:dyDescent="0.2">
      <c r="A4098" s="3" t="str">
        <f>"ENSG00000267296.2"</f>
        <v>ENSG00000267296.2</v>
      </c>
      <c r="B4098" s="3">
        <v>124.396011578714</v>
      </c>
      <c r="C4098" s="3">
        <v>1.7883668208522701</v>
      </c>
      <c r="D4098" s="3">
        <v>0.41019159776290798</v>
      </c>
      <c r="E4098" s="3">
        <v>4.3598328942026603</v>
      </c>
      <c r="F4098" s="4">
        <v>1.3016180310953099E-5</v>
      </c>
      <c r="G4098" s="3">
        <v>1.29415816490919E-4</v>
      </c>
      <c r="H4098" s="3" t="str">
        <f>"CEBPA-DT"</f>
        <v>CEBPA-DT</v>
      </c>
      <c r="I4098" s="3" t="str">
        <f>"antisense"</f>
        <v>antisense</v>
      </c>
    </row>
    <row r="4099" spans="1:9" x14ac:dyDescent="0.2">
      <c r="A4099" s="3" t="str">
        <f>"ENSG00000124299.14"</f>
        <v>ENSG00000124299.14</v>
      </c>
      <c r="B4099" s="3">
        <v>1335.91059690008</v>
      </c>
      <c r="C4099" s="3">
        <v>1.2813593889653301</v>
      </c>
      <c r="D4099" s="3">
        <v>0.29050606685991998</v>
      </c>
      <c r="E4099" s="3">
        <v>4.4107835778286697</v>
      </c>
      <c r="F4099" s="4">
        <v>1.0299722221162101E-5</v>
      </c>
      <c r="G4099" s="3">
        <v>1.05173305171508E-4</v>
      </c>
      <c r="H4099" s="3" t="str">
        <f>"PEPD"</f>
        <v>PEPD</v>
      </c>
      <c r="I4099" s="3" t="str">
        <f t="shared" ref="I4099:I4129" si="167">"protein_coding"</f>
        <v>protein_coding</v>
      </c>
    </row>
    <row r="4100" spans="1:9" x14ac:dyDescent="0.2">
      <c r="A4100" s="3" t="str">
        <f>"ENSG00000153885.14"</f>
        <v>ENSG00000153885.14</v>
      </c>
      <c r="B4100" s="3">
        <v>553.17326989545597</v>
      </c>
      <c r="C4100" s="3">
        <v>-1.40471650773459</v>
      </c>
      <c r="D4100" s="3">
        <v>0.31695416474357502</v>
      </c>
      <c r="E4100" s="3">
        <v>-4.4319231737214997</v>
      </c>
      <c r="F4100" s="4">
        <v>9.3396297789322696E-6</v>
      </c>
      <c r="G4100" s="4">
        <v>9.6325701963526596E-5</v>
      </c>
      <c r="H4100" s="3" t="str">
        <f>"KCTD15"</f>
        <v>KCTD15</v>
      </c>
      <c r="I4100" s="3" t="str">
        <f t="shared" si="167"/>
        <v>protein_coding</v>
      </c>
    </row>
    <row r="4101" spans="1:9" x14ac:dyDescent="0.2">
      <c r="A4101" s="3" t="str">
        <f>"ENSG00000105220.16"</f>
        <v>ENSG00000105220.16</v>
      </c>
      <c r="B4101" s="3">
        <v>6857.2276848138999</v>
      </c>
      <c r="C4101" s="3">
        <v>-1.2485746375998401</v>
      </c>
      <c r="D4101" s="3">
        <v>0.28286498679983002</v>
      </c>
      <c r="E4101" s="3">
        <v>-4.4140303532278402</v>
      </c>
      <c r="F4101" s="4">
        <v>1.0146372354383E-5</v>
      </c>
      <c r="G4101" s="3">
        <v>1.03710685320807E-4</v>
      </c>
      <c r="H4101" s="3" t="str">
        <f>"GPI"</f>
        <v>GPI</v>
      </c>
      <c r="I4101" s="3" t="str">
        <f t="shared" si="167"/>
        <v>protein_coding</v>
      </c>
    </row>
    <row r="4102" spans="1:9" x14ac:dyDescent="0.2">
      <c r="A4102" s="3" t="str">
        <f>"ENSG00000168661.14"</f>
        <v>ENSG00000168661.14</v>
      </c>
      <c r="B4102" s="3">
        <v>301.15199010399903</v>
      </c>
      <c r="C4102" s="3">
        <v>2.57444921699916</v>
      </c>
      <c r="D4102" s="3">
        <v>0.35977959346689597</v>
      </c>
      <c r="E4102" s="3">
        <v>7.1556287898136297</v>
      </c>
      <c r="F4102" s="4">
        <v>8.3290249441849203E-13</v>
      </c>
      <c r="G4102" s="4">
        <v>2.41657004003427E-11</v>
      </c>
      <c r="H4102" s="3" t="str">
        <f>"ZNF30"</f>
        <v>ZNF30</v>
      </c>
      <c r="I4102" s="3" t="str">
        <f t="shared" si="167"/>
        <v>protein_coding</v>
      </c>
    </row>
    <row r="4103" spans="1:9" x14ac:dyDescent="0.2">
      <c r="A4103" s="3" t="str">
        <f>"ENSG00000105677.12"</f>
        <v>ENSG00000105677.12</v>
      </c>
      <c r="B4103" s="3">
        <v>1390.24277412077</v>
      </c>
      <c r="C4103" s="3">
        <v>-1.12536268250255</v>
      </c>
      <c r="D4103" s="3">
        <v>0.29157034620424299</v>
      </c>
      <c r="E4103" s="3">
        <v>-3.8596609605636898</v>
      </c>
      <c r="F4103" s="3">
        <v>1.13544447801953E-4</v>
      </c>
      <c r="G4103" s="3">
        <v>9.0908452804644197E-4</v>
      </c>
      <c r="H4103" s="3" t="str">
        <f>"TMEM147"</f>
        <v>TMEM147</v>
      </c>
      <c r="I4103" s="3" t="str">
        <f t="shared" si="167"/>
        <v>protein_coding</v>
      </c>
    </row>
    <row r="4104" spans="1:9" x14ac:dyDescent="0.2">
      <c r="A4104" s="3" t="str">
        <f>"ENSG00000126246.10"</f>
        <v>ENSG00000126246.10</v>
      </c>
      <c r="B4104" s="3">
        <v>22.964751131681599</v>
      </c>
      <c r="C4104" s="3">
        <v>-1.9525222148799699</v>
      </c>
      <c r="D4104" s="3">
        <v>0.775727994290488</v>
      </c>
      <c r="E4104" s="3">
        <v>-2.5170191474987602</v>
      </c>
      <c r="F4104" s="3">
        <v>1.1835239709723199E-2</v>
      </c>
      <c r="G4104" s="3">
        <v>4.8487859103922899E-2</v>
      </c>
      <c r="H4104" s="3" t="str">
        <f>"IGFLR1"</f>
        <v>IGFLR1</v>
      </c>
      <c r="I4104" s="3" t="str">
        <f t="shared" si="167"/>
        <v>protein_coding</v>
      </c>
    </row>
    <row r="4105" spans="1:9" x14ac:dyDescent="0.2">
      <c r="A4105" s="3" t="str">
        <f>"ENSG00000250799.9"</f>
        <v>ENSG00000250799.9</v>
      </c>
      <c r="B4105" s="3">
        <v>240.89333411074199</v>
      </c>
      <c r="C4105" s="3">
        <v>-3.1588596455567202</v>
      </c>
      <c r="D4105" s="3">
        <v>0.41793433526051599</v>
      </c>
      <c r="E4105" s="3">
        <v>-7.5582678403000099</v>
      </c>
      <c r="F4105" s="4">
        <v>4.0847227255438101E-14</v>
      </c>
      <c r="G4105" s="4">
        <v>1.3591428592732101E-12</v>
      </c>
      <c r="H4105" s="3" t="str">
        <f>"PRODH2"</f>
        <v>PRODH2</v>
      </c>
      <c r="I4105" s="3" t="str">
        <f t="shared" si="167"/>
        <v>protein_coding</v>
      </c>
    </row>
    <row r="4106" spans="1:9" x14ac:dyDescent="0.2">
      <c r="A4106" s="3" t="str">
        <f>"ENSG00000126259.19"</f>
        <v>ENSG00000126259.19</v>
      </c>
      <c r="B4106" s="3">
        <v>30.4927104953968</v>
      </c>
      <c r="C4106" s="3">
        <v>-2.5866912823701602</v>
      </c>
      <c r="D4106" s="3">
        <v>0.69329111690552503</v>
      </c>
      <c r="E4106" s="3">
        <v>-3.7310319132830401</v>
      </c>
      <c r="F4106" s="3">
        <v>1.9069706249030501E-4</v>
      </c>
      <c r="G4106" s="3">
        <v>1.43364752150138E-3</v>
      </c>
      <c r="H4106" s="3" t="str">
        <f>"KIRREL2"</f>
        <v>KIRREL2</v>
      </c>
      <c r="I4106" s="3" t="str">
        <f t="shared" si="167"/>
        <v>protein_coding</v>
      </c>
    </row>
    <row r="4107" spans="1:9" x14ac:dyDescent="0.2">
      <c r="A4107" s="3" t="str">
        <f>"ENSG00000105290.12"</f>
        <v>ENSG00000105290.12</v>
      </c>
      <c r="B4107" s="3">
        <v>1757.0844945614799</v>
      </c>
      <c r="C4107" s="3">
        <v>6.3933446414228801</v>
      </c>
      <c r="D4107" s="3">
        <v>0.30348123958090401</v>
      </c>
      <c r="E4107" s="3">
        <v>21.066688175690398</v>
      </c>
      <c r="F4107" s="4">
        <v>1.6079156215113601E-98</v>
      </c>
      <c r="G4107" s="4">
        <v>2.5279448411948899E-95</v>
      </c>
      <c r="H4107" s="3" t="str">
        <f>"APLP1"</f>
        <v>APLP1</v>
      </c>
      <c r="I4107" s="3" t="str">
        <f t="shared" si="167"/>
        <v>protein_coding</v>
      </c>
    </row>
    <row r="4108" spans="1:9" x14ac:dyDescent="0.2">
      <c r="A4108" s="3" t="str">
        <f>"ENSG00000167604.14"</f>
        <v>ENSG00000167604.14</v>
      </c>
      <c r="B4108" s="3">
        <v>157.91310280265799</v>
      </c>
      <c r="C4108" s="3">
        <v>-2.8242371226489298</v>
      </c>
      <c r="D4108" s="3">
        <v>0.39786401393134901</v>
      </c>
      <c r="E4108" s="3">
        <v>-7.0984985416053599</v>
      </c>
      <c r="F4108" s="4">
        <v>1.26119518515823E-12</v>
      </c>
      <c r="G4108" s="4">
        <v>3.5969801454257602E-11</v>
      </c>
      <c r="H4108" s="3" t="str">
        <f>"AD000864.1"</f>
        <v>AD000864.1</v>
      </c>
      <c r="I4108" s="3" t="str">
        <f t="shared" si="167"/>
        <v>protein_coding</v>
      </c>
    </row>
    <row r="4109" spans="1:9" x14ac:dyDescent="0.2">
      <c r="A4109" s="3" t="str">
        <f>"ENSG00000126264.9"</f>
        <v>ENSG00000126264.9</v>
      </c>
      <c r="B4109" s="3">
        <v>12.0046756001968</v>
      </c>
      <c r="C4109" s="3">
        <v>-3.0821978291024301</v>
      </c>
      <c r="D4109" s="3">
        <v>1.1152495178508599</v>
      </c>
      <c r="E4109" s="3">
        <v>-2.7636845206102101</v>
      </c>
      <c r="F4109" s="3">
        <v>5.7152767579795203E-3</v>
      </c>
      <c r="G4109" s="3">
        <v>2.64279019939292E-2</v>
      </c>
      <c r="H4109" s="3" t="str">
        <f>"HCST"</f>
        <v>HCST</v>
      </c>
      <c r="I4109" s="3" t="str">
        <f t="shared" si="167"/>
        <v>protein_coding</v>
      </c>
    </row>
    <row r="4110" spans="1:9" x14ac:dyDescent="0.2">
      <c r="A4110" s="3" t="str">
        <f>"ENSG00000075702.18"</f>
        <v>ENSG00000075702.18</v>
      </c>
      <c r="B4110" s="3">
        <v>1491.5280319732501</v>
      </c>
      <c r="C4110" s="3">
        <v>-1.1965221914356601</v>
      </c>
      <c r="D4110" s="3">
        <v>0.311546018838459</v>
      </c>
      <c r="E4110" s="3">
        <v>-3.8405953505574</v>
      </c>
      <c r="F4110" s="3">
        <v>1.2273628714257201E-4</v>
      </c>
      <c r="G4110" s="3">
        <v>9.73032241749574E-4</v>
      </c>
      <c r="H4110" s="3" t="str">
        <f>"WDR62"</f>
        <v>WDR62</v>
      </c>
      <c r="I4110" s="3" t="str">
        <f t="shared" si="167"/>
        <v>protein_coding</v>
      </c>
    </row>
    <row r="4111" spans="1:9" x14ac:dyDescent="0.2">
      <c r="A4111" s="3" t="str">
        <f>"ENSG00000105254.12"</f>
        <v>ENSG00000105254.12</v>
      </c>
      <c r="B4111" s="3">
        <v>1309.15422062892</v>
      </c>
      <c r="C4111" s="3">
        <v>-1.22029255299877</v>
      </c>
      <c r="D4111" s="3">
        <v>0.30719325520164598</v>
      </c>
      <c r="E4111" s="3">
        <v>-3.97239370440523</v>
      </c>
      <c r="F4111" s="4">
        <v>7.1153990295419901E-5</v>
      </c>
      <c r="G4111" s="3">
        <v>6.0063041136956005E-4</v>
      </c>
      <c r="H4111" s="3" t="str">
        <f>"TBCB"</f>
        <v>TBCB</v>
      </c>
      <c r="I4111" s="3" t="str">
        <f t="shared" si="167"/>
        <v>protein_coding</v>
      </c>
    </row>
    <row r="4112" spans="1:9" x14ac:dyDescent="0.2">
      <c r="A4112" s="3" t="str">
        <f>"ENSG00000186020.13"</f>
        <v>ENSG00000186020.13</v>
      </c>
      <c r="B4112" s="3">
        <v>699.37757675867101</v>
      </c>
      <c r="C4112" s="3">
        <v>-1.0605285762200301</v>
      </c>
      <c r="D4112" s="3">
        <v>0.26228491587649</v>
      </c>
      <c r="E4112" s="3">
        <v>-4.0434219126784798</v>
      </c>
      <c r="F4112" s="4">
        <v>5.2676705344241397E-5</v>
      </c>
      <c r="G4112" s="3">
        <v>4.60098098241108E-4</v>
      </c>
      <c r="H4112" s="3" t="str">
        <f>"ZNF529"</f>
        <v>ZNF529</v>
      </c>
      <c r="I4112" s="3" t="str">
        <f t="shared" si="167"/>
        <v>protein_coding</v>
      </c>
    </row>
    <row r="4113" spans="1:9" x14ac:dyDescent="0.2">
      <c r="A4113" s="3" t="str">
        <f>"ENSG00000185869.14"</f>
        <v>ENSG00000185869.14</v>
      </c>
      <c r="B4113" s="3">
        <v>57.250216889502198</v>
      </c>
      <c r="C4113" s="3">
        <v>-1.7348470148667501</v>
      </c>
      <c r="D4113" s="3">
        <v>0.54760536170873397</v>
      </c>
      <c r="E4113" s="3">
        <v>-3.1680606805115699</v>
      </c>
      <c r="F4113" s="3">
        <v>1.5345948663003899E-3</v>
      </c>
      <c r="G4113" s="3">
        <v>8.7873284456604708E-3</v>
      </c>
      <c r="H4113" s="3" t="str">
        <f>"ZNF829"</f>
        <v>ZNF829</v>
      </c>
      <c r="I4113" s="3" t="str">
        <f t="shared" si="167"/>
        <v>protein_coding</v>
      </c>
    </row>
    <row r="4114" spans="1:9" x14ac:dyDescent="0.2">
      <c r="A4114" s="3" t="str">
        <f>"ENSG00000188283.11"</f>
        <v>ENSG00000188283.11</v>
      </c>
      <c r="B4114" s="3">
        <v>394.63362809846399</v>
      </c>
      <c r="C4114" s="3">
        <v>1.44379222577191</v>
      </c>
      <c r="D4114" s="3">
        <v>0.31707671661243902</v>
      </c>
      <c r="E4114" s="3">
        <v>4.5534476362597402</v>
      </c>
      <c r="F4114" s="4">
        <v>5.27738121361958E-6</v>
      </c>
      <c r="G4114" s="4">
        <v>5.7593286086160799E-5</v>
      </c>
      <c r="H4114" s="3" t="str">
        <f>"ZNF383"</f>
        <v>ZNF383</v>
      </c>
      <c r="I4114" s="3" t="str">
        <f t="shared" si="167"/>
        <v>protein_coding</v>
      </c>
    </row>
    <row r="4115" spans="1:9" x14ac:dyDescent="0.2">
      <c r="A4115" s="3" t="str">
        <f>"ENSG00000171817.17"</f>
        <v>ENSG00000171817.17</v>
      </c>
      <c r="B4115" s="3">
        <v>103.94979031182601</v>
      </c>
      <c r="C4115" s="3">
        <v>4.14791493200799</v>
      </c>
      <c r="D4115" s="3">
        <v>0.52579969677938698</v>
      </c>
      <c r="E4115" s="3">
        <v>7.8887739141248598</v>
      </c>
      <c r="F4115" s="4">
        <v>3.0516979843785001E-15</v>
      </c>
      <c r="G4115" s="4">
        <v>1.135583769187E-13</v>
      </c>
      <c r="H4115" s="3" t="str">
        <f>"ZNF540"</f>
        <v>ZNF540</v>
      </c>
      <c r="I4115" s="3" t="str">
        <f t="shared" si="167"/>
        <v>protein_coding</v>
      </c>
    </row>
    <row r="4116" spans="1:9" x14ac:dyDescent="0.2">
      <c r="A4116" s="3" t="str">
        <f>"ENSG00000167641.11"</f>
        <v>ENSG00000167641.11</v>
      </c>
      <c r="B4116" s="3">
        <v>28.245378270765901</v>
      </c>
      <c r="C4116" s="3">
        <v>5.3042675536395603</v>
      </c>
      <c r="D4116" s="3">
        <v>1.0510600560899599</v>
      </c>
      <c r="E4116" s="3">
        <v>5.0465884636239702</v>
      </c>
      <c r="F4116" s="4">
        <v>4.4976869150855001E-7</v>
      </c>
      <c r="G4116" s="4">
        <v>6.01804863558381E-6</v>
      </c>
      <c r="H4116" s="3" t="str">
        <f>"PPP1R14A"</f>
        <v>PPP1R14A</v>
      </c>
      <c r="I4116" s="3" t="str">
        <f t="shared" si="167"/>
        <v>protein_coding</v>
      </c>
    </row>
    <row r="4117" spans="1:9" x14ac:dyDescent="0.2">
      <c r="A4117" s="3" t="str">
        <f>"ENSG00000099338.23"</f>
        <v>ENSG00000099338.23</v>
      </c>
      <c r="B4117" s="3">
        <v>135.12194893794401</v>
      </c>
      <c r="C4117" s="3">
        <v>3.1571491102648102</v>
      </c>
      <c r="D4117" s="3">
        <v>0.399239361115936</v>
      </c>
      <c r="E4117" s="3">
        <v>7.9079104360854702</v>
      </c>
      <c r="F4117" s="4">
        <v>2.6174500809799099E-15</v>
      </c>
      <c r="G4117" s="4">
        <v>9.8271577294103799E-14</v>
      </c>
      <c r="H4117" s="3" t="str">
        <f>"CATSPERG"</f>
        <v>CATSPERG</v>
      </c>
      <c r="I4117" s="3" t="str">
        <f t="shared" si="167"/>
        <v>protein_coding</v>
      </c>
    </row>
    <row r="4118" spans="1:9" x14ac:dyDescent="0.2">
      <c r="A4118" s="3" t="str">
        <f>"ENSG00000130244.12"</f>
        <v>ENSG00000130244.12</v>
      </c>
      <c r="B4118" s="3">
        <v>358.87584473074702</v>
      </c>
      <c r="C4118" s="3">
        <v>2.71229889879395</v>
      </c>
      <c r="D4118" s="3">
        <v>0.37830151588303101</v>
      </c>
      <c r="E4118" s="3">
        <v>7.1696749415949403</v>
      </c>
      <c r="F4118" s="4">
        <v>7.5176048359588199E-13</v>
      </c>
      <c r="G4118" s="4">
        <v>2.1937975597278901E-11</v>
      </c>
      <c r="H4118" s="3" t="str">
        <f>"FAM98C"</f>
        <v>FAM98C</v>
      </c>
      <c r="I4118" s="3" t="str">
        <f t="shared" si="167"/>
        <v>protein_coding</v>
      </c>
    </row>
    <row r="4119" spans="1:9" x14ac:dyDescent="0.2">
      <c r="A4119" s="3" t="str">
        <f>"ENSG00000196218.12"</f>
        <v>ENSG00000196218.12</v>
      </c>
      <c r="B4119" s="3">
        <v>44.8133504141976</v>
      </c>
      <c r="C4119" s="3">
        <v>1.6033435557733799</v>
      </c>
      <c r="D4119" s="3">
        <v>0.54084538998447296</v>
      </c>
      <c r="E4119" s="3">
        <v>2.9645136770407001</v>
      </c>
      <c r="F4119" s="3">
        <v>3.0316176657766299E-3</v>
      </c>
      <c r="G4119" s="3">
        <v>1.55569853901696E-2</v>
      </c>
      <c r="H4119" s="3" t="str">
        <f>"RYR1"</f>
        <v>RYR1</v>
      </c>
      <c r="I4119" s="3" t="str">
        <f t="shared" si="167"/>
        <v>protein_coding</v>
      </c>
    </row>
    <row r="4120" spans="1:9" x14ac:dyDescent="0.2">
      <c r="A4120" s="3" t="str">
        <f>"ENSG00000182472.8"</f>
        <v>ENSG00000182472.8</v>
      </c>
      <c r="B4120" s="3">
        <v>85.025625535577404</v>
      </c>
      <c r="C4120" s="3">
        <v>-1.16976970667179</v>
      </c>
      <c r="D4120" s="3">
        <v>0.45541391108949097</v>
      </c>
      <c r="E4120" s="3">
        <v>-2.5685858033483</v>
      </c>
      <c r="F4120" s="3">
        <v>1.0211442881479999E-2</v>
      </c>
      <c r="G4120" s="3">
        <v>4.3026607317190997E-2</v>
      </c>
      <c r="H4120" s="3" t="str">
        <f>"CAPN12"</f>
        <v>CAPN12</v>
      </c>
      <c r="I4120" s="3" t="str">
        <f t="shared" si="167"/>
        <v>protein_coding</v>
      </c>
    </row>
    <row r="4121" spans="1:9" x14ac:dyDescent="0.2">
      <c r="A4121" s="3" t="str">
        <f>"ENSG00000205076.4"</f>
        <v>ENSG00000205076.4</v>
      </c>
      <c r="B4121" s="3">
        <v>35.750788636970299</v>
      </c>
      <c r="C4121" s="3">
        <v>5.1854850378222803</v>
      </c>
      <c r="D4121" s="3">
        <v>0.91438838546918799</v>
      </c>
      <c r="E4121" s="3">
        <v>5.6709874274720997</v>
      </c>
      <c r="F4121" s="4">
        <v>1.4197681835438899E-8</v>
      </c>
      <c r="G4121" s="4">
        <v>2.44953831666987E-7</v>
      </c>
      <c r="H4121" s="3" t="str">
        <f>"LGALS7"</f>
        <v>LGALS7</v>
      </c>
      <c r="I4121" s="3" t="str">
        <f t="shared" si="167"/>
        <v>protein_coding</v>
      </c>
    </row>
    <row r="4122" spans="1:9" x14ac:dyDescent="0.2">
      <c r="A4122" s="3" t="str">
        <f>"ENSG00000178934.4"</f>
        <v>ENSG00000178934.4</v>
      </c>
      <c r="B4122" s="3">
        <v>333.06415100832498</v>
      </c>
      <c r="C4122" s="3">
        <v>5.2069223748978599</v>
      </c>
      <c r="D4122" s="3">
        <v>0.38631335028660102</v>
      </c>
      <c r="E4122" s="3">
        <v>13.4784945201477</v>
      </c>
      <c r="F4122" s="4">
        <v>2.0933466546133099E-41</v>
      </c>
      <c r="G4122" s="4">
        <v>3.7883550429351002E-39</v>
      </c>
      <c r="H4122" s="3" t="str">
        <f>"LGALS7B"</f>
        <v>LGALS7B</v>
      </c>
      <c r="I4122" s="3" t="str">
        <f t="shared" si="167"/>
        <v>protein_coding</v>
      </c>
    </row>
    <row r="4123" spans="1:9" x14ac:dyDescent="0.2">
      <c r="A4123" s="3" t="str">
        <f>"ENSG00000187994.14"</f>
        <v>ENSG00000187994.14</v>
      </c>
      <c r="B4123" s="3">
        <v>1105.9349673978099</v>
      </c>
      <c r="C4123" s="3">
        <v>2.7105276944845298</v>
      </c>
      <c r="D4123" s="3">
        <v>0.30996499583141901</v>
      </c>
      <c r="E4123" s="3">
        <v>8.7446251381195097</v>
      </c>
      <c r="F4123" s="4">
        <v>2.2375726839409301E-18</v>
      </c>
      <c r="G4123" s="4">
        <v>1.07621684253411E-16</v>
      </c>
      <c r="H4123" s="3" t="str">
        <f>"RINL"</f>
        <v>RINL</v>
      </c>
      <c r="I4123" s="3" t="str">
        <f t="shared" si="167"/>
        <v>protein_coding</v>
      </c>
    </row>
    <row r="4124" spans="1:9" x14ac:dyDescent="0.2">
      <c r="A4124" s="3" t="str">
        <f>"ENSG00000269190.6"</f>
        <v>ENSG00000269190.6</v>
      </c>
      <c r="B4124" s="3">
        <v>497.96485220252799</v>
      </c>
      <c r="C4124" s="3">
        <v>-1.0683246159786699</v>
      </c>
      <c r="D4124" s="3">
        <v>0.33379351003371899</v>
      </c>
      <c r="E4124" s="3">
        <v>-3.2005553848867501</v>
      </c>
      <c r="F4124" s="3">
        <v>1.3716300546711699E-3</v>
      </c>
      <c r="G4124" s="3">
        <v>7.9776541098851503E-3</v>
      </c>
      <c r="H4124" s="3" t="str">
        <f>"FBXO17"</f>
        <v>FBXO17</v>
      </c>
      <c r="I4124" s="3" t="str">
        <f t="shared" si="167"/>
        <v>protein_coding</v>
      </c>
    </row>
    <row r="4125" spans="1:9" x14ac:dyDescent="0.2">
      <c r="A4125" s="3" t="str">
        <f>"ENSG00000128011.4"</f>
        <v>ENSG00000128011.4</v>
      </c>
      <c r="B4125" s="3">
        <v>37.730765630762797</v>
      </c>
      <c r="C4125" s="3">
        <v>-1.7148247329795101</v>
      </c>
      <c r="D4125" s="3">
        <v>0.63742098790134005</v>
      </c>
      <c r="E4125" s="3">
        <v>-2.69025458139595</v>
      </c>
      <c r="F4125" s="3">
        <v>7.1397528789150502E-3</v>
      </c>
      <c r="G4125" s="3">
        <v>3.1793323361499003E-2</v>
      </c>
      <c r="H4125" s="3" t="str">
        <f>"LRFN1"</f>
        <v>LRFN1</v>
      </c>
      <c r="I4125" s="3" t="str">
        <f t="shared" si="167"/>
        <v>protein_coding</v>
      </c>
    </row>
    <row r="4126" spans="1:9" x14ac:dyDescent="0.2">
      <c r="A4126" s="3" t="str">
        <f>"ENSG00000090924.15"</f>
        <v>ENSG00000090924.15</v>
      </c>
      <c r="B4126" s="3">
        <v>1411.2848527537899</v>
      </c>
      <c r="C4126" s="3">
        <v>-1.32452263804406</v>
      </c>
      <c r="D4126" s="3">
        <v>0.29738982875227599</v>
      </c>
      <c r="E4126" s="3">
        <v>-4.45382629123936</v>
      </c>
      <c r="F4126" s="4">
        <v>8.4353355447575707E-6</v>
      </c>
      <c r="G4126" s="4">
        <v>8.8119130244342493E-5</v>
      </c>
      <c r="H4126" s="3" t="str">
        <f>"PLEKHG2"</f>
        <v>PLEKHG2</v>
      </c>
      <c r="I4126" s="3" t="str">
        <f t="shared" si="167"/>
        <v>protein_coding</v>
      </c>
    </row>
    <row r="4127" spans="1:9" x14ac:dyDescent="0.2">
      <c r="A4127" s="3" t="str">
        <f>"ENSG00000176401.5"</f>
        <v>ENSG00000176401.5</v>
      </c>
      <c r="B4127" s="3">
        <v>202.83720785147099</v>
      </c>
      <c r="C4127" s="3">
        <v>1.1600335266017201</v>
      </c>
      <c r="D4127" s="3">
        <v>0.33461662345605298</v>
      </c>
      <c r="E4127" s="3">
        <v>3.4667540262059799</v>
      </c>
      <c r="F4127" s="3">
        <v>5.2678371006464495E-4</v>
      </c>
      <c r="G4127" s="3">
        <v>3.4982165329134501E-3</v>
      </c>
      <c r="H4127" s="3" t="str">
        <f>"EID2B"</f>
        <v>EID2B</v>
      </c>
      <c r="I4127" s="3" t="str">
        <f t="shared" si="167"/>
        <v>protein_coding</v>
      </c>
    </row>
    <row r="4128" spans="1:9" x14ac:dyDescent="0.2">
      <c r="A4128" s="3" t="str">
        <f>"ENSG00000105202.9"</f>
        <v>ENSG00000105202.9</v>
      </c>
      <c r="B4128" s="3">
        <v>3513.42618359479</v>
      </c>
      <c r="C4128" s="3">
        <v>-1.14321124601346</v>
      </c>
      <c r="D4128" s="3">
        <v>0.28344425478203</v>
      </c>
      <c r="E4128" s="3">
        <v>-4.0332842409968501</v>
      </c>
      <c r="F4128" s="4">
        <v>5.5002682065638303E-5</v>
      </c>
      <c r="G4128" s="3">
        <v>4.7825526006260998E-4</v>
      </c>
      <c r="H4128" s="3" t="str">
        <f>"FBL"</f>
        <v>FBL</v>
      </c>
      <c r="I4128" s="3" t="str">
        <f t="shared" si="167"/>
        <v>protein_coding</v>
      </c>
    </row>
    <row r="4129" spans="1:9" x14ac:dyDescent="0.2">
      <c r="A4129" s="3" t="str">
        <f>"ENSG00000275395.5"</f>
        <v>ENSG00000275395.5</v>
      </c>
      <c r="B4129" s="3">
        <v>874.79689470116796</v>
      </c>
      <c r="C4129" s="3">
        <v>1.1618762427932401</v>
      </c>
      <c r="D4129" s="3">
        <v>0.281043670197544</v>
      </c>
      <c r="E4129" s="3">
        <v>4.1341484117986598</v>
      </c>
      <c r="F4129" s="4">
        <v>3.5627320220527398E-5</v>
      </c>
      <c r="G4129" s="3">
        <v>3.2353979788713599E-4</v>
      </c>
      <c r="H4129" s="3" t="str">
        <f>"FCGBP"</f>
        <v>FCGBP</v>
      </c>
      <c r="I4129" s="3" t="str">
        <f t="shared" si="167"/>
        <v>protein_coding</v>
      </c>
    </row>
    <row r="4130" spans="1:9" x14ac:dyDescent="0.2">
      <c r="A4130" s="3" t="str">
        <f>"ENSG00000279759.1"</f>
        <v>ENSG00000279759.1</v>
      </c>
      <c r="B4130" s="3">
        <v>170.93330582410201</v>
      </c>
      <c r="C4130" s="3">
        <v>1.04492171322691</v>
      </c>
      <c r="D4130" s="3">
        <v>0.34602253415193701</v>
      </c>
      <c r="E4130" s="3">
        <v>3.0198082786368201</v>
      </c>
      <c r="F4130" s="3">
        <v>2.52934739561135E-3</v>
      </c>
      <c r="G4130" s="3">
        <v>1.3338728246667399E-2</v>
      </c>
      <c r="H4130" s="3" t="str">
        <f>"AC118344.2"</f>
        <v>AC118344.2</v>
      </c>
      <c r="I4130" s="3" t="str">
        <f>"TEC"</f>
        <v>TEC</v>
      </c>
    </row>
    <row r="4131" spans="1:9" x14ac:dyDescent="0.2">
      <c r="A4131" s="3" t="str">
        <f>"ENSG00000197019.5"</f>
        <v>ENSG00000197019.5</v>
      </c>
      <c r="B4131" s="3">
        <v>427.39135815742998</v>
      </c>
      <c r="C4131" s="3">
        <v>1.3773997345733699</v>
      </c>
      <c r="D4131" s="3">
        <v>0.305268884515977</v>
      </c>
      <c r="E4131" s="3">
        <v>4.51208689925057</v>
      </c>
      <c r="F4131" s="4">
        <v>6.4192876103201398E-6</v>
      </c>
      <c r="G4131" s="4">
        <v>6.8889581841980802E-5</v>
      </c>
      <c r="H4131" s="3" t="str">
        <f>"SERTAD1"</f>
        <v>SERTAD1</v>
      </c>
      <c r="I4131" s="3" t="str">
        <f t="shared" ref="I4131:I4138" si="168">"protein_coding"</f>
        <v>protein_coding</v>
      </c>
    </row>
    <row r="4132" spans="1:9" x14ac:dyDescent="0.2">
      <c r="A4132" s="3" t="str">
        <f>"ENSG00000090013.10"</f>
        <v>ENSG00000090013.10</v>
      </c>
      <c r="B4132" s="3">
        <v>948.41770747987903</v>
      </c>
      <c r="C4132" s="3">
        <v>2.38890735371983</v>
      </c>
      <c r="D4132" s="3">
        <v>0.32851569963002097</v>
      </c>
      <c r="E4132" s="3">
        <v>7.2718209705358099</v>
      </c>
      <c r="F4132" s="4">
        <v>3.5467345806620299E-13</v>
      </c>
      <c r="G4132" s="4">
        <v>1.08405964005533E-11</v>
      </c>
      <c r="H4132" s="3" t="str">
        <f>"BLVRB"</f>
        <v>BLVRB</v>
      </c>
      <c r="I4132" s="3" t="str">
        <f t="shared" si="168"/>
        <v>protein_coding</v>
      </c>
    </row>
    <row r="4133" spans="1:9" x14ac:dyDescent="0.2">
      <c r="A4133" s="3" t="str">
        <f>"ENSG00000160460.16"</f>
        <v>ENSG00000160460.16</v>
      </c>
      <c r="B4133" s="3">
        <v>53.945686994436997</v>
      </c>
      <c r="C4133" s="3">
        <v>2.1343088860512598</v>
      </c>
      <c r="D4133" s="3">
        <v>0.51903960114972103</v>
      </c>
      <c r="E4133" s="3">
        <v>4.1120347682981704</v>
      </c>
      <c r="F4133" s="4">
        <v>3.9218721821358303E-5</v>
      </c>
      <c r="G4133" s="3">
        <v>3.5233819550581E-4</v>
      </c>
      <c r="H4133" s="3" t="str">
        <f>"SPTBN4"</f>
        <v>SPTBN4</v>
      </c>
      <c r="I4133" s="3" t="str">
        <f t="shared" si="168"/>
        <v>protein_coding</v>
      </c>
    </row>
    <row r="4134" spans="1:9" x14ac:dyDescent="0.2">
      <c r="A4134" s="3" t="str">
        <f>"ENSG00000086544.3"</f>
        <v>ENSG00000086544.3</v>
      </c>
      <c r="B4134" s="3">
        <v>928.94035689656596</v>
      </c>
      <c r="C4134" s="3">
        <v>1.8535328380734599</v>
      </c>
      <c r="D4134" s="3">
        <v>0.31974433971357302</v>
      </c>
      <c r="E4134" s="3">
        <v>5.7969215021409104</v>
      </c>
      <c r="F4134" s="4">
        <v>6.7543286276893203E-9</v>
      </c>
      <c r="G4134" s="4">
        <v>1.2241004079936999E-7</v>
      </c>
      <c r="H4134" s="3" t="str">
        <f>"ITPKC"</f>
        <v>ITPKC</v>
      </c>
      <c r="I4134" s="3" t="str">
        <f t="shared" si="168"/>
        <v>protein_coding</v>
      </c>
    </row>
    <row r="4135" spans="1:9" x14ac:dyDescent="0.2">
      <c r="A4135" s="3" t="str">
        <f>"ENSG00000197408.10"</f>
        <v>ENSG00000197408.10</v>
      </c>
      <c r="B4135" s="3">
        <v>66.270341384720894</v>
      </c>
      <c r="C4135" s="3">
        <v>-4.0242136027338802</v>
      </c>
      <c r="D4135" s="3">
        <v>0.59550357698947198</v>
      </c>
      <c r="E4135" s="3">
        <v>-6.7576648709282603</v>
      </c>
      <c r="F4135" s="4">
        <v>1.40233427855785E-11</v>
      </c>
      <c r="G4135" s="4">
        <v>3.5488650681209898E-10</v>
      </c>
      <c r="H4135" s="3" t="str">
        <f>"CYP2B6"</f>
        <v>CYP2B6</v>
      </c>
      <c r="I4135" s="3" t="str">
        <f t="shared" si="168"/>
        <v>protein_coding</v>
      </c>
    </row>
    <row r="4136" spans="1:9" x14ac:dyDescent="0.2">
      <c r="A4136" s="3" t="str">
        <f>"ENSG00000167601.12"</f>
        <v>ENSG00000167601.12</v>
      </c>
      <c r="B4136" s="3">
        <v>2317.7520144581299</v>
      </c>
      <c r="C4136" s="3">
        <v>3.7172732039551302</v>
      </c>
      <c r="D4136" s="3">
        <v>0.31233208198495799</v>
      </c>
      <c r="E4136" s="3">
        <v>11.901669467737101</v>
      </c>
      <c r="F4136" s="4">
        <v>1.1600297813586399E-32</v>
      </c>
      <c r="G4136" s="4">
        <v>1.32638859773076E-30</v>
      </c>
      <c r="H4136" s="3" t="str">
        <f>"AXL"</f>
        <v>AXL</v>
      </c>
      <c r="I4136" s="3" t="str">
        <f t="shared" si="168"/>
        <v>protein_coding</v>
      </c>
    </row>
    <row r="4137" spans="1:9" x14ac:dyDescent="0.2">
      <c r="A4137" s="3" t="str">
        <f>"ENSG00000142046.15"</f>
        <v>ENSG00000142046.15</v>
      </c>
      <c r="B4137" s="3">
        <v>182.97193128158099</v>
      </c>
      <c r="C4137" s="3">
        <v>1.4414826668037299</v>
      </c>
      <c r="D4137" s="3">
        <v>0.384942979945046</v>
      </c>
      <c r="E4137" s="3">
        <v>3.74466542294007</v>
      </c>
      <c r="F4137" s="3">
        <v>1.8063432988601899E-4</v>
      </c>
      <c r="G4137" s="3">
        <v>1.3632797493764201E-3</v>
      </c>
      <c r="H4137" s="3" t="str">
        <f>"TMEM91"</f>
        <v>TMEM91</v>
      </c>
      <c r="I4137" s="3" t="str">
        <f t="shared" si="168"/>
        <v>protein_coding</v>
      </c>
    </row>
    <row r="4138" spans="1:9" x14ac:dyDescent="0.2">
      <c r="A4138" s="3" t="str">
        <f>"ENSG00000028277.21"</f>
        <v>ENSG00000028277.21</v>
      </c>
      <c r="B4138" s="3">
        <v>51.447490331356498</v>
      </c>
      <c r="C4138" s="3">
        <v>2.2872508081884102</v>
      </c>
      <c r="D4138" s="3">
        <v>0.528487912072795</v>
      </c>
      <c r="E4138" s="3">
        <v>4.32791508743792</v>
      </c>
      <c r="F4138" s="4">
        <v>1.50527476563795E-5</v>
      </c>
      <c r="G4138" s="3">
        <v>1.4808442209473101E-4</v>
      </c>
      <c r="H4138" s="3" t="str">
        <f>"POU2F2"</f>
        <v>POU2F2</v>
      </c>
      <c r="I4138" s="3" t="str">
        <f t="shared" si="168"/>
        <v>protein_coding</v>
      </c>
    </row>
    <row r="4139" spans="1:9" x14ac:dyDescent="0.2">
      <c r="A4139" s="3" t="str">
        <f>"ENSG00000279539.1"</f>
        <v>ENSG00000279539.1</v>
      </c>
      <c r="B4139" s="3">
        <v>91.995128216644503</v>
      </c>
      <c r="C4139" s="3">
        <v>1.5129415895188001</v>
      </c>
      <c r="D4139" s="3">
        <v>0.42027705371705398</v>
      </c>
      <c r="E4139" s="3">
        <v>3.5998672212482301</v>
      </c>
      <c r="F4139" s="3">
        <v>3.1837971430637499E-4</v>
      </c>
      <c r="G4139" s="3">
        <v>2.2611072030990602E-3</v>
      </c>
      <c r="H4139" s="3" t="str">
        <f>"AC006486.2"</f>
        <v>AC006486.2</v>
      </c>
      <c r="I4139" s="3" t="str">
        <f>"TEC"</f>
        <v>TEC</v>
      </c>
    </row>
    <row r="4140" spans="1:9" x14ac:dyDescent="0.2">
      <c r="A4140" s="3" t="str">
        <f>"ENSG00000105722.10"</f>
        <v>ENSG00000105722.10</v>
      </c>
      <c r="B4140" s="3">
        <v>3012.2569051013502</v>
      </c>
      <c r="C4140" s="3">
        <v>-1.2053253028430699</v>
      </c>
      <c r="D4140" s="3">
        <v>0.29220256620375601</v>
      </c>
      <c r="E4140" s="3">
        <v>-4.1249648095239104</v>
      </c>
      <c r="F4140" s="4">
        <v>3.7079144617304299E-5</v>
      </c>
      <c r="G4140" s="3">
        <v>3.3479033842365001E-4</v>
      </c>
      <c r="H4140" s="3" t="str">
        <f>"ERF"</f>
        <v>ERF</v>
      </c>
      <c r="I4140" s="3" t="str">
        <f t="shared" ref="I4140:I4158" si="169">"protein_coding"</f>
        <v>protein_coding</v>
      </c>
    </row>
    <row r="4141" spans="1:9" x14ac:dyDescent="0.2">
      <c r="A4141" s="3" t="str">
        <f>"ENSG00000079462.7"</f>
        <v>ENSG00000079462.7</v>
      </c>
      <c r="B4141" s="3">
        <v>614.32468763480097</v>
      </c>
      <c r="C4141" s="3">
        <v>-1.37844627378421</v>
      </c>
      <c r="D4141" s="3">
        <v>0.33240363183063698</v>
      </c>
      <c r="E4141" s="3">
        <v>-4.1469049727066203</v>
      </c>
      <c r="F4141" s="4">
        <v>3.3699984754754903E-5</v>
      </c>
      <c r="G4141" s="3">
        <v>3.0812461819400099E-4</v>
      </c>
      <c r="H4141" s="3" t="str">
        <f>"PAFAH1B3"</f>
        <v>PAFAH1B3</v>
      </c>
      <c r="I4141" s="3" t="str">
        <f t="shared" si="169"/>
        <v>protein_coding</v>
      </c>
    </row>
    <row r="4142" spans="1:9" x14ac:dyDescent="0.2">
      <c r="A4142" s="3" t="str">
        <f>"ENSG00000188368.9"</f>
        <v>ENSG00000188368.9</v>
      </c>
      <c r="B4142" s="3">
        <v>29.812943536453499</v>
      </c>
      <c r="C4142" s="3">
        <v>-1.78881337158877</v>
      </c>
      <c r="D4142" s="3">
        <v>0.65903487060280797</v>
      </c>
      <c r="E4142" s="3">
        <v>-2.7142924470029501</v>
      </c>
      <c r="F4142" s="3">
        <v>6.6417504784038496E-3</v>
      </c>
      <c r="G4142" s="3">
        <v>2.9936074768724098E-2</v>
      </c>
      <c r="H4142" s="3" t="str">
        <f>"PRR19"</f>
        <v>PRR19</v>
      </c>
      <c r="I4142" s="3" t="str">
        <f t="shared" si="169"/>
        <v>protein_coding</v>
      </c>
    </row>
    <row r="4143" spans="1:9" x14ac:dyDescent="0.2">
      <c r="A4143" s="3" t="str">
        <f>"ENSG00000176531.10"</f>
        <v>ENSG00000176531.10</v>
      </c>
      <c r="B4143" s="3">
        <v>1606.93877305814</v>
      </c>
      <c r="C4143" s="3">
        <v>1.90388338705643</v>
      </c>
      <c r="D4143" s="3">
        <v>0.29369512415363602</v>
      </c>
      <c r="E4143" s="3">
        <v>6.4825161552919699</v>
      </c>
      <c r="F4143" s="4">
        <v>9.0205421850726804E-11</v>
      </c>
      <c r="G4143" s="4">
        <v>2.08558583332264E-9</v>
      </c>
      <c r="H4143" s="3" t="str">
        <f>"PHLDB3"</f>
        <v>PHLDB3</v>
      </c>
      <c r="I4143" s="3" t="str">
        <f t="shared" si="169"/>
        <v>protein_coding</v>
      </c>
    </row>
    <row r="4144" spans="1:9" x14ac:dyDescent="0.2">
      <c r="A4144" s="3" t="str">
        <f>"ENSG00000105755.8"</f>
        <v>ENSG00000105755.8</v>
      </c>
      <c r="B4144" s="3">
        <v>552.51842310109498</v>
      </c>
      <c r="C4144" s="3">
        <v>1.10613274735889</v>
      </c>
      <c r="D4144" s="3">
        <v>0.287077874298032</v>
      </c>
      <c r="E4144" s="3">
        <v>3.8530755811942301</v>
      </c>
      <c r="F4144" s="3">
        <v>1.1664336517506501E-4</v>
      </c>
      <c r="G4144" s="3">
        <v>9.3000439016759095E-4</v>
      </c>
      <c r="H4144" s="3" t="str">
        <f>"ETHE1"</f>
        <v>ETHE1</v>
      </c>
      <c r="I4144" s="3" t="str">
        <f t="shared" si="169"/>
        <v>protein_coding</v>
      </c>
    </row>
    <row r="4145" spans="1:9" x14ac:dyDescent="0.2">
      <c r="A4145" s="3" t="str">
        <f>"ENSG00000105767.3"</f>
        <v>ENSG00000105767.3</v>
      </c>
      <c r="B4145" s="3">
        <v>744.02493334730502</v>
      </c>
      <c r="C4145" s="3">
        <v>1.0283901505824899</v>
      </c>
      <c r="D4145" s="3">
        <v>0.31520830303347203</v>
      </c>
      <c r="E4145" s="3">
        <v>3.2625731641126201</v>
      </c>
      <c r="F4145" s="3">
        <v>1.10405669765204E-3</v>
      </c>
      <c r="G4145" s="3">
        <v>6.6362117633063699E-3</v>
      </c>
      <c r="H4145" s="3" t="str">
        <f>"CADM4"</f>
        <v>CADM4</v>
      </c>
      <c r="I4145" s="3" t="str">
        <f t="shared" si="169"/>
        <v>protein_coding</v>
      </c>
    </row>
    <row r="4146" spans="1:9" x14ac:dyDescent="0.2">
      <c r="A4146" s="3" t="str">
        <f>"ENSG00000011422.12"</f>
        <v>ENSG00000011422.12</v>
      </c>
      <c r="B4146" s="3">
        <v>59.749446446901402</v>
      </c>
      <c r="C4146" s="3">
        <v>-2.3671410175226799</v>
      </c>
      <c r="D4146" s="3">
        <v>0.54179458586171303</v>
      </c>
      <c r="E4146" s="3">
        <v>-4.3690746996996896</v>
      </c>
      <c r="F4146" s="4">
        <v>1.24774084441095E-5</v>
      </c>
      <c r="G4146" s="3">
        <v>1.24600718305508E-4</v>
      </c>
      <c r="H4146" s="3" t="str">
        <f>"PLAUR"</f>
        <v>PLAUR</v>
      </c>
      <c r="I4146" s="3" t="str">
        <f t="shared" si="169"/>
        <v>protein_coding</v>
      </c>
    </row>
    <row r="4147" spans="1:9" x14ac:dyDescent="0.2">
      <c r="A4147" s="3" t="str">
        <f>"ENSG00000104783.13"</f>
        <v>ENSG00000104783.13</v>
      </c>
      <c r="B4147" s="3">
        <v>25.680946176345699</v>
      </c>
      <c r="C4147" s="3">
        <v>4.1264420916719002</v>
      </c>
      <c r="D4147" s="3">
        <v>0.88940576788038705</v>
      </c>
      <c r="E4147" s="3">
        <v>4.63954950675208</v>
      </c>
      <c r="F4147" s="4">
        <v>3.4916948521701201E-6</v>
      </c>
      <c r="G4147" s="4">
        <v>3.9475768092736797E-5</v>
      </c>
      <c r="H4147" s="3" t="str">
        <f>"KCNN4"</f>
        <v>KCNN4</v>
      </c>
      <c r="I4147" s="3" t="str">
        <f t="shared" si="169"/>
        <v>protein_coding</v>
      </c>
    </row>
    <row r="4148" spans="1:9" x14ac:dyDescent="0.2">
      <c r="A4148" s="3" t="str">
        <f>"ENSG00000124459.12"</f>
        <v>ENSG00000124459.12</v>
      </c>
      <c r="B4148" s="3">
        <v>357.07360621002101</v>
      </c>
      <c r="C4148" s="3">
        <v>-1.1917692973910601</v>
      </c>
      <c r="D4148" s="3">
        <v>0.29999468349014702</v>
      </c>
      <c r="E4148" s="3">
        <v>-3.97263472647577</v>
      </c>
      <c r="F4148" s="4">
        <v>7.1082008166808695E-5</v>
      </c>
      <c r="G4148" s="3">
        <v>6.0036031079870403E-4</v>
      </c>
      <c r="H4148" s="3" t="str">
        <f>"ZNF45"</f>
        <v>ZNF45</v>
      </c>
      <c r="I4148" s="3" t="str">
        <f t="shared" si="169"/>
        <v>protein_coding</v>
      </c>
    </row>
    <row r="4149" spans="1:9" x14ac:dyDescent="0.2">
      <c r="A4149" s="3" t="str">
        <f>"ENSG00000159882.13"</f>
        <v>ENSG00000159882.13</v>
      </c>
      <c r="B4149" s="3">
        <v>184.48477252986601</v>
      </c>
      <c r="C4149" s="3">
        <v>-1.5986474596574201</v>
      </c>
      <c r="D4149" s="3">
        <v>0.37727546433053599</v>
      </c>
      <c r="E4149" s="3">
        <v>-4.2373480673973098</v>
      </c>
      <c r="F4149" s="4">
        <v>2.2617536871555402E-5</v>
      </c>
      <c r="G4149" s="3">
        <v>2.1429157815592301E-4</v>
      </c>
      <c r="H4149" s="3" t="str">
        <f>"ZNF230"</f>
        <v>ZNF230</v>
      </c>
      <c r="I4149" s="3" t="str">
        <f t="shared" si="169"/>
        <v>protein_coding</v>
      </c>
    </row>
    <row r="4150" spans="1:9" x14ac:dyDescent="0.2">
      <c r="A4150" s="3" t="str">
        <f>"ENSG00000159885.14"</f>
        <v>ENSG00000159885.14</v>
      </c>
      <c r="B4150" s="3">
        <v>126.962818408331</v>
      </c>
      <c r="C4150" s="3">
        <v>-1.3564111116747599</v>
      </c>
      <c r="D4150" s="3">
        <v>0.41979644064558003</v>
      </c>
      <c r="E4150" s="3">
        <v>-3.2311162752804998</v>
      </c>
      <c r="F4150" s="3">
        <v>1.2330776717320001E-3</v>
      </c>
      <c r="G4150" s="3">
        <v>7.3069655671185799E-3</v>
      </c>
      <c r="H4150" s="3" t="str">
        <f>"ZNF222"</f>
        <v>ZNF222</v>
      </c>
      <c r="I4150" s="3" t="str">
        <f t="shared" si="169"/>
        <v>protein_coding</v>
      </c>
    </row>
    <row r="4151" spans="1:9" x14ac:dyDescent="0.2">
      <c r="A4151" s="3" t="str">
        <f>"ENSG00000216588.9"</f>
        <v>ENSG00000216588.9</v>
      </c>
      <c r="B4151" s="3">
        <v>39.471929368270601</v>
      </c>
      <c r="C4151" s="3">
        <v>-3.6876073787974102</v>
      </c>
      <c r="D4151" s="3">
        <v>0.68616218670179896</v>
      </c>
      <c r="E4151" s="3">
        <v>-5.37425035984971</v>
      </c>
      <c r="F4151" s="4">
        <v>7.6901945129894694E-8</v>
      </c>
      <c r="G4151" s="4">
        <v>1.17169499075863E-6</v>
      </c>
      <c r="H4151" s="3" t="str">
        <f>"IGSF23"</f>
        <v>IGSF23</v>
      </c>
      <c r="I4151" s="3" t="str">
        <f t="shared" si="169"/>
        <v>protein_coding</v>
      </c>
    </row>
    <row r="4152" spans="1:9" x14ac:dyDescent="0.2">
      <c r="A4152" s="3" t="str">
        <f>"ENSG00000130204.13"</f>
        <v>ENSG00000130204.13</v>
      </c>
      <c r="B4152" s="3">
        <v>2989.5609357986</v>
      </c>
      <c r="C4152" s="3">
        <v>-1.13638306243555</v>
      </c>
      <c r="D4152" s="3">
        <v>0.28806992475796001</v>
      </c>
      <c r="E4152" s="3">
        <v>-3.9448167433318599</v>
      </c>
      <c r="F4152" s="4">
        <v>7.9861029063963096E-5</v>
      </c>
      <c r="G4152" s="3">
        <v>6.6497986961403205E-4</v>
      </c>
      <c r="H4152" s="3" t="str">
        <f>"AC011481.1"</f>
        <v>AC011481.1</v>
      </c>
      <c r="I4152" s="3" t="str">
        <f t="shared" si="169"/>
        <v>protein_coding</v>
      </c>
    </row>
    <row r="4153" spans="1:9" x14ac:dyDescent="0.2">
      <c r="A4153" s="3" t="str">
        <f>"ENSG00000104856.14"</f>
        <v>ENSG00000104856.14</v>
      </c>
      <c r="B4153" s="3">
        <v>588.56281357945704</v>
      </c>
      <c r="C4153" s="3">
        <v>-1.15206254504691</v>
      </c>
      <c r="D4153" s="3">
        <v>0.32070869762736198</v>
      </c>
      <c r="E4153" s="3">
        <v>-3.5922397913433302</v>
      </c>
      <c r="F4153" s="3">
        <v>3.2784795759145099E-4</v>
      </c>
      <c r="G4153" s="3">
        <v>2.3178795315382098E-3</v>
      </c>
      <c r="H4153" s="3" t="str">
        <f>"RELB"</f>
        <v>RELB</v>
      </c>
      <c r="I4153" s="3" t="str">
        <f t="shared" si="169"/>
        <v>protein_coding</v>
      </c>
    </row>
    <row r="4154" spans="1:9" x14ac:dyDescent="0.2">
      <c r="A4154" s="3" t="str">
        <f>"ENSG00000007255.10"</f>
        <v>ENSG00000007255.10</v>
      </c>
      <c r="B4154" s="3">
        <v>253.198781975164</v>
      </c>
      <c r="C4154" s="3">
        <v>1.2064564915642499</v>
      </c>
      <c r="D4154" s="3">
        <v>0.32526908659003201</v>
      </c>
      <c r="E4154" s="3">
        <v>3.7091028360923399</v>
      </c>
      <c r="F4154" s="3">
        <v>2.0799494340464E-4</v>
      </c>
      <c r="G4154" s="3">
        <v>1.5456758645033099E-3</v>
      </c>
      <c r="H4154" s="3" t="str">
        <f>"TRAPPC6A"</f>
        <v>TRAPPC6A</v>
      </c>
      <c r="I4154" s="3" t="str">
        <f t="shared" si="169"/>
        <v>protein_coding</v>
      </c>
    </row>
    <row r="4155" spans="1:9" x14ac:dyDescent="0.2">
      <c r="A4155" s="3" t="str">
        <f>"ENSG00000104879.5"</f>
        <v>ENSG00000104879.5</v>
      </c>
      <c r="B4155" s="3">
        <v>95.925282455154303</v>
      </c>
      <c r="C4155" s="3">
        <v>2.1517148894326401</v>
      </c>
      <c r="D4155" s="3">
        <v>0.42437187147689798</v>
      </c>
      <c r="E4155" s="3">
        <v>5.0703522878277498</v>
      </c>
      <c r="F4155" s="4">
        <v>3.9708000046018501E-7</v>
      </c>
      <c r="G4155" s="4">
        <v>5.3615391366484002E-6</v>
      </c>
      <c r="H4155" s="3" t="str">
        <f>"CKM"</f>
        <v>CKM</v>
      </c>
      <c r="I4155" s="3" t="str">
        <f t="shared" si="169"/>
        <v>protein_coding</v>
      </c>
    </row>
    <row r="4156" spans="1:9" x14ac:dyDescent="0.2">
      <c r="A4156" s="3" t="str">
        <f>"ENSG00000117877.10"</f>
        <v>ENSG00000117877.10</v>
      </c>
      <c r="B4156" s="3">
        <v>716.94555223794305</v>
      </c>
      <c r="C4156" s="3">
        <v>-1.1648661851395801</v>
      </c>
      <c r="D4156" s="3">
        <v>0.29465521088804902</v>
      </c>
      <c r="E4156" s="3">
        <v>-3.9533194801776599</v>
      </c>
      <c r="F4156" s="4">
        <v>7.7074417096246702E-5</v>
      </c>
      <c r="G4156" s="3">
        <v>6.4497902929344197E-4</v>
      </c>
      <c r="H4156" s="3" t="str">
        <f>"CD3EAP"</f>
        <v>CD3EAP</v>
      </c>
      <c r="I4156" s="3" t="str">
        <f t="shared" si="169"/>
        <v>protein_coding</v>
      </c>
    </row>
    <row r="4157" spans="1:9" x14ac:dyDescent="0.2">
      <c r="A4157" s="3" t="str">
        <f>"ENSG00000125753.14"</f>
        <v>ENSG00000125753.14</v>
      </c>
      <c r="B4157" s="3">
        <v>4185.7517683206097</v>
      </c>
      <c r="C4157" s="3">
        <v>-1.43464578109076</v>
      </c>
      <c r="D4157" s="3">
        <v>0.25982089181961099</v>
      </c>
      <c r="E4157" s="3">
        <v>-5.5216721451591502</v>
      </c>
      <c r="F4157" s="4">
        <v>3.35788607578124E-8</v>
      </c>
      <c r="G4157" s="4">
        <v>5.4285105550306603E-7</v>
      </c>
      <c r="H4157" s="3" t="str">
        <f>"VASP"</f>
        <v>VASP</v>
      </c>
      <c r="I4157" s="3" t="str">
        <f t="shared" si="169"/>
        <v>protein_coding</v>
      </c>
    </row>
    <row r="4158" spans="1:9" x14ac:dyDescent="0.2">
      <c r="A4158" s="3" t="str">
        <f>"ENSG00000125746.16"</f>
        <v>ENSG00000125746.16</v>
      </c>
      <c r="B4158" s="3">
        <v>755.51461776666997</v>
      </c>
      <c r="C4158" s="3">
        <v>2.56548964571805</v>
      </c>
      <c r="D4158" s="3">
        <v>0.29652948396061501</v>
      </c>
      <c r="E4158" s="3">
        <v>8.6517185793868592</v>
      </c>
      <c r="F4158" s="4">
        <v>5.0729616482876103E-18</v>
      </c>
      <c r="G4158" s="4">
        <v>2.3807901168409502E-16</v>
      </c>
      <c r="H4158" s="3" t="str">
        <f>"EML2"</f>
        <v>EML2</v>
      </c>
      <c r="I4158" s="3" t="str">
        <f t="shared" si="169"/>
        <v>protein_coding</v>
      </c>
    </row>
    <row r="4159" spans="1:9" x14ac:dyDescent="0.2">
      <c r="A4159" s="3" t="str">
        <f>"ENSG00000267757.4"</f>
        <v>ENSG00000267757.4</v>
      </c>
      <c r="B4159" s="3">
        <v>30.2894227255006</v>
      </c>
      <c r="C4159" s="3">
        <v>2.22594874142065</v>
      </c>
      <c r="D4159" s="3">
        <v>0.68854577418251794</v>
      </c>
      <c r="E4159" s="3">
        <v>3.23282608779849</v>
      </c>
      <c r="F4159" s="3">
        <v>1.2257215714180599E-3</v>
      </c>
      <c r="G4159" s="3">
        <v>7.2736556095827597E-3</v>
      </c>
      <c r="H4159" s="3" t="str">
        <f>"EML2-AS1"</f>
        <v>EML2-AS1</v>
      </c>
      <c r="I4159" s="3" t="str">
        <f>"processed_transcript"</f>
        <v>processed_transcript</v>
      </c>
    </row>
    <row r="4160" spans="1:9" x14ac:dyDescent="0.2">
      <c r="A4160" s="3" t="str">
        <f>"ENSG00000011478.12"</f>
        <v>ENSG00000011478.12</v>
      </c>
      <c r="B4160" s="3">
        <v>422.54309015217598</v>
      </c>
      <c r="C4160" s="3">
        <v>-1.93862600354693</v>
      </c>
      <c r="D4160" s="3">
        <v>0.335597450979155</v>
      </c>
      <c r="E4160" s="3">
        <v>-5.7766410259991696</v>
      </c>
      <c r="F4160" s="4">
        <v>7.62066314144417E-9</v>
      </c>
      <c r="G4160" s="4">
        <v>1.36731655722559E-7</v>
      </c>
      <c r="H4160" s="3" t="str">
        <f>"QPCTL"</f>
        <v>QPCTL</v>
      </c>
      <c r="I4160" s="3" t="str">
        <f>"protein_coding"</f>
        <v>protein_coding</v>
      </c>
    </row>
    <row r="4161" spans="1:9" x14ac:dyDescent="0.2">
      <c r="A4161" s="3" t="str">
        <f>"ENSG00000177045.9"</f>
        <v>ENSG00000177045.9</v>
      </c>
      <c r="B4161" s="3">
        <v>471.906727087614</v>
      </c>
      <c r="C4161" s="3">
        <v>-1.0854287169403001</v>
      </c>
      <c r="D4161" s="3">
        <v>0.3176549844355</v>
      </c>
      <c r="E4161" s="3">
        <v>-3.4170051474847698</v>
      </c>
      <c r="F4161" s="3">
        <v>6.3314082475131696E-4</v>
      </c>
      <c r="G4161" s="3">
        <v>4.1207393134849602E-3</v>
      </c>
      <c r="H4161" s="3" t="str">
        <f>"SIX5"</f>
        <v>SIX5</v>
      </c>
      <c r="I4161" s="3" t="str">
        <f>"protein_coding"</f>
        <v>protein_coding</v>
      </c>
    </row>
    <row r="4162" spans="1:9" x14ac:dyDescent="0.2">
      <c r="A4162" s="3" t="str">
        <f>"ENSG00000204866.8"</f>
        <v>ENSG00000204866.8</v>
      </c>
      <c r="B4162" s="3">
        <v>8.0553611849589206</v>
      </c>
      <c r="C4162" s="3">
        <v>5.02622386486967</v>
      </c>
      <c r="D4162" s="3">
        <v>1.7843378490066799</v>
      </c>
      <c r="E4162" s="3">
        <v>2.8168566102365098</v>
      </c>
      <c r="F4162" s="3">
        <v>4.8496171614160997E-3</v>
      </c>
      <c r="G4162" s="3">
        <v>2.31220848550838E-2</v>
      </c>
      <c r="H4162" s="3" t="str">
        <f>"IGFL2"</f>
        <v>IGFL2</v>
      </c>
      <c r="I4162" s="3" t="str">
        <f>"protein_coding"</f>
        <v>protein_coding</v>
      </c>
    </row>
    <row r="4163" spans="1:9" x14ac:dyDescent="0.2">
      <c r="A4163" s="3" t="str">
        <f>"ENSG00000269292.1"</f>
        <v>ENSG00000269292.1</v>
      </c>
      <c r="B4163" s="3">
        <v>4.36675424140887</v>
      </c>
      <c r="C4163" s="3">
        <v>5.6462103443945901</v>
      </c>
      <c r="D4163" s="3">
        <v>2.0854101432376502</v>
      </c>
      <c r="E4163" s="3">
        <v>2.7074819611401302</v>
      </c>
      <c r="F4163" s="3">
        <v>6.7795755029780701E-3</v>
      </c>
      <c r="G4163" s="3">
        <v>3.0464491207112001E-2</v>
      </c>
      <c r="H4163" s="3" t="str">
        <f>"AC093503.2"</f>
        <v>AC093503.2</v>
      </c>
      <c r="I4163" s="3" t="str">
        <f>"antisense"</f>
        <v>antisense</v>
      </c>
    </row>
    <row r="4164" spans="1:9" x14ac:dyDescent="0.2">
      <c r="A4164" s="3" t="str">
        <f>"ENSG00000197380.11"</f>
        <v>ENSG00000197380.11</v>
      </c>
      <c r="B4164" s="3">
        <v>14.1103292034714</v>
      </c>
      <c r="C4164" s="3">
        <v>4.2480768035324399</v>
      </c>
      <c r="D4164" s="3">
        <v>1.1863841274751501</v>
      </c>
      <c r="E4164" s="3">
        <v>3.5806925473397602</v>
      </c>
      <c r="F4164" s="3">
        <v>3.4268470199731298E-4</v>
      </c>
      <c r="G4164" s="3">
        <v>2.4092324423539398E-3</v>
      </c>
      <c r="H4164" s="3" t="str">
        <f>"DACT3"</f>
        <v>DACT3</v>
      </c>
      <c r="I4164" s="3" t="str">
        <f t="shared" ref="I4164:I4171" si="170">"protein_coding"</f>
        <v>protein_coding</v>
      </c>
    </row>
    <row r="4165" spans="1:9" x14ac:dyDescent="0.2">
      <c r="A4165" s="3" t="str">
        <f>"ENSG00000105287.12"</f>
        <v>ENSG00000105287.12</v>
      </c>
      <c r="B4165" s="3">
        <v>1586.79356956725</v>
      </c>
      <c r="C4165" s="3">
        <v>1.00089183805952</v>
      </c>
      <c r="D4165" s="3">
        <v>0.30700668903832101</v>
      </c>
      <c r="E4165" s="3">
        <v>3.2601629664641698</v>
      </c>
      <c r="F4165" s="3">
        <v>1.11348215433042E-3</v>
      </c>
      <c r="G4165" s="3">
        <v>6.6848791389455299E-3</v>
      </c>
      <c r="H4165" s="3" t="str">
        <f>"PRKD2"</f>
        <v>PRKD2</v>
      </c>
      <c r="I4165" s="3" t="str">
        <f t="shared" si="170"/>
        <v>protein_coding</v>
      </c>
    </row>
    <row r="4166" spans="1:9" x14ac:dyDescent="0.2">
      <c r="A4166" s="3" t="str">
        <f>"ENSG00000105281.12"</f>
        <v>ENSG00000105281.12</v>
      </c>
      <c r="B4166" s="3">
        <v>6754.9984705850802</v>
      </c>
      <c r="C4166" s="3">
        <v>-1.01588566144454</v>
      </c>
      <c r="D4166" s="3">
        <v>0.270169039832793</v>
      </c>
      <c r="E4166" s="3">
        <v>-3.7601853346085599</v>
      </c>
      <c r="F4166" s="3">
        <v>1.6978752113111601E-4</v>
      </c>
      <c r="G4166" s="3">
        <v>1.29066965631016E-3</v>
      </c>
      <c r="H4166" s="3" t="str">
        <f>"SLC1A5"</f>
        <v>SLC1A5</v>
      </c>
      <c r="I4166" s="3" t="str">
        <f t="shared" si="170"/>
        <v>protein_coding</v>
      </c>
    </row>
    <row r="4167" spans="1:9" x14ac:dyDescent="0.2">
      <c r="A4167" s="3" t="str">
        <f>"ENSG00000130751.9"</f>
        <v>ENSG00000130751.9</v>
      </c>
      <c r="B4167" s="3">
        <v>411.25501004337701</v>
      </c>
      <c r="C4167" s="3">
        <v>-1.56522862732893</v>
      </c>
      <c r="D4167" s="3">
        <v>0.315443290714088</v>
      </c>
      <c r="E4167" s="3">
        <v>-4.9619968894745803</v>
      </c>
      <c r="F4167" s="4">
        <v>6.9772113228221995E-7</v>
      </c>
      <c r="G4167" s="4">
        <v>9.0098434715396595E-6</v>
      </c>
      <c r="H4167" s="3" t="str">
        <f>"NPAS1"</f>
        <v>NPAS1</v>
      </c>
      <c r="I4167" s="3" t="str">
        <f t="shared" si="170"/>
        <v>protein_coding</v>
      </c>
    </row>
    <row r="4168" spans="1:9" x14ac:dyDescent="0.2">
      <c r="A4168" s="3" t="str">
        <f>"ENSG00000105327.17"</f>
        <v>ENSG00000105327.17</v>
      </c>
      <c r="B4168" s="3">
        <v>965.11388485238001</v>
      </c>
      <c r="C4168" s="3">
        <v>3.9158165108885901</v>
      </c>
      <c r="D4168" s="3">
        <v>0.32085830468429699</v>
      </c>
      <c r="E4168" s="3">
        <v>12.204192485344899</v>
      </c>
      <c r="F4168" s="4">
        <v>2.9522284227074498E-34</v>
      </c>
      <c r="G4168" s="4">
        <v>3.6582909346406897E-32</v>
      </c>
      <c r="H4168" s="3" t="str">
        <f>"BBC3"</f>
        <v>BBC3</v>
      </c>
      <c r="I4168" s="3" t="str">
        <f t="shared" si="170"/>
        <v>protein_coding</v>
      </c>
    </row>
    <row r="4169" spans="1:9" x14ac:dyDescent="0.2">
      <c r="A4169" s="3" t="str">
        <f>"ENSG00000197405.8"</f>
        <v>ENSG00000197405.8</v>
      </c>
      <c r="B4169" s="3">
        <v>20.7639410666789</v>
      </c>
      <c r="C4169" s="3">
        <v>-2.26253613237831</v>
      </c>
      <c r="D4169" s="3">
        <v>0.80471323778081305</v>
      </c>
      <c r="E4169" s="3">
        <v>-2.8116054591294999</v>
      </c>
      <c r="F4169" s="3">
        <v>4.9294928097585698E-3</v>
      </c>
      <c r="G4169" s="3">
        <v>2.34141600508831E-2</v>
      </c>
      <c r="H4169" s="3" t="str">
        <f>"C5AR1"</f>
        <v>C5AR1</v>
      </c>
      <c r="I4169" s="3" t="str">
        <f t="shared" si="170"/>
        <v>protein_coding</v>
      </c>
    </row>
    <row r="4170" spans="1:9" x14ac:dyDescent="0.2">
      <c r="A4170" s="3" t="str">
        <f>"ENSG00000105419.17"</f>
        <v>ENSG00000105419.17</v>
      </c>
      <c r="B4170" s="3">
        <v>184.975407734822</v>
      </c>
      <c r="C4170" s="3">
        <v>-3.7447633037902701</v>
      </c>
      <c r="D4170" s="3">
        <v>0.39909234133890797</v>
      </c>
      <c r="E4170" s="3">
        <v>-9.3832001166121906</v>
      </c>
      <c r="F4170" s="4">
        <v>6.4000153124133399E-21</v>
      </c>
      <c r="G4170" s="4">
        <v>3.6924858987100298E-19</v>
      </c>
      <c r="H4170" s="3" t="str">
        <f>"MEIS3"</f>
        <v>MEIS3</v>
      </c>
      <c r="I4170" s="3" t="str">
        <f t="shared" si="170"/>
        <v>protein_coding</v>
      </c>
    </row>
    <row r="4171" spans="1:9" x14ac:dyDescent="0.2">
      <c r="A4171" s="3" t="str">
        <f>"ENSG00000105499.14"</f>
        <v>ENSG00000105499.14</v>
      </c>
      <c r="B4171" s="3">
        <v>306.945134395195</v>
      </c>
      <c r="C4171" s="3">
        <v>-2.4103649293268798</v>
      </c>
      <c r="D4171" s="3">
        <v>0.33859897188242599</v>
      </c>
      <c r="E4171" s="3">
        <v>-7.1186421976610399</v>
      </c>
      <c r="F4171" s="4">
        <v>1.08995449867792E-12</v>
      </c>
      <c r="G4171" s="4">
        <v>3.1263176070972602E-11</v>
      </c>
      <c r="H4171" s="3" t="str">
        <f>"PLA2G4C"</f>
        <v>PLA2G4C</v>
      </c>
      <c r="I4171" s="3" t="str">
        <f t="shared" si="170"/>
        <v>protein_coding</v>
      </c>
    </row>
    <row r="4172" spans="1:9" x14ac:dyDescent="0.2">
      <c r="A4172" s="3" t="str">
        <f>"ENSG00000268001.1"</f>
        <v>ENSG00000268001.1</v>
      </c>
      <c r="B4172" s="3">
        <v>45.707021368299202</v>
      </c>
      <c r="C4172" s="3">
        <v>-2.5343586341792199</v>
      </c>
      <c r="D4172" s="3">
        <v>0.57076952763436495</v>
      </c>
      <c r="E4172" s="3">
        <v>-4.4402486668887597</v>
      </c>
      <c r="F4172" s="4">
        <v>8.9854989996978307E-6</v>
      </c>
      <c r="G4172" s="4">
        <v>9.3054848636228504E-5</v>
      </c>
      <c r="H4172" s="3" t="str">
        <f>"CARD8-AS1"</f>
        <v>CARD8-AS1</v>
      </c>
      <c r="I4172" s="3" t="str">
        <f>"antisense"</f>
        <v>antisense</v>
      </c>
    </row>
    <row r="4173" spans="1:9" x14ac:dyDescent="0.2">
      <c r="A4173" s="3" t="str">
        <f>"ENSG00000178150.10"</f>
        <v>ENSG00000178150.10</v>
      </c>
      <c r="B4173" s="3">
        <v>1776.4574594225901</v>
      </c>
      <c r="C4173" s="3">
        <v>1.5384191353268299</v>
      </c>
      <c r="D4173" s="3">
        <v>0.30605150721272101</v>
      </c>
      <c r="E4173" s="3">
        <v>5.0266674042469397</v>
      </c>
      <c r="F4173" s="4">
        <v>4.9907682524334104E-7</v>
      </c>
      <c r="G4173" s="4">
        <v>6.6284464303042398E-6</v>
      </c>
      <c r="H4173" s="3" t="str">
        <f>"ZNF114"</f>
        <v>ZNF114</v>
      </c>
      <c r="I4173" s="3" t="str">
        <f t="shared" ref="I4173:I4184" si="171">"protein_coding"</f>
        <v>protein_coding</v>
      </c>
    </row>
    <row r="4174" spans="1:9" x14ac:dyDescent="0.2">
      <c r="A4174" s="3" t="str">
        <f>"ENSG00000142227.11"</f>
        <v>ENSG00000142227.11</v>
      </c>
      <c r="B4174" s="3">
        <v>238.71186900528801</v>
      </c>
      <c r="C4174" s="3">
        <v>-2.8953920829786699</v>
      </c>
      <c r="D4174" s="3">
        <v>0.37240658460202802</v>
      </c>
      <c r="E4174" s="3">
        <v>-7.7748144170781197</v>
      </c>
      <c r="F4174" s="4">
        <v>7.5558094984104801E-15</v>
      </c>
      <c r="G4174" s="4">
        <v>2.7074984035970902E-13</v>
      </c>
      <c r="H4174" s="3" t="str">
        <f>"EMP3"</f>
        <v>EMP3</v>
      </c>
      <c r="I4174" s="3" t="str">
        <f t="shared" si="171"/>
        <v>protein_coding</v>
      </c>
    </row>
    <row r="4175" spans="1:9" x14ac:dyDescent="0.2">
      <c r="A4175" s="3" t="str">
        <f>"ENSG00000161558.11"</f>
        <v>ENSG00000161558.11</v>
      </c>
      <c r="B4175" s="3">
        <v>297.53083733292101</v>
      </c>
      <c r="C4175" s="3">
        <v>-1.1016382782093901</v>
      </c>
      <c r="D4175" s="3">
        <v>0.35368617244705097</v>
      </c>
      <c r="E4175" s="3">
        <v>-3.1147338064914298</v>
      </c>
      <c r="F4175" s="3">
        <v>1.84110979049646E-3</v>
      </c>
      <c r="G4175" s="3">
        <v>1.0221389710867E-2</v>
      </c>
      <c r="H4175" s="3" t="str">
        <f>"TMEM143"</f>
        <v>TMEM143</v>
      </c>
      <c r="I4175" s="3" t="str">
        <f t="shared" si="171"/>
        <v>protein_coding</v>
      </c>
    </row>
    <row r="4176" spans="1:9" x14ac:dyDescent="0.2">
      <c r="A4176" s="3" t="str">
        <f>"ENSG00000105467.8"</f>
        <v>ENSG00000105467.8</v>
      </c>
      <c r="B4176" s="3">
        <v>9.78047009863608</v>
      </c>
      <c r="C4176" s="3">
        <v>-4.1586866907501596</v>
      </c>
      <c r="D4176" s="3">
        <v>1.40996385532086</v>
      </c>
      <c r="E4176" s="3">
        <v>-2.9494987939274502</v>
      </c>
      <c r="F4176" s="3">
        <v>3.18289815312863E-3</v>
      </c>
      <c r="G4176" s="3">
        <v>1.6207652437641801E-2</v>
      </c>
      <c r="H4176" s="3" t="str">
        <f>"SYNGR4"</f>
        <v>SYNGR4</v>
      </c>
      <c r="I4176" s="3" t="str">
        <f t="shared" si="171"/>
        <v>protein_coding</v>
      </c>
    </row>
    <row r="4177" spans="1:9" x14ac:dyDescent="0.2">
      <c r="A4177" s="3" t="str">
        <f>"ENSG00000105516.10"</f>
        <v>ENSG00000105516.10</v>
      </c>
      <c r="B4177" s="3">
        <v>174.168036345606</v>
      </c>
      <c r="C4177" s="3">
        <v>-1.2680629546591</v>
      </c>
      <c r="D4177" s="3">
        <v>0.35866869054995798</v>
      </c>
      <c r="E4177" s="3">
        <v>-3.5354715593232799</v>
      </c>
      <c r="F4177" s="3">
        <v>4.0704805923728302E-4</v>
      </c>
      <c r="G4177" s="3">
        <v>2.7945671206642598E-3</v>
      </c>
      <c r="H4177" s="3" t="str">
        <f>"DBP"</f>
        <v>DBP</v>
      </c>
      <c r="I4177" s="3" t="str">
        <f t="shared" si="171"/>
        <v>protein_coding</v>
      </c>
    </row>
    <row r="4178" spans="1:9" x14ac:dyDescent="0.2">
      <c r="A4178" s="3" t="str">
        <f>"ENSG00000063180.9"</f>
        <v>ENSG00000063180.9</v>
      </c>
      <c r="B4178" s="3">
        <v>61.699203559747801</v>
      </c>
      <c r="C4178" s="3">
        <v>-1.5249749507013901</v>
      </c>
      <c r="D4178" s="3">
        <v>0.48548151603203499</v>
      </c>
      <c r="E4178" s="3">
        <v>-3.14115965354438</v>
      </c>
      <c r="F4178" s="3">
        <v>1.6828027081800001E-3</v>
      </c>
      <c r="G4178" s="3">
        <v>9.4954917281892901E-3</v>
      </c>
      <c r="H4178" s="3" t="str">
        <f>"CA11"</f>
        <v>CA11</v>
      </c>
      <c r="I4178" s="3" t="str">
        <f t="shared" si="171"/>
        <v>protein_coding</v>
      </c>
    </row>
    <row r="4179" spans="1:9" x14ac:dyDescent="0.2">
      <c r="A4179" s="3" t="str">
        <f>"ENSG00000176909.12"</f>
        <v>ENSG00000176909.12</v>
      </c>
      <c r="B4179" s="3">
        <v>356.154025714532</v>
      </c>
      <c r="C4179" s="3">
        <v>1.0849096588151701</v>
      </c>
      <c r="D4179" s="3">
        <v>0.315691406188009</v>
      </c>
      <c r="E4179" s="3">
        <v>3.4366144834777499</v>
      </c>
      <c r="F4179" s="3">
        <v>5.89033358798881E-4</v>
      </c>
      <c r="G4179" s="3">
        <v>3.8636594890706301E-3</v>
      </c>
      <c r="H4179" s="3" t="str">
        <f>"MAMSTR"</f>
        <v>MAMSTR</v>
      </c>
      <c r="I4179" s="3" t="str">
        <f t="shared" si="171"/>
        <v>protein_coding</v>
      </c>
    </row>
    <row r="4180" spans="1:9" x14ac:dyDescent="0.2">
      <c r="A4180" s="3" t="str">
        <f>"ENSG00000105538.10"</f>
        <v>ENSG00000105538.10</v>
      </c>
      <c r="B4180" s="3">
        <v>48.919791132816798</v>
      </c>
      <c r="C4180" s="3">
        <v>-2.3808327177444499</v>
      </c>
      <c r="D4180" s="3">
        <v>0.58040893945121896</v>
      </c>
      <c r="E4180" s="3">
        <v>-4.1019918128682598</v>
      </c>
      <c r="F4180" s="4">
        <v>4.0960877010293402E-5</v>
      </c>
      <c r="G4180" s="3">
        <v>3.6576885381396201E-4</v>
      </c>
      <c r="H4180" s="3" t="str">
        <f>"RASIP1"</f>
        <v>RASIP1</v>
      </c>
      <c r="I4180" s="3" t="str">
        <f t="shared" si="171"/>
        <v>protein_coding</v>
      </c>
    </row>
    <row r="4181" spans="1:9" x14ac:dyDescent="0.2">
      <c r="A4181" s="3" t="str">
        <f>"ENSG00000182264.8"</f>
        <v>ENSG00000182264.8</v>
      </c>
      <c r="B4181" s="3">
        <v>18.9699419991715</v>
      </c>
      <c r="C4181" s="3">
        <v>-3.28046221434886</v>
      </c>
      <c r="D4181" s="3">
        <v>0.93374223992077598</v>
      </c>
      <c r="E4181" s="3">
        <v>-3.5132417428467102</v>
      </c>
      <c r="F4181" s="3">
        <v>4.4267452001243399E-4</v>
      </c>
      <c r="G4181" s="3">
        <v>3.01040214947628E-3</v>
      </c>
      <c r="H4181" s="3" t="str">
        <f>"IZUMO1"</f>
        <v>IZUMO1</v>
      </c>
      <c r="I4181" s="3" t="str">
        <f t="shared" si="171"/>
        <v>protein_coding</v>
      </c>
    </row>
    <row r="4182" spans="1:9" x14ac:dyDescent="0.2">
      <c r="A4182" s="3" t="str">
        <f>"ENSG00000105559.12"</f>
        <v>ENSG00000105559.12</v>
      </c>
      <c r="B4182" s="3">
        <v>457.04647466805</v>
      </c>
      <c r="C4182" s="3">
        <v>-1.0062342943562901</v>
      </c>
      <c r="D4182" s="3">
        <v>0.32328463195782697</v>
      </c>
      <c r="E4182" s="3">
        <v>-3.1125336464727198</v>
      </c>
      <c r="F4182" s="3">
        <v>1.85488868836921E-3</v>
      </c>
      <c r="G4182" s="3">
        <v>1.02729469299708E-2</v>
      </c>
      <c r="H4182" s="3" t="str">
        <f>"PLEKHA4"</f>
        <v>PLEKHA4</v>
      </c>
      <c r="I4182" s="3" t="str">
        <f t="shared" si="171"/>
        <v>protein_coding</v>
      </c>
    </row>
    <row r="4183" spans="1:9" x14ac:dyDescent="0.2">
      <c r="A4183" s="3" t="str">
        <f>"ENSG00000087088.20"</f>
        <v>ENSG00000087088.20</v>
      </c>
      <c r="B4183" s="3">
        <v>3248.0293436331899</v>
      </c>
      <c r="C4183" s="3">
        <v>1.9006459035602701</v>
      </c>
      <c r="D4183" s="3">
        <v>0.27806479912719601</v>
      </c>
      <c r="E4183" s="3">
        <v>6.8352625342226396</v>
      </c>
      <c r="F4183" s="4">
        <v>8.1854984372054794E-12</v>
      </c>
      <c r="G4183" s="4">
        <v>2.1271303015279299E-10</v>
      </c>
      <c r="H4183" s="3" t="str">
        <f>"BAX"</f>
        <v>BAX</v>
      </c>
      <c r="I4183" s="3" t="str">
        <f t="shared" si="171"/>
        <v>protein_coding</v>
      </c>
    </row>
    <row r="4184" spans="1:9" x14ac:dyDescent="0.2">
      <c r="A4184" s="3" t="str">
        <f>"ENSG00000196337.11"</f>
        <v>ENSG00000196337.11</v>
      </c>
      <c r="B4184" s="3">
        <v>310.61923909836298</v>
      </c>
      <c r="C4184" s="3">
        <v>11.7980589531116</v>
      </c>
      <c r="D4184" s="3">
        <v>1.4773083507937099</v>
      </c>
      <c r="E4184" s="3">
        <v>7.98618578631394</v>
      </c>
      <c r="F4184" s="4">
        <v>1.39177885687844E-15</v>
      </c>
      <c r="G4184" s="4">
        <v>5.3696621387695199E-14</v>
      </c>
      <c r="H4184" s="3" t="str">
        <f>"CGB7"</f>
        <v>CGB7</v>
      </c>
      <c r="I4184" s="3" t="str">
        <f t="shared" si="171"/>
        <v>protein_coding</v>
      </c>
    </row>
    <row r="4185" spans="1:9" x14ac:dyDescent="0.2">
      <c r="A4185" s="3" t="str">
        <f>"ENSG00000268108.1"</f>
        <v>ENSG00000268108.1</v>
      </c>
      <c r="B4185" s="3">
        <v>177.20451477040601</v>
      </c>
      <c r="C4185" s="3">
        <v>9.5431119112840896</v>
      </c>
      <c r="D4185" s="3">
        <v>1.45477592908918</v>
      </c>
      <c r="E4185" s="3">
        <v>6.55985002257973</v>
      </c>
      <c r="F4185" s="4">
        <v>5.3861922512060898E-11</v>
      </c>
      <c r="G4185" s="4">
        <v>1.2794113888488101E-9</v>
      </c>
      <c r="H4185" s="3" t="str">
        <f>"AC008687.2"</f>
        <v>AC008687.2</v>
      </c>
      <c r="I4185" s="3" t="str">
        <f>"antisense"</f>
        <v>antisense</v>
      </c>
    </row>
    <row r="4186" spans="1:9" x14ac:dyDescent="0.2">
      <c r="A4186" s="3" t="str">
        <f>"ENSG00000268287.1"</f>
        <v>ENSG00000268287.1</v>
      </c>
      <c r="B4186" s="3">
        <v>179.075586320383</v>
      </c>
      <c r="C4186" s="3">
        <v>8.5546221482563904</v>
      </c>
      <c r="D4186" s="3">
        <v>1.0718249808934699</v>
      </c>
      <c r="E4186" s="3">
        <v>7.9813610437828002</v>
      </c>
      <c r="F4186" s="4">
        <v>1.4472844779138499E-15</v>
      </c>
      <c r="G4186" s="4">
        <v>5.5582352735760003E-14</v>
      </c>
      <c r="H4186" s="3" t="str">
        <f>"AC008687.3"</f>
        <v>AC008687.3</v>
      </c>
      <c r="I4186" s="3" t="str">
        <f>"lincRNA"</f>
        <v>lincRNA</v>
      </c>
    </row>
    <row r="4187" spans="1:9" x14ac:dyDescent="0.2">
      <c r="A4187" s="3" t="str">
        <f>"ENSG00000177380.14"</f>
        <v>ENSG00000177380.14</v>
      </c>
      <c r="B4187" s="3">
        <v>471.32428163486799</v>
      </c>
      <c r="C4187" s="3">
        <v>-1.3548801697522399</v>
      </c>
      <c r="D4187" s="3">
        <v>0.30909022192687202</v>
      </c>
      <c r="E4187" s="3">
        <v>-4.3834455884948298</v>
      </c>
      <c r="F4187" s="4">
        <v>1.16816835464792E-5</v>
      </c>
      <c r="G4187" s="3">
        <v>1.17541099844674E-4</v>
      </c>
      <c r="H4187" s="3" t="str">
        <f>"PPFIA3"</f>
        <v>PPFIA3</v>
      </c>
      <c r="I4187" s="3" t="str">
        <f>"protein_coding"</f>
        <v>protein_coding</v>
      </c>
    </row>
    <row r="4188" spans="1:9" x14ac:dyDescent="0.2">
      <c r="A4188" s="3" t="str">
        <f>"ENSG00000130528.12"</f>
        <v>ENSG00000130528.12</v>
      </c>
      <c r="B4188" s="3">
        <v>285.99928246085898</v>
      </c>
      <c r="C4188" s="3">
        <v>-2.0480341174248098</v>
      </c>
      <c r="D4188" s="3">
        <v>0.33580748211924</v>
      </c>
      <c r="E4188" s="3">
        <v>-6.0988340834454302</v>
      </c>
      <c r="F4188" s="4">
        <v>1.06844898074152E-9</v>
      </c>
      <c r="G4188" s="4">
        <v>2.1657400572564899E-8</v>
      </c>
      <c r="H4188" s="3" t="str">
        <f>"HRC"</f>
        <v>HRC</v>
      </c>
      <c r="I4188" s="3" t="str">
        <f>"protein_coding"</f>
        <v>protein_coding</v>
      </c>
    </row>
    <row r="4189" spans="1:9" x14ac:dyDescent="0.2">
      <c r="A4189" s="3" t="str">
        <f>"ENSG00000063127.15"</f>
        <v>ENSG00000063127.15</v>
      </c>
      <c r="B4189" s="3">
        <v>36.618015374473003</v>
      </c>
      <c r="C4189" s="3">
        <v>-1.6980727732244001</v>
      </c>
      <c r="D4189" s="3">
        <v>0.61447628154416301</v>
      </c>
      <c r="E4189" s="3">
        <v>-2.7634472220102402</v>
      </c>
      <c r="F4189" s="3">
        <v>5.7194341159281801E-3</v>
      </c>
      <c r="G4189" s="3">
        <v>2.6442265242818098E-2</v>
      </c>
      <c r="H4189" s="3" t="str">
        <f>"SLC6A16"</f>
        <v>SLC6A16</v>
      </c>
      <c r="I4189" s="3" t="str">
        <f>"protein_coding"</f>
        <v>protein_coding</v>
      </c>
    </row>
    <row r="4190" spans="1:9" x14ac:dyDescent="0.2">
      <c r="A4190" s="3" t="str">
        <f>"ENSG00000197813.5"</f>
        <v>ENSG00000197813.5</v>
      </c>
      <c r="B4190" s="3">
        <v>35.3023595773682</v>
      </c>
      <c r="C4190" s="3">
        <v>-2.0746526132370202</v>
      </c>
      <c r="D4190" s="3">
        <v>0.61897944597672705</v>
      </c>
      <c r="E4190" s="3">
        <v>-3.3517310255161901</v>
      </c>
      <c r="F4190" s="3">
        <v>8.0308002038092499E-4</v>
      </c>
      <c r="G4190" s="3">
        <v>5.0554249030736204E-3</v>
      </c>
      <c r="H4190" s="3" t="str">
        <f>"AC011450.1"</f>
        <v>AC011450.1</v>
      </c>
      <c r="I4190" s="3" t="str">
        <f>"lincRNA"</f>
        <v>lincRNA</v>
      </c>
    </row>
    <row r="4191" spans="1:9" x14ac:dyDescent="0.2">
      <c r="A4191" s="3" t="str">
        <f>"ENSG00000074219.13"</f>
        <v>ENSG00000074219.13</v>
      </c>
      <c r="B4191" s="3">
        <v>813.22696320451996</v>
      </c>
      <c r="C4191" s="3">
        <v>-1.7967510730196301</v>
      </c>
      <c r="D4191" s="3">
        <v>0.34527543438618902</v>
      </c>
      <c r="E4191" s="3">
        <v>-5.2038196004699797</v>
      </c>
      <c r="F4191" s="4">
        <v>1.9523353687169701E-7</v>
      </c>
      <c r="G4191" s="4">
        <v>2.7924198883078701E-6</v>
      </c>
      <c r="H4191" s="3" t="str">
        <f>"TEAD2"</f>
        <v>TEAD2</v>
      </c>
      <c r="I4191" s="3" t="str">
        <f t="shared" ref="I4191:I4198" si="172">"protein_coding"</f>
        <v>protein_coding</v>
      </c>
    </row>
    <row r="4192" spans="1:9" x14ac:dyDescent="0.2">
      <c r="A4192" s="3" t="str">
        <f>"ENSG00000104872.11"</f>
        <v>ENSG00000104872.11</v>
      </c>
      <c r="B4192" s="3">
        <v>1956.70551282924</v>
      </c>
      <c r="C4192" s="3">
        <v>-1.01165682328837</v>
      </c>
      <c r="D4192" s="3">
        <v>0.29627647752085001</v>
      </c>
      <c r="E4192" s="3">
        <v>-3.4145701736216201</v>
      </c>
      <c r="F4192" s="3">
        <v>6.3882735300613595E-4</v>
      </c>
      <c r="G4192" s="3">
        <v>4.1545248357986904E-3</v>
      </c>
      <c r="H4192" s="3" t="str">
        <f>"PIH1D1"</f>
        <v>PIH1D1</v>
      </c>
      <c r="I4192" s="3" t="str">
        <f t="shared" si="172"/>
        <v>protein_coding</v>
      </c>
    </row>
    <row r="4193" spans="1:9" x14ac:dyDescent="0.2">
      <c r="A4193" s="3" t="str">
        <f>"ENSG00000161618.10"</f>
        <v>ENSG00000161618.10</v>
      </c>
      <c r="B4193" s="3">
        <v>1073.1657363386701</v>
      </c>
      <c r="C4193" s="3">
        <v>-1.57157425508787</v>
      </c>
      <c r="D4193" s="3">
        <v>0.30196752874791</v>
      </c>
      <c r="E4193" s="3">
        <v>-5.2044478477679403</v>
      </c>
      <c r="F4193" s="4">
        <v>1.94574256034355E-7</v>
      </c>
      <c r="G4193" s="4">
        <v>2.7857230566557802E-6</v>
      </c>
      <c r="H4193" s="3" t="str">
        <f>"ALDH16A1"</f>
        <v>ALDH16A1</v>
      </c>
      <c r="I4193" s="3" t="str">
        <f t="shared" si="172"/>
        <v>protein_coding</v>
      </c>
    </row>
    <row r="4194" spans="1:9" x14ac:dyDescent="0.2">
      <c r="A4194" s="3" t="str">
        <f>"ENSG00000126456.16"</f>
        <v>ENSG00000126456.16</v>
      </c>
      <c r="B4194" s="3">
        <v>1513.9294216068699</v>
      </c>
      <c r="C4194" s="3">
        <v>-1.00788576262828</v>
      </c>
      <c r="D4194" s="3">
        <v>0.27954899916569298</v>
      </c>
      <c r="E4194" s="3">
        <v>-3.6053992882689201</v>
      </c>
      <c r="F4194" s="3">
        <v>3.11673346150557E-4</v>
      </c>
      <c r="G4194" s="3">
        <v>2.21786224113643E-3</v>
      </c>
      <c r="H4194" s="3" t="str">
        <f>"IRF3"</f>
        <v>IRF3</v>
      </c>
      <c r="I4194" s="3" t="str">
        <f t="shared" si="172"/>
        <v>protein_coding</v>
      </c>
    </row>
    <row r="4195" spans="1:9" x14ac:dyDescent="0.2">
      <c r="A4195" s="3" t="str">
        <f>"ENSG00000126453.9"</f>
        <v>ENSG00000126453.9</v>
      </c>
      <c r="B4195" s="3">
        <v>745.99565185123504</v>
      </c>
      <c r="C4195" s="3">
        <v>-1.5660280757906999</v>
      </c>
      <c r="D4195" s="3">
        <v>0.32009485434086299</v>
      </c>
      <c r="E4195" s="3">
        <v>-4.8923875362365701</v>
      </c>
      <c r="F4195" s="4">
        <v>9.9620042718806297E-7</v>
      </c>
      <c r="G4195" s="4">
        <v>1.2486009838523E-5</v>
      </c>
      <c r="H4195" s="3" t="str">
        <f>"BCL2L12"</f>
        <v>BCL2L12</v>
      </c>
      <c r="I4195" s="3" t="str">
        <f t="shared" si="172"/>
        <v>protein_coding</v>
      </c>
    </row>
    <row r="4196" spans="1:9" x14ac:dyDescent="0.2">
      <c r="A4196" s="3" t="str">
        <f>"ENSG00000126457.21"</f>
        <v>ENSG00000126457.21</v>
      </c>
      <c r="B4196" s="3">
        <v>5739.1904307877003</v>
      </c>
      <c r="C4196" s="3">
        <v>-1.1408013423821901</v>
      </c>
      <c r="D4196" s="3">
        <v>0.28949406881517997</v>
      </c>
      <c r="E4196" s="3">
        <v>-3.9406725915013698</v>
      </c>
      <c r="F4196" s="4">
        <v>8.1253465050131396E-5</v>
      </c>
      <c r="G4196" s="3">
        <v>6.7523320559499699E-4</v>
      </c>
      <c r="H4196" s="3" t="str">
        <f>"PRMT1"</f>
        <v>PRMT1</v>
      </c>
      <c r="I4196" s="3" t="str">
        <f t="shared" si="172"/>
        <v>protein_coding</v>
      </c>
    </row>
    <row r="4197" spans="1:9" x14ac:dyDescent="0.2">
      <c r="A4197" s="3" t="str">
        <f>"ENSG00000204673.10"</f>
        <v>ENSG00000204673.10</v>
      </c>
      <c r="B4197" s="3">
        <v>1821.1007760237901</v>
      </c>
      <c r="C4197" s="3">
        <v>-1.4257053197835201</v>
      </c>
      <c r="D4197" s="3">
        <v>0.29370349236242699</v>
      </c>
      <c r="E4197" s="3">
        <v>-4.8542334594517396</v>
      </c>
      <c r="F4197" s="4">
        <v>1.20853295958908E-6</v>
      </c>
      <c r="G4197" s="4">
        <v>1.4814093631954301E-5</v>
      </c>
      <c r="H4197" s="3" t="str">
        <f>"AKT1S1"</f>
        <v>AKT1S1</v>
      </c>
      <c r="I4197" s="3" t="str">
        <f t="shared" si="172"/>
        <v>protein_coding</v>
      </c>
    </row>
    <row r="4198" spans="1:9" x14ac:dyDescent="0.2">
      <c r="A4198" s="3" t="str">
        <f>"ENSG00000169136.11"</f>
        <v>ENSG00000169136.11</v>
      </c>
      <c r="B4198" s="3">
        <v>2384.9179140558299</v>
      </c>
      <c r="C4198" s="3">
        <v>-1.65408808796742</v>
      </c>
      <c r="D4198" s="3">
        <v>0.27046794920016398</v>
      </c>
      <c r="E4198" s="3">
        <v>-6.1156528633390304</v>
      </c>
      <c r="F4198" s="4">
        <v>9.6162451746963704E-10</v>
      </c>
      <c r="G4198" s="4">
        <v>1.96026456539293E-8</v>
      </c>
      <c r="H4198" s="3" t="str">
        <f>"ATF5"</f>
        <v>ATF5</v>
      </c>
      <c r="I4198" s="3" t="str">
        <f t="shared" si="172"/>
        <v>protein_coding</v>
      </c>
    </row>
    <row r="4199" spans="1:9" x14ac:dyDescent="0.2">
      <c r="A4199" s="3" t="str">
        <f>"ENSG00000204666.3"</f>
        <v>ENSG00000204666.3</v>
      </c>
      <c r="B4199" s="3">
        <v>18.523745303074399</v>
      </c>
      <c r="C4199" s="3">
        <v>4.2128713380705998</v>
      </c>
      <c r="D4199" s="3">
        <v>1.0264806594284901</v>
      </c>
      <c r="E4199" s="3">
        <v>4.1041896886943503</v>
      </c>
      <c r="F4199" s="4">
        <v>4.0573446347371802E-5</v>
      </c>
      <c r="G4199" s="3">
        <v>3.6282440201497999E-4</v>
      </c>
      <c r="H4199" s="3" t="str">
        <f>"AC010624.1"</f>
        <v>AC010624.1</v>
      </c>
      <c r="I4199" s="3" t="str">
        <f>"sense_overlapping"</f>
        <v>sense_overlapping</v>
      </c>
    </row>
    <row r="4200" spans="1:9" x14ac:dyDescent="0.2">
      <c r="A4200" s="3" t="str">
        <f>"ENSG00000131398.13"</f>
        <v>ENSG00000131398.13</v>
      </c>
      <c r="B4200" s="3">
        <v>455.41790271860998</v>
      </c>
      <c r="C4200" s="3">
        <v>-1.5685667919059301</v>
      </c>
      <c r="D4200" s="3">
        <v>0.31021195051773398</v>
      </c>
      <c r="E4200" s="3">
        <v>-5.0564357346260804</v>
      </c>
      <c r="F4200" s="4">
        <v>4.2716472543231398E-7</v>
      </c>
      <c r="G4200" s="4">
        <v>5.7430938900319998E-6</v>
      </c>
      <c r="H4200" s="3" t="str">
        <f>"KCNC3"</f>
        <v>KCNC3</v>
      </c>
      <c r="I4200" s="3" t="str">
        <f>"protein_coding"</f>
        <v>protein_coding</v>
      </c>
    </row>
    <row r="4201" spans="1:9" x14ac:dyDescent="0.2">
      <c r="A4201" s="3" t="str">
        <f>"ENSG00000062822.13"</f>
        <v>ENSG00000062822.13</v>
      </c>
      <c r="B4201" s="3">
        <v>1324.7354141420601</v>
      </c>
      <c r="C4201" s="3">
        <v>-1.3824250272194101</v>
      </c>
      <c r="D4201" s="3">
        <v>0.30870034470796698</v>
      </c>
      <c r="E4201" s="3">
        <v>-4.4782101831703303</v>
      </c>
      <c r="F4201" s="4">
        <v>7.5271471894480401E-6</v>
      </c>
      <c r="G4201" s="4">
        <v>7.96572938790767E-5</v>
      </c>
      <c r="H4201" s="3" t="str">
        <f>"POLD1"</f>
        <v>POLD1</v>
      </c>
      <c r="I4201" s="3" t="str">
        <f>"protein_coding"</f>
        <v>protein_coding</v>
      </c>
    </row>
    <row r="4202" spans="1:9" x14ac:dyDescent="0.2">
      <c r="A4202" s="3" t="str">
        <f>"ENSG00000086967.10"</f>
        <v>ENSG00000086967.10</v>
      </c>
      <c r="B4202" s="3">
        <v>12.5972533294778</v>
      </c>
      <c r="C4202" s="3">
        <v>3.6184469928068799</v>
      </c>
      <c r="D4202" s="3">
        <v>1.1258300555290699</v>
      </c>
      <c r="E4202" s="3">
        <v>3.2140259313884001</v>
      </c>
      <c r="F4202" s="3">
        <v>1.3088785211214701E-3</v>
      </c>
      <c r="G4202" s="3">
        <v>7.6729991141483503E-3</v>
      </c>
      <c r="H4202" s="3" t="str">
        <f>"MYBPC2"</f>
        <v>MYBPC2</v>
      </c>
      <c r="I4202" s="3" t="str">
        <f>"protein_coding"</f>
        <v>protein_coding</v>
      </c>
    </row>
    <row r="4203" spans="1:9" x14ac:dyDescent="0.2">
      <c r="A4203" s="3" t="str">
        <f>"ENSG00000261341.6"</f>
        <v>ENSG00000261341.6</v>
      </c>
      <c r="B4203" s="3">
        <v>98.6708893205317</v>
      </c>
      <c r="C4203" s="3">
        <v>-4.3540276288816697</v>
      </c>
      <c r="D4203" s="3">
        <v>0.54367184773861899</v>
      </c>
      <c r="E4203" s="3">
        <v>-8.0085581900038907</v>
      </c>
      <c r="F4203" s="4">
        <v>1.1606104388662001E-15</v>
      </c>
      <c r="G4203" s="4">
        <v>4.5123888082966598E-14</v>
      </c>
      <c r="H4203" s="3" t="str">
        <f>"AC010325.1"</f>
        <v>AC010325.1</v>
      </c>
      <c r="I4203" s="3" t="str">
        <f>"protein_coding"</f>
        <v>protein_coding</v>
      </c>
    </row>
    <row r="4204" spans="1:9" x14ac:dyDescent="0.2">
      <c r="A4204" s="3" t="str">
        <f>"ENSG00000268375.1"</f>
        <v>ENSG00000268375.1</v>
      </c>
      <c r="B4204" s="3">
        <v>9.7889749263569996</v>
      </c>
      <c r="C4204" s="3">
        <v>-5.1903321114583898</v>
      </c>
      <c r="D4204" s="3">
        <v>1.7373186314473199</v>
      </c>
      <c r="E4204" s="3">
        <v>-2.9875533580932401</v>
      </c>
      <c r="F4204" s="3">
        <v>2.81220200318867E-3</v>
      </c>
      <c r="G4204" s="3">
        <v>1.45908349491301E-2</v>
      </c>
      <c r="H4204" s="3" t="str">
        <f>"AC010325.2"</f>
        <v>AC010325.2</v>
      </c>
      <c r="I4204" s="3" t="str">
        <f>"antisense"</f>
        <v>antisense</v>
      </c>
    </row>
    <row r="4205" spans="1:9" x14ac:dyDescent="0.2">
      <c r="A4205" s="3" t="str">
        <f>"ENSG00000197588.9"</f>
        <v>ENSG00000197588.9</v>
      </c>
      <c r="B4205" s="3">
        <v>4.1593006191673796</v>
      </c>
      <c r="C4205" s="3">
        <v>5.5741995582969404</v>
      </c>
      <c r="D4205" s="3">
        <v>2.1109445316003002</v>
      </c>
      <c r="E4205" s="3">
        <v>2.6406186779674101</v>
      </c>
      <c r="F4205" s="3">
        <v>8.2754803244566508E-3</v>
      </c>
      <c r="G4205" s="3">
        <v>3.6046702608087802E-2</v>
      </c>
      <c r="H4205" s="3" t="str">
        <f>"KLKP1"</f>
        <v>KLKP1</v>
      </c>
      <c r="I4205" s="3" t="str">
        <f>"transcribed_unprocessed_pseudogene"</f>
        <v>transcribed_unprocessed_pseudogene</v>
      </c>
    </row>
    <row r="4206" spans="1:9" x14ac:dyDescent="0.2">
      <c r="A4206" s="3" t="str">
        <f>"ENSG00000167755.15"</f>
        <v>ENSG00000167755.15</v>
      </c>
      <c r="B4206" s="3">
        <v>24.620074528688601</v>
      </c>
      <c r="C4206" s="3">
        <v>-3.2994346970352901</v>
      </c>
      <c r="D4206" s="3">
        <v>0.84896175259625395</v>
      </c>
      <c r="E4206" s="3">
        <v>-3.8864350330802599</v>
      </c>
      <c r="F4206" s="3">
        <v>1.01727135070418E-4</v>
      </c>
      <c r="G4206" s="3">
        <v>8.2413722470091896E-4</v>
      </c>
      <c r="H4206" s="3" t="str">
        <f>"KLK6"</f>
        <v>KLK6</v>
      </c>
      <c r="I4206" s="3" t="str">
        <f>"protein_coding"</f>
        <v>protein_coding</v>
      </c>
    </row>
    <row r="4207" spans="1:9" x14ac:dyDescent="0.2">
      <c r="A4207" s="3" t="str">
        <f>"ENSG00000105501.12"</f>
        <v>ENSG00000105501.12</v>
      </c>
      <c r="B4207" s="3">
        <v>8.0061422831803295</v>
      </c>
      <c r="C4207" s="3">
        <v>6.5199450130535004</v>
      </c>
      <c r="D4207" s="3">
        <v>1.8253533491460801</v>
      </c>
      <c r="E4207" s="3">
        <v>3.5718810366790699</v>
      </c>
      <c r="F4207" s="3">
        <v>3.5442641076068601E-4</v>
      </c>
      <c r="G4207" s="3">
        <v>2.4820702568722299E-3</v>
      </c>
      <c r="H4207" s="3" t="str">
        <f>"SIGLEC5"</f>
        <v>SIGLEC5</v>
      </c>
      <c r="I4207" s="3" t="str">
        <f>"protein_coding"</f>
        <v>protein_coding</v>
      </c>
    </row>
    <row r="4208" spans="1:9" x14ac:dyDescent="0.2">
      <c r="A4208" s="3" t="str">
        <f>"ENSG00000273837.1"</f>
        <v>ENSG00000273837.1</v>
      </c>
      <c r="B4208" s="3">
        <v>43.777661834170402</v>
      </c>
      <c r="C4208" s="3">
        <v>8.9698168962606992</v>
      </c>
      <c r="D4208" s="3">
        <v>1.5360382763693401</v>
      </c>
      <c r="E4208" s="3">
        <v>5.8395790223810398</v>
      </c>
      <c r="F4208" s="4">
        <v>5.2332889778608897E-9</v>
      </c>
      <c r="G4208" s="4">
        <v>9.6442039734864894E-8</v>
      </c>
      <c r="H4208" s="3" t="str">
        <f>"AC018755.4"</f>
        <v>AC018755.4</v>
      </c>
      <c r="I4208" s="3" t="str">
        <f>"sense_intronic"</f>
        <v>sense_intronic</v>
      </c>
    </row>
    <row r="4209" spans="1:9" x14ac:dyDescent="0.2">
      <c r="A4209" s="3" t="str">
        <f>"ENSG00000254415.3"</f>
        <v>ENSG00000254415.3</v>
      </c>
      <c r="B4209" s="3">
        <v>812.00267133071895</v>
      </c>
      <c r="C4209" s="3">
        <v>11.7442010192878</v>
      </c>
      <c r="D4209" s="3">
        <v>1.4429326091227399</v>
      </c>
      <c r="E4209" s="3">
        <v>8.1391195576541708</v>
      </c>
      <c r="F4209" s="4">
        <v>3.9816265115234899E-16</v>
      </c>
      <c r="G4209" s="4">
        <v>1.6076695810172299E-14</v>
      </c>
      <c r="H4209" s="3" t="str">
        <f>"SIGLEC14"</f>
        <v>SIGLEC14</v>
      </c>
      <c r="I4209" s="3" t="str">
        <f>"protein_coding"</f>
        <v>protein_coding</v>
      </c>
    </row>
    <row r="4210" spans="1:9" x14ac:dyDescent="0.2">
      <c r="A4210" s="3" t="str">
        <f>"ENSG00000243469.1"</f>
        <v>ENSG00000243469.1</v>
      </c>
      <c r="B4210" s="3">
        <v>8.07614583845562</v>
      </c>
      <c r="C4210" s="3">
        <v>6.5312222652024596</v>
      </c>
      <c r="D4210" s="3">
        <v>1.8235486276564199</v>
      </c>
      <c r="E4210" s="3">
        <v>3.58160027440355</v>
      </c>
      <c r="F4210" s="3">
        <v>3.41496016600229E-4</v>
      </c>
      <c r="G4210" s="3">
        <v>2.40154663057835E-3</v>
      </c>
      <c r="H4210" s="3" t="str">
        <f>"RPL7P51"</f>
        <v>RPL7P51</v>
      </c>
      <c r="I4210" s="3" t="str">
        <f>"processed_pseudogene"</f>
        <v>processed_pseudogene</v>
      </c>
    </row>
    <row r="4211" spans="1:9" x14ac:dyDescent="0.2">
      <c r="A4211" s="3" t="str">
        <f>"ENSG00000182310.14"</f>
        <v>ENSG00000182310.14</v>
      </c>
      <c r="B4211" s="3">
        <v>124.548011207616</v>
      </c>
      <c r="C4211" s="3">
        <v>1.30993234940067</v>
      </c>
      <c r="D4211" s="3">
        <v>0.37559242587068697</v>
      </c>
      <c r="E4211" s="3">
        <v>3.4876431449969401</v>
      </c>
      <c r="F4211" s="3">
        <v>4.8729799540980702E-4</v>
      </c>
      <c r="G4211" s="3">
        <v>3.2687949532089898E-3</v>
      </c>
      <c r="H4211" s="3" t="str">
        <f>"SPACA6"</f>
        <v>SPACA6</v>
      </c>
      <c r="I4211" s="3" t="str">
        <f>"protein_coding"</f>
        <v>protein_coding</v>
      </c>
    </row>
    <row r="4212" spans="1:9" x14ac:dyDescent="0.2">
      <c r="A4212" s="3" t="str">
        <f>"ENSG00000142556.19"</f>
        <v>ENSG00000142556.19</v>
      </c>
      <c r="B4212" s="3">
        <v>1437.61659843806</v>
      </c>
      <c r="C4212" s="3">
        <v>-1.20648185477974</v>
      </c>
      <c r="D4212" s="3">
        <v>0.32026191690143102</v>
      </c>
      <c r="E4212" s="3">
        <v>-3.76717240205324</v>
      </c>
      <c r="F4212" s="3">
        <v>1.6510698656725699E-4</v>
      </c>
      <c r="G4212" s="3">
        <v>1.2585655294240501E-3</v>
      </c>
      <c r="H4212" s="3" t="str">
        <f>"ZNF614"</f>
        <v>ZNF614</v>
      </c>
      <c r="I4212" s="3" t="str">
        <f>"protein_coding"</f>
        <v>protein_coding</v>
      </c>
    </row>
    <row r="4213" spans="1:9" x14ac:dyDescent="0.2">
      <c r="A4213" s="3" t="str">
        <f>"ENSG00000275055.1"</f>
        <v>ENSG00000275055.1</v>
      </c>
      <c r="B4213" s="3">
        <v>73.287352254377097</v>
      </c>
      <c r="C4213" s="3">
        <v>-1.4105951211538199</v>
      </c>
      <c r="D4213" s="3">
        <v>0.45187444325072101</v>
      </c>
      <c r="E4213" s="3">
        <v>-3.1216528002916002</v>
      </c>
      <c r="F4213" s="3">
        <v>1.798388946884E-3</v>
      </c>
      <c r="G4213" s="3">
        <v>1.0019595561210799E-2</v>
      </c>
      <c r="H4213" s="3" t="str">
        <f>"AC011468.5"</f>
        <v>AC011468.5</v>
      </c>
      <c r="I4213" s="3" t="str">
        <f>"antisense"</f>
        <v>antisense</v>
      </c>
    </row>
    <row r="4214" spans="1:9" x14ac:dyDescent="0.2">
      <c r="A4214" s="3" t="str">
        <f>"ENSG00000196267.12"</f>
        <v>ENSG00000196267.12</v>
      </c>
      <c r="B4214" s="3">
        <v>208.14641069691899</v>
      </c>
      <c r="C4214" s="3">
        <v>-1.23325211013536</v>
      </c>
      <c r="D4214" s="3">
        <v>0.36731482616018601</v>
      </c>
      <c r="E4214" s="3">
        <v>-3.3574798028913202</v>
      </c>
      <c r="F4214" s="3">
        <v>7.8656489741300601E-4</v>
      </c>
      <c r="G4214" s="3">
        <v>4.9626817325170601E-3</v>
      </c>
      <c r="H4214" s="3" t="str">
        <f>"ZNF836"</f>
        <v>ZNF836</v>
      </c>
      <c r="I4214" s="3" t="str">
        <f>"protein_coding"</f>
        <v>protein_coding</v>
      </c>
    </row>
    <row r="4215" spans="1:9" x14ac:dyDescent="0.2">
      <c r="A4215" s="3" t="str">
        <f>"ENSG00000198538.11"</f>
        <v>ENSG00000198538.11</v>
      </c>
      <c r="B4215" s="3">
        <v>863.53964791220506</v>
      </c>
      <c r="C4215" s="3">
        <v>1.29684385018911</v>
      </c>
      <c r="D4215" s="3">
        <v>0.28207567068442002</v>
      </c>
      <c r="E4215" s="3">
        <v>4.5975033828422198</v>
      </c>
      <c r="F4215" s="4">
        <v>4.2758368797669801E-6</v>
      </c>
      <c r="G4215" s="4">
        <v>4.7697861068974899E-5</v>
      </c>
      <c r="H4215" s="3" t="str">
        <f>"ZNF28"</f>
        <v>ZNF28</v>
      </c>
      <c r="I4215" s="3" t="str">
        <f>"protein_coding"</f>
        <v>protein_coding</v>
      </c>
    </row>
    <row r="4216" spans="1:9" x14ac:dyDescent="0.2">
      <c r="A4216" s="3" t="str">
        <f>"ENSG00000204604.11"</f>
        <v>ENSG00000204604.11</v>
      </c>
      <c r="B4216" s="3">
        <v>1302.94051034995</v>
      </c>
      <c r="C4216" s="3">
        <v>1.0455307977057999</v>
      </c>
      <c r="D4216" s="3">
        <v>0.278454972680026</v>
      </c>
      <c r="E4216" s="3">
        <v>3.7547571431134998</v>
      </c>
      <c r="F4216" s="3">
        <v>1.73509632193614E-4</v>
      </c>
      <c r="G4216" s="3">
        <v>1.3142531761006801E-3</v>
      </c>
      <c r="H4216" s="3" t="str">
        <f>"ZNF468"</f>
        <v>ZNF468</v>
      </c>
      <c r="I4216" s="3" t="str">
        <f>"protein_coding"</f>
        <v>protein_coding</v>
      </c>
    </row>
    <row r="4217" spans="1:9" x14ac:dyDescent="0.2">
      <c r="A4217" s="3" t="str">
        <f>"ENSG00000213801.4"</f>
        <v>ENSG00000213801.4</v>
      </c>
      <c r="B4217" s="3">
        <v>176.184689341167</v>
      </c>
      <c r="C4217" s="3">
        <v>1.7741690503699199</v>
      </c>
      <c r="D4217" s="3">
        <v>0.36032845485588599</v>
      </c>
      <c r="E4217" s="3">
        <v>4.9237550530931404</v>
      </c>
      <c r="F4217" s="4">
        <v>8.4899096224066597E-7</v>
      </c>
      <c r="G4217" s="4">
        <v>1.0758875393029701E-5</v>
      </c>
      <c r="H4217" s="3" t="str">
        <f>"ZNF321P"</f>
        <v>ZNF321P</v>
      </c>
      <c r="I4217" s="3" t="str">
        <f>"transcribed_processed_pseudogene"</f>
        <v>transcribed_processed_pseudogene</v>
      </c>
    </row>
    <row r="4218" spans="1:9" x14ac:dyDescent="0.2">
      <c r="A4218" s="3" t="str">
        <f>"ENSG00000197497.11"</f>
        <v>ENSG00000197497.11</v>
      </c>
      <c r="B4218" s="3">
        <v>70.768015229050206</v>
      </c>
      <c r="C4218" s="3">
        <v>-2.1804101854451501</v>
      </c>
      <c r="D4218" s="3">
        <v>0.47539884418934097</v>
      </c>
      <c r="E4218" s="3">
        <v>-4.5864860886719798</v>
      </c>
      <c r="F4218" s="4">
        <v>4.5076842339915503E-6</v>
      </c>
      <c r="G4218" s="4">
        <v>4.9995942198438002E-5</v>
      </c>
      <c r="H4218" s="3" t="str">
        <f>"ZNF665"</f>
        <v>ZNF665</v>
      </c>
      <c r="I4218" s="3" t="str">
        <f t="shared" ref="I4218:I4224" si="173">"protein_coding"</f>
        <v>protein_coding</v>
      </c>
    </row>
    <row r="4219" spans="1:9" x14ac:dyDescent="0.2">
      <c r="A4219" s="3" t="str">
        <f>"ENSG00000130844.17"</f>
        <v>ENSG00000130844.17</v>
      </c>
      <c r="B4219" s="3">
        <v>1330.6262730518099</v>
      </c>
      <c r="C4219" s="3">
        <v>-1.05505696141281</v>
      </c>
      <c r="D4219" s="3">
        <v>0.24642106383277401</v>
      </c>
      <c r="E4219" s="3">
        <v>-4.2815210071846499</v>
      </c>
      <c r="F4219" s="4">
        <v>1.8562019645807201E-5</v>
      </c>
      <c r="G4219" s="3">
        <v>1.79174061469793E-4</v>
      </c>
      <c r="H4219" s="3" t="str">
        <f>"ZNF331"</f>
        <v>ZNF331</v>
      </c>
      <c r="I4219" s="3" t="str">
        <f t="shared" si="173"/>
        <v>protein_coding</v>
      </c>
    </row>
    <row r="4220" spans="1:9" x14ac:dyDescent="0.2">
      <c r="A4220" s="3" t="str">
        <f>"ENSG00000179820.16"</f>
        <v>ENSG00000179820.16</v>
      </c>
      <c r="B4220" s="3">
        <v>3681.5616438292</v>
      </c>
      <c r="C4220" s="3">
        <v>-2.1547582792800801</v>
      </c>
      <c r="D4220" s="3">
        <v>0.25494099172021001</v>
      </c>
      <c r="E4220" s="3">
        <v>-8.4519883002764207</v>
      </c>
      <c r="F4220" s="4">
        <v>2.8638330326316498E-17</v>
      </c>
      <c r="G4220" s="4">
        <v>1.28276007158258E-15</v>
      </c>
      <c r="H4220" s="3" t="str">
        <f>"MYADM"</f>
        <v>MYADM</v>
      </c>
      <c r="I4220" s="3" t="str">
        <f t="shared" si="173"/>
        <v>protein_coding</v>
      </c>
    </row>
    <row r="4221" spans="1:9" x14ac:dyDescent="0.2">
      <c r="A4221" s="3" t="str">
        <f>"ENSG00000167614.13"</f>
        <v>ENSG00000167614.13</v>
      </c>
      <c r="B4221" s="3">
        <v>217.93453663115699</v>
      </c>
      <c r="C4221" s="3">
        <v>-3.02579066716324</v>
      </c>
      <c r="D4221" s="3">
        <v>0.37553718499706401</v>
      </c>
      <c r="E4221" s="3">
        <v>-8.0572331796833705</v>
      </c>
      <c r="F4221" s="4">
        <v>7.8040695035982998E-16</v>
      </c>
      <c r="G4221" s="4">
        <v>3.0721653890925698E-14</v>
      </c>
      <c r="H4221" s="3" t="str">
        <f>"TTYH1"</f>
        <v>TTYH1</v>
      </c>
      <c r="I4221" s="3" t="str">
        <f t="shared" si="173"/>
        <v>protein_coding</v>
      </c>
    </row>
    <row r="4222" spans="1:9" x14ac:dyDescent="0.2">
      <c r="A4222" s="3" t="str">
        <f>"ENSG00000167617.3"</f>
        <v>ENSG00000167617.3</v>
      </c>
      <c r="B4222" s="3">
        <v>13.7496825984193</v>
      </c>
      <c r="C4222" s="3">
        <v>-3.0107724594032401</v>
      </c>
      <c r="D4222" s="3">
        <v>1.04438741313629</v>
      </c>
      <c r="E4222" s="3">
        <v>-2.88281189674808</v>
      </c>
      <c r="F4222" s="3">
        <v>3.9414272559494803E-3</v>
      </c>
      <c r="G4222" s="3">
        <v>1.9455769745566901E-2</v>
      </c>
      <c r="H4222" s="3" t="str">
        <f>"CDC42EP5"</f>
        <v>CDC42EP5</v>
      </c>
      <c r="I4222" s="3" t="str">
        <f t="shared" si="173"/>
        <v>protein_coding</v>
      </c>
    </row>
    <row r="4223" spans="1:9" x14ac:dyDescent="0.2">
      <c r="A4223" s="3" t="str">
        <f>"ENSG00000105048.17"</f>
        <v>ENSG00000105048.17</v>
      </c>
      <c r="B4223" s="3">
        <v>87.7466971512724</v>
      </c>
      <c r="C4223" s="3">
        <v>-1.5251145647858699</v>
      </c>
      <c r="D4223" s="3">
        <v>0.45286041253752202</v>
      </c>
      <c r="E4223" s="3">
        <v>-3.3677365531691401</v>
      </c>
      <c r="F4223" s="3">
        <v>7.5787978437480397E-4</v>
      </c>
      <c r="G4223" s="3">
        <v>4.8203453795064898E-3</v>
      </c>
      <c r="H4223" s="3" t="str">
        <f>"TNNT1"</f>
        <v>TNNT1</v>
      </c>
      <c r="I4223" s="3" t="str">
        <f t="shared" si="173"/>
        <v>protein_coding</v>
      </c>
    </row>
    <row r="4224" spans="1:9" x14ac:dyDescent="0.2">
      <c r="A4224" s="3" t="str">
        <f>"ENSG00000167646.13"</f>
        <v>ENSG00000167646.13</v>
      </c>
      <c r="B4224" s="3">
        <v>92.632795008392804</v>
      </c>
      <c r="C4224" s="3">
        <v>2.42471964060113</v>
      </c>
      <c r="D4224" s="3">
        <v>0.47291047175765299</v>
      </c>
      <c r="E4224" s="3">
        <v>5.1272276369547196</v>
      </c>
      <c r="F4224" s="4">
        <v>2.9403991085737299E-7</v>
      </c>
      <c r="G4224" s="4">
        <v>4.06405162506441E-6</v>
      </c>
      <c r="H4224" s="3" t="str">
        <f>"DNAAF3"</f>
        <v>DNAAF3</v>
      </c>
      <c r="I4224" s="3" t="str">
        <f t="shared" si="173"/>
        <v>protein_coding</v>
      </c>
    </row>
    <row r="4225" spans="1:9" x14ac:dyDescent="0.2">
      <c r="A4225" s="3" t="str">
        <f>"ENSG00000267577.1"</f>
        <v>ENSG00000267577.1</v>
      </c>
      <c r="B4225" s="3">
        <v>11.154181010759499</v>
      </c>
      <c r="C4225" s="3">
        <v>3.0594544927612199</v>
      </c>
      <c r="D4225" s="3">
        <v>1.12686551644678</v>
      </c>
      <c r="E4225" s="3">
        <v>2.7150129701441901</v>
      </c>
      <c r="F4225" s="3">
        <v>6.6273174870220301E-3</v>
      </c>
      <c r="G4225" s="3">
        <v>2.9887087017934601E-2</v>
      </c>
      <c r="H4225" s="3" t="str">
        <f>"AC010327.3"</f>
        <v>AC010327.3</v>
      </c>
      <c r="I4225" s="3" t="str">
        <f>"antisense"</f>
        <v>antisense</v>
      </c>
    </row>
    <row r="4226" spans="1:9" x14ac:dyDescent="0.2">
      <c r="A4226" s="3" t="str">
        <f>"ENSG00000160472.5"</f>
        <v>ENSG00000160472.5</v>
      </c>
      <c r="B4226" s="3">
        <v>66.629190112642206</v>
      </c>
      <c r="C4226" s="3">
        <v>2.5688050917776302</v>
      </c>
      <c r="D4226" s="3">
        <v>0.50240423550556501</v>
      </c>
      <c r="E4226" s="3">
        <v>5.1130243541690401</v>
      </c>
      <c r="F4226" s="4">
        <v>3.1704140463581898E-7</v>
      </c>
      <c r="G4226" s="4">
        <v>4.3485150128756997E-6</v>
      </c>
      <c r="H4226" s="3" t="str">
        <f>"TMEM190"</f>
        <v>TMEM190</v>
      </c>
      <c r="I4226" s="3" t="str">
        <f>"protein_coding"</f>
        <v>protein_coding</v>
      </c>
    </row>
    <row r="4227" spans="1:9" x14ac:dyDescent="0.2">
      <c r="A4227" s="3" t="str">
        <f>"ENSG00000063241.8"</f>
        <v>ENSG00000063241.8</v>
      </c>
      <c r="B4227" s="3">
        <v>1336.47345016964</v>
      </c>
      <c r="C4227" s="3">
        <v>1.3022075688499399</v>
      </c>
      <c r="D4227" s="3">
        <v>0.29221565124682902</v>
      </c>
      <c r="E4227" s="3">
        <v>4.4563238255503101</v>
      </c>
      <c r="F4227" s="4">
        <v>8.3377058999104208E-6</v>
      </c>
      <c r="G4227" s="4">
        <v>8.7280479364230796E-5</v>
      </c>
      <c r="H4227" s="3" t="str">
        <f>"ISOC2"</f>
        <v>ISOC2</v>
      </c>
      <c r="I4227" s="3" t="str">
        <f>"protein_coding"</f>
        <v>protein_coding</v>
      </c>
    </row>
    <row r="4228" spans="1:9" x14ac:dyDescent="0.2">
      <c r="A4228" s="3" t="str">
        <f>"ENSG00000231274.5"</f>
        <v>ENSG00000231274.5</v>
      </c>
      <c r="B4228" s="3">
        <v>50.388951820718503</v>
      </c>
      <c r="C4228" s="3">
        <v>-1.81087207929688</v>
      </c>
      <c r="D4228" s="3">
        <v>0.55352717757398295</v>
      </c>
      <c r="E4228" s="3">
        <v>-3.2715143043809101</v>
      </c>
      <c r="F4228" s="3">
        <v>1.06973176822026E-3</v>
      </c>
      <c r="G4228" s="3">
        <v>6.4654259081164201E-3</v>
      </c>
      <c r="H4228" s="3" t="str">
        <f>"SBK3"</f>
        <v>SBK3</v>
      </c>
      <c r="I4228" s="3" t="str">
        <f>"protein_coding"</f>
        <v>protein_coding</v>
      </c>
    </row>
    <row r="4229" spans="1:9" x14ac:dyDescent="0.2">
      <c r="A4229" s="3" t="str">
        <f>"ENSG00000240225.10"</f>
        <v>ENSG00000240225.10</v>
      </c>
      <c r="B4229" s="3">
        <v>399.08287226324899</v>
      </c>
      <c r="C4229" s="3">
        <v>-1.1835177813264499</v>
      </c>
      <c r="D4229" s="3">
        <v>0.35974688201017502</v>
      </c>
      <c r="E4229" s="3">
        <v>-3.2898625130904602</v>
      </c>
      <c r="F4229" s="3">
        <v>1.0023634667780999E-3</v>
      </c>
      <c r="G4229" s="3">
        <v>6.1185277861691501E-3</v>
      </c>
      <c r="H4229" s="3" t="str">
        <f>"ZNF542P"</f>
        <v>ZNF542P</v>
      </c>
      <c r="I4229" s="3" t="str">
        <f>"transcribed_unprocessed_pseudogene"</f>
        <v>transcribed_unprocessed_pseudogene</v>
      </c>
    </row>
    <row r="4230" spans="1:9" x14ac:dyDescent="0.2">
      <c r="A4230" s="3" t="str">
        <f>"ENSG00000268654.2"</f>
        <v>ENSG00000268654.2</v>
      </c>
      <c r="B4230" s="3">
        <v>114.879136820721</v>
      </c>
      <c r="C4230" s="3">
        <v>-1.4737443521713001</v>
      </c>
      <c r="D4230" s="3">
        <v>0.40417534145538198</v>
      </c>
      <c r="E4230" s="3">
        <v>-3.6462995166022201</v>
      </c>
      <c r="F4230" s="3">
        <v>2.6604386354948798E-4</v>
      </c>
      <c r="G4230" s="3">
        <v>1.9236370760527101E-3</v>
      </c>
      <c r="H4230" s="3" t="str">
        <f>"MIMT1"</f>
        <v>MIMT1</v>
      </c>
      <c r="I4230" s="3" t="str">
        <f>"lincRNA"</f>
        <v>lincRNA</v>
      </c>
    </row>
    <row r="4231" spans="1:9" x14ac:dyDescent="0.2">
      <c r="A4231" s="3" t="str">
        <f>"ENSG00000186230.7"</f>
        <v>ENSG00000186230.7</v>
      </c>
      <c r="B4231" s="3">
        <v>447.192400917241</v>
      </c>
      <c r="C4231" s="3">
        <v>-1.14272123035428</v>
      </c>
      <c r="D4231" s="3">
        <v>0.27598713849009299</v>
      </c>
      <c r="E4231" s="3">
        <v>-4.1404872582325201</v>
      </c>
      <c r="F4231" s="4">
        <v>3.4656886063025802E-5</v>
      </c>
      <c r="G4231" s="3">
        <v>3.1609643542981002E-4</v>
      </c>
      <c r="H4231" s="3" t="str">
        <f>"ZNF749"</f>
        <v>ZNF749</v>
      </c>
      <c r="I4231" s="3" t="str">
        <f>"protein_coding"</f>
        <v>protein_coding</v>
      </c>
    </row>
    <row r="4232" spans="1:9" x14ac:dyDescent="0.2">
      <c r="A4232" s="3" t="str">
        <f>"ENSG00000251369.8"</f>
        <v>ENSG00000251369.8</v>
      </c>
      <c r="B4232" s="3">
        <v>1133.1048316470101</v>
      </c>
      <c r="C4232" s="3">
        <v>1.3084340242594501</v>
      </c>
      <c r="D4232" s="3">
        <v>0.25739925447536999</v>
      </c>
      <c r="E4232" s="3">
        <v>5.0832859905763996</v>
      </c>
      <c r="F4232" s="4">
        <v>3.70960501852362E-7</v>
      </c>
      <c r="G4232" s="4">
        <v>5.02775400005181E-6</v>
      </c>
      <c r="H4232" s="3" t="str">
        <f>"ZNF550"</f>
        <v>ZNF550</v>
      </c>
      <c r="I4232" s="3" t="str">
        <f>"protein_coding"</f>
        <v>protein_coding</v>
      </c>
    </row>
    <row r="4233" spans="1:9" x14ac:dyDescent="0.2">
      <c r="A4233" s="3" t="str">
        <f>"ENSG00000171649.12"</f>
        <v>ENSG00000171649.12</v>
      </c>
      <c r="B4233" s="3">
        <v>435.14804503183501</v>
      </c>
      <c r="C4233" s="3">
        <v>-1.21914693002494</v>
      </c>
      <c r="D4233" s="3">
        <v>0.30334286149420697</v>
      </c>
      <c r="E4233" s="3">
        <v>-4.0190394592431096</v>
      </c>
      <c r="F4233" s="4">
        <v>5.8435884717854999E-5</v>
      </c>
      <c r="G4233" s="3">
        <v>5.0513906531877799E-4</v>
      </c>
      <c r="H4233" s="3" t="str">
        <f>"ZIK1"</f>
        <v>ZIK1</v>
      </c>
      <c r="I4233" s="3" t="str">
        <f>"protein_coding"</f>
        <v>protein_coding</v>
      </c>
    </row>
    <row r="4234" spans="1:9" x14ac:dyDescent="0.2">
      <c r="A4234" s="3" t="str">
        <f>"ENSG00000183647.10"</f>
        <v>ENSG00000183647.10</v>
      </c>
      <c r="B4234" s="3">
        <v>390.62809593677099</v>
      </c>
      <c r="C4234" s="3">
        <v>-1.0431170896590201</v>
      </c>
      <c r="D4234" s="3">
        <v>0.302139558791853</v>
      </c>
      <c r="E4234" s="3">
        <v>-3.4524346756514501</v>
      </c>
      <c r="F4234" s="3">
        <v>5.5555197613413397E-4</v>
      </c>
      <c r="G4234" s="3">
        <v>3.66795536998797E-3</v>
      </c>
      <c r="H4234" s="3" t="str">
        <f>"ZNF530"</f>
        <v>ZNF530</v>
      </c>
      <c r="I4234" s="3" t="str">
        <f>"protein_coding"</f>
        <v>protein_coding</v>
      </c>
    </row>
    <row r="4235" spans="1:9" x14ac:dyDescent="0.2">
      <c r="A4235" s="3" t="str">
        <f>"ENSG00000269097.1"</f>
        <v>ENSG00000269097.1</v>
      </c>
      <c r="B4235" s="3">
        <v>323.66131389922799</v>
      </c>
      <c r="C4235" s="3">
        <v>7.4222251185623103</v>
      </c>
      <c r="D4235" s="3">
        <v>0.59609737119118</v>
      </c>
      <c r="E4235" s="3">
        <v>12.4513636148579</v>
      </c>
      <c r="F4235" s="4">
        <v>1.37476055116821E-35</v>
      </c>
      <c r="G4235" s="4">
        <v>1.8011511283664699E-33</v>
      </c>
      <c r="H4235" s="3" t="str">
        <f>"TPRG1LP1"</f>
        <v>TPRG1LP1</v>
      </c>
      <c r="I4235" s="3" t="str">
        <f>"processed_pseudogene"</f>
        <v>processed_pseudogene</v>
      </c>
    </row>
    <row r="4236" spans="1:9" x14ac:dyDescent="0.2">
      <c r="A4236" s="3" t="str">
        <f>"ENSG00000180532.10"</f>
        <v>ENSG00000180532.10</v>
      </c>
      <c r="B4236" s="3">
        <v>336.26870479914299</v>
      </c>
      <c r="C4236" s="3">
        <v>7.6440630329414399</v>
      </c>
      <c r="D4236" s="3">
        <v>0.63837388431967701</v>
      </c>
      <c r="E4236" s="3">
        <v>11.9742727901343</v>
      </c>
      <c r="F4236" s="4">
        <v>4.8466860053985998E-33</v>
      </c>
      <c r="G4236" s="4">
        <v>5.5670496103105803E-31</v>
      </c>
      <c r="H4236" s="3" t="str">
        <f>"ZSCAN4"</f>
        <v>ZSCAN4</v>
      </c>
      <c r="I4236" s="3" t="str">
        <f>"protein_coding"</f>
        <v>protein_coding</v>
      </c>
    </row>
    <row r="4237" spans="1:9" x14ac:dyDescent="0.2">
      <c r="A4237" s="3" t="str">
        <f>"ENSG00000268516.2"</f>
        <v>ENSG00000268516.2</v>
      </c>
      <c r="B4237" s="3">
        <v>126.803623624575</v>
      </c>
      <c r="C4237" s="3">
        <v>-1.05042735662642</v>
      </c>
      <c r="D4237" s="3">
        <v>0.38140707681795499</v>
      </c>
      <c r="E4237" s="3">
        <v>-2.75408460008147</v>
      </c>
      <c r="F4237" s="3">
        <v>5.8856552055724203E-3</v>
      </c>
      <c r="G4237" s="3">
        <v>2.7101163590732998E-2</v>
      </c>
      <c r="H4237" s="3" t="str">
        <f>"AC020915.3"</f>
        <v>AC020915.3</v>
      </c>
      <c r="I4237" s="3" t="str">
        <f>"antisense"</f>
        <v>antisense</v>
      </c>
    </row>
    <row r="4238" spans="1:9" x14ac:dyDescent="0.2">
      <c r="A4238" s="3" t="str">
        <f>"ENSG00000101280.8"</f>
        <v>ENSG00000101280.8</v>
      </c>
      <c r="B4238" s="3">
        <v>43.799990873306797</v>
      </c>
      <c r="C4238" s="3">
        <v>3.7273601059174499</v>
      </c>
      <c r="D4238" s="3">
        <v>0.64634011345740805</v>
      </c>
      <c r="E4238" s="3">
        <v>5.7668710765590898</v>
      </c>
      <c r="F4238" s="4">
        <v>8.0756781154887193E-9</v>
      </c>
      <c r="G4238" s="4">
        <v>1.44278183945397E-7</v>
      </c>
      <c r="H4238" s="3" t="str">
        <f>"ANGPT4"</f>
        <v>ANGPT4</v>
      </c>
      <c r="I4238" s="3" t="str">
        <f t="shared" ref="I4238:I4244" si="174">"protein_coding"</f>
        <v>protein_coding</v>
      </c>
    </row>
    <row r="4239" spans="1:9" x14ac:dyDescent="0.2">
      <c r="A4239" s="3" t="str">
        <f>"ENSG00000125895.5"</f>
        <v>ENSG00000125895.5</v>
      </c>
      <c r="B4239" s="3">
        <v>251.48727144406001</v>
      </c>
      <c r="C4239" s="3">
        <v>-1.9126760294796901</v>
      </c>
      <c r="D4239" s="3">
        <v>0.363673114834066</v>
      </c>
      <c r="E4239" s="3">
        <v>-5.2593275429567701</v>
      </c>
      <c r="F4239" s="4">
        <v>1.4458315360349601E-7</v>
      </c>
      <c r="G4239" s="4">
        <v>2.12440959631772E-6</v>
      </c>
      <c r="H4239" s="3" t="str">
        <f>"TMEM74B"</f>
        <v>TMEM74B</v>
      </c>
      <c r="I4239" s="3" t="str">
        <f t="shared" si="174"/>
        <v>protein_coding</v>
      </c>
    </row>
    <row r="4240" spans="1:9" x14ac:dyDescent="0.2">
      <c r="A4240" s="3" t="str">
        <f>"ENSG00000198053.11"</f>
        <v>ENSG00000198053.11</v>
      </c>
      <c r="B4240" s="3">
        <v>1256.5669445344499</v>
      </c>
      <c r="C4240" s="3">
        <v>1.0958310757946499</v>
      </c>
      <c r="D4240" s="3">
        <v>0.29915612431510102</v>
      </c>
      <c r="E4240" s="3">
        <v>3.6630741834334399</v>
      </c>
      <c r="F4240" s="3">
        <v>2.4920632833613798E-4</v>
      </c>
      <c r="G4240" s="3">
        <v>1.81388460338413E-3</v>
      </c>
      <c r="H4240" s="3" t="str">
        <f>"SIRPA"</f>
        <v>SIRPA</v>
      </c>
      <c r="I4240" s="3" t="str">
        <f t="shared" si="174"/>
        <v>protein_coding</v>
      </c>
    </row>
    <row r="4241" spans="1:9" x14ac:dyDescent="0.2">
      <c r="A4241" s="3" t="str">
        <f>"ENSG00000101327.9"</f>
        <v>ENSG00000101327.9</v>
      </c>
      <c r="B4241" s="3">
        <v>14.4021325200509</v>
      </c>
      <c r="C4241" s="3">
        <v>2.94872813455844</v>
      </c>
      <c r="D4241" s="3">
        <v>0.97864024385923598</v>
      </c>
      <c r="E4241" s="3">
        <v>3.01308693675852</v>
      </c>
      <c r="F4241" s="3">
        <v>2.58604822879465E-3</v>
      </c>
      <c r="G4241" s="3">
        <v>1.3583638169832799E-2</v>
      </c>
      <c r="H4241" s="3" t="str">
        <f>"PDYN"</f>
        <v>PDYN</v>
      </c>
      <c r="I4241" s="3" t="str">
        <f t="shared" si="174"/>
        <v>protein_coding</v>
      </c>
    </row>
    <row r="4242" spans="1:9" x14ac:dyDescent="0.2">
      <c r="A4242" s="3" t="str">
        <f>"ENSG00000088876.11"</f>
        <v>ENSG00000088876.11</v>
      </c>
      <c r="B4242" s="3">
        <v>1008.2043953825701</v>
      </c>
      <c r="C4242" s="3">
        <v>1.1243281664232401</v>
      </c>
      <c r="D4242" s="3">
        <v>0.27400238697394202</v>
      </c>
      <c r="E4242" s="3">
        <v>4.1033517220058604</v>
      </c>
      <c r="F4242" s="4">
        <v>4.0720746997524597E-5</v>
      </c>
      <c r="G4242" s="3">
        <v>3.64012221294503E-4</v>
      </c>
      <c r="H4242" s="3" t="str">
        <f>"ZNF343"</f>
        <v>ZNF343</v>
      </c>
      <c r="I4242" s="3" t="str">
        <f t="shared" si="174"/>
        <v>protein_coding</v>
      </c>
    </row>
    <row r="4243" spans="1:9" x14ac:dyDescent="0.2">
      <c r="A4243" s="3" t="str">
        <f>"ENSG00000101361.17"</f>
        <v>ENSG00000101361.17</v>
      </c>
      <c r="B4243" s="3">
        <v>10622.4993907355</v>
      </c>
      <c r="C4243" s="3">
        <v>-1.1510594039553099</v>
      </c>
      <c r="D4243" s="3">
        <v>0.24956634392532501</v>
      </c>
      <c r="E4243" s="3">
        <v>-4.6122381161288697</v>
      </c>
      <c r="F4243" s="4">
        <v>3.9835627442239003E-6</v>
      </c>
      <c r="G4243" s="4">
        <v>4.4595692403628E-5</v>
      </c>
      <c r="H4243" s="3" t="str">
        <f>"NOP56"</f>
        <v>NOP56</v>
      </c>
      <c r="I4243" s="3" t="str">
        <f t="shared" si="174"/>
        <v>protein_coding</v>
      </c>
    </row>
    <row r="4244" spans="1:9" x14ac:dyDescent="0.2">
      <c r="A4244" s="3" t="str">
        <f>"ENSG00000088836.13"</f>
        <v>ENSG00000088836.13</v>
      </c>
      <c r="B4244" s="3">
        <v>5419.74539657892</v>
      </c>
      <c r="C4244" s="3">
        <v>2.4275676044251302</v>
      </c>
      <c r="D4244" s="3">
        <v>0.29693051699184903</v>
      </c>
      <c r="E4244" s="3">
        <v>8.1755409616310093</v>
      </c>
      <c r="F4244" s="4">
        <v>2.9454134833579E-16</v>
      </c>
      <c r="G4244" s="4">
        <v>1.2126329979356401E-14</v>
      </c>
      <c r="H4244" s="3" t="str">
        <f>"SLC4A11"</f>
        <v>SLC4A11</v>
      </c>
      <c r="I4244" s="3" t="str">
        <f t="shared" si="174"/>
        <v>protein_coding</v>
      </c>
    </row>
    <row r="4245" spans="1:9" x14ac:dyDescent="0.2">
      <c r="A4245" s="3" t="str">
        <f>"ENSG00000277287.1"</f>
        <v>ENSG00000277287.1</v>
      </c>
      <c r="B4245" s="3">
        <v>595.58218179400899</v>
      </c>
      <c r="C4245" s="3">
        <v>4.7353160579528701</v>
      </c>
      <c r="D4245" s="3">
        <v>0.31763795554677499</v>
      </c>
      <c r="E4245" s="3">
        <v>14.9079037163604</v>
      </c>
      <c r="F4245" s="4">
        <v>2.9280163047121499E-50</v>
      </c>
      <c r="G4245" s="4">
        <v>8.0058967548950104E-48</v>
      </c>
      <c r="H4245" s="3" t="str">
        <f>"AL109976.1"</f>
        <v>AL109976.1</v>
      </c>
      <c r="I4245" s="3" t="str">
        <f>"lincRNA"</f>
        <v>lincRNA</v>
      </c>
    </row>
    <row r="4246" spans="1:9" x14ac:dyDescent="0.2">
      <c r="A4246" s="3" t="str">
        <f>"ENSG00000088812.18"</f>
        <v>ENSG00000088812.18</v>
      </c>
      <c r="B4246" s="3">
        <v>7727.0412957626704</v>
      </c>
      <c r="C4246" s="3">
        <v>1.34499327760777</v>
      </c>
      <c r="D4246" s="3">
        <v>0.23781448171642999</v>
      </c>
      <c r="E4246" s="3">
        <v>5.6556407662824304</v>
      </c>
      <c r="F4246" s="4">
        <v>1.55265914567615E-8</v>
      </c>
      <c r="G4246" s="4">
        <v>2.66056817503295E-7</v>
      </c>
      <c r="H4246" s="3" t="str">
        <f>"ATRN"</f>
        <v>ATRN</v>
      </c>
      <c r="I4246" s="3" t="str">
        <f t="shared" ref="I4246:I4251" si="175">"protein_coding"</f>
        <v>protein_coding</v>
      </c>
    </row>
    <row r="4247" spans="1:9" x14ac:dyDescent="0.2">
      <c r="A4247" s="3" t="str">
        <f>"ENSG00000101220.17"</f>
        <v>ENSG00000101220.17</v>
      </c>
      <c r="B4247" s="3">
        <v>1184.1543856129299</v>
      </c>
      <c r="C4247" s="3">
        <v>-1.2854943845567901</v>
      </c>
      <c r="D4247" s="3">
        <v>0.31152046039076497</v>
      </c>
      <c r="E4247" s="3">
        <v>-4.1265167075841003</v>
      </c>
      <c r="F4247" s="4">
        <v>3.6829925837003501E-5</v>
      </c>
      <c r="G4247" s="3">
        <v>3.3273179105467598E-4</v>
      </c>
      <c r="H4247" s="3" t="str">
        <f>"C20orf27"</f>
        <v>C20orf27</v>
      </c>
      <c r="I4247" s="3" t="str">
        <f t="shared" si="175"/>
        <v>protein_coding</v>
      </c>
    </row>
    <row r="4248" spans="1:9" x14ac:dyDescent="0.2">
      <c r="A4248" s="3" t="str">
        <f>"ENSG00000089057.15"</f>
        <v>ENSG00000089057.15</v>
      </c>
      <c r="B4248" s="3">
        <v>11800.696747334599</v>
      </c>
      <c r="C4248" s="3">
        <v>1.8115968516532699</v>
      </c>
      <c r="D4248" s="3">
        <v>0.25578213233119901</v>
      </c>
      <c r="E4248" s="3">
        <v>7.0825777983097398</v>
      </c>
      <c r="F4248" s="4">
        <v>1.41497275626213E-12</v>
      </c>
      <c r="G4248" s="4">
        <v>4.0128116892642503E-11</v>
      </c>
      <c r="H4248" s="3" t="str">
        <f>"SLC23A2"</f>
        <v>SLC23A2</v>
      </c>
      <c r="I4248" s="3" t="str">
        <f t="shared" si="175"/>
        <v>protein_coding</v>
      </c>
    </row>
    <row r="4249" spans="1:9" x14ac:dyDescent="0.2">
      <c r="A4249" s="3" t="str">
        <f>"ENSG00000132646.11"</f>
        <v>ENSG00000132646.11</v>
      </c>
      <c r="B4249" s="3">
        <v>23214.6954397679</v>
      </c>
      <c r="C4249" s="3">
        <v>1.08524977753481</v>
      </c>
      <c r="D4249" s="3">
        <v>0.23747109336526501</v>
      </c>
      <c r="E4249" s="3">
        <v>4.5700289755500298</v>
      </c>
      <c r="F4249" s="4">
        <v>4.8765678608741701E-6</v>
      </c>
      <c r="G4249" s="4">
        <v>5.3544331968699099E-5</v>
      </c>
      <c r="H4249" s="3" t="str">
        <f>"PCNA"</f>
        <v>PCNA</v>
      </c>
      <c r="I4249" s="3" t="str">
        <f t="shared" si="175"/>
        <v>protein_coding</v>
      </c>
    </row>
    <row r="4250" spans="1:9" x14ac:dyDescent="0.2">
      <c r="A4250" s="3" t="str">
        <f>"ENSG00000125772.12"</f>
        <v>ENSG00000125772.12</v>
      </c>
      <c r="B4250" s="3">
        <v>1895.58920367678</v>
      </c>
      <c r="C4250" s="3">
        <v>1.36323416795742</v>
      </c>
      <c r="D4250" s="3">
        <v>0.25714931107836903</v>
      </c>
      <c r="E4250" s="3">
        <v>5.3013331524810603</v>
      </c>
      <c r="F4250" s="4">
        <v>1.1496008291488001E-7</v>
      </c>
      <c r="G4250" s="4">
        <v>1.71113661877148E-6</v>
      </c>
      <c r="H4250" s="3" t="str">
        <f>"GPCPD1"</f>
        <v>GPCPD1</v>
      </c>
      <c r="I4250" s="3" t="str">
        <f t="shared" si="175"/>
        <v>protein_coding</v>
      </c>
    </row>
    <row r="4251" spans="1:9" x14ac:dyDescent="0.2">
      <c r="A4251" s="3" t="str">
        <f>"ENSG00000125885.13"</f>
        <v>ENSG00000125885.13</v>
      </c>
      <c r="B4251" s="3">
        <v>1915.8709168094899</v>
      </c>
      <c r="C4251" s="3">
        <v>-1.18593229255635</v>
      </c>
      <c r="D4251" s="3">
        <v>0.26843703312148198</v>
      </c>
      <c r="E4251" s="3">
        <v>-4.4179161077959304</v>
      </c>
      <c r="F4251" s="4">
        <v>9.9657084814178302E-6</v>
      </c>
      <c r="G4251" s="3">
        <v>1.02071510424966E-4</v>
      </c>
      <c r="H4251" s="3" t="str">
        <f>"MCM8"</f>
        <v>MCM8</v>
      </c>
      <c r="I4251" s="3" t="str">
        <f t="shared" si="175"/>
        <v>protein_coding</v>
      </c>
    </row>
    <row r="4252" spans="1:9" x14ac:dyDescent="0.2">
      <c r="A4252" s="3" t="str">
        <f>"ENSG00000275632.1"</f>
        <v>ENSG00000275632.1</v>
      </c>
      <c r="B4252" s="3">
        <v>78.049613260140305</v>
      </c>
      <c r="C4252" s="3">
        <v>-1.3976754393789801</v>
      </c>
      <c r="D4252" s="3">
        <v>0.44247581545356801</v>
      </c>
      <c r="E4252" s="3">
        <v>-3.1587612035841302</v>
      </c>
      <c r="F4252" s="3">
        <v>1.5844125563081401E-3</v>
      </c>
      <c r="G4252" s="3">
        <v>9.0273834323740098E-3</v>
      </c>
      <c r="H4252" s="3" t="str">
        <f>"AL035461.2"</f>
        <v>AL035461.2</v>
      </c>
      <c r="I4252" s="3" t="str">
        <f>"lincRNA"</f>
        <v>lincRNA</v>
      </c>
    </row>
    <row r="4253" spans="1:9" x14ac:dyDescent="0.2">
      <c r="A4253" s="3" t="str">
        <f>"ENSG00000125845.7"</f>
        <v>ENSG00000125845.7</v>
      </c>
      <c r="B4253" s="3">
        <v>35.272729916742897</v>
      </c>
      <c r="C4253" s="3">
        <v>-2.49643132829237</v>
      </c>
      <c r="D4253" s="3">
        <v>0.68168194205983801</v>
      </c>
      <c r="E4253" s="3">
        <v>-3.6621643823348302</v>
      </c>
      <c r="F4253" s="3">
        <v>2.5009328874948998E-4</v>
      </c>
      <c r="G4253" s="3">
        <v>1.8187616879136799E-3</v>
      </c>
      <c r="H4253" s="3" t="str">
        <f>"BMP2"</f>
        <v>BMP2</v>
      </c>
      <c r="I4253" s="3" t="str">
        <f>"protein_coding"</f>
        <v>protein_coding</v>
      </c>
    </row>
    <row r="4254" spans="1:9" x14ac:dyDescent="0.2">
      <c r="A4254" s="3" t="str">
        <f>"ENSG00000182621.18"</f>
        <v>ENSG00000182621.18</v>
      </c>
      <c r="B4254" s="3">
        <v>4287.1381242008902</v>
      </c>
      <c r="C4254" s="3">
        <v>1.1112762953280999</v>
      </c>
      <c r="D4254" s="3">
        <v>0.25115848857231898</v>
      </c>
      <c r="E4254" s="3">
        <v>4.4246017789206196</v>
      </c>
      <c r="F4254" s="4">
        <v>9.6620344003899192E-6</v>
      </c>
      <c r="G4254" s="4">
        <v>9.9243967064846305E-5</v>
      </c>
      <c r="H4254" s="3" t="str">
        <f>"PLCB1"</f>
        <v>PLCB1</v>
      </c>
      <c r="I4254" s="3" t="str">
        <f>"protein_coding"</f>
        <v>protein_coding</v>
      </c>
    </row>
    <row r="4255" spans="1:9" x14ac:dyDescent="0.2">
      <c r="A4255" s="3" t="str">
        <f>"ENSG00000225479.1"</f>
        <v>ENSG00000225479.1</v>
      </c>
      <c r="B4255" s="3">
        <v>459.606172722601</v>
      </c>
      <c r="C4255" s="3">
        <v>1.0944845842136399</v>
      </c>
      <c r="D4255" s="3">
        <v>0.32054872607676899</v>
      </c>
      <c r="E4255" s="3">
        <v>3.4144094023057101</v>
      </c>
      <c r="F4255" s="3">
        <v>6.3920447798405998E-4</v>
      </c>
      <c r="G4255" s="3">
        <v>4.1559029836363498E-3</v>
      </c>
      <c r="H4255" s="3" t="str">
        <f>"PLCB1-IT1"</f>
        <v>PLCB1-IT1</v>
      </c>
      <c r="I4255" s="3" t="str">
        <f>"sense_intronic"</f>
        <v>sense_intronic</v>
      </c>
    </row>
    <row r="4256" spans="1:9" x14ac:dyDescent="0.2">
      <c r="A4256" s="3" t="str">
        <f>"ENSG00000227906.7"</f>
        <v>ENSG00000227906.7</v>
      </c>
      <c r="B4256" s="3">
        <v>118.48022913961201</v>
      </c>
      <c r="C4256" s="3">
        <v>-3.7915849786684901</v>
      </c>
      <c r="D4256" s="3">
        <v>0.44965794948728099</v>
      </c>
      <c r="E4256" s="3">
        <v>-8.4321537804275906</v>
      </c>
      <c r="F4256" s="4">
        <v>3.3936061869804898E-17</v>
      </c>
      <c r="G4256" s="4">
        <v>1.51090555103529E-15</v>
      </c>
      <c r="H4256" s="3" t="str">
        <f>"SNAP25-AS1"</f>
        <v>SNAP25-AS1</v>
      </c>
      <c r="I4256" s="3" t="str">
        <f>"antisense"</f>
        <v>antisense</v>
      </c>
    </row>
    <row r="4257" spans="1:9" x14ac:dyDescent="0.2">
      <c r="A4257" s="3" t="str">
        <f>"ENSG00000214835.3"</f>
        <v>ENSG00000214835.3</v>
      </c>
      <c r="B4257" s="3">
        <v>54.014161087149702</v>
      </c>
      <c r="C4257" s="3">
        <v>-4.8493514049951596</v>
      </c>
      <c r="D4257" s="3">
        <v>0.73526904361525303</v>
      </c>
      <c r="E4257" s="3">
        <v>-6.5953428164897598</v>
      </c>
      <c r="F4257" s="4">
        <v>4.2427433296743697E-11</v>
      </c>
      <c r="G4257" s="4">
        <v>1.0183798516980799E-9</v>
      </c>
      <c r="H4257" s="3" t="str">
        <f>"RPL23AP6"</f>
        <v>RPL23AP6</v>
      </c>
      <c r="I4257" s="3" t="str">
        <f>"processed_pseudogene"</f>
        <v>processed_pseudogene</v>
      </c>
    </row>
    <row r="4258" spans="1:9" x14ac:dyDescent="0.2">
      <c r="A4258" s="3" t="str">
        <f>"ENSG00000101384.12"</f>
        <v>ENSG00000101384.12</v>
      </c>
      <c r="B4258" s="3">
        <v>13991.374968439301</v>
      </c>
      <c r="C4258" s="3">
        <v>1.21832768409378</v>
      </c>
      <c r="D4258" s="3">
        <v>0.28117095286990001</v>
      </c>
      <c r="E4258" s="3">
        <v>4.3330495972587704</v>
      </c>
      <c r="F4258" s="4">
        <v>1.4705796355069699E-5</v>
      </c>
      <c r="G4258" s="3">
        <v>1.4489788770535801E-4</v>
      </c>
      <c r="H4258" s="3" t="str">
        <f>"JAG1"</f>
        <v>JAG1</v>
      </c>
      <c r="I4258" s="3" t="str">
        <f>"protein_coding"</f>
        <v>protein_coding</v>
      </c>
    </row>
    <row r="4259" spans="1:9" x14ac:dyDescent="0.2">
      <c r="A4259" s="3" t="str">
        <f>"ENSG00000172296.13"</f>
        <v>ENSG00000172296.13</v>
      </c>
      <c r="B4259" s="3">
        <v>879.49585407545396</v>
      </c>
      <c r="C4259" s="3">
        <v>-3.4577051104998802</v>
      </c>
      <c r="D4259" s="3">
        <v>0.27311510250497401</v>
      </c>
      <c r="E4259" s="3">
        <v>-12.660248659946999</v>
      </c>
      <c r="F4259" s="4">
        <v>9.8187851305470797E-37</v>
      </c>
      <c r="G4259" s="4">
        <v>1.34968054622356E-34</v>
      </c>
      <c r="H4259" s="3" t="str">
        <f>"SPTLC3"</f>
        <v>SPTLC3</v>
      </c>
      <c r="I4259" s="3" t="str">
        <f>"protein_coding"</f>
        <v>protein_coding</v>
      </c>
    </row>
    <row r="4260" spans="1:9" x14ac:dyDescent="0.2">
      <c r="A4260" s="3" t="str">
        <f>"ENSG00000101230.6"</f>
        <v>ENSG00000101230.6</v>
      </c>
      <c r="B4260" s="3">
        <v>740.699696152451</v>
      </c>
      <c r="C4260" s="3">
        <v>-1.9579368895040099</v>
      </c>
      <c r="D4260" s="3">
        <v>0.293886628792629</v>
      </c>
      <c r="E4260" s="3">
        <v>-6.6622183443587701</v>
      </c>
      <c r="F4260" s="4">
        <v>2.6972489892127901E-11</v>
      </c>
      <c r="G4260" s="4">
        <v>6.60012629607469E-10</v>
      </c>
      <c r="H4260" s="3" t="str">
        <f>"ISM1"</f>
        <v>ISM1</v>
      </c>
      <c r="I4260" s="3" t="str">
        <f>"protein_coding"</f>
        <v>protein_coding</v>
      </c>
    </row>
    <row r="4261" spans="1:9" x14ac:dyDescent="0.2">
      <c r="A4261" s="3" t="str">
        <f>"ENSG00000125864.14"</f>
        <v>ENSG00000125864.14</v>
      </c>
      <c r="B4261" s="3">
        <v>53.753637144804998</v>
      </c>
      <c r="C4261" s="3">
        <v>-1.95361042654364</v>
      </c>
      <c r="D4261" s="3">
        <v>0.546339320977557</v>
      </c>
      <c r="E4261" s="3">
        <v>-3.5758188208896899</v>
      </c>
      <c r="F4261" s="3">
        <v>3.4913339559751699E-4</v>
      </c>
      <c r="G4261" s="3">
        <v>2.4496115113432902E-3</v>
      </c>
      <c r="H4261" s="3" t="str">
        <f>"BFSP1"</f>
        <v>BFSP1</v>
      </c>
      <c r="I4261" s="3" t="str">
        <f>"protein_coding"</f>
        <v>protein_coding</v>
      </c>
    </row>
    <row r="4262" spans="1:9" x14ac:dyDescent="0.2">
      <c r="A4262" s="3" t="str">
        <f>"ENSG00000179935.9"</f>
        <v>ENSG00000179935.9</v>
      </c>
      <c r="B4262" s="3">
        <v>64.521959175288302</v>
      </c>
      <c r="C4262" s="3">
        <v>-2.8082890059257699</v>
      </c>
      <c r="D4262" s="3">
        <v>0.51111774035908597</v>
      </c>
      <c r="E4262" s="3">
        <v>-5.4944072259217602</v>
      </c>
      <c r="F4262" s="4">
        <v>3.9202494418941802E-8</v>
      </c>
      <c r="G4262" s="4">
        <v>6.2691592314588802E-7</v>
      </c>
      <c r="H4262" s="3" t="str">
        <f>"LINC00652"</f>
        <v>LINC00652</v>
      </c>
      <c r="I4262" s="3" t="str">
        <f>"lincRNA"</f>
        <v>lincRNA</v>
      </c>
    </row>
    <row r="4263" spans="1:9" x14ac:dyDescent="0.2">
      <c r="A4263" s="3" t="str">
        <f>"ENSG00000132669.13"</f>
        <v>ENSG00000132669.13</v>
      </c>
      <c r="B4263" s="3">
        <v>502.669034827019</v>
      </c>
      <c r="C4263" s="3">
        <v>1.40368569056885</v>
      </c>
      <c r="D4263" s="3">
        <v>0.29561095624121603</v>
      </c>
      <c r="E4263" s="3">
        <v>4.7484224144366598</v>
      </c>
      <c r="F4263" s="4">
        <v>2.0500950407508099E-6</v>
      </c>
      <c r="G4263" s="4">
        <v>2.41320265559601E-5</v>
      </c>
      <c r="H4263" s="3" t="str">
        <f>"RIN2"</f>
        <v>RIN2</v>
      </c>
      <c r="I4263" s="3" t="str">
        <f>"protein_coding"</f>
        <v>protein_coding</v>
      </c>
    </row>
    <row r="4264" spans="1:9" x14ac:dyDescent="0.2">
      <c r="A4264" s="3" t="str">
        <f>"ENSG00000275457.1"</f>
        <v>ENSG00000275457.1</v>
      </c>
      <c r="B4264" s="3">
        <v>172.60904737355901</v>
      </c>
      <c r="C4264" s="3">
        <v>-1.31000299515484</v>
      </c>
      <c r="D4264" s="3">
        <v>0.35520097939378198</v>
      </c>
      <c r="E4264" s="3">
        <v>-3.6880613262683299</v>
      </c>
      <c r="F4264" s="3">
        <v>2.2596919482883299E-4</v>
      </c>
      <c r="G4264" s="3">
        <v>1.66524732353479E-3</v>
      </c>
      <c r="H4264" s="3" t="str">
        <f>"AL117332.1"</f>
        <v>AL117332.1</v>
      </c>
      <c r="I4264" s="3" t="str">
        <f>"antisense"</f>
        <v>antisense</v>
      </c>
    </row>
    <row r="4265" spans="1:9" x14ac:dyDescent="0.2">
      <c r="A4265" s="3" t="str">
        <f>"ENSG00000278041.1"</f>
        <v>ENSG00000278041.1</v>
      </c>
      <c r="B4265" s="3">
        <v>189.739271360131</v>
      </c>
      <c r="C4265" s="3">
        <v>2.19330447517684</v>
      </c>
      <c r="D4265" s="3">
        <v>0.35842587418267602</v>
      </c>
      <c r="E4265" s="3">
        <v>6.1192693752320801</v>
      </c>
      <c r="F4265" s="4">
        <v>9.4005374964770505E-10</v>
      </c>
      <c r="G4265" s="4">
        <v>1.9225245587307301E-8</v>
      </c>
      <c r="H4265" s="3" t="str">
        <f>"AL133325.3"</f>
        <v>AL133325.3</v>
      </c>
      <c r="I4265" s="3" t="str">
        <f>"lincRNA"</f>
        <v>lincRNA</v>
      </c>
    </row>
    <row r="4266" spans="1:9" x14ac:dyDescent="0.2">
      <c r="A4266" s="3" t="str">
        <f>"ENSG00000132661.4"</f>
        <v>ENSG00000132661.4</v>
      </c>
      <c r="B4266" s="3">
        <v>880.27196855493503</v>
      </c>
      <c r="C4266" s="3">
        <v>-1.48251868759035</v>
      </c>
      <c r="D4266" s="3">
        <v>0.290354480252486</v>
      </c>
      <c r="E4266" s="3">
        <v>-5.1058922400686999</v>
      </c>
      <c r="F4266" s="4">
        <v>3.2923728317767601E-7</v>
      </c>
      <c r="G4266" s="4">
        <v>4.4937405633936202E-6</v>
      </c>
      <c r="H4266" s="3" t="str">
        <f>"NXT1"</f>
        <v>NXT1</v>
      </c>
      <c r="I4266" s="3" t="str">
        <f>"protein_coding"</f>
        <v>protein_coding</v>
      </c>
    </row>
    <row r="4267" spans="1:9" x14ac:dyDescent="0.2">
      <c r="A4267" s="3" t="str">
        <f>"ENSG00000101439.9"</f>
        <v>ENSG00000101439.9</v>
      </c>
      <c r="B4267" s="3">
        <v>22499.703719284102</v>
      </c>
      <c r="C4267" s="3">
        <v>1.1792000487602301</v>
      </c>
      <c r="D4267" s="3">
        <v>0.301214356649744</v>
      </c>
      <c r="E4267" s="3">
        <v>3.9148202027150401</v>
      </c>
      <c r="F4267" s="4">
        <v>9.0471600342995797E-5</v>
      </c>
      <c r="G4267" s="3">
        <v>7.4348680386411602E-4</v>
      </c>
      <c r="H4267" s="3" t="str">
        <f>"CST3"</f>
        <v>CST3</v>
      </c>
      <c r="I4267" s="3" t="str">
        <f>"protein_coding"</f>
        <v>protein_coding</v>
      </c>
    </row>
    <row r="4268" spans="1:9" x14ac:dyDescent="0.2">
      <c r="A4268" s="3" t="str">
        <f>"ENSG00000270001.1"</f>
        <v>ENSG00000270001.1</v>
      </c>
      <c r="B4268" s="3">
        <v>69.544655567312006</v>
      </c>
      <c r="C4268" s="3">
        <v>1.64387928265543</v>
      </c>
      <c r="D4268" s="3">
        <v>0.46618618408307</v>
      </c>
      <c r="E4268" s="3">
        <v>3.5262290878240701</v>
      </c>
      <c r="F4268" s="3">
        <v>4.2152217688221799E-4</v>
      </c>
      <c r="G4268" s="3">
        <v>2.8860616111791499E-3</v>
      </c>
      <c r="H4268" s="3" t="str">
        <f>"AL121894.2"</f>
        <v>AL121894.2</v>
      </c>
      <c r="I4268" s="3" t="str">
        <f>"lincRNA"</f>
        <v>lincRNA</v>
      </c>
    </row>
    <row r="4269" spans="1:9" x14ac:dyDescent="0.2">
      <c r="A4269" s="3" t="str">
        <f>"ENSG00000101441.4"</f>
        <v>ENSG00000101441.4</v>
      </c>
      <c r="B4269" s="3">
        <v>61.758152862767901</v>
      </c>
      <c r="C4269" s="3">
        <v>5.6724241722472799</v>
      </c>
      <c r="D4269" s="3">
        <v>0.78778841076154305</v>
      </c>
      <c r="E4269" s="3">
        <v>7.2004412539705198</v>
      </c>
      <c r="F4269" s="4">
        <v>6.0018011966419799E-13</v>
      </c>
      <c r="G4269" s="4">
        <v>1.7761801070768101E-11</v>
      </c>
      <c r="H4269" s="3" t="str">
        <f>"CST4"</f>
        <v>CST4</v>
      </c>
      <c r="I4269" s="3" t="str">
        <f>"protein_coding"</f>
        <v>protein_coding</v>
      </c>
    </row>
    <row r="4270" spans="1:9" x14ac:dyDescent="0.2">
      <c r="A4270" s="3" t="str">
        <f>"ENSG00000170373.8"</f>
        <v>ENSG00000170373.8</v>
      </c>
      <c r="B4270" s="3">
        <v>19.2939671655014</v>
      </c>
      <c r="C4270" s="3">
        <v>2.83289812317742</v>
      </c>
      <c r="D4270" s="3">
        <v>0.84592462400136104</v>
      </c>
      <c r="E4270" s="3">
        <v>3.3488777165243699</v>
      </c>
      <c r="F4270" s="3">
        <v>8.11395984672519E-4</v>
      </c>
      <c r="G4270" s="3">
        <v>5.1001164403891098E-3</v>
      </c>
      <c r="H4270" s="3" t="str">
        <f>"CST1"</f>
        <v>CST1</v>
      </c>
      <c r="I4270" s="3" t="str">
        <f>"protein_coding"</f>
        <v>protein_coding</v>
      </c>
    </row>
    <row r="4271" spans="1:9" x14ac:dyDescent="0.2">
      <c r="A4271" s="3" t="str">
        <f>"ENSG00000170367.5"</f>
        <v>ENSG00000170367.5</v>
      </c>
      <c r="B4271" s="3">
        <v>114.559840140539</v>
      </c>
      <c r="C4271" s="3">
        <v>8.9168895666801298</v>
      </c>
      <c r="D4271" s="3">
        <v>1.4636021052585899</v>
      </c>
      <c r="E4271" s="3">
        <v>6.0924273985686197</v>
      </c>
      <c r="F4271" s="4">
        <v>1.11211286056817E-9</v>
      </c>
      <c r="G4271" s="4">
        <v>2.2506193891868299E-8</v>
      </c>
      <c r="H4271" s="3" t="str">
        <f>"CST5"</f>
        <v>CST5</v>
      </c>
      <c r="I4271" s="3" t="str">
        <f>"protein_coding"</f>
        <v>protein_coding</v>
      </c>
    </row>
    <row r="4272" spans="1:9" x14ac:dyDescent="0.2">
      <c r="A4272" s="3" t="str">
        <f>"ENSG00000213742.6"</f>
        <v>ENSG00000213742.6</v>
      </c>
      <c r="B4272" s="3">
        <v>616.50692126215495</v>
      </c>
      <c r="C4272" s="3">
        <v>1.91528160077612</v>
      </c>
      <c r="D4272" s="3">
        <v>0.27346759267140303</v>
      </c>
      <c r="E4272" s="3">
        <v>7.0036876474701897</v>
      </c>
      <c r="F4272" s="4">
        <v>2.4931160914179801E-12</v>
      </c>
      <c r="G4272" s="4">
        <v>6.87657185083544E-11</v>
      </c>
      <c r="H4272" s="3" t="str">
        <f>"ZNF337-AS1"</f>
        <v>ZNF337-AS1</v>
      </c>
      <c r="I4272" s="3" t="str">
        <f>"antisense"</f>
        <v>antisense</v>
      </c>
    </row>
    <row r="4273" spans="1:9" x14ac:dyDescent="0.2">
      <c r="A4273" s="3" t="str">
        <f>"ENSG00000130684.14"</f>
        <v>ENSG00000130684.14</v>
      </c>
      <c r="B4273" s="3">
        <v>2426.2866751585998</v>
      </c>
      <c r="C4273" s="3">
        <v>2.6351573778103901</v>
      </c>
      <c r="D4273" s="3">
        <v>0.242909747780158</v>
      </c>
      <c r="E4273" s="3">
        <v>10.848298192608199</v>
      </c>
      <c r="F4273" s="4">
        <v>2.0317291938262702E-27</v>
      </c>
      <c r="G4273" s="4">
        <v>1.8187952978896699E-25</v>
      </c>
      <c r="H4273" s="3" t="str">
        <f>"ZNF337"</f>
        <v>ZNF337</v>
      </c>
      <c r="I4273" s="3" t="str">
        <f>"protein_coding"</f>
        <v>protein_coding</v>
      </c>
    </row>
    <row r="4274" spans="1:9" x14ac:dyDescent="0.2">
      <c r="A4274" s="3" t="str">
        <f>"ENSG00000278383.1"</f>
        <v>ENSG00000278383.1</v>
      </c>
      <c r="B4274" s="3">
        <v>72.539029191822806</v>
      </c>
      <c r="C4274" s="3">
        <v>1.4855233307217299</v>
      </c>
      <c r="D4274" s="3">
        <v>0.46709606103217499</v>
      </c>
      <c r="E4274" s="3">
        <v>3.18033795326612</v>
      </c>
      <c r="F4274" s="3">
        <v>1.47103386584036E-3</v>
      </c>
      <c r="G4274" s="3">
        <v>8.4657645607902603E-3</v>
      </c>
      <c r="H4274" s="3" t="str">
        <f>"AL031673.1"</f>
        <v>AL031673.1</v>
      </c>
      <c r="I4274" s="3" t="str">
        <f>"antisense"</f>
        <v>antisense</v>
      </c>
    </row>
    <row r="4275" spans="1:9" x14ac:dyDescent="0.2">
      <c r="A4275" s="3" t="str">
        <f>"ENSG00000175170.15"</f>
        <v>ENSG00000175170.15</v>
      </c>
      <c r="B4275" s="3">
        <v>369.63842622559503</v>
      </c>
      <c r="C4275" s="3">
        <v>4.2440498267566298</v>
      </c>
      <c r="D4275" s="3">
        <v>0.33227489630488499</v>
      </c>
      <c r="E4275" s="3">
        <v>12.772706797754701</v>
      </c>
      <c r="F4275" s="4">
        <v>2.3291155073662701E-37</v>
      </c>
      <c r="G4275" s="4">
        <v>3.34793717644563E-35</v>
      </c>
      <c r="H4275" s="3" t="str">
        <f>"FAM182B"</f>
        <v>FAM182B</v>
      </c>
      <c r="I4275" s="3" t="str">
        <f>"lincRNA"</f>
        <v>lincRNA</v>
      </c>
    </row>
    <row r="4276" spans="1:9" x14ac:dyDescent="0.2">
      <c r="A4276" s="3" t="str">
        <f>"ENSG00000277112.3"</f>
        <v>ENSG00000277112.3</v>
      </c>
      <c r="B4276" s="3">
        <v>28.347584198258701</v>
      </c>
      <c r="C4276" s="3">
        <v>3.0160093561200498</v>
      </c>
      <c r="D4276" s="3">
        <v>0.73207431800101797</v>
      </c>
      <c r="E4276" s="3">
        <v>4.1198130872224601</v>
      </c>
      <c r="F4276" s="4">
        <v>3.7917986859130902E-5</v>
      </c>
      <c r="G4276" s="3">
        <v>3.41628567135186E-4</v>
      </c>
      <c r="H4276" s="3" t="str">
        <f>"ANKRD20A21P"</f>
        <v>ANKRD20A21P</v>
      </c>
      <c r="I4276" s="3" t="str">
        <f>"transcribed_unprocessed_pseudogene"</f>
        <v>transcribed_unprocessed_pseudogene</v>
      </c>
    </row>
    <row r="4277" spans="1:9" x14ac:dyDescent="0.2">
      <c r="A4277" s="3" t="str">
        <f>"ENSG00000179772.7"</f>
        <v>ENSG00000179772.7</v>
      </c>
      <c r="B4277" s="3">
        <v>37.179719106992501</v>
      </c>
      <c r="C4277" s="3">
        <v>6.2919354171739101</v>
      </c>
      <c r="D4277" s="3">
        <v>1.16847359307453</v>
      </c>
      <c r="E4277" s="3">
        <v>5.38474763526178</v>
      </c>
      <c r="F4277" s="4">
        <v>7.2546362061729296E-8</v>
      </c>
      <c r="G4277" s="4">
        <v>1.1093639742631E-6</v>
      </c>
      <c r="H4277" s="3" t="str">
        <f>"FOXS1"</f>
        <v>FOXS1</v>
      </c>
      <c r="I4277" s="3" t="str">
        <f>"protein_coding"</f>
        <v>protein_coding</v>
      </c>
    </row>
    <row r="4278" spans="1:9" x14ac:dyDescent="0.2">
      <c r="A4278" s="3" t="str">
        <f>"ENSG00000149599.15"</f>
        <v>ENSG00000149599.15</v>
      </c>
      <c r="B4278" s="3">
        <v>95.375500949905202</v>
      </c>
      <c r="C4278" s="3">
        <v>-2.5887193330248</v>
      </c>
      <c r="D4278" s="3">
        <v>0.440152578373881</v>
      </c>
      <c r="E4278" s="3">
        <v>-5.8814135375252699</v>
      </c>
      <c r="F4278" s="4">
        <v>4.0677742486304697E-9</v>
      </c>
      <c r="G4278" s="4">
        <v>7.6134569363318105E-8</v>
      </c>
      <c r="H4278" s="3" t="str">
        <f>"DUSP15"</f>
        <v>DUSP15</v>
      </c>
      <c r="I4278" s="3" t="str">
        <f>"protein_coding"</f>
        <v>protein_coding</v>
      </c>
    </row>
    <row r="4279" spans="1:9" x14ac:dyDescent="0.2">
      <c r="A4279" s="3" t="str">
        <f>"ENSG00000101350.8"</f>
        <v>ENSG00000101350.8</v>
      </c>
      <c r="B4279" s="3">
        <v>8214.5170373358706</v>
      </c>
      <c r="C4279" s="3">
        <v>1.9241667535728399</v>
      </c>
      <c r="D4279" s="3">
        <v>0.24407434399538</v>
      </c>
      <c r="E4279" s="3">
        <v>7.8835272977698096</v>
      </c>
      <c r="F4279" s="4">
        <v>3.1826659688877902E-15</v>
      </c>
      <c r="G4279" s="4">
        <v>1.18256960778984E-13</v>
      </c>
      <c r="H4279" s="3" t="str">
        <f>"KIF3B"</f>
        <v>KIF3B</v>
      </c>
      <c r="I4279" s="3" t="str">
        <f>"protein_coding"</f>
        <v>protein_coding</v>
      </c>
    </row>
    <row r="4280" spans="1:9" x14ac:dyDescent="0.2">
      <c r="A4280" s="3" t="str">
        <f>"ENSG00000277692.1"</f>
        <v>ENSG00000277692.1</v>
      </c>
      <c r="B4280" s="3">
        <v>18.923444301439702</v>
      </c>
      <c r="C4280" s="3">
        <v>2.2558308332667898</v>
      </c>
      <c r="D4280" s="3">
        <v>0.82263179698539501</v>
      </c>
      <c r="E4280" s="3">
        <v>2.7422120583394398</v>
      </c>
      <c r="F4280" s="3">
        <v>6.1026929132568198E-3</v>
      </c>
      <c r="G4280" s="3">
        <v>2.7952155905494401E-2</v>
      </c>
      <c r="H4280" s="3" t="str">
        <f>"AL121583.1"</f>
        <v>AL121583.1</v>
      </c>
      <c r="I4280" s="3" t="str">
        <f>"lincRNA"</f>
        <v>lincRNA</v>
      </c>
    </row>
    <row r="4281" spans="1:9" x14ac:dyDescent="0.2">
      <c r="A4281" s="3" t="str">
        <f>"ENSG00000277301.1"</f>
        <v>ENSG00000277301.1</v>
      </c>
      <c r="B4281" s="3">
        <v>44.736672718106</v>
      </c>
      <c r="C4281" s="3">
        <v>3.3734672918164699</v>
      </c>
      <c r="D4281" s="3">
        <v>0.64040085287865101</v>
      </c>
      <c r="E4281" s="3">
        <v>5.2677432839954399</v>
      </c>
      <c r="F4281" s="4">
        <v>1.38111061754573E-7</v>
      </c>
      <c r="G4281" s="4">
        <v>2.0352570348191402E-6</v>
      </c>
      <c r="H4281" s="3" t="str">
        <f>"AL034550.2"</f>
        <v>AL034550.2</v>
      </c>
      <c r="I4281" s="3" t="str">
        <f>"antisense"</f>
        <v>antisense</v>
      </c>
    </row>
    <row r="4282" spans="1:9" x14ac:dyDescent="0.2">
      <c r="A4282" s="3" t="str">
        <f>"ENSG00000215529.12"</f>
        <v>ENSG00000215529.12</v>
      </c>
      <c r="B4282" s="3">
        <v>45.588331522536798</v>
      </c>
      <c r="C4282" s="3">
        <v>1.4992008304183699</v>
      </c>
      <c r="D4282" s="3">
        <v>0.53794883093801205</v>
      </c>
      <c r="E4282" s="3">
        <v>2.78688370379807</v>
      </c>
      <c r="F4282" s="3">
        <v>5.3217573713361102E-3</v>
      </c>
      <c r="G4282" s="3">
        <v>2.4966207884363999E-2</v>
      </c>
      <c r="H4282" s="3" t="str">
        <f>"EFCAB8"</f>
        <v>EFCAB8</v>
      </c>
      <c r="I4282" s="3" t="str">
        <f>"protein_coding"</f>
        <v>protein_coding</v>
      </c>
    </row>
    <row r="4283" spans="1:9" x14ac:dyDescent="0.2">
      <c r="A4283" s="3" t="str">
        <f>"ENSG00000101400.5"</f>
        <v>ENSG00000101400.5</v>
      </c>
      <c r="B4283" s="3">
        <v>456.42306791760899</v>
      </c>
      <c r="C4283" s="3">
        <v>-1.41910633139838</v>
      </c>
      <c r="D4283" s="3">
        <v>0.33826703618119802</v>
      </c>
      <c r="E4283" s="3">
        <v>-4.1952250134069002</v>
      </c>
      <c r="F4283" s="4">
        <v>2.7260083011484198E-5</v>
      </c>
      <c r="G4283" s="3">
        <v>2.5369122758190401E-4</v>
      </c>
      <c r="H4283" s="3" t="str">
        <f>"SNTA1"</f>
        <v>SNTA1</v>
      </c>
      <c r="I4283" s="3" t="str">
        <f>"protein_coding"</f>
        <v>protein_coding</v>
      </c>
    </row>
    <row r="4284" spans="1:9" x14ac:dyDescent="0.2">
      <c r="A4284" s="3" t="str">
        <f>"ENSG00000078699.21"</f>
        <v>ENSG00000078699.21</v>
      </c>
      <c r="B4284" s="3">
        <v>1677.5134369359</v>
      </c>
      <c r="C4284" s="3">
        <v>1.06072613975432</v>
      </c>
      <c r="D4284" s="3">
        <v>0.27763118164621498</v>
      </c>
      <c r="E4284" s="3">
        <v>3.82063042582155</v>
      </c>
      <c r="F4284" s="3">
        <v>1.3311099001667601E-4</v>
      </c>
      <c r="G4284" s="3">
        <v>1.0434424910780601E-3</v>
      </c>
      <c r="H4284" s="3" t="str">
        <f>"CBFA2T2"</f>
        <v>CBFA2T2</v>
      </c>
      <c r="I4284" s="3" t="str">
        <f>"protein_coding"</f>
        <v>protein_coding</v>
      </c>
    </row>
    <row r="4285" spans="1:9" x14ac:dyDescent="0.2">
      <c r="A4285" s="3" t="str">
        <f>"ENSG00000275223.1"</f>
        <v>ENSG00000275223.1</v>
      </c>
      <c r="B4285" s="3">
        <v>105.456322993605</v>
      </c>
      <c r="C4285" s="3">
        <v>-1.38745369950445</v>
      </c>
      <c r="D4285" s="3">
        <v>0.43354662023385998</v>
      </c>
      <c r="E4285" s="3">
        <v>-3.20024106924427</v>
      </c>
      <c r="F4285" s="3">
        <v>1.3731268584062501E-3</v>
      </c>
      <c r="G4285" s="3">
        <v>7.9845136669461896E-3</v>
      </c>
      <c r="H4285" s="3" t="str">
        <f>"AL121906.2"</f>
        <v>AL121906.2</v>
      </c>
      <c r="I4285" s="3" t="str">
        <f>"lincRNA"</f>
        <v>lincRNA</v>
      </c>
    </row>
    <row r="4286" spans="1:9" x14ac:dyDescent="0.2">
      <c r="A4286" s="3" t="str">
        <f>"ENSG00000101412.13"</f>
        <v>ENSG00000101412.13</v>
      </c>
      <c r="B4286" s="3">
        <v>4391.20862919511</v>
      </c>
      <c r="C4286" s="3">
        <v>-3.98369052745536</v>
      </c>
      <c r="D4286" s="3">
        <v>0.302077203101557</v>
      </c>
      <c r="E4286" s="3">
        <v>-13.1876569517762</v>
      </c>
      <c r="F4286" s="4">
        <v>1.03347660789752E-39</v>
      </c>
      <c r="G4286" s="4">
        <v>1.68812364101702E-37</v>
      </c>
      <c r="H4286" s="3" t="str">
        <f>"E2F1"</f>
        <v>E2F1</v>
      </c>
      <c r="I4286" s="3" t="str">
        <f>"protein_coding"</f>
        <v>protein_coding</v>
      </c>
    </row>
    <row r="4287" spans="1:9" x14ac:dyDescent="0.2">
      <c r="A4287" s="3" t="str">
        <f>"ENSG00000272945.1"</f>
        <v>ENSG00000272945.1</v>
      </c>
      <c r="B4287" s="3">
        <v>90.676877304486098</v>
      </c>
      <c r="C4287" s="3">
        <v>1.19844121630301</v>
      </c>
      <c r="D4287" s="3">
        <v>0.41187195629685802</v>
      </c>
      <c r="E4287" s="3">
        <v>2.9097422098804602</v>
      </c>
      <c r="F4287" s="3">
        <v>3.6172698159636302E-3</v>
      </c>
      <c r="G4287" s="3">
        <v>1.8111549008870399E-2</v>
      </c>
      <c r="H4287" s="3" t="str">
        <f>"AL356299.2"</f>
        <v>AL356299.2</v>
      </c>
      <c r="I4287" s="3" t="str">
        <f>"sense_intronic"</f>
        <v>sense_intronic</v>
      </c>
    </row>
    <row r="4288" spans="1:9" x14ac:dyDescent="0.2">
      <c r="A4288" s="3" t="str">
        <f>"ENSG00000231795.1"</f>
        <v>ENSG00000231795.1</v>
      </c>
      <c r="B4288" s="3">
        <v>60.183564651647302</v>
      </c>
      <c r="C4288" s="3">
        <v>1.53780607585226</v>
      </c>
      <c r="D4288" s="3">
        <v>0.49510059407175699</v>
      </c>
      <c r="E4288" s="3">
        <v>3.1060477290184401</v>
      </c>
      <c r="F4288" s="3">
        <v>1.8960610875704E-3</v>
      </c>
      <c r="G4288" s="3">
        <v>1.04802058136307E-2</v>
      </c>
      <c r="H4288" s="3" t="str">
        <f>"ITCH-IT1"</f>
        <v>ITCH-IT1</v>
      </c>
      <c r="I4288" s="3" t="str">
        <f>"sense_intronic"</f>
        <v>sense_intronic</v>
      </c>
    </row>
    <row r="4289" spans="1:9" x14ac:dyDescent="0.2">
      <c r="A4289" s="3" t="str">
        <f>"ENSG00000078804.13"</f>
        <v>ENSG00000078804.13</v>
      </c>
      <c r="B4289" s="3">
        <v>6545.6490504886297</v>
      </c>
      <c r="C4289" s="3">
        <v>2.0717360510018499</v>
      </c>
      <c r="D4289" s="3">
        <v>0.240428444649083</v>
      </c>
      <c r="E4289" s="3">
        <v>8.6168508639884198</v>
      </c>
      <c r="F4289" s="4">
        <v>6.88206781035375E-18</v>
      </c>
      <c r="G4289" s="4">
        <v>3.1940667116134402E-16</v>
      </c>
      <c r="H4289" s="3" t="str">
        <f>"TP53INP2"</f>
        <v>TP53INP2</v>
      </c>
      <c r="I4289" s="3" t="str">
        <f>"protein_coding"</f>
        <v>protein_coding</v>
      </c>
    </row>
    <row r="4290" spans="1:9" x14ac:dyDescent="0.2">
      <c r="A4290" s="3" t="str">
        <f>"ENSG00000101000.6"</f>
        <v>ENSG00000101000.6</v>
      </c>
      <c r="B4290" s="3">
        <v>576.14585202359399</v>
      </c>
      <c r="C4290" s="3">
        <v>4.1613795484256304</v>
      </c>
      <c r="D4290" s="3">
        <v>0.32220467522105101</v>
      </c>
      <c r="E4290" s="3">
        <v>12.915329504671799</v>
      </c>
      <c r="F4290" s="4">
        <v>3.68861643360759E-38</v>
      </c>
      <c r="G4290" s="4">
        <v>5.6234634174181103E-36</v>
      </c>
      <c r="H4290" s="3" t="str">
        <f>"PROCR"</f>
        <v>PROCR</v>
      </c>
      <c r="I4290" s="3" t="str">
        <f>"protein_coding"</f>
        <v>protein_coding</v>
      </c>
    </row>
    <row r="4291" spans="1:9" x14ac:dyDescent="0.2">
      <c r="A4291" s="3" t="str">
        <f>"ENSG00000101335.10"</f>
        <v>ENSG00000101335.10</v>
      </c>
      <c r="B4291" s="3">
        <v>562.52663493473096</v>
      </c>
      <c r="C4291" s="3">
        <v>-1.3036776607137099</v>
      </c>
      <c r="D4291" s="3">
        <v>0.31989482388199902</v>
      </c>
      <c r="E4291" s="3">
        <v>-4.0753321510278804</v>
      </c>
      <c r="F4291" s="4">
        <v>4.5948714983958799E-5</v>
      </c>
      <c r="G4291" s="3">
        <v>4.0612787260066203E-4</v>
      </c>
      <c r="H4291" s="3" t="str">
        <f>"MYL9"</f>
        <v>MYL9</v>
      </c>
      <c r="I4291" s="3" t="str">
        <f>"protein_coding"</f>
        <v>protein_coding</v>
      </c>
    </row>
    <row r="4292" spans="1:9" x14ac:dyDescent="0.2">
      <c r="A4292" s="3" t="str">
        <f>"ENSG00000149639.15"</f>
        <v>ENSG00000149639.15</v>
      </c>
      <c r="B4292" s="3">
        <v>5019.7530435274502</v>
      </c>
      <c r="C4292" s="3">
        <v>1.31513456793331</v>
      </c>
      <c r="D4292" s="3">
        <v>0.2805111286791</v>
      </c>
      <c r="E4292" s="3">
        <v>4.6883507764064802</v>
      </c>
      <c r="F4292" s="4">
        <v>2.75415636179768E-6</v>
      </c>
      <c r="G4292" s="4">
        <v>3.1620631346882901E-5</v>
      </c>
      <c r="H4292" s="3" t="str">
        <f>"SOGA1"</f>
        <v>SOGA1</v>
      </c>
      <c r="I4292" s="3" t="str">
        <f>"protein_coding"</f>
        <v>protein_coding</v>
      </c>
    </row>
    <row r="4293" spans="1:9" x14ac:dyDescent="0.2">
      <c r="A4293" s="3" t="str">
        <f>"ENSG00000101347.9"</f>
        <v>ENSG00000101347.9</v>
      </c>
      <c r="B4293" s="3">
        <v>1334.08759897658</v>
      </c>
      <c r="C4293" s="3">
        <v>-1.03667023482402</v>
      </c>
      <c r="D4293" s="3">
        <v>0.25558570054638602</v>
      </c>
      <c r="E4293" s="3">
        <v>-4.0560572544076301</v>
      </c>
      <c r="F4293" s="4">
        <v>4.9908030503963603E-5</v>
      </c>
      <c r="G4293" s="3">
        <v>4.38503844682922E-4</v>
      </c>
      <c r="H4293" s="3" t="str">
        <f>"SAMHD1"</f>
        <v>SAMHD1</v>
      </c>
      <c r="I4293" s="3" t="str">
        <f>"protein_coding"</f>
        <v>protein_coding</v>
      </c>
    </row>
    <row r="4294" spans="1:9" x14ac:dyDescent="0.2">
      <c r="A4294" s="3" t="str">
        <f>"ENSG00000269846.1"</f>
        <v>ENSG00000269846.1</v>
      </c>
      <c r="B4294" s="3">
        <v>24.4271556678687</v>
      </c>
      <c r="C4294" s="3">
        <v>-2.21479053869031</v>
      </c>
      <c r="D4294" s="3">
        <v>0.74579778255555496</v>
      </c>
      <c r="E4294" s="3">
        <v>-2.9696931131936299</v>
      </c>
      <c r="F4294" s="3">
        <v>2.9809738275168298E-3</v>
      </c>
      <c r="G4294" s="3">
        <v>1.5342519085296E-2</v>
      </c>
      <c r="H4294" s="3" t="str">
        <f>"AL136172.1"</f>
        <v>AL136172.1</v>
      </c>
      <c r="I4294" s="3" t="str">
        <f>"antisense"</f>
        <v>antisense</v>
      </c>
    </row>
    <row r="4295" spans="1:9" x14ac:dyDescent="0.2">
      <c r="A4295" s="3" t="str">
        <f>"ENSG00000166619.14"</f>
        <v>ENSG00000166619.14</v>
      </c>
      <c r="B4295" s="3">
        <v>9185.2437532962704</v>
      </c>
      <c r="C4295" s="3">
        <v>2.1574888494886899</v>
      </c>
      <c r="D4295" s="3">
        <v>0.24110205828026501</v>
      </c>
      <c r="E4295" s="3">
        <v>8.9484464167483697</v>
      </c>
      <c r="F4295" s="4">
        <v>3.6052038261635401E-19</v>
      </c>
      <c r="G4295" s="4">
        <v>1.83209903529584E-17</v>
      </c>
      <c r="H4295" s="3" t="str">
        <f>"BLCAP"</f>
        <v>BLCAP</v>
      </c>
      <c r="I4295" s="3" t="str">
        <f>"protein_coding"</f>
        <v>protein_coding</v>
      </c>
    </row>
    <row r="4296" spans="1:9" x14ac:dyDescent="0.2">
      <c r="A4296" s="3" t="str">
        <f>"ENSG00000276603.1"</f>
        <v>ENSG00000276603.1</v>
      </c>
      <c r="B4296" s="3">
        <v>356.81861661695598</v>
      </c>
      <c r="C4296" s="3">
        <v>2.5226656596230201</v>
      </c>
      <c r="D4296" s="3">
        <v>0.30981457543645602</v>
      </c>
      <c r="E4296" s="3">
        <v>8.1425015465110704</v>
      </c>
      <c r="F4296" s="4">
        <v>3.8719355495009502E-16</v>
      </c>
      <c r="G4296" s="4">
        <v>1.5684144725876999E-14</v>
      </c>
      <c r="H4296" s="3" t="str">
        <f>"AL109614.1"</f>
        <v>AL109614.1</v>
      </c>
      <c r="I4296" s="3" t="str">
        <f>"sense_intronic"</f>
        <v>sense_intronic</v>
      </c>
    </row>
    <row r="4297" spans="1:9" x14ac:dyDescent="0.2">
      <c r="A4297" s="3" t="str">
        <f>"ENSG00000198959.12"</f>
        <v>ENSG00000198959.12</v>
      </c>
      <c r="B4297" s="3">
        <v>1675.76715276046</v>
      </c>
      <c r="C4297" s="3">
        <v>-1.22862001316869</v>
      </c>
      <c r="D4297" s="3">
        <v>0.27662556202424299</v>
      </c>
      <c r="E4297" s="3">
        <v>-4.4414550997315896</v>
      </c>
      <c r="F4297" s="4">
        <v>8.9352592993542695E-6</v>
      </c>
      <c r="G4297" s="4">
        <v>9.2648989148910401E-5</v>
      </c>
      <c r="H4297" s="3" t="str">
        <f>"TGM2"</f>
        <v>TGM2</v>
      </c>
      <c r="I4297" s="3" t="str">
        <f>"protein_coding"</f>
        <v>protein_coding</v>
      </c>
    </row>
    <row r="4298" spans="1:9" x14ac:dyDescent="0.2">
      <c r="A4298" s="3" t="str">
        <f>"ENSG00000101425.13"</f>
        <v>ENSG00000101425.13</v>
      </c>
      <c r="B4298" s="3">
        <v>20.4516531461061</v>
      </c>
      <c r="C4298" s="3">
        <v>4.7863555836170004</v>
      </c>
      <c r="D4298" s="3">
        <v>1.09454858084606</v>
      </c>
      <c r="E4298" s="3">
        <v>4.3729037407524096</v>
      </c>
      <c r="F4298" s="4">
        <v>1.2260479190916899E-5</v>
      </c>
      <c r="G4298" s="3">
        <v>1.2277561864948799E-4</v>
      </c>
      <c r="H4298" s="3" t="str">
        <f>"BPI"</f>
        <v>BPI</v>
      </c>
      <c r="I4298" s="3" t="str">
        <f>"protein_coding"</f>
        <v>protein_coding</v>
      </c>
    </row>
    <row r="4299" spans="1:9" x14ac:dyDescent="0.2">
      <c r="A4299" s="3" t="str">
        <f>"ENSG00000170471.15"</f>
        <v>ENSG00000170471.15</v>
      </c>
      <c r="B4299" s="3">
        <v>8949.7941215963601</v>
      </c>
      <c r="C4299" s="3">
        <v>1.7696216654444099</v>
      </c>
      <c r="D4299" s="3">
        <v>0.28017498579460898</v>
      </c>
      <c r="E4299" s="3">
        <v>6.3161301157044996</v>
      </c>
      <c r="F4299" s="4">
        <v>2.6819426762633299E-10</v>
      </c>
      <c r="G4299" s="4">
        <v>5.8920758097296103E-9</v>
      </c>
      <c r="H4299" s="3" t="str">
        <f>"RALGAPB"</f>
        <v>RALGAPB</v>
      </c>
      <c r="I4299" s="3" t="str">
        <f>"protein_coding"</f>
        <v>protein_coding</v>
      </c>
    </row>
    <row r="4300" spans="1:9" x14ac:dyDescent="0.2">
      <c r="A4300" s="3" t="str">
        <f>"ENSG00000231307.1"</f>
        <v>ENSG00000231307.1</v>
      </c>
      <c r="B4300" s="3">
        <v>109.904574776704</v>
      </c>
      <c r="C4300" s="3">
        <v>2.9192832493671901</v>
      </c>
      <c r="D4300" s="3">
        <v>0.429138950888174</v>
      </c>
      <c r="E4300" s="3">
        <v>6.8026527149895299</v>
      </c>
      <c r="F4300" s="4">
        <v>1.0271004238817699E-11</v>
      </c>
      <c r="G4300" s="4">
        <v>2.6310296499741198E-10</v>
      </c>
      <c r="H4300" s="3" t="str">
        <f>"RPS3P2"</f>
        <v>RPS3P2</v>
      </c>
      <c r="I4300" s="3" t="str">
        <f>"processed_pseudogene"</f>
        <v>processed_pseudogene</v>
      </c>
    </row>
    <row r="4301" spans="1:9" x14ac:dyDescent="0.2">
      <c r="A4301" s="3" t="str">
        <f>"ENSG00000204103.4"</f>
        <v>ENSG00000204103.4</v>
      </c>
      <c r="B4301" s="3">
        <v>293.25211956988102</v>
      </c>
      <c r="C4301" s="3">
        <v>3.4001762701913401</v>
      </c>
      <c r="D4301" s="3">
        <v>0.32264553440320798</v>
      </c>
      <c r="E4301" s="3">
        <v>10.5384265630101</v>
      </c>
      <c r="F4301" s="4">
        <v>5.7452048019397799E-26</v>
      </c>
      <c r="G4301" s="4">
        <v>4.8013497273353899E-24</v>
      </c>
      <c r="H4301" s="3" t="str">
        <f>"MAFB"</f>
        <v>MAFB</v>
      </c>
      <c r="I4301" s="3" t="str">
        <f>"protein_coding"</f>
        <v>protein_coding</v>
      </c>
    </row>
    <row r="4302" spans="1:9" x14ac:dyDescent="0.2">
      <c r="A4302" s="3" t="str">
        <f>"ENSG00000132793.11"</f>
        <v>ENSG00000132793.11</v>
      </c>
      <c r="B4302" s="3">
        <v>1689.31799083292</v>
      </c>
      <c r="C4302" s="3">
        <v>1.9229275879824399</v>
      </c>
      <c r="D4302" s="3">
        <v>0.31094233757602002</v>
      </c>
      <c r="E4302" s="3">
        <v>6.1841935163053101</v>
      </c>
      <c r="F4302" s="4">
        <v>6.2420757550017503E-10</v>
      </c>
      <c r="G4302" s="4">
        <v>1.30849513014224E-8</v>
      </c>
      <c r="H4302" s="3" t="str">
        <f>"LPIN3"</f>
        <v>LPIN3</v>
      </c>
      <c r="I4302" s="3" t="str">
        <f>"protein_coding"</f>
        <v>protein_coding</v>
      </c>
    </row>
    <row r="4303" spans="1:9" x14ac:dyDescent="0.2">
      <c r="A4303" s="3" t="str">
        <f>"ENSG00000183798.5"</f>
        <v>ENSG00000183798.5</v>
      </c>
      <c r="B4303" s="3">
        <v>118.018600927111</v>
      </c>
      <c r="C4303" s="3">
        <v>-2.21725933930494</v>
      </c>
      <c r="D4303" s="3">
        <v>0.43214994264005901</v>
      </c>
      <c r="E4303" s="3">
        <v>-5.1307639329058397</v>
      </c>
      <c r="F4303" s="4">
        <v>2.88568626722712E-7</v>
      </c>
      <c r="G4303" s="4">
        <v>3.9906233123748301E-6</v>
      </c>
      <c r="H4303" s="3" t="str">
        <f>"EMILIN3"</f>
        <v>EMILIN3</v>
      </c>
      <c r="I4303" s="3" t="str">
        <f>"protein_coding"</f>
        <v>protein_coding</v>
      </c>
    </row>
    <row r="4304" spans="1:9" x14ac:dyDescent="0.2">
      <c r="A4304" s="3" t="str">
        <f>"ENSG00000233711.1"</f>
        <v>ENSG00000233711.1</v>
      </c>
      <c r="B4304" s="3">
        <v>31.099955949211999</v>
      </c>
      <c r="C4304" s="3">
        <v>5.3909276256996002</v>
      </c>
      <c r="D4304" s="3">
        <v>1.0331682067411101</v>
      </c>
      <c r="E4304" s="3">
        <v>5.2178605482877201</v>
      </c>
      <c r="F4304" s="4">
        <v>1.8100165299361399E-7</v>
      </c>
      <c r="G4304" s="4">
        <v>2.6047463278343002E-6</v>
      </c>
      <c r="H4304" s="3" t="str">
        <f>"EIF4EBP2P1"</f>
        <v>EIF4EBP2P1</v>
      </c>
      <c r="I4304" s="3" t="str">
        <f>"processed_pseudogene"</f>
        <v>processed_pseudogene</v>
      </c>
    </row>
    <row r="4305" spans="1:9" x14ac:dyDescent="0.2">
      <c r="A4305" s="3" t="str">
        <f>"ENSG00000226143.1"</f>
        <v>ENSG00000226143.1</v>
      </c>
      <c r="B4305" s="3">
        <v>29.267282769281799</v>
      </c>
      <c r="C4305" s="3">
        <v>-1.9700783438545499</v>
      </c>
      <c r="D4305" s="3">
        <v>0.67241468619196498</v>
      </c>
      <c r="E4305" s="3">
        <v>-2.9298562097320402</v>
      </c>
      <c r="F4305" s="3">
        <v>3.3911888606332802E-3</v>
      </c>
      <c r="G4305" s="3">
        <v>1.71502524706936E-2</v>
      </c>
      <c r="H4305" s="3" t="str">
        <f>"Z98752.1"</f>
        <v>Z98752.1</v>
      </c>
      <c r="I4305" s="3" t="str">
        <f>"antisense"</f>
        <v>antisense</v>
      </c>
    </row>
    <row r="4306" spans="1:9" x14ac:dyDescent="0.2">
      <c r="A4306" s="3" t="str">
        <f>"ENSG00000101049.15"</f>
        <v>ENSG00000101049.15</v>
      </c>
      <c r="B4306" s="3">
        <v>1081.3970141448499</v>
      </c>
      <c r="C4306" s="3">
        <v>2.5727022785231002</v>
      </c>
      <c r="D4306" s="3">
        <v>0.256665574010914</v>
      </c>
      <c r="E4306" s="3">
        <v>10.0235580421615</v>
      </c>
      <c r="F4306" s="4">
        <v>1.20099813376616E-23</v>
      </c>
      <c r="G4306" s="4">
        <v>8.2997549601340001E-22</v>
      </c>
      <c r="H4306" s="3" t="str">
        <f>"SGK2"</f>
        <v>SGK2</v>
      </c>
      <c r="I4306" s="3" t="str">
        <f>"protein_coding"</f>
        <v>protein_coding</v>
      </c>
    </row>
    <row r="4307" spans="1:9" x14ac:dyDescent="0.2">
      <c r="A4307" s="3" t="str">
        <f>"ENSG00000101057.16"</f>
        <v>ENSG00000101057.16</v>
      </c>
      <c r="B4307" s="3">
        <v>9915.0616514729409</v>
      </c>
      <c r="C4307" s="3">
        <v>-2.40989510939586</v>
      </c>
      <c r="D4307" s="3">
        <v>0.30293018527661097</v>
      </c>
      <c r="E4307" s="3">
        <v>-7.9552821954515602</v>
      </c>
      <c r="F4307" s="4">
        <v>1.78723672548228E-15</v>
      </c>
      <c r="G4307" s="4">
        <v>6.7809863996239294E-14</v>
      </c>
      <c r="H4307" s="3" t="str">
        <f>"MYBL2"</f>
        <v>MYBL2</v>
      </c>
      <c r="I4307" s="3" t="str">
        <f>"protein_coding"</f>
        <v>protein_coding</v>
      </c>
    </row>
    <row r="4308" spans="1:9" x14ac:dyDescent="0.2">
      <c r="A4308" s="3" t="str">
        <f>"ENSG00000226812.2"</f>
        <v>ENSG00000226812.2</v>
      </c>
      <c r="B4308" s="3">
        <v>69.048327217512394</v>
      </c>
      <c r="C4308" s="3">
        <v>-3.4453997097471301</v>
      </c>
      <c r="D4308" s="3">
        <v>0.56556534153278804</v>
      </c>
      <c r="E4308" s="3">
        <v>-6.0919569441957799</v>
      </c>
      <c r="F4308" s="4">
        <v>1.1153868714094199E-9</v>
      </c>
      <c r="G4308" s="4">
        <v>2.25543060693762E-8</v>
      </c>
      <c r="H4308" s="3" t="str">
        <f>"AL117382.1"</f>
        <v>AL117382.1</v>
      </c>
      <c r="I4308" s="3" t="str">
        <f>"antisense"</f>
        <v>antisense</v>
      </c>
    </row>
    <row r="4309" spans="1:9" x14ac:dyDescent="0.2">
      <c r="A4309" s="3" t="str">
        <f>"ENSG00000168734.14"</f>
        <v>ENSG00000168734.14</v>
      </c>
      <c r="B4309" s="3">
        <v>572.22063629242496</v>
      </c>
      <c r="C4309" s="3">
        <v>-1.31745660033152</v>
      </c>
      <c r="D4309" s="3">
        <v>0.31459625488342902</v>
      </c>
      <c r="E4309" s="3">
        <v>-4.1877694978272704</v>
      </c>
      <c r="F4309" s="4">
        <v>2.8170941055899601E-5</v>
      </c>
      <c r="G4309" s="3">
        <v>2.6100921630245E-4</v>
      </c>
      <c r="H4309" s="3" t="str">
        <f>"PKIG"</f>
        <v>PKIG</v>
      </c>
      <c r="I4309" s="3" t="str">
        <f>"protein_coding"</f>
        <v>protein_coding</v>
      </c>
    </row>
    <row r="4310" spans="1:9" x14ac:dyDescent="0.2">
      <c r="A4310" s="3" t="str">
        <f>"ENSG00000196839.13"</f>
        <v>ENSG00000196839.13</v>
      </c>
      <c r="B4310" s="3">
        <v>1188.33045721396</v>
      </c>
      <c r="C4310" s="3">
        <v>2.8919535193755501</v>
      </c>
      <c r="D4310" s="3">
        <v>0.281254771506049</v>
      </c>
      <c r="E4310" s="3">
        <v>10.2823269588987</v>
      </c>
      <c r="F4310" s="4">
        <v>8.4658549871884204E-25</v>
      </c>
      <c r="G4310" s="4">
        <v>6.43379402425151E-23</v>
      </c>
      <c r="H4310" s="3" t="str">
        <f>"ADA"</f>
        <v>ADA</v>
      </c>
      <c r="I4310" s="3" t="str">
        <f>"protein_coding"</f>
        <v>protein_coding</v>
      </c>
    </row>
    <row r="4311" spans="1:9" x14ac:dyDescent="0.2">
      <c r="A4311" s="3" t="str">
        <f>"ENSG00000101098.12"</f>
        <v>ENSG00000101098.12</v>
      </c>
      <c r="B4311" s="3">
        <v>751.78509259955501</v>
      </c>
      <c r="C4311" s="3">
        <v>5.1116451348534397</v>
      </c>
      <c r="D4311" s="3">
        <v>0.30684932830848299</v>
      </c>
      <c r="E4311" s="3">
        <v>16.658485658194401</v>
      </c>
      <c r="F4311" s="4">
        <v>2.6258924764510401E-62</v>
      </c>
      <c r="G4311" s="4">
        <v>1.0162203883865501E-59</v>
      </c>
      <c r="H4311" s="3" t="str">
        <f>"RIMS4"</f>
        <v>RIMS4</v>
      </c>
      <c r="I4311" s="3" t="str">
        <f>"protein_coding"</f>
        <v>protein_coding</v>
      </c>
    </row>
    <row r="4312" spans="1:9" x14ac:dyDescent="0.2">
      <c r="A4312" s="3" t="str">
        <f>"ENSG00000275894.1"</f>
        <v>ENSG00000275894.1</v>
      </c>
      <c r="B4312" s="3">
        <v>180.85390325432201</v>
      </c>
      <c r="C4312" s="3">
        <v>1.04242236329983</v>
      </c>
      <c r="D4312" s="3">
        <v>0.33681932333186099</v>
      </c>
      <c r="E4312" s="3">
        <v>3.0949007111232398</v>
      </c>
      <c r="F4312" s="3">
        <v>1.9687879149877501E-3</v>
      </c>
      <c r="G4312" s="3">
        <v>1.0806209906505999E-2</v>
      </c>
      <c r="H4312" s="3" t="str">
        <f>"AL021578.1"</f>
        <v>AL021578.1</v>
      </c>
      <c r="I4312" s="3" t="str">
        <f>"sense_intronic"</f>
        <v>sense_intronic</v>
      </c>
    </row>
    <row r="4313" spans="1:9" x14ac:dyDescent="0.2">
      <c r="A4313" s="3" t="str">
        <f>"ENSG00000149634.4"</f>
        <v>ENSG00000149634.4</v>
      </c>
      <c r="B4313" s="3">
        <v>247.19376585801501</v>
      </c>
      <c r="C4313" s="3">
        <v>1.1152236355273799</v>
      </c>
      <c r="D4313" s="3">
        <v>0.35216253531637398</v>
      </c>
      <c r="E4313" s="3">
        <v>3.1667867069547602</v>
      </c>
      <c r="F4313" s="3">
        <v>1.5413332420572299E-3</v>
      </c>
      <c r="G4313" s="3">
        <v>8.8178843993517598E-3</v>
      </c>
      <c r="H4313" s="3" t="str">
        <f>"SPATA25"</f>
        <v>SPATA25</v>
      </c>
      <c r="I4313" s="3" t="str">
        <f>"protein_coding"</f>
        <v>protein_coding</v>
      </c>
    </row>
    <row r="4314" spans="1:9" x14ac:dyDescent="0.2">
      <c r="A4314" s="3" t="str">
        <f>"ENSG00000124257.6"</f>
        <v>ENSG00000124257.6</v>
      </c>
      <c r="B4314" s="3">
        <v>1786.0053519342</v>
      </c>
      <c r="C4314" s="3">
        <v>3.1715933736136299</v>
      </c>
      <c r="D4314" s="3">
        <v>0.29941166597624203</v>
      </c>
      <c r="E4314" s="3">
        <v>10.5927514990858</v>
      </c>
      <c r="F4314" s="4">
        <v>3.21985768049568E-26</v>
      </c>
      <c r="G4314" s="4">
        <v>2.7363351335428699E-24</v>
      </c>
      <c r="H4314" s="3" t="str">
        <f>"NEURL2"</f>
        <v>NEURL2</v>
      </c>
      <c r="I4314" s="3" t="str">
        <f>"protein_coding"</f>
        <v>protein_coding</v>
      </c>
    </row>
    <row r="4315" spans="1:9" x14ac:dyDescent="0.2">
      <c r="A4315" s="3" t="str">
        <f>"ENSG00000271984.1"</f>
        <v>ENSG00000271984.1</v>
      </c>
      <c r="B4315" s="3">
        <v>1261.2192440660599</v>
      </c>
      <c r="C4315" s="3">
        <v>7.9876763838784699</v>
      </c>
      <c r="D4315" s="3">
        <v>0.40854309893283902</v>
      </c>
      <c r="E4315" s="3">
        <v>19.551612558731701</v>
      </c>
      <c r="F4315" s="4">
        <v>3.9968552754077199E-85</v>
      </c>
      <c r="G4315" s="4">
        <v>3.7237368315881898E-82</v>
      </c>
      <c r="H4315" s="3" t="str">
        <f>"AL008726.1"</f>
        <v>AL008726.1</v>
      </c>
      <c r="I4315" s="3" t="str">
        <f>"antisense"</f>
        <v>antisense</v>
      </c>
    </row>
    <row r="4316" spans="1:9" x14ac:dyDescent="0.2">
      <c r="A4316" s="3" t="str">
        <f>"ENSG00000100979.15"</f>
        <v>ENSG00000100979.15</v>
      </c>
      <c r="B4316" s="3">
        <v>22804.494150903301</v>
      </c>
      <c r="C4316" s="3">
        <v>4.6252406816687603</v>
      </c>
      <c r="D4316" s="3">
        <v>0.26912009242822899</v>
      </c>
      <c r="E4316" s="3">
        <v>17.1865305185352</v>
      </c>
      <c r="F4316" s="4">
        <v>3.34988449440201E-66</v>
      </c>
      <c r="G4316" s="4">
        <v>1.5604878603089399E-63</v>
      </c>
      <c r="H4316" s="3" t="str">
        <f>"PLTP"</f>
        <v>PLTP</v>
      </c>
      <c r="I4316" s="3" t="str">
        <f>"protein_coding"</f>
        <v>protein_coding</v>
      </c>
    </row>
    <row r="4317" spans="1:9" x14ac:dyDescent="0.2">
      <c r="A4317" s="3" t="str">
        <f>"ENSG00000100985.7"</f>
        <v>ENSG00000100985.7</v>
      </c>
      <c r="B4317" s="3">
        <v>91.309215918651304</v>
      </c>
      <c r="C4317" s="3">
        <v>3.1838876465603301</v>
      </c>
      <c r="D4317" s="3">
        <v>0.479338013528119</v>
      </c>
      <c r="E4317" s="3">
        <v>6.6422598598547404</v>
      </c>
      <c r="F4317" s="4">
        <v>3.0890970795880402E-11</v>
      </c>
      <c r="G4317" s="4">
        <v>7.5023165474157599E-10</v>
      </c>
      <c r="H4317" s="3" t="str">
        <f>"MMP9"</f>
        <v>MMP9</v>
      </c>
      <c r="I4317" s="3" t="str">
        <f>"protein_coding"</f>
        <v>protein_coding</v>
      </c>
    </row>
    <row r="4318" spans="1:9" x14ac:dyDescent="0.2">
      <c r="A4318" s="3" t="str">
        <f>"ENSG00000204044.6"</f>
        <v>ENSG00000204044.6</v>
      </c>
      <c r="B4318" s="3">
        <v>40.181203847036699</v>
      </c>
      <c r="C4318" s="3">
        <v>-2.6953354125740199</v>
      </c>
      <c r="D4318" s="3">
        <v>0.61911191798831799</v>
      </c>
      <c r="E4318" s="3">
        <v>-4.3535511662123696</v>
      </c>
      <c r="F4318" s="4">
        <v>1.3394981365727699E-5</v>
      </c>
      <c r="G4318" s="3">
        <v>1.3286701745066201E-4</v>
      </c>
      <c r="H4318" s="3" t="str">
        <f>"SLC12A5-AS1"</f>
        <v>SLC12A5-AS1</v>
      </c>
      <c r="I4318" s="3" t="str">
        <f>"antisense"</f>
        <v>antisense</v>
      </c>
    </row>
    <row r="4319" spans="1:9" x14ac:dyDescent="0.2">
      <c r="A4319" s="3" t="str">
        <f>"ENSG00000124140.13"</f>
        <v>ENSG00000124140.13</v>
      </c>
      <c r="B4319" s="3">
        <v>102.08700070307501</v>
      </c>
      <c r="C4319" s="3">
        <v>-2.3181296826787898</v>
      </c>
      <c r="D4319" s="3">
        <v>0.44991387907029001</v>
      </c>
      <c r="E4319" s="3">
        <v>-5.1523853575466898</v>
      </c>
      <c r="F4319" s="4">
        <v>2.5719384670657801E-7</v>
      </c>
      <c r="G4319" s="4">
        <v>3.5942840077244302E-6</v>
      </c>
      <c r="H4319" s="3" t="str">
        <f>"SLC12A5"</f>
        <v>SLC12A5</v>
      </c>
      <c r="I4319" s="3" t="str">
        <f>"protein_coding"</f>
        <v>protein_coding</v>
      </c>
    </row>
    <row r="4320" spans="1:9" x14ac:dyDescent="0.2">
      <c r="A4320" s="3" t="str">
        <f>"ENSG00000236028.1"</f>
        <v>ENSG00000236028.1</v>
      </c>
      <c r="B4320" s="3">
        <v>96.861645811282997</v>
      </c>
      <c r="C4320" s="3">
        <v>10.114572471256301</v>
      </c>
      <c r="D4320" s="3">
        <v>1.51521462168251</v>
      </c>
      <c r="E4320" s="3">
        <v>6.6753398010540401</v>
      </c>
      <c r="F4320" s="4">
        <v>2.46659973877413E-11</v>
      </c>
      <c r="G4320" s="4">
        <v>6.0711659910825E-10</v>
      </c>
      <c r="H4320" s="3" t="str">
        <f>"AL354766.2"</f>
        <v>AL354766.2</v>
      </c>
      <c r="I4320" s="3" t="str">
        <f>"lincRNA"</f>
        <v>lincRNA</v>
      </c>
    </row>
    <row r="4321" spans="1:9" x14ac:dyDescent="0.2">
      <c r="A4321" s="3" t="str">
        <f>"ENSG00000196562.14"</f>
        <v>ENSG00000196562.14</v>
      </c>
      <c r="B4321" s="3">
        <v>13790.746207165101</v>
      </c>
      <c r="C4321" s="3">
        <v>7.7948296113031201</v>
      </c>
      <c r="D4321" s="3">
        <v>0.26566837221124101</v>
      </c>
      <c r="E4321" s="3">
        <v>29.340450074746698</v>
      </c>
      <c r="F4321" s="4">
        <v>3.1634415852996999E-189</v>
      </c>
      <c r="G4321" s="4">
        <v>3.9788186539106897E-185</v>
      </c>
      <c r="H4321" s="3" t="str">
        <f>"SULF2"</f>
        <v>SULF2</v>
      </c>
      <c r="I4321" s="3" t="str">
        <f>"protein_coding"</f>
        <v>protein_coding</v>
      </c>
    </row>
    <row r="4322" spans="1:9" x14ac:dyDescent="0.2">
      <c r="A4322" s="3" t="str">
        <f>"ENSG00000124198.9"</f>
        <v>ENSG00000124198.9</v>
      </c>
      <c r="B4322" s="3">
        <v>14394.870155132799</v>
      </c>
      <c r="C4322" s="3">
        <v>1.28213112528923</v>
      </c>
      <c r="D4322" s="3">
        <v>0.231611711348085</v>
      </c>
      <c r="E4322" s="3">
        <v>5.5356921194815403</v>
      </c>
      <c r="F4322" s="4">
        <v>3.1000171245361302E-8</v>
      </c>
      <c r="G4322" s="4">
        <v>5.04078414788017E-7</v>
      </c>
      <c r="H4322" s="3" t="str">
        <f>"ARFGEF2"</f>
        <v>ARFGEF2</v>
      </c>
      <c r="I4322" s="3" t="str">
        <f>"protein_coding"</f>
        <v>protein_coding</v>
      </c>
    </row>
    <row r="4323" spans="1:9" x14ac:dyDescent="0.2">
      <c r="A4323" s="3" t="str">
        <f>"ENSG00000124201.15"</f>
        <v>ENSG00000124201.15</v>
      </c>
      <c r="B4323" s="3">
        <v>3420.0640943488602</v>
      </c>
      <c r="C4323" s="3">
        <v>1.08168299995908</v>
      </c>
      <c r="D4323" s="3">
        <v>0.24490927032910401</v>
      </c>
      <c r="E4323" s="3">
        <v>4.4166682563936197</v>
      </c>
      <c r="F4323" s="4">
        <v>1.00233883658639E-5</v>
      </c>
      <c r="G4323" s="3">
        <v>1.02536939545875E-4</v>
      </c>
      <c r="H4323" s="3" t="str">
        <f>"ZNFX1"</f>
        <v>ZNFX1</v>
      </c>
      <c r="I4323" s="3" t="str">
        <f>"protein_coding"</f>
        <v>protein_coding</v>
      </c>
    </row>
    <row r="4324" spans="1:9" x14ac:dyDescent="0.2">
      <c r="A4324" s="3" t="str">
        <f>"ENSG00000209042.1"</f>
        <v>ENSG00000209042.1</v>
      </c>
      <c r="B4324" s="3">
        <v>94.253123670560797</v>
      </c>
      <c r="C4324" s="3">
        <v>-1.1469913666276801</v>
      </c>
      <c r="D4324" s="3">
        <v>0.40982375735327697</v>
      </c>
      <c r="E4324" s="3">
        <v>-2.7987429865832398</v>
      </c>
      <c r="F4324" s="3">
        <v>5.1301953741937001E-3</v>
      </c>
      <c r="G4324" s="3">
        <v>2.4234753922599502E-2</v>
      </c>
      <c r="H4324" s="3" t="str">
        <f>"SNORD12C"</f>
        <v>SNORD12C</v>
      </c>
      <c r="I4324" s="3" t="str">
        <f>"snoRNA"</f>
        <v>snoRNA</v>
      </c>
    </row>
    <row r="4325" spans="1:9" x14ac:dyDescent="0.2">
      <c r="A4325" s="3" t="str">
        <f>"ENSG00000237788.1"</f>
        <v>ENSG00000237788.1</v>
      </c>
      <c r="B4325" s="3">
        <v>80.221121846776896</v>
      </c>
      <c r="C4325" s="3">
        <v>1.2784175413800001</v>
      </c>
      <c r="D4325" s="3">
        <v>0.435582319973981</v>
      </c>
      <c r="E4325" s="3">
        <v>2.9349619641503502</v>
      </c>
      <c r="F4325" s="3">
        <v>3.33588576561536E-3</v>
      </c>
      <c r="G4325" s="3">
        <v>1.6901149332135799E-2</v>
      </c>
      <c r="H4325" s="3" t="str">
        <f>"AL162615.1"</f>
        <v>AL162615.1</v>
      </c>
      <c r="I4325" s="3" t="str">
        <f>"processed_pseudogene"</f>
        <v>processed_pseudogene</v>
      </c>
    </row>
    <row r="4326" spans="1:9" x14ac:dyDescent="0.2">
      <c r="A4326" s="3" t="str">
        <f>"ENSG00000124216.4"</f>
        <v>ENSG00000124216.4</v>
      </c>
      <c r="B4326" s="3">
        <v>238.50220218972899</v>
      </c>
      <c r="C4326" s="3">
        <v>-1.5799556917997299</v>
      </c>
      <c r="D4326" s="3">
        <v>0.37319938093131</v>
      </c>
      <c r="E4326" s="3">
        <v>-4.2335431743134002</v>
      </c>
      <c r="F4326" s="4">
        <v>2.3003799495740902E-5</v>
      </c>
      <c r="G4326" s="3">
        <v>2.1754157004337001E-4</v>
      </c>
      <c r="H4326" s="3" t="str">
        <f>"SNAI1"</f>
        <v>SNAI1</v>
      </c>
      <c r="I4326" s="3" t="str">
        <f>"protein_coding"</f>
        <v>protein_coding</v>
      </c>
    </row>
    <row r="4327" spans="1:9" x14ac:dyDescent="0.2">
      <c r="A4327" s="3" t="str">
        <f>"ENSG00000237595.4"</f>
        <v>ENSG00000237595.4</v>
      </c>
      <c r="B4327" s="3">
        <v>94.066100605490405</v>
      </c>
      <c r="C4327" s="3">
        <v>1.66408529965045</v>
      </c>
      <c r="D4327" s="3">
        <v>0.43376501115727001</v>
      </c>
      <c r="E4327" s="3">
        <v>3.8363751267321602</v>
      </c>
      <c r="F4327" s="3">
        <v>1.2486363873102601E-4</v>
      </c>
      <c r="G4327" s="3">
        <v>9.8678756904773692E-4</v>
      </c>
      <c r="H4327" s="3" t="str">
        <f>"LINC01275"</f>
        <v>LINC01275</v>
      </c>
      <c r="I4327" s="3" t="str">
        <f>"lincRNA"</f>
        <v>lincRNA</v>
      </c>
    </row>
    <row r="4328" spans="1:9" x14ac:dyDescent="0.2">
      <c r="A4328" s="3" t="str">
        <f>"ENSG00000042062.12"</f>
        <v>ENSG00000042062.12</v>
      </c>
      <c r="B4328" s="3">
        <v>38.139758316880602</v>
      </c>
      <c r="C4328" s="3">
        <v>2.7607265569921502</v>
      </c>
      <c r="D4328" s="3">
        <v>0.63008309518757699</v>
      </c>
      <c r="E4328" s="3">
        <v>4.3815277351160802</v>
      </c>
      <c r="F4328" s="4">
        <v>1.1785003844613301E-5</v>
      </c>
      <c r="G4328" s="3">
        <v>1.1853329536635199E-4</v>
      </c>
      <c r="H4328" s="3" t="str">
        <f>"RIPOR3"</f>
        <v>RIPOR3</v>
      </c>
      <c r="I4328" s="3" t="str">
        <f>"protein_coding"</f>
        <v>protein_coding</v>
      </c>
    </row>
    <row r="4329" spans="1:9" x14ac:dyDescent="0.2">
      <c r="A4329" s="3" t="str">
        <f>"ENSG00000124171.9"</f>
        <v>ENSG00000124171.9</v>
      </c>
      <c r="B4329" s="3">
        <v>2969.4127950206698</v>
      </c>
      <c r="C4329" s="3">
        <v>1.0465152980815</v>
      </c>
      <c r="D4329" s="3">
        <v>0.242937382318095</v>
      </c>
      <c r="E4329" s="3">
        <v>4.3077573656870198</v>
      </c>
      <c r="F4329" s="4">
        <v>1.64918149760723E-5</v>
      </c>
      <c r="G4329" s="3">
        <v>1.6098238483628201E-4</v>
      </c>
      <c r="H4329" s="3" t="str">
        <f>"PARD6B"</f>
        <v>PARD6B</v>
      </c>
      <c r="I4329" s="3" t="str">
        <f>"protein_coding"</f>
        <v>protein_coding</v>
      </c>
    </row>
    <row r="4330" spans="1:9" x14ac:dyDescent="0.2">
      <c r="A4330" s="3" t="str">
        <f>"ENSG00000026559.14"</f>
        <v>ENSG00000026559.14</v>
      </c>
      <c r="B4330" s="3">
        <v>16.561093712248699</v>
      </c>
      <c r="C4330" s="3">
        <v>2.4444469186486399</v>
      </c>
      <c r="D4330" s="3">
        <v>0.89301670802940702</v>
      </c>
      <c r="E4330" s="3">
        <v>2.73729135935511</v>
      </c>
      <c r="F4330" s="3">
        <v>6.19474010209577E-3</v>
      </c>
      <c r="G4330" s="3">
        <v>2.83221896161794E-2</v>
      </c>
      <c r="H4330" s="3" t="str">
        <f>"KCNG1"</f>
        <v>KCNG1</v>
      </c>
      <c r="I4330" s="3" t="str">
        <f>"protein_coding"</f>
        <v>protein_coding</v>
      </c>
    </row>
    <row r="4331" spans="1:9" x14ac:dyDescent="0.2">
      <c r="A4331" s="3" t="str">
        <f>"ENSG00000054793.13"</f>
        <v>ENSG00000054793.13</v>
      </c>
      <c r="B4331" s="3">
        <v>3645.1885174756599</v>
      </c>
      <c r="C4331" s="3">
        <v>-1.0766664533614401</v>
      </c>
      <c r="D4331" s="3">
        <v>0.26029099089082902</v>
      </c>
      <c r="E4331" s="3">
        <v>-4.1363953845525598</v>
      </c>
      <c r="F4331" s="4">
        <v>3.52804087483314E-5</v>
      </c>
      <c r="G4331" s="3">
        <v>3.2095276735995401E-4</v>
      </c>
      <c r="H4331" s="3" t="str">
        <f>"ATP9A"</f>
        <v>ATP9A</v>
      </c>
      <c r="I4331" s="3" t="str">
        <f>"protein_coding"</f>
        <v>protein_coding</v>
      </c>
    </row>
    <row r="4332" spans="1:9" x14ac:dyDescent="0.2">
      <c r="A4332" s="3" t="str">
        <f>"ENSG00000101115.13"</f>
        <v>ENSG00000101115.13</v>
      </c>
      <c r="B4332" s="3">
        <v>407.59325542955997</v>
      </c>
      <c r="C4332" s="3">
        <v>-3.1886227365369799</v>
      </c>
      <c r="D4332" s="3">
        <v>0.304804344328716</v>
      </c>
      <c r="E4332" s="3">
        <v>-10.4612115800364</v>
      </c>
      <c r="F4332" s="4">
        <v>1.3018027683284801E-25</v>
      </c>
      <c r="G4332" s="4">
        <v>1.0563499560420299E-23</v>
      </c>
      <c r="H4332" s="3" t="str">
        <f>"SALL4"</f>
        <v>SALL4</v>
      </c>
      <c r="I4332" s="3" t="str">
        <f>"protein_coding"</f>
        <v>protein_coding</v>
      </c>
    </row>
    <row r="4333" spans="1:9" x14ac:dyDescent="0.2">
      <c r="A4333" s="3" t="str">
        <f>"ENSG00000271774.1"</f>
        <v>ENSG00000271774.1</v>
      </c>
      <c r="B4333" s="3">
        <v>99.466609209258806</v>
      </c>
      <c r="C4333" s="3">
        <v>1.56975029235636</v>
      </c>
      <c r="D4333" s="3">
        <v>0.43184674797804801</v>
      </c>
      <c r="E4333" s="3">
        <v>3.6349707383605301</v>
      </c>
      <c r="F4333" s="3">
        <v>2.7801218912509602E-4</v>
      </c>
      <c r="G4333" s="3">
        <v>2.0021175543778399E-3</v>
      </c>
      <c r="H4333" s="3" t="str">
        <f>"AL109930.1"</f>
        <v>AL109930.1</v>
      </c>
      <c r="I4333" s="3" t="str">
        <f>"antisense"</f>
        <v>antisense</v>
      </c>
    </row>
    <row r="4334" spans="1:9" x14ac:dyDescent="0.2">
      <c r="A4334" s="3" t="str">
        <f>"ENSG00000259723.1"</f>
        <v>ENSG00000259723.1</v>
      </c>
      <c r="B4334" s="3">
        <v>195.48089399320301</v>
      </c>
      <c r="C4334" s="3">
        <v>2.18178285499036</v>
      </c>
      <c r="D4334" s="3">
        <v>0.33490314049909797</v>
      </c>
      <c r="E4334" s="3">
        <v>6.5146682462842902</v>
      </c>
      <c r="F4334" s="4">
        <v>7.2850486333621504E-11</v>
      </c>
      <c r="G4334" s="4">
        <v>1.6983818199464801E-9</v>
      </c>
      <c r="H4334" s="3" t="str">
        <f>"AL354993.2"</f>
        <v>AL354993.2</v>
      </c>
      <c r="I4334" s="3" t="str">
        <f>"antisense"</f>
        <v>antisense</v>
      </c>
    </row>
    <row r="4335" spans="1:9" x14ac:dyDescent="0.2">
      <c r="A4335" s="3" t="str">
        <f>"ENSG00000064787.13"</f>
        <v>ENSG00000064787.13</v>
      </c>
      <c r="B4335" s="3">
        <v>182.460710849186</v>
      </c>
      <c r="C4335" s="3">
        <v>-2.2785429926587799</v>
      </c>
      <c r="D4335" s="3">
        <v>0.36530237468764398</v>
      </c>
      <c r="E4335" s="3">
        <v>-6.2374163173920598</v>
      </c>
      <c r="F4335" s="4">
        <v>4.4485693977879E-10</v>
      </c>
      <c r="G4335" s="4">
        <v>9.5156261225641708E-9</v>
      </c>
      <c r="H4335" s="3" t="str">
        <f>"BCAS1"</f>
        <v>BCAS1</v>
      </c>
      <c r="I4335" s="3" t="str">
        <f>"protein_coding"</f>
        <v>protein_coding</v>
      </c>
    </row>
    <row r="4336" spans="1:9" x14ac:dyDescent="0.2">
      <c r="A4336" s="3" t="str">
        <f>"ENSG00000019186.10"</f>
        <v>ENSG00000019186.10</v>
      </c>
      <c r="B4336" s="3">
        <v>9915.8791607066305</v>
      </c>
      <c r="C4336" s="3">
        <v>3.0902742345954599</v>
      </c>
      <c r="D4336" s="3">
        <v>0.26291935943224998</v>
      </c>
      <c r="E4336" s="3">
        <v>11.7536960430324</v>
      </c>
      <c r="F4336" s="4">
        <v>6.7596190716449196E-32</v>
      </c>
      <c r="G4336" s="4">
        <v>7.5909918637155297E-30</v>
      </c>
      <c r="H4336" s="3" t="str">
        <f>"CYP24A1"</f>
        <v>CYP24A1</v>
      </c>
      <c r="I4336" s="3" t="str">
        <f>"protein_coding"</f>
        <v>protein_coding</v>
      </c>
    </row>
    <row r="4337" spans="1:9" x14ac:dyDescent="0.2">
      <c r="A4337" s="3" t="str">
        <f>"ENSG00000124098.10"</f>
        <v>ENSG00000124098.10</v>
      </c>
      <c r="B4337" s="3">
        <v>9560.7098351767399</v>
      </c>
      <c r="C4337" s="3">
        <v>2.0418069236162899</v>
      </c>
      <c r="D4337" s="3">
        <v>0.24646899640943001</v>
      </c>
      <c r="E4337" s="3">
        <v>8.28423433925329</v>
      </c>
      <c r="F4337" s="4">
        <v>1.18871343108138E-16</v>
      </c>
      <c r="G4337" s="4">
        <v>5.0940521906051498E-15</v>
      </c>
      <c r="H4337" s="3" t="str">
        <f>"FAM210B"</f>
        <v>FAM210B</v>
      </c>
      <c r="I4337" s="3" t="str">
        <f>"protein_coding"</f>
        <v>protein_coding</v>
      </c>
    </row>
    <row r="4338" spans="1:9" x14ac:dyDescent="0.2">
      <c r="A4338" s="3" t="str">
        <f>"ENSG00000101144.13"</f>
        <v>ENSG00000101144.13</v>
      </c>
      <c r="B4338" s="3">
        <v>251.408307511022</v>
      </c>
      <c r="C4338" s="3">
        <v>6.4463972781824896</v>
      </c>
      <c r="D4338" s="3">
        <v>0.51906142827200097</v>
      </c>
      <c r="E4338" s="3">
        <v>12.4193340654171</v>
      </c>
      <c r="F4338" s="4">
        <v>2.0526293783041099E-35</v>
      </c>
      <c r="G4338" s="4">
        <v>2.66154082532164E-33</v>
      </c>
      <c r="H4338" s="3" t="str">
        <f>"BMP7"</f>
        <v>BMP7</v>
      </c>
      <c r="I4338" s="3" t="str">
        <f>"protein_coding"</f>
        <v>protein_coding</v>
      </c>
    </row>
    <row r="4339" spans="1:9" x14ac:dyDescent="0.2">
      <c r="A4339" s="3" t="str">
        <f>"ENSG00000226308.1"</f>
        <v>ENSG00000226308.1</v>
      </c>
      <c r="B4339" s="3">
        <v>6.8988706166975797</v>
      </c>
      <c r="C4339" s="3">
        <v>6.30136216787111</v>
      </c>
      <c r="D4339" s="3">
        <v>1.8947054465014599</v>
      </c>
      <c r="E4339" s="3">
        <v>3.3257740296817402</v>
      </c>
      <c r="F4339" s="3">
        <v>8.8173380216590499E-4</v>
      </c>
      <c r="G4339" s="3">
        <v>5.4860286404856103E-3</v>
      </c>
      <c r="H4339" s="3" t="str">
        <f>"AL122058.1"</f>
        <v>AL122058.1</v>
      </c>
      <c r="I4339" s="3" t="str">
        <f>"lincRNA"</f>
        <v>lincRNA</v>
      </c>
    </row>
    <row r="4340" spans="1:9" x14ac:dyDescent="0.2">
      <c r="A4340" s="3" t="str">
        <f>"ENSG00000132819.17"</f>
        <v>ENSG00000132819.17</v>
      </c>
      <c r="B4340" s="3">
        <v>4233.4356843088799</v>
      </c>
      <c r="C4340" s="3">
        <v>1.23508820702754</v>
      </c>
      <c r="D4340" s="3">
        <v>0.28088453478159903</v>
      </c>
      <c r="E4340" s="3">
        <v>4.3971385181027696</v>
      </c>
      <c r="F4340" s="4">
        <v>1.09687348781774E-5</v>
      </c>
      <c r="G4340" s="3">
        <v>1.1112304706425799E-4</v>
      </c>
      <c r="H4340" s="3" t="str">
        <f>"RBM38"</f>
        <v>RBM38</v>
      </c>
      <c r="I4340" s="3" t="str">
        <f>"protein_coding"</f>
        <v>protein_coding</v>
      </c>
    </row>
    <row r="4341" spans="1:9" x14ac:dyDescent="0.2">
      <c r="A4341" s="3" t="str">
        <f>"ENSG00000124253.11"</f>
        <v>ENSG00000124253.11</v>
      </c>
      <c r="B4341" s="3">
        <v>18.0324361187864</v>
      </c>
      <c r="C4341" s="3">
        <v>-3.4391669980103798</v>
      </c>
      <c r="D4341" s="3">
        <v>0.96540930720958995</v>
      </c>
      <c r="E4341" s="3">
        <v>-3.5623926269686699</v>
      </c>
      <c r="F4341" s="3">
        <v>3.67490227686183E-4</v>
      </c>
      <c r="G4341" s="3">
        <v>2.5585985821881901E-3</v>
      </c>
      <c r="H4341" s="3" t="str">
        <f>"PCK1"</f>
        <v>PCK1</v>
      </c>
      <c r="I4341" s="3" t="str">
        <f>"protein_coding"</f>
        <v>protein_coding</v>
      </c>
    </row>
    <row r="4342" spans="1:9" x14ac:dyDescent="0.2">
      <c r="A4342" s="3" t="str">
        <f>"ENSG00000124225.16"</f>
        <v>ENSG00000124225.16</v>
      </c>
      <c r="B4342" s="3">
        <v>68.591168218771898</v>
      </c>
      <c r="C4342" s="3">
        <v>2.9019609178549701</v>
      </c>
      <c r="D4342" s="3">
        <v>0.52720305486368402</v>
      </c>
      <c r="E4342" s="3">
        <v>5.5044463249654596</v>
      </c>
      <c r="F4342" s="4">
        <v>3.7033026477051702E-8</v>
      </c>
      <c r="G4342" s="4">
        <v>5.9411082973867102E-7</v>
      </c>
      <c r="H4342" s="3" t="str">
        <f>"PMEPA1"</f>
        <v>PMEPA1</v>
      </c>
      <c r="I4342" s="3" t="str">
        <f>"protein_coding"</f>
        <v>protein_coding</v>
      </c>
    </row>
    <row r="4343" spans="1:9" x14ac:dyDescent="0.2">
      <c r="A4343" s="3" t="str">
        <f>"ENSG00000254995.4"</f>
        <v>ENSG00000254995.4</v>
      </c>
      <c r="B4343" s="3">
        <v>460.42611100196598</v>
      </c>
      <c r="C4343" s="3">
        <v>1.06606637628996</v>
      </c>
      <c r="D4343" s="3">
        <v>0.31534769588418399</v>
      </c>
      <c r="E4343" s="3">
        <v>3.3806062013577902</v>
      </c>
      <c r="F4343" s="3">
        <v>7.23261186885474E-4</v>
      </c>
      <c r="G4343" s="3">
        <v>4.63296031477059E-3</v>
      </c>
      <c r="H4343" s="3" t="str">
        <f>"STX16-NPEPL1"</f>
        <v>STX16-NPEPL1</v>
      </c>
      <c r="I4343" s="3" t="str">
        <f>"protein_coding"</f>
        <v>protein_coding</v>
      </c>
    </row>
    <row r="4344" spans="1:9" x14ac:dyDescent="0.2">
      <c r="A4344" s="3" t="str">
        <f>"ENSG00000276859.1"</f>
        <v>ENSG00000276859.1</v>
      </c>
      <c r="B4344" s="3">
        <v>7.5562332610596998</v>
      </c>
      <c r="C4344" s="3">
        <v>6.4351981987131301</v>
      </c>
      <c r="D4344" s="3">
        <v>1.84608025858703</v>
      </c>
      <c r="E4344" s="3">
        <v>3.4858713042295202</v>
      </c>
      <c r="F4344" s="3">
        <v>4.9053693633657302E-4</v>
      </c>
      <c r="G4344" s="3">
        <v>3.2861402486142502E-3</v>
      </c>
      <c r="H4344" s="3" t="str">
        <f>"RF02127"</f>
        <v>RF02127</v>
      </c>
      <c r="I4344" s="3" t="str">
        <f>"misc_RNA"</f>
        <v>misc_RNA</v>
      </c>
    </row>
    <row r="4345" spans="1:9" x14ac:dyDescent="0.2">
      <c r="A4345" s="3" t="str">
        <f>"ENSG00000276722.1"</f>
        <v>ENSG00000276722.1</v>
      </c>
      <c r="B4345" s="3">
        <v>8.2135959054218208</v>
      </c>
      <c r="C4345" s="3">
        <v>6.5577604003669601</v>
      </c>
      <c r="D4345" s="3">
        <v>1.8187125078100399</v>
      </c>
      <c r="E4345" s="3">
        <v>3.6057157864182301</v>
      </c>
      <c r="F4345" s="3">
        <v>3.1129369272707902E-4</v>
      </c>
      <c r="G4345" s="3">
        <v>2.2157874478069299E-3</v>
      </c>
      <c r="H4345" s="3" t="str">
        <f>"RF02128"</f>
        <v>RF02128</v>
      </c>
      <c r="I4345" s="3" t="str">
        <f>"misc_RNA"</f>
        <v>misc_RNA</v>
      </c>
    </row>
    <row r="4346" spans="1:9" x14ac:dyDescent="0.2">
      <c r="A4346" s="3" t="str">
        <f>"ENSG00000274491.1"</f>
        <v>ENSG00000274491.1</v>
      </c>
      <c r="B4346" s="3">
        <v>5.9264919735966402</v>
      </c>
      <c r="C4346" s="3">
        <v>6.0863574272631098</v>
      </c>
      <c r="D4346" s="3">
        <v>1.9386828927045701</v>
      </c>
      <c r="E4346" s="3">
        <v>3.1394290681403301</v>
      </c>
      <c r="F4346" s="3">
        <v>1.6927739031253901E-3</v>
      </c>
      <c r="G4346" s="3">
        <v>9.53891745813603E-3</v>
      </c>
      <c r="H4346" s="3" t="str">
        <f>"RF02130"</f>
        <v>RF02130</v>
      </c>
      <c r="I4346" s="3" t="str">
        <f>"misc_RNA"</f>
        <v>misc_RNA</v>
      </c>
    </row>
    <row r="4347" spans="1:9" x14ac:dyDescent="0.2">
      <c r="A4347" s="3" t="str">
        <f>"ENSG00000275069.1"</f>
        <v>ENSG00000275069.1</v>
      </c>
      <c r="B4347" s="3">
        <v>7.9711405055426798</v>
      </c>
      <c r="C4347" s="3">
        <v>6.5142714107714799</v>
      </c>
      <c r="D4347" s="3">
        <v>1.8278220026891201</v>
      </c>
      <c r="E4347" s="3">
        <v>3.5639528363197202</v>
      </c>
      <c r="F4347" s="3">
        <v>3.6531162180860699E-4</v>
      </c>
      <c r="G4347" s="3">
        <v>2.54483906025907E-3</v>
      </c>
      <c r="H4347" s="3" t="str">
        <f>"RF02131"</f>
        <v>RF02131</v>
      </c>
      <c r="I4347" s="3" t="str">
        <f>"misc_RNA"</f>
        <v>misc_RNA</v>
      </c>
    </row>
    <row r="4348" spans="1:9" x14ac:dyDescent="0.2">
      <c r="A4348" s="3" t="str">
        <f>"ENSG00000101160.14"</f>
        <v>ENSG00000101160.14</v>
      </c>
      <c r="B4348" s="3">
        <v>25.176870384175299</v>
      </c>
      <c r="C4348" s="3">
        <v>2.0430740884546998</v>
      </c>
      <c r="D4348" s="3">
        <v>0.71379307428900096</v>
      </c>
      <c r="E4348" s="3">
        <v>2.8622778253904699</v>
      </c>
      <c r="F4348" s="3">
        <v>4.2060803407048698E-3</v>
      </c>
      <c r="G4348" s="3">
        <v>2.0532495821935001E-2</v>
      </c>
      <c r="H4348" s="3" t="str">
        <f>"CTSZ"</f>
        <v>CTSZ</v>
      </c>
      <c r="I4348" s="3" t="str">
        <f>"protein_coding"</f>
        <v>protein_coding</v>
      </c>
    </row>
    <row r="4349" spans="1:9" x14ac:dyDescent="0.2">
      <c r="A4349" s="3" t="str">
        <f>"ENSG00000101162.3"</f>
        <v>ENSG00000101162.3</v>
      </c>
      <c r="B4349" s="3">
        <v>221.35317748687001</v>
      </c>
      <c r="C4349" s="3">
        <v>1.91762959921869</v>
      </c>
      <c r="D4349" s="3">
        <v>0.357207693746593</v>
      </c>
      <c r="E4349" s="3">
        <v>5.3683882872329098</v>
      </c>
      <c r="F4349" s="4">
        <v>7.9443374520899202E-8</v>
      </c>
      <c r="G4349" s="4">
        <v>1.2074912906786799E-6</v>
      </c>
      <c r="H4349" s="3" t="str">
        <f>"TUBB1"</f>
        <v>TUBB1</v>
      </c>
      <c r="I4349" s="3" t="str">
        <f>"protein_coding"</f>
        <v>protein_coding</v>
      </c>
    </row>
    <row r="4350" spans="1:9" x14ac:dyDescent="0.2">
      <c r="A4350" s="3" t="str">
        <f>"ENSG00000235018.1"</f>
        <v>ENSG00000235018.1</v>
      </c>
      <c r="B4350" s="3">
        <v>71.967265393619002</v>
      </c>
      <c r="C4350" s="3">
        <v>1.4945963864607801</v>
      </c>
      <c r="D4350" s="3">
        <v>0.47092543855512298</v>
      </c>
      <c r="E4350" s="3">
        <v>3.1737431535795899</v>
      </c>
      <c r="F4350" s="3">
        <v>1.50486794244666E-3</v>
      </c>
      <c r="G4350" s="3">
        <v>8.6367677600378105E-3</v>
      </c>
      <c r="H4350" s="3" t="str">
        <f>"AL137077.1"</f>
        <v>AL137077.1</v>
      </c>
      <c r="I4350" s="3" t="str">
        <f>"processed_pseudogene"</f>
        <v>processed_pseudogene</v>
      </c>
    </row>
    <row r="4351" spans="1:9" x14ac:dyDescent="0.2">
      <c r="A4351" s="3" t="str">
        <f>"ENSG00000130702.15"</f>
        <v>ENSG00000130702.15</v>
      </c>
      <c r="B4351" s="3">
        <v>10169.068796940201</v>
      </c>
      <c r="C4351" s="3">
        <v>1.2279788240112</v>
      </c>
      <c r="D4351" s="3">
        <v>0.333338799970543</v>
      </c>
      <c r="E4351" s="3">
        <v>3.6838760567917999</v>
      </c>
      <c r="F4351" s="3">
        <v>2.2971397010182801E-4</v>
      </c>
      <c r="G4351" s="3">
        <v>1.68912873809316E-3</v>
      </c>
      <c r="H4351" s="3" t="str">
        <f>"LAMA5"</f>
        <v>LAMA5</v>
      </c>
      <c r="I4351" s="3" t="str">
        <f>"protein_coding"</f>
        <v>protein_coding</v>
      </c>
    </row>
    <row r="4352" spans="1:9" x14ac:dyDescent="0.2">
      <c r="A4352" s="3" t="str">
        <f>"ENSG00000233017.2"</f>
        <v>ENSG00000233017.2</v>
      </c>
      <c r="B4352" s="3">
        <v>6.1055201414448197</v>
      </c>
      <c r="C4352" s="3">
        <v>-6.00538009099456</v>
      </c>
      <c r="D4352" s="3">
        <v>1.96886326812329</v>
      </c>
      <c r="E4352" s="3">
        <v>-3.0501763064120002</v>
      </c>
      <c r="F4352" s="3">
        <v>2.2870706522039098E-3</v>
      </c>
      <c r="G4352" s="3">
        <v>1.2274645243479701E-2</v>
      </c>
      <c r="H4352" s="3" t="str">
        <f>"AL121832.1"</f>
        <v>AL121832.1</v>
      </c>
      <c r="I4352" s="3" t="str">
        <f>"antisense"</f>
        <v>antisense</v>
      </c>
    </row>
    <row r="4353" spans="1:9" x14ac:dyDescent="0.2">
      <c r="A4353" s="3" t="str">
        <f>"ENSG00000273812.2"</f>
        <v>ENSG00000273812.2</v>
      </c>
      <c r="B4353" s="3">
        <v>4.7842185294762496</v>
      </c>
      <c r="C4353" s="3">
        <v>5.7729912881545902</v>
      </c>
      <c r="D4353" s="3">
        <v>2.0552372737906</v>
      </c>
      <c r="E4353" s="3">
        <v>2.8089171804027702</v>
      </c>
      <c r="F4353" s="3">
        <v>4.9708432377096202E-3</v>
      </c>
      <c r="G4353" s="3">
        <v>2.35921067263343E-2</v>
      </c>
      <c r="H4353" s="3" t="str">
        <f>"BX640514.2"</f>
        <v>BX640514.2</v>
      </c>
      <c r="I4353" s="3" t="str">
        <f>"lincRNA"</f>
        <v>lincRNA</v>
      </c>
    </row>
    <row r="4354" spans="1:9" x14ac:dyDescent="0.2">
      <c r="A4354" s="3" t="str">
        <f>"ENSG00000101197.13"</f>
        <v>ENSG00000101197.13</v>
      </c>
      <c r="B4354" s="3">
        <v>204.55063205401601</v>
      </c>
      <c r="C4354" s="3">
        <v>4.0150844552930103</v>
      </c>
      <c r="D4354" s="3">
        <v>0.38843525382959698</v>
      </c>
      <c r="E4354" s="3">
        <v>10.3365603809339</v>
      </c>
      <c r="F4354" s="4">
        <v>4.8151089212247504E-25</v>
      </c>
      <c r="G4354" s="4">
        <v>3.7499710499507301E-23</v>
      </c>
      <c r="H4354" s="3" t="str">
        <f>"BIRC7"</f>
        <v>BIRC7</v>
      </c>
      <c r="I4354" s="3" t="str">
        <f>"protein_coding"</f>
        <v>protein_coding</v>
      </c>
    </row>
    <row r="4355" spans="1:9" x14ac:dyDescent="0.2">
      <c r="A4355" s="3" t="str">
        <f>"ENSG00000101198.15"</f>
        <v>ENSG00000101198.15</v>
      </c>
      <c r="B4355" s="3">
        <v>59.998740118045603</v>
      </c>
      <c r="C4355" s="3">
        <v>4.4482692907521004</v>
      </c>
      <c r="D4355" s="3">
        <v>0.63313830490979095</v>
      </c>
      <c r="E4355" s="3">
        <v>7.0257465963710599</v>
      </c>
      <c r="F4355" s="4">
        <v>2.1292459172341199E-12</v>
      </c>
      <c r="G4355" s="4">
        <v>5.9053121331890095E-11</v>
      </c>
      <c r="H4355" s="3" t="str">
        <f>"NKAIN4"</f>
        <v>NKAIN4</v>
      </c>
      <c r="I4355" s="3" t="str">
        <f>"protein_coding"</f>
        <v>protein_coding</v>
      </c>
    </row>
    <row r="4356" spans="1:9" x14ac:dyDescent="0.2">
      <c r="A4356" s="3" t="str">
        <f>"ENSG00000275620.1"</f>
        <v>ENSG00000275620.1</v>
      </c>
      <c r="B4356" s="3">
        <v>422.05042546211001</v>
      </c>
      <c r="C4356" s="3">
        <v>12.240118689190799</v>
      </c>
      <c r="D4356" s="3">
        <v>1.4727163082010399</v>
      </c>
      <c r="E4356" s="3">
        <v>8.3112535802244505</v>
      </c>
      <c r="F4356" s="4">
        <v>9.4696322226551696E-17</v>
      </c>
      <c r="G4356" s="4">
        <v>4.0999758788449404E-15</v>
      </c>
      <c r="H4356" s="3" t="str">
        <f>"AL121827.2"</f>
        <v>AL121827.2</v>
      </c>
      <c r="I4356" s="3" t="str">
        <f>"antisense"</f>
        <v>antisense</v>
      </c>
    </row>
    <row r="4357" spans="1:9" x14ac:dyDescent="0.2">
      <c r="A4357" s="3" t="str">
        <f>"ENSG00000101204.17"</f>
        <v>ENSG00000101204.17</v>
      </c>
      <c r="B4357" s="3">
        <v>30.131663067327299</v>
      </c>
      <c r="C4357" s="3">
        <v>6.98387457606625</v>
      </c>
      <c r="D4357" s="3">
        <v>1.53971063164697</v>
      </c>
      <c r="E4357" s="3">
        <v>4.5358357814259298</v>
      </c>
      <c r="F4357" s="4">
        <v>5.7375812742615803E-6</v>
      </c>
      <c r="G4357" s="4">
        <v>6.2256991980554497E-5</v>
      </c>
      <c r="H4357" s="3" t="str">
        <f>"CHRNA4"</f>
        <v>CHRNA4</v>
      </c>
      <c r="I4357" s="3" t="str">
        <f>"protein_coding"</f>
        <v>protein_coding</v>
      </c>
    </row>
    <row r="4358" spans="1:9" x14ac:dyDescent="0.2">
      <c r="A4358" s="3" t="str">
        <f>"ENSG00000101213.7"</f>
        <v>ENSG00000101213.7</v>
      </c>
      <c r="B4358" s="3">
        <v>17.134873010191001</v>
      </c>
      <c r="C4358" s="3">
        <v>-2.6597524522310798</v>
      </c>
      <c r="D4358" s="3">
        <v>0.910466667616322</v>
      </c>
      <c r="E4358" s="3">
        <v>-2.92130678347021</v>
      </c>
      <c r="F4358" s="3">
        <v>3.4856640806024699E-3</v>
      </c>
      <c r="G4358" s="3">
        <v>1.75574449234191E-2</v>
      </c>
      <c r="H4358" s="3" t="str">
        <f>"PTK6"</f>
        <v>PTK6</v>
      </c>
      <c r="I4358" s="3" t="str">
        <f>"protein_coding"</f>
        <v>protein_coding</v>
      </c>
    </row>
    <row r="4359" spans="1:9" x14ac:dyDescent="0.2">
      <c r="A4359" s="3" t="str">
        <f>"ENSG00000101246.20"</f>
        <v>ENSG00000101246.20</v>
      </c>
      <c r="B4359" s="3">
        <v>1297.2803266068199</v>
      </c>
      <c r="C4359" s="3">
        <v>1.6421861530524799</v>
      </c>
      <c r="D4359" s="3">
        <v>0.30460025385850498</v>
      </c>
      <c r="E4359" s="3">
        <v>5.3912829429725804</v>
      </c>
      <c r="F4359" s="4">
        <v>6.9956423529624894E-8</v>
      </c>
      <c r="G4359" s="4">
        <v>1.07302063041934E-6</v>
      </c>
      <c r="H4359" s="3" t="str">
        <f>"ARFRP1"</f>
        <v>ARFRP1</v>
      </c>
      <c r="I4359" s="3" t="str">
        <f>"protein_coding"</f>
        <v>protein_coding</v>
      </c>
    </row>
    <row r="4360" spans="1:9" x14ac:dyDescent="0.2">
      <c r="A4360" s="3" t="str">
        <f>"ENSG00000268858.2"</f>
        <v>ENSG00000268858.2</v>
      </c>
      <c r="B4360" s="3">
        <v>1043.7943959479401</v>
      </c>
      <c r="C4360" s="3">
        <v>2.4158919737636699</v>
      </c>
      <c r="D4360" s="3">
        <v>0.31524883223463401</v>
      </c>
      <c r="E4360" s="3">
        <v>7.6634446403454399</v>
      </c>
      <c r="F4360" s="4">
        <v>1.81011312551802E-14</v>
      </c>
      <c r="G4360" s="4">
        <v>6.2204092448641896E-13</v>
      </c>
      <c r="H4360" s="3" t="str">
        <f>"AL118506.1"</f>
        <v>AL118506.1</v>
      </c>
      <c r="I4360" s="3" t="str">
        <f>"antisense"</f>
        <v>antisense</v>
      </c>
    </row>
    <row r="4361" spans="1:9" x14ac:dyDescent="0.2">
      <c r="A4361" s="3" t="str">
        <f>"ENSG00000101152.11"</f>
        <v>ENSG00000101152.11</v>
      </c>
      <c r="B4361" s="3">
        <v>6559.9044467437197</v>
      </c>
      <c r="C4361" s="3">
        <v>1.1868582475229299</v>
      </c>
      <c r="D4361" s="3">
        <v>0.29561528943341298</v>
      </c>
      <c r="E4361" s="3">
        <v>4.0148743652525898</v>
      </c>
      <c r="F4361" s="4">
        <v>5.9477468364121202E-5</v>
      </c>
      <c r="G4361" s="3">
        <v>5.1290905611911801E-4</v>
      </c>
      <c r="H4361" s="3" t="str">
        <f>"DNAJC5"</f>
        <v>DNAJC5</v>
      </c>
      <c r="I4361" s="3" t="str">
        <f>"protein_coding"</f>
        <v>protein_coding</v>
      </c>
    </row>
    <row r="4362" spans="1:9" x14ac:dyDescent="0.2">
      <c r="A4362" s="3" t="str">
        <f>"ENSG00000199805.1"</f>
        <v>ENSG00000199805.1</v>
      </c>
      <c r="B4362" s="3">
        <v>28.475698527798901</v>
      </c>
      <c r="C4362" s="3">
        <v>1.97416962555811</v>
      </c>
      <c r="D4362" s="3">
        <v>0.70053708657709901</v>
      </c>
      <c r="E4362" s="3">
        <v>2.81808010365893</v>
      </c>
      <c r="F4362" s="3">
        <v>4.8311755312922099E-3</v>
      </c>
      <c r="G4362" s="3">
        <v>2.3047263510270401E-2</v>
      </c>
      <c r="H4362" s="3" t="str">
        <f>"RNU1-134P"</f>
        <v>RNU1-134P</v>
      </c>
      <c r="I4362" s="3" t="str">
        <f>"snRNA"</f>
        <v>snRNA</v>
      </c>
    </row>
    <row r="4363" spans="1:9" x14ac:dyDescent="0.2">
      <c r="A4363" s="3" t="str">
        <f>"ENSG00000280213.1"</f>
        <v>ENSG00000280213.1</v>
      </c>
      <c r="B4363" s="3">
        <v>44.809453275340204</v>
      </c>
      <c r="C4363" s="3">
        <v>2.1063942399708999</v>
      </c>
      <c r="D4363" s="3">
        <v>0.55920342015486002</v>
      </c>
      <c r="E4363" s="3">
        <v>3.7667763895070201</v>
      </c>
      <c r="F4363" s="3">
        <v>1.6536899111369E-4</v>
      </c>
      <c r="G4363" s="3">
        <v>1.26018084564219E-3</v>
      </c>
      <c r="H4363" s="3" t="str">
        <f>"UCKL1-AS1"</f>
        <v>UCKL1-AS1</v>
      </c>
      <c r="I4363" s="3" t="str">
        <f>"antisense"</f>
        <v>antisense</v>
      </c>
    </row>
    <row r="4364" spans="1:9" x14ac:dyDescent="0.2">
      <c r="A4364" s="3" t="str">
        <f>"ENSG00000237371.1"</f>
        <v>ENSG00000237371.1</v>
      </c>
      <c r="B4364" s="3">
        <v>17.703442431814</v>
      </c>
      <c r="C4364" s="3">
        <v>2.57118290069049</v>
      </c>
      <c r="D4364" s="3">
        <v>0.875164041533528</v>
      </c>
      <c r="E4364" s="3">
        <v>2.93794394955381</v>
      </c>
      <c r="F4364" s="3">
        <v>3.30396751109355E-3</v>
      </c>
      <c r="G4364" s="3">
        <v>1.6771584020325501E-2</v>
      </c>
      <c r="H4364" s="3" t="str">
        <f>"AL355803.1"</f>
        <v>AL355803.1</v>
      </c>
      <c r="I4364" s="3" t="str">
        <f>"antisense"</f>
        <v>antisense</v>
      </c>
    </row>
    <row r="4365" spans="1:9" x14ac:dyDescent="0.2">
      <c r="A4365" s="3" t="str">
        <f>"ENSG00000196132.13"</f>
        <v>ENSG00000196132.13</v>
      </c>
      <c r="B4365" s="3">
        <v>708.31151288547699</v>
      </c>
      <c r="C4365" s="3">
        <v>3.8189277287034198</v>
      </c>
      <c r="D4365" s="3">
        <v>0.29052344246040601</v>
      </c>
      <c r="E4365" s="3">
        <v>13.1449899407821</v>
      </c>
      <c r="F4365" s="4">
        <v>1.8182970929774499E-39</v>
      </c>
      <c r="G4365" s="4">
        <v>2.9133288773151499E-37</v>
      </c>
      <c r="H4365" s="3" t="str">
        <f>"MYT1"</f>
        <v>MYT1</v>
      </c>
      <c r="I4365" s="3" t="str">
        <f>"protein_coding"</f>
        <v>protein_coding</v>
      </c>
    </row>
    <row r="4366" spans="1:9" x14ac:dyDescent="0.2">
      <c r="A4366" s="3" t="str">
        <f>"ENSG00000277117.4"</f>
        <v>ENSG00000277117.4</v>
      </c>
      <c r="B4366" s="3">
        <v>139.72142012903299</v>
      </c>
      <c r="C4366" s="3">
        <v>3.6440635970220101</v>
      </c>
      <c r="D4366" s="3">
        <v>0.46826818289000299</v>
      </c>
      <c r="E4366" s="3">
        <v>7.7820012765591002</v>
      </c>
      <c r="F4366" s="4">
        <v>7.1386147778828695E-15</v>
      </c>
      <c r="G4366" s="4">
        <v>2.5726626753244102E-13</v>
      </c>
      <c r="H4366" s="3" t="str">
        <f>"FP565260.3"</f>
        <v>FP565260.3</v>
      </c>
      <c r="I4366" s="3" t="str">
        <f>"protein_coding"</f>
        <v>protein_coding</v>
      </c>
    </row>
    <row r="4367" spans="1:9" x14ac:dyDescent="0.2">
      <c r="A4367" s="3" t="str">
        <f>"ENSG00000280071.3"</f>
        <v>ENSG00000280071.3</v>
      </c>
      <c r="B4367" s="3">
        <v>151.50344571935301</v>
      </c>
      <c r="C4367" s="3">
        <v>1.04911542722319</v>
      </c>
      <c r="D4367" s="3">
        <v>0.35122964070187501</v>
      </c>
      <c r="E4367" s="3">
        <v>2.9869786192495198</v>
      </c>
      <c r="F4367" s="3">
        <v>2.8174942636641702E-3</v>
      </c>
      <c r="G4367" s="3">
        <v>1.4610197526792899E-2</v>
      </c>
      <c r="H4367" s="3" t="str">
        <f>"GATD3B"</f>
        <v>GATD3B</v>
      </c>
      <c r="I4367" s="3" t="str">
        <f>"protein_coding"</f>
        <v>protein_coding</v>
      </c>
    </row>
    <row r="4368" spans="1:9" x14ac:dyDescent="0.2">
      <c r="A4368" s="3" t="str">
        <f>"ENSG00000275496.4"</f>
        <v>ENSG00000275496.4</v>
      </c>
      <c r="B4368" s="3">
        <v>189.182394945916</v>
      </c>
      <c r="C4368" s="3">
        <v>-1.12568786380539</v>
      </c>
      <c r="D4368" s="3">
        <v>0.340712281332125</v>
      </c>
      <c r="E4368" s="3">
        <v>-3.3039251165357202</v>
      </c>
      <c r="F4368" s="3">
        <v>9.5341295272181198E-4</v>
      </c>
      <c r="G4368" s="3">
        <v>5.8595413695864103E-3</v>
      </c>
      <c r="H4368" s="3" t="str">
        <f>"CU633906.1"</f>
        <v>CU633906.1</v>
      </c>
      <c r="I4368" s="3" t="str">
        <f>"lincRNA"</f>
        <v>lincRNA</v>
      </c>
    </row>
    <row r="4369" spans="1:9" x14ac:dyDescent="0.2">
      <c r="A4369" s="3" t="str">
        <f>"ENSG00000278903.3"</f>
        <v>ENSG00000278903.3</v>
      </c>
      <c r="B4369" s="3">
        <v>504.09040039502003</v>
      </c>
      <c r="C4369" s="3">
        <v>-1.75471584245312</v>
      </c>
      <c r="D4369" s="3">
        <v>0.285376858433669</v>
      </c>
      <c r="E4369" s="3">
        <v>-6.1487671147692904</v>
      </c>
      <c r="F4369" s="4">
        <v>7.8087533626507803E-10</v>
      </c>
      <c r="G4369" s="4">
        <v>1.6180328734553601E-8</v>
      </c>
      <c r="H4369" s="3" t="str">
        <f>"CU633906.2"</f>
        <v>CU633906.2</v>
      </c>
      <c r="I4369" s="3" t="str">
        <f>"lincRNA"</f>
        <v>lincRNA</v>
      </c>
    </row>
    <row r="4370" spans="1:9" x14ac:dyDescent="0.2">
      <c r="A4370" s="3" t="str">
        <f>"ENSG00000276902.1"</f>
        <v>ENSG00000276902.1</v>
      </c>
      <c r="B4370" s="3">
        <v>18.4849021844914</v>
      </c>
      <c r="C4370" s="3">
        <v>-3.1356781817814801</v>
      </c>
      <c r="D4370" s="3">
        <v>0.99848276081835197</v>
      </c>
      <c r="E4370" s="3">
        <v>-3.1404429849259401</v>
      </c>
      <c r="F4370" s="3">
        <v>1.68692539845433E-3</v>
      </c>
      <c r="G4370" s="3">
        <v>9.5123533732613206E-3</v>
      </c>
      <c r="H4370" s="3" t="str">
        <f>"RF00019"</f>
        <v>RF00019</v>
      </c>
      <c r="I4370" s="3" t="str">
        <f>"misc_RNA"</f>
        <v>misc_RNA</v>
      </c>
    </row>
    <row r="4371" spans="1:9" x14ac:dyDescent="0.2">
      <c r="A4371" s="3" t="str">
        <f>"ENSG00000280145.3"</f>
        <v>ENSG00000280145.3</v>
      </c>
      <c r="B4371" s="3">
        <v>502.620313783207</v>
      </c>
      <c r="C4371" s="3">
        <v>-1.4563734887417099</v>
      </c>
      <c r="D4371" s="3">
        <v>0.280493391557882</v>
      </c>
      <c r="E4371" s="3">
        <v>-5.1921846737739301</v>
      </c>
      <c r="F4371" s="4">
        <v>2.0784068983777501E-7</v>
      </c>
      <c r="G4371" s="4">
        <v>2.9521358288363798E-6</v>
      </c>
      <c r="H4371" s="3" t="str">
        <f>"CU638689.4"</f>
        <v>CU638689.4</v>
      </c>
      <c r="I4371" s="3" t="str">
        <f>"lincRNA"</f>
        <v>lincRNA</v>
      </c>
    </row>
    <row r="4372" spans="1:9" x14ac:dyDescent="0.2">
      <c r="A4372" s="3" t="str">
        <f>"ENSG00000280018.3"</f>
        <v>ENSG00000280018.3</v>
      </c>
      <c r="B4372" s="3">
        <v>56.935413836352801</v>
      </c>
      <c r="C4372" s="3">
        <v>-1.6330040987569101</v>
      </c>
      <c r="D4372" s="3">
        <v>0.49924882388059399</v>
      </c>
      <c r="E4372" s="3">
        <v>-3.2709222749165199</v>
      </c>
      <c r="F4372" s="3">
        <v>1.0719736837426E-3</v>
      </c>
      <c r="G4372" s="3">
        <v>6.4757084224387803E-3</v>
      </c>
      <c r="H4372" s="3" t="str">
        <f>"CU634019.6"</f>
        <v>CU634019.6</v>
      </c>
      <c r="I4372" s="3" t="str">
        <f>"lincRNA"</f>
        <v>lincRNA</v>
      </c>
    </row>
    <row r="4373" spans="1:9" x14ac:dyDescent="0.2">
      <c r="A4373" s="3" t="str">
        <f>"ENSG00000277067.4"</f>
        <v>ENSG00000277067.4</v>
      </c>
      <c r="B4373" s="3">
        <v>95.498383138330595</v>
      </c>
      <c r="C4373" s="3">
        <v>-1.8822729582483</v>
      </c>
      <c r="D4373" s="3">
        <v>0.42112264220811102</v>
      </c>
      <c r="E4373" s="3">
        <v>-4.46965508284904</v>
      </c>
      <c r="F4373" s="4">
        <v>7.8345835864615397E-6</v>
      </c>
      <c r="G4373" s="4">
        <v>8.2632683487396296E-5</v>
      </c>
      <c r="H4373" s="3" t="str">
        <f>"CU634019.1"</f>
        <v>CU634019.1</v>
      </c>
      <c r="I4373" s="3" t="str">
        <f>"lincRNA"</f>
        <v>lincRNA</v>
      </c>
    </row>
    <row r="4374" spans="1:9" x14ac:dyDescent="0.2">
      <c r="A4374" s="3" t="str">
        <f>"ENSG00000279177.1"</f>
        <v>ENSG00000279177.1</v>
      </c>
      <c r="B4374" s="3">
        <v>22.291589912228901</v>
      </c>
      <c r="C4374" s="3">
        <v>-2.9240121502387102</v>
      </c>
      <c r="D4374" s="3">
        <v>0.80767997935158797</v>
      </c>
      <c r="E4374" s="3">
        <v>-3.6202607777725602</v>
      </c>
      <c r="F4374" s="3">
        <v>2.94306244890543E-4</v>
      </c>
      <c r="G4374" s="3">
        <v>2.1070519600139498E-3</v>
      </c>
      <c r="H4374" s="3" t="str">
        <f>"FP236241.2"</f>
        <v>FP236241.2</v>
      </c>
      <c r="I4374" s="3" t="str">
        <f>"processed_pseudogene"</f>
        <v>processed_pseudogene</v>
      </c>
    </row>
    <row r="4375" spans="1:9" x14ac:dyDescent="0.2">
      <c r="A4375" s="3" t="str">
        <f>"ENSG00000280441.3"</f>
        <v>ENSG00000280441.3</v>
      </c>
      <c r="B4375" s="3">
        <v>27.218832857615201</v>
      </c>
      <c r="C4375" s="3">
        <v>2.4467171055694399</v>
      </c>
      <c r="D4375" s="3">
        <v>0.71144858830143198</v>
      </c>
      <c r="E4375" s="3">
        <v>3.4390638280847901</v>
      </c>
      <c r="F4375" s="3">
        <v>5.8372958777427495E-4</v>
      </c>
      <c r="G4375" s="3">
        <v>3.83186789678024E-3</v>
      </c>
      <c r="H4375" s="3" t="str">
        <f>"FP236383.1"</f>
        <v>FP236383.1</v>
      </c>
      <c r="I4375" s="3" t="str">
        <f>"lincRNA"</f>
        <v>lincRNA</v>
      </c>
    </row>
    <row r="4376" spans="1:9" x14ac:dyDescent="0.2">
      <c r="A4376" s="3" t="str">
        <f>"ENSG00000275215.1"</f>
        <v>ENSG00000275215.1</v>
      </c>
      <c r="B4376" s="3">
        <v>5034.6202747665102</v>
      </c>
      <c r="C4376" s="3">
        <v>1.4114602438670101</v>
      </c>
      <c r="D4376" s="3">
        <v>0.26992324951212199</v>
      </c>
      <c r="E4376" s="3">
        <v>5.2291169672052096</v>
      </c>
      <c r="F4376" s="4">
        <v>1.70321586009266E-7</v>
      </c>
      <c r="G4376" s="4">
        <v>2.4609072349586899E-6</v>
      </c>
      <c r="H4376" s="3" t="str">
        <f>"RNA5-8SN3"</f>
        <v>RNA5-8SN3</v>
      </c>
      <c r="I4376" s="3" t="str">
        <f>"rRNA"</f>
        <v>rRNA</v>
      </c>
    </row>
    <row r="4377" spans="1:9" x14ac:dyDescent="0.2">
      <c r="A4377" s="3" t="str">
        <f>"ENSG00000278189.1"</f>
        <v>ENSG00000278189.1</v>
      </c>
      <c r="B4377" s="3">
        <v>633.93234113088499</v>
      </c>
      <c r="C4377" s="3">
        <v>1.66931262627692</v>
      </c>
      <c r="D4377" s="3">
        <v>0.28881034164651598</v>
      </c>
      <c r="E4377" s="3">
        <v>5.7799613987509</v>
      </c>
      <c r="F4377" s="4">
        <v>7.4717766871908193E-9</v>
      </c>
      <c r="G4377" s="4">
        <v>1.3441932039136199E-7</v>
      </c>
      <c r="H4377" s="3" t="str">
        <f>"RNA5-8SN1"</f>
        <v>RNA5-8SN1</v>
      </c>
      <c r="I4377" s="3" t="str">
        <f>"rRNA"</f>
        <v>rRNA</v>
      </c>
    </row>
    <row r="4378" spans="1:9" x14ac:dyDescent="0.2">
      <c r="A4378" s="3" t="str">
        <f>"ENSG00000286033.1"</f>
        <v>ENSG00000286033.1</v>
      </c>
      <c r="B4378" s="3">
        <v>14.5354968258008</v>
      </c>
      <c r="C4378" s="3">
        <v>2.5094431630486</v>
      </c>
      <c r="D4378" s="3">
        <v>0.95352099954106795</v>
      </c>
      <c r="E4378" s="3">
        <v>2.6317649682140201</v>
      </c>
      <c r="F4378" s="3">
        <v>8.49426023429984E-3</v>
      </c>
      <c r="G4378" s="3">
        <v>3.6889361984338301E-2</v>
      </c>
      <c r="H4378" s="3" t="str">
        <f>"CR381670.2"</f>
        <v>CR381670.2</v>
      </c>
      <c r="I4378" s="3" t="str">
        <f>"lincRNA"</f>
        <v>lincRNA</v>
      </c>
    </row>
    <row r="4379" spans="1:9" x14ac:dyDescent="0.2">
      <c r="A4379" s="3" t="str">
        <f>"ENSG00000279718.1"</f>
        <v>ENSG00000279718.1</v>
      </c>
      <c r="B4379" s="3">
        <v>565.39407929454296</v>
      </c>
      <c r="C4379" s="3">
        <v>6.7574966873190903</v>
      </c>
      <c r="D4379" s="3">
        <v>0.41622091878307399</v>
      </c>
      <c r="E4379" s="3">
        <v>16.235360555822901</v>
      </c>
      <c r="F4379" s="4">
        <v>2.83576812308002E-59</v>
      </c>
      <c r="G4379" s="4">
        <v>9.5920749064231805E-57</v>
      </c>
      <c r="H4379" s="3" t="str">
        <f>"SNX18P12"</f>
        <v>SNX18P12</v>
      </c>
      <c r="I4379" s="3" t="str">
        <f>"processed_pseudogene"</f>
        <v>processed_pseudogene</v>
      </c>
    </row>
    <row r="4380" spans="1:9" x14ac:dyDescent="0.2">
      <c r="A4380" s="3" t="str">
        <f>"ENSG00000279208.1"</f>
        <v>ENSG00000279208.1</v>
      </c>
      <c r="B4380" s="3">
        <v>2982.1602485531898</v>
      </c>
      <c r="C4380" s="3">
        <v>8.7511480466947003</v>
      </c>
      <c r="D4380" s="3">
        <v>0.38422022613073797</v>
      </c>
      <c r="E4380" s="3">
        <v>22.7763856547129</v>
      </c>
      <c r="F4380" s="4">
        <v>7.8615190882312302E-115</v>
      </c>
      <c r="G4380" s="4">
        <v>2.1972945851606301E-111</v>
      </c>
      <c r="H4380" s="3" t="str">
        <f>"CR381653.2"</f>
        <v>CR381653.2</v>
      </c>
      <c r="I4380" s="3" t="str">
        <f>"unprocessed_pseudogene"</f>
        <v>unprocessed_pseudogene</v>
      </c>
    </row>
    <row r="4381" spans="1:9" x14ac:dyDescent="0.2">
      <c r="A4381" s="3" t="str">
        <f>"ENSG00000228314.1"</f>
        <v>ENSG00000228314.1</v>
      </c>
      <c r="B4381" s="3">
        <v>9.8458942364692792</v>
      </c>
      <c r="C4381" s="3">
        <v>6.8142799672852998</v>
      </c>
      <c r="D4381" s="3">
        <v>1.7844375892588</v>
      </c>
      <c r="E4381" s="3">
        <v>3.8187269805920998</v>
      </c>
      <c r="F4381" s="3">
        <v>1.3414212364070099E-4</v>
      </c>
      <c r="G4381" s="3">
        <v>1.05021634615059E-3</v>
      </c>
      <c r="H4381" s="3" t="str">
        <f>"CYP4F29P"</f>
        <v>CYP4F29P</v>
      </c>
      <c r="I4381" s="3" t="str">
        <f>"transcribed_unprocessed_pseudogene"</f>
        <v>transcribed_unprocessed_pseudogene</v>
      </c>
    </row>
    <row r="4382" spans="1:9" x14ac:dyDescent="0.2">
      <c r="A4382" s="3" t="str">
        <f>"ENSG00000230965.1"</f>
        <v>ENSG00000230965.1</v>
      </c>
      <c r="B4382" s="3">
        <v>19.031868784992</v>
      </c>
      <c r="C4382" s="3">
        <v>7.7661313056627597</v>
      </c>
      <c r="D4382" s="3">
        <v>1.63689920053399</v>
      </c>
      <c r="E4382" s="3">
        <v>4.7444163349394302</v>
      </c>
      <c r="F4382" s="4">
        <v>2.0910838155010598E-6</v>
      </c>
      <c r="G4382" s="4">
        <v>2.4568525632381699E-5</v>
      </c>
      <c r="H4382" s="3" t="str">
        <f>"SNX18P13"</f>
        <v>SNX18P13</v>
      </c>
      <c r="I4382" s="3" t="str">
        <f>"processed_pseudogene"</f>
        <v>processed_pseudogene</v>
      </c>
    </row>
    <row r="4383" spans="1:9" x14ac:dyDescent="0.2">
      <c r="A4383" s="3" t="str">
        <f>"ENSG00000215559.8"</f>
        <v>ENSG00000215559.8</v>
      </c>
      <c r="B4383" s="3">
        <v>692.22820248921801</v>
      </c>
      <c r="C4383" s="3">
        <v>8.4442915829471996</v>
      </c>
      <c r="D4383" s="3">
        <v>1.24612558274915</v>
      </c>
      <c r="E4383" s="3">
        <v>6.7764370620798404</v>
      </c>
      <c r="F4383" s="4">
        <v>1.23175682573304E-11</v>
      </c>
      <c r="G4383" s="4">
        <v>3.1424790011475299E-10</v>
      </c>
      <c r="H4383" s="3" t="str">
        <f>"ANKRD20A11P"</f>
        <v>ANKRD20A11P</v>
      </c>
      <c r="I4383" s="3" t="str">
        <f>"transcribed_unprocessed_pseudogene"</f>
        <v>transcribed_unprocessed_pseudogene</v>
      </c>
    </row>
    <row r="4384" spans="1:9" x14ac:dyDescent="0.2">
      <c r="A4384" s="3" t="str">
        <f>"ENSG00000203616.2"</f>
        <v>ENSG00000203616.2</v>
      </c>
      <c r="B4384" s="3">
        <v>56.734057512964903</v>
      </c>
      <c r="C4384" s="3">
        <v>6.9043272341598296</v>
      </c>
      <c r="D4384" s="3">
        <v>1.13931199935759</v>
      </c>
      <c r="E4384" s="3">
        <v>6.0600847160855604</v>
      </c>
      <c r="F4384" s="4">
        <v>1.36049873862783E-9</v>
      </c>
      <c r="G4384" s="4">
        <v>2.7139845971596399E-8</v>
      </c>
      <c r="H4384" s="3" t="str">
        <f>"RHOT1P2"</f>
        <v>RHOT1P2</v>
      </c>
      <c r="I4384" s="3" t="str">
        <f>"processed_pseudogene"</f>
        <v>processed_pseudogene</v>
      </c>
    </row>
    <row r="4385" spans="1:9" x14ac:dyDescent="0.2">
      <c r="A4385" s="3" t="str">
        <f>"ENSG00000223287.1"</f>
        <v>ENSG00000223287.1</v>
      </c>
      <c r="B4385" s="3">
        <v>22.078783650507901</v>
      </c>
      <c r="C4385" s="3">
        <v>7.9826159205562304</v>
      </c>
      <c r="D4385" s="3">
        <v>1.6026376531405599</v>
      </c>
      <c r="E4385" s="3">
        <v>4.9809237321445403</v>
      </c>
      <c r="F4385" s="4">
        <v>6.3281477966705405E-7</v>
      </c>
      <c r="G4385" s="4">
        <v>8.2521802916146894E-6</v>
      </c>
      <c r="H4385" s="3" t="str">
        <f>"RNU6-954P"</f>
        <v>RNU6-954P</v>
      </c>
      <c r="I4385" s="3" t="str">
        <f>"snRNA"</f>
        <v>snRNA</v>
      </c>
    </row>
    <row r="4386" spans="1:9" x14ac:dyDescent="0.2">
      <c r="A4386" s="3" t="str">
        <f>"ENSG00000232560.6"</f>
        <v>ENSG00000232560.6</v>
      </c>
      <c r="B4386" s="3">
        <v>31.897897700389599</v>
      </c>
      <c r="C4386" s="3">
        <v>-4.0162642783079496</v>
      </c>
      <c r="D4386" s="3">
        <v>0.84035130608405895</v>
      </c>
      <c r="E4386" s="3">
        <v>-4.7792682051311104</v>
      </c>
      <c r="F4386" s="4">
        <v>1.7593437308928799E-6</v>
      </c>
      <c r="G4386" s="4">
        <v>2.0885460854464498E-5</v>
      </c>
      <c r="H4386" s="3" t="str">
        <f>"LINC01549"</f>
        <v>LINC01549</v>
      </c>
      <c r="I4386" s="3" t="str">
        <f>"lincRNA"</f>
        <v>lincRNA</v>
      </c>
    </row>
    <row r="4387" spans="1:9" x14ac:dyDescent="0.2">
      <c r="A4387" s="3" t="str">
        <f>"ENSG00000226580.1"</f>
        <v>ENSG00000226580.1</v>
      </c>
      <c r="B4387" s="3">
        <v>99.853773677827206</v>
      </c>
      <c r="C4387" s="3">
        <v>-3.1090981047258999</v>
      </c>
      <c r="D4387" s="3">
        <v>0.46908180028415403</v>
      </c>
      <c r="E4387" s="3">
        <v>-6.6280510197635296</v>
      </c>
      <c r="F4387" s="4">
        <v>3.4014791527488599E-11</v>
      </c>
      <c r="G4387" s="4">
        <v>8.2431799698841705E-10</v>
      </c>
      <c r="H4387" s="3" t="str">
        <f>"RPL39P40"</f>
        <v>RPL39P40</v>
      </c>
      <c r="I4387" s="3" t="str">
        <f>"processed_pseudogene"</f>
        <v>processed_pseudogene</v>
      </c>
    </row>
    <row r="4388" spans="1:9" x14ac:dyDescent="0.2">
      <c r="A4388" s="3" t="str">
        <f>"ENSG00000154639.19"</f>
        <v>ENSG00000154639.19</v>
      </c>
      <c r="B4388" s="3">
        <v>10121.466016422301</v>
      </c>
      <c r="C4388" s="3">
        <v>-1.03364701793266</v>
      </c>
      <c r="D4388" s="3">
        <v>0.241255827312013</v>
      </c>
      <c r="E4388" s="3">
        <v>-4.2844437353045004</v>
      </c>
      <c r="F4388" s="4">
        <v>1.8319696087709499E-5</v>
      </c>
      <c r="G4388" s="3">
        <v>1.7724305964858899E-4</v>
      </c>
      <c r="H4388" s="3" t="str">
        <f>"CXADR"</f>
        <v>CXADR</v>
      </c>
      <c r="I4388" s="3" t="str">
        <f>"protein_coding"</f>
        <v>protein_coding</v>
      </c>
    </row>
    <row r="4389" spans="1:9" x14ac:dyDescent="0.2">
      <c r="A4389" s="3" t="str">
        <f>"ENSG00000154642.11"</f>
        <v>ENSG00000154642.11</v>
      </c>
      <c r="B4389" s="3">
        <v>1158.3631315074599</v>
      </c>
      <c r="C4389" s="3">
        <v>-1.2408913228407701</v>
      </c>
      <c r="D4389" s="3">
        <v>0.263812860118049</v>
      </c>
      <c r="E4389" s="3">
        <v>-4.7036801855887598</v>
      </c>
      <c r="F4389" s="4">
        <v>2.55513388258512E-6</v>
      </c>
      <c r="G4389" s="4">
        <v>2.95650380940334E-5</v>
      </c>
      <c r="H4389" s="3" t="str">
        <f>"C21orf91"</f>
        <v>C21orf91</v>
      </c>
      <c r="I4389" s="3" t="str">
        <f>"protein_coding"</f>
        <v>protein_coding</v>
      </c>
    </row>
    <row r="4390" spans="1:9" x14ac:dyDescent="0.2">
      <c r="A4390" s="3" t="str">
        <f>"ENSG00000260583.1"</f>
        <v>ENSG00000260583.1</v>
      </c>
      <c r="B4390" s="3">
        <v>48.724694501551703</v>
      </c>
      <c r="C4390" s="3">
        <v>2.1417595554680502</v>
      </c>
      <c r="D4390" s="3">
        <v>0.53664647137569499</v>
      </c>
      <c r="E4390" s="3">
        <v>3.9910065000103998</v>
      </c>
      <c r="F4390" s="4">
        <v>6.5793476887843097E-5</v>
      </c>
      <c r="G4390" s="3">
        <v>5.6064868262658998E-4</v>
      </c>
      <c r="H4390" s="3" t="str">
        <f>"AP000223.1"</f>
        <v>AP000223.1</v>
      </c>
      <c r="I4390" s="3" t="str">
        <f>"antisense"</f>
        <v>antisense</v>
      </c>
    </row>
    <row r="4391" spans="1:9" x14ac:dyDescent="0.2">
      <c r="A4391" s="3" t="str">
        <f>"ENSG00000154734.15"</f>
        <v>ENSG00000154734.15</v>
      </c>
      <c r="B4391" s="3">
        <v>207.27539446819199</v>
      </c>
      <c r="C4391" s="3">
        <v>-2.0487751561510499</v>
      </c>
      <c r="D4391" s="3">
        <v>0.35742073352904902</v>
      </c>
      <c r="E4391" s="3">
        <v>-5.7321105463640798</v>
      </c>
      <c r="F4391" s="4">
        <v>9.9188588782871101E-9</v>
      </c>
      <c r="G4391" s="4">
        <v>1.74726117005121E-7</v>
      </c>
      <c r="H4391" s="3" t="str">
        <f>"ADAMTS1"</f>
        <v>ADAMTS1</v>
      </c>
      <c r="I4391" s="3" t="str">
        <f>"protein_coding"</f>
        <v>protein_coding</v>
      </c>
    </row>
    <row r="4392" spans="1:9" x14ac:dyDescent="0.2">
      <c r="A4392" s="3" t="str">
        <f>"ENSG00000142149.9"</f>
        <v>ENSG00000142149.9</v>
      </c>
      <c r="B4392" s="3">
        <v>683.73697094037595</v>
      </c>
      <c r="C4392" s="3">
        <v>-3.5259761018261</v>
      </c>
      <c r="D4392" s="3">
        <v>0.301210050422967</v>
      </c>
      <c r="E4392" s="3">
        <v>-11.706037354579699</v>
      </c>
      <c r="F4392" s="4">
        <v>1.18698622609282E-31</v>
      </c>
      <c r="G4392" s="4">
        <v>1.30958940865635E-29</v>
      </c>
      <c r="H4392" s="3" t="str">
        <f>"HUNK"</f>
        <v>HUNK</v>
      </c>
      <c r="I4392" s="3" t="str">
        <f>"protein_coding"</f>
        <v>protein_coding</v>
      </c>
    </row>
    <row r="4393" spans="1:9" x14ac:dyDescent="0.2">
      <c r="A4393" s="3" t="str">
        <f>"ENSG00000159055.4"</f>
        <v>ENSG00000159055.4</v>
      </c>
      <c r="B4393" s="3">
        <v>522.89862089670805</v>
      </c>
      <c r="C4393" s="3">
        <v>-1.7994572671351801</v>
      </c>
      <c r="D4393" s="3">
        <v>0.27737807493410699</v>
      </c>
      <c r="E4393" s="3">
        <v>-6.4873810504404696</v>
      </c>
      <c r="F4393" s="4">
        <v>8.7341245158268002E-11</v>
      </c>
      <c r="G4393" s="4">
        <v>2.02308381395602E-9</v>
      </c>
      <c r="H4393" s="3" t="str">
        <f>"MIS18A"</f>
        <v>MIS18A</v>
      </c>
      <c r="I4393" s="3" t="str">
        <f>"protein_coding"</f>
        <v>protein_coding</v>
      </c>
    </row>
    <row r="4394" spans="1:9" x14ac:dyDescent="0.2">
      <c r="A4394" s="3" t="str">
        <f>"ENSG00000166979.13"</f>
        <v>ENSG00000166979.13</v>
      </c>
      <c r="B4394" s="3">
        <v>19.4095906434456</v>
      </c>
      <c r="C4394" s="3">
        <v>-2.1073347894723402</v>
      </c>
      <c r="D4394" s="3">
        <v>0.809638438473396</v>
      </c>
      <c r="E4394" s="3">
        <v>-2.6028097102773402</v>
      </c>
      <c r="F4394" s="3">
        <v>9.2463258521089092E-3</v>
      </c>
      <c r="G4394" s="3">
        <v>3.95496219707192E-2</v>
      </c>
      <c r="H4394" s="3" t="str">
        <f>"EVA1C"</f>
        <v>EVA1C</v>
      </c>
      <c r="I4394" s="3" t="str">
        <f>"protein_coding"</f>
        <v>protein_coding</v>
      </c>
    </row>
    <row r="4395" spans="1:9" x14ac:dyDescent="0.2">
      <c r="A4395" s="3" t="str">
        <f>"ENSG00000238197.5"</f>
        <v>ENSG00000238197.5</v>
      </c>
      <c r="B4395" s="3">
        <v>82.869456983332697</v>
      </c>
      <c r="C4395" s="3">
        <v>1.17076396821635</v>
      </c>
      <c r="D4395" s="3">
        <v>0.42359262927765901</v>
      </c>
      <c r="E4395" s="3">
        <v>2.7638912655605501</v>
      </c>
      <c r="F4395" s="3">
        <v>5.7116569071784503E-3</v>
      </c>
      <c r="G4395" s="3">
        <v>2.64247061114837E-2</v>
      </c>
      <c r="H4395" s="3" t="str">
        <f>"PAXBP1-AS1"</f>
        <v>PAXBP1-AS1</v>
      </c>
      <c r="I4395" s="3" t="str">
        <f>"antisense"</f>
        <v>antisense</v>
      </c>
    </row>
    <row r="4396" spans="1:9" x14ac:dyDescent="0.2">
      <c r="A4396" s="3" t="str">
        <f>"ENSG00000232539.1"</f>
        <v>ENSG00000232539.1</v>
      </c>
      <c r="B4396" s="3">
        <v>4.1943023968050301</v>
      </c>
      <c r="C4396" s="3">
        <v>5.5850531596975896</v>
      </c>
      <c r="D4396" s="3">
        <v>2.10986327643788</v>
      </c>
      <c r="E4396" s="3">
        <v>2.6471161530082399</v>
      </c>
      <c r="F4396" s="3">
        <v>8.1181463685578402E-3</v>
      </c>
      <c r="G4396" s="3">
        <v>3.5441161385121898E-2</v>
      </c>
      <c r="H4396" s="3" t="str">
        <f>"LINC00945"</f>
        <v>LINC00945</v>
      </c>
      <c r="I4396" s="3" t="str">
        <f>"lincRNA"</f>
        <v>lincRNA</v>
      </c>
    </row>
    <row r="4397" spans="1:9" x14ac:dyDescent="0.2">
      <c r="A4397" s="3" t="str">
        <f>"ENSG00000159110.19"</f>
        <v>ENSG00000159110.19</v>
      </c>
      <c r="B4397" s="3">
        <v>179.54218489465799</v>
      </c>
      <c r="C4397" s="3">
        <v>-1.2263674367369899</v>
      </c>
      <c r="D4397" s="3">
        <v>0.33436024725339802</v>
      </c>
      <c r="E4397" s="3">
        <v>-3.6678027570890501</v>
      </c>
      <c r="F4397" s="3">
        <v>2.4464378815205101E-4</v>
      </c>
      <c r="G4397" s="3">
        <v>1.78325543058963E-3</v>
      </c>
      <c r="H4397" s="3" t="str">
        <f>"IFNAR2"</f>
        <v>IFNAR2</v>
      </c>
      <c r="I4397" s="3" t="str">
        <f>"protein_coding"</f>
        <v>protein_coding</v>
      </c>
    </row>
    <row r="4398" spans="1:9" x14ac:dyDescent="0.2">
      <c r="A4398" s="3" t="str">
        <f>"ENSG00000243646.10"</f>
        <v>ENSG00000243646.10</v>
      </c>
      <c r="B4398" s="3">
        <v>51.547261356067501</v>
      </c>
      <c r="C4398" s="3">
        <v>1.3251268552262001</v>
      </c>
      <c r="D4398" s="3">
        <v>0.517732090811305</v>
      </c>
      <c r="E4398" s="3">
        <v>2.5594837151192902</v>
      </c>
      <c r="F4398" s="3">
        <v>1.04827767115904E-2</v>
      </c>
      <c r="G4398" s="3">
        <v>4.3934396564487901E-2</v>
      </c>
      <c r="H4398" s="3" t="str">
        <f>"IL10RB"</f>
        <v>IL10RB</v>
      </c>
      <c r="I4398" s="3" t="str">
        <f>"protein_coding"</f>
        <v>protein_coding</v>
      </c>
    </row>
    <row r="4399" spans="1:9" x14ac:dyDescent="0.2">
      <c r="A4399" s="3" t="str">
        <f>"ENSG00000159128.14"</f>
        <v>ENSG00000159128.14</v>
      </c>
      <c r="B4399" s="3">
        <v>1582.6798675989101</v>
      </c>
      <c r="C4399" s="3">
        <v>-1.08331617991268</v>
      </c>
      <c r="D4399" s="3">
        <v>0.25839077806812599</v>
      </c>
      <c r="E4399" s="3">
        <v>-4.1925497032524301</v>
      </c>
      <c r="F4399" s="4">
        <v>2.75836622044325E-5</v>
      </c>
      <c r="G4399" s="3">
        <v>2.5613400618401601E-4</v>
      </c>
      <c r="H4399" s="3" t="str">
        <f>"IFNGR2"</f>
        <v>IFNGR2</v>
      </c>
      <c r="I4399" s="3" t="str">
        <f>"protein_coding"</f>
        <v>protein_coding</v>
      </c>
    </row>
    <row r="4400" spans="1:9" x14ac:dyDescent="0.2">
      <c r="A4400" s="3" t="str">
        <f>"ENSG00000159147.18"</f>
        <v>ENSG00000159147.18</v>
      </c>
      <c r="B4400" s="3">
        <v>1050.99211355586</v>
      </c>
      <c r="C4400" s="3">
        <v>-1.6760056685559199</v>
      </c>
      <c r="D4400" s="3">
        <v>0.27796775721749101</v>
      </c>
      <c r="E4400" s="3">
        <v>-6.0294966773594396</v>
      </c>
      <c r="F4400" s="4">
        <v>1.6447109783882101E-9</v>
      </c>
      <c r="G4400" s="4">
        <v>3.23983591709909E-8</v>
      </c>
      <c r="H4400" s="3" t="str">
        <f>"DONSON"</f>
        <v>DONSON</v>
      </c>
      <c r="I4400" s="3" t="str">
        <f>"protein_coding"</f>
        <v>protein_coding</v>
      </c>
    </row>
    <row r="4401" spans="1:9" x14ac:dyDescent="0.2">
      <c r="A4401" s="3" t="str">
        <f>"ENSG00000273102.1"</f>
        <v>ENSG00000273102.1</v>
      </c>
      <c r="B4401" s="3">
        <v>21.123575152451998</v>
      </c>
      <c r="C4401" s="3">
        <v>-2.1143708551425702</v>
      </c>
      <c r="D4401" s="3">
        <v>0.81015881810630197</v>
      </c>
      <c r="E4401" s="3">
        <v>-2.6098226766015902</v>
      </c>
      <c r="F4401" s="3">
        <v>9.0589166421068505E-3</v>
      </c>
      <c r="G4401" s="3">
        <v>3.8946684008237503E-2</v>
      </c>
      <c r="H4401" s="3" t="str">
        <f>"AP000569.1"</f>
        <v>AP000569.1</v>
      </c>
      <c r="I4401" s="3" t="str">
        <f>"lincRNA"</f>
        <v>lincRNA</v>
      </c>
    </row>
    <row r="4402" spans="1:9" x14ac:dyDescent="0.2">
      <c r="A4402" s="3" t="str">
        <f>"ENSG00000286153.1"</f>
        <v>ENSG00000286153.1</v>
      </c>
      <c r="B4402" s="3">
        <v>45.843890645111799</v>
      </c>
      <c r="C4402" s="3">
        <v>3.7247234127023701</v>
      </c>
      <c r="D4402" s="3">
        <v>0.67243075462865998</v>
      </c>
      <c r="E4402" s="3">
        <v>5.5391925295851303</v>
      </c>
      <c r="F4402" s="4">
        <v>3.0386943732458299E-8</v>
      </c>
      <c r="G4402" s="4">
        <v>4.94746646983811E-7</v>
      </c>
      <c r="H4402" s="3" t="str">
        <f>"AP000331.1"</f>
        <v>AP000331.1</v>
      </c>
      <c r="I4402" s="3" t="str">
        <f>"antisense"</f>
        <v>antisense</v>
      </c>
    </row>
    <row r="4403" spans="1:9" x14ac:dyDescent="0.2">
      <c r="A4403" s="3" t="str">
        <f>"ENSG00000159259.8"</f>
        <v>ENSG00000159259.8</v>
      </c>
      <c r="B4403" s="3">
        <v>1151.01602812496</v>
      </c>
      <c r="C4403" s="3">
        <v>-1.42416751523886</v>
      </c>
      <c r="D4403" s="3">
        <v>0.28012574472565899</v>
      </c>
      <c r="E4403" s="3">
        <v>-5.0840293762846498</v>
      </c>
      <c r="F4403" s="4">
        <v>3.6951075086320699E-7</v>
      </c>
      <c r="G4403" s="4">
        <v>5.0108048183094303E-6</v>
      </c>
      <c r="H4403" s="3" t="str">
        <f>"CHAF1B"</f>
        <v>CHAF1B</v>
      </c>
      <c r="I4403" s="3" t="str">
        <f>"protein_coding"</f>
        <v>protein_coding</v>
      </c>
    </row>
    <row r="4404" spans="1:9" x14ac:dyDescent="0.2">
      <c r="A4404" s="3" t="str">
        <f>"ENSG00000159263.15"</f>
        <v>ENSG00000159263.15</v>
      </c>
      <c r="B4404" s="3">
        <v>248.93052918298201</v>
      </c>
      <c r="C4404" s="3">
        <v>-1.43884950567706</v>
      </c>
      <c r="D4404" s="3">
        <v>0.33637256384035202</v>
      </c>
      <c r="E4404" s="3">
        <v>-4.2775471615454403</v>
      </c>
      <c r="F4404" s="4">
        <v>1.8896393238492601E-5</v>
      </c>
      <c r="G4404" s="3">
        <v>1.82052382962192E-4</v>
      </c>
      <c r="H4404" s="3" t="str">
        <f>"SIM2"</f>
        <v>SIM2</v>
      </c>
      <c r="I4404" s="3" t="str">
        <f>"protein_coding"</f>
        <v>protein_coding</v>
      </c>
    </row>
    <row r="4405" spans="1:9" x14ac:dyDescent="0.2">
      <c r="A4405" s="3" t="str">
        <f>"ENSG00000183145.9"</f>
        <v>ENSG00000183145.9</v>
      </c>
      <c r="B4405" s="3">
        <v>339.51199926990898</v>
      </c>
      <c r="C4405" s="3">
        <v>-1.3916265246392101</v>
      </c>
      <c r="D4405" s="3">
        <v>0.29533590496277601</v>
      </c>
      <c r="E4405" s="3">
        <v>-4.7120126650859104</v>
      </c>
      <c r="F4405" s="4">
        <v>2.4528213147621502E-6</v>
      </c>
      <c r="G4405" s="4">
        <v>2.84860203937405E-5</v>
      </c>
      <c r="H4405" s="3" t="str">
        <f>"RIPPLY3"</f>
        <v>RIPPLY3</v>
      </c>
      <c r="I4405" s="3" t="str">
        <f>"protein_coding"</f>
        <v>protein_coding</v>
      </c>
    </row>
    <row r="4406" spans="1:9" x14ac:dyDescent="0.2">
      <c r="A4406" s="3" t="str">
        <f>"ENSG00000230366.9"</f>
        <v>ENSG00000230366.9</v>
      </c>
      <c r="B4406" s="3">
        <v>105.39150115187999</v>
      </c>
      <c r="C4406" s="3">
        <v>-1.63386038571114</v>
      </c>
      <c r="D4406" s="3">
        <v>0.40255991621718701</v>
      </c>
      <c r="E4406" s="3">
        <v>-4.0586762861646797</v>
      </c>
      <c r="F4406" s="4">
        <v>4.9351670395728299E-5</v>
      </c>
      <c r="G4406" s="3">
        <v>4.3422219965181798E-4</v>
      </c>
      <c r="H4406" s="3" t="str">
        <f>"DSCR9"</f>
        <v>DSCR9</v>
      </c>
      <c r="I4406" s="3" t="str">
        <f>"lincRNA"</f>
        <v>lincRNA</v>
      </c>
    </row>
    <row r="4407" spans="1:9" x14ac:dyDescent="0.2">
      <c r="A4407" s="3" t="str">
        <f>"ENSG00000235888.2"</f>
        <v>ENSG00000235888.2</v>
      </c>
      <c r="B4407" s="3">
        <v>74.715355886877902</v>
      </c>
      <c r="C4407" s="3">
        <v>1.1697340077412901</v>
      </c>
      <c r="D4407" s="3">
        <v>0.46365006226371602</v>
      </c>
      <c r="E4407" s="3">
        <v>2.5228811617757798</v>
      </c>
      <c r="F4407" s="3">
        <v>1.1639772923503201E-2</v>
      </c>
      <c r="G4407" s="3">
        <v>4.7858530220778697E-2</v>
      </c>
      <c r="H4407" s="3" t="str">
        <f>"AF064858.1"</f>
        <v>AF064858.1</v>
      </c>
      <c r="I4407" s="3" t="str">
        <f>"lincRNA"</f>
        <v>lincRNA</v>
      </c>
    </row>
    <row r="4408" spans="1:9" x14ac:dyDescent="0.2">
      <c r="A4408" s="3" t="str">
        <f>"ENSG00000183527.11"</f>
        <v>ENSG00000183527.11</v>
      </c>
      <c r="B4408" s="3">
        <v>1393.19724604573</v>
      </c>
      <c r="C4408" s="3">
        <v>-1.14986728219834</v>
      </c>
      <c r="D4408" s="3">
        <v>0.318272389001654</v>
      </c>
      <c r="E4408" s="3">
        <v>-3.6128402020835302</v>
      </c>
      <c r="F4408" s="3">
        <v>3.0286136167294699E-4</v>
      </c>
      <c r="G4408" s="3">
        <v>2.1635773982905801E-3</v>
      </c>
      <c r="H4408" s="3" t="str">
        <f>"PSMG1"</f>
        <v>PSMG1</v>
      </c>
      <c r="I4408" s="3" t="str">
        <f>"protein_coding"</f>
        <v>protein_coding</v>
      </c>
    </row>
    <row r="4409" spans="1:9" x14ac:dyDescent="0.2">
      <c r="A4409" s="3" t="str">
        <f>"ENSG00000182240.16"</f>
        <v>ENSG00000182240.16</v>
      </c>
      <c r="B4409" s="3">
        <v>69.189633257259104</v>
      </c>
      <c r="C4409" s="3">
        <v>2.80162574312111</v>
      </c>
      <c r="D4409" s="3">
        <v>0.49924061237457301</v>
      </c>
      <c r="E4409" s="3">
        <v>5.6117745104821104</v>
      </c>
      <c r="F4409" s="4">
        <v>2.0026228658939001E-8</v>
      </c>
      <c r="G4409" s="4">
        <v>3.35839854610406E-7</v>
      </c>
      <c r="H4409" s="3" t="str">
        <f>"BACE2"</f>
        <v>BACE2</v>
      </c>
      <c r="I4409" s="3" t="str">
        <f>"protein_coding"</f>
        <v>protein_coding</v>
      </c>
    </row>
    <row r="4410" spans="1:9" x14ac:dyDescent="0.2">
      <c r="A4410" s="3" t="str">
        <f>"ENSG00000236384.7"</f>
        <v>ENSG00000236384.7</v>
      </c>
      <c r="B4410" s="3">
        <v>58.478656966626801</v>
      </c>
      <c r="C4410" s="3">
        <v>-1.53180078472159</v>
      </c>
      <c r="D4410" s="3">
        <v>0.49062246943960802</v>
      </c>
      <c r="E4410" s="3">
        <v>-3.12215783038071</v>
      </c>
      <c r="F4410" s="3">
        <v>1.7953066336926699E-3</v>
      </c>
      <c r="G4410" s="3">
        <v>1.0009073220420901E-2</v>
      </c>
      <c r="H4410" s="3" t="str">
        <f>"LINC00479"</f>
        <v>LINC00479</v>
      </c>
      <c r="I4410" s="3" t="str">
        <f>"lincRNA"</f>
        <v>lincRNA</v>
      </c>
    </row>
    <row r="4411" spans="1:9" x14ac:dyDescent="0.2">
      <c r="A4411" s="3" t="str">
        <f>"ENSG00000157617.17"</f>
        <v>ENSG00000157617.17</v>
      </c>
      <c r="B4411" s="3">
        <v>1618.82512264312</v>
      </c>
      <c r="C4411" s="3">
        <v>1.51023671871515</v>
      </c>
      <c r="D4411" s="3">
        <v>0.25561214736729498</v>
      </c>
      <c r="E4411" s="3">
        <v>5.9083135690928597</v>
      </c>
      <c r="F4411" s="4">
        <v>3.4562766027542001E-9</v>
      </c>
      <c r="G4411" s="4">
        <v>6.5321290715463504E-8</v>
      </c>
      <c r="H4411" s="3" t="str">
        <f>"C2CD2"</f>
        <v>C2CD2</v>
      </c>
      <c r="I4411" s="3" t="str">
        <f>"protein_coding"</f>
        <v>protein_coding</v>
      </c>
    </row>
    <row r="4412" spans="1:9" x14ac:dyDescent="0.2">
      <c r="A4412" s="3" t="str">
        <f>"ENSG00000160179.18"</f>
        <v>ENSG00000160179.18</v>
      </c>
      <c r="B4412" s="3">
        <v>21.555322907550799</v>
      </c>
      <c r="C4412" s="3">
        <v>2.87938404371023</v>
      </c>
      <c r="D4412" s="3">
        <v>0.81082306601881105</v>
      </c>
      <c r="E4412" s="3">
        <v>3.5511866452544001</v>
      </c>
      <c r="F4412" s="3">
        <v>3.8349835170324202E-4</v>
      </c>
      <c r="G4412" s="3">
        <v>2.6531631015112899E-3</v>
      </c>
      <c r="H4412" s="3" t="str">
        <f>"ABCG1"</f>
        <v>ABCG1</v>
      </c>
      <c r="I4412" s="3" t="str">
        <f>"protein_coding"</f>
        <v>protein_coding</v>
      </c>
    </row>
    <row r="4413" spans="1:9" x14ac:dyDescent="0.2">
      <c r="A4413" s="3" t="str">
        <f>"ENSG00000225431.1"</f>
        <v>ENSG00000225431.1</v>
      </c>
      <c r="B4413" s="3">
        <v>7.5886779951129499</v>
      </c>
      <c r="C4413" s="3">
        <v>6.4456604199479397</v>
      </c>
      <c r="D4413" s="3">
        <v>1.8583133771363101</v>
      </c>
      <c r="E4413" s="3">
        <v>3.4685540658813898</v>
      </c>
      <c r="F4413" s="3">
        <v>5.2326722535086297E-4</v>
      </c>
      <c r="G4413" s="3">
        <v>3.4793256518216098E-3</v>
      </c>
      <c r="H4413" s="3" t="str">
        <f>"LINC01671"</f>
        <v>LINC01671</v>
      </c>
      <c r="I4413" s="3" t="str">
        <f>"lincRNA"</f>
        <v>lincRNA</v>
      </c>
    </row>
    <row r="4414" spans="1:9" x14ac:dyDescent="0.2">
      <c r="A4414" s="3" t="str">
        <f>"ENSG00000185186.9"</f>
        <v>ENSG00000185186.9</v>
      </c>
      <c r="B4414" s="3">
        <v>24.492026542039</v>
      </c>
      <c r="C4414" s="3">
        <v>1.9711695515490799</v>
      </c>
      <c r="D4414" s="3">
        <v>0.713236595048518</v>
      </c>
      <c r="E4414" s="3">
        <v>2.76369659834265</v>
      </c>
      <c r="F4414" s="3">
        <v>5.7150652347902299E-3</v>
      </c>
      <c r="G4414" s="3">
        <v>2.64279019939292E-2</v>
      </c>
      <c r="H4414" s="3" t="str">
        <f>"LINC00313"</f>
        <v>LINC00313</v>
      </c>
      <c r="I4414" s="3" t="str">
        <f>"lincRNA"</f>
        <v>lincRNA</v>
      </c>
    </row>
    <row r="4415" spans="1:9" x14ac:dyDescent="0.2">
      <c r="A4415" s="3" t="str">
        <f>"ENSG00000215458.8"</f>
        <v>ENSG00000215458.8</v>
      </c>
      <c r="B4415" s="3">
        <v>499.73546333498001</v>
      </c>
      <c r="C4415" s="3">
        <v>10.0439647510662</v>
      </c>
      <c r="D4415" s="3">
        <v>1.0611798927245599</v>
      </c>
      <c r="E4415" s="3">
        <v>9.4649030008271904</v>
      </c>
      <c r="F4415" s="4">
        <v>2.9383364829249199E-21</v>
      </c>
      <c r="G4415" s="4">
        <v>1.7229336649877899E-19</v>
      </c>
      <c r="H4415" s="3" t="str">
        <f>"AATBC"</f>
        <v>AATBC</v>
      </c>
      <c r="I4415" s="3" t="str">
        <f>"antisense"</f>
        <v>antisense</v>
      </c>
    </row>
    <row r="4416" spans="1:9" x14ac:dyDescent="0.2">
      <c r="A4416" s="3" t="str">
        <f>"ENSG00000160221.18"</f>
        <v>ENSG00000160221.18</v>
      </c>
      <c r="B4416" s="3">
        <v>443.78307696788602</v>
      </c>
      <c r="C4416" s="3">
        <v>1.0745007630657</v>
      </c>
      <c r="D4416" s="3">
        <v>0.31941623343679199</v>
      </c>
      <c r="E4416" s="3">
        <v>3.3639516423586202</v>
      </c>
      <c r="F4416" s="3">
        <v>7.6835004763787097E-4</v>
      </c>
      <c r="G4416" s="3">
        <v>4.8783052620723502E-3</v>
      </c>
      <c r="H4416" s="3" t="str">
        <f>"GATD3A"</f>
        <v>GATD3A</v>
      </c>
      <c r="I4416" s="3" t="str">
        <f t="shared" ref="I4416:I4421" si="176">"protein_coding"</f>
        <v>protein_coding</v>
      </c>
    </row>
    <row r="4417" spans="1:9" x14ac:dyDescent="0.2">
      <c r="A4417" s="3" t="str">
        <f>"ENSG00000160223.17"</f>
        <v>ENSG00000160223.17</v>
      </c>
      <c r="B4417" s="3">
        <v>66.561878483833297</v>
      </c>
      <c r="C4417" s="3">
        <v>3.40621541641391</v>
      </c>
      <c r="D4417" s="3">
        <v>0.58089113183646601</v>
      </c>
      <c r="E4417" s="3">
        <v>5.86377589488289</v>
      </c>
      <c r="F4417" s="4">
        <v>4.5245805967001403E-9</v>
      </c>
      <c r="G4417" s="4">
        <v>8.4183302448219002E-8</v>
      </c>
      <c r="H4417" s="3" t="str">
        <f>"ICOSLG"</f>
        <v>ICOSLG</v>
      </c>
      <c r="I4417" s="3" t="str">
        <f t="shared" si="176"/>
        <v>protein_coding</v>
      </c>
    </row>
    <row r="4418" spans="1:9" x14ac:dyDescent="0.2">
      <c r="A4418" s="3" t="str">
        <f>"ENSG00000141959.17"</f>
        <v>ENSG00000141959.17</v>
      </c>
      <c r="B4418" s="3">
        <v>3456.3671805434201</v>
      </c>
      <c r="C4418" s="3">
        <v>2.1499633785777501</v>
      </c>
      <c r="D4418" s="3">
        <v>0.30735374214927902</v>
      </c>
      <c r="E4418" s="3">
        <v>6.9950779305414503</v>
      </c>
      <c r="F4418" s="4">
        <v>2.65111525092677E-12</v>
      </c>
      <c r="G4418" s="4">
        <v>7.2963680675123494E-11</v>
      </c>
      <c r="H4418" s="3" t="str">
        <f>"PFKL"</f>
        <v>PFKL</v>
      </c>
      <c r="I4418" s="3" t="str">
        <f t="shared" si="176"/>
        <v>protein_coding</v>
      </c>
    </row>
    <row r="4419" spans="1:9" x14ac:dyDescent="0.2">
      <c r="A4419" s="3" t="str">
        <f>"ENSG00000160226.16"</f>
        <v>ENSG00000160226.16</v>
      </c>
      <c r="B4419" s="3">
        <v>104.701852810898</v>
      </c>
      <c r="C4419" s="3">
        <v>1.37524697840229</v>
      </c>
      <c r="D4419" s="3">
        <v>0.43406720793355302</v>
      </c>
      <c r="E4419" s="3">
        <v>3.1682812091458699</v>
      </c>
      <c r="F4419" s="3">
        <v>1.5334311918305699E-3</v>
      </c>
      <c r="G4419" s="3">
        <v>8.7846644569569803E-3</v>
      </c>
      <c r="H4419" s="3" t="str">
        <f>"CFAP410"</f>
        <v>CFAP410</v>
      </c>
      <c r="I4419" s="3" t="str">
        <f t="shared" si="176"/>
        <v>protein_coding</v>
      </c>
    </row>
    <row r="4420" spans="1:9" x14ac:dyDescent="0.2">
      <c r="A4420" s="3" t="str">
        <f>"ENSG00000142185.16"</f>
        <v>ENSG00000142185.16</v>
      </c>
      <c r="B4420" s="3">
        <v>149.15171018058601</v>
      </c>
      <c r="C4420" s="3">
        <v>6.4791216994998599</v>
      </c>
      <c r="D4420" s="3">
        <v>0.64665613917576403</v>
      </c>
      <c r="E4420" s="3">
        <v>10.0194234725092</v>
      </c>
      <c r="F4420" s="4">
        <v>1.25231304391316E-23</v>
      </c>
      <c r="G4420" s="4">
        <v>8.5836334113448197E-22</v>
      </c>
      <c r="H4420" s="3" t="str">
        <f>"TRPM2"</f>
        <v>TRPM2</v>
      </c>
      <c r="I4420" s="3" t="str">
        <f t="shared" si="176"/>
        <v>protein_coding</v>
      </c>
    </row>
    <row r="4421" spans="1:9" x14ac:dyDescent="0.2">
      <c r="A4421" s="3" t="str">
        <f>"ENSG00000160255.18"</f>
        <v>ENSG00000160255.18</v>
      </c>
      <c r="B4421" s="3">
        <v>236.119039499189</v>
      </c>
      <c r="C4421" s="3">
        <v>1.10834669063122</v>
      </c>
      <c r="D4421" s="3">
        <v>0.32921883600208302</v>
      </c>
      <c r="E4421" s="3">
        <v>3.3665956179500101</v>
      </c>
      <c r="F4421" s="3">
        <v>7.61021939961347E-4</v>
      </c>
      <c r="G4421" s="3">
        <v>4.83910690084117E-3</v>
      </c>
      <c r="H4421" s="3" t="str">
        <f>"ITGB2"</f>
        <v>ITGB2</v>
      </c>
      <c r="I4421" s="3" t="str">
        <f t="shared" si="176"/>
        <v>protein_coding</v>
      </c>
    </row>
    <row r="4422" spans="1:9" x14ac:dyDescent="0.2">
      <c r="A4422" s="3" t="str">
        <f>"ENSG00000227039.6"</f>
        <v>ENSG00000227039.6</v>
      </c>
      <c r="B4422" s="3">
        <v>26.3201564862404</v>
      </c>
      <c r="C4422" s="3">
        <v>3.9308646836009502</v>
      </c>
      <c r="D4422" s="3">
        <v>0.85837277188451899</v>
      </c>
      <c r="E4422" s="3">
        <v>4.5794377598568401</v>
      </c>
      <c r="F4422" s="4">
        <v>4.6622749608606601E-6</v>
      </c>
      <c r="G4422" s="4">
        <v>5.1483549886062298E-5</v>
      </c>
      <c r="H4422" s="3" t="str">
        <f>"ITGB2-AS1"</f>
        <v>ITGB2-AS1</v>
      </c>
      <c r="I4422" s="3" t="str">
        <f>"antisense"</f>
        <v>antisense</v>
      </c>
    </row>
    <row r="4423" spans="1:9" x14ac:dyDescent="0.2">
      <c r="A4423" s="3" t="str">
        <f>"ENSG00000235374.2"</f>
        <v>ENSG00000235374.2</v>
      </c>
      <c r="B4423" s="3">
        <v>73.494156685139401</v>
      </c>
      <c r="C4423" s="3">
        <v>1.99728317874704</v>
      </c>
      <c r="D4423" s="3">
        <v>0.46252560936306902</v>
      </c>
      <c r="E4423" s="3">
        <v>4.3182110099750899</v>
      </c>
      <c r="F4423" s="4">
        <v>1.5729900966717198E-5</v>
      </c>
      <c r="G4423" s="3">
        <v>1.5408320047421E-4</v>
      </c>
      <c r="H4423" s="3" t="str">
        <f>"SSR4P1"</f>
        <v>SSR4P1</v>
      </c>
      <c r="I4423" s="3" t="str">
        <f>"transcribed_processed_pseudogene"</f>
        <v>transcribed_processed_pseudogene</v>
      </c>
    </row>
    <row r="4424" spans="1:9" x14ac:dyDescent="0.2">
      <c r="A4424" s="3" t="str">
        <f>"ENSG00000197381.16"</f>
        <v>ENSG00000197381.16</v>
      </c>
      <c r="B4424" s="3">
        <v>1620.52226235596</v>
      </c>
      <c r="C4424" s="3">
        <v>1.84711214191789</v>
      </c>
      <c r="D4424" s="3">
        <v>0.25478213623283602</v>
      </c>
      <c r="E4424" s="3">
        <v>7.2497709974057196</v>
      </c>
      <c r="F4424" s="4">
        <v>4.1747687537741299E-13</v>
      </c>
      <c r="G4424" s="4">
        <v>1.26525672290588E-11</v>
      </c>
      <c r="H4424" s="3" t="str">
        <f>"ADARB1"</f>
        <v>ADARB1</v>
      </c>
      <c r="I4424" s="3" t="str">
        <f>"protein_coding"</f>
        <v>protein_coding</v>
      </c>
    </row>
    <row r="4425" spans="1:9" x14ac:dyDescent="0.2">
      <c r="A4425" s="3" t="str">
        <f>"ENSG00000182871.15"</f>
        <v>ENSG00000182871.15</v>
      </c>
      <c r="B4425" s="3">
        <v>6694.0340044008399</v>
      </c>
      <c r="C4425" s="3">
        <v>1.07271475593618</v>
      </c>
      <c r="D4425" s="3">
        <v>0.31145799213859199</v>
      </c>
      <c r="E4425" s="3">
        <v>3.4441715512596001</v>
      </c>
      <c r="F4425" s="3">
        <v>5.7281212827977202E-4</v>
      </c>
      <c r="G4425" s="3">
        <v>3.7670721780731701E-3</v>
      </c>
      <c r="H4425" s="3" t="str">
        <f>"COL18A1"</f>
        <v>COL18A1</v>
      </c>
      <c r="I4425" s="3" t="str">
        <f>"protein_coding"</f>
        <v>protein_coding</v>
      </c>
    </row>
    <row r="4426" spans="1:9" x14ac:dyDescent="0.2">
      <c r="A4426" s="3" t="str">
        <f>"ENSG00000224574.1"</f>
        <v>ENSG00000224574.1</v>
      </c>
      <c r="B4426" s="3">
        <v>23.6770048443381</v>
      </c>
      <c r="C4426" s="3">
        <v>2.2385753217411901</v>
      </c>
      <c r="D4426" s="3">
        <v>0.77093132200326897</v>
      </c>
      <c r="E4426" s="3">
        <v>2.9037285914447502</v>
      </c>
      <c r="F4426" s="3">
        <v>3.68747670513422E-3</v>
      </c>
      <c r="G4426" s="3">
        <v>1.8400808672416499E-2</v>
      </c>
      <c r="H4426" s="3" t="str">
        <f>"COL18A1-AS2"</f>
        <v>COL18A1-AS2</v>
      </c>
      <c r="I4426" s="3" t="str">
        <f>"antisense"</f>
        <v>antisense</v>
      </c>
    </row>
    <row r="4427" spans="1:9" x14ac:dyDescent="0.2">
      <c r="A4427" s="3" t="str">
        <f>"ENSG00000233922.2"</f>
        <v>ENSG00000233922.2</v>
      </c>
      <c r="B4427" s="3">
        <v>345.47206582195702</v>
      </c>
      <c r="C4427" s="3">
        <v>-1.5621217369793099</v>
      </c>
      <c r="D4427" s="3">
        <v>0.29483419961974899</v>
      </c>
      <c r="E4427" s="3">
        <v>-5.2983057562318097</v>
      </c>
      <c r="F4427" s="4">
        <v>1.16882127200533E-7</v>
      </c>
      <c r="G4427" s="4">
        <v>1.7346135160645401E-6</v>
      </c>
      <c r="H4427" s="3" t="str">
        <f>"LINC01694"</f>
        <v>LINC01694</v>
      </c>
      <c r="I4427" s="3" t="str">
        <f>"lincRNA"</f>
        <v>lincRNA</v>
      </c>
    </row>
    <row r="4428" spans="1:9" x14ac:dyDescent="0.2">
      <c r="A4428" s="3" t="str">
        <f>"ENSG00000160285.15"</f>
        <v>ENSG00000160285.15</v>
      </c>
      <c r="B4428" s="3">
        <v>1393.25009102747</v>
      </c>
      <c r="C4428" s="3">
        <v>-1.2250078596630001</v>
      </c>
      <c r="D4428" s="3">
        <v>0.31028269516636298</v>
      </c>
      <c r="E4428" s="3">
        <v>-3.94803796262691</v>
      </c>
      <c r="F4428" s="4">
        <v>7.8794312016306501E-5</v>
      </c>
      <c r="G4428" s="3">
        <v>6.5718531789462503E-4</v>
      </c>
      <c r="H4428" s="3" t="str">
        <f>"LSS"</f>
        <v>LSS</v>
      </c>
      <c r="I4428" s="3" t="str">
        <f>"protein_coding"</f>
        <v>protein_coding</v>
      </c>
    </row>
    <row r="4429" spans="1:9" x14ac:dyDescent="0.2">
      <c r="A4429" s="3" t="str">
        <f>"ENSG00000271127.1"</f>
        <v>ENSG00000271127.1</v>
      </c>
      <c r="B4429" s="3">
        <v>101.142415151824</v>
      </c>
      <c r="C4429" s="3">
        <v>1.44383726895959</v>
      </c>
      <c r="D4429" s="3">
        <v>0.42810104232989998</v>
      </c>
      <c r="E4429" s="3">
        <v>3.3726553458072299</v>
      </c>
      <c r="F4429" s="3">
        <v>7.4447077126301299E-4</v>
      </c>
      <c r="G4429" s="3">
        <v>4.7458596683023499E-3</v>
      </c>
      <c r="H4429" s="3" t="str">
        <f>"AP000526.1"</f>
        <v>AP000526.1</v>
      </c>
      <c r="I4429" s="3" t="str">
        <f>"sense_intronic"</f>
        <v>sense_intronic</v>
      </c>
    </row>
    <row r="4430" spans="1:9" x14ac:dyDescent="0.2">
      <c r="A4430" s="3" t="str">
        <f>"ENSG00000272872.1"</f>
        <v>ENSG00000272872.1</v>
      </c>
      <c r="B4430" s="3">
        <v>119.75584684337601</v>
      </c>
      <c r="C4430" s="3">
        <v>1.6656206682005199</v>
      </c>
      <c r="D4430" s="3">
        <v>0.41823136890142598</v>
      </c>
      <c r="E4430" s="3">
        <v>3.98253405184701</v>
      </c>
      <c r="F4430" s="4">
        <v>6.8184351782048203E-5</v>
      </c>
      <c r="G4430" s="3">
        <v>5.7945181387750698E-4</v>
      </c>
      <c r="H4430" s="3" t="str">
        <f>"AP000525.1"</f>
        <v>AP000525.1</v>
      </c>
      <c r="I4430" s="3" t="str">
        <f>"sense_intronic"</f>
        <v>sense_intronic</v>
      </c>
    </row>
    <row r="4431" spans="1:9" x14ac:dyDescent="0.2">
      <c r="A4431" s="3" t="str">
        <f>"ENSG00000237438.7"</f>
        <v>ENSG00000237438.7</v>
      </c>
      <c r="B4431" s="3">
        <v>14.3087335282176</v>
      </c>
      <c r="C4431" s="3">
        <v>3.4776287356764102</v>
      </c>
      <c r="D4431" s="3">
        <v>1.0508596306137901</v>
      </c>
      <c r="E4431" s="3">
        <v>3.3093180424536501</v>
      </c>
      <c r="F4431" s="3">
        <v>9.3523533741772698E-4</v>
      </c>
      <c r="G4431" s="3">
        <v>5.76472553608011E-3</v>
      </c>
      <c r="H4431" s="3" t="str">
        <f>"CECR7"</f>
        <v>CECR7</v>
      </c>
      <c r="I4431" s="3" t="str">
        <f>"transcribed_unprocessed_pseudogene"</f>
        <v>transcribed_unprocessed_pseudogene</v>
      </c>
    </row>
    <row r="4432" spans="1:9" x14ac:dyDescent="0.2">
      <c r="A4432" s="3" t="str">
        <f>"ENSG00000269220.1"</f>
        <v>ENSG00000269220.1</v>
      </c>
      <c r="B4432" s="3">
        <v>339.11780190109101</v>
      </c>
      <c r="C4432" s="3">
        <v>-1.0477999548390999</v>
      </c>
      <c r="D4432" s="3">
        <v>0.31645182799461902</v>
      </c>
      <c r="E4432" s="3">
        <v>-3.3110883305023</v>
      </c>
      <c r="F4432" s="3">
        <v>9.2933868424328501E-4</v>
      </c>
      <c r="G4432" s="3">
        <v>5.7339991665783302E-3</v>
      </c>
      <c r="H4432" s="3" t="str">
        <f>"LINC00528"</f>
        <v>LINC00528</v>
      </c>
      <c r="I4432" s="3" t="str">
        <f>"lincRNA"</f>
        <v>lincRNA</v>
      </c>
    </row>
    <row r="4433" spans="1:9" x14ac:dyDescent="0.2">
      <c r="A4433" s="3" t="str">
        <f>"ENSG00000225335.3"</f>
        <v>ENSG00000225335.3</v>
      </c>
      <c r="B4433" s="3">
        <v>77.079746576369701</v>
      </c>
      <c r="C4433" s="3">
        <v>-1.25821861046607</v>
      </c>
      <c r="D4433" s="3">
        <v>0.44749976496931798</v>
      </c>
      <c r="E4433" s="3">
        <v>-2.8116631760741599</v>
      </c>
      <c r="F4433" s="3">
        <v>4.9286084437993403E-3</v>
      </c>
      <c r="G4433" s="3">
        <v>2.34141600508831E-2</v>
      </c>
      <c r="H4433" s="3" t="str">
        <f>"AC016027.1"</f>
        <v>AC016027.1</v>
      </c>
      <c r="I4433" s="3" t="str">
        <f>"antisense"</f>
        <v>antisense</v>
      </c>
    </row>
    <row r="4434" spans="1:9" x14ac:dyDescent="0.2">
      <c r="A4434" s="3" t="str">
        <f>"ENSG00000280007.1"</f>
        <v>ENSG00000280007.1</v>
      </c>
      <c r="B4434" s="3">
        <v>73.932004088768906</v>
      </c>
      <c r="C4434" s="3">
        <v>-2.0427277473256198</v>
      </c>
      <c r="D4434" s="3">
        <v>0.45821743503066198</v>
      </c>
      <c r="E4434" s="3">
        <v>-4.4579878266503101</v>
      </c>
      <c r="F4434" s="4">
        <v>8.2732599197290896E-6</v>
      </c>
      <c r="G4434" s="4">
        <v>8.6714105533660597E-5</v>
      </c>
      <c r="H4434" s="3" t="str">
        <f>"AC008079.1"</f>
        <v>AC008079.1</v>
      </c>
      <c r="I4434" s="3" t="str">
        <f>"antisense"</f>
        <v>antisense</v>
      </c>
    </row>
    <row r="4435" spans="1:9" x14ac:dyDescent="0.2">
      <c r="A4435" s="3" t="str">
        <f>"ENSG00000184979.9"</f>
        <v>ENSG00000184979.9</v>
      </c>
      <c r="B4435" s="3">
        <v>252.26407684371799</v>
      </c>
      <c r="C4435" s="3">
        <v>-1.1346110255423101</v>
      </c>
      <c r="D4435" s="3">
        <v>0.36004672124300402</v>
      </c>
      <c r="E4435" s="3">
        <v>-3.1512883150976898</v>
      </c>
      <c r="F4435" s="3">
        <v>1.6255194463229599E-3</v>
      </c>
      <c r="G4435" s="3">
        <v>9.2135965913145608E-3</v>
      </c>
      <c r="H4435" s="3" t="str">
        <f>"USP18"</f>
        <v>USP18</v>
      </c>
      <c r="I4435" s="3" t="str">
        <f>"protein_coding"</f>
        <v>protein_coding</v>
      </c>
    </row>
    <row r="4436" spans="1:9" x14ac:dyDescent="0.2">
      <c r="A4436" s="3" t="str">
        <f>"ENSG00000274602.5"</f>
        <v>ENSG00000274602.5</v>
      </c>
      <c r="B4436" s="3">
        <v>3025.65349345922</v>
      </c>
      <c r="C4436" s="3">
        <v>1.78252351632719</v>
      </c>
      <c r="D4436" s="3">
        <v>0.31666272659993999</v>
      </c>
      <c r="E4436" s="3">
        <v>5.6290916694441604</v>
      </c>
      <c r="F4436" s="4">
        <v>1.8116110341644E-8</v>
      </c>
      <c r="G4436" s="4">
        <v>3.0758885771285298E-7</v>
      </c>
      <c r="H4436" s="3" t="str">
        <f>"PI4KAP1"</f>
        <v>PI4KAP1</v>
      </c>
      <c r="I4436" s="3" t="str">
        <f>"transcribed_unprocessed_pseudogene"</f>
        <v>transcribed_unprocessed_pseudogene</v>
      </c>
    </row>
    <row r="4437" spans="1:9" x14ac:dyDescent="0.2">
      <c r="A4437" s="3" t="str">
        <f>"ENSG00000183628.13"</f>
        <v>ENSG00000183628.13</v>
      </c>
      <c r="B4437" s="3">
        <v>15.6115944460186</v>
      </c>
      <c r="C4437" s="3">
        <v>6.0095524113146803</v>
      </c>
      <c r="D4437" s="3">
        <v>1.6266158918695</v>
      </c>
      <c r="E4437" s="3">
        <v>3.6945122947297699</v>
      </c>
      <c r="F4437" s="3">
        <v>2.20309234244074E-4</v>
      </c>
      <c r="G4437" s="3">
        <v>1.6280489974764001E-3</v>
      </c>
      <c r="H4437" s="3" t="str">
        <f>"DGCR6"</f>
        <v>DGCR6</v>
      </c>
      <c r="I4437" s="3" t="str">
        <f>"protein_coding"</f>
        <v>protein_coding</v>
      </c>
    </row>
    <row r="4438" spans="1:9" x14ac:dyDescent="0.2">
      <c r="A4438" s="3" t="str">
        <f>"ENSG00000100033.16"</f>
        <v>ENSG00000100033.16</v>
      </c>
      <c r="B4438" s="3">
        <v>405.33957445319197</v>
      </c>
      <c r="C4438" s="3">
        <v>6.9184526488815603</v>
      </c>
      <c r="D4438" s="3">
        <v>0.491133332953684</v>
      </c>
      <c r="E4438" s="3">
        <v>14.086709625823801</v>
      </c>
      <c r="F4438" s="4">
        <v>4.5842868763328602E-45</v>
      </c>
      <c r="G4438" s="4">
        <v>9.6905660818616005E-43</v>
      </c>
      <c r="H4438" s="3" t="str">
        <f>"PRODH"</f>
        <v>PRODH</v>
      </c>
      <c r="I4438" s="3" t="str">
        <f>"protein_coding"</f>
        <v>protein_coding</v>
      </c>
    </row>
    <row r="4439" spans="1:9" x14ac:dyDescent="0.2">
      <c r="A4439" s="3" t="str">
        <f>"ENSG00000241527.1"</f>
        <v>ENSG00000241527.1</v>
      </c>
      <c r="B4439" s="3">
        <v>13.414267984790101</v>
      </c>
      <c r="C4439" s="3">
        <v>-4.0708021685673401</v>
      </c>
      <c r="D4439" s="3">
        <v>1.27844567409012</v>
      </c>
      <c r="E4439" s="3">
        <v>-3.18418079944193</v>
      </c>
      <c r="F4439" s="3">
        <v>1.4516431292516199E-3</v>
      </c>
      <c r="G4439" s="3">
        <v>8.3743587796335402E-3</v>
      </c>
      <c r="H4439" s="3" t="str">
        <f>"CA15P1"</f>
        <v>CA15P1</v>
      </c>
      <c r="I4439" s="3" t="str">
        <f>"unitary_pseudogene"</f>
        <v>unitary_pseudogene</v>
      </c>
    </row>
    <row r="4440" spans="1:9" x14ac:dyDescent="0.2">
      <c r="A4440" s="3" t="str">
        <f>"ENSG00000093009.9"</f>
        <v>ENSG00000093009.9</v>
      </c>
      <c r="B4440" s="3">
        <v>1050.17343193703</v>
      </c>
      <c r="C4440" s="3">
        <v>-1.7733047594049001</v>
      </c>
      <c r="D4440" s="3">
        <v>0.30351023363875201</v>
      </c>
      <c r="E4440" s="3">
        <v>-5.8426522827416401</v>
      </c>
      <c r="F4440" s="4">
        <v>5.1376184306733396E-9</v>
      </c>
      <c r="G4440" s="4">
        <v>9.48178955418839E-8</v>
      </c>
      <c r="H4440" s="3" t="str">
        <f>"CDC45"</f>
        <v>CDC45</v>
      </c>
      <c r="I4440" s="3" t="str">
        <f t="shared" ref="I4440:I4445" si="177">"protein_coding"</f>
        <v>protein_coding</v>
      </c>
    </row>
    <row r="4441" spans="1:9" x14ac:dyDescent="0.2">
      <c r="A4441" s="3" t="str">
        <f>"ENSG00000184058.14"</f>
        <v>ENSG00000184058.14</v>
      </c>
      <c r="B4441" s="3">
        <v>51.615545512916903</v>
      </c>
      <c r="C4441" s="3">
        <v>5.7544192165441297</v>
      </c>
      <c r="D4441" s="3">
        <v>0.87793816564927696</v>
      </c>
      <c r="E4441" s="3">
        <v>6.5544698267997799</v>
      </c>
      <c r="F4441" s="4">
        <v>5.5839903775254001E-11</v>
      </c>
      <c r="G4441" s="4">
        <v>1.32514413157218E-9</v>
      </c>
      <c r="H4441" s="3" t="str">
        <f>"TBX1"</f>
        <v>TBX1</v>
      </c>
      <c r="I4441" s="3" t="str">
        <f t="shared" si="177"/>
        <v>protein_coding</v>
      </c>
    </row>
    <row r="4442" spans="1:9" x14ac:dyDescent="0.2">
      <c r="A4442" s="3" t="str">
        <f>"ENSG00000184470.21"</f>
        <v>ENSG00000184470.21</v>
      </c>
      <c r="B4442" s="3">
        <v>496.417821320717</v>
      </c>
      <c r="C4442" s="3">
        <v>1.2250228412183199</v>
      </c>
      <c r="D4442" s="3">
        <v>0.31702832009988002</v>
      </c>
      <c r="E4442" s="3">
        <v>3.8640801579883401</v>
      </c>
      <c r="F4442" s="3">
        <v>1.11508602241091E-4</v>
      </c>
      <c r="G4442" s="3">
        <v>8.9502198129376095E-4</v>
      </c>
      <c r="H4442" s="3" t="str">
        <f>"TXNRD2"</f>
        <v>TXNRD2</v>
      </c>
      <c r="I4442" s="3" t="str">
        <f t="shared" si="177"/>
        <v>protein_coding</v>
      </c>
    </row>
    <row r="4443" spans="1:9" x14ac:dyDescent="0.2">
      <c r="A4443" s="3" t="str">
        <f>"ENSG00000099889.14"</f>
        <v>ENSG00000099889.14</v>
      </c>
      <c r="B4443" s="3">
        <v>5277.6993398163804</v>
      </c>
      <c r="C4443" s="3">
        <v>4.2316564667094401</v>
      </c>
      <c r="D4443" s="3">
        <v>0.31213513385260699</v>
      </c>
      <c r="E4443" s="3">
        <v>13.5571296139564</v>
      </c>
      <c r="F4443" s="4">
        <v>7.1894851325642904E-42</v>
      </c>
      <c r="G4443" s="4">
        <v>1.31051810514243E-39</v>
      </c>
      <c r="H4443" s="3" t="str">
        <f>"ARVCF"</f>
        <v>ARVCF</v>
      </c>
      <c r="I4443" s="3" t="str">
        <f t="shared" si="177"/>
        <v>protein_coding</v>
      </c>
    </row>
    <row r="4444" spans="1:9" x14ac:dyDescent="0.2">
      <c r="A4444" s="3" t="str">
        <f>"ENSG00000183597.15"</f>
        <v>ENSG00000183597.15</v>
      </c>
      <c r="B4444" s="3">
        <v>1869.05592541646</v>
      </c>
      <c r="C4444" s="3">
        <v>3.1619670104300099</v>
      </c>
      <c r="D4444" s="3">
        <v>0.30589651272742002</v>
      </c>
      <c r="E4444" s="3">
        <v>10.3367213383292</v>
      </c>
      <c r="F4444" s="4">
        <v>4.8070308883927804E-25</v>
      </c>
      <c r="G4444" s="4">
        <v>3.7499710499507301E-23</v>
      </c>
      <c r="H4444" s="3" t="str">
        <f>"TANGO2"</f>
        <v>TANGO2</v>
      </c>
      <c r="I4444" s="3" t="str">
        <f t="shared" si="177"/>
        <v>protein_coding</v>
      </c>
    </row>
    <row r="4445" spans="1:9" x14ac:dyDescent="0.2">
      <c r="A4445" s="3" t="str">
        <f>"ENSG00000099901.17"</f>
        <v>ENSG00000099901.17</v>
      </c>
      <c r="B4445" s="3">
        <v>4983.2958742976098</v>
      </c>
      <c r="C4445" s="3">
        <v>-1.52016693594068</v>
      </c>
      <c r="D4445" s="3">
        <v>0.27604368237394</v>
      </c>
      <c r="E4445" s="3">
        <v>-5.5069796304245902</v>
      </c>
      <c r="F4445" s="4">
        <v>3.6504248002334502E-8</v>
      </c>
      <c r="G4445" s="4">
        <v>5.8637570785359203E-7</v>
      </c>
      <c r="H4445" s="3" t="str">
        <f>"RANBP1"</f>
        <v>RANBP1</v>
      </c>
      <c r="I4445" s="3" t="str">
        <f t="shared" si="177"/>
        <v>protein_coding</v>
      </c>
    </row>
    <row r="4446" spans="1:9" x14ac:dyDescent="0.2">
      <c r="A4446" s="3" t="str">
        <f>"ENSG00000250261.1"</f>
        <v>ENSG00000250261.1</v>
      </c>
      <c r="B4446" s="3">
        <v>5.9964955288719297</v>
      </c>
      <c r="C4446" s="3">
        <v>6.1015540212156596</v>
      </c>
      <c r="D4446" s="3">
        <v>1.9346397157810999</v>
      </c>
      <c r="E4446" s="3">
        <v>3.1538451172300999</v>
      </c>
      <c r="F4446" s="3">
        <v>1.6113457876091601E-3</v>
      </c>
      <c r="G4446" s="3">
        <v>9.1464702714660496E-3</v>
      </c>
      <c r="H4446" s="3" t="str">
        <f>"CCDC74BP1"</f>
        <v>CCDC74BP1</v>
      </c>
      <c r="I4446" s="3" t="str">
        <f>"unprocessed_pseudogene"</f>
        <v>unprocessed_pseudogene</v>
      </c>
    </row>
    <row r="4447" spans="1:9" x14ac:dyDescent="0.2">
      <c r="A4447" s="3" t="str">
        <f>"ENSG00000223553.6"</f>
        <v>ENSG00000223553.6</v>
      </c>
      <c r="B4447" s="3">
        <v>25.088510204065901</v>
      </c>
      <c r="C4447" s="3">
        <v>2.20289202641447</v>
      </c>
      <c r="D4447" s="3">
        <v>0.71909717884670599</v>
      </c>
      <c r="E4447" s="3">
        <v>3.0634135290969802</v>
      </c>
      <c r="F4447" s="3">
        <v>2.1882743653630502E-3</v>
      </c>
      <c r="G4447" s="3">
        <v>1.1817527192079701E-2</v>
      </c>
      <c r="H4447" s="3" t="str">
        <f>"SMPD4P1"</f>
        <v>SMPD4P1</v>
      </c>
      <c r="I4447" s="3" t="str">
        <f>"transcribed_unprocessed_pseudogene"</f>
        <v>transcribed_unprocessed_pseudogene</v>
      </c>
    </row>
    <row r="4448" spans="1:9" x14ac:dyDescent="0.2">
      <c r="A4448" s="3" t="str">
        <f>"ENSG00000099937.11"</f>
        <v>ENSG00000099937.11</v>
      </c>
      <c r="B4448" s="3">
        <v>6322.2152053339296</v>
      </c>
      <c r="C4448" s="3">
        <v>-1.1996324930398401</v>
      </c>
      <c r="D4448" s="3">
        <v>0.25524216316312798</v>
      </c>
      <c r="E4448" s="3">
        <v>-4.6999777708087302</v>
      </c>
      <c r="F4448" s="4">
        <v>2.6018981147531501E-6</v>
      </c>
      <c r="G4448" s="4">
        <v>3.0001092168975E-5</v>
      </c>
      <c r="H4448" s="3" t="str">
        <f>"SERPIND1"</f>
        <v>SERPIND1</v>
      </c>
      <c r="I4448" s="3" t="str">
        <f>"protein_coding"</f>
        <v>protein_coding</v>
      </c>
    </row>
    <row r="4449" spans="1:9" x14ac:dyDescent="0.2">
      <c r="A4449" s="3" t="str">
        <f>"ENSG00000183773.15"</f>
        <v>ENSG00000183773.15</v>
      </c>
      <c r="B4449" s="3">
        <v>581.82769783527601</v>
      </c>
      <c r="C4449" s="3">
        <v>1.8278373054424299</v>
      </c>
      <c r="D4449" s="3">
        <v>0.34285227451206501</v>
      </c>
      <c r="E4449" s="3">
        <v>5.3312678413574499</v>
      </c>
      <c r="F4449" s="4">
        <v>9.75294468080947E-8</v>
      </c>
      <c r="G4449" s="4">
        <v>1.45772622368248E-6</v>
      </c>
      <c r="H4449" s="3" t="str">
        <f>"AIFM3"</f>
        <v>AIFM3</v>
      </c>
      <c r="I4449" s="3" t="str">
        <f>"protein_coding"</f>
        <v>protein_coding</v>
      </c>
    </row>
    <row r="4450" spans="1:9" x14ac:dyDescent="0.2">
      <c r="A4450" s="3" t="str">
        <f>"ENSG00000169635.10"</f>
        <v>ENSG00000169635.10</v>
      </c>
      <c r="B4450" s="3">
        <v>3762.1491888345499</v>
      </c>
      <c r="C4450" s="3">
        <v>1.0949251372743201</v>
      </c>
      <c r="D4450" s="3">
        <v>0.301774445256767</v>
      </c>
      <c r="E4450" s="3">
        <v>3.6282897855804199</v>
      </c>
      <c r="F4450" s="3">
        <v>2.8530491958123598E-4</v>
      </c>
      <c r="G4450" s="3">
        <v>2.04953983088468E-3</v>
      </c>
      <c r="H4450" s="3" t="str">
        <f>"HIC2"</f>
        <v>HIC2</v>
      </c>
      <c r="I4450" s="3" t="str">
        <f>"protein_coding"</f>
        <v>protein_coding</v>
      </c>
    </row>
    <row r="4451" spans="1:9" x14ac:dyDescent="0.2">
      <c r="A4451" s="3" t="str">
        <f>"ENSG00000206140.11"</f>
        <v>ENSG00000206140.11</v>
      </c>
      <c r="B4451" s="3">
        <v>34.114284323673402</v>
      </c>
      <c r="C4451" s="3">
        <v>1.8318305695105099</v>
      </c>
      <c r="D4451" s="3">
        <v>0.62403598142832195</v>
      </c>
      <c r="E4451" s="3">
        <v>2.9354566467749699</v>
      </c>
      <c r="F4451" s="3">
        <v>3.3305714816341601E-3</v>
      </c>
      <c r="G4451" s="3">
        <v>1.6881024706932798E-2</v>
      </c>
      <c r="H4451" s="3" t="str">
        <f>"TMEM191C"</f>
        <v>TMEM191C</v>
      </c>
      <c r="I4451" s="3" t="str">
        <f>"protein_coding"</f>
        <v>protein_coding</v>
      </c>
    </row>
    <row r="4452" spans="1:9" x14ac:dyDescent="0.2">
      <c r="A4452" s="3" t="str">
        <f>"ENSG00000183506.17"</f>
        <v>ENSG00000183506.17</v>
      </c>
      <c r="B4452" s="3">
        <v>1636.0272243964</v>
      </c>
      <c r="C4452" s="3">
        <v>1.69192314983944</v>
      </c>
      <c r="D4452" s="3">
        <v>0.33688490448194602</v>
      </c>
      <c r="E4452" s="3">
        <v>5.0222587219847297</v>
      </c>
      <c r="F4452" s="4">
        <v>5.10673288292313E-7</v>
      </c>
      <c r="G4452" s="4">
        <v>6.7717377791213102E-6</v>
      </c>
      <c r="H4452" s="3" t="str">
        <f>"PI4KAP2"</f>
        <v>PI4KAP2</v>
      </c>
      <c r="I4452" s="3" t="str">
        <f>"transcribed_unitary_pseudogene"</f>
        <v>transcribed_unitary_pseudogene</v>
      </c>
    </row>
    <row r="4453" spans="1:9" x14ac:dyDescent="0.2">
      <c r="A4453" s="3" t="str">
        <f>"ENSG00000274422.1"</f>
        <v>ENSG00000274422.1</v>
      </c>
      <c r="B4453" s="3">
        <v>516.22769333179997</v>
      </c>
      <c r="C4453" s="3">
        <v>1.8094353157287599</v>
      </c>
      <c r="D4453" s="3">
        <v>0.303105527575322</v>
      </c>
      <c r="E4453" s="3">
        <v>5.9696546288787697</v>
      </c>
      <c r="F4453" s="4">
        <v>2.3775633573955101E-9</v>
      </c>
      <c r="G4453" s="4">
        <v>4.5585065743356702E-8</v>
      </c>
      <c r="H4453" s="3" t="str">
        <f>"AC245060.5"</f>
        <v>AC245060.5</v>
      </c>
      <c r="I4453" s="3" t="str">
        <f>"lincRNA"</f>
        <v>lincRNA</v>
      </c>
    </row>
    <row r="4454" spans="1:9" x14ac:dyDescent="0.2">
      <c r="A4454" s="3" t="str">
        <f>"ENSG00000286129.1"</f>
        <v>ENSG00000286129.1</v>
      </c>
      <c r="B4454" s="3">
        <v>141.670365978387</v>
      </c>
      <c r="C4454" s="3">
        <v>1.36641504795937</v>
      </c>
      <c r="D4454" s="3">
        <v>0.35997368805582802</v>
      </c>
      <c r="E4454" s="3">
        <v>3.7958747911248798</v>
      </c>
      <c r="F4454" s="3">
        <v>1.4712374308975399E-4</v>
      </c>
      <c r="G4454" s="3">
        <v>1.1394389647237601E-3</v>
      </c>
      <c r="H4454" s="3" t="str">
        <f>"AC245060.7"</f>
        <v>AC245060.7</v>
      </c>
      <c r="I4454" s="3" t="str">
        <f>"processed_transcript"</f>
        <v>processed_transcript</v>
      </c>
    </row>
    <row r="4455" spans="1:9" x14ac:dyDescent="0.2">
      <c r="A4455" s="3" t="str">
        <f>"ENSG00000211645.2"</f>
        <v>ENSG00000211645.2</v>
      </c>
      <c r="B4455" s="3">
        <v>21.022479561810101</v>
      </c>
      <c r="C4455" s="3">
        <v>1.9789570355049699</v>
      </c>
      <c r="D4455" s="3">
        <v>0.77110621851806205</v>
      </c>
      <c r="E4455" s="3">
        <v>2.5663870786935101</v>
      </c>
      <c r="F4455" s="3">
        <v>1.0276407918308699E-2</v>
      </c>
      <c r="G4455" s="3">
        <v>4.3227933308537803E-2</v>
      </c>
      <c r="H4455" s="3" t="str">
        <f>"IGLV1-50"</f>
        <v>IGLV1-50</v>
      </c>
      <c r="I4455" s="3" t="str">
        <f>"IG_V_gene"</f>
        <v>IG_V_gene</v>
      </c>
    </row>
    <row r="4456" spans="1:9" x14ac:dyDescent="0.2">
      <c r="A4456" s="3" t="str">
        <f>"ENSG00000169548.3"</f>
        <v>ENSG00000169548.3</v>
      </c>
      <c r="B4456" s="3">
        <v>139.91761110020801</v>
      </c>
      <c r="C4456" s="3">
        <v>-1.0420954417900701</v>
      </c>
      <c r="D4456" s="3">
        <v>0.382207441861455</v>
      </c>
      <c r="E4456" s="3">
        <v>-2.7265179262726398</v>
      </c>
      <c r="F4456" s="3">
        <v>6.4006475731762501E-3</v>
      </c>
      <c r="G4456" s="3">
        <v>2.90471386800015E-2</v>
      </c>
      <c r="H4456" s="3" t="str">
        <f>"ZNF280A"</f>
        <v>ZNF280A</v>
      </c>
      <c r="I4456" s="3" t="str">
        <f>"protein_coding"</f>
        <v>protein_coding</v>
      </c>
    </row>
    <row r="4457" spans="1:9" x14ac:dyDescent="0.2">
      <c r="A4457" s="3" t="str">
        <f>"ENSG00000185686.18"</f>
        <v>ENSG00000185686.18</v>
      </c>
      <c r="B4457" s="3">
        <v>24.3506824008096</v>
      </c>
      <c r="C4457" s="3">
        <v>-3.0649458215449501</v>
      </c>
      <c r="D4457" s="3">
        <v>0.80632374445893995</v>
      </c>
      <c r="E4457" s="3">
        <v>-3.8011355148688999</v>
      </c>
      <c r="F4457" s="3">
        <v>1.4403449623825399E-4</v>
      </c>
      <c r="G4457" s="3">
        <v>1.11930421775511E-3</v>
      </c>
      <c r="H4457" s="3" t="str">
        <f>"PRAME"</f>
        <v>PRAME</v>
      </c>
      <c r="I4457" s="3" t="str">
        <f>"protein_coding"</f>
        <v>protein_coding</v>
      </c>
    </row>
    <row r="4458" spans="1:9" x14ac:dyDescent="0.2">
      <c r="A4458" s="3" t="str">
        <f>"ENSG00000100228.12"</f>
        <v>ENSG00000100228.12</v>
      </c>
      <c r="B4458" s="3">
        <v>116.429369423339</v>
      </c>
      <c r="C4458" s="3">
        <v>-2.2704184791445301</v>
      </c>
      <c r="D4458" s="3">
        <v>0.43276524946584299</v>
      </c>
      <c r="E4458" s="3">
        <v>-5.2463049700660598</v>
      </c>
      <c r="F4458" s="4">
        <v>1.55179953040412E-7</v>
      </c>
      <c r="G4458" s="4">
        <v>2.26292853259801E-6</v>
      </c>
      <c r="H4458" s="3" t="str">
        <f>"RAB36"</f>
        <v>RAB36</v>
      </c>
      <c r="I4458" s="3" t="str">
        <f>"protein_coding"</f>
        <v>protein_coding</v>
      </c>
    </row>
    <row r="4459" spans="1:9" x14ac:dyDescent="0.2">
      <c r="A4459" s="3" t="str">
        <f>"ENSG00000280623.1"</f>
        <v>ENSG00000280623.1</v>
      </c>
      <c r="B4459" s="3">
        <v>42.103041765129298</v>
      </c>
      <c r="C4459" s="3">
        <v>-1.468974272434</v>
      </c>
      <c r="D4459" s="3">
        <v>0.58112372982729299</v>
      </c>
      <c r="E4459" s="3">
        <v>-2.52781670586843</v>
      </c>
      <c r="F4459" s="3">
        <v>1.14774254909561E-2</v>
      </c>
      <c r="G4459" s="3">
        <v>4.7338028894081202E-2</v>
      </c>
      <c r="H4459" s="3" t="str">
        <f>"PCAT14"</f>
        <v>PCAT14</v>
      </c>
      <c r="I4459" s="3" t="str">
        <f>"lincRNA"</f>
        <v>lincRNA</v>
      </c>
    </row>
    <row r="4460" spans="1:9" x14ac:dyDescent="0.2">
      <c r="A4460" s="3" t="str">
        <f>"ENSG00000224277.5"</f>
        <v>ENSG00000224277.5</v>
      </c>
      <c r="B4460" s="3">
        <v>15.4015837801927</v>
      </c>
      <c r="C4460" s="3">
        <v>5.9915884996718596</v>
      </c>
      <c r="D4460" s="3">
        <v>1.6300294715789401</v>
      </c>
      <c r="E4460" s="3">
        <v>3.6757547051391999</v>
      </c>
      <c r="F4460" s="3">
        <v>2.37147303303183E-4</v>
      </c>
      <c r="G4460" s="3">
        <v>1.7356533065439499E-3</v>
      </c>
      <c r="H4460" s="3" t="str">
        <f>"AP000345.1"</f>
        <v>AP000345.1</v>
      </c>
      <c r="I4460" s="3" t="str">
        <f>"antisense"</f>
        <v>antisense</v>
      </c>
    </row>
    <row r="4461" spans="1:9" x14ac:dyDescent="0.2">
      <c r="A4461" s="3" t="str">
        <f>"ENSG00000272578.5"</f>
        <v>ENSG00000272578.5</v>
      </c>
      <c r="B4461" s="3">
        <v>323.65094051182598</v>
      </c>
      <c r="C4461" s="3">
        <v>1.12626054018099</v>
      </c>
      <c r="D4461" s="3">
        <v>0.29816919337150299</v>
      </c>
      <c r="E4461" s="3">
        <v>3.7772532012645899</v>
      </c>
      <c r="F4461" s="3">
        <v>1.5856750573463099E-4</v>
      </c>
      <c r="G4461" s="3">
        <v>1.21796651164888E-3</v>
      </c>
      <c r="H4461" s="3" t="str">
        <f>"AP000347.1"</f>
        <v>AP000347.1</v>
      </c>
      <c r="I4461" s="3" t="str">
        <f>"transcribed_unprocessed_pseudogene"</f>
        <v>transcribed_unprocessed_pseudogene</v>
      </c>
    </row>
    <row r="4462" spans="1:9" x14ac:dyDescent="0.2">
      <c r="A4462" s="3" t="str">
        <f>"ENSG00000133460.19"</f>
        <v>ENSG00000133460.19</v>
      </c>
      <c r="B4462" s="3">
        <v>509.94470759999598</v>
      </c>
      <c r="C4462" s="3">
        <v>1.0698810518810999</v>
      </c>
      <c r="D4462" s="3">
        <v>0.272921549027211</v>
      </c>
      <c r="E4462" s="3">
        <v>3.92010471761771</v>
      </c>
      <c r="F4462" s="4">
        <v>8.8510500649902697E-5</v>
      </c>
      <c r="G4462" s="3">
        <v>7.2869154009080797E-4</v>
      </c>
      <c r="H4462" s="3" t="str">
        <f>"SLC2A11"</f>
        <v>SLC2A11</v>
      </c>
      <c r="I4462" s="3" t="str">
        <f>"protein_coding"</f>
        <v>protein_coding</v>
      </c>
    </row>
    <row r="4463" spans="1:9" x14ac:dyDescent="0.2">
      <c r="A4463" s="3" t="str">
        <f>"ENSG00000218537.1"</f>
        <v>ENSG00000218537.1</v>
      </c>
      <c r="B4463" s="3">
        <v>192.42620127682099</v>
      </c>
      <c r="C4463" s="3">
        <v>1.1276599873231099</v>
      </c>
      <c r="D4463" s="3">
        <v>0.39048621011374202</v>
      </c>
      <c r="E4463" s="3">
        <v>2.88783562163345</v>
      </c>
      <c r="F4463" s="3">
        <v>3.8790252950771402E-3</v>
      </c>
      <c r="G4463" s="3">
        <v>1.9185387592934599E-2</v>
      </c>
      <c r="H4463" s="3" t="str">
        <f>"MIF-AS1"</f>
        <v>MIF-AS1</v>
      </c>
      <c r="I4463" s="3" t="str">
        <f>"antisense"</f>
        <v>antisense</v>
      </c>
    </row>
    <row r="4464" spans="1:9" x14ac:dyDescent="0.2">
      <c r="A4464" s="3" t="str">
        <f>"ENSG00000276950.5"</f>
        <v>ENSG00000276950.5</v>
      </c>
      <c r="B4464" s="3">
        <v>66.321974289592006</v>
      </c>
      <c r="C4464" s="3">
        <v>-1.75625961777842</v>
      </c>
      <c r="D4464" s="3">
        <v>0.50177376915248495</v>
      </c>
      <c r="E4464" s="3">
        <v>-3.50010248790967</v>
      </c>
      <c r="F4464" s="3">
        <v>4.6507931129969698E-4</v>
      </c>
      <c r="G4464" s="3">
        <v>3.1415333178689301E-3</v>
      </c>
      <c r="H4464" s="3" t="str">
        <f>"GSTT4"</f>
        <v>GSTT4</v>
      </c>
      <c r="I4464" s="3" t="str">
        <f>"protein_coding"</f>
        <v>protein_coding</v>
      </c>
    </row>
    <row r="4465" spans="1:9" x14ac:dyDescent="0.2">
      <c r="A4465" s="3" t="str">
        <f>"ENSG00000235689.1"</f>
        <v>ENSG00000235689.1</v>
      </c>
      <c r="B4465" s="3">
        <v>52.337175122917401</v>
      </c>
      <c r="C4465" s="3">
        <v>-1.6177361545266999</v>
      </c>
      <c r="D4465" s="3">
        <v>0.52175531621208504</v>
      </c>
      <c r="E4465" s="3">
        <v>-3.1005647748284999</v>
      </c>
      <c r="F4465" s="3">
        <v>1.9315196206635501E-3</v>
      </c>
      <c r="G4465" s="3">
        <v>1.0634137898400399E-2</v>
      </c>
      <c r="H4465" s="3" t="str">
        <f>"AC253536.4"</f>
        <v>AC253536.4</v>
      </c>
      <c r="I4465" s="3" t="str">
        <f>"unprocessed_pseudogene"</f>
        <v>unprocessed_pseudogene</v>
      </c>
    </row>
    <row r="4466" spans="1:9" x14ac:dyDescent="0.2">
      <c r="A4466" s="3" t="str">
        <f>"ENSG00000232545.1"</f>
        <v>ENSG00000232545.1</v>
      </c>
      <c r="B4466" s="3">
        <v>259.51347399245202</v>
      </c>
      <c r="C4466" s="3">
        <v>1.0019397836912101</v>
      </c>
      <c r="D4466" s="3">
        <v>0.35104028467548798</v>
      </c>
      <c r="E4466" s="3">
        <v>2.8542017182370598</v>
      </c>
      <c r="F4466" s="3">
        <v>4.3145126479971997E-3</v>
      </c>
      <c r="G4466" s="3">
        <v>2.0980391583291999E-2</v>
      </c>
      <c r="H4466" s="3" t="str">
        <f>"AC253536.3"</f>
        <v>AC253536.3</v>
      </c>
      <c r="I4466" s="3" t="str">
        <f>"sense_intronic"</f>
        <v>sense_intronic</v>
      </c>
    </row>
    <row r="4467" spans="1:9" x14ac:dyDescent="0.2">
      <c r="A4467" s="3" t="str">
        <f>"ENSG00000099994.11"</f>
        <v>ENSG00000099994.11</v>
      </c>
      <c r="B4467" s="3">
        <v>200.57579909877199</v>
      </c>
      <c r="C4467" s="3">
        <v>1.691760244815</v>
      </c>
      <c r="D4467" s="3">
        <v>0.400274380390089</v>
      </c>
      <c r="E4467" s="3">
        <v>4.2265014392534601</v>
      </c>
      <c r="F4467" s="4">
        <v>2.37352754490375E-5</v>
      </c>
      <c r="G4467" s="3">
        <v>2.2403784387262299E-4</v>
      </c>
      <c r="H4467" s="3" t="str">
        <f>"SUSD2"</f>
        <v>SUSD2</v>
      </c>
      <c r="I4467" s="3" t="str">
        <f>"protein_coding"</f>
        <v>protein_coding</v>
      </c>
    </row>
    <row r="4468" spans="1:9" x14ac:dyDescent="0.2">
      <c r="A4468" s="3" t="str">
        <f>"ENSG00000099998.17"</f>
        <v>ENSG00000099998.17</v>
      </c>
      <c r="B4468" s="3">
        <v>66.068047401501502</v>
      </c>
      <c r="C4468" s="3">
        <v>3.0999427752407298</v>
      </c>
      <c r="D4468" s="3">
        <v>0.55891467120730398</v>
      </c>
      <c r="E4468" s="3">
        <v>5.54636143034962</v>
      </c>
      <c r="F4468" s="4">
        <v>2.91675584573377E-8</v>
      </c>
      <c r="G4468" s="4">
        <v>4.7643502142488998E-7</v>
      </c>
      <c r="H4468" s="3" t="str">
        <f>"GGT5"</f>
        <v>GGT5</v>
      </c>
      <c r="I4468" s="3" t="str">
        <f>"protein_coding"</f>
        <v>protein_coding</v>
      </c>
    </row>
    <row r="4469" spans="1:9" x14ac:dyDescent="0.2">
      <c r="A4469" s="3" t="str">
        <f>"ENSG00000100024.14"</f>
        <v>ENSG00000100024.14</v>
      </c>
      <c r="B4469" s="3">
        <v>53.774535145215602</v>
      </c>
      <c r="C4469" s="3">
        <v>-1.4340801723965899</v>
      </c>
      <c r="D4469" s="3">
        <v>0.52473667961347403</v>
      </c>
      <c r="E4469" s="3">
        <v>-2.7329520273919998</v>
      </c>
      <c r="F4469" s="3">
        <v>6.2769474002132503E-3</v>
      </c>
      <c r="G4469" s="3">
        <v>2.8588921211726299E-2</v>
      </c>
      <c r="H4469" s="3" t="str">
        <f>"UPB1"</f>
        <v>UPB1</v>
      </c>
      <c r="I4469" s="3" t="str">
        <f>"protein_coding"</f>
        <v>protein_coding</v>
      </c>
    </row>
    <row r="4470" spans="1:9" x14ac:dyDescent="0.2">
      <c r="A4470" s="3" t="str">
        <f>"ENSG00000100053.10"</f>
        <v>ENSG00000100053.10</v>
      </c>
      <c r="B4470" s="3">
        <v>63.303949088435402</v>
      </c>
      <c r="C4470" s="3">
        <v>1.6055031713530601</v>
      </c>
      <c r="D4470" s="3">
        <v>0.52085827216245295</v>
      </c>
      <c r="E4470" s="3">
        <v>3.0824184949342799</v>
      </c>
      <c r="F4470" s="3">
        <v>2.0532595011755399E-3</v>
      </c>
      <c r="G4470" s="3">
        <v>1.11989901890873E-2</v>
      </c>
      <c r="H4470" s="3" t="str">
        <f>"CRYBB3"</f>
        <v>CRYBB3</v>
      </c>
      <c r="I4470" s="3" t="str">
        <f>"protein_coding"</f>
        <v>protein_coding</v>
      </c>
    </row>
    <row r="4471" spans="1:9" x14ac:dyDescent="0.2">
      <c r="A4471" s="3" t="str">
        <f>"ENSG00000224003.1"</f>
        <v>ENSG00000224003.1</v>
      </c>
      <c r="B4471" s="3">
        <v>73.295880507821707</v>
      </c>
      <c r="C4471" s="3">
        <v>1.2950529477353201</v>
      </c>
      <c r="D4471" s="3">
        <v>0.45777328910991699</v>
      </c>
      <c r="E4471" s="3">
        <v>2.8290268972516599</v>
      </c>
      <c r="F4471" s="3">
        <v>4.6689774771010804E-3</v>
      </c>
      <c r="G4471" s="3">
        <v>2.24009400031428E-2</v>
      </c>
      <c r="H4471" s="3" t="str">
        <f>"YES1P1"</f>
        <v>YES1P1</v>
      </c>
      <c r="I4471" s="3" t="str">
        <f>"processed_pseudogene"</f>
        <v>processed_pseudogene</v>
      </c>
    </row>
    <row r="4472" spans="1:9" x14ac:dyDescent="0.2">
      <c r="A4472" s="3" t="str">
        <f>"ENSG00000261188.1"</f>
        <v>ENSG00000261188.1</v>
      </c>
      <c r="B4472" s="3">
        <v>160.21604376702601</v>
      </c>
      <c r="C4472" s="3">
        <v>-1.4580347893121799</v>
      </c>
      <c r="D4472" s="3">
        <v>0.35391880210010901</v>
      </c>
      <c r="E4472" s="3">
        <v>-4.1196872860678599</v>
      </c>
      <c r="F4472" s="4">
        <v>3.7938694353032802E-5</v>
      </c>
      <c r="G4472" s="3">
        <v>3.4169275204101003E-4</v>
      </c>
      <c r="H4472" s="3" t="str">
        <f>"Z95115.1"</f>
        <v>Z95115.1</v>
      </c>
      <c r="I4472" s="3" t="str">
        <f>"antisense"</f>
        <v>antisense</v>
      </c>
    </row>
    <row r="4473" spans="1:9" x14ac:dyDescent="0.2">
      <c r="A4473" s="3" t="str">
        <f>"ENSG00000128294.16"</f>
        <v>ENSG00000128294.16</v>
      </c>
      <c r="B4473" s="3">
        <v>558.75238038693305</v>
      </c>
      <c r="C4473" s="3">
        <v>-1.2881862817573699</v>
      </c>
      <c r="D4473" s="3">
        <v>0.26839394174243097</v>
      </c>
      <c r="E4473" s="3">
        <v>-4.7996101305207501</v>
      </c>
      <c r="F4473" s="4">
        <v>1.5897479750338401E-6</v>
      </c>
      <c r="G4473" s="4">
        <v>1.90157443233363E-5</v>
      </c>
      <c r="H4473" s="3" t="str">
        <f>"TPST2"</f>
        <v>TPST2</v>
      </c>
      <c r="I4473" s="3" t="str">
        <f>"protein_coding"</f>
        <v>protein_coding</v>
      </c>
    </row>
    <row r="4474" spans="1:9" x14ac:dyDescent="0.2">
      <c r="A4474" s="3" t="str">
        <f>"ENSG00000244625.6"</f>
        <v>ENSG00000244625.6</v>
      </c>
      <c r="B4474" s="3">
        <v>36.551446637844897</v>
      </c>
      <c r="C4474" s="3">
        <v>-1.8544681695849401</v>
      </c>
      <c r="D4474" s="3">
        <v>0.63346737406973597</v>
      </c>
      <c r="E4474" s="3">
        <v>-2.9274880530481502</v>
      </c>
      <c r="F4474" s="3">
        <v>3.4171218882096399E-3</v>
      </c>
      <c r="G4474" s="3">
        <v>1.7264049226333299E-2</v>
      </c>
      <c r="H4474" s="3" t="str">
        <f>"MIATNB"</f>
        <v>MIATNB</v>
      </c>
      <c r="I4474" s="3" t="str">
        <f>"lincRNA"</f>
        <v>lincRNA</v>
      </c>
    </row>
    <row r="4475" spans="1:9" x14ac:dyDescent="0.2">
      <c r="A4475" s="3" t="str">
        <f>"ENSG00000100219.16"</f>
        <v>ENSG00000100219.16</v>
      </c>
      <c r="B4475" s="3">
        <v>7182.2577153106604</v>
      </c>
      <c r="C4475" s="3">
        <v>-1.5153424642902</v>
      </c>
      <c r="D4475" s="3">
        <v>0.26579682782122399</v>
      </c>
      <c r="E4475" s="3">
        <v>-5.7011307347483804</v>
      </c>
      <c r="F4475" s="4">
        <v>1.1901531337035899E-8</v>
      </c>
      <c r="G4475" s="4">
        <v>2.07760597351241E-7</v>
      </c>
      <c r="H4475" s="3" t="str">
        <f>"XBP1"</f>
        <v>XBP1</v>
      </c>
      <c r="I4475" s="3" t="str">
        <f>"protein_coding"</f>
        <v>protein_coding</v>
      </c>
    </row>
    <row r="4476" spans="1:9" x14ac:dyDescent="0.2">
      <c r="A4476" s="3" t="str">
        <f>"ENSG00000226471.6"</f>
        <v>ENSG00000226471.6</v>
      </c>
      <c r="B4476" s="3">
        <v>134.57951990390501</v>
      </c>
      <c r="C4476" s="3">
        <v>-1.86359276473548</v>
      </c>
      <c r="D4476" s="3">
        <v>0.38162419368619399</v>
      </c>
      <c r="E4476" s="3">
        <v>-4.8833192328154498</v>
      </c>
      <c r="F4476" s="4">
        <v>1.0431478107904399E-6</v>
      </c>
      <c r="G4476" s="4">
        <v>1.30160630855325E-5</v>
      </c>
      <c r="H4476" s="3" t="str">
        <f>"Z93930.2"</f>
        <v>Z93930.2</v>
      </c>
      <c r="I4476" s="3" t="str">
        <f>"antisense"</f>
        <v>antisense</v>
      </c>
    </row>
    <row r="4477" spans="1:9" x14ac:dyDescent="0.2">
      <c r="A4477" s="3" t="str">
        <f>"ENSG00000235786.1"</f>
        <v>ENSG00000235786.1</v>
      </c>
      <c r="B4477" s="3">
        <v>195.42490825606501</v>
      </c>
      <c r="C4477" s="3">
        <v>1.04802854440216</v>
      </c>
      <c r="D4477" s="3">
        <v>0.32573864211571102</v>
      </c>
      <c r="E4477" s="3">
        <v>3.2173909045457201</v>
      </c>
      <c r="F4477" s="3">
        <v>1.29362213763719E-3</v>
      </c>
      <c r="G4477" s="3">
        <v>7.60482936954043E-3</v>
      </c>
      <c r="H4477" s="3" t="str">
        <f>"ZNRF3-IT1"</f>
        <v>ZNRF3-IT1</v>
      </c>
      <c r="I4477" s="3" t="str">
        <f>"sense_intronic"</f>
        <v>sense_intronic</v>
      </c>
    </row>
    <row r="4478" spans="1:9" x14ac:dyDescent="0.2">
      <c r="A4478" s="3" t="str">
        <f>"ENSG00000100263.14"</f>
        <v>ENSG00000100263.14</v>
      </c>
      <c r="B4478" s="3">
        <v>1028.6694747732599</v>
      </c>
      <c r="C4478" s="3">
        <v>-1.0426911374969301</v>
      </c>
      <c r="D4478" s="3">
        <v>0.310742474010063</v>
      </c>
      <c r="E4478" s="3">
        <v>-3.35548315632952</v>
      </c>
      <c r="F4478" s="3">
        <v>7.9226480934564702E-4</v>
      </c>
      <c r="G4478" s="3">
        <v>4.9935908992958496E-3</v>
      </c>
      <c r="H4478" s="3" t="str">
        <f>"RHBDD3"</f>
        <v>RHBDD3</v>
      </c>
      <c r="I4478" s="3" t="str">
        <f>"protein_coding"</f>
        <v>protein_coding</v>
      </c>
    </row>
    <row r="4479" spans="1:9" x14ac:dyDescent="0.2">
      <c r="A4479" s="3" t="str">
        <f>"ENSG00000100330.15"</f>
        <v>ENSG00000100330.15</v>
      </c>
      <c r="B4479" s="3">
        <v>1959.1380821960099</v>
      </c>
      <c r="C4479" s="3">
        <v>1.0143993956624699</v>
      </c>
      <c r="D4479" s="3">
        <v>0.26263505264163001</v>
      </c>
      <c r="E4479" s="3">
        <v>3.8623915028076499</v>
      </c>
      <c r="F4479" s="3">
        <v>1.12282436550554E-4</v>
      </c>
      <c r="G4479" s="3">
        <v>9.0065838374655302E-4</v>
      </c>
      <c r="H4479" s="3" t="str">
        <f>"MTMR3"</f>
        <v>MTMR3</v>
      </c>
      <c r="I4479" s="3" t="str">
        <f>"protein_coding"</f>
        <v>protein_coding</v>
      </c>
    </row>
    <row r="4480" spans="1:9" x14ac:dyDescent="0.2">
      <c r="A4480" s="3" t="str">
        <f>"ENSG00000128342.5"</f>
        <v>ENSG00000128342.5</v>
      </c>
      <c r="B4480" s="3">
        <v>730.778704647361</v>
      </c>
      <c r="C4480" s="3">
        <v>2.8396487700079001</v>
      </c>
      <c r="D4480" s="3">
        <v>0.339446962677388</v>
      </c>
      <c r="E4480" s="3">
        <v>8.3655153300243494</v>
      </c>
      <c r="F4480" s="4">
        <v>5.9852747509944097E-17</v>
      </c>
      <c r="G4480" s="4">
        <v>2.62563999335551E-15</v>
      </c>
      <c r="H4480" s="3" t="str">
        <f>"LIF"</f>
        <v>LIF</v>
      </c>
      <c r="I4480" s="3" t="str">
        <f>"protein_coding"</f>
        <v>protein_coding</v>
      </c>
    </row>
    <row r="4481" spans="1:9" x14ac:dyDescent="0.2">
      <c r="A4481" s="3" t="str">
        <f>"ENSG00000268812.3"</f>
        <v>ENSG00000268812.3</v>
      </c>
      <c r="B4481" s="3">
        <v>51.188902912432503</v>
      </c>
      <c r="C4481" s="3">
        <v>6.1587717220641496</v>
      </c>
      <c r="D4481" s="3">
        <v>0.97017074548281401</v>
      </c>
      <c r="E4481" s="3">
        <v>6.3481317600431098</v>
      </c>
      <c r="F4481" s="4">
        <v>2.1794538633225999E-10</v>
      </c>
      <c r="G4481" s="4">
        <v>4.8388492437669801E-9</v>
      </c>
      <c r="H4481" s="3" t="str">
        <f>"AC004264.1"</f>
        <v>AC004264.1</v>
      </c>
      <c r="I4481" s="3" t="str">
        <f>"antisense"</f>
        <v>antisense</v>
      </c>
    </row>
    <row r="4482" spans="1:9" x14ac:dyDescent="0.2">
      <c r="A4482" s="3" t="str">
        <f>"ENSG00000099999.14"</f>
        <v>ENSG00000099999.14</v>
      </c>
      <c r="B4482" s="3">
        <v>186.88434281863201</v>
      </c>
      <c r="C4482" s="3">
        <v>1.07284260369619</v>
      </c>
      <c r="D4482" s="3">
        <v>0.36228045354245902</v>
      </c>
      <c r="E4482" s="3">
        <v>2.9613593369603399</v>
      </c>
      <c r="F4482" s="3">
        <v>3.0628436347310902E-3</v>
      </c>
      <c r="G4482" s="3">
        <v>1.5691615403596901E-2</v>
      </c>
      <c r="H4482" s="3" t="str">
        <f>"RNF215"</f>
        <v>RNF215</v>
      </c>
      <c r="I4482" s="3" t="str">
        <f t="shared" ref="I4482:I4488" si="178">"protein_coding"</f>
        <v>protein_coding</v>
      </c>
    </row>
    <row r="4483" spans="1:9" x14ac:dyDescent="0.2">
      <c r="A4483" s="3" t="str">
        <f>"ENSG00000100003.18"</f>
        <v>ENSG00000100003.18</v>
      </c>
      <c r="B4483" s="3">
        <v>275.10110009203697</v>
      </c>
      <c r="C4483" s="3">
        <v>2.1849568149084502</v>
      </c>
      <c r="D4483" s="3">
        <v>0.374017927047396</v>
      </c>
      <c r="E4483" s="3">
        <v>5.8418505020792004</v>
      </c>
      <c r="F4483" s="4">
        <v>5.1624125006054202E-9</v>
      </c>
      <c r="G4483" s="4">
        <v>9.5205635229273699E-8</v>
      </c>
      <c r="H4483" s="3" t="str">
        <f>"SEC14L2"</f>
        <v>SEC14L2</v>
      </c>
      <c r="I4483" s="3" t="str">
        <f t="shared" si="178"/>
        <v>protein_coding</v>
      </c>
    </row>
    <row r="4484" spans="1:9" x14ac:dyDescent="0.2">
      <c r="A4484" s="3" t="str">
        <f>"ENSG00000100036.13"</f>
        <v>ENSG00000100036.13</v>
      </c>
      <c r="B4484" s="3">
        <v>81.447220999152805</v>
      </c>
      <c r="C4484" s="3">
        <v>3.0654481931515298</v>
      </c>
      <c r="D4484" s="3">
        <v>0.48689140343391701</v>
      </c>
      <c r="E4484" s="3">
        <v>6.2959587528794598</v>
      </c>
      <c r="F4484" s="4">
        <v>3.0550560829806002E-10</v>
      </c>
      <c r="G4484" s="4">
        <v>6.6536740924135799E-9</v>
      </c>
      <c r="H4484" s="3" t="str">
        <f>"SLC35E4"</f>
        <v>SLC35E4</v>
      </c>
      <c r="I4484" s="3" t="str">
        <f t="shared" si="178"/>
        <v>protein_coding</v>
      </c>
    </row>
    <row r="4485" spans="1:9" x14ac:dyDescent="0.2">
      <c r="A4485" s="3" t="str">
        <f>"ENSG00000184792.16"</f>
        <v>ENSG00000184792.16</v>
      </c>
      <c r="B4485" s="3">
        <v>194.99890964539199</v>
      </c>
      <c r="C4485" s="3">
        <v>-1.3013636485283699</v>
      </c>
      <c r="D4485" s="3">
        <v>0.37052756912830198</v>
      </c>
      <c r="E4485" s="3">
        <v>-3.5121911483939998</v>
      </c>
      <c r="F4485" s="3">
        <v>4.4442822762677802E-4</v>
      </c>
      <c r="G4485" s="3">
        <v>3.0198790021479199E-3</v>
      </c>
      <c r="H4485" s="3" t="str">
        <f>"OSBP2"</f>
        <v>OSBP2</v>
      </c>
      <c r="I4485" s="3" t="str">
        <f t="shared" si="178"/>
        <v>protein_coding</v>
      </c>
    </row>
    <row r="4486" spans="1:9" x14ac:dyDescent="0.2">
      <c r="A4486" s="3" t="str">
        <f>"ENSG00000183963.18"</f>
        <v>ENSG00000183963.18</v>
      </c>
      <c r="B4486" s="3">
        <v>2051.0646514650398</v>
      </c>
      <c r="C4486" s="3">
        <v>1.4287881781519201</v>
      </c>
      <c r="D4486" s="3">
        <v>0.28762436672236102</v>
      </c>
      <c r="E4486" s="3">
        <v>4.96754914902988</v>
      </c>
      <c r="F4486" s="4">
        <v>6.7804376734050095E-7</v>
      </c>
      <c r="G4486" s="4">
        <v>8.7692498547302403E-6</v>
      </c>
      <c r="H4486" s="3" t="str">
        <f>"SMTN"</f>
        <v>SMTN</v>
      </c>
      <c r="I4486" s="3" t="str">
        <f t="shared" si="178"/>
        <v>protein_coding</v>
      </c>
    </row>
    <row r="4487" spans="1:9" x14ac:dyDescent="0.2">
      <c r="A4487" s="3" t="str">
        <f>"ENSG00000198832.10"</f>
        <v>ENSG00000198832.10</v>
      </c>
      <c r="B4487" s="3">
        <v>46.472492640036499</v>
      </c>
      <c r="C4487" s="3">
        <v>-2.49294806552177</v>
      </c>
      <c r="D4487" s="3">
        <v>0.586098655337283</v>
      </c>
      <c r="E4487" s="3">
        <v>-4.2534614997319</v>
      </c>
      <c r="F4487" s="4">
        <v>2.1049114230679401E-5</v>
      </c>
      <c r="G4487" s="3">
        <v>2.00185432314836E-4</v>
      </c>
      <c r="H4487" s="3" t="str">
        <f>"SELENOM"</f>
        <v>SELENOM</v>
      </c>
      <c r="I4487" s="3" t="str">
        <f t="shared" si="178"/>
        <v>protein_coding</v>
      </c>
    </row>
    <row r="4488" spans="1:9" x14ac:dyDescent="0.2">
      <c r="A4488" s="3" t="str">
        <f>"ENSG00000100150.18"</f>
        <v>ENSG00000100150.18</v>
      </c>
      <c r="B4488" s="3">
        <v>1145.2046527234299</v>
      </c>
      <c r="C4488" s="3">
        <v>2.0776716104996402</v>
      </c>
      <c r="D4488" s="3">
        <v>0.25692228159806901</v>
      </c>
      <c r="E4488" s="3">
        <v>8.0867708225866206</v>
      </c>
      <c r="F4488" s="4">
        <v>6.1267394045545696E-16</v>
      </c>
      <c r="G4488" s="4">
        <v>2.4308853268386501E-14</v>
      </c>
      <c r="H4488" s="3" t="str">
        <f>"DEPDC5"</f>
        <v>DEPDC5</v>
      </c>
      <c r="I4488" s="3" t="str">
        <f t="shared" si="178"/>
        <v>protein_coding</v>
      </c>
    </row>
    <row r="4489" spans="1:9" x14ac:dyDescent="0.2">
      <c r="A4489" s="3" t="str">
        <f>"ENSG00000128254.13"</f>
        <v>ENSG00000128254.13</v>
      </c>
      <c r="B4489" s="3">
        <v>18.548036102472398</v>
      </c>
      <c r="C4489" s="3">
        <v>-2.2167426102051002</v>
      </c>
      <c r="D4489" s="3">
        <v>0.86979536628468801</v>
      </c>
      <c r="E4489" s="3">
        <v>-2.5485794660804699</v>
      </c>
      <c r="F4489" s="3">
        <v>1.0816264130196301E-2</v>
      </c>
      <c r="G4489" s="3">
        <v>4.5069642747887301E-2</v>
      </c>
      <c r="H4489" s="3" t="str">
        <f>"C22orf24"</f>
        <v>C22orf24</v>
      </c>
      <c r="I4489" s="3" t="str">
        <f>"processed_transcript"</f>
        <v>processed_transcript</v>
      </c>
    </row>
    <row r="4490" spans="1:9" x14ac:dyDescent="0.2">
      <c r="A4490" s="3" t="str">
        <f>"ENSG00000128245.15"</f>
        <v>ENSG00000128245.15</v>
      </c>
      <c r="B4490" s="3">
        <v>2556.8298986426898</v>
      </c>
      <c r="C4490" s="3">
        <v>-1.05118111475784</v>
      </c>
      <c r="D4490" s="3">
        <v>0.24994845445913899</v>
      </c>
      <c r="E4490" s="3">
        <v>-4.2055915770012797</v>
      </c>
      <c r="F4490" s="4">
        <v>2.6040011937665501E-5</v>
      </c>
      <c r="G4490" s="3">
        <v>2.4396145262270999E-4</v>
      </c>
      <c r="H4490" s="3" t="str">
        <f>"YWHAH"</f>
        <v>YWHAH</v>
      </c>
      <c r="I4490" s="3" t="str">
        <f t="shared" ref="I4490:I4495" si="179">"protein_coding"</f>
        <v>protein_coding</v>
      </c>
    </row>
    <row r="4491" spans="1:9" x14ac:dyDescent="0.2">
      <c r="A4491" s="3" t="str">
        <f>"ENSG00000100234.11"</f>
        <v>ENSG00000100234.11</v>
      </c>
      <c r="B4491" s="3">
        <v>3268.7698488846399</v>
      </c>
      <c r="C4491" s="3">
        <v>1.4407461820562499</v>
      </c>
      <c r="D4491" s="3">
        <v>0.23909749519586601</v>
      </c>
      <c r="E4491" s="3">
        <v>6.0257686132429296</v>
      </c>
      <c r="F4491" s="4">
        <v>1.6830783111121401E-9</v>
      </c>
      <c r="G4491" s="4">
        <v>3.30324957021369E-8</v>
      </c>
      <c r="H4491" s="3" t="str">
        <f>"TIMP3"</f>
        <v>TIMP3</v>
      </c>
      <c r="I4491" s="3" t="str">
        <f t="shared" si="179"/>
        <v>protein_coding</v>
      </c>
    </row>
    <row r="4492" spans="1:9" x14ac:dyDescent="0.2">
      <c r="A4492" s="3" t="str">
        <f>"ENSG00000175329.12"</f>
        <v>ENSG00000175329.12</v>
      </c>
      <c r="B4492" s="3">
        <v>104.631543506838</v>
      </c>
      <c r="C4492" s="3">
        <v>-4.0010534636199901</v>
      </c>
      <c r="D4492" s="3">
        <v>0.49610499534549002</v>
      </c>
      <c r="E4492" s="3">
        <v>-8.0649328290549391</v>
      </c>
      <c r="F4492" s="4">
        <v>7.3276144629797796E-16</v>
      </c>
      <c r="G4492" s="4">
        <v>2.8936599971154797E-14</v>
      </c>
      <c r="H4492" s="3" t="str">
        <f>"ISX"</f>
        <v>ISX</v>
      </c>
      <c r="I4492" s="3" t="str">
        <f t="shared" si="179"/>
        <v>protein_coding</v>
      </c>
    </row>
    <row r="4493" spans="1:9" x14ac:dyDescent="0.2">
      <c r="A4493" s="3" t="str">
        <f>"ENSG00000100292.17"</f>
        <v>ENSG00000100292.17</v>
      </c>
      <c r="B4493" s="3">
        <v>794.55308781306996</v>
      </c>
      <c r="C4493" s="3">
        <v>1.03764343101895</v>
      </c>
      <c r="D4493" s="3">
        <v>0.30486401289492798</v>
      </c>
      <c r="E4493" s="3">
        <v>3.4036271489235199</v>
      </c>
      <c r="F4493" s="3">
        <v>6.6497455856321904E-4</v>
      </c>
      <c r="G4493" s="3">
        <v>4.2979021121936703E-3</v>
      </c>
      <c r="H4493" s="3" t="str">
        <f>"HMOX1"</f>
        <v>HMOX1</v>
      </c>
      <c r="I4493" s="3" t="str">
        <f t="shared" si="179"/>
        <v>protein_coding</v>
      </c>
    </row>
    <row r="4494" spans="1:9" x14ac:dyDescent="0.2">
      <c r="A4494" s="3" t="str">
        <f>"ENSG00000100297.16"</f>
        <v>ENSG00000100297.16</v>
      </c>
      <c r="B4494" s="3">
        <v>2629.74304700631</v>
      </c>
      <c r="C4494" s="3">
        <v>-1.1601500321254401</v>
      </c>
      <c r="D4494" s="3">
        <v>0.29063988406283298</v>
      </c>
      <c r="E4494" s="3">
        <v>-3.9917096576966098</v>
      </c>
      <c r="F4494" s="4">
        <v>6.5598656947624993E-5</v>
      </c>
      <c r="G4494" s="3">
        <v>5.5917797882667098E-4</v>
      </c>
      <c r="H4494" s="3" t="str">
        <f>"MCM5"</f>
        <v>MCM5</v>
      </c>
      <c r="I4494" s="3" t="str">
        <f t="shared" si="179"/>
        <v>protein_coding</v>
      </c>
    </row>
    <row r="4495" spans="1:9" x14ac:dyDescent="0.2">
      <c r="A4495" s="3" t="str">
        <f>"ENSG00000221963.6"</f>
        <v>ENSG00000221963.6</v>
      </c>
      <c r="B4495" s="3">
        <v>456.79465987082898</v>
      </c>
      <c r="C4495" s="3">
        <v>-1.01259757921245</v>
      </c>
      <c r="D4495" s="3">
        <v>0.27545284924201602</v>
      </c>
      <c r="E4495" s="3">
        <v>-3.6761194592791</v>
      </c>
      <c r="F4495" s="3">
        <v>2.3680866559894301E-4</v>
      </c>
      <c r="G4495" s="3">
        <v>1.73367927332404E-3</v>
      </c>
      <c r="H4495" s="3" t="str">
        <f>"APOL6"</f>
        <v>APOL6</v>
      </c>
      <c r="I4495" s="3" t="str">
        <f t="shared" si="179"/>
        <v>protein_coding</v>
      </c>
    </row>
    <row r="4496" spans="1:9" x14ac:dyDescent="0.2">
      <c r="A4496" s="3" t="str">
        <f>"ENSG00000237406.1"</f>
        <v>ENSG00000237406.1</v>
      </c>
      <c r="B4496" s="3">
        <v>80.311781040627096</v>
      </c>
      <c r="C4496" s="3">
        <v>1.36356614160469</v>
      </c>
      <c r="D4496" s="3">
        <v>0.437911198719726</v>
      </c>
      <c r="E4496" s="3">
        <v>3.1137960061108401</v>
      </c>
      <c r="F4496" s="3">
        <v>1.8469713935529001E-3</v>
      </c>
      <c r="G4496" s="3">
        <v>1.02403714800139E-2</v>
      </c>
      <c r="H4496" s="3" t="str">
        <f>"NDUFA9P1"</f>
        <v>NDUFA9P1</v>
      </c>
      <c r="I4496" s="3" t="str">
        <f>"processed_pseudogene"</f>
        <v>processed_pseudogene</v>
      </c>
    </row>
    <row r="4497" spans="1:9" x14ac:dyDescent="0.2">
      <c r="A4497" s="3" t="str">
        <f>"ENSG00000100350.14"</f>
        <v>ENSG00000100350.14</v>
      </c>
      <c r="B4497" s="3">
        <v>3137.4895487308399</v>
      </c>
      <c r="C4497" s="3">
        <v>-1.29180554071778</v>
      </c>
      <c r="D4497" s="3">
        <v>0.26828487411306601</v>
      </c>
      <c r="E4497" s="3">
        <v>-4.8150517057229303</v>
      </c>
      <c r="F4497" s="4">
        <v>1.47161780595176E-6</v>
      </c>
      <c r="G4497" s="4">
        <v>1.77122229228309E-5</v>
      </c>
      <c r="H4497" s="3" t="str">
        <f>"FOXRED2"</f>
        <v>FOXRED2</v>
      </c>
      <c r="I4497" s="3" t="str">
        <f t="shared" ref="I4497:I4505" si="180">"protein_coding"</f>
        <v>protein_coding</v>
      </c>
    </row>
    <row r="4498" spans="1:9" x14ac:dyDescent="0.2">
      <c r="A4498" s="3" t="str">
        <f>"ENSG00000100360.15"</f>
        <v>ENSG00000100360.15</v>
      </c>
      <c r="B4498" s="3">
        <v>28.147867166064302</v>
      </c>
      <c r="C4498" s="3">
        <v>-1.7664872208023801</v>
      </c>
      <c r="D4498" s="3">
        <v>0.67908730494300495</v>
      </c>
      <c r="E4498" s="3">
        <v>-2.6012667413222301</v>
      </c>
      <c r="F4498" s="3">
        <v>9.2880204464321596E-3</v>
      </c>
      <c r="G4498" s="3">
        <v>3.9706254291500903E-2</v>
      </c>
      <c r="H4498" s="3" t="str">
        <f>"IFT27"</f>
        <v>IFT27</v>
      </c>
      <c r="I4498" s="3" t="str">
        <f t="shared" si="180"/>
        <v>protein_coding</v>
      </c>
    </row>
    <row r="4499" spans="1:9" x14ac:dyDescent="0.2">
      <c r="A4499" s="3" t="str">
        <f>"ENSG00000100379.17"</f>
        <v>ENSG00000100379.17</v>
      </c>
      <c r="B4499" s="3">
        <v>323.709474572597</v>
      </c>
      <c r="C4499" s="3">
        <v>-1.0139862421024499</v>
      </c>
      <c r="D4499" s="3">
        <v>0.32127090003980502</v>
      </c>
      <c r="E4499" s="3">
        <v>-3.1561720715347001</v>
      </c>
      <c r="F4499" s="3">
        <v>1.5985452575842699E-3</v>
      </c>
      <c r="G4499" s="3">
        <v>9.0893774761601001E-3</v>
      </c>
      <c r="H4499" s="3" t="str">
        <f>"KCTD17"</f>
        <v>KCTD17</v>
      </c>
      <c r="I4499" s="3" t="str">
        <f t="shared" si="180"/>
        <v>protein_coding</v>
      </c>
    </row>
    <row r="4500" spans="1:9" x14ac:dyDescent="0.2">
      <c r="A4500" s="3" t="str">
        <f>"ENSG00000128340.15"</f>
        <v>ENSG00000128340.15</v>
      </c>
      <c r="B4500" s="3">
        <v>207.60452990374</v>
      </c>
      <c r="C4500" s="3">
        <v>4.3193053334014602</v>
      </c>
      <c r="D4500" s="3">
        <v>0.38714328914325802</v>
      </c>
      <c r="E4500" s="3">
        <v>11.156864795357899</v>
      </c>
      <c r="F4500" s="4">
        <v>6.6288207707107905E-29</v>
      </c>
      <c r="G4500" s="4">
        <v>6.3162116093647697E-27</v>
      </c>
      <c r="H4500" s="3" t="str">
        <f>"RAC2"</f>
        <v>RAC2</v>
      </c>
      <c r="I4500" s="3" t="str">
        <f t="shared" si="180"/>
        <v>protein_coding</v>
      </c>
    </row>
    <row r="4501" spans="1:9" x14ac:dyDescent="0.2">
      <c r="A4501" s="3" t="str">
        <f>"ENSG00000100060.17"</f>
        <v>ENSG00000100060.17</v>
      </c>
      <c r="B4501" s="3">
        <v>283.01096846362702</v>
      </c>
      <c r="C4501" s="3">
        <v>-2.49227029208802</v>
      </c>
      <c r="D4501" s="3">
        <v>0.32061776177191398</v>
      </c>
      <c r="E4501" s="3">
        <v>-7.7733381903558101</v>
      </c>
      <c r="F4501" s="4">
        <v>7.64442870133877E-15</v>
      </c>
      <c r="G4501" s="4">
        <v>2.73148502338881E-13</v>
      </c>
      <c r="H4501" s="3" t="str">
        <f>"MFNG"</f>
        <v>MFNG</v>
      </c>
      <c r="I4501" s="3" t="str">
        <f t="shared" si="180"/>
        <v>protein_coding</v>
      </c>
    </row>
    <row r="4502" spans="1:9" x14ac:dyDescent="0.2">
      <c r="A4502" s="3" t="str">
        <f>"ENSG00000128283.7"</f>
        <v>ENSG00000128283.7</v>
      </c>
      <c r="B4502" s="3">
        <v>4057.6432456907601</v>
      </c>
      <c r="C4502" s="3">
        <v>-1.2828423115532901</v>
      </c>
      <c r="D4502" s="3">
        <v>0.30081169360293802</v>
      </c>
      <c r="E4502" s="3">
        <v>-4.2646025365177298</v>
      </c>
      <c r="F4502" s="4">
        <v>2.0025836436814599E-5</v>
      </c>
      <c r="G4502" s="3">
        <v>1.9161274840930899E-4</v>
      </c>
      <c r="H4502" s="3" t="str">
        <f>"CDC42EP1"</f>
        <v>CDC42EP1</v>
      </c>
      <c r="I4502" s="3" t="str">
        <f t="shared" si="180"/>
        <v>protein_coding</v>
      </c>
    </row>
    <row r="4503" spans="1:9" x14ac:dyDescent="0.2">
      <c r="A4503" s="3" t="str">
        <f>"ENSG00000100079.7"</f>
        <v>ENSG00000100079.7</v>
      </c>
      <c r="B4503" s="3">
        <v>52.732713084621601</v>
      </c>
      <c r="C4503" s="3">
        <v>-2.0229112434474898</v>
      </c>
      <c r="D4503" s="3">
        <v>0.55327552980824202</v>
      </c>
      <c r="E4503" s="3">
        <v>-3.6562456397603702</v>
      </c>
      <c r="F4503" s="3">
        <v>2.5593611938850902E-4</v>
      </c>
      <c r="G4503" s="3">
        <v>1.8569579126674199E-3</v>
      </c>
      <c r="H4503" s="3" t="str">
        <f>"LGALS2"</f>
        <v>LGALS2</v>
      </c>
      <c r="I4503" s="3" t="str">
        <f t="shared" si="180"/>
        <v>protein_coding</v>
      </c>
    </row>
    <row r="4504" spans="1:9" x14ac:dyDescent="0.2">
      <c r="A4504" s="3" t="str">
        <f>"ENSG00000100106.21"</f>
        <v>ENSG00000100106.21</v>
      </c>
      <c r="B4504" s="3">
        <v>3147.4377286161598</v>
      </c>
      <c r="C4504" s="3">
        <v>1.52788482364809</v>
      </c>
      <c r="D4504" s="3">
        <v>0.29846214537287002</v>
      </c>
      <c r="E4504" s="3">
        <v>5.1191913190173404</v>
      </c>
      <c r="F4504" s="4">
        <v>3.06848557675931E-7</v>
      </c>
      <c r="G4504" s="4">
        <v>4.2156064818886096E-6</v>
      </c>
      <c r="H4504" s="3" t="str">
        <f>"TRIOBP"</f>
        <v>TRIOBP</v>
      </c>
      <c r="I4504" s="3" t="str">
        <f t="shared" si="180"/>
        <v>protein_coding</v>
      </c>
    </row>
    <row r="4505" spans="1:9" x14ac:dyDescent="0.2">
      <c r="A4505" s="3" t="str">
        <f>"ENSG00000100139.13"</f>
        <v>ENSG00000100139.13</v>
      </c>
      <c r="B4505" s="3">
        <v>5122.8834823064199</v>
      </c>
      <c r="C4505" s="3">
        <v>2.6792279797186098</v>
      </c>
      <c r="D4505" s="3">
        <v>0.283134841530708</v>
      </c>
      <c r="E4505" s="3">
        <v>9.4627279540516298</v>
      </c>
      <c r="F4505" s="4">
        <v>3.0001215395149599E-21</v>
      </c>
      <c r="G4505" s="4">
        <v>1.75099900989556E-19</v>
      </c>
      <c r="H4505" s="3" t="str">
        <f>"MICALL1"</f>
        <v>MICALL1</v>
      </c>
      <c r="I4505" s="3" t="str">
        <f t="shared" si="180"/>
        <v>protein_coding</v>
      </c>
    </row>
    <row r="4506" spans="1:9" x14ac:dyDescent="0.2">
      <c r="A4506" s="3" t="str">
        <f>"ENSG00000278948.1"</f>
        <v>ENSG00000278948.1</v>
      </c>
      <c r="B4506" s="3">
        <v>629.32399031726197</v>
      </c>
      <c r="C4506" s="3">
        <v>3.0886187703355001</v>
      </c>
      <c r="D4506" s="3">
        <v>0.31449399097730402</v>
      </c>
      <c r="E4506" s="3">
        <v>9.8209150538535699</v>
      </c>
      <c r="F4506" s="4">
        <v>9.1509082614880097E-23</v>
      </c>
      <c r="G4506" s="4">
        <v>5.88724034060693E-21</v>
      </c>
      <c r="H4506" s="3" t="str">
        <f>"AL031587.5"</f>
        <v>AL031587.5</v>
      </c>
      <c r="I4506" s="3" t="str">
        <f>"TEC"</f>
        <v>TEC</v>
      </c>
    </row>
    <row r="4507" spans="1:9" x14ac:dyDescent="0.2">
      <c r="A4507" s="3" t="str">
        <f>"ENSG00000100142.15"</f>
        <v>ENSG00000100142.15</v>
      </c>
      <c r="B4507" s="3">
        <v>1278.84092498719</v>
      </c>
      <c r="C4507" s="3">
        <v>-1.3765915943593501</v>
      </c>
      <c r="D4507" s="3">
        <v>0.30332298847824601</v>
      </c>
      <c r="E4507" s="3">
        <v>-4.5383688234961399</v>
      </c>
      <c r="F4507" s="4">
        <v>5.6691043532066401E-6</v>
      </c>
      <c r="G4507" s="4">
        <v>6.1585280486145405E-5</v>
      </c>
      <c r="H4507" s="3" t="str">
        <f>"POLR2F"</f>
        <v>POLR2F</v>
      </c>
      <c r="I4507" s="3" t="str">
        <f>"protein_coding"</f>
        <v>protein_coding</v>
      </c>
    </row>
    <row r="4508" spans="1:9" x14ac:dyDescent="0.2">
      <c r="A4508" s="3" t="str">
        <f>"ENSG00000272720.1"</f>
        <v>ENSG00000272720.1</v>
      </c>
      <c r="B4508" s="3">
        <v>31.187007370063998</v>
      </c>
      <c r="C4508" s="3">
        <v>1.9913032689127399</v>
      </c>
      <c r="D4508" s="3">
        <v>0.66718175167802796</v>
      </c>
      <c r="E4508" s="3">
        <v>2.98464888151454</v>
      </c>
      <c r="F4508" s="3">
        <v>2.8390400343523301E-3</v>
      </c>
      <c r="G4508" s="3">
        <v>1.4703737299595E-2</v>
      </c>
      <c r="H4508" s="3" t="str">
        <f>"AL022322.1"</f>
        <v>AL022322.1</v>
      </c>
      <c r="I4508" s="3" t="str">
        <f>"lincRNA"</f>
        <v>lincRNA</v>
      </c>
    </row>
    <row r="4509" spans="1:9" x14ac:dyDescent="0.2">
      <c r="A4509" s="3" t="str">
        <f>"ENSG00000184381.18"</f>
        <v>ENSG00000184381.18</v>
      </c>
      <c r="B4509" s="3">
        <v>348.46187009797899</v>
      </c>
      <c r="C4509" s="3">
        <v>1.08420980483106</v>
      </c>
      <c r="D4509" s="3">
        <v>0.32834521336078298</v>
      </c>
      <c r="E4509" s="3">
        <v>3.3020423649049602</v>
      </c>
      <c r="F4509" s="3">
        <v>9.5983571916092604E-4</v>
      </c>
      <c r="G4509" s="3">
        <v>5.8894984055934303E-3</v>
      </c>
      <c r="H4509" s="3" t="str">
        <f>"PLA2G6"</f>
        <v>PLA2G6</v>
      </c>
      <c r="I4509" s="3" t="str">
        <f t="shared" ref="I4509:I4521" si="181">"protein_coding"</f>
        <v>protein_coding</v>
      </c>
    </row>
    <row r="4510" spans="1:9" x14ac:dyDescent="0.2">
      <c r="A4510" s="3" t="str">
        <f>"ENSG00000168135.4"</f>
        <v>ENSG00000168135.4</v>
      </c>
      <c r="B4510" s="3">
        <v>9.1277063492489106</v>
      </c>
      <c r="C4510" s="3">
        <v>5.2404500024592098</v>
      </c>
      <c r="D4510" s="3">
        <v>1.75404064718679</v>
      </c>
      <c r="E4510" s="3">
        <v>2.98764456277799</v>
      </c>
      <c r="F4510" s="3">
        <v>2.8113630151761098E-3</v>
      </c>
      <c r="G4510" s="3">
        <v>1.45904346289984E-2</v>
      </c>
      <c r="H4510" s="3" t="str">
        <f>"KCNJ4"</f>
        <v>KCNJ4</v>
      </c>
      <c r="I4510" s="3" t="str">
        <f t="shared" si="181"/>
        <v>protein_coding</v>
      </c>
    </row>
    <row r="4511" spans="1:9" x14ac:dyDescent="0.2">
      <c r="A4511" s="3" t="str">
        <f>"ENSG00000100242.15"</f>
        <v>ENSG00000100242.15</v>
      </c>
      <c r="B4511" s="3">
        <v>2792.7006033643102</v>
      </c>
      <c r="C4511" s="3">
        <v>1.16831844698155</v>
      </c>
      <c r="D4511" s="3">
        <v>0.29404974458476502</v>
      </c>
      <c r="E4511" s="3">
        <v>3.9732000061124402</v>
      </c>
      <c r="F4511" s="4">
        <v>7.0913455466168501E-5</v>
      </c>
      <c r="G4511" s="3">
        <v>5.9940456056837004E-4</v>
      </c>
      <c r="H4511" s="3" t="str">
        <f>"SUN2"</f>
        <v>SUN2</v>
      </c>
      <c r="I4511" s="3" t="str">
        <f t="shared" si="181"/>
        <v>protein_coding</v>
      </c>
    </row>
    <row r="4512" spans="1:9" x14ac:dyDescent="0.2">
      <c r="A4512" s="3" t="str">
        <f>"ENSG00000179750.16"</f>
        <v>ENSG00000179750.16</v>
      </c>
      <c r="B4512" s="3">
        <v>771.02270049579101</v>
      </c>
      <c r="C4512" s="3">
        <v>1.21410222732468</v>
      </c>
      <c r="D4512" s="3">
        <v>0.31198015821184999</v>
      </c>
      <c r="E4512" s="3">
        <v>3.8916007809068698</v>
      </c>
      <c r="F4512" s="4">
        <v>9.9585007836510794E-5</v>
      </c>
      <c r="G4512" s="3">
        <v>8.0912818867165002E-4</v>
      </c>
      <c r="H4512" s="3" t="str">
        <f>"APOBEC3B"</f>
        <v>APOBEC3B</v>
      </c>
      <c r="I4512" s="3" t="str">
        <f t="shared" si="181"/>
        <v>protein_coding</v>
      </c>
    </row>
    <row r="4513" spans="1:9" x14ac:dyDescent="0.2">
      <c r="A4513" s="3" t="str">
        <f>"ENSG00000244509.4"</f>
        <v>ENSG00000244509.4</v>
      </c>
      <c r="B4513" s="3">
        <v>3891.9547021816402</v>
      </c>
      <c r="C4513" s="3">
        <v>3.6922531897821802</v>
      </c>
      <c r="D4513" s="3">
        <v>0.26436209378398101</v>
      </c>
      <c r="E4513" s="3">
        <v>13.966651333905901</v>
      </c>
      <c r="F4513" s="4">
        <v>2.4906487534411599E-44</v>
      </c>
      <c r="G4513" s="4">
        <v>5.0936804384400298E-42</v>
      </c>
      <c r="H4513" s="3" t="str">
        <f>"APOBEC3C"</f>
        <v>APOBEC3C</v>
      </c>
      <c r="I4513" s="3" t="str">
        <f t="shared" si="181"/>
        <v>protein_coding</v>
      </c>
    </row>
    <row r="4514" spans="1:9" x14ac:dyDescent="0.2">
      <c r="A4514" s="3" t="str">
        <f>"ENSG00000243811.10"</f>
        <v>ENSG00000243811.10</v>
      </c>
      <c r="B4514" s="3">
        <v>25.242901525148302</v>
      </c>
      <c r="C4514" s="3">
        <v>3.31271380898401</v>
      </c>
      <c r="D4514" s="3">
        <v>0.81817318524183003</v>
      </c>
      <c r="E4514" s="3">
        <v>4.0489151548090101</v>
      </c>
      <c r="F4514" s="4">
        <v>5.1455593264134997E-5</v>
      </c>
      <c r="G4514" s="3">
        <v>4.5099841413216599E-4</v>
      </c>
      <c r="H4514" s="3" t="str">
        <f>"APOBEC3D"</f>
        <v>APOBEC3D</v>
      </c>
      <c r="I4514" s="3" t="str">
        <f t="shared" si="181"/>
        <v>protein_coding</v>
      </c>
    </row>
    <row r="4515" spans="1:9" x14ac:dyDescent="0.2">
      <c r="A4515" s="3" t="str">
        <f>"ENSG00000239713.9"</f>
        <v>ENSG00000239713.9</v>
      </c>
      <c r="B4515" s="3">
        <v>129.41208787674401</v>
      </c>
      <c r="C4515" s="3">
        <v>1.2079085717425999</v>
      </c>
      <c r="D4515" s="3">
        <v>0.425554454308402</v>
      </c>
      <c r="E4515" s="3">
        <v>2.83843479844584</v>
      </c>
      <c r="F4515" s="3">
        <v>4.53353805356371E-3</v>
      </c>
      <c r="G4515" s="3">
        <v>2.18679098250039E-2</v>
      </c>
      <c r="H4515" s="3" t="str">
        <f>"APOBEC3G"</f>
        <v>APOBEC3G</v>
      </c>
      <c r="I4515" s="3" t="str">
        <f t="shared" si="181"/>
        <v>protein_coding</v>
      </c>
    </row>
    <row r="4516" spans="1:9" x14ac:dyDescent="0.2">
      <c r="A4516" s="3" t="str">
        <f>"ENSG00000100298.15"</f>
        <v>ENSG00000100298.15</v>
      </c>
      <c r="B4516" s="3">
        <v>40.798171944377501</v>
      </c>
      <c r="C4516" s="3">
        <v>5.7979175117350401</v>
      </c>
      <c r="D4516" s="3">
        <v>0.99504649242384502</v>
      </c>
      <c r="E4516" s="3">
        <v>5.8267805131515296</v>
      </c>
      <c r="F4516" s="4">
        <v>5.6506850036762902E-9</v>
      </c>
      <c r="G4516" s="4">
        <v>1.0367832331690499E-7</v>
      </c>
      <c r="H4516" s="3" t="str">
        <f>"APOBEC3H"</f>
        <v>APOBEC3H</v>
      </c>
      <c r="I4516" s="3" t="str">
        <f t="shared" si="181"/>
        <v>protein_coding</v>
      </c>
    </row>
    <row r="4517" spans="1:9" x14ac:dyDescent="0.2">
      <c r="A4517" s="3" t="str">
        <f>"ENSG00000100307.13"</f>
        <v>ENSG00000100307.13</v>
      </c>
      <c r="B4517" s="3">
        <v>114.13400093718001</v>
      </c>
      <c r="C4517" s="3">
        <v>1.1562700493721201</v>
      </c>
      <c r="D4517" s="3">
        <v>0.44941080200254901</v>
      </c>
      <c r="E4517" s="3">
        <v>2.5728577155240702</v>
      </c>
      <c r="F4517" s="3">
        <v>1.0086266405165301E-2</v>
      </c>
      <c r="G4517" s="3">
        <v>4.2591913953656697E-2</v>
      </c>
      <c r="H4517" s="3" t="str">
        <f>"CBX7"</f>
        <v>CBX7</v>
      </c>
      <c r="I4517" s="3" t="str">
        <f t="shared" si="181"/>
        <v>protein_coding</v>
      </c>
    </row>
    <row r="4518" spans="1:9" x14ac:dyDescent="0.2">
      <c r="A4518" s="3" t="str">
        <f>"ENSG00000100311.16"</f>
        <v>ENSG00000100311.16</v>
      </c>
      <c r="B4518" s="3">
        <v>337.30456684535898</v>
      </c>
      <c r="C4518" s="3">
        <v>3.7102220126494898</v>
      </c>
      <c r="D4518" s="3">
        <v>0.365026053187819</v>
      </c>
      <c r="E4518" s="3">
        <v>10.1642663044121</v>
      </c>
      <c r="F4518" s="4">
        <v>2.86269138173717E-24</v>
      </c>
      <c r="G4518" s="4">
        <v>2.1117595808679899E-22</v>
      </c>
      <c r="H4518" s="3" t="str">
        <f>"PDGFB"</f>
        <v>PDGFB</v>
      </c>
      <c r="I4518" s="3" t="str">
        <f t="shared" si="181"/>
        <v>protein_coding</v>
      </c>
    </row>
    <row r="4519" spans="1:9" x14ac:dyDescent="0.2">
      <c r="A4519" s="3" t="str">
        <f>"ENSG00000100321.15"</f>
        <v>ENSG00000100321.15</v>
      </c>
      <c r="B4519" s="3">
        <v>38.393522934264404</v>
      </c>
      <c r="C4519" s="3">
        <v>-2.1743097946893899</v>
      </c>
      <c r="D4519" s="3">
        <v>0.61027143891080304</v>
      </c>
      <c r="E4519" s="3">
        <v>-3.5628568798337299</v>
      </c>
      <c r="F4519" s="3">
        <v>3.6684069975705298E-4</v>
      </c>
      <c r="G4519" s="3">
        <v>2.5547834447366201E-3</v>
      </c>
      <c r="H4519" s="3" t="str">
        <f>"SYNGR1"</f>
        <v>SYNGR1</v>
      </c>
      <c r="I4519" s="3" t="str">
        <f t="shared" si="181"/>
        <v>protein_coding</v>
      </c>
    </row>
    <row r="4520" spans="1:9" x14ac:dyDescent="0.2">
      <c r="A4520" s="3" t="str">
        <f>"ENSG00000128268.12"</f>
        <v>ENSG00000128268.12</v>
      </c>
      <c r="B4520" s="3">
        <v>75.725993187549093</v>
      </c>
      <c r="C4520" s="3">
        <v>5.2917111708331896</v>
      </c>
      <c r="D4520" s="3">
        <v>0.66231788348328202</v>
      </c>
      <c r="E4520" s="3">
        <v>7.9896848670352396</v>
      </c>
      <c r="F4520" s="4">
        <v>1.3528411942041E-15</v>
      </c>
      <c r="G4520" s="4">
        <v>5.2274531858992501E-14</v>
      </c>
      <c r="H4520" s="3" t="str">
        <f>"MGAT3"</f>
        <v>MGAT3</v>
      </c>
      <c r="I4520" s="3" t="str">
        <f t="shared" si="181"/>
        <v>protein_coding</v>
      </c>
    </row>
    <row r="4521" spans="1:9" x14ac:dyDescent="0.2">
      <c r="A4521" s="3" t="str">
        <f>"ENSG00000128285.4"</f>
        <v>ENSG00000128285.4</v>
      </c>
      <c r="B4521" s="3">
        <v>38.853961047719302</v>
      </c>
      <c r="C4521" s="3">
        <v>1.6398383488786099</v>
      </c>
      <c r="D4521" s="3">
        <v>0.63473237239069602</v>
      </c>
      <c r="E4521" s="3">
        <v>2.5835114454651502</v>
      </c>
      <c r="F4521" s="3">
        <v>9.7800222039834198E-3</v>
      </c>
      <c r="G4521" s="3">
        <v>4.1479760334042E-2</v>
      </c>
      <c r="H4521" s="3" t="str">
        <f>"MCHR1"</f>
        <v>MCHR1</v>
      </c>
      <c r="I4521" s="3" t="str">
        <f t="shared" si="181"/>
        <v>protein_coding</v>
      </c>
    </row>
    <row r="4522" spans="1:9" x14ac:dyDescent="0.2">
      <c r="A4522" s="3" t="str">
        <f>"ENSG00000235513.1"</f>
        <v>ENSG00000235513.1</v>
      </c>
      <c r="B4522" s="3">
        <v>58.335472031099798</v>
      </c>
      <c r="C4522" s="3">
        <v>5.3334518251777299</v>
      </c>
      <c r="D4522" s="3">
        <v>0.74997251141089205</v>
      </c>
      <c r="E4522" s="3">
        <v>7.1115297481292101</v>
      </c>
      <c r="F4522" s="4">
        <v>1.1476371732811299E-12</v>
      </c>
      <c r="G4522" s="4">
        <v>3.2842790778028398E-11</v>
      </c>
      <c r="H4522" s="3" t="str">
        <f>"AL035681.1"</f>
        <v>AL035681.1</v>
      </c>
      <c r="I4522" s="3" t="str">
        <f>"antisense"</f>
        <v>antisense</v>
      </c>
    </row>
    <row r="4523" spans="1:9" x14ac:dyDescent="0.2">
      <c r="A4523" s="3" t="str">
        <f>"ENSG00000100399.16"</f>
        <v>ENSG00000100399.16</v>
      </c>
      <c r="B4523" s="3">
        <v>119.628719687622</v>
      </c>
      <c r="C4523" s="3">
        <v>1.1294511402848899</v>
      </c>
      <c r="D4523" s="3">
        <v>0.415066700967474</v>
      </c>
      <c r="E4523" s="3">
        <v>2.72113165824257</v>
      </c>
      <c r="F4523" s="3">
        <v>6.5058844410476897E-3</v>
      </c>
      <c r="G4523" s="3">
        <v>2.9420376029081499E-2</v>
      </c>
      <c r="H4523" s="3" t="str">
        <f>"CHADL"</f>
        <v>CHADL</v>
      </c>
      <c r="I4523" s="3" t="str">
        <f>"protein_coding"</f>
        <v>protein_coding</v>
      </c>
    </row>
    <row r="4524" spans="1:9" x14ac:dyDescent="0.2">
      <c r="A4524" s="3" t="str">
        <f>"ENSG00000172346.15"</f>
        <v>ENSG00000172346.15</v>
      </c>
      <c r="B4524" s="3">
        <v>45.913985143839803</v>
      </c>
      <c r="C4524" s="3">
        <v>2.4684455727521502</v>
      </c>
      <c r="D4524" s="3">
        <v>0.57366249594611296</v>
      </c>
      <c r="E4524" s="3">
        <v>4.3029579067759496</v>
      </c>
      <c r="F4524" s="4">
        <v>1.68532878614369E-5</v>
      </c>
      <c r="G4524" s="3">
        <v>1.6412870931259999E-4</v>
      </c>
      <c r="H4524" s="3" t="str">
        <f>"CSDC2"</f>
        <v>CSDC2</v>
      </c>
      <c r="I4524" s="3" t="str">
        <f>"protein_coding"</f>
        <v>protein_coding</v>
      </c>
    </row>
    <row r="4525" spans="1:9" x14ac:dyDescent="0.2">
      <c r="A4525" s="3" t="str">
        <f>"ENSG00000159958.6"</f>
        <v>ENSG00000159958.6</v>
      </c>
      <c r="B4525" s="3">
        <v>137.70094132186901</v>
      </c>
      <c r="C4525" s="3">
        <v>-1.66979344654635</v>
      </c>
      <c r="D4525" s="3">
        <v>0.40885767725482203</v>
      </c>
      <c r="E4525" s="3">
        <v>-4.0840457191797999</v>
      </c>
      <c r="F4525" s="4">
        <v>4.4258317191498899E-5</v>
      </c>
      <c r="G4525" s="3">
        <v>3.9243057478234301E-4</v>
      </c>
      <c r="H4525" s="3" t="str">
        <f>"TNFRSF13C"</f>
        <v>TNFRSF13C</v>
      </c>
      <c r="I4525" s="3" t="str">
        <f>"protein_coding"</f>
        <v>protein_coding</v>
      </c>
    </row>
    <row r="4526" spans="1:9" x14ac:dyDescent="0.2">
      <c r="A4526" s="3" t="str">
        <f>"ENSG00000100162.15"</f>
        <v>ENSG00000100162.15</v>
      </c>
      <c r="B4526" s="3">
        <v>578.56594642761399</v>
      </c>
      <c r="C4526" s="3">
        <v>-1.75622473187156</v>
      </c>
      <c r="D4526" s="3">
        <v>0.32458667508708</v>
      </c>
      <c r="E4526" s="3">
        <v>-5.4106495018638698</v>
      </c>
      <c r="F4526" s="4">
        <v>6.2796572762224103E-8</v>
      </c>
      <c r="G4526" s="4">
        <v>9.6732871269672209E-7</v>
      </c>
      <c r="H4526" s="3" t="str">
        <f>"CENPM"</f>
        <v>CENPM</v>
      </c>
      <c r="I4526" s="3" t="str">
        <f>"protein_coding"</f>
        <v>protein_coding</v>
      </c>
    </row>
    <row r="4527" spans="1:9" x14ac:dyDescent="0.2">
      <c r="A4527" s="3" t="str">
        <f>"ENSG00000237037.9"</f>
        <v>ENSG00000237037.9</v>
      </c>
      <c r="B4527" s="3">
        <v>112.879309214006</v>
      </c>
      <c r="C4527" s="3">
        <v>2.4227037072669799</v>
      </c>
      <c r="D4527" s="3">
        <v>0.41263513675872299</v>
      </c>
      <c r="E4527" s="3">
        <v>5.8712976463843596</v>
      </c>
      <c r="F4527" s="4">
        <v>4.3239714581275603E-9</v>
      </c>
      <c r="G4527" s="4">
        <v>8.0689541564687504E-8</v>
      </c>
      <c r="H4527" s="3" t="str">
        <f>"NDUFA6-DT"</f>
        <v>NDUFA6-DT</v>
      </c>
      <c r="I4527" s="3" t="str">
        <f>"processed_transcript"</f>
        <v>processed_transcript</v>
      </c>
    </row>
    <row r="4528" spans="1:9" x14ac:dyDescent="0.2">
      <c r="A4528" s="3" t="str">
        <f>"ENSG00000205702.11"</f>
        <v>ENSG00000205702.11</v>
      </c>
      <c r="B4528" s="3">
        <v>87.853548809084103</v>
      </c>
      <c r="C4528" s="3">
        <v>1.6507757133646099</v>
      </c>
      <c r="D4528" s="3">
        <v>0.47143594834193597</v>
      </c>
      <c r="E4528" s="3">
        <v>3.5015906597077899</v>
      </c>
      <c r="F4528" s="3">
        <v>4.62489590724676E-4</v>
      </c>
      <c r="G4528" s="3">
        <v>3.1257188755183301E-3</v>
      </c>
      <c r="H4528" s="3" t="str">
        <f>"CYP2D7"</f>
        <v>CYP2D7</v>
      </c>
      <c r="I4528" s="3" t="str">
        <f>"polymorphic_pseudogene"</f>
        <v>polymorphic_pseudogene</v>
      </c>
    </row>
    <row r="4529" spans="1:9" x14ac:dyDescent="0.2">
      <c r="A4529" s="3" t="str">
        <f>"ENSG00000229891.1"</f>
        <v>ENSG00000229891.1</v>
      </c>
      <c r="B4529" s="3">
        <v>13.8262536830504</v>
      </c>
      <c r="C4529" s="3">
        <v>-2.5018743972448898</v>
      </c>
      <c r="D4529" s="3">
        <v>0.96791697355789597</v>
      </c>
      <c r="E4529" s="3">
        <v>-2.5848026903055801</v>
      </c>
      <c r="F4529" s="3">
        <v>9.7434738119838993E-3</v>
      </c>
      <c r="G4529" s="3">
        <v>4.1359615886003197E-2</v>
      </c>
      <c r="H4529" s="3" t="str">
        <f>"LINC01315"</f>
        <v>LINC01315</v>
      </c>
      <c r="I4529" s="3" t="str">
        <f>"lincRNA"</f>
        <v>lincRNA</v>
      </c>
    </row>
    <row r="4530" spans="1:9" x14ac:dyDescent="0.2">
      <c r="A4530" s="3" t="str">
        <f>"ENSG00000128274.17"</f>
        <v>ENSG00000128274.17</v>
      </c>
      <c r="B4530" s="3">
        <v>271.56724908085999</v>
      </c>
      <c r="C4530" s="3">
        <v>4.0615381430303499</v>
      </c>
      <c r="D4530" s="3">
        <v>0.383194019732018</v>
      </c>
      <c r="E4530" s="3">
        <v>10.5991689167559</v>
      </c>
      <c r="F4530" s="4">
        <v>3.0063993924044601E-26</v>
      </c>
      <c r="G4530" s="4">
        <v>2.5723121331950399E-24</v>
      </c>
      <c r="H4530" s="3" t="str">
        <f>"A4GALT"</f>
        <v>A4GALT</v>
      </c>
      <c r="I4530" s="3" t="str">
        <f>"protein_coding"</f>
        <v>protein_coding</v>
      </c>
    </row>
    <row r="4531" spans="1:9" x14ac:dyDescent="0.2">
      <c r="A4531" s="3" t="str">
        <f>"ENSG00000100344.10"</f>
        <v>ENSG00000100344.10</v>
      </c>
      <c r="B4531" s="3">
        <v>474.60590476523703</v>
      </c>
      <c r="C4531" s="3">
        <v>-1.542455800668</v>
      </c>
      <c r="D4531" s="3">
        <v>0.29987177487775102</v>
      </c>
      <c r="E4531" s="3">
        <v>-5.1437178483930799</v>
      </c>
      <c r="F4531" s="4">
        <v>2.6935397994609397E-7</v>
      </c>
      <c r="G4531" s="4">
        <v>3.75171614924917E-6</v>
      </c>
      <c r="H4531" s="3" t="str">
        <f>"PNPLA3"</f>
        <v>PNPLA3</v>
      </c>
      <c r="I4531" s="3" t="str">
        <f>"protein_coding"</f>
        <v>protein_coding</v>
      </c>
    </row>
    <row r="4532" spans="1:9" x14ac:dyDescent="0.2">
      <c r="A4532" s="3" t="str">
        <f>"ENSG00000186654.21"</f>
        <v>ENSG00000186654.21</v>
      </c>
      <c r="B4532" s="3">
        <v>782.49664778863405</v>
      </c>
      <c r="C4532" s="3">
        <v>1.7722654427559199</v>
      </c>
      <c r="D4532" s="3">
        <v>0.31315606467970403</v>
      </c>
      <c r="E4532" s="3">
        <v>5.6593680999555103</v>
      </c>
      <c r="F4532" s="4">
        <v>1.5193136640289602E-8</v>
      </c>
      <c r="G4532" s="4">
        <v>2.6105420231317198E-7</v>
      </c>
      <c r="H4532" s="3" t="str">
        <f>"PRR5"</f>
        <v>PRR5</v>
      </c>
      <c r="I4532" s="3" t="str">
        <f>"protein_coding"</f>
        <v>protein_coding</v>
      </c>
    </row>
    <row r="4533" spans="1:9" x14ac:dyDescent="0.2">
      <c r="A4533" s="3" t="str">
        <f>"ENSG00000128408.8"</f>
        <v>ENSG00000128408.8</v>
      </c>
      <c r="B4533" s="3">
        <v>20.369989510274301</v>
      </c>
      <c r="C4533" s="3">
        <v>5.3932114926745198</v>
      </c>
      <c r="D4533" s="3">
        <v>1.2405993112059699</v>
      </c>
      <c r="E4533" s="3">
        <v>4.3472630074507004</v>
      </c>
      <c r="F4533" s="4">
        <v>1.37846887386039E-5</v>
      </c>
      <c r="G4533" s="3">
        <v>1.36571030019527E-4</v>
      </c>
      <c r="H4533" s="3" t="str">
        <f>"RIBC2"</f>
        <v>RIBC2</v>
      </c>
      <c r="I4533" s="3" t="str">
        <f>"protein_coding"</f>
        <v>protein_coding</v>
      </c>
    </row>
    <row r="4534" spans="1:9" x14ac:dyDescent="0.2">
      <c r="A4534" s="3" t="str">
        <f>"ENSG00000077942.19"</f>
        <v>ENSG00000077942.19</v>
      </c>
      <c r="B4534" s="3">
        <v>6060.1885595635604</v>
      </c>
      <c r="C4534" s="3">
        <v>-1.0014961072663</v>
      </c>
      <c r="D4534" s="3">
        <v>0.278865742359724</v>
      </c>
      <c r="E4534" s="3">
        <v>-3.5913199620426002</v>
      </c>
      <c r="F4534" s="3">
        <v>3.2900741927991599E-4</v>
      </c>
      <c r="G4534" s="3">
        <v>2.3241172794120401E-3</v>
      </c>
      <c r="H4534" s="3" t="str">
        <f>"FBLN1"</f>
        <v>FBLN1</v>
      </c>
      <c r="I4534" s="3" t="str">
        <f>"protein_coding"</f>
        <v>protein_coding</v>
      </c>
    </row>
    <row r="4535" spans="1:9" x14ac:dyDescent="0.2">
      <c r="A4535" s="3" t="str">
        <f>"ENSG00000280424.1"</f>
        <v>ENSG00000280424.1</v>
      </c>
      <c r="B4535" s="3">
        <v>10.9857396519271</v>
      </c>
      <c r="C4535" s="3">
        <v>3.8747006869682901</v>
      </c>
      <c r="D4535" s="3">
        <v>1.28272499288223</v>
      </c>
      <c r="E4535" s="3">
        <v>3.0206791856935702</v>
      </c>
      <c r="F4535" s="3">
        <v>2.5220842859460702E-3</v>
      </c>
      <c r="G4535" s="3">
        <v>1.3308795933076E-2</v>
      </c>
      <c r="H4535" s="3" t="str">
        <f>"BX537318.2"</f>
        <v>BX537318.2</v>
      </c>
      <c r="I4535" s="3" t="str">
        <f>"TEC"</f>
        <v>TEC</v>
      </c>
    </row>
    <row r="4536" spans="1:9" x14ac:dyDescent="0.2">
      <c r="A4536" s="3" t="str">
        <f>"ENSG00000197182.14"</f>
        <v>ENSG00000197182.14</v>
      </c>
      <c r="B4536" s="3">
        <v>22.8451777815621</v>
      </c>
      <c r="C4536" s="3">
        <v>2.5434955287576799</v>
      </c>
      <c r="D4536" s="3">
        <v>0.77337086396425303</v>
      </c>
      <c r="E4536" s="3">
        <v>3.2888432280987101</v>
      </c>
      <c r="F4536" s="3">
        <v>1.00600041376844E-3</v>
      </c>
      <c r="G4536" s="3">
        <v>6.1349132869164E-3</v>
      </c>
      <c r="H4536" s="3" t="str">
        <f>"MIRLET7BHG"</f>
        <v>MIRLET7BHG</v>
      </c>
      <c r="I4536" s="3" t="str">
        <f>"lincRNA"</f>
        <v>lincRNA</v>
      </c>
    </row>
    <row r="4537" spans="1:9" x14ac:dyDescent="0.2">
      <c r="A4537" s="3" t="str">
        <f>"ENSG00000234869.1"</f>
        <v>ENSG00000234869.1</v>
      </c>
      <c r="B4537" s="3">
        <v>4.7466597082542004</v>
      </c>
      <c r="C4537" s="3">
        <v>5.7704505709876299</v>
      </c>
      <c r="D4537" s="3">
        <v>2.0768062082188901</v>
      </c>
      <c r="E4537" s="3">
        <v>2.7785214374606899</v>
      </c>
      <c r="F4537" s="3">
        <v>5.4606909905173303E-3</v>
      </c>
      <c r="G4537" s="3">
        <v>2.5508576019770399E-2</v>
      </c>
      <c r="H4537" s="3" t="str">
        <f>"AL021392.1"</f>
        <v>AL021392.1</v>
      </c>
      <c r="I4537" s="3" t="str">
        <f>"antisense"</f>
        <v>antisense</v>
      </c>
    </row>
    <row r="4538" spans="1:9" x14ac:dyDescent="0.2">
      <c r="A4538" s="3" t="str">
        <f>"ENSG00000075240.17"</f>
        <v>ENSG00000075240.17</v>
      </c>
      <c r="B4538" s="3">
        <v>891.54821213059995</v>
      </c>
      <c r="C4538" s="3">
        <v>1.94951008634046</v>
      </c>
      <c r="D4538" s="3">
        <v>0.29361826349875098</v>
      </c>
      <c r="E4538" s="3">
        <v>6.63960771074023</v>
      </c>
      <c r="F4538" s="4">
        <v>3.1451909660081497E-11</v>
      </c>
      <c r="G4538" s="4">
        <v>7.6294386451239099E-10</v>
      </c>
      <c r="H4538" s="3" t="str">
        <f>"GRAMD4"</f>
        <v>GRAMD4</v>
      </c>
      <c r="I4538" s="3" t="str">
        <f>"protein_coding"</f>
        <v>protein_coding</v>
      </c>
    </row>
    <row r="4539" spans="1:9" x14ac:dyDescent="0.2">
      <c r="A4539" s="3" t="str">
        <f>"ENSG00000260708.1"</f>
        <v>ENSG00000260708.1</v>
      </c>
      <c r="B4539" s="3">
        <v>180.55028057243501</v>
      </c>
      <c r="C4539" s="3">
        <v>-1.4886223953499</v>
      </c>
      <c r="D4539" s="3">
        <v>0.36420241013907501</v>
      </c>
      <c r="E4539" s="3">
        <v>-4.0873491056290696</v>
      </c>
      <c r="F4539" s="4">
        <v>4.36330289018857E-5</v>
      </c>
      <c r="G4539" s="3">
        <v>3.8784058022153198E-4</v>
      </c>
      <c r="H4539" s="3" t="str">
        <f>"AL118516.1"</f>
        <v>AL118516.1</v>
      </c>
      <c r="I4539" s="3" t="str">
        <f>"antisense"</f>
        <v>antisense</v>
      </c>
    </row>
    <row r="4540" spans="1:9" x14ac:dyDescent="0.2">
      <c r="A4540" s="3" t="str">
        <f>"ENSG00000219438.8"</f>
        <v>ENSG00000219438.8</v>
      </c>
      <c r="B4540" s="3">
        <v>510.95764125519298</v>
      </c>
      <c r="C4540" s="3">
        <v>2.4672096334206901</v>
      </c>
      <c r="D4540" s="3">
        <v>0.33506955561045698</v>
      </c>
      <c r="E4540" s="3">
        <v>7.3632760485378199</v>
      </c>
      <c r="F4540" s="4">
        <v>1.79450739142742E-13</v>
      </c>
      <c r="G4540" s="4">
        <v>5.6638435923910502E-12</v>
      </c>
      <c r="H4540" s="3" t="str">
        <f>"FAM19A5"</f>
        <v>FAM19A5</v>
      </c>
      <c r="I4540" s="3" t="str">
        <f t="shared" ref="I4540:I4547" si="182">"protein_coding"</f>
        <v>protein_coding</v>
      </c>
    </row>
    <row r="4541" spans="1:9" x14ac:dyDescent="0.2">
      <c r="A4541" s="3" t="str">
        <f>"ENSG00000100425.18"</f>
        <v>ENSG00000100425.18</v>
      </c>
      <c r="B4541" s="3">
        <v>1076.2675662085101</v>
      </c>
      <c r="C4541" s="3">
        <v>1.42697904683711</v>
      </c>
      <c r="D4541" s="3">
        <v>0.33809403208417499</v>
      </c>
      <c r="E4541" s="3">
        <v>4.2206573066094002</v>
      </c>
      <c r="F4541" s="4">
        <v>2.43591005232166E-5</v>
      </c>
      <c r="G4541" s="3">
        <v>2.2958155626133899E-4</v>
      </c>
      <c r="H4541" s="3" t="str">
        <f>"BRD1"</f>
        <v>BRD1</v>
      </c>
      <c r="I4541" s="3" t="str">
        <f t="shared" si="182"/>
        <v>protein_coding</v>
      </c>
    </row>
    <row r="4542" spans="1:9" x14ac:dyDescent="0.2">
      <c r="A4542" s="3" t="str">
        <f>"ENSG00000198355.5"</f>
        <v>ENSG00000198355.5</v>
      </c>
      <c r="B4542" s="3">
        <v>1173.1839397793301</v>
      </c>
      <c r="C4542" s="3">
        <v>1.6783258763111499</v>
      </c>
      <c r="D4542" s="3">
        <v>0.31962322100975199</v>
      </c>
      <c r="E4542" s="3">
        <v>5.2509510135371</v>
      </c>
      <c r="F4542" s="4">
        <v>1.5131592112703999E-7</v>
      </c>
      <c r="G4542" s="4">
        <v>2.2117094688847699E-6</v>
      </c>
      <c r="H4542" s="3" t="str">
        <f>"PIM3"</f>
        <v>PIM3</v>
      </c>
      <c r="I4542" s="3" t="str">
        <f t="shared" si="182"/>
        <v>protein_coding</v>
      </c>
    </row>
    <row r="4543" spans="1:9" x14ac:dyDescent="0.2">
      <c r="A4543" s="3" t="str">
        <f>"ENSG00000185386.15"</f>
        <v>ENSG00000185386.15</v>
      </c>
      <c r="B4543" s="3">
        <v>149.55015502666399</v>
      </c>
      <c r="C4543" s="3">
        <v>5.3689446297752799</v>
      </c>
      <c r="D4543" s="3">
        <v>0.52012838056350397</v>
      </c>
      <c r="E4543" s="3">
        <v>10.3223450794179</v>
      </c>
      <c r="F4543" s="4">
        <v>5.5842295788461799E-25</v>
      </c>
      <c r="G4543" s="4">
        <v>4.30893543116183E-23</v>
      </c>
      <c r="H4543" s="3" t="str">
        <f>"MAPK11"</f>
        <v>MAPK11</v>
      </c>
      <c r="I4543" s="3" t="str">
        <f t="shared" si="182"/>
        <v>protein_coding</v>
      </c>
    </row>
    <row r="4544" spans="1:9" x14ac:dyDescent="0.2">
      <c r="A4544" s="3" t="str">
        <f>"ENSG00000196576.15"</f>
        <v>ENSG00000196576.15</v>
      </c>
      <c r="B4544" s="3">
        <v>14662.682400379301</v>
      </c>
      <c r="C4544" s="3">
        <v>3.7978293625132298</v>
      </c>
      <c r="D4544" s="3">
        <v>0.31009656606890601</v>
      </c>
      <c r="E4544" s="3">
        <v>12.2472473999255</v>
      </c>
      <c r="F4544" s="4">
        <v>1.7379511235412401E-34</v>
      </c>
      <c r="G4544" s="4">
        <v>2.16426537191485E-32</v>
      </c>
      <c r="H4544" s="3" t="str">
        <f>"PLXNB2"</f>
        <v>PLXNB2</v>
      </c>
      <c r="I4544" s="3" t="str">
        <f t="shared" si="182"/>
        <v>protein_coding</v>
      </c>
    </row>
    <row r="4545" spans="1:9" x14ac:dyDescent="0.2">
      <c r="A4545" s="3" t="str">
        <f>"ENSG00000205593.12"</f>
        <v>ENSG00000205593.12</v>
      </c>
      <c r="B4545" s="3">
        <v>148.064690417642</v>
      </c>
      <c r="C4545" s="3">
        <v>2.66846121122272</v>
      </c>
      <c r="D4545" s="3">
        <v>0.41633452760337403</v>
      </c>
      <c r="E4545" s="3">
        <v>6.4094160688129698</v>
      </c>
      <c r="F4545" s="4">
        <v>1.4607803874384399E-10</v>
      </c>
      <c r="G4545" s="4">
        <v>3.2896983568499598E-9</v>
      </c>
      <c r="H4545" s="3" t="str">
        <f>"DENND6B"</f>
        <v>DENND6B</v>
      </c>
      <c r="I4545" s="3" t="str">
        <f t="shared" si="182"/>
        <v>protein_coding</v>
      </c>
    </row>
    <row r="4546" spans="1:9" x14ac:dyDescent="0.2">
      <c r="A4546" s="3" t="str">
        <f>"ENSG00000100253.13"</f>
        <v>ENSG00000100253.13</v>
      </c>
      <c r="B4546" s="3">
        <v>172.906238336493</v>
      </c>
      <c r="C4546" s="3">
        <v>-1.2221917156636399</v>
      </c>
      <c r="D4546" s="3">
        <v>0.37762635260965199</v>
      </c>
      <c r="E4546" s="3">
        <v>-3.2365106598559099</v>
      </c>
      <c r="F4546" s="3">
        <v>1.21000707031937E-3</v>
      </c>
      <c r="G4546" s="3">
        <v>7.1885411504705203E-3</v>
      </c>
      <c r="H4546" s="3" t="str">
        <f>"MIOX"</f>
        <v>MIOX</v>
      </c>
      <c r="I4546" s="3" t="str">
        <f t="shared" si="182"/>
        <v>protein_coding</v>
      </c>
    </row>
    <row r="4547" spans="1:9" x14ac:dyDescent="0.2">
      <c r="A4547" s="3" t="str">
        <f>"ENSG00000100299.18"</f>
        <v>ENSG00000100299.18</v>
      </c>
      <c r="B4547" s="3">
        <v>1475.1143151545</v>
      </c>
      <c r="C4547" s="3">
        <v>1.3458233048110699</v>
      </c>
      <c r="D4547" s="3">
        <v>0.30617551654588199</v>
      </c>
      <c r="E4547" s="3">
        <v>4.3955941350045702</v>
      </c>
      <c r="F4547" s="4">
        <v>1.10470176170094E-5</v>
      </c>
      <c r="G4547" s="3">
        <v>1.11729680087556E-4</v>
      </c>
      <c r="H4547" s="3" t="str">
        <f>"ARSA"</f>
        <v>ARSA</v>
      </c>
      <c r="I4547" s="3" t="str">
        <f t="shared" si="182"/>
        <v>protein_coding</v>
      </c>
    </row>
    <row r="4548" spans="1:9" x14ac:dyDescent="0.2">
      <c r="A4548" s="3" t="str">
        <f>"ENSG00000184319.16"</f>
        <v>ENSG00000184319.16</v>
      </c>
      <c r="B4548" s="3">
        <v>321.47122100168099</v>
      </c>
      <c r="C4548" s="3">
        <v>1.00067231855579</v>
      </c>
      <c r="D4548" s="3">
        <v>0.29838131924861999</v>
      </c>
      <c r="E4548" s="3">
        <v>3.35366946253763</v>
      </c>
      <c r="F4548" s="3">
        <v>7.9747564250544204E-4</v>
      </c>
      <c r="G4548" s="3">
        <v>5.0226589352089096E-3</v>
      </c>
      <c r="H4548" s="3" t="str">
        <f>"RPL23AP82"</f>
        <v>RPL23AP82</v>
      </c>
      <c r="I4548" s="3" t="str">
        <f>"transcribed_unprocessed_pseudogene"</f>
        <v>transcribed_unprocessed_pseudogene</v>
      </c>
    </row>
    <row r="4549" spans="1:9" x14ac:dyDescent="0.2">
      <c r="A4549" s="3" t="str">
        <f>"ENSG00000079974.17"</f>
        <v>ENSG00000079974.17</v>
      </c>
      <c r="B4549" s="3">
        <v>1209.4942534289501</v>
      </c>
      <c r="C4549" s="3">
        <v>1.57636084084151</v>
      </c>
      <c r="D4549" s="3">
        <v>0.26183196562053601</v>
      </c>
      <c r="E4549" s="3">
        <v>6.0205056976353797</v>
      </c>
      <c r="F4549" s="4">
        <v>1.7387298523683701E-9</v>
      </c>
      <c r="G4549" s="4">
        <v>3.4063667785300898E-8</v>
      </c>
      <c r="H4549" s="3" t="str">
        <f>"RABL2B"</f>
        <v>RABL2B</v>
      </c>
      <c r="I4549" s="3" t="str">
        <f>"protein_coding"</f>
        <v>protein_coding</v>
      </c>
    </row>
    <row r="4550" spans="1:9" x14ac:dyDescent="0.2">
      <c r="A4550" s="3" t="str">
        <f>"ENSG00000056998.20"</f>
        <v>ENSG00000056998.20</v>
      </c>
      <c r="B4550" s="3">
        <v>643.91353689906396</v>
      </c>
      <c r="C4550" s="3">
        <v>-1.6212494375111901</v>
      </c>
      <c r="D4550" s="3">
        <v>0.28713862852731198</v>
      </c>
      <c r="E4550" s="3">
        <v>-5.6462254689531601</v>
      </c>
      <c r="F4550" s="4">
        <v>1.64008725399255E-8</v>
      </c>
      <c r="G4550" s="4">
        <v>2.8008414714312698E-7</v>
      </c>
      <c r="H4550" s="3" t="str">
        <f>"GYG2"</f>
        <v>GYG2</v>
      </c>
      <c r="I4550" s="3" t="str">
        <f>"protein_coding"</f>
        <v>protein_coding</v>
      </c>
    </row>
    <row r="4551" spans="1:9" x14ac:dyDescent="0.2">
      <c r="A4551" s="3" t="str">
        <f>"ENSG00000157399.14"</f>
        <v>ENSG00000157399.14</v>
      </c>
      <c r="B4551" s="3">
        <v>994.73280135398204</v>
      </c>
      <c r="C4551" s="3">
        <v>-1.16562224995796</v>
      </c>
      <c r="D4551" s="3">
        <v>0.27696367931604898</v>
      </c>
      <c r="E4551" s="3">
        <v>-4.2085743980453296</v>
      </c>
      <c r="F4551" s="4">
        <v>2.5698691656998999E-5</v>
      </c>
      <c r="G4551" s="3">
        <v>2.40853423484281E-4</v>
      </c>
      <c r="H4551" s="3" t="str">
        <f>"ARSE"</f>
        <v>ARSE</v>
      </c>
      <c r="I4551" s="3" t="str">
        <f>"protein_coding"</f>
        <v>protein_coding</v>
      </c>
    </row>
    <row r="4552" spans="1:9" x14ac:dyDescent="0.2">
      <c r="A4552" s="3" t="str">
        <f>"ENSG00000183943.5"</f>
        <v>ENSG00000183943.5</v>
      </c>
      <c r="B4552" s="3">
        <v>338.79464448326303</v>
      </c>
      <c r="C4552" s="3">
        <v>5.1281886557917797</v>
      </c>
      <c r="D4552" s="3">
        <v>0.37733605971078799</v>
      </c>
      <c r="E4552" s="3">
        <v>13.5905077816372</v>
      </c>
      <c r="F4552" s="4">
        <v>4.5590640368973401E-42</v>
      </c>
      <c r="G4552" s="4">
        <v>8.4950559887520493E-40</v>
      </c>
      <c r="H4552" s="3" t="str">
        <f>"PRKX"</f>
        <v>PRKX</v>
      </c>
      <c r="I4552" s="3" t="str">
        <f>"protein_coding"</f>
        <v>protein_coding</v>
      </c>
    </row>
    <row r="4553" spans="1:9" x14ac:dyDescent="0.2">
      <c r="A4553" s="3" t="str">
        <f>"ENSG00000285756.1"</f>
        <v>ENSG00000285756.1</v>
      </c>
      <c r="B4553" s="3">
        <v>1077.9432757223501</v>
      </c>
      <c r="C4553" s="3">
        <v>1.51651951889981</v>
      </c>
      <c r="D4553" s="3">
        <v>0.25159274484777799</v>
      </c>
      <c r="E4553" s="3">
        <v>6.0276758768117897</v>
      </c>
      <c r="F4553" s="4">
        <v>1.6633420253790199E-9</v>
      </c>
      <c r="G4553" s="4">
        <v>3.2739725077002497E-8</v>
      </c>
      <c r="H4553" s="3" t="str">
        <f>"BX890604.2"</f>
        <v>BX890604.2</v>
      </c>
      <c r="I4553" s="3" t="str">
        <f>"lincRNA"</f>
        <v>lincRNA</v>
      </c>
    </row>
    <row r="4554" spans="1:9" x14ac:dyDescent="0.2">
      <c r="A4554" s="3" t="str">
        <f>"ENSG00000101846.6"</f>
        <v>ENSG00000101846.6</v>
      </c>
      <c r="B4554" s="3">
        <v>372.93537275243602</v>
      </c>
      <c r="C4554" s="3">
        <v>-1.2200013299488901</v>
      </c>
      <c r="D4554" s="3">
        <v>0.29398125794549601</v>
      </c>
      <c r="E4554" s="3">
        <v>-4.1499289392627796</v>
      </c>
      <c r="F4554" s="4">
        <v>3.3257850685688298E-5</v>
      </c>
      <c r="G4554" s="3">
        <v>3.04550867855293E-4</v>
      </c>
      <c r="H4554" s="3" t="str">
        <f>"STS"</f>
        <v>STS</v>
      </c>
      <c r="I4554" s="3" t="str">
        <f t="shared" ref="I4554:I4560" si="183">"protein_coding"</f>
        <v>protein_coding</v>
      </c>
    </row>
    <row r="4555" spans="1:9" x14ac:dyDescent="0.2">
      <c r="A4555" s="3" t="str">
        <f>"ENSG00000101849.16"</f>
        <v>ENSG00000101849.16</v>
      </c>
      <c r="B4555" s="3">
        <v>1324.76042199273</v>
      </c>
      <c r="C4555" s="3">
        <v>-1.19073260275591</v>
      </c>
      <c r="D4555" s="3">
        <v>0.27798638411926502</v>
      </c>
      <c r="E4555" s="3">
        <v>-4.2834205946038404</v>
      </c>
      <c r="F4555" s="4">
        <v>1.84041798691241E-5</v>
      </c>
      <c r="G4555" s="3">
        <v>1.7799198177924499E-4</v>
      </c>
      <c r="H4555" s="3" t="str">
        <f>"TBL1X"</f>
        <v>TBL1X</v>
      </c>
      <c r="I4555" s="3" t="str">
        <f t="shared" si="183"/>
        <v>protein_coding</v>
      </c>
    </row>
    <row r="4556" spans="1:9" x14ac:dyDescent="0.2">
      <c r="A4556" s="3" t="str">
        <f>"ENSG00000146950.13"</f>
        <v>ENSG00000146950.13</v>
      </c>
      <c r="B4556" s="3">
        <v>710.38752530480997</v>
      </c>
      <c r="C4556" s="3">
        <v>1.2967465358974899</v>
      </c>
      <c r="D4556" s="3">
        <v>0.29196078073685999</v>
      </c>
      <c r="E4556" s="3">
        <v>4.4415093445932099</v>
      </c>
      <c r="F4556" s="4">
        <v>8.9330066882481294E-6</v>
      </c>
      <c r="G4556" s="4">
        <v>9.2648989148910401E-5</v>
      </c>
      <c r="H4556" s="3" t="str">
        <f>"SHROOM2"</f>
        <v>SHROOM2</v>
      </c>
      <c r="I4556" s="3" t="str">
        <f t="shared" si="183"/>
        <v>protein_coding</v>
      </c>
    </row>
    <row r="4557" spans="1:9" x14ac:dyDescent="0.2">
      <c r="A4557" s="3" t="str">
        <f>"ENSG00000047644.18"</f>
        <v>ENSG00000047644.18</v>
      </c>
      <c r="B4557" s="3">
        <v>1123.4397340747701</v>
      </c>
      <c r="C4557" s="3">
        <v>1.3297076070120799</v>
      </c>
      <c r="D4557" s="3">
        <v>0.25283777888702302</v>
      </c>
      <c r="E4557" s="3">
        <v>5.2591333971741703</v>
      </c>
      <c r="F4557" s="4">
        <v>1.4473586899641399E-7</v>
      </c>
      <c r="G4557" s="4">
        <v>2.1254120166986599E-6</v>
      </c>
      <c r="H4557" s="3" t="str">
        <f>"WWC3"</f>
        <v>WWC3</v>
      </c>
      <c r="I4557" s="3" t="str">
        <f t="shared" si="183"/>
        <v>protein_coding</v>
      </c>
    </row>
    <row r="4558" spans="1:9" x14ac:dyDescent="0.2">
      <c r="A4558" s="3" t="str">
        <f>"ENSG00000047648.22"</f>
        <v>ENSG00000047648.22</v>
      </c>
      <c r="B4558" s="3">
        <v>25.952095912785499</v>
      </c>
      <c r="C4558" s="3">
        <v>-2.0081422358643901</v>
      </c>
      <c r="D4558" s="3">
        <v>0.70009202487393396</v>
      </c>
      <c r="E4558" s="3">
        <v>-2.86839753134739</v>
      </c>
      <c r="F4558" s="3">
        <v>4.1255681008333803E-3</v>
      </c>
      <c r="G4558" s="3">
        <v>2.0213997969704699E-2</v>
      </c>
      <c r="H4558" s="3" t="str">
        <f>"ARHGAP6"</f>
        <v>ARHGAP6</v>
      </c>
      <c r="I4558" s="3" t="str">
        <f t="shared" si="183"/>
        <v>protein_coding</v>
      </c>
    </row>
    <row r="4559" spans="1:9" x14ac:dyDescent="0.2">
      <c r="A4559" s="3" t="str">
        <f>"ENSG00000101911.12"</f>
        <v>ENSG00000101911.12</v>
      </c>
      <c r="B4559" s="3">
        <v>1317.2229264161899</v>
      </c>
      <c r="C4559" s="3">
        <v>-1.81260578130651</v>
      </c>
      <c r="D4559" s="3">
        <v>0.24898582507967501</v>
      </c>
      <c r="E4559" s="3">
        <v>-7.2799557192722899</v>
      </c>
      <c r="F4559" s="4">
        <v>3.3392976573794801E-13</v>
      </c>
      <c r="G4559" s="4">
        <v>1.0281521734563101E-11</v>
      </c>
      <c r="H4559" s="3" t="str">
        <f>"PRPS2"</f>
        <v>PRPS2</v>
      </c>
      <c r="I4559" s="3" t="str">
        <f t="shared" si="183"/>
        <v>protein_coding</v>
      </c>
    </row>
    <row r="4560" spans="1:9" x14ac:dyDescent="0.2">
      <c r="A4560" s="3" t="str">
        <f>"ENSG00000205542.11"</f>
        <v>ENSG00000205542.11</v>
      </c>
      <c r="B4560" s="3">
        <v>467.129916576965</v>
      </c>
      <c r="C4560" s="3">
        <v>-1.73607830127253</v>
      </c>
      <c r="D4560" s="3">
        <v>0.324806423749116</v>
      </c>
      <c r="E4560" s="3">
        <v>-5.3449629512669201</v>
      </c>
      <c r="F4560" s="4">
        <v>9.0435549341801295E-8</v>
      </c>
      <c r="G4560" s="4">
        <v>1.36303549652068E-6</v>
      </c>
      <c r="H4560" s="3" t="str">
        <f>"TMSB4X"</f>
        <v>TMSB4X</v>
      </c>
      <c r="I4560" s="3" t="str">
        <f t="shared" si="183"/>
        <v>protein_coding</v>
      </c>
    </row>
    <row r="4561" spans="1:9" x14ac:dyDescent="0.2">
      <c r="A4561" s="3" t="str">
        <f>"ENSG00000197582.5"</f>
        <v>ENSG00000197582.5</v>
      </c>
      <c r="B4561" s="3">
        <v>133.498400722382</v>
      </c>
      <c r="C4561" s="3">
        <v>2.2880129436599401</v>
      </c>
      <c r="D4561" s="3">
        <v>0.43342506700064698</v>
      </c>
      <c r="E4561" s="3">
        <v>5.2789123607761397</v>
      </c>
      <c r="F4561" s="4">
        <v>1.2995293693444501E-7</v>
      </c>
      <c r="G4561" s="4">
        <v>1.9206616501680201E-6</v>
      </c>
      <c r="H4561" s="3" t="str">
        <f>"GPX1P1"</f>
        <v>GPX1P1</v>
      </c>
      <c r="I4561" s="3" t="str">
        <f>"processed_pseudogene"</f>
        <v>processed_pseudogene</v>
      </c>
    </row>
    <row r="4562" spans="1:9" x14ac:dyDescent="0.2">
      <c r="A4562" s="3" t="str">
        <f>"ENSG00000147003.7"</f>
        <v>ENSG00000147003.7</v>
      </c>
      <c r="B4562" s="3">
        <v>58.888662172023501</v>
      </c>
      <c r="C4562" s="3">
        <v>2.67958880273786</v>
      </c>
      <c r="D4562" s="3">
        <v>0.52547620676537699</v>
      </c>
      <c r="E4562" s="3">
        <v>5.0993532499451097</v>
      </c>
      <c r="F4562" s="4">
        <v>3.4081598209212202E-7</v>
      </c>
      <c r="G4562" s="4">
        <v>4.6442177841426502E-6</v>
      </c>
      <c r="H4562" s="3" t="str">
        <f>"CLTRN"</f>
        <v>CLTRN</v>
      </c>
      <c r="I4562" s="3" t="str">
        <f t="shared" ref="I4562:I4577" si="184">"protein_coding"</f>
        <v>protein_coding</v>
      </c>
    </row>
    <row r="4563" spans="1:9" x14ac:dyDescent="0.2">
      <c r="A4563" s="3" t="str">
        <f>"ENSG00000188158.15"</f>
        <v>ENSG00000188158.15</v>
      </c>
      <c r="B4563" s="3">
        <v>57.063143010883302</v>
      </c>
      <c r="C4563" s="3">
        <v>1.90207690337336</v>
      </c>
      <c r="D4563" s="3">
        <v>0.496928942043662</v>
      </c>
      <c r="E4563" s="3">
        <v>3.82766376124302</v>
      </c>
      <c r="F4563" s="3">
        <v>1.2936531232460701E-4</v>
      </c>
      <c r="G4563" s="3">
        <v>1.0178337812312499E-3</v>
      </c>
      <c r="H4563" s="3" t="str">
        <f>"NHS"</f>
        <v>NHS</v>
      </c>
      <c r="I4563" s="3" t="str">
        <f t="shared" si="184"/>
        <v>protein_coding</v>
      </c>
    </row>
    <row r="4564" spans="1:9" x14ac:dyDescent="0.2">
      <c r="A4564" s="3" t="str">
        <f>"ENSG00000102098.18"</f>
        <v>ENSG00000102098.18</v>
      </c>
      <c r="B4564" s="3">
        <v>455.727011696418</v>
      </c>
      <c r="C4564" s="3">
        <v>-1.14620262434234</v>
      </c>
      <c r="D4564" s="3">
        <v>0.28151489548981901</v>
      </c>
      <c r="E4564" s="3">
        <v>-4.0715523146582404</v>
      </c>
      <c r="F4564" s="4">
        <v>4.67008707181354E-5</v>
      </c>
      <c r="G4564" s="3">
        <v>4.1248609652903601E-4</v>
      </c>
      <c r="H4564" s="3" t="str">
        <f>"SCML2"</f>
        <v>SCML2</v>
      </c>
      <c r="I4564" s="3" t="str">
        <f t="shared" si="184"/>
        <v>protein_coding</v>
      </c>
    </row>
    <row r="4565" spans="1:9" x14ac:dyDescent="0.2">
      <c r="A4565" s="3" t="str">
        <f>"ENSG00000180815.14"</f>
        <v>ENSG00000180815.14</v>
      </c>
      <c r="B4565" s="3">
        <v>533.66530005443201</v>
      </c>
      <c r="C4565" s="3">
        <v>1.27441827331367</v>
      </c>
      <c r="D4565" s="3">
        <v>0.28846368457475702</v>
      </c>
      <c r="E4565" s="3">
        <v>4.4179504785580601</v>
      </c>
      <c r="F4565" s="4">
        <v>9.9641242444221895E-6</v>
      </c>
      <c r="G4565" s="3">
        <v>1.02071510424966E-4</v>
      </c>
      <c r="H4565" s="3" t="str">
        <f>"MAP3K15"</f>
        <v>MAP3K15</v>
      </c>
      <c r="I4565" s="3" t="str">
        <f t="shared" si="184"/>
        <v>protein_coding</v>
      </c>
    </row>
    <row r="4566" spans="1:9" x14ac:dyDescent="0.2">
      <c r="A4566" s="3" t="str">
        <f>"ENSG00000173681.16"</f>
        <v>ENSG00000173681.16</v>
      </c>
      <c r="B4566" s="3">
        <v>869.70806673091704</v>
      </c>
      <c r="C4566" s="3">
        <v>1.20671196955599</v>
      </c>
      <c r="D4566" s="3">
        <v>0.30127704971115499</v>
      </c>
      <c r="E4566" s="3">
        <v>4.0053232422214204</v>
      </c>
      <c r="F4566" s="4">
        <v>6.1932731115237202E-5</v>
      </c>
      <c r="G4566" s="3">
        <v>5.3207576885375401E-4</v>
      </c>
      <c r="H4566" s="3" t="str">
        <f>"BCLAF3"</f>
        <v>BCLAF3</v>
      </c>
      <c r="I4566" s="3" t="str">
        <f t="shared" si="184"/>
        <v>protein_coding</v>
      </c>
    </row>
    <row r="4567" spans="1:9" x14ac:dyDescent="0.2">
      <c r="A4567" s="3" t="str">
        <f>"ENSG00000184368.16"</f>
        <v>ENSG00000184368.16</v>
      </c>
      <c r="B4567" s="3">
        <v>813.32837927597097</v>
      </c>
      <c r="C4567" s="3">
        <v>-1.20779362765433</v>
      </c>
      <c r="D4567" s="3">
        <v>0.26391572573109501</v>
      </c>
      <c r="E4567" s="3">
        <v>-4.57643675574284</v>
      </c>
      <c r="F4567" s="4">
        <v>4.7296260358213298E-6</v>
      </c>
      <c r="G4567" s="4">
        <v>5.2135733098635198E-5</v>
      </c>
      <c r="H4567" s="3" t="str">
        <f>"MAP7D2"</f>
        <v>MAP7D2</v>
      </c>
      <c r="I4567" s="3" t="str">
        <f t="shared" si="184"/>
        <v>protein_coding</v>
      </c>
    </row>
    <row r="4568" spans="1:9" x14ac:dyDescent="0.2">
      <c r="A4568" s="3" t="str">
        <f>"ENSG00000173674.11"</f>
        <v>ENSG00000173674.11</v>
      </c>
      <c r="B4568" s="3">
        <v>4939.3506772648398</v>
      </c>
      <c r="C4568" s="3">
        <v>-1.0641970211890399</v>
      </c>
      <c r="D4568" s="3">
        <v>0.24180271955475999</v>
      </c>
      <c r="E4568" s="3">
        <v>-4.4010961628081802</v>
      </c>
      <c r="F4568" s="4">
        <v>1.0770537464692799E-5</v>
      </c>
      <c r="G4568" s="3">
        <v>1.09335298597396E-4</v>
      </c>
      <c r="H4568" s="3" t="str">
        <f>"EIF1AX"</f>
        <v>EIF1AX</v>
      </c>
      <c r="I4568" s="3" t="str">
        <f t="shared" si="184"/>
        <v>protein_coding</v>
      </c>
    </row>
    <row r="4569" spans="1:9" x14ac:dyDescent="0.2">
      <c r="A4569" s="3" t="str">
        <f>"ENSG00000102172.16"</f>
        <v>ENSG00000102172.16</v>
      </c>
      <c r="B4569" s="3">
        <v>3143.5382096959402</v>
      </c>
      <c r="C4569" s="3">
        <v>-1.2305965987346299</v>
      </c>
      <c r="D4569" s="3">
        <v>0.23781756280434499</v>
      </c>
      <c r="E4569" s="3">
        <v>-5.1745404511905697</v>
      </c>
      <c r="F4569" s="4">
        <v>2.2847260976578501E-7</v>
      </c>
      <c r="G4569" s="4">
        <v>3.2251562843200398E-6</v>
      </c>
      <c r="H4569" s="3" t="str">
        <f>"SMS"</f>
        <v>SMS</v>
      </c>
      <c r="I4569" s="3" t="str">
        <f t="shared" si="184"/>
        <v>protein_coding</v>
      </c>
    </row>
    <row r="4570" spans="1:9" x14ac:dyDescent="0.2">
      <c r="A4570" s="3" t="str">
        <f>"ENSG00000184831.13"</f>
        <v>ENSG00000184831.13</v>
      </c>
      <c r="B4570" s="3">
        <v>399.90672790612803</v>
      </c>
      <c r="C4570" s="3">
        <v>1.11170030262372</v>
      </c>
      <c r="D4570" s="3">
        <v>0.309698204363965</v>
      </c>
      <c r="E4570" s="3">
        <v>3.58962463120135</v>
      </c>
      <c r="F4570" s="3">
        <v>3.31154475281873E-4</v>
      </c>
      <c r="G4570" s="3">
        <v>2.3360041575197698E-3</v>
      </c>
      <c r="H4570" s="3" t="str">
        <f>"APOO"</f>
        <v>APOO</v>
      </c>
      <c r="I4570" s="3" t="str">
        <f t="shared" si="184"/>
        <v>protein_coding</v>
      </c>
    </row>
    <row r="4571" spans="1:9" x14ac:dyDescent="0.2">
      <c r="A4571" s="3" t="str">
        <f>"ENSG00000101868.10"</f>
        <v>ENSG00000101868.10</v>
      </c>
      <c r="B4571" s="3">
        <v>1646.48128625303</v>
      </c>
      <c r="C4571" s="3">
        <v>-1.2916287067249199</v>
      </c>
      <c r="D4571" s="3">
        <v>0.266156524017306</v>
      </c>
      <c r="E4571" s="3">
        <v>-4.8528914010048503</v>
      </c>
      <c r="F4571" s="4">
        <v>1.2167432751243799E-6</v>
      </c>
      <c r="G4571" s="4">
        <v>1.48795221612803E-5</v>
      </c>
      <c r="H4571" s="3" t="str">
        <f>"POLA1"</f>
        <v>POLA1</v>
      </c>
      <c r="I4571" s="3" t="str">
        <f t="shared" si="184"/>
        <v>protein_coding</v>
      </c>
    </row>
    <row r="4572" spans="1:9" x14ac:dyDescent="0.2">
      <c r="A4572" s="3" t="str">
        <f>"ENSG00000176746.6"</f>
        <v>ENSG00000176746.6</v>
      </c>
      <c r="B4572" s="3">
        <v>14.472265090247999</v>
      </c>
      <c r="C4572" s="3">
        <v>2.3676951872547098</v>
      </c>
      <c r="D4572" s="3">
        <v>0.92849895624455603</v>
      </c>
      <c r="E4572" s="3">
        <v>2.5500246083540898</v>
      </c>
      <c r="F4572" s="3">
        <v>1.0771531565980401E-2</v>
      </c>
      <c r="G4572" s="3">
        <v>4.4920072371060403E-2</v>
      </c>
      <c r="H4572" s="3" t="str">
        <f>"MAGEB6"</f>
        <v>MAGEB6</v>
      </c>
      <c r="I4572" s="3" t="str">
        <f t="shared" si="184"/>
        <v>protein_coding</v>
      </c>
    </row>
    <row r="4573" spans="1:9" x14ac:dyDescent="0.2">
      <c r="A4573" s="3" t="str">
        <f>"ENSG00000157625.15"</f>
        <v>ENSG00000157625.15</v>
      </c>
      <c r="B4573" s="3">
        <v>5696.0048993484697</v>
      </c>
      <c r="C4573" s="3">
        <v>1.52480480550644</v>
      </c>
      <c r="D4573" s="3">
        <v>0.24531580383290499</v>
      </c>
      <c r="E4573" s="3">
        <v>6.2156811003707402</v>
      </c>
      <c r="F4573" s="4">
        <v>5.1102495959506203E-10</v>
      </c>
      <c r="G4573" s="4">
        <v>1.0847960218239501E-8</v>
      </c>
      <c r="H4573" s="3" t="str">
        <f>"TAB3"</f>
        <v>TAB3</v>
      </c>
      <c r="I4573" s="3" t="str">
        <f t="shared" si="184"/>
        <v>protein_coding</v>
      </c>
    </row>
    <row r="4574" spans="1:9" x14ac:dyDescent="0.2">
      <c r="A4574" s="3" t="str">
        <f>"ENSG00000198947.15"</f>
        <v>ENSG00000198947.15</v>
      </c>
      <c r="B4574" s="3">
        <v>1874.3885806866499</v>
      </c>
      <c r="C4574" s="3">
        <v>1.0591102887933801</v>
      </c>
      <c r="D4574" s="3">
        <v>0.24951795892918299</v>
      </c>
      <c r="E4574" s="3">
        <v>4.24462549044003</v>
      </c>
      <c r="F4574" s="4">
        <v>2.1895880504023001E-5</v>
      </c>
      <c r="G4574" s="3">
        <v>2.0776721013907899E-4</v>
      </c>
      <c r="H4574" s="3" t="str">
        <f>"DMD"</f>
        <v>DMD</v>
      </c>
      <c r="I4574" s="3" t="str">
        <f t="shared" si="184"/>
        <v>protein_coding</v>
      </c>
    </row>
    <row r="4575" spans="1:9" x14ac:dyDescent="0.2">
      <c r="A4575" s="3" t="str">
        <f>"ENSG00000130962.17"</f>
        <v>ENSG00000130962.17</v>
      </c>
      <c r="B4575" s="3">
        <v>744.36444390488998</v>
      </c>
      <c r="C4575" s="3">
        <v>1.10054780997431</v>
      </c>
      <c r="D4575" s="3">
        <v>0.27918284770179402</v>
      </c>
      <c r="E4575" s="3">
        <v>3.9420323240983901</v>
      </c>
      <c r="F4575" s="4">
        <v>8.0794084575593395E-5</v>
      </c>
      <c r="G4575" s="3">
        <v>6.7208174520471298E-4</v>
      </c>
      <c r="H4575" s="3" t="str">
        <f>"PRRG1"</f>
        <v>PRRG1</v>
      </c>
      <c r="I4575" s="3" t="str">
        <f t="shared" si="184"/>
        <v>protein_coding</v>
      </c>
    </row>
    <row r="4576" spans="1:9" x14ac:dyDescent="0.2">
      <c r="A4576" s="3" t="str">
        <f>"ENSG00000182220.14"</f>
        <v>ENSG00000182220.14</v>
      </c>
      <c r="B4576" s="3">
        <v>3858.51828698486</v>
      </c>
      <c r="C4576" s="3">
        <v>1.14745122168876</v>
      </c>
      <c r="D4576" s="3">
        <v>0.249717230978695</v>
      </c>
      <c r="E4576" s="3">
        <v>4.5950021838367201</v>
      </c>
      <c r="F4576" s="4">
        <v>4.3274473646002403E-6</v>
      </c>
      <c r="G4576" s="4">
        <v>4.8230810126946901E-5</v>
      </c>
      <c r="H4576" s="3" t="str">
        <f>"ATP6AP2"</f>
        <v>ATP6AP2</v>
      </c>
      <c r="I4576" s="3" t="str">
        <f t="shared" si="184"/>
        <v>protein_coding</v>
      </c>
    </row>
    <row r="4577" spans="1:9" x14ac:dyDescent="0.2">
      <c r="A4577" s="3" t="str">
        <f>"ENSG00000147044.21"</f>
        <v>ENSG00000147044.21</v>
      </c>
      <c r="B4577" s="3">
        <v>1789.87060301823</v>
      </c>
      <c r="C4577" s="3">
        <v>1.68158956485924</v>
      </c>
      <c r="D4577" s="3">
        <v>0.25705305402137801</v>
      </c>
      <c r="E4577" s="3">
        <v>6.5417995956561699</v>
      </c>
      <c r="F4577" s="4">
        <v>6.0782920045613105E-11</v>
      </c>
      <c r="G4577" s="4">
        <v>1.43298439901349E-9</v>
      </c>
      <c r="H4577" s="3" t="str">
        <f>"CASK"</f>
        <v>CASK</v>
      </c>
      <c r="I4577" s="3" t="str">
        <f t="shared" si="184"/>
        <v>protein_coding</v>
      </c>
    </row>
    <row r="4578" spans="1:9" x14ac:dyDescent="0.2">
      <c r="A4578" s="3" t="str">
        <f>"ENSG00000217624.2"</f>
        <v>ENSG00000217624.2</v>
      </c>
      <c r="B4578" s="3">
        <v>27.4634739243212</v>
      </c>
      <c r="C4578" s="3">
        <v>1.8402782366889601</v>
      </c>
      <c r="D4578" s="3">
        <v>0.71199868781287801</v>
      </c>
      <c r="E4578" s="3">
        <v>2.58466520822101</v>
      </c>
      <c r="F4578" s="3">
        <v>9.7473594122176408E-3</v>
      </c>
      <c r="G4578" s="3">
        <v>4.13621501373709E-2</v>
      </c>
      <c r="H4578" s="3" t="str">
        <f>"AL627402.1"</f>
        <v>AL627402.1</v>
      </c>
      <c r="I4578" s="3" t="str">
        <f>"processed_pseudogene"</f>
        <v>processed_pseudogene</v>
      </c>
    </row>
    <row r="4579" spans="1:9" x14ac:dyDescent="0.2">
      <c r="A4579" s="3" t="str">
        <f>"ENSG00000251807.1"</f>
        <v>ENSG00000251807.1</v>
      </c>
      <c r="B4579" s="3">
        <v>36.1084716761398</v>
      </c>
      <c r="C4579" s="3">
        <v>2.4507766735117298</v>
      </c>
      <c r="D4579" s="3">
        <v>0.65689348857073704</v>
      </c>
      <c r="E4579" s="3">
        <v>3.73085852752796</v>
      </c>
      <c r="F4579" s="3">
        <v>1.9082836537272601E-4</v>
      </c>
      <c r="G4579" s="3">
        <v>1.43420601462532E-3</v>
      </c>
      <c r="H4579" s="3" t="str">
        <f>"RNU6-202P"</f>
        <v>RNU6-202P</v>
      </c>
      <c r="I4579" s="3" t="str">
        <f>"snRNA"</f>
        <v>snRNA</v>
      </c>
    </row>
    <row r="4580" spans="1:9" x14ac:dyDescent="0.2">
      <c r="A4580" s="3" t="str">
        <f>"ENSG00000224294.1"</f>
        <v>ENSG00000224294.1</v>
      </c>
      <c r="B4580" s="3">
        <v>748.25312673997996</v>
      </c>
      <c r="C4580" s="3">
        <v>13.0656142992674</v>
      </c>
      <c r="D4580" s="3">
        <v>1.4736065461714101</v>
      </c>
      <c r="E4580" s="3">
        <v>8.8664198277439308</v>
      </c>
      <c r="F4580" s="4">
        <v>7.5535283166639005E-19</v>
      </c>
      <c r="G4580" s="4">
        <v>3.74771212634478E-17</v>
      </c>
      <c r="H4580" s="3" t="str">
        <f>"PINCR"</f>
        <v>PINCR</v>
      </c>
      <c r="I4580" s="3" t="str">
        <f>"lincRNA"</f>
        <v>lincRNA</v>
      </c>
    </row>
    <row r="4581" spans="1:9" x14ac:dyDescent="0.2">
      <c r="A4581" s="3" t="str">
        <f>"ENSG00000285899.1"</f>
        <v>ENSG00000285899.1</v>
      </c>
      <c r="B4581" s="3">
        <v>37.637223984421396</v>
      </c>
      <c r="C4581" s="3">
        <v>6.2926942570445297</v>
      </c>
      <c r="D4581" s="3">
        <v>1.1707993068573701</v>
      </c>
      <c r="E4581" s="3">
        <v>5.3746993359051602</v>
      </c>
      <c r="F4581" s="4">
        <v>7.6710576981377907E-8</v>
      </c>
      <c r="G4581" s="4">
        <v>1.16948761452519E-6</v>
      </c>
      <c r="H4581" s="3" t="str">
        <f>"AL023574.1"</f>
        <v>AL023574.1</v>
      </c>
      <c r="I4581" s="3" t="str">
        <f>"lincRNA"</f>
        <v>lincRNA</v>
      </c>
    </row>
    <row r="4582" spans="1:9" x14ac:dyDescent="0.2">
      <c r="A4582" s="3" t="str">
        <f>"ENSG00000270069.1"</f>
        <v>ENSG00000270069.1</v>
      </c>
      <c r="B4582" s="3">
        <v>437.27889774799098</v>
      </c>
      <c r="C4582" s="3">
        <v>1.4293264600170199</v>
      </c>
      <c r="D4582" s="3">
        <v>0.33062798805495403</v>
      </c>
      <c r="E4582" s="3">
        <v>4.3230655348495501</v>
      </c>
      <c r="F4582" s="4">
        <v>1.53876000419154E-5</v>
      </c>
      <c r="G4582" s="3">
        <v>1.5108316902981401E-4</v>
      </c>
      <c r="H4582" s="3" t="str">
        <f>"MIR222HG"</f>
        <v>MIR222HG</v>
      </c>
      <c r="I4582" s="3" t="str">
        <f>"lincRNA"</f>
        <v>lincRNA</v>
      </c>
    </row>
    <row r="4583" spans="1:9" x14ac:dyDescent="0.2">
      <c r="A4583" s="3" t="str">
        <f>"ENSG00000269902.1"</f>
        <v>ENSG00000269902.1</v>
      </c>
      <c r="B4583" s="3">
        <v>103.01053194591</v>
      </c>
      <c r="C4583" s="3">
        <v>1.7906878938261399</v>
      </c>
      <c r="D4583" s="3">
        <v>0.45284233147938502</v>
      </c>
      <c r="E4583" s="3">
        <v>3.9543297287958099</v>
      </c>
      <c r="F4583" s="4">
        <v>7.6749505938819506E-5</v>
      </c>
      <c r="G4583" s="3">
        <v>6.4247381760099999E-4</v>
      </c>
      <c r="H4583" s="3" t="str">
        <f>"AC234772.2"</f>
        <v>AC234772.2</v>
      </c>
      <c r="I4583" s="3" t="str">
        <f>"lincRNA"</f>
        <v>lincRNA</v>
      </c>
    </row>
    <row r="4584" spans="1:9" x14ac:dyDescent="0.2">
      <c r="A4584" s="3" t="str">
        <f>"ENSG00000230844.2"</f>
        <v>ENSG00000230844.2</v>
      </c>
      <c r="B4584" s="3">
        <v>144.669689790832</v>
      </c>
      <c r="C4584" s="3">
        <v>-1.1167301716804201</v>
      </c>
      <c r="D4584" s="3">
        <v>0.36168904659333501</v>
      </c>
      <c r="E4584" s="3">
        <v>-3.0875421365358999</v>
      </c>
      <c r="F4584" s="3">
        <v>2.0181915758324198E-3</v>
      </c>
      <c r="G4584" s="3">
        <v>1.10316403933213E-2</v>
      </c>
      <c r="H4584" s="3" t="str">
        <f>"ZNF674-AS1"</f>
        <v>ZNF674-AS1</v>
      </c>
      <c r="I4584" s="3" t="str">
        <f>"lincRNA"</f>
        <v>lincRNA</v>
      </c>
    </row>
    <row r="4585" spans="1:9" x14ac:dyDescent="0.2">
      <c r="A4585" s="3" t="str">
        <f>"ENSG00000008056.14"</f>
        <v>ENSG00000008056.14</v>
      </c>
      <c r="B4585" s="3">
        <v>30.626780505455201</v>
      </c>
      <c r="C4585" s="3">
        <v>4.9509830124230696</v>
      </c>
      <c r="D4585" s="3">
        <v>0.94478804438247099</v>
      </c>
      <c r="E4585" s="3">
        <v>5.2403108208880003</v>
      </c>
      <c r="F4585" s="4">
        <v>1.6030635417094501E-7</v>
      </c>
      <c r="G4585" s="4">
        <v>2.3295819405951002E-6</v>
      </c>
      <c r="H4585" s="3" t="str">
        <f>"SYN1"</f>
        <v>SYN1</v>
      </c>
      <c r="I4585" s="3" t="str">
        <f t="shared" ref="I4585:I4595" si="185">"protein_coding"</f>
        <v>protein_coding</v>
      </c>
    </row>
    <row r="4586" spans="1:9" x14ac:dyDescent="0.2">
      <c r="A4586" s="3" t="str">
        <f>"ENSG00000126767.18"</f>
        <v>ENSG00000126767.18</v>
      </c>
      <c r="B4586" s="3">
        <v>270.49007849644698</v>
      </c>
      <c r="C4586" s="3">
        <v>1.25807013149284</v>
      </c>
      <c r="D4586" s="3">
        <v>0.31487585980974703</v>
      </c>
      <c r="E4586" s="3">
        <v>3.9954480227636</v>
      </c>
      <c r="F4586" s="4">
        <v>6.4572023427243101E-5</v>
      </c>
      <c r="G4586" s="3">
        <v>5.5154813219433004E-4</v>
      </c>
      <c r="H4586" s="3" t="str">
        <f>"ELK1"</f>
        <v>ELK1</v>
      </c>
      <c r="I4586" s="3" t="str">
        <f t="shared" si="185"/>
        <v>protein_coding</v>
      </c>
    </row>
    <row r="4587" spans="1:9" x14ac:dyDescent="0.2">
      <c r="A4587" s="3" t="str">
        <f>"ENSG00000102312.21"</f>
        <v>ENSG00000102312.21</v>
      </c>
      <c r="B4587" s="3">
        <v>284.40463349710001</v>
      </c>
      <c r="C4587" s="3">
        <v>2.0822755545139802</v>
      </c>
      <c r="D4587" s="3">
        <v>0.34683636248293698</v>
      </c>
      <c r="E4587" s="3">
        <v>6.00362528198416</v>
      </c>
      <c r="F4587" s="4">
        <v>1.9295974725841599E-9</v>
      </c>
      <c r="G4587" s="4">
        <v>3.7510838039300303E-8</v>
      </c>
      <c r="H4587" s="3" t="str">
        <f>"PORCN"</f>
        <v>PORCN</v>
      </c>
      <c r="I4587" s="3" t="str">
        <f t="shared" si="185"/>
        <v>protein_coding</v>
      </c>
    </row>
    <row r="4588" spans="1:9" x14ac:dyDescent="0.2">
      <c r="A4588" s="3" t="str">
        <f>"ENSG00000147155.11"</f>
        <v>ENSG00000147155.11</v>
      </c>
      <c r="B4588" s="3">
        <v>659.45493582552206</v>
      </c>
      <c r="C4588" s="3">
        <v>-1.14043529780285</v>
      </c>
      <c r="D4588" s="3">
        <v>0.29597342160343998</v>
      </c>
      <c r="E4588" s="3">
        <v>-3.8531679352305499</v>
      </c>
      <c r="F4588" s="3">
        <v>1.1659935945169801E-4</v>
      </c>
      <c r="G4588" s="3">
        <v>9.2994828376901501E-4</v>
      </c>
      <c r="H4588" s="3" t="str">
        <f>"EBP"</f>
        <v>EBP</v>
      </c>
      <c r="I4588" s="3" t="str">
        <f t="shared" si="185"/>
        <v>protein_coding</v>
      </c>
    </row>
    <row r="4589" spans="1:9" x14ac:dyDescent="0.2">
      <c r="A4589" s="3" t="str">
        <f>"ENSG00000101945.16"</f>
        <v>ENSG00000101945.16</v>
      </c>
      <c r="B4589" s="3">
        <v>477.67290514671498</v>
      </c>
      <c r="C4589" s="3">
        <v>-1.0041036668735901</v>
      </c>
      <c r="D4589" s="3">
        <v>0.33773426725703098</v>
      </c>
      <c r="E4589" s="3">
        <v>-2.9730583012159202</v>
      </c>
      <c r="F4589" s="3">
        <v>2.9484844022095299E-3</v>
      </c>
      <c r="G4589" s="3">
        <v>1.51985912167174E-2</v>
      </c>
      <c r="H4589" s="3" t="str">
        <f>"SUV39H1"</f>
        <v>SUV39H1</v>
      </c>
      <c r="I4589" s="3" t="str">
        <f t="shared" si="185"/>
        <v>protein_coding</v>
      </c>
    </row>
    <row r="4590" spans="1:9" x14ac:dyDescent="0.2">
      <c r="A4590" s="3" t="str">
        <f>"ENSG00000102007.11"</f>
        <v>ENSG00000102007.11</v>
      </c>
      <c r="B4590" s="3">
        <v>8.6985067051800904</v>
      </c>
      <c r="C4590" s="3">
        <v>6.6409846725721904</v>
      </c>
      <c r="D4590" s="3">
        <v>1.8024575719572999</v>
      </c>
      <c r="E4590" s="3">
        <v>3.6844055449031798</v>
      </c>
      <c r="F4590" s="3">
        <v>2.29237012279008E-4</v>
      </c>
      <c r="G4590" s="3">
        <v>1.68659170631133E-3</v>
      </c>
      <c r="H4590" s="3" t="str">
        <f>"PLP2"</f>
        <v>PLP2</v>
      </c>
      <c r="I4590" s="3" t="str">
        <f t="shared" si="185"/>
        <v>protein_coding</v>
      </c>
    </row>
    <row r="4591" spans="1:9" x14ac:dyDescent="0.2">
      <c r="A4591" s="3" t="str">
        <f>"ENSG00000171365.17"</f>
        <v>ENSG00000171365.17</v>
      </c>
      <c r="B4591" s="3">
        <v>2254.73909892952</v>
      </c>
      <c r="C4591" s="3">
        <v>-1.7143356004427399</v>
      </c>
      <c r="D4591" s="3">
        <v>0.248783911889703</v>
      </c>
      <c r="E4591" s="3">
        <v>-6.8908619830802502</v>
      </c>
      <c r="F4591" s="4">
        <v>5.5455322537805601E-12</v>
      </c>
      <c r="G4591" s="4">
        <v>1.47305030458131E-10</v>
      </c>
      <c r="H4591" s="3" t="str">
        <f>"CLCN5"</f>
        <v>CLCN5</v>
      </c>
      <c r="I4591" s="3" t="str">
        <f t="shared" si="185"/>
        <v>protein_coding</v>
      </c>
    </row>
    <row r="4592" spans="1:9" x14ac:dyDescent="0.2">
      <c r="A4592" s="3" t="str">
        <f>"ENSG00000184205.14"</f>
        <v>ENSG00000184205.14</v>
      </c>
      <c r="B4592" s="3">
        <v>1233.7926809621999</v>
      </c>
      <c r="C4592" s="3">
        <v>-1.7507147505851399</v>
      </c>
      <c r="D4592" s="3">
        <v>0.26836335100059</v>
      </c>
      <c r="E4592" s="3">
        <v>-6.52367301294165</v>
      </c>
      <c r="F4592" s="4">
        <v>6.8606190579039102E-11</v>
      </c>
      <c r="G4592" s="4">
        <v>1.6038928661856201E-9</v>
      </c>
      <c r="H4592" s="3" t="str">
        <f>"TSPYL2"</f>
        <v>TSPYL2</v>
      </c>
      <c r="I4592" s="3" t="str">
        <f t="shared" si="185"/>
        <v>protein_coding</v>
      </c>
    </row>
    <row r="4593" spans="1:9" x14ac:dyDescent="0.2">
      <c r="A4593" s="3" t="str">
        <f>"ENSG00000196632.10"</f>
        <v>ENSG00000196632.10</v>
      </c>
      <c r="B4593" s="3">
        <v>89.613797725206695</v>
      </c>
      <c r="C4593" s="3">
        <v>-1.1682570407533299</v>
      </c>
      <c r="D4593" s="3">
        <v>0.45177462669424401</v>
      </c>
      <c r="E4593" s="3">
        <v>-2.5859288497492101</v>
      </c>
      <c r="F4593" s="3">
        <v>9.7116975584764492E-3</v>
      </c>
      <c r="G4593" s="3">
        <v>4.1231688115354499E-2</v>
      </c>
      <c r="H4593" s="3" t="str">
        <f>"WNK3"</f>
        <v>WNK3</v>
      </c>
      <c r="I4593" s="3" t="str">
        <f t="shared" si="185"/>
        <v>protein_coding</v>
      </c>
    </row>
    <row r="4594" spans="1:9" x14ac:dyDescent="0.2">
      <c r="A4594" s="3" t="str">
        <f>"ENSG00000067445.20"</f>
        <v>ENSG00000067445.20</v>
      </c>
      <c r="B4594" s="3">
        <v>582.01609966316801</v>
      </c>
      <c r="C4594" s="3">
        <v>-1.6252650844412999</v>
      </c>
      <c r="D4594" s="3">
        <v>0.32672636339345301</v>
      </c>
      <c r="E4594" s="3">
        <v>-4.9743922331853998</v>
      </c>
      <c r="F4594" s="4">
        <v>6.5452663498747005E-7</v>
      </c>
      <c r="G4594" s="4">
        <v>8.5088462548371108E-6</v>
      </c>
      <c r="H4594" s="3" t="str">
        <f>"TRO"</f>
        <v>TRO</v>
      </c>
      <c r="I4594" s="3" t="str">
        <f t="shared" si="185"/>
        <v>protein_coding</v>
      </c>
    </row>
    <row r="4595" spans="1:9" x14ac:dyDescent="0.2">
      <c r="A4595" s="3" t="str">
        <f>"ENSG00000165591.6"</f>
        <v>ENSG00000165591.6</v>
      </c>
      <c r="B4595" s="3">
        <v>48.523275797374403</v>
      </c>
      <c r="C4595" s="3">
        <v>-1.41506659907416</v>
      </c>
      <c r="D4595" s="3">
        <v>0.52255839943567195</v>
      </c>
      <c r="E4595" s="3">
        <v>-2.7079587671011298</v>
      </c>
      <c r="F4595" s="3">
        <v>6.7698432682876397E-3</v>
      </c>
      <c r="G4595" s="3">
        <v>3.04261939277784E-2</v>
      </c>
      <c r="H4595" s="3" t="str">
        <f>"FAAH2"</f>
        <v>FAAH2</v>
      </c>
      <c r="I4595" s="3" t="str">
        <f t="shared" si="185"/>
        <v>protein_coding</v>
      </c>
    </row>
    <row r="4596" spans="1:9" x14ac:dyDescent="0.2">
      <c r="A4596" s="3" t="str">
        <f>"ENSG00000226010.1"</f>
        <v>ENSG00000226010.1</v>
      </c>
      <c r="B4596" s="3">
        <v>19.8645736228308</v>
      </c>
      <c r="C4596" s="3">
        <v>3.7322687824349199</v>
      </c>
      <c r="D4596" s="3">
        <v>0.96483506059690705</v>
      </c>
      <c r="E4596" s="3">
        <v>3.8682972197609602</v>
      </c>
      <c r="F4596" s="3">
        <v>1.09598025041284E-4</v>
      </c>
      <c r="G4596" s="3">
        <v>8.8094573522476101E-4</v>
      </c>
      <c r="H4596" s="3" t="str">
        <f>"AL355852.1"</f>
        <v>AL355852.1</v>
      </c>
      <c r="I4596" s="3" t="str">
        <f>"processed_pseudogene"</f>
        <v>processed_pseudogene</v>
      </c>
    </row>
    <row r="4597" spans="1:9" x14ac:dyDescent="0.2">
      <c r="A4597" s="3" t="str">
        <f>"ENSG00000131080.15"</f>
        <v>ENSG00000131080.15</v>
      </c>
      <c r="B4597" s="3">
        <v>1476.8975381331099</v>
      </c>
      <c r="C4597" s="3">
        <v>10.6141331631183</v>
      </c>
      <c r="D4597" s="3">
        <v>0.76804484985069998</v>
      </c>
      <c r="E4597" s="3">
        <v>13.8196788445122</v>
      </c>
      <c r="F4597" s="4">
        <v>1.9393311846103798E-43</v>
      </c>
      <c r="G4597" s="4">
        <v>3.81124030850579E-41</v>
      </c>
      <c r="H4597" s="3" t="str">
        <f>"EDA2R"</f>
        <v>EDA2R</v>
      </c>
      <c r="I4597" s="3" t="str">
        <f>"protein_coding"</f>
        <v>protein_coding</v>
      </c>
    </row>
    <row r="4598" spans="1:9" x14ac:dyDescent="0.2">
      <c r="A4598" s="3" t="str">
        <f>"ENSG00000079482.13"</f>
        <v>ENSG00000079482.13</v>
      </c>
      <c r="B4598" s="3">
        <v>116.476057771851</v>
      </c>
      <c r="C4598" s="3">
        <v>-1.3640221392013201</v>
      </c>
      <c r="D4598" s="3">
        <v>0.392543722288348</v>
      </c>
      <c r="E4598" s="3">
        <v>-3.4748285649550099</v>
      </c>
      <c r="F4598" s="3">
        <v>5.1117992413738495E-4</v>
      </c>
      <c r="G4598" s="3">
        <v>3.4068932727412899E-3</v>
      </c>
      <c r="H4598" s="3" t="str">
        <f>"OPHN1"</f>
        <v>OPHN1</v>
      </c>
      <c r="I4598" s="3" t="str">
        <f>"protein_coding"</f>
        <v>protein_coding</v>
      </c>
    </row>
    <row r="4599" spans="1:9" x14ac:dyDescent="0.2">
      <c r="A4599" s="3" t="str">
        <f>"ENSG00000090776.6"</f>
        <v>ENSG00000090776.6</v>
      </c>
      <c r="B4599" s="3">
        <v>1863.3116639623099</v>
      </c>
      <c r="C4599" s="3">
        <v>4.0700481431486999</v>
      </c>
      <c r="D4599" s="3">
        <v>0.27452995514337503</v>
      </c>
      <c r="E4599" s="3">
        <v>14.825515638259199</v>
      </c>
      <c r="F4599" s="4">
        <v>1.00207460553961E-49</v>
      </c>
      <c r="G4599" s="4">
        <v>2.6257486148280201E-47</v>
      </c>
      <c r="H4599" s="3" t="str">
        <f>"EFNB1"</f>
        <v>EFNB1</v>
      </c>
      <c r="I4599" s="3" t="str">
        <f>"protein_coding"</f>
        <v>protein_coding</v>
      </c>
    </row>
    <row r="4600" spans="1:9" x14ac:dyDescent="0.2">
      <c r="A4600" s="3" t="str">
        <f>"ENSG00000130054.4"</f>
        <v>ENSG00000130054.4</v>
      </c>
      <c r="B4600" s="3">
        <v>347.05351651892101</v>
      </c>
      <c r="C4600" s="3">
        <v>-1.0031331621719299</v>
      </c>
      <c r="D4600" s="3">
        <v>0.30668778405959302</v>
      </c>
      <c r="E4600" s="3">
        <v>-3.2708611634071798</v>
      </c>
      <c r="F4600" s="3">
        <v>1.0722053500082499E-3</v>
      </c>
      <c r="G4600" s="3">
        <v>6.4757084224387803E-3</v>
      </c>
      <c r="H4600" s="3" t="str">
        <f>"FAM155B"</f>
        <v>FAM155B</v>
      </c>
      <c r="I4600" s="3" t="str">
        <f>"protein_coding"</f>
        <v>protein_coding</v>
      </c>
    </row>
    <row r="4601" spans="1:9" x14ac:dyDescent="0.2">
      <c r="A4601" s="3" t="str">
        <f>"ENSG00000158813.18"</f>
        <v>ENSG00000158813.18</v>
      </c>
      <c r="B4601" s="3">
        <v>1052.2923255829201</v>
      </c>
      <c r="C4601" s="3">
        <v>1.5130853430233999</v>
      </c>
      <c r="D4601" s="3">
        <v>0.25601352743807299</v>
      </c>
      <c r="E4601" s="3">
        <v>5.9101773182255002</v>
      </c>
      <c r="F4601" s="4">
        <v>3.41739665411883E-9</v>
      </c>
      <c r="G4601" s="4">
        <v>6.46836815909399E-8</v>
      </c>
      <c r="H4601" s="3" t="str">
        <f>"EDA"</f>
        <v>EDA</v>
      </c>
      <c r="I4601" s="3" t="str">
        <f>"protein_coding"</f>
        <v>protein_coding</v>
      </c>
    </row>
    <row r="4602" spans="1:9" x14ac:dyDescent="0.2">
      <c r="A4602" s="3" t="str">
        <f>"ENSG00000212434.2"</f>
        <v>ENSG00000212434.2</v>
      </c>
      <c r="B4602" s="3">
        <v>37.560139766031703</v>
      </c>
      <c r="C4602" s="3">
        <v>1.5637769383150799</v>
      </c>
      <c r="D4602" s="3">
        <v>0.61868788256209495</v>
      </c>
      <c r="E4602" s="3">
        <v>2.5275700112942299</v>
      </c>
      <c r="F4602" s="3">
        <v>1.1485492177699E-2</v>
      </c>
      <c r="G4602" s="3">
        <v>4.7348009788597101E-2</v>
      </c>
      <c r="H4602" s="3" t="str">
        <f>"RF00012"</f>
        <v>RF00012</v>
      </c>
      <c r="I4602" s="3" t="str">
        <f>"snoRNA"</f>
        <v>snoRNA</v>
      </c>
    </row>
    <row r="4603" spans="1:9" x14ac:dyDescent="0.2">
      <c r="A4603" s="3" t="str">
        <f>"ENSG00000147168.12"</f>
        <v>ENSG00000147168.12</v>
      </c>
      <c r="B4603" s="3">
        <v>4.9403204550958897</v>
      </c>
      <c r="C4603" s="3">
        <v>-5.6949136281225998</v>
      </c>
      <c r="D4603" s="3">
        <v>2.0186067257992701</v>
      </c>
      <c r="E4603" s="3">
        <v>-2.82121007293666</v>
      </c>
      <c r="F4603" s="3">
        <v>4.7842861733309698E-3</v>
      </c>
      <c r="G4603" s="3">
        <v>2.2871288234538299E-2</v>
      </c>
      <c r="H4603" s="3" t="str">
        <f>"IL2RG"</f>
        <v>IL2RG</v>
      </c>
      <c r="I4603" s="3" t="str">
        <f>"protein_coding"</f>
        <v>protein_coding</v>
      </c>
    </row>
    <row r="4604" spans="1:9" x14ac:dyDescent="0.2">
      <c r="A4604" s="3" t="str">
        <f>"ENSG00000242732.4"</f>
        <v>ENSG00000242732.4</v>
      </c>
      <c r="B4604" s="3">
        <v>320.12903176560002</v>
      </c>
      <c r="C4604" s="3">
        <v>3.7368576922600898</v>
      </c>
      <c r="D4604" s="3">
        <v>0.33137776980133898</v>
      </c>
      <c r="E4604" s="3">
        <v>11.2767301635844</v>
      </c>
      <c r="F4604" s="4">
        <v>1.7098378192907499E-29</v>
      </c>
      <c r="G4604" s="4">
        <v>1.68011602907261E-27</v>
      </c>
      <c r="H4604" s="3" t="str">
        <f>"RTL5"</f>
        <v>RTL5</v>
      </c>
      <c r="I4604" s="3" t="str">
        <f>"protein_coding"</f>
        <v>protein_coding</v>
      </c>
    </row>
    <row r="4605" spans="1:9" x14ac:dyDescent="0.2">
      <c r="A4605" s="3" t="str">
        <f>"ENSG00000186462.8"</f>
        <v>ENSG00000186462.8</v>
      </c>
      <c r="B4605" s="3">
        <v>23.021308865083999</v>
      </c>
      <c r="C4605" s="3">
        <v>-2.26912107269361</v>
      </c>
      <c r="D4605" s="3">
        <v>0.77334303088447598</v>
      </c>
      <c r="E4605" s="3">
        <v>-2.9341714893304198</v>
      </c>
      <c r="F4605" s="3">
        <v>3.3443937214941801E-3</v>
      </c>
      <c r="G4605" s="3">
        <v>1.6940842542123601E-2</v>
      </c>
      <c r="H4605" s="3" t="str">
        <f>"NAP1L2"</f>
        <v>NAP1L2</v>
      </c>
      <c r="I4605" s="3" t="str">
        <f>"protein_coding"</f>
        <v>protein_coding</v>
      </c>
    </row>
    <row r="4606" spans="1:9" x14ac:dyDescent="0.2">
      <c r="A4606" s="3" t="str">
        <f>"ENSG00000215105.4"</f>
        <v>ENSG00000215105.4</v>
      </c>
      <c r="B4606" s="3">
        <v>88.008829034884599</v>
      </c>
      <c r="C4606" s="3">
        <v>-1.10591259581752</v>
      </c>
      <c r="D4606" s="3">
        <v>0.42524960637958997</v>
      </c>
      <c r="E4606" s="3">
        <v>-2.6006199164599599</v>
      </c>
      <c r="F4606" s="3">
        <v>9.30554900052462E-3</v>
      </c>
      <c r="G4606" s="3">
        <v>3.97623721943599E-2</v>
      </c>
      <c r="H4606" s="3" t="str">
        <f>"TTC3P1"</f>
        <v>TTC3P1</v>
      </c>
      <c r="I4606" s="3" t="str">
        <f>"processed_pseudogene"</f>
        <v>processed_pseudogene</v>
      </c>
    </row>
    <row r="4607" spans="1:9" x14ac:dyDescent="0.2">
      <c r="A4607" s="3" t="str">
        <f>"ENSG00000165259.14"</f>
        <v>ENSG00000165259.14</v>
      </c>
      <c r="B4607" s="3">
        <v>22.0454642059861</v>
      </c>
      <c r="C4607" s="3">
        <v>-2.5641599864339999</v>
      </c>
      <c r="D4607" s="3">
        <v>0.83566560876421603</v>
      </c>
      <c r="E4607" s="3">
        <v>-3.0684043468366302</v>
      </c>
      <c r="F4607" s="3">
        <v>2.1520521140171302E-3</v>
      </c>
      <c r="G4607" s="3">
        <v>1.16544393817225E-2</v>
      </c>
      <c r="H4607" s="3" t="str">
        <f>"HDX"</f>
        <v>HDX</v>
      </c>
      <c r="I4607" s="3" t="str">
        <f t="shared" ref="I4607:I4639" si="186">"protein_coding"</f>
        <v>protein_coding</v>
      </c>
    </row>
    <row r="4608" spans="1:9" x14ac:dyDescent="0.2">
      <c r="A4608" s="3" t="str">
        <f>"ENSG00000102359.7"</f>
        <v>ENSG00000102359.7</v>
      </c>
      <c r="B4608" s="3">
        <v>137.258086997194</v>
      </c>
      <c r="C4608" s="3">
        <v>-1.4515659305051101</v>
      </c>
      <c r="D4608" s="3">
        <v>0.37220587030973101</v>
      </c>
      <c r="E4608" s="3">
        <v>-3.8999006901669402</v>
      </c>
      <c r="F4608" s="4">
        <v>9.6232152560517302E-5</v>
      </c>
      <c r="G4608" s="3">
        <v>7.8467416455747601E-4</v>
      </c>
      <c r="H4608" s="3" t="str">
        <f>"SRPX2"</f>
        <v>SRPX2</v>
      </c>
      <c r="I4608" s="3" t="str">
        <f t="shared" si="186"/>
        <v>protein_coding</v>
      </c>
    </row>
    <row r="4609" spans="1:9" x14ac:dyDescent="0.2">
      <c r="A4609" s="3" t="str">
        <f>"ENSG00000102362.15"</f>
        <v>ENSG00000102362.15</v>
      </c>
      <c r="B4609" s="3">
        <v>86.5184907807607</v>
      </c>
      <c r="C4609" s="3">
        <v>-1.56995593981118</v>
      </c>
      <c r="D4609" s="3">
        <v>0.42570073198099001</v>
      </c>
      <c r="E4609" s="3">
        <v>-3.6879333810525101</v>
      </c>
      <c r="F4609" s="3">
        <v>2.26082819864405E-4</v>
      </c>
      <c r="G4609" s="3">
        <v>1.66533333343751E-3</v>
      </c>
      <c r="H4609" s="3" t="str">
        <f>"SYTL4"</f>
        <v>SYTL4</v>
      </c>
      <c r="I4609" s="3" t="str">
        <f t="shared" si="186"/>
        <v>protein_coding</v>
      </c>
    </row>
    <row r="4610" spans="1:9" x14ac:dyDescent="0.2">
      <c r="A4610" s="3" t="str">
        <f>"ENSG00000101811.13"</f>
        <v>ENSG00000101811.13</v>
      </c>
      <c r="B4610" s="3">
        <v>1016.06581862657</v>
      </c>
      <c r="C4610" s="3">
        <v>-1.0106566935318799</v>
      </c>
      <c r="D4610" s="3">
        <v>0.25885364522285798</v>
      </c>
      <c r="E4610" s="3">
        <v>-3.9043556549561398</v>
      </c>
      <c r="F4610" s="4">
        <v>9.4476759653297496E-5</v>
      </c>
      <c r="G4610" s="3">
        <v>7.7211269950575002E-4</v>
      </c>
      <c r="H4610" s="3" t="str">
        <f>"CSTF2"</f>
        <v>CSTF2</v>
      </c>
      <c r="I4610" s="3" t="str">
        <f t="shared" si="186"/>
        <v>protein_coding</v>
      </c>
    </row>
    <row r="4611" spans="1:9" x14ac:dyDescent="0.2">
      <c r="A4611" s="3" t="str">
        <f>"ENSG00000102393.10"</f>
        <v>ENSG00000102393.10</v>
      </c>
      <c r="B4611" s="3">
        <v>1113.25739923007</v>
      </c>
      <c r="C4611" s="3">
        <v>-1.18048707472805</v>
      </c>
      <c r="D4611" s="3">
        <v>0.27053348245771203</v>
      </c>
      <c r="E4611" s="3">
        <v>-4.36355257768352</v>
      </c>
      <c r="F4611" s="4">
        <v>1.2796716705131401E-5</v>
      </c>
      <c r="G4611" s="3">
        <v>1.27485706422804E-4</v>
      </c>
      <c r="H4611" s="3" t="str">
        <f>"GLA"</f>
        <v>GLA</v>
      </c>
      <c r="I4611" s="3" t="str">
        <f t="shared" si="186"/>
        <v>protein_coding</v>
      </c>
    </row>
    <row r="4612" spans="1:9" x14ac:dyDescent="0.2">
      <c r="A4612" s="3" t="str">
        <f>"ENSG00000133169.6"</f>
        <v>ENSG00000133169.6</v>
      </c>
      <c r="B4612" s="3">
        <v>512.088376281774</v>
      </c>
      <c r="C4612" s="3">
        <v>-3.1074071269472299</v>
      </c>
      <c r="D4612" s="3">
        <v>0.30820371575921601</v>
      </c>
      <c r="E4612" s="3">
        <v>-10.0823155856268</v>
      </c>
      <c r="F4612" s="4">
        <v>6.6148538987110997E-24</v>
      </c>
      <c r="G4612" s="4">
        <v>4.7004703339570001E-22</v>
      </c>
      <c r="H4612" s="3" t="str">
        <f>"BEX1"</f>
        <v>BEX1</v>
      </c>
      <c r="I4612" s="3" t="str">
        <f t="shared" si="186"/>
        <v>protein_coding</v>
      </c>
    </row>
    <row r="4613" spans="1:9" x14ac:dyDescent="0.2">
      <c r="A4613" s="3" t="str">
        <f>"ENSG00000102409.10"</f>
        <v>ENSG00000102409.10</v>
      </c>
      <c r="B4613" s="3">
        <v>14.9568895887412</v>
      </c>
      <c r="C4613" s="3">
        <v>-2.43780508462492</v>
      </c>
      <c r="D4613" s="3">
        <v>0.95196814982713396</v>
      </c>
      <c r="E4613" s="3">
        <v>-2.5608053011727301</v>
      </c>
      <c r="F4613" s="3">
        <v>1.04429862609357E-2</v>
      </c>
      <c r="G4613" s="3">
        <v>4.3811427517317897E-2</v>
      </c>
      <c r="H4613" s="3" t="str">
        <f>"BEX4"</f>
        <v>BEX4</v>
      </c>
      <c r="I4613" s="3" t="str">
        <f t="shared" si="186"/>
        <v>protein_coding</v>
      </c>
    </row>
    <row r="4614" spans="1:9" x14ac:dyDescent="0.2">
      <c r="A4614" s="3" t="str">
        <f>"ENSG00000182916.8"</f>
        <v>ENSG00000182916.8</v>
      </c>
      <c r="B4614" s="3">
        <v>59.905825121056303</v>
      </c>
      <c r="C4614" s="3">
        <v>2.0627982567790402</v>
      </c>
      <c r="D4614" s="3">
        <v>0.60557698042043995</v>
      </c>
      <c r="E4614" s="3">
        <v>3.4063353189992198</v>
      </c>
      <c r="F4614" s="3">
        <v>6.58412582938577E-4</v>
      </c>
      <c r="G4614" s="3">
        <v>4.2598684474845503E-3</v>
      </c>
      <c r="H4614" s="3" t="str">
        <f>"TCEAL7"</f>
        <v>TCEAL7</v>
      </c>
      <c r="I4614" s="3" t="str">
        <f t="shared" si="186"/>
        <v>protein_coding</v>
      </c>
    </row>
    <row r="4615" spans="1:9" x14ac:dyDescent="0.2">
      <c r="A4615" s="3" t="str">
        <f>"ENSG00000123560.14"</f>
        <v>ENSG00000123560.14</v>
      </c>
      <c r="B4615" s="3">
        <v>79.511995254200301</v>
      </c>
      <c r="C4615" s="3">
        <v>-1.3700027218933</v>
      </c>
      <c r="D4615" s="3">
        <v>0.44223254482124003</v>
      </c>
      <c r="E4615" s="3">
        <v>-3.0979237913100302</v>
      </c>
      <c r="F4615" s="3">
        <v>1.9488153611541101E-3</v>
      </c>
      <c r="G4615" s="3">
        <v>1.07106074742914E-2</v>
      </c>
      <c r="H4615" s="3" t="str">
        <f>"PLP1"</f>
        <v>PLP1</v>
      </c>
      <c r="I4615" s="3" t="str">
        <f t="shared" si="186"/>
        <v>protein_coding</v>
      </c>
    </row>
    <row r="4616" spans="1:9" x14ac:dyDescent="0.2">
      <c r="A4616" s="3" t="str">
        <f>"ENSG00000123570.4"</f>
        <v>ENSG00000123570.4</v>
      </c>
      <c r="B4616" s="3">
        <v>72.384650874048006</v>
      </c>
      <c r="C4616" s="3">
        <v>-1.9324230127409201</v>
      </c>
      <c r="D4616" s="3">
        <v>0.48276158762073301</v>
      </c>
      <c r="E4616" s="3">
        <v>-4.0028516400088296</v>
      </c>
      <c r="F4616" s="4">
        <v>6.2583550084817995E-5</v>
      </c>
      <c r="G4616" s="3">
        <v>5.3656755364130701E-4</v>
      </c>
      <c r="H4616" s="3" t="str">
        <f>"RAB9B"</f>
        <v>RAB9B</v>
      </c>
      <c r="I4616" s="3" t="str">
        <f t="shared" si="186"/>
        <v>protein_coding</v>
      </c>
    </row>
    <row r="4617" spans="1:9" x14ac:dyDescent="0.2">
      <c r="A4617" s="3" t="str">
        <f>"ENSG00000158427.15"</f>
        <v>ENSG00000158427.15</v>
      </c>
      <c r="B4617" s="3">
        <v>13.8673010623965</v>
      </c>
      <c r="C4617" s="3">
        <v>-4.0844514710244502</v>
      </c>
      <c r="D4617" s="3">
        <v>1.1805393071715899</v>
      </c>
      <c r="E4617" s="3">
        <v>-3.4598182764538699</v>
      </c>
      <c r="F4617" s="3">
        <v>5.4054004773054299E-4</v>
      </c>
      <c r="G4617" s="3">
        <v>3.5801171407745698E-3</v>
      </c>
      <c r="H4617" s="3" t="str">
        <f>"TMSB15B"</f>
        <v>TMSB15B</v>
      </c>
      <c r="I4617" s="3" t="str">
        <f t="shared" si="186"/>
        <v>protein_coding</v>
      </c>
    </row>
    <row r="4618" spans="1:9" x14ac:dyDescent="0.2">
      <c r="A4618" s="3" t="str">
        <f>"ENSG00000123561.15"</f>
        <v>ENSG00000123561.15</v>
      </c>
      <c r="B4618" s="3">
        <v>4084.5268807441498</v>
      </c>
      <c r="C4618" s="3">
        <v>1.78086364001855</v>
      </c>
      <c r="D4618" s="3">
        <v>0.32516405846490798</v>
      </c>
      <c r="E4618" s="3">
        <v>5.4768157600996004</v>
      </c>
      <c r="F4618" s="4">
        <v>4.33047683978707E-8</v>
      </c>
      <c r="G4618" s="4">
        <v>6.8770924813663995E-7</v>
      </c>
      <c r="H4618" s="3" t="str">
        <f>"SERPINA7"</f>
        <v>SERPINA7</v>
      </c>
      <c r="I4618" s="3" t="str">
        <f t="shared" si="186"/>
        <v>protein_coding</v>
      </c>
    </row>
    <row r="4619" spans="1:9" x14ac:dyDescent="0.2">
      <c r="A4619" s="3" t="str">
        <f>"ENSG00000147231.14"</f>
        <v>ENSG00000147231.14</v>
      </c>
      <c r="B4619" s="3">
        <v>99.710639447196598</v>
      </c>
      <c r="C4619" s="3">
        <v>-1.2101136724013</v>
      </c>
      <c r="D4619" s="3">
        <v>0.40380077501487399</v>
      </c>
      <c r="E4619" s="3">
        <v>-2.99680869200097</v>
      </c>
      <c r="F4619" s="3">
        <v>2.7282186424115299E-3</v>
      </c>
      <c r="G4619" s="3">
        <v>1.4237366633239001E-2</v>
      </c>
      <c r="H4619" s="3" t="str">
        <f>"RADX"</f>
        <v>RADX</v>
      </c>
      <c r="I4619" s="3" t="str">
        <f t="shared" si="186"/>
        <v>protein_coding</v>
      </c>
    </row>
    <row r="4620" spans="1:9" x14ac:dyDescent="0.2">
      <c r="A4620" s="3" t="str">
        <f>"ENSG00000133131.15"</f>
        <v>ENSG00000133131.15</v>
      </c>
      <c r="B4620" s="3">
        <v>2728.54826356476</v>
      </c>
      <c r="C4620" s="3">
        <v>1.04256207578724</v>
      </c>
      <c r="D4620" s="3">
        <v>0.31017538691250002</v>
      </c>
      <c r="E4620" s="3">
        <v>3.3612018225074198</v>
      </c>
      <c r="F4620" s="3">
        <v>7.7604097549445797E-4</v>
      </c>
      <c r="G4620" s="3">
        <v>4.9147308002424703E-3</v>
      </c>
      <c r="H4620" s="3" t="str">
        <f>"MORC4"</f>
        <v>MORC4</v>
      </c>
      <c r="I4620" s="3" t="str">
        <f t="shared" si="186"/>
        <v>protein_coding</v>
      </c>
    </row>
    <row r="4621" spans="1:9" x14ac:dyDescent="0.2">
      <c r="A4621" s="3" t="str">
        <f>"ENSG00000147223.6"</f>
        <v>ENSG00000147223.6</v>
      </c>
      <c r="B4621" s="3">
        <v>13.4587570569026</v>
      </c>
      <c r="C4621" s="3">
        <v>-2.9534640018926401</v>
      </c>
      <c r="D4621" s="3">
        <v>1.0295988014408699</v>
      </c>
      <c r="E4621" s="3">
        <v>-2.8685581196864498</v>
      </c>
      <c r="F4621" s="3">
        <v>4.12347432233504E-3</v>
      </c>
      <c r="G4621" s="3">
        <v>2.0207675156504502E-2</v>
      </c>
      <c r="H4621" s="3" t="str">
        <f>"RIPPLY1"</f>
        <v>RIPPLY1</v>
      </c>
      <c r="I4621" s="3" t="str">
        <f t="shared" si="186"/>
        <v>protein_coding</v>
      </c>
    </row>
    <row r="4622" spans="1:9" x14ac:dyDescent="0.2">
      <c r="A4622" s="3" t="str">
        <f>"ENSG00000165376.10"</f>
        <v>ENSG00000165376.10</v>
      </c>
      <c r="B4622" s="3">
        <v>36.942687673846898</v>
      </c>
      <c r="C4622" s="3">
        <v>-3.58512938210758</v>
      </c>
      <c r="D4622" s="3">
        <v>0.70172494039084099</v>
      </c>
      <c r="E4622" s="3">
        <v>-5.1090237438486401</v>
      </c>
      <c r="F4622" s="4">
        <v>3.2382766120023101E-7</v>
      </c>
      <c r="G4622" s="4">
        <v>4.4247065820161899E-6</v>
      </c>
      <c r="H4622" s="3" t="str">
        <f>"CLDN2"</f>
        <v>CLDN2</v>
      </c>
      <c r="I4622" s="3" t="str">
        <f t="shared" si="186"/>
        <v>protein_coding</v>
      </c>
    </row>
    <row r="4623" spans="1:9" x14ac:dyDescent="0.2">
      <c r="A4623" s="3" t="str">
        <f>"ENSG00000089682.16"</f>
        <v>ENSG00000089682.16</v>
      </c>
      <c r="B4623" s="3">
        <v>1444.80303431992</v>
      </c>
      <c r="C4623" s="3">
        <v>1.0681035470832601</v>
      </c>
      <c r="D4623" s="3">
        <v>0.30171605296641901</v>
      </c>
      <c r="E4623" s="3">
        <v>3.5400951874514202</v>
      </c>
      <c r="F4623" s="3">
        <v>3.9998273935899098E-4</v>
      </c>
      <c r="G4623" s="3">
        <v>2.7543295397140502E-3</v>
      </c>
      <c r="H4623" s="3" t="str">
        <f>"RBM41"</f>
        <v>RBM41</v>
      </c>
      <c r="I4623" s="3" t="str">
        <f t="shared" si="186"/>
        <v>protein_coding</v>
      </c>
    </row>
    <row r="4624" spans="1:9" x14ac:dyDescent="0.2">
      <c r="A4624" s="3" t="str">
        <f>"ENSG00000198088.10"</f>
        <v>ENSG00000198088.10</v>
      </c>
      <c r="B4624" s="3">
        <v>436.71624971273502</v>
      </c>
      <c r="C4624" s="3">
        <v>1.1106855405633</v>
      </c>
      <c r="D4624" s="3">
        <v>0.30423015668521802</v>
      </c>
      <c r="E4624" s="3">
        <v>3.6508068518418102</v>
      </c>
      <c r="F4624" s="3">
        <v>2.61417781490629E-4</v>
      </c>
      <c r="G4624" s="3">
        <v>1.8939989324299499E-3</v>
      </c>
      <c r="H4624" s="3" t="str">
        <f>"NUP62CL"</f>
        <v>NUP62CL</v>
      </c>
      <c r="I4624" s="3" t="str">
        <f t="shared" si="186"/>
        <v>protein_coding</v>
      </c>
    </row>
    <row r="4625" spans="1:9" x14ac:dyDescent="0.2">
      <c r="A4625" s="3" t="str">
        <f>"ENSG00000147224.11"</f>
        <v>ENSG00000147224.11</v>
      </c>
      <c r="B4625" s="3">
        <v>1373.46146888769</v>
      </c>
      <c r="C4625" s="3">
        <v>-1.18984923421721</v>
      </c>
      <c r="D4625" s="3">
        <v>0.25831528117321001</v>
      </c>
      <c r="E4625" s="3">
        <v>-4.6061898808819199</v>
      </c>
      <c r="F4625" s="4">
        <v>4.1011393112157397E-6</v>
      </c>
      <c r="G4625" s="4">
        <v>4.5810017483850803E-5</v>
      </c>
      <c r="H4625" s="3" t="str">
        <f>"PRPS1"</f>
        <v>PRPS1</v>
      </c>
      <c r="I4625" s="3" t="str">
        <f t="shared" si="186"/>
        <v>protein_coding</v>
      </c>
    </row>
    <row r="4626" spans="1:9" x14ac:dyDescent="0.2">
      <c r="A4626" s="3" t="str">
        <f>"ENSG00000101844.18"</f>
        <v>ENSG00000101844.18</v>
      </c>
      <c r="B4626" s="3">
        <v>312.554851045117</v>
      </c>
      <c r="C4626" s="3">
        <v>1.15887674963376</v>
      </c>
      <c r="D4626" s="3">
        <v>0.31087081630317698</v>
      </c>
      <c r="E4626" s="3">
        <v>3.7278402759542502</v>
      </c>
      <c r="F4626" s="3">
        <v>1.9312770752304099E-4</v>
      </c>
      <c r="G4626" s="3">
        <v>1.4490187194368699E-3</v>
      </c>
      <c r="H4626" s="3" t="str">
        <f>"ATG4A"</f>
        <v>ATG4A</v>
      </c>
      <c r="I4626" s="3" t="str">
        <f t="shared" si="186"/>
        <v>protein_coding</v>
      </c>
    </row>
    <row r="4627" spans="1:9" x14ac:dyDescent="0.2">
      <c r="A4627" s="3" t="str">
        <f>"ENSG00000197565.15"</f>
        <v>ENSG00000197565.15</v>
      </c>
      <c r="B4627" s="3">
        <v>1168.1281218935501</v>
      </c>
      <c r="C4627" s="3">
        <v>4.5996749899389702</v>
      </c>
      <c r="D4627" s="3">
        <v>0.31421065335083898</v>
      </c>
      <c r="E4627" s="3">
        <v>14.6388257078066</v>
      </c>
      <c r="F4627" s="4">
        <v>1.58787005792842E-48</v>
      </c>
      <c r="G4627" s="4">
        <v>3.9942871307189401E-46</v>
      </c>
      <c r="H4627" s="3" t="str">
        <f>"COL4A6"</f>
        <v>COL4A6</v>
      </c>
      <c r="I4627" s="3" t="str">
        <f t="shared" si="186"/>
        <v>protein_coding</v>
      </c>
    </row>
    <row r="4628" spans="1:9" x14ac:dyDescent="0.2">
      <c r="A4628" s="3" t="str">
        <f>"ENSG00000188153.13"</f>
        <v>ENSG00000188153.13</v>
      </c>
      <c r="B4628" s="3">
        <v>4250.0582817464001</v>
      </c>
      <c r="C4628" s="3">
        <v>3.8979401989800002</v>
      </c>
      <c r="D4628" s="3">
        <v>0.30254062193807302</v>
      </c>
      <c r="E4628" s="3">
        <v>12.884022562027599</v>
      </c>
      <c r="F4628" s="4">
        <v>5.5372582735853303E-38</v>
      </c>
      <c r="G4628" s="4">
        <v>8.3407025073077194E-36</v>
      </c>
      <c r="H4628" s="3" t="str">
        <f>"COL4A5"</f>
        <v>COL4A5</v>
      </c>
      <c r="I4628" s="3" t="str">
        <f t="shared" si="186"/>
        <v>protein_coding</v>
      </c>
    </row>
    <row r="4629" spans="1:9" x14ac:dyDescent="0.2">
      <c r="A4629" s="3" t="str">
        <f>"ENSG00000101888.11"</f>
        <v>ENSG00000101888.11</v>
      </c>
      <c r="B4629" s="3">
        <v>674.62633033744601</v>
      </c>
      <c r="C4629" s="3">
        <v>-1.26799734430599</v>
      </c>
      <c r="D4629" s="3">
        <v>0.287772158576167</v>
      </c>
      <c r="E4629" s="3">
        <v>-4.4062544152282301</v>
      </c>
      <c r="F4629" s="4">
        <v>1.05173425985524E-5</v>
      </c>
      <c r="G4629" s="3">
        <v>1.0689444568346801E-4</v>
      </c>
      <c r="H4629" s="3" t="str">
        <f>"NXT2"</f>
        <v>NXT2</v>
      </c>
      <c r="I4629" s="3" t="str">
        <f t="shared" si="186"/>
        <v>protein_coding</v>
      </c>
    </row>
    <row r="4630" spans="1:9" x14ac:dyDescent="0.2">
      <c r="A4630" s="3" t="str">
        <f>"ENSG00000101935.10"</f>
        <v>ENSG00000101935.10</v>
      </c>
      <c r="B4630" s="3">
        <v>519.84447277485594</v>
      </c>
      <c r="C4630" s="3">
        <v>-1.312457147088</v>
      </c>
      <c r="D4630" s="3">
        <v>0.29217041555955697</v>
      </c>
      <c r="E4630" s="3">
        <v>-4.4920946036730598</v>
      </c>
      <c r="F4630" s="4">
        <v>7.0526080315858902E-6</v>
      </c>
      <c r="G4630" s="4">
        <v>7.5204898276618501E-5</v>
      </c>
      <c r="H4630" s="3" t="str">
        <f>"AMMECR1"</f>
        <v>AMMECR1</v>
      </c>
      <c r="I4630" s="3" t="str">
        <f t="shared" si="186"/>
        <v>protein_coding</v>
      </c>
    </row>
    <row r="4631" spans="1:9" x14ac:dyDescent="0.2">
      <c r="A4631" s="3" t="str">
        <f>"ENSG00000102024.18"</f>
        <v>ENSG00000102024.18</v>
      </c>
      <c r="B4631" s="3">
        <v>3036.3840296621102</v>
      </c>
      <c r="C4631" s="3">
        <v>-1.0406512263532699</v>
      </c>
      <c r="D4631" s="3">
        <v>0.28841781795340199</v>
      </c>
      <c r="E4631" s="3">
        <v>-3.6081377833646799</v>
      </c>
      <c r="F4631" s="3">
        <v>3.0840270322904601E-4</v>
      </c>
      <c r="G4631" s="3">
        <v>2.1995662034949401E-3</v>
      </c>
      <c r="H4631" s="3" t="str">
        <f>"PLS3"</f>
        <v>PLS3</v>
      </c>
      <c r="I4631" s="3" t="str">
        <f t="shared" si="186"/>
        <v>protein_coding</v>
      </c>
    </row>
    <row r="4632" spans="1:9" x14ac:dyDescent="0.2">
      <c r="A4632" s="3" t="str">
        <f>"ENSG00000131724.11"</f>
        <v>ENSG00000131724.11</v>
      </c>
      <c r="B4632" s="3">
        <v>3196.9468281847799</v>
      </c>
      <c r="C4632" s="3">
        <v>1.11495572049194</v>
      </c>
      <c r="D4632" s="3">
        <v>0.27392821785549598</v>
      </c>
      <c r="E4632" s="3">
        <v>4.0702477795847498</v>
      </c>
      <c r="F4632" s="4">
        <v>4.6963161416511401E-5</v>
      </c>
      <c r="G4632" s="3">
        <v>4.1436630144943702E-4</v>
      </c>
      <c r="H4632" s="3" t="str">
        <f>"IL13RA1"</f>
        <v>IL13RA1</v>
      </c>
      <c r="I4632" s="3" t="str">
        <f t="shared" si="186"/>
        <v>protein_coding</v>
      </c>
    </row>
    <row r="4633" spans="1:9" x14ac:dyDescent="0.2">
      <c r="A4633" s="3" t="str">
        <f>"ENSG00000101856.10"</f>
        <v>ENSG00000101856.10</v>
      </c>
      <c r="B4633" s="3">
        <v>2800.73355145801</v>
      </c>
      <c r="C4633" s="3">
        <v>-1.3838330052885299</v>
      </c>
      <c r="D4633" s="3">
        <v>0.24629153895529399</v>
      </c>
      <c r="E4633" s="3">
        <v>-5.6186786243587798</v>
      </c>
      <c r="F4633" s="4">
        <v>1.9242339315128E-8</v>
      </c>
      <c r="G4633" s="4">
        <v>3.2507793517262899E-7</v>
      </c>
      <c r="H4633" s="3" t="str">
        <f>"PGRMC1"</f>
        <v>PGRMC1</v>
      </c>
      <c r="I4633" s="3" t="str">
        <f t="shared" si="186"/>
        <v>protein_coding</v>
      </c>
    </row>
    <row r="4634" spans="1:9" x14ac:dyDescent="0.2">
      <c r="A4634" s="3" t="str">
        <f>"ENSG00000125354.23"</f>
        <v>ENSG00000125354.23</v>
      </c>
      <c r="B4634" s="3">
        <v>993.952632721182</v>
      </c>
      <c r="C4634" s="3">
        <v>-1.52894027321988</v>
      </c>
      <c r="D4634" s="3">
        <v>0.27053048824149301</v>
      </c>
      <c r="E4634" s="3">
        <v>-5.6516375775548404</v>
      </c>
      <c r="F4634" s="4">
        <v>1.5892640909798201E-8</v>
      </c>
      <c r="G4634" s="4">
        <v>2.7195876332379202E-7</v>
      </c>
      <c r="H4634" s="3" t="str">
        <f>"SEPT6"</f>
        <v>SEPT6</v>
      </c>
      <c r="I4634" s="3" t="str">
        <f t="shared" si="186"/>
        <v>protein_coding</v>
      </c>
    </row>
    <row r="4635" spans="1:9" x14ac:dyDescent="0.2">
      <c r="A4635" s="3" t="str">
        <f>"ENSG00000125355.15"</f>
        <v>ENSG00000125355.15</v>
      </c>
      <c r="B4635" s="3">
        <v>46.899693597199501</v>
      </c>
      <c r="C4635" s="3">
        <v>-2.9913207382441702</v>
      </c>
      <c r="D4635" s="3">
        <v>0.61144272036585501</v>
      </c>
      <c r="E4635" s="3">
        <v>-4.8922337916695202</v>
      </c>
      <c r="F4635" s="4">
        <v>9.9697915375683095E-7</v>
      </c>
      <c r="G4635" s="4">
        <v>1.2489547117904901E-5</v>
      </c>
      <c r="H4635" s="3" t="str">
        <f>"TMEM255A"</f>
        <v>TMEM255A</v>
      </c>
      <c r="I4635" s="3" t="str">
        <f t="shared" si="186"/>
        <v>protein_coding</v>
      </c>
    </row>
    <row r="4636" spans="1:9" x14ac:dyDescent="0.2">
      <c r="A4636" s="3" t="str">
        <f>"ENSG00000005893.15"</f>
        <v>ENSG00000005893.15</v>
      </c>
      <c r="B4636" s="3">
        <v>5346.3944384720098</v>
      </c>
      <c r="C4636" s="3">
        <v>-1.37136964970616</v>
      </c>
      <c r="D4636" s="3">
        <v>0.246204609437605</v>
      </c>
      <c r="E4636" s="3">
        <v>-5.5700405156455899</v>
      </c>
      <c r="F4636" s="4">
        <v>2.5468010533690201E-8</v>
      </c>
      <c r="G4636" s="4">
        <v>4.2120171267256899E-7</v>
      </c>
      <c r="H4636" s="3" t="str">
        <f>"LAMP2"</f>
        <v>LAMP2</v>
      </c>
      <c r="I4636" s="3" t="str">
        <f t="shared" si="186"/>
        <v>protein_coding</v>
      </c>
    </row>
    <row r="4637" spans="1:9" x14ac:dyDescent="0.2">
      <c r="A4637" s="3" t="str">
        <f>"ENSG00000158290.16"</f>
        <v>ENSG00000158290.16</v>
      </c>
      <c r="B4637" s="3">
        <v>2520.4515457013999</v>
      </c>
      <c r="C4637" s="3">
        <v>-1.0511397351321199</v>
      </c>
      <c r="D4637" s="3">
        <v>0.26398554729531798</v>
      </c>
      <c r="E4637" s="3">
        <v>-3.9818078902487102</v>
      </c>
      <c r="F4637" s="4">
        <v>6.8393050987863895E-5</v>
      </c>
      <c r="G4637" s="3">
        <v>5.8068198831812395E-4</v>
      </c>
      <c r="H4637" s="3" t="str">
        <f>"CUL4B"</f>
        <v>CUL4B</v>
      </c>
      <c r="I4637" s="3" t="str">
        <f t="shared" si="186"/>
        <v>protein_coding</v>
      </c>
    </row>
    <row r="4638" spans="1:9" x14ac:dyDescent="0.2">
      <c r="A4638" s="3" t="str">
        <f>"ENSG00000182890.4"</f>
        <v>ENSG00000182890.4</v>
      </c>
      <c r="B4638" s="3">
        <v>32.831181791851698</v>
      </c>
      <c r="C4638" s="3">
        <v>-1.69880212310038</v>
      </c>
      <c r="D4638" s="3">
        <v>0.62519440281279604</v>
      </c>
      <c r="E4638" s="3">
        <v>-2.7172382149573799</v>
      </c>
      <c r="F4638" s="3">
        <v>6.5829208793458703E-3</v>
      </c>
      <c r="G4638" s="3">
        <v>2.9724174245188601E-2</v>
      </c>
      <c r="H4638" s="3" t="str">
        <f>"GLUD2"</f>
        <v>GLUD2</v>
      </c>
      <c r="I4638" s="3" t="str">
        <f t="shared" si="186"/>
        <v>protein_coding</v>
      </c>
    </row>
    <row r="4639" spans="1:9" x14ac:dyDescent="0.2">
      <c r="A4639" s="3" t="str">
        <f>"ENSG00000147262.4"</f>
        <v>ENSG00000147262.4</v>
      </c>
      <c r="B4639" s="3">
        <v>27.2620619555973</v>
      </c>
      <c r="C4639" s="3">
        <v>-1.85503510764443</v>
      </c>
      <c r="D4639" s="3">
        <v>0.68479844236207599</v>
      </c>
      <c r="E4639" s="3">
        <v>-2.70887752204262</v>
      </c>
      <c r="F4639" s="3">
        <v>6.7511256754270704E-3</v>
      </c>
      <c r="G4639" s="3">
        <v>3.0363770135055899E-2</v>
      </c>
      <c r="H4639" s="3" t="str">
        <f>"GPR119"</f>
        <v>GPR119</v>
      </c>
      <c r="I4639" s="3" t="str">
        <f t="shared" si="186"/>
        <v>protein_coding</v>
      </c>
    </row>
    <row r="4640" spans="1:9" x14ac:dyDescent="0.2">
      <c r="A4640" s="3" t="str">
        <f>"ENSG00000213468.6"</f>
        <v>ENSG00000213468.6</v>
      </c>
      <c r="B4640" s="3">
        <v>826.68866191550205</v>
      </c>
      <c r="C4640" s="3">
        <v>-1.0162075571303999</v>
      </c>
      <c r="D4640" s="3">
        <v>0.260122984557005</v>
      </c>
      <c r="E4640" s="3">
        <v>-3.9066426938819898</v>
      </c>
      <c r="F4640" s="4">
        <v>9.3587385206990394E-5</v>
      </c>
      <c r="G4640" s="3">
        <v>7.6608873247049902E-4</v>
      </c>
      <c r="H4640" s="3" t="str">
        <f>"FIRRE"</f>
        <v>FIRRE</v>
      </c>
      <c r="I4640" s="3" t="str">
        <f>"processed_transcript"</f>
        <v>processed_transcript</v>
      </c>
    </row>
    <row r="4641" spans="1:9" x14ac:dyDescent="0.2">
      <c r="A4641" s="3" t="str">
        <f>"ENSG00000228089.1"</f>
        <v>ENSG00000228089.1</v>
      </c>
      <c r="B4641" s="3">
        <v>6.2179707787762899</v>
      </c>
      <c r="C4641" s="3">
        <v>-6.0295985192261004</v>
      </c>
      <c r="D4641" s="3">
        <v>1.93055888049219</v>
      </c>
      <c r="E4641" s="3">
        <v>-3.1232398970855999</v>
      </c>
      <c r="F4641" s="3">
        <v>1.78871887565015E-3</v>
      </c>
      <c r="G4641" s="3">
        <v>9.9745562662335602E-3</v>
      </c>
      <c r="H4641" s="3" t="str">
        <f>"PNKDP1"</f>
        <v>PNKDP1</v>
      </c>
      <c r="I4641" s="3" t="str">
        <f>"processed_pseudogene"</f>
        <v>processed_pseudogene</v>
      </c>
    </row>
    <row r="4642" spans="1:9" x14ac:dyDescent="0.2">
      <c r="A4642" s="3" t="str">
        <f>"ENSG00000076716.9"</f>
        <v>ENSG00000076716.9</v>
      </c>
      <c r="B4642" s="3">
        <v>242.534468581092</v>
      </c>
      <c r="C4642" s="3">
        <v>1.6323520895337</v>
      </c>
      <c r="D4642" s="3">
        <v>0.31415255197591302</v>
      </c>
      <c r="E4642" s="3">
        <v>5.19604911456792</v>
      </c>
      <c r="F4642" s="4">
        <v>2.0356849716349601E-7</v>
      </c>
      <c r="G4642" s="4">
        <v>2.9012835955511402E-6</v>
      </c>
      <c r="H4642" s="3" t="str">
        <f>"GPC4"</f>
        <v>GPC4</v>
      </c>
      <c r="I4642" s="3" t="str">
        <f>"protein_coding"</f>
        <v>protein_coding</v>
      </c>
    </row>
    <row r="4643" spans="1:9" x14ac:dyDescent="0.2">
      <c r="A4643" s="3" t="str">
        <f>"ENSG00000234062.8"</f>
        <v>ENSG00000234062.8</v>
      </c>
      <c r="B4643" s="3">
        <v>47.338275705386302</v>
      </c>
      <c r="C4643" s="3">
        <v>-1.42923920574288</v>
      </c>
      <c r="D4643" s="3">
        <v>0.53523148669863896</v>
      </c>
      <c r="E4643" s="3">
        <v>-2.6703197425072398</v>
      </c>
      <c r="F4643" s="3">
        <v>7.5779047469321098E-3</v>
      </c>
      <c r="G4643" s="3">
        <v>3.3446244156990199E-2</v>
      </c>
      <c r="H4643" s="3" t="str">
        <f>"AL390879.1"</f>
        <v>AL390879.1</v>
      </c>
      <c r="I4643" s="3" t="str">
        <f>"transcribed_unprocessed_pseudogene"</f>
        <v>transcribed_unprocessed_pseudogene</v>
      </c>
    </row>
    <row r="4644" spans="1:9" x14ac:dyDescent="0.2">
      <c r="A4644" s="3" t="str">
        <f>"ENSG00000284377.1"</f>
        <v>ENSG00000284377.1</v>
      </c>
      <c r="B4644" s="3">
        <v>44.631076050060997</v>
      </c>
      <c r="C4644" s="3">
        <v>5.2150824093667296</v>
      </c>
      <c r="D4644" s="3">
        <v>0.82932462086902803</v>
      </c>
      <c r="E4644" s="3">
        <v>6.2883487094619097</v>
      </c>
      <c r="F4644" s="4">
        <v>3.2086054747749099E-10</v>
      </c>
      <c r="G4644" s="4">
        <v>6.9699888357480803E-9</v>
      </c>
      <c r="H4644" s="3" t="str">
        <f>"AL589669.1"</f>
        <v>AL589669.1</v>
      </c>
      <c r="I4644" s="3" t="str">
        <f>"lincRNA"</f>
        <v>lincRNA</v>
      </c>
    </row>
    <row r="4645" spans="1:9" x14ac:dyDescent="0.2">
      <c r="A4645" s="3" t="str">
        <f>"ENSG00000029993.15"</f>
        <v>ENSG00000029993.15</v>
      </c>
      <c r="B4645" s="3">
        <v>4118.3314861811104</v>
      </c>
      <c r="C4645" s="3">
        <v>1.3267651867297101</v>
      </c>
      <c r="D4645" s="3">
        <v>0.25375035959797199</v>
      </c>
      <c r="E4645" s="3">
        <v>5.2286238680873804</v>
      </c>
      <c r="F4645" s="4">
        <v>1.70776399195128E-7</v>
      </c>
      <c r="G4645" s="4">
        <v>2.4658370948542902E-6</v>
      </c>
      <c r="H4645" s="3" t="str">
        <f>"HMGB3"</f>
        <v>HMGB3</v>
      </c>
      <c r="I4645" s="3" t="str">
        <f>"protein_coding"</f>
        <v>protein_coding</v>
      </c>
    </row>
    <row r="4646" spans="1:9" x14ac:dyDescent="0.2">
      <c r="A4646" s="3" t="str">
        <f>"ENSG00000102195.9"</f>
        <v>ENSG00000102195.9</v>
      </c>
      <c r="B4646" s="3">
        <v>141.669173323292</v>
      </c>
      <c r="C4646" s="3">
        <v>5.2677008407008898</v>
      </c>
      <c r="D4646" s="3">
        <v>0.51855457870856403</v>
      </c>
      <c r="E4646" s="3">
        <v>10.1584308710953</v>
      </c>
      <c r="F4646" s="4">
        <v>3.0392833698389598E-24</v>
      </c>
      <c r="G4646" s="4">
        <v>2.2289554859562401E-22</v>
      </c>
      <c r="H4646" s="3" t="str">
        <f>"GPR50"</f>
        <v>GPR50</v>
      </c>
      <c r="I4646" s="3" t="str">
        <f>"protein_coding"</f>
        <v>protein_coding</v>
      </c>
    </row>
    <row r="4647" spans="1:9" x14ac:dyDescent="0.2">
      <c r="A4647" s="3" t="str">
        <f>"ENSG00000269993.1"</f>
        <v>ENSG00000269993.1</v>
      </c>
      <c r="B4647" s="3">
        <v>33.492065213950099</v>
      </c>
      <c r="C4647" s="3">
        <v>5.5014100951173397</v>
      </c>
      <c r="D4647" s="3">
        <v>1.02342243304067</v>
      </c>
      <c r="E4647" s="3">
        <v>5.3755027420809904</v>
      </c>
      <c r="F4647" s="4">
        <v>7.6369289636937704E-8</v>
      </c>
      <c r="G4647" s="4">
        <v>1.1649905887308499E-6</v>
      </c>
      <c r="H4647" s="3" t="str">
        <f>"KC877982.1"</f>
        <v>KC877982.1</v>
      </c>
      <c r="I4647" s="3" t="str">
        <f>"lincRNA"</f>
        <v>lincRNA</v>
      </c>
    </row>
    <row r="4648" spans="1:9" x14ac:dyDescent="0.2">
      <c r="A4648" s="3" t="str">
        <f>"ENSG00000102287.19"</f>
        <v>ENSG00000102287.19</v>
      </c>
      <c r="B4648" s="3">
        <v>5494.3419010460302</v>
      </c>
      <c r="C4648" s="3">
        <v>1.78833445838893</v>
      </c>
      <c r="D4648" s="3">
        <v>0.234604557312626</v>
      </c>
      <c r="E4648" s="3">
        <v>7.6227609509130598</v>
      </c>
      <c r="F4648" s="4">
        <v>2.4830646836422901E-14</v>
      </c>
      <c r="G4648" s="4">
        <v>8.39536184368574E-13</v>
      </c>
      <c r="H4648" s="3" t="str">
        <f>"GABRE"</f>
        <v>GABRE</v>
      </c>
      <c r="I4648" s="3" t="str">
        <f t="shared" ref="I4648:I4656" si="187">"protein_coding"</f>
        <v>protein_coding</v>
      </c>
    </row>
    <row r="4649" spans="1:9" x14ac:dyDescent="0.2">
      <c r="A4649" s="3" t="str">
        <f>"ENSG00000182492.16"</f>
        <v>ENSG00000182492.16</v>
      </c>
      <c r="B4649" s="3">
        <v>106.884651246158</v>
      </c>
      <c r="C4649" s="3">
        <v>3.6108137023188802</v>
      </c>
      <c r="D4649" s="3">
        <v>0.48678869544024</v>
      </c>
      <c r="E4649" s="3">
        <v>7.4176202860531699</v>
      </c>
      <c r="F4649" s="4">
        <v>1.19243377976514E-13</v>
      </c>
      <c r="G4649" s="4">
        <v>3.80655732614114E-12</v>
      </c>
      <c r="H4649" s="3" t="str">
        <f>"BGN"</f>
        <v>BGN</v>
      </c>
      <c r="I4649" s="3" t="str">
        <f t="shared" si="187"/>
        <v>protein_coding</v>
      </c>
    </row>
    <row r="4650" spans="1:9" x14ac:dyDescent="0.2">
      <c r="A4650" s="3" t="str">
        <f>"ENSG00000130822.15"</f>
        <v>ENSG00000130822.15</v>
      </c>
      <c r="B4650" s="3">
        <v>68.886853006200994</v>
      </c>
      <c r="C4650" s="3">
        <v>2.9607098219329</v>
      </c>
      <c r="D4650" s="3">
        <v>0.53932418215717204</v>
      </c>
      <c r="E4650" s="3">
        <v>5.4896663637271903</v>
      </c>
      <c r="F4650" s="4">
        <v>4.0269366900962197E-8</v>
      </c>
      <c r="G4650" s="4">
        <v>6.4275122106199401E-7</v>
      </c>
      <c r="H4650" s="3" t="str">
        <f>"PNCK"</f>
        <v>PNCK</v>
      </c>
      <c r="I4650" s="3" t="str">
        <f t="shared" si="187"/>
        <v>protein_coding</v>
      </c>
    </row>
    <row r="4651" spans="1:9" x14ac:dyDescent="0.2">
      <c r="A4651" s="3" t="str">
        <f>"ENSG00000130821.16"</f>
        <v>ENSG00000130821.16</v>
      </c>
      <c r="B4651" s="3">
        <v>3444.8044531292899</v>
      </c>
      <c r="C4651" s="3">
        <v>1.2204634174333999</v>
      </c>
      <c r="D4651" s="3">
        <v>0.28685053074936001</v>
      </c>
      <c r="E4651" s="3">
        <v>4.2547016184529802</v>
      </c>
      <c r="F4651" s="4">
        <v>2.0932796853753499E-5</v>
      </c>
      <c r="G4651" s="3">
        <v>1.9922985427777901E-4</v>
      </c>
      <c r="H4651" s="3" t="str">
        <f>"SLC6A8"</f>
        <v>SLC6A8</v>
      </c>
      <c r="I4651" s="3" t="str">
        <f t="shared" si="187"/>
        <v>protein_coding</v>
      </c>
    </row>
    <row r="4652" spans="1:9" x14ac:dyDescent="0.2">
      <c r="A4652" s="3" t="str">
        <f>"ENSG00000101986.12"</f>
        <v>ENSG00000101986.12</v>
      </c>
      <c r="B4652" s="3">
        <v>1829.7337500388701</v>
      </c>
      <c r="C4652" s="3">
        <v>1.64693444527536</v>
      </c>
      <c r="D4652" s="3">
        <v>0.30162138686255502</v>
      </c>
      <c r="E4652" s="3">
        <v>5.4602707798895098</v>
      </c>
      <c r="F4652" s="4">
        <v>4.7540893062848003E-8</v>
      </c>
      <c r="G4652" s="4">
        <v>7.4836743741923805E-7</v>
      </c>
      <c r="H4652" s="3" t="str">
        <f>"ABCD1"</f>
        <v>ABCD1</v>
      </c>
      <c r="I4652" s="3" t="str">
        <f t="shared" si="187"/>
        <v>protein_coding</v>
      </c>
    </row>
    <row r="4653" spans="1:9" x14ac:dyDescent="0.2">
      <c r="A4653" s="3" t="str">
        <f>"ENSG00000198753.12"</f>
        <v>ENSG00000198753.12</v>
      </c>
      <c r="B4653" s="3">
        <v>1002.37098652229</v>
      </c>
      <c r="C4653" s="3">
        <v>3.3582784417277298</v>
      </c>
      <c r="D4653" s="3">
        <v>0.30623584829749001</v>
      </c>
      <c r="E4653" s="3">
        <v>10.966313906089001</v>
      </c>
      <c r="F4653" s="4">
        <v>5.5488658413505301E-28</v>
      </c>
      <c r="G4653" s="4">
        <v>5.0756989177880999E-26</v>
      </c>
      <c r="H4653" s="3" t="str">
        <f>"PLXNB3"</f>
        <v>PLXNB3</v>
      </c>
      <c r="I4653" s="3" t="str">
        <f t="shared" si="187"/>
        <v>protein_coding</v>
      </c>
    </row>
    <row r="4654" spans="1:9" x14ac:dyDescent="0.2">
      <c r="A4654" s="3" t="str">
        <f>"ENSG00000198910.13"</f>
        <v>ENSG00000198910.13</v>
      </c>
      <c r="B4654" s="3">
        <v>459.49895354226499</v>
      </c>
      <c r="C4654" s="3">
        <v>-2.9352384104151001</v>
      </c>
      <c r="D4654" s="3">
        <v>0.37311750658030801</v>
      </c>
      <c r="E4654" s="3">
        <v>-7.86679359357084</v>
      </c>
      <c r="F4654" s="4">
        <v>3.6384621465243404E-15</v>
      </c>
      <c r="G4654" s="4">
        <v>1.3420163533111399E-13</v>
      </c>
      <c r="H4654" s="3" t="str">
        <f>"L1CAM"</f>
        <v>L1CAM</v>
      </c>
      <c r="I4654" s="3" t="str">
        <f t="shared" si="187"/>
        <v>protein_coding</v>
      </c>
    </row>
    <row r="4655" spans="1:9" x14ac:dyDescent="0.2">
      <c r="A4655" s="3" t="str">
        <f>"ENSG00000102032.13"</f>
        <v>ENSG00000102032.13</v>
      </c>
      <c r="B4655" s="3">
        <v>138.324196485247</v>
      </c>
      <c r="C4655" s="3">
        <v>1.55822261672495</v>
      </c>
      <c r="D4655" s="3">
        <v>0.391528670225399</v>
      </c>
      <c r="E4655" s="3">
        <v>3.9798429469491801</v>
      </c>
      <c r="F4655" s="4">
        <v>6.8960811375437002E-5</v>
      </c>
      <c r="G4655" s="3">
        <v>5.8466774861783502E-4</v>
      </c>
      <c r="H4655" s="3" t="str">
        <f>"RENBP"</f>
        <v>RENBP</v>
      </c>
      <c r="I4655" s="3" t="str">
        <f t="shared" si="187"/>
        <v>protein_coding</v>
      </c>
    </row>
    <row r="4656" spans="1:9" x14ac:dyDescent="0.2">
      <c r="A4656" s="3" t="str">
        <f>"ENSG00000172534.14"</f>
        <v>ENSG00000172534.14</v>
      </c>
      <c r="B4656" s="3">
        <v>10250.612622504599</v>
      </c>
      <c r="C4656" s="3">
        <v>-1.08419452610676</v>
      </c>
      <c r="D4656" s="3">
        <v>0.30088942797594898</v>
      </c>
      <c r="E4656" s="3">
        <v>-3.6032988377159501</v>
      </c>
      <c r="F4656" s="3">
        <v>3.1420393473433099E-4</v>
      </c>
      <c r="G4656" s="3">
        <v>2.2346055918128602E-3</v>
      </c>
      <c r="H4656" s="3" t="str">
        <f>"HCFC1"</f>
        <v>HCFC1</v>
      </c>
      <c r="I4656" s="3" t="str">
        <f t="shared" si="187"/>
        <v>protein_coding</v>
      </c>
    </row>
    <row r="4657" spans="1:9" x14ac:dyDescent="0.2">
      <c r="A4657" s="3" t="str">
        <f>"ENSG00000285018.1"</f>
        <v>ENSG00000285018.1</v>
      </c>
      <c r="B4657" s="3">
        <v>26.2250782258855</v>
      </c>
      <c r="C4657" s="3">
        <v>3.8653701255703199</v>
      </c>
      <c r="D4657" s="3">
        <v>0.84149871720962899</v>
      </c>
      <c r="E4657" s="3">
        <v>4.5934355531612798</v>
      </c>
      <c r="F4657" s="4">
        <v>4.3600771326585499E-6</v>
      </c>
      <c r="G4657" s="4">
        <v>4.8529973571692898E-5</v>
      </c>
      <c r="H4657" s="3" t="str">
        <f>"AC245140.3"</f>
        <v>AC245140.3</v>
      </c>
      <c r="I4657" s="3" t="str">
        <f>"antisense"</f>
        <v>antisense</v>
      </c>
    </row>
    <row r="4658" spans="1:9" x14ac:dyDescent="0.2">
      <c r="A4658" s="3" t="str">
        <f>"ENSG00000013563.14"</f>
        <v>ENSG00000013563.14</v>
      </c>
      <c r="B4658" s="3">
        <v>342.42365865941503</v>
      </c>
      <c r="C4658" s="3">
        <v>1.31334616627675</v>
      </c>
      <c r="D4658" s="3">
        <v>0.32075211029363898</v>
      </c>
      <c r="E4658" s="3">
        <v>4.0945830880876199</v>
      </c>
      <c r="F4658" s="4">
        <v>4.2292872743574303E-5</v>
      </c>
      <c r="G4658" s="3">
        <v>3.7712769013279401E-4</v>
      </c>
      <c r="H4658" s="3" t="str">
        <f>"DNASE1L1"</f>
        <v>DNASE1L1</v>
      </c>
      <c r="I4658" s="3" t="str">
        <f>"protein_coding"</f>
        <v>protein_coding</v>
      </c>
    </row>
    <row r="4659" spans="1:9" x14ac:dyDescent="0.2">
      <c r="A4659" s="3" t="str">
        <f>"ENSG00000071889.16"</f>
        <v>ENSG00000071889.16</v>
      </c>
      <c r="B4659" s="3">
        <v>456.74140994504501</v>
      </c>
      <c r="C4659" s="3">
        <v>1.11738856416374</v>
      </c>
      <c r="D4659" s="3">
        <v>0.31416415156828797</v>
      </c>
      <c r="E4659" s="3">
        <v>3.5567029483975401</v>
      </c>
      <c r="F4659" s="3">
        <v>3.7553838530397901E-4</v>
      </c>
      <c r="G4659" s="3">
        <v>2.6059774020197502E-3</v>
      </c>
      <c r="H4659" s="3" t="str">
        <f>"FAM3A"</f>
        <v>FAM3A</v>
      </c>
      <c r="I4659" s="3" t="str">
        <f>"protein_coding"</f>
        <v>protein_coding</v>
      </c>
    </row>
    <row r="4660" spans="1:9" x14ac:dyDescent="0.2">
      <c r="A4660" s="3" t="str">
        <f>"ENSG00000130826.18"</f>
        <v>ENSG00000130826.18</v>
      </c>
      <c r="B4660" s="3">
        <v>3057.6156509156299</v>
      </c>
      <c r="C4660" s="3">
        <v>-1.38648264768725</v>
      </c>
      <c r="D4660" s="3">
        <v>0.25583245603628701</v>
      </c>
      <c r="E4660" s="3">
        <v>-5.4194947317028204</v>
      </c>
      <c r="F4660" s="4">
        <v>5.9767711186107704E-8</v>
      </c>
      <c r="G4660" s="4">
        <v>9.2463516290685102E-7</v>
      </c>
      <c r="H4660" s="3" t="str">
        <f>"DKC1"</f>
        <v>DKC1</v>
      </c>
      <c r="I4660" s="3" t="str">
        <f>"protein_coding"</f>
        <v>protein_coding</v>
      </c>
    </row>
    <row r="4661" spans="1:9" x14ac:dyDescent="0.2">
      <c r="A4661" s="3" t="str">
        <f>"ENSG00000130830.15"</f>
        <v>ENSG00000130830.15</v>
      </c>
      <c r="B4661" s="3">
        <v>326.88433073168699</v>
      </c>
      <c r="C4661" s="3">
        <v>-2.1789937230151901</v>
      </c>
      <c r="D4661" s="3">
        <v>0.30192621036968698</v>
      </c>
      <c r="E4661" s="3">
        <v>-7.2169743737953898</v>
      </c>
      <c r="F4661" s="4">
        <v>5.3156989241315402E-13</v>
      </c>
      <c r="G4661" s="4">
        <v>1.5805721801008101E-11</v>
      </c>
      <c r="H4661" s="3" t="str">
        <f>"MPP1"</f>
        <v>MPP1</v>
      </c>
      <c r="I4661" s="3" t="str">
        <f>"protein_coding"</f>
        <v>protein_coding</v>
      </c>
    </row>
    <row r="4662" spans="1:9" x14ac:dyDescent="0.2">
      <c r="A4662" s="3" t="str">
        <f>"ENSG00000167393.17_PAR_Y"</f>
        <v>ENSG00000167393.17_PAR_Y</v>
      </c>
      <c r="B4662" s="3">
        <v>155.815314575645</v>
      </c>
      <c r="C4662" s="3">
        <v>1.68594833123571</v>
      </c>
      <c r="D4662" s="3">
        <v>0.391883963003964</v>
      </c>
      <c r="E4662" s="3">
        <v>4.3021620949021901</v>
      </c>
      <c r="F4662" s="4">
        <v>1.6913949767658301E-5</v>
      </c>
      <c r="G4662" s="3">
        <v>1.64655730033066E-4</v>
      </c>
      <c r="H4662" s="3" t="str">
        <f>"PPP2R3B"</f>
        <v>PPP2R3B</v>
      </c>
      <c r="I4662" s="3" t="str">
        <f>"protein_coding"</f>
        <v>protein_coding</v>
      </c>
    </row>
    <row r="4663" spans="1:9" x14ac:dyDescent="0.2">
      <c r="A4663" s="3" t="str">
        <f>"ENSG00000231535.6"</f>
        <v>ENSG00000231535.6</v>
      </c>
      <c r="B4663" s="3">
        <v>40.089145834073101</v>
      </c>
      <c r="C4663" s="3">
        <v>3.3530129187139401</v>
      </c>
      <c r="D4663" s="3">
        <v>0.65840647127959395</v>
      </c>
      <c r="E4663" s="3">
        <v>5.0926184127526204</v>
      </c>
      <c r="F4663" s="4">
        <v>3.5315201190836798E-7</v>
      </c>
      <c r="G4663" s="4">
        <v>4.7993186707482504E-6</v>
      </c>
      <c r="H4663" s="3" t="str">
        <f>"LINC00278"</f>
        <v>LINC00278</v>
      </c>
      <c r="I4663" s="3" t="str">
        <f>"lincRNA"</f>
        <v>lincRNA</v>
      </c>
    </row>
    <row r="4664" spans="1:9" x14ac:dyDescent="0.2">
      <c r="A4664" s="3" t="str">
        <f>"ENSG00000286050.1"</f>
        <v>ENSG00000286050.1</v>
      </c>
      <c r="B4664" s="3">
        <v>584.947983123786</v>
      </c>
      <c r="C4664" s="3">
        <v>10.2663936720822</v>
      </c>
      <c r="D4664" s="3">
        <v>1.0581580693107899</v>
      </c>
      <c r="E4664" s="3">
        <v>9.7021361645608994</v>
      </c>
      <c r="F4664" s="4">
        <v>2.9525124052393899E-22</v>
      </c>
      <c r="G4664" s="4">
        <v>1.8429391948832999E-20</v>
      </c>
      <c r="H4664" s="3" t="str">
        <f>"AC012078.2"</f>
        <v>AC012078.2</v>
      </c>
      <c r="I4664" s="3" t="str">
        <f>"lincRNA"</f>
        <v>lincRNA</v>
      </c>
    </row>
    <row r="4665" spans="1:9" x14ac:dyDescent="0.2">
      <c r="A4665" s="3" t="str">
        <f>"ENSG00000092377.14"</f>
        <v>ENSG00000092377.14</v>
      </c>
      <c r="B4665" s="3">
        <v>17.351269457133</v>
      </c>
      <c r="C4665" s="3">
        <v>-2.5064272774146001</v>
      </c>
      <c r="D4665" s="3">
        <v>0.87220377150553796</v>
      </c>
      <c r="E4665" s="3">
        <v>-2.8736716800572601</v>
      </c>
      <c r="F4665" s="3">
        <v>4.0573049738919197E-3</v>
      </c>
      <c r="G4665" s="3">
        <v>1.9933888011377202E-2</v>
      </c>
      <c r="H4665" s="3" t="str">
        <f>"TBL1Y"</f>
        <v>TBL1Y</v>
      </c>
      <c r="I4665" s="3" t="str">
        <f>"protein_coding"</f>
        <v>protein_coding</v>
      </c>
    </row>
    <row r="4666" spans="1:9" x14ac:dyDescent="0.2">
      <c r="A4666" s="3" t="str">
        <f>"ENSG00000273906.1"</f>
        <v>ENSG00000273906.1</v>
      </c>
      <c r="B4666" s="3">
        <v>32.1199017520605</v>
      </c>
      <c r="C4666" s="3">
        <v>-5.9287626807735299</v>
      </c>
      <c r="D4666" s="3">
        <v>1.18569685612178</v>
      </c>
      <c r="E4666" s="3">
        <v>-5.0002347987710296</v>
      </c>
      <c r="F4666" s="4">
        <v>5.7260539359228102E-7</v>
      </c>
      <c r="G4666" s="4">
        <v>7.5216128855424604E-6</v>
      </c>
      <c r="H4666" s="3" t="str">
        <f>"AC011297.1"</f>
        <v>AC011297.1</v>
      </c>
      <c r="I4666" s="3" t="str">
        <f>"sense_intronic"</f>
        <v>sense_intronic</v>
      </c>
    </row>
    <row r="4667" spans="1:9" x14ac:dyDescent="0.2">
      <c r="A4667" s="3" t="str">
        <f>"ENSG00000099725.14"</f>
        <v>ENSG00000099725.14</v>
      </c>
      <c r="B4667" s="3">
        <v>1338.6222444223699</v>
      </c>
      <c r="C4667" s="3">
        <v>2.40066383001502</v>
      </c>
      <c r="D4667" s="3">
        <v>0.24950630575785901</v>
      </c>
      <c r="E4667" s="3">
        <v>9.6216559446189596</v>
      </c>
      <c r="F4667" s="4">
        <v>6.4779758769298699E-22</v>
      </c>
      <c r="G4667" s="4">
        <v>3.9265899562450798E-20</v>
      </c>
      <c r="H4667" s="3" t="str">
        <f>"PRKY"</f>
        <v>PRKY</v>
      </c>
      <c r="I4667" s="3" t="str">
        <f>"protein_coding"</f>
        <v>protein_coding</v>
      </c>
    </row>
    <row r="4668" spans="1:9" x14ac:dyDescent="0.2">
      <c r="A4668" s="3" t="str">
        <f>"ENSG00000274162.1"</f>
        <v>ENSG00000274162.1</v>
      </c>
      <c r="B4668" s="3">
        <v>29.7076312499042</v>
      </c>
      <c r="C4668" s="3">
        <v>5.3428149005211196</v>
      </c>
      <c r="D4668" s="3">
        <v>1.02671596832527</v>
      </c>
      <c r="E4668" s="3">
        <v>5.2037905957926096</v>
      </c>
      <c r="F4668" s="4">
        <v>1.9526402637779899E-7</v>
      </c>
      <c r="G4668" s="4">
        <v>2.7924198883078701E-6</v>
      </c>
      <c r="H4668" s="3" t="str">
        <f>"SNX18P1Y"</f>
        <v>SNX18P1Y</v>
      </c>
      <c r="I4668" s="3" t="str">
        <f>"processed_pseudogene"</f>
        <v>processed_pseudogene</v>
      </c>
    </row>
    <row r="4669" spans="1:9" x14ac:dyDescent="0.2">
      <c r="A4669" s="3" t="str">
        <f>"ENSG00000226555.1"</f>
        <v>ENSG00000226555.1</v>
      </c>
      <c r="B4669" s="3">
        <v>72.038470367863695</v>
      </c>
      <c r="C4669" s="3">
        <v>1.3369365666466</v>
      </c>
      <c r="D4669" s="3">
        <v>0.46092399021365998</v>
      </c>
      <c r="E4669" s="3">
        <v>2.9005575648749899</v>
      </c>
      <c r="F4669" s="3">
        <v>3.7249941187245E-3</v>
      </c>
      <c r="G4669" s="3">
        <v>1.85438802803315E-2</v>
      </c>
      <c r="H4669" s="3" t="str">
        <f>"AGKP1"</f>
        <v>AGKP1</v>
      </c>
      <c r="I4669" s="3" t="str">
        <f>"processed_pseudogene"</f>
        <v>processed_pseudogene</v>
      </c>
    </row>
  </sheetData>
  <phoneticPr fontId="1" type="noConversion"/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68"/>
  <sheetViews>
    <sheetView workbookViewId="0">
      <selection sqref="A1:XFD1048576"/>
    </sheetView>
  </sheetViews>
  <sheetFormatPr defaultColWidth="9" defaultRowHeight="14.25" x14ac:dyDescent="0.2"/>
  <cols>
    <col min="1" max="1" width="29.125" style="13" bestFit="1" customWidth="1"/>
    <col min="2" max="2" width="14.125" style="13" bestFit="1" customWidth="1"/>
    <col min="3" max="3" width="15.5" style="13" bestFit="1" customWidth="1"/>
    <col min="4" max="4" width="12.75" style="13" bestFit="1" customWidth="1"/>
    <col min="5" max="5" width="13.625" style="13" bestFit="1" customWidth="1"/>
    <col min="6" max="7" width="12.75" style="13" bestFit="1" customWidth="1"/>
    <col min="8" max="8" width="15.375" style="13" bestFit="1" customWidth="1"/>
    <col min="9" max="9" width="13" style="13" bestFit="1" customWidth="1"/>
    <col min="10" max="16384" width="9" style="13"/>
  </cols>
  <sheetData>
    <row r="1" spans="1:9" ht="15" x14ac:dyDescent="0.2">
      <c r="A1" s="11" t="s">
        <v>7</v>
      </c>
      <c r="B1" s="11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11" t="s">
        <v>14</v>
      </c>
      <c r="I1" s="11" t="s">
        <v>15</v>
      </c>
    </row>
    <row r="2" spans="1:9" x14ac:dyDescent="0.2">
      <c r="A2" s="10" t="s">
        <v>16</v>
      </c>
      <c r="B2" s="10">
        <v>16.989692839403201</v>
      </c>
      <c r="C2" s="10">
        <v>-2.6666440876278199</v>
      </c>
      <c r="D2" s="10">
        <v>0.91123511452280004</v>
      </c>
      <c r="E2" s="10">
        <v>-2.9264061987166698</v>
      </c>
      <c r="F2" s="10">
        <v>3.42902894341602E-3</v>
      </c>
      <c r="G2" s="10">
        <v>1.28480131492377E-2</v>
      </c>
      <c r="H2" s="10" t="s">
        <v>17</v>
      </c>
      <c r="I2" s="10" t="s">
        <v>18</v>
      </c>
    </row>
    <row r="3" spans="1:9" x14ac:dyDescent="0.2">
      <c r="A3" s="10" t="s">
        <v>19</v>
      </c>
      <c r="B3" s="10">
        <v>381.37480698120498</v>
      </c>
      <c r="C3" s="10">
        <v>-1.43168653851409</v>
      </c>
      <c r="D3" s="10">
        <v>0.27507574338958302</v>
      </c>
      <c r="E3" s="10">
        <v>-5.2046993343445402</v>
      </c>
      <c r="F3" s="4">
        <v>1.94310950323335E-7</v>
      </c>
      <c r="G3" s="4">
        <v>1.88211534428009E-6</v>
      </c>
      <c r="H3" s="10" t="s">
        <v>20</v>
      </c>
      <c r="I3" s="10" t="s">
        <v>18</v>
      </c>
    </row>
    <row r="4" spans="1:9" x14ac:dyDescent="0.2">
      <c r="A4" s="10" t="s">
        <v>21</v>
      </c>
      <c r="B4" s="10">
        <v>123.82415861854101</v>
      </c>
      <c r="C4" s="10">
        <v>6.5691467712136999</v>
      </c>
      <c r="D4" s="10">
        <v>0.72752026298372097</v>
      </c>
      <c r="E4" s="10">
        <v>9.0295035141319495</v>
      </c>
      <c r="F4" s="4">
        <v>1.7245241660262899E-19</v>
      </c>
      <c r="G4" s="4">
        <v>6.2986742562625103E-18</v>
      </c>
      <c r="H4" s="10" t="s">
        <v>22</v>
      </c>
      <c r="I4" s="10" t="s">
        <v>18</v>
      </c>
    </row>
    <row r="5" spans="1:9" x14ac:dyDescent="0.2">
      <c r="A5" s="10" t="s">
        <v>23</v>
      </c>
      <c r="B5" s="10">
        <v>107.31951201052399</v>
      </c>
      <c r="C5" s="10">
        <v>-1.54470846044258</v>
      </c>
      <c r="D5" s="10">
        <v>0.39526360670141603</v>
      </c>
      <c r="E5" s="10">
        <v>-3.9080462614142499</v>
      </c>
      <c r="F5" s="4">
        <v>9.3045492959871194E-5</v>
      </c>
      <c r="G5" s="10">
        <v>5.3700710584147604E-4</v>
      </c>
      <c r="H5" s="10" t="s">
        <v>24</v>
      </c>
      <c r="I5" s="10" t="s">
        <v>18</v>
      </c>
    </row>
    <row r="6" spans="1:9" x14ac:dyDescent="0.2">
      <c r="A6" s="10" t="s">
        <v>25</v>
      </c>
      <c r="B6" s="10">
        <v>345.57582458626001</v>
      </c>
      <c r="C6" s="10">
        <v>-1.0536859776146299</v>
      </c>
      <c r="D6" s="10">
        <v>0.25434120578893299</v>
      </c>
      <c r="E6" s="10">
        <v>-4.1428048370936503</v>
      </c>
      <c r="F6" s="4">
        <v>3.4308388974890598E-5</v>
      </c>
      <c r="G6" s="10">
        <v>2.1719346524136699E-4</v>
      </c>
      <c r="H6" s="10" t="s">
        <v>26</v>
      </c>
      <c r="I6" s="10" t="s">
        <v>18</v>
      </c>
    </row>
    <row r="7" spans="1:9" x14ac:dyDescent="0.2">
      <c r="A7" s="10" t="s">
        <v>27</v>
      </c>
      <c r="B7" s="10">
        <v>80.353460351676404</v>
      </c>
      <c r="C7" s="10">
        <v>1.3135178945622901</v>
      </c>
      <c r="D7" s="10">
        <v>0.44338867343557498</v>
      </c>
      <c r="E7" s="10">
        <v>2.9624525236167099</v>
      </c>
      <c r="F7" s="10">
        <v>3.0519887203866399E-3</v>
      </c>
      <c r="G7" s="10">
        <v>1.16320515686634E-2</v>
      </c>
      <c r="H7" s="10" t="s">
        <v>28</v>
      </c>
      <c r="I7" s="10" t="s">
        <v>18</v>
      </c>
    </row>
    <row r="8" spans="1:9" x14ac:dyDescent="0.2">
      <c r="A8" s="10" t="s">
        <v>29</v>
      </c>
      <c r="B8" s="10">
        <v>486.04215415742402</v>
      </c>
      <c r="C8" s="10">
        <v>-1.1647876403886099</v>
      </c>
      <c r="D8" s="10">
        <v>0.25884429357556998</v>
      </c>
      <c r="E8" s="10">
        <v>-4.4999548736373702</v>
      </c>
      <c r="F8" s="4">
        <v>6.7967889721353297E-6</v>
      </c>
      <c r="G8" s="4">
        <v>4.9863249629448399E-5</v>
      </c>
      <c r="H8" s="10" t="s">
        <v>30</v>
      </c>
      <c r="I8" s="10" t="s">
        <v>18</v>
      </c>
    </row>
    <row r="9" spans="1:9" x14ac:dyDescent="0.2">
      <c r="A9" s="10" t="s">
        <v>31</v>
      </c>
      <c r="B9" s="10">
        <v>24.948810324297799</v>
      </c>
      <c r="C9" s="10">
        <v>1.76180546215876</v>
      </c>
      <c r="D9" s="10">
        <v>0.69670224930222802</v>
      </c>
      <c r="E9" s="10">
        <v>2.5287782032041202</v>
      </c>
      <c r="F9" s="10">
        <v>1.14460333793132E-2</v>
      </c>
      <c r="G9" s="10">
        <v>3.5593479968745498E-2</v>
      </c>
      <c r="H9" s="10" t="s">
        <v>32</v>
      </c>
      <c r="I9" s="10" t="s">
        <v>18</v>
      </c>
    </row>
    <row r="10" spans="1:9" x14ac:dyDescent="0.2">
      <c r="A10" s="10" t="s">
        <v>33</v>
      </c>
      <c r="B10" s="10">
        <v>2439.7486013788898</v>
      </c>
      <c r="C10" s="10">
        <v>-1.7290784835926001</v>
      </c>
      <c r="D10" s="10">
        <v>0.219035934631268</v>
      </c>
      <c r="E10" s="10">
        <v>-7.8940402473383404</v>
      </c>
      <c r="F10" s="4">
        <v>2.9255775438045899E-15</v>
      </c>
      <c r="G10" s="4">
        <v>7.4988910005685502E-14</v>
      </c>
      <c r="H10" s="10" t="s">
        <v>34</v>
      </c>
      <c r="I10" s="10" t="s">
        <v>18</v>
      </c>
    </row>
    <row r="11" spans="1:9" x14ac:dyDescent="0.2">
      <c r="A11" s="10" t="s">
        <v>35</v>
      </c>
      <c r="B11" s="10">
        <v>517.66596968810404</v>
      </c>
      <c r="C11" s="10">
        <v>-1.33490692427033</v>
      </c>
      <c r="D11" s="10">
        <v>0.26574688940132701</v>
      </c>
      <c r="E11" s="10">
        <v>-5.0232269031543497</v>
      </c>
      <c r="F11" s="4">
        <v>5.0810455878777195E-7</v>
      </c>
      <c r="G11" s="4">
        <v>4.5857320017523799E-6</v>
      </c>
      <c r="H11" s="10" t="s">
        <v>36</v>
      </c>
      <c r="I11" s="10" t="s">
        <v>18</v>
      </c>
    </row>
    <row r="12" spans="1:9" x14ac:dyDescent="0.2">
      <c r="A12" s="10" t="s">
        <v>37</v>
      </c>
      <c r="B12" s="10">
        <v>1151.7145548194101</v>
      </c>
      <c r="C12" s="10">
        <v>2.0473622268118601</v>
      </c>
      <c r="D12" s="10">
        <v>0.243244554918887</v>
      </c>
      <c r="E12" s="10">
        <v>8.4168882115144701</v>
      </c>
      <c r="F12" s="4">
        <v>3.8661627469001303E-17</v>
      </c>
      <c r="G12" s="4">
        <v>1.1627079068961099E-15</v>
      </c>
      <c r="H12" s="10" t="s">
        <v>38</v>
      </c>
      <c r="I12" s="10" t="s">
        <v>18</v>
      </c>
    </row>
    <row r="13" spans="1:9" x14ac:dyDescent="0.2">
      <c r="A13" s="10" t="s">
        <v>39</v>
      </c>
      <c r="B13" s="10">
        <v>1768.8799251257699</v>
      </c>
      <c r="C13" s="10">
        <v>-1.8852764421321</v>
      </c>
      <c r="D13" s="10">
        <v>0.24347486041532301</v>
      </c>
      <c r="E13" s="10">
        <v>-7.7432078158548698</v>
      </c>
      <c r="F13" s="4">
        <v>9.6939401268504901E-15</v>
      </c>
      <c r="G13" s="4">
        <v>2.34123730229853E-13</v>
      </c>
      <c r="H13" s="10" t="s">
        <v>40</v>
      </c>
      <c r="I13" s="10" t="s">
        <v>18</v>
      </c>
    </row>
    <row r="14" spans="1:9" x14ac:dyDescent="0.2">
      <c r="A14" s="10" t="s">
        <v>41</v>
      </c>
      <c r="B14" s="10">
        <v>163.87576000865801</v>
      </c>
      <c r="C14" s="10">
        <v>1.30109108482039</v>
      </c>
      <c r="D14" s="10">
        <v>0.33800708057041201</v>
      </c>
      <c r="E14" s="10">
        <v>3.8493012709222101</v>
      </c>
      <c r="F14" s="10">
        <v>1.18455242758137E-4</v>
      </c>
      <c r="G14" s="10">
        <v>6.6753877961343302E-4</v>
      </c>
      <c r="H14" s="10" t="s">
        <v>42</v>
      </c>
      <c r="I14" s="10" t="s">
        <v>18</v>
      </c>
    </row>
    <row r="15" spans="1:9" x14ac:dyDescent="0.2">
      <c r="A15" s="10" t="s">
        <v>43</v>
      </c>
      <c r="B15" s="10">
        <v>1352.2555267984999</v>
      </c>
      <c r="C15" s="10">
        <v>-1.50737224080322</v>
      </c>
      <c r="D15" s="10">
        <v>0.22336047835185899</v>
      </c>
      <c r="E15" s="10">
        <v>-6.7486076853250001</v>
      </c>
      <c r="F15" s="4">
        <v>1.4927059421142099E-11</v>
      </c>
      <c r="G15" s="4">
        <v>2.5757921978965101E-10</v>
      </c>
      <c r="H15" s="10" t="s">
        <v>44</v>
      </c>
      <c r="I15" s="10" t="s">
        <v>18</v>
      </c>
    </row>
    <row r="16" spans="1:9" x14ac:dyDescent="0.2">
      <c r="A16" s="10" t="s">
        <v>45</v>
      </c>
      <c r="B16" s="10">
        <v>1234.15698384911</v>
      </c>
      <c r="C16" s="10">
        <v>-1.64209116228069</v>
      </c>
      <c r="D16" s="10">
        <v>0.228999207425028</v>
      </c>
      <c r="E16" s="10">
        <v>-7.1707285834964898</v>
      </c>
      <c r="F16" s="4">
        <v>7.4599673490218303E-13</v>
      </c>
      <c r="G16" s="4">
        <v>1.50564244710221E-11</v>
      </c>
      <c r="H16" s="10" t="s">
        <v>46</v>
      </c>
      <c r="I16" s="10" t="s">
        <v>18</v>
      </c>
    </row>
    <row r="17" spans="1:9" x14ac:dyDescent="0.2">
      <c r="A17" s="10" t="s">
        <v>47</v>
      </c>
      <c r="B17" s="10">
        <v>2419.1234237293402</v>
      </c>
      <c r="C17" s="10">
        <v>1.6024725100128201</v>
      </c>
      <c r="D17" s="10">
        <v>0.1975459636993</v>
      </c>
      <c r="E17" s="10">
        <v>8.1118969985742897</v>
      </c>
      <c r="F17" s="4">
        <v>4.9835537566121505E-16</v>
      </c>
      <c r="G17" s="4">
        <v>1.36606528376671E-14</v>
      </c>
      <c r="H17" s="10" t="s">
        <v>48</v>
      </c>
      <c r="I17" s="10" t="s">
        <v>18</v>
      </c>
    </row>
    <row r="18" spans="1:9" x14ac:dyDescent="0.2">
      <c r="A18" s="10" t="s">
        <v>49</v>
      </c>
      <c r="B18" s="10">
        <v>19.872124352439801</v>
      </c>
      <c r="C18" s="10">
        <v>4.1859160475895898</v>
      </c>
      <c r="D18" s="10">
        <v>1.0166617791036201</v>
      </c>
      <c r="E18" s="10">
        <v>4.1173142667763996</v>
      </c>
      <c r="F18" s="4">
        <v>3.8331322013857097E-5</v>
      </c>
      <c r="G18" s="10">
        <v>2.40040916233302E-4</v>
      </c>
      <c r="H18" s="10" t="s">
        <v>50</v>
      </c>
      <c r="I18" s="10" t="s">
        <v>18</v>
      </c>
    </row>
    <row r="19" spans="1:9" x14ac:dyDescent="0.2">
      <c r="A19" s="10" t="s">
        <v>51</v>
      </c>
      <c r="B19" s="10">
        <v>65.399223492675006</v>
      </c>
      <c r="C19" s="10">
        <v>1.85405819956364</v>
      </c>
      <c r="D19" s="10">
        <v>0.45809953162931299</v>
      </c>
      <c r="E19" s="10">
        <v>4.0472824605808899</v>
      </c>
      <c r="F19" s="4">
        <v>5.1815700003921701E-5</v>
      </c>
      <c r="G19" s="10">
        <v>3.1605605059477397E-4</v>
      </c>
      <c r="H19" s="10" t="s">
        <v>52</v>
      </c>
      <c r="I19" s="10" t="s">
        <v>18</v>
      </c>
    </row>
    <row r="20" spans="1:9" x14ac:dyDescent="0.2">
      <c r="A20" s="10" t="s">
        <v>53</v>
      </c>
      <c r="B20" s="10">
        <v>12.875252514924799</v>
      </c>
      <c r="C20" s="10">
        <v>2.86310477860185</v>
      </c>
      <c r="D20" s="10">
        <v>1.09800640875903</v>
      </c>
      <c r="E20" s="10">
        <v>2.6075483310136098</v>
      </c>
      <c r="F20" s="10">
        <v>9.1193195656029697E-3</v>
      </c>
      <c r="G20" s="10">
        <v>2.94365715204341E-2</v>
      </c>
      <c r="H20" s="10" t="s">
        <v>54</v>
      </c>
      <c r="I20" s="10" t="s">
        <v>18</v>
      </c>
    </row>
    <row r="21" spans="1:9" x14ac:dyDescent="0.2">
      <c r="A21" s="10" t="s">
        <v>55</v>
      </c>
      <c r="B21" s="10">
        <v>1130.42986640193</v>
      </c>
      <c r="C21" s="10">
        <v>2.2502852879314998</v>
      </c>
      <c r="D21" s="10">
        <v>0.22207206867842</v>
      </c>
      <c r="E21" s="10">
        <v>10.133130660344801</v>
      </c>
      <c r="F21" s="4">
        <v>3.9383409772687297E-24</v>
      </c>
      <c r="G21" s="4">
        <v>2.0557083641310501E-22</v>
      </c>
      <c r="H21" s="10" t="s">
        <v>56</v>
      </c>
      <c r="I21" s="10" t="s">
        <v>18</v>
      </c>
    </row>
    <row r="22" spans="1:9" x14ac:dyDescent="0.2">
      <c r="A22" s="10" t="s">
        <v>57</v>
      </c>
      <c r="B22" s="10">
        <v>616.87129333075995</v>
      </c>
      <c r="C22" s="10">
        <v>-1.60887182557567</v>
      </c>
      <c r="D22" s="10">
        <v>0.22850695608104399</v>
      </c>
      <c r="E22" s="10">
        <v>-7.0408002153118501</v>
      </c>
      <c r="F22" s="4">
        <v>1.9113890291070198E-12</v>
      </c>
      <c r="G22" s="4">
        <v>3.6572764660167698E-11</v>
      </c>
      <c r="H22" s="10" t="s">
        <v>58</v>
      </c>
      <c r="I22" s="10" t="s">
        <v>18</v>
      </c>
    </row>
    <row r="23" spans="1:9" x14ac:dyDescent="0.2">
      <c r="A23" s="10" t="s">
        <v>59</v>
      </c>
      <c r="B23" s="10">
        <v>762.80968491501096</v>
      </c>
      <c r="C23" s="10">
        <v>-1.4516448291702</v>
      </c>
      <c r="D23" s="10">
        <v>0.23656903597297299</v>
      </c>
      <c r="E23" s="10">
        <v>-6.1362418931953604</v>
      </c>
      <c r="F23" s="4">
        <v>8.4496468049345698E-10</v>
      </c>
      <c r="G23" s="4">
        <v>1.1604210004740499E-8</v>
      </c>
      <c r="H23" s="10" t="s">
        <v>60</v>
      </c>
      <c r="I23" s="10" t="s">
        <v>18</v>
      </c>
    </row>
    <row r="24" spans="1:9" x14ac:dyDescent="0.2">
      <c r="A24" s="10" t="s">
        <v>61</v>
      </c>
      <c r="B24" s="10">
        <v>1031.62850169222</v>
      </c>
      <c r="C24" s="10">
        <v>-1.1139540520507101</v>
      </c>
      <c r="D24" s="10">
        <v>0.22754823477214001</v>
      </c>
      <c r="E24" s="10">
        <v>-4.8954633867680597</v>
      </c>
      <c r="F24" s="4">
        <v>9.8074351182231902E-7</v>
      </c>
      <c r="G24" s="4">
        <v>8.43507527355515E-6</v>
      </c>
      <c r="H24" s="10" t="s">
        <v>62</v>
      </c>
      <c r="I24" s="10" t="s">
        <v>18</v>
      </c>
    </row>
    <row r="25" spans="1:9" x14ac:dyDescent="0.2">
      <c r="A25" s="10" t="s">
        <v>63</v>
      </c>
      <c r="B25" s="10">
        <v>89.817127434648995</v>
      </c>
      <c r="C25" s="10">
        <v>1.0864823087840201</v>
      </c>
      <c r="D25" s="10">
        <v>0.41052215307936402</v>
      </c>
      <c r="E25" s="10">
        <v>2.6465863063277202</v>
      </c>
      <c r="F25" s="10">
        <v>8.1308754045728796E-3</v>
      </c>
      <c r="G25" s="10">
        <v>2.6730449100916698E-2</v>
      </c>
      <c r="H25" s="10" t="s">
        <v>64</v>
      </c>
      <c r="I25" s="10" t="s">
        <v>18</v>
      </c>
    </row>
    <row r="26" spans="1:9" x14ac:dyDescent="0.2">
      <c r="A26" s="10" t="s">
        <v>65</v>
      </c>
      <c r="B26" s="10">
        <v>230.00368358115401</v>
      </c>
      <c r="C26" s="10">
        <v>-2.02049137003636</v>
      </c>
      <c r="D26" s="10">
        <v>0.29203146343835501</v>
      </c>
      <c r="E26" s="10">
        <v>-6.91874548806235</v>
      </c>
      <c r="F26" s="4">
        <v>4.5566064309679804E-12</v>
      </c>
      <c r="G26" s="4">
        <v>8.32688500500232E-11</v>
      </c>
      <c r="H26" s="10" t="s">
        <v>66</v>
      </c>
      <c r="I26" s="10" t="s">
        <v>18</v>
      </c>
    </row>
    <row r="27" spans="1:9" x14ac:dyDescent="0.2">
      <c r="A27" s="10" t="s">
        <v>67</v>
      </c>
      <c r="B27" s="10">
        <v>773.898800382275</v>
      </c>
      <c r="C27" s="10">
        <v>-1.38587931255748</v>
      </c>
      <c r="D27" s="10">
        <v>0.22868623735284799</v>
      </c>
      <c r="E27" s="10">
        <v>-6.0601780351965697</v>
      </c>
      <c r="F27" s="4">
        <v>1.3597096305650399E-9</v>
      </c>
      <c r="G27" s="4">
        <v>1.8187534758962099E-8</v>
      </c>
      <c r="H27" s="10" t="s">
        <v>68</v>
      </c>
      <c r="I27" s="10" t="s">
        <v>18</v>
      </c>
    </row>
    <row r="28" spans="1:9" x14ac:dyDescent="0.2">
      <c r="A28" s="10" t="s">
        <v>69</v>
      </c>
      <c r="B28" s="10">
        <v>992.79922034480001</v>
      </c>
      <c r="C28" s="10">
        <v>-1.0593985511134001</v>
      </c>
      <c r="D28" s="10">
        <v>0.220607989013308</v>
      </c>
      <c r="E28" s="10">
        <v>-4.80217672919132</v>
      </c>
      <c r="F28" s="4">
        <v>1.5695007460768701E-6</v>
      </c>
      <c r="G28" s="4">
        <v>1.30021851104763E-5</v>
      </c>
      <c r="H28" s="10" t="s">
        <v>70</v>
      </c>
      <c r="I28" s="10" t="s">
        <v>18</v>
      </c>
    </row>
    <row r="29" spans="1:9" x14ac:dyDescent="0.2">
      <c r="A29" s="10" t="s">
        <v>71</v>
      </c>
      <c r="B29" s="10">
        <v>215.48223825005999</v>
      </c>
      <c r="C29" s="10">
        <v>4.2728097420668298</v>
      </c>
      <c r="D29" s="10">
        <v>0.361436337626871</v>
      </c>
      <c r="E29" s="10">
        <v>11.8217492190225</v>
      </c>
      <c r="F29" s="4">
        <v>3.0134379170704399E-32</v>
      </c>
      <c r="G29" s="4">
        <v>2.6658163287798199E-30</v>
      </c>
      <c r="H29" s="10" t="s">
        <v>72</v>
      </c>
      <c r="I29" s="10" t="s">
        <v>18</v>
      </c>
    </row>
    <row r="30" spans="1:9" x14ac:dyDescent="0.2">
      <c r="A30" s="10" t="s">
        <v>73</v>
      </c>
      <c r="B30" s="10">
        <v>343.52575842392298</v>
      </c>
      <c r="C30" s="10">
        <v>-1.4924152549513201</v>
      </c>
      <c r="D30" s="10">
        <v>0.245795349942205</v>
      </c>
      <c r="E30" s="10">
        <v>-6.0717798579275</v>
      </c>
      <c r="F30" s="4">
        <v>1.26500270184763E-9</v>
      </c>
      <c r="G30" s="4">
        <v>1.6990836964106199E-8</v>
      </c>
      <c r="H30" s="10" t="s">
        <v>74</v>
      </c>
      <c r="I30" s="10" t="s">
        <v>18</v>
      </c>
    </row>
    <row r="31" spans="1:9" x14ac:dyDescent="0.2">
      <c r="A31" s="10" t="s">
        <v>75</v>
      </c>
      <c r="B31" s="10">
        <v>3232.9006659066899</v>
      </c>
      <c r="C31" s="10">
        <v>-1.4030048085393101</v>
      </c>
      <c r="D31" s="10">
        <v>0.21417126265920799</v>
      </c>
      <c r="E31" s="10">
        <v>-6.5508546343670302</v>
      </c>
      <c r="F31" s="4">
        <v>5.7208726785239502E-11</v>
      </c>
      <c r="G31" s="4">
        <v>9.2289294181019603E-10</v>
      </c>
      <c r="H31" s="10" t="s">
        <v>76</v>
      </c>
      <c r="I31" s="10" t="s">
        <v>18</v>
      </c>
    </row>
    <row r="32" spans="1:9" x14ac:dyDescent="0.2">
      <c r="A32" s="10" t="s">
        <v>77</v>
      </c>
      <c r="B32" s="10">
        <v>189.549426965073</v>
      </c>
      <c r="C32" s="10">
        <v>2.7002172950157002</v>
      </c>
      <c r="D32" s="10">
        <v>0.31944456203035099</v>
      </c>
      <c r="E32" s="10">
        <v>8.4528510294664105</v>
      </c>
      <c r="F32" s="4">
        <v>2.8427429296068003E-17</v>
      </c>
      <c r="G32" s="4">
        <v>8.67370846618102E-16</v>
      </c>
      <c r="H32" s="10" t="s">
        <v>78</v>
      </c>
      <c r="I32" s="10" t="s">
        <v>18</v>
      </c>
    </row>
    <row r="33" spans="1:9" x14ac:dyDescent="0.2">
      <c r="A33" s="10" t="s">
        <v>79</v>
      </c>
      <c r="B33" s="10">
        <v>168.27904154132401</v>
      </c>
      <c r="C33" s="10">
        <v>4.4290580821735004</v>
      </c>
      <c r="D33" s="10">
        <v>0.40852730052654002</v>
      </c>
      <c r="E33" s="10">
        <v>10.841522895691501</v>
      </c>
      <c r="F33" s="4">
        <v>2.187981184176E-27</v>
      </c>
      <c r="G33" s="4">
        <v>1.4262182613694599E-25</v>
      </c>
      <c r="H33" s="10" t="s">
        <v>80</v>
      </c>
      <c r="I33" s="10" t="s">
        <v>18</v>
      </c>
    </row>
    <row r="34" spans="1:9" x14ac:dyDescent="0.2">
      <c r="A34" s="10" t="s">
        <v>81</v>
      </c>
      <c r="B34" s="10">
        <v>1473.1427935817501</v>
      </c>
      <c r="C34" s="10">
        <v>-1.16748140780531</v>
      </c>
      <c r="D34" s="10">
        <v>0.21760638714801001</v>
      </c>
      <c r="E34" s="10">
        <v>-5.36510634226567</v>
      </c>
      <c r="F34" s="4">
        <v>8.0901540601608596E-8</v>
      </c>
      <c r="G34" s="4">
        <v>8.3307795796373005E-7</v>
      </c>
      <c r="H34" s="10" t="s">
        <v>82</v>
      </c>
      <c r="I34" s="10" t="s">
        <v>18</v>
      </c>
    </row>
    <row r="35" spans="1:9" x14ac:dyDescent="0.2">
      <c r="A35" s="10" t="s">
        <v>83</v>
      </c>
      <c r="B35" s="10">
        <v>54.100654505408599</v>
      </c>
      <c r="C35" s="10">
        <v>1.8307455541426401</v>
      </c>
      <c r="D35" s="10">
        <v>0.50048222619402205</v>
      </c>
      <c r="E35" s="10">
        <v>3.6579631769638699</v>
      </c>
      <c r="F35" s="10">
        <v>2.54227560044051E-4</v>
      </c>
      <c r="G35" s="10">
        <v>1.3146590109167299E-3</v>
      </c>
      <c r="H35" s="10" t="s">
        <v>84</v>
      </c>
      <c r="I35" s="10" t="s">
        <v>18</v>
      </c>
    </row>
    <row r="36" spans="1:9" x14ac:dyDescent="0.2">
      <c r="A36" s="10" t="s">
        <v>85</v>
      </c>
      <c r="B36" s="10">
        <v>508.777375949251</v>
      </c>
      <c r="C36" s="10">
        <v>1.2334340584971299</v>
      </c>
      <c r="D36" s="10">
        <v>0.24763560011288799</v>
      </c>
      <c r="E36" s="10">
        <v>4.9808430529974501</v>
      </c>
      <c r="F36" s="4">
        <v>6.3307868743232297E-7</v>
      </c>
      <c r="G36" s="4">
        <v>5.6059457252091296E-6</v>
      </c>
      <c r="H36" s="10" t="s">
        <v>86</v>
      </c>
      <c r="I36" s="10" t="s">
        <v>18</v>
      </c>
    </row>
    <row r="37" spans="1:9" x14ac:dyDescent="0.2">
      <c r="A37" s="10" t="s">
        <v>87</v>
      </c>
      <c r="B37" s="10">
        <v>301.21495503996198</v>
      </c>
      <c r="C37" s="10">
        <v>-1.65682087401933</v>
      </c>
      <c r="D37" s="10">
        <v>0.26123554001535298</v>
      </c>
      <c r="E37" s="10">
        <v>-6.3422491209349401</v>
      </c>
      <c r="F37" s="4">
        <v>2.26434764209165E-10</v>
      </c>
      <c r="G37" s="4">
        <v>3.3277605288064298E-9</v>
      </c>
      <c r="H37" s="10" t="s">
        <v>88</v>
      </c>
      <c r="I37" s="10" t="s">
        <v>18</v>
      </c>
    </row>
    <row r="38" spans="1:9" x14ac:dyDescent="0.2">
      <c r="A38" s="10" t="s">
        <v>89</v>
      </c>
      <c r="B38" s="10">
        <v>7.3742006763044099</v>
      </c>
      <c r="C38" s="10">
        <v>4.7880582450455504</v>
      </c>
      <c r="D38" s="10">
        <v>1.83861232792217</v>
      </c>
      <c r="E38" s="10">
        <v>2.6041695534896001</v>
      </c>
      <c r="F38" s="10">
        <v>9.2097182968161294E-3</v>
      </c>
      <c r="G38" s="10">
        <v>2.9654596364139599E-2</v>
      </c>
      <c r="H38" s="10" t="s">
        <v>90</v>
      </c>
      <c r="I38" s="10" t="s">
        <v>18</v>
      </c>
    </row>
    <row r="39" spans="1:9" x14ac:dyDescent="0.2">
      <c r="A39" s="10" t="s">
        <v>91</v>
      </c>
      <c r="B39" s="10">
        <v>56426.771525545599</v>
      </c>
      <c r="C39" s="10">
        <v>-1.0039038622607199</v>
      </c>
      <c r="D39" s="10">
        <v>0.19738730349119599</v>
      </c>
      <c r="E39" s="10">
        <v>-5.0859596564958096</v>
      </c>
      <c r="F39" s="4">
        <v>3.6577180533246198E-7</v>
      </c>
      <c r="G39" s="4">
        <v>3.3829546435484E-6</v>
      </c>
      <c r="H39" s="10" t="s">
        <v>92</v>
      </c>
      <c r="I39" s="10" t="s">
        <v>18</v>
      </c>
    </row>
    <row r="40" spans="1:9" x14ac:dyDescent="0.2">
      <c r="A40" s="10" t="s">
        <v>93</v>
      </c>
      <c r="B40" s="10">
        <v>34.101038969532603</v>
      </c>
      <c r="C40" s="10">
        <v>8.4891281893385706</v>
      </c>
      <c r="D40" s="10">
        <v>1.5508136038731799</v>
      </c>
      <c r="E40" s="10">
        <v>5.4739835710345002</v>
      </c>
      <c r="F40" s="4">
        <v>4.4002987780418001E-8</v>
      </c>
      <c r="G40" s="4">
        <v>4.7577357462422599E-7</v>
      </c>
      <c r="H40" s="10" t="s">
        <v>94</v>
      </c>
      <c r="I40" s="10" t="s">
        <v>18</v>
      </c>
    </row>
    <row r="41" spans="1:9" x14ac:dyDescent="0.2">
      <c r="A41" s="10" t="s">
        <v>95</v>
      </c>
      <c r="B41" s="10">
        <v>757.76958044581897</v>
      </c>
      <c r="C41" s="10">
        <v>-1.31183429093947</v>
      </c>
      <c r="D41" s="10">
        <v>0.22784455803192399</v>
      </c>
      <c r="E41" s="10">
        <v>-5.7575844789572104</v>
      </c>
      <c r="F41" s="4">
        <v>8.5326070894034506E-9</v>
      </c>
      <c r="G41" s="4">
        <v>1.02282422069941E-7</v>
      </c>
      <c r="H41" s="10" t="s">
        <v>96</v>
      </c>
      <c r="I41" s="10" t="s">
        <v>18</v>
      </c>
    </row>
    <row r="42" spans="1:9" x14ac:dyDescent="0.2">
      <c r="A42" s="10" t="s">
        <v>97</v>
      </c>
      <c r="B42" s="10">
        <v>304.29372066255797</v>
      </c>
      <c r="C42" s="10">
        <v>1.5583219585127901</v>
      </c>
      <c r="D42" s="10">
        <v>0.256896946056692</v>
      </c>
      <c r="E42" s="10">
        <v>6.0659419367675298</v>
      </c>
      <c r="F42" s="4">
        <v>1.3118252009676801E-9</v>
      </c>
      <c r="G42" s="4">
        <v>1.7598868168767399E-8</v>
      </c>
      <c r="H42" s="10" t="s">
        <v>98</v>
      </c>
      <c r="I42" s="10" t="s">
        <v>18</v>
      </c>
    </row>
    <row r="43" spans="1:9" x14ac:dyDescent="0.2">
      <c r="A43" s="10" t="s">
        <v>99</v>
      </c>
      <c r="B43" s="10">
        <v>2237.8313793232201</v>
      </c>
      <c r="C43" s="10">
        <v>-1.72093184227355</v>
      </c>
      <c r="D43" s="10">
        <v>0.21531903164732899</v>
      </c>
      <c r="E43" s="10">
        <v>-7.9924743721319498</v>
      </c>
      <c r="F43" s="4">
        <v>1.3225701120004701E-15</v>
      </c>
      <c r="G43" s="4">
        <v>3.4851129440693197E-14</v>
      </c>
      <c r="H43" s="10" t="s">
        <v>100</v>
      </c>
      <c r="I43" s="10" t="s">
        <v>18</v>
      </c>
    </row>
    <row r="44" spans="1:9" x14ac:dyDescent="0.2">
      <c r="A44" s="10" t="s">
        <v>101</v>
      </c>
      <c r="B44" s="10">
        <v>1272.1549200229999</v>
      </c>
      <c r="C44" s="10">
        <v>-1.05521511821692</v>
      </c>
      <c r="D44" s="10">
        <v>0.20771351164290999</v>
      </c>
      <c r="E44" s="10">
        <v>-5.0801467361015504</v>
      </c>
      <c r="F44" s="4">
        <v>3.7714344343901802E-7</v>
      </c>
      <c r="G44" s="4">
        <v>3.4775050434459899E-6</v>
      </c>
      <c r="H44" s="10" t="s">
        <v>102</v>
      </c>
      <c r="I44" s="10" t="s">
        <v>18</v>
      </c>
    </row>
    <row r="45" spans="1:9" x14ac:dyDescent="0.2">
      <c r="A45" s="10" t="s">
        <v>103</v>
      </c>
      <c r="B45" s="10">
        <v>14.512227872079</v>
      </c>
      <c r="C45" s="10">
        <v>3.70131671958422</v>
      </c>
      <c r="D45" s="10">
        <v>1.0964435014379199</v>
      </c>
      <c r="E45" s="10">
        <v>3.3757477833834302</v>
      </c>
      <c r="F45" s="10">
        <v>7.3615370479428904E-4</v>
      </c>
      <c r="G45" s="10">
        <v>3.3813182728472699E-3</v>
      </c>
      <c r="H45" s="10" t="s">
        <v>104</v>
      </c>
      <c r="I45" s="10" t="s">
        <v>18</v>
      </c>
    </row>
    <row r="46" spans="1:9" x14ac:dyDescent="0.2">
      <c r="A46" s="10" t="s">
        <v>105</v>
      </c>
      <c r="B46" s="10">
        <v>2790.1418862414298</v>
      </c>
      <c r="C46" s="10">
        <v>1.1891115363825699</v>
      </c>
      <c r="D46" s="10">
        <v>0.208849053820268</v>
      </c>
      <c r="E46" s="10">
        <v>5.6936410035446201</v>
      </c>
      <c r="F46" s="4">
        <v>1.2435842330741601E-8</v>
      </c>
      <c r="G46" s="4">
        <v>1.4592566579918801E-7</v>
      </c>
      <c r="H46" s="10" t="s">
        <v>106</v>
      </c>
      <c r="I46" s="10" t="s">
        <v>18</v>
      </c>
    </row>
    <row r="47" spans="1:9" x14ac:dyDescent="0.2">
      <c r="A47" s="10" t="s">
        <v>107</v>
      </c>
      <c r="B47" s="10">
        <v>1080.13923448789</v>
      </c>
      <c r="C47" s="10">
        <v>1.2015573331032099</v>
      </c>
      <c r="D47" s="10">
        <v>0.224503218356009</v>
      </c>
      <c r="E47" s="10">
        <v>5.3520717515854397</v>
      </c>
      <c r="F47" s="4">
        <v>8.6952904899154505E-8</v>
      </c>
      <c r="G47" s="4">
        <v>8.8834113227868904E-7</v>
      </c>
      <c r="H47" s="10" t="s">
        <v>108</v>
      </c>
      <c r="I47" s="10" t="s">
        <v>18</v>
      </c>
    </row>
    <row r="48" spans="1:9" x14ac:dyDescent="0.2">
      <c r="A48" s="10" t="s">
        <v>109</v>
      </c>
      <c r="B48" s="10">
        <v>106.386087306777</v>
      </c>
      <c r="C48" s="10">
        <v>-1.35324960144572</v>
      </c>
      <c r="D48" s="10">
        <v>0.38673432269441699</v>
      </c>
      <c r="E48" s="10">
        <v>-3.4991711933337002</v>
      </c>
      <c r="F48" s="10">
        <v>4.6670682852843802E-4</v>
      </c>
      <c r="G48" s="10">
        <v>2.2522778882242901E-3</v>
      </c>
      <c r="H48" s="10" t="s">
        <v>110</v>
      </c>
      <c r="I48" s="10" t="s">
        <v>18</v>
      </c>
    </row>
    <row r="49" spans="1:9" x14ac:dyDescent="0.2">
      <c r="A49" s="10" t="s">
        <v>111</v>
      </c>
      <c r="B49" s="10">
        <v>709.23167902731996</v>
      </c>
      <c r="C49" s="10">
        <v>-1.5433232364529801</v>
      </c>
      <c r="D49" s="10">
        <v>0.249628354649059</v>
      </c>
      <c r="E49" s="10">
        <v>-6.1824837111259399</v>
      </c>
      <c r="F49" s="4">
        <v>6.3100823945356603E-10</v>
      </c>
      <c r="G49" s="4">
        <v>8.7854274401590806E-9</v>
      </c>
      <c r="H49" s="10" t="s">
        <v>112</v>
      </c>
      <c r="I49" s="10" t="s">
        <v>18</v>
      </c>
    </row>
    <row r="50" spans="1:9" x14ac:dyDescent="0.2">
      <c r="A50" s="10" t="s">
        <v>113</v>
      </c>
      <c r="B50" s="10">
        <v>370.42845627144902</v>
      </c>
      <c r="C50" s="10">
        <v>8.1599816457640095</v>
      </c>
      <c r="D50" s="10">
        <v>0.68864841471372296</v>
      </c>
      <c r="E50" s="10">
        <v>11.849270936252999</v>
      </c>
      <c r="F50" s="4">
        <v>2.1707109756761501E-32</v>
      </c>
      <c r="G50" s="4">
        <v>1.94725415533155E-30</v>
      </c>
      <c r="H50" s="10" t="s">
        <v>114</v>
      </c>
      <c r="I50" s="10" t="s">
        <v>18</v>
      </c>
    </row>
    <row r="51" spans="1:9" x14ac:dyDescent="0.2">
      <c r="A51" s="10" t="s">
        <v>115</v>
      </c>
      <c r="B51" s="10">
        <v>1137.3601375657199</v>
      </c>
      <c r="C51" s="10">
        <v>1.3932156845039601</v>
      </c>
      <c r="D51" s="10">
        <v>0.241807195529606</v>
      </c>
      <c r="E51" s="10">
        <v>5.7616800089531699</v>
      </c>
      <c r="F51" s="4">
        <v>8.32807777516892E-9</v>
      </c>
      <c r="G51" s="4">
        <v>1.00050765052922E-7</v>
      </c>
      <c r="H51" s="10" t="s">
        <v>116</v>
      </c>
      <c r="I51" s="10" t="s">
        <v>18</v>
      </c>
    </row>
    <row r="52" spans="1:9" x14ac:dyDescent="0.2">
      <c r="A52" s="10" t="s">
        <v>117</v>
      </c>
      <c r="B52" s="10">
        <v>7.9628598253684402</v>
      </c>
      <c r="C52" s="10">
        <v>6.3873668678988604</v>
      </c>
      <c r="D52" s="10">
        <v>1.84090701658378</v>
      </c>
      <c r="E52" s="10">
        <v>3.46968467736738</v>
      </c>
      <c r="F52" s="10">
        <v>5.2106970737389403E-4</v>
      </c>
      <c r="G52" s="10">
        <v>2.4868779675628798E-3</v>
      </c>
      <c r="H52" s="10" t="s">
        <v>118</v>
      </c>
      <c r="I52" s="10" t="s">
        <v>18</v>
      </c>
    </row>
    <row r="53" spans="1:9" x14ac:dyDescent="0.2">
      <c r="A53" s="10" t="s">
        <v>119</v>
      </c>
      <c r="B53" s="10">
        <v>1821.7734660034</v>
      </c>
      <c r="C53" s="10">
        <v>-1.2116925793800399</v>
      </c>
      <c r="D53" s="10">
        <v>0.18674139997168099</v>
      </c>
      <c r="E53" s="10">
        <v>-6.4886124853074501</v>
      </c>
      <c r="F53" s="4">
        <v>8.6630466281829999E-11</v>
      </c>
      <c r="G53" s="4">
        <v>1.3604728039083701E-9</v>
      </c>
      <c r="H53" s="10" t="s">
        <v>120</v>
      </c>
      <c r="I53" s="10" t="s">
        <v>18</v>
      </c>
    </row>
    <row r="54" spans="1:9" x14ac:dyDescent="0.2">
      <c r="A54" s="10" t="s">
        <v>121</v>
      </c>
      <c r="B54" s="10">
        <v>2703.6280210843101</v>
      </c>
      <c r="C54" s="10">
        <v>-1.7155645683931999</v>
      </c>
      <c r="D54" s="10">
        <v>0.21263827277918601</v>
      </c>
      <c r="E54" s="10">
        <v>-8.0679952201019205</v>
      </c>
      <c r="F54" s="4">
        <v>7.1461844022514697E-16</v>
      </c>
      <c r="G54" s="4">
        <v>1.9374336956034401E-14</v>
      </c>
      <c r="H54" s="10" t="s">
        <v>122</v>
      </c>
      <c r="I54" s="10" t="s">
        <v>18</v>
      </c>
    </row>
    <row r="55" spans="1:9" x14ac:dyDescent="0.2">
      <c r="A55" s="10" t="s">
        <v>123</v>
      </c>
      <c r="B55" s="10">
        <v>5469.8089715773003</v>
      </c>
      <c r="C55" s="10">
        <v>-1.53258911163732</v>
      </c>
      <c r="D55" s="10">
        <v>0.19353659405708601</v>
      </c>
      <c r="E55" s="10">
        <v>-7.9188595784902001</v>
      </c>
      <c r="F55" s="4">
        <v>2.39698863566469E-15</v>
      </c>
      <c r="G55" s="4">
        <v>6.1964657832975001E-14</v>
      </c>
      <c r="H55" s="10" t="s">
        <v>124</v>
      </c>
      <c r="I55" s="10" t="s">
        <v>18</v>
      </c>
    </row>
    <row r="56" spans="1:9" x14ac:dyDescent="0.2">
      <c r="A56" s="10" t="s">
        <v>125</v>
      </c>
      <c r="B56" s="10">
        <v>437.731307477001</v>
      </c>
      <c r="C56" s="10">
        <v>-1.6758227620620001</v>
      </c>
      <c r="D56" s="10">
        <v>0.25369115035671702</v>
      </c>
      <c r="E56" s="10">
        <v>-6.6057596400411196</v>
      </c>
      <c r="F56" s="4">
        <v>3.9548410806663E-11</v>
      </c>
      <c r="G56" s="4">
        <v>6.5268052649857398E-10</v>
      </c>
      <c r="H56" s="10" t="s">
        <v>126</v>
      </c>
      <c r="I56" s="10" t="s">
        <v>18</v>
      </c>
    </row>
    <row r="57" spans="1:9" x14ac:dyDescent="0.2">
      <c r="A57" s="10" t="s">
        <v>127</v>
      </c>
      <c r="B57" s="10">
        <v>20.730021397504999</v>
      </c>
      <c r="C57" s="10">
        <v>7.7667417475855496</v>
      </c>
      <c r="D57" s="10">
        <v>1.6266881135006199</v>
      </c>
      <c r="E57" s="10">
        <v>4.7745733697356396</v>
      </c>
      <c r="F57" s="4">
        <v>1.8008861973207301E-6</v>
      </c>
      <c r="G57" s="4">
        <v>1.4720160785915401E-5</v>
      </c>
      <c r="H57" s="10" t="s">
        <v>128</v>
      </c>
      <c r="I57" s="10" t="s">
        <v>18</v>
      </c>
    </row>
    <row r="58" spans="1:9" x14ac:dyDescent="0.2">
      <c r="A58" s="10" t="s">
        <v>129</v>
      </c>
      <c r="B58" s="10">
        <v>645.38102139276998</v>
      </c>
      <c r="C58" s="10">
        <v>-1.8689901306696299</v>
      </c>
      <c r="D58" s="10">
        <v>0.24169062719307599</v>
      </c>
      <c r="E58" s="10">
        <v>-7.7329855624751902</v>
      </c>
      <c r="F58" s="4">
        <v>1.0505321538654699E-14</v>
      </c>
      <c r="G58" s="4">
        <v>2.5219250745702498E-13</v>
      </c>
      <c r="H58" s="10" t="s">
        <v>130</v>
      </c>
      <c r="I58" s="10" t="s">
        <v>18</v>
      </c>
    </row>
    <row r="59" spans="1:9" x14ac:dyDescent="0.2">
      <c r="A59" s="10" t="s">
        <v>131</v>
      </c>
      <c r="B59" s="10">
        <v>12.8910349451514</v>
      </c>
      <c r="C59" s="10">
        <v>2.8728964796457599</v>
      </c>
      <c r="D59" s="10">
        <v>1.0373938587629501</v>
      </c>
      <c r="E59" s="10">
        <v>2.7693401646618199</v>
      </c>
      <c r="F59" s="10">
        <v>5.6169956799340401E-3</v>
      </c>
      <c r="G59" s="10">
        <v>1.96157532632255E-2</v>
      </c>
      <c r="H59" s="10" t="s">
        <v>132</v>
      </c>
      <c r="I59" s="10" t="s">
        <v>18</v>
      </c>
    </row>
    <row r="60" spans="1:9" x14ac:dyDescent="0.2">
      <c r="A60" s="10" t="s">
        <v>133</v>
      </c>
      <c r="B60" s="10">
        <v>912.26214652765805</v>
      </c>
      <c r="C60" s="10">
        <v>-1.2031609136064301</v>
      </c>
      <c r="D60" s="10">
        <v>0.23163074014888599</v>
      </c>
      <c r="E60" s="10">
        <v>-5.1943058716346204</v>
      </c>
      <c r="F60" s="4">
        <v>2.0548506315218001E-7</v>
      </c>
      <c r="G60" s="4">
        <v>1.9832984469385199E-6</v>
      </c>
      <c r="H60" s="10" t="s">
        <v>134</v>
      </c>
      <c r="I60" s="10" t="s">
        <v>18</v>
      </c>
    </row>
    <row r="61" spans="1:9" x14ac:dyDescent="0.2">
      <c r="A61" s="10" t="s">
        <v>135</v>
      </c>
      <c r="B61" s="10">
        <v>3232.6832171900901</v>
      </c>
      <c r="C61" s="10">
        <v>-1.6507602670153401</v>
      </c>
      <c r="D61" s="10">
        <v>0.20280070305638601</v>
      </c>
      <c r="E61" s="10">
        <v>-8.1398153070325705</v>
      </c>
      <c r="F61" s="4">
        <v>3.9588132813541E-16</v>
      </c>
      <c r="G61" s="4">
        <v>1.0939734835401099E-14</v>
      </c>
      <c r="H61" s="10" t="s">
        <v>136</v>
      </c>
      <c r="I61" s="10" t="s">
        <v>18</v>
      </c>
    </row>
    <row r="62" spans="1:9" x14ac:dyDescent="0.2">
      <c r="A62" s="10" t="s">
        <v>137</v>
      </c>
      <c r="B62" s="10">
        <v>12.6007509398623</v>
      </c>
      <c r="C62" s="10">
        <v>4.5414102152265903</v>
      </c>
      <c r="D62" s="10">
        <v>1.3595571116585301</v>
      </c>
      <c r="E62" s="10">
        <v>3.3403600159808802</v>
      </c>
      <c r="F62" s="10">
        <v>8.3669849097896601E-4</v>
      </c>
      <c r="G62" s="10">
        <v>3.7744244675006399E-3</v>
      </c>
      <c r="H62" s="10" t="s">
        <v>138</v>
      </c>
      <c r="I62" s="10" t="s">
        <v>18</v>
      </c>
    </row>
    <row r="63" spans="1:9" x14ac:dyDescent="0.2">
      <c r="A63" s="10" t="s">
        <v>139</v>
      </c>
      <c r="B63" s="10">
        <v>1311.1756135170201</v>
      </c>
      <c r="C63" s="10">
        <v>-1.4437151579244201</v>
      </c>
      <c r="D63" s="10">
        <v>0.21464599784926</v>
      </c>
      <c r="E63" s="10">
        <v>-6.7260287747749903</v>
      </c>
      <c r="F63" s="4">
        <v>1.7435609897114198E-11</v>
      </c>
      <c r="G63" s="4">
        <v>2.9897297851898697E-10</v>
      </c>
      <c r="H63" s="10" t="s">
        <v>140</v>
      </c>
      <c r="I63" s="10" t="s">
        <v>18</v>
      </c>
    </row>
    <row r="64" spans="1:9" x14ac:dyDescent="0.2">
      <c r="A64" s="10" t="s">
        <v>141</v>
      </c>
      <c r="B64" s="10">
        <v>32.477490064512999</v>
      </c>
      <c r="C64" s="10">
        <v>1.4955490114915</v>
      </c>
      <c r="D64" s="10">
        <v>0.61407407537838998</v>
      </c>
      <c r="E64" s="10">
        <v>2.4354537529856501</v>
      </c>
      <c r="F64" s="10">
        <v>1.4873125698376901E-2</v>
      </c>
      <c r="G64" s="10">
        <v>4.4231396627774998E-2</v>
      </c>
      <c r="H64" s="10" t="s">
        <v>142</v>
      </c>
      <c r="I64" s="10" t="s">
        <v>18</v>
      </c>
    </row>
    <row r="65" spans="1:9" x14ac:dyDescent="0.2">
      <c r="A65" s="10" t="s">
        <v>143</v>
      </c>
      <c r="B65" s="10">
        <v>94.251944628326299</v>
      </c>
      <c r="C65" s="10">
        <v>1.5940896622419001</v>
      </c>
      <c r="D65" s="10">
        <v>0.40442238045790202</v>
      </c>
      <c r="E65" s="10">
        <v>3.94164551535702</v>
      </c>
      <c r="F65" s="4">
        <v>8.0924515966059794E-5</v>
      </c>
      <c r="G65" s="10">
        <v>4.7387713013695101E-4</v>
      </c>
      <c r="H65" s="10" t="s">
        <v>144</v>
      </c>
      <c r="I65" s="10" t="s">
        <v>18</v>
      </c>
    </row>
    <row r="66" spans="1:9" x14ac:dyDescent="0.2">
      <c r="A66" s="10" t="s">
        <v>145</v>
      </c>
      <c r="B66" s="10">
        <v>8362.3375192803906</v>
      </c>
      <c r="C66" s="10">
        <v>1.4478484720939599</v>
      </c>
      <c r="D66" s="10">
        <v>0.170049325878427</v>
      </c>
      <c r="E66" s="10">
        <v>8.5142852793727606</v>
      </c>
      <c r="F66" s="4">
        <v>1.67620901227222E-17</v>
      </c>
      <c r="G66" s="4">
        <v>5.2315769710631199E-16</v>
      </c>
      <c r="H66" s="10" t="s">
        <v>146</v>
      </c>
      <c r="I66" s="10" t="s">
        <v>18</v>
      </c>
    </row>
    <row r="67" spans="1:9" x14ac:dyDescent="0.2">
      <c r="A67" s="10" t="s">
        <v>147</v>
      </c>
      <c r="B67" s="10">
        <v>579.56864455127902</v>
      </c>
      <c r="C67" s="10">
        <v>1.65789127270459</v>
      </c>
      <c r="D67" s="10">
        <v>0.231319220697037</v>
      </c>
      <c r="E67" s="10">
        <v>7.1671142056801198</v>
      </c>
      <c r="F67" s="4">
        <v>7.6595133985932898E-13</v>
      </c>
      <c r="G67" s="4">
        <v>1.5413497900404098E-11</v>
      </c>
      <c r="H67" s="10" t="s">
        <v>148</v>
      </c>
      <c r="I67" s="10" t="s">
        <v>18</v>
      </c>
    </row>
    <row r="68" spans="1:9" x14ac:dyDescent="0.2">
      <c r="A68" s="10" t="s">
        <v>149</v>
      </c>
      <c r="B68" s="10">
        <v>4.9190276419341501</v>
      </c>
      <c r="C68" s="10">
        <v>5.69636411255855</v>
      </c>
      <c r="D68" s="10">
        <v>2.0419266536890901</v>
      </c>
      <c r="E68" s="10">
        <v>2.7897006497599199</v>
      </c>
      <c r="F68" s="10">
        <v>5.2756794990706504E-3</v>
      </c>
      <c r="G68" s="10">
        <v>1.8559901783237999E-2</v>
      </c>
      <c r="H68" s="10" t="s">
        <v>150</v>
      </c>
      <c r="I68" s="10" t="s">
        <v>18</v>
      </c>
    </row>
    <row r="69" spans="1:9" x14ac:dyDescent="0.2">
      <c r="A69" s="10" t="s">
        <v>151</v>
      </c>
      <c r="B69" s="10">
        <v>208.31429460887</v>
      </c>
      <c r="C69" s="10">
        <v>8.6511604095928494</v>
      </c>
      <c r="D69" s="10">
        <v>1.0602893049048701</v>
      </c>
      <c r="E69" s="10">
        <v>8.1592451886223891</v>
      </c>
      <c r="F69" s="4">
        <v>3.37124678824575E-16</v>
      </c>
      <c r="G69" s="4">
        <v>9.3444924963715097E-15</v>
      </c>
      <c r="H69" s="10" t="s">
        <v>152</v>
      </c>
      <c r="I69" s="10" t="s">
        <v>18</v>
      </c>
    </row>
    <row r="70" spans="1:9" x14ac:dyDescent="0.2">
      <c r="A70" s="10" t="s">
        <v>153</v>
      </c>
      <c r="B70" s="10">
        <v>1798.9725955413301</v>
      </c>
      <c r="C70" s="10">
        <v>9.7648249731750898</v>
      </c>
      <c r="D70" s="10">
        <v>0.54651160296063195</v>
      </c>
      <c r="E70" s="10">
        <v>17.867552894167002</v>
      </c>
      <c r="F70" s="4">
        <v>2.1105160011308801E-71</v>
      </c>
      <c r="G70" s="4">
        <v>1.06491165708913E-68</v>
      </c>
      <c r="H70" s="10" t="s">
        <v>154</v>
      </c>
      <c r="I70" s="10" t="s">
        <v>18</v>
      </c>
    </row>
    <row r="71" spans="1:9" x14ac:dyDescent="0.2">
      <c r="A71" s="10" t="s">
        <v>155</v>
      </c>
      <c r="B71" s="10">
        <v>5.0277419563543804</v>
      </c>
      <c r="C71" s="10">
        <v>5.7249864720364698</v>
      </c>
      <c r="D71" s="10">
        <v>2.0292551541625601</v>
      </c>
      <c r="E71" s="10">
        <v>2.82122554193983</v>
      </c>
      <c r="F71" s="10">
        <v>4.7840554620197E-3</v>
      </c>
      <c r="G71" s="10">
        <v>1.7077316805142299E-2</v>
      </c>
      <c r="H71" s="10" t="s">
        <v>156</v>
      </c>
      <c r="I71" s="10" t="s">
        <v>18</v>
      </c>
    </row>
    <row r="72" spans="1:9" x14ac:dyDescent="0.2">
      <c r="A72" s="10" t="s">
        <v>157</v>
      </c>
      <c r="B72" s="10">
        <v>1635.10415381649</v>
      </c>
      <c r="C72" s="10">
        <v>4.6593654214031304</v>
      </c>
      <c r="D72" s="10">
        <v>0.212804945144906</v>
      </c>
      <c r="E72" s="10">
        <v>21.895005392052401</v>
      </c>
      <c r="F72" s="4">
        <v>2.89870529811292E-106</v>
      </c>
      <c r="G72" s="4">
        <v>4.3878346254268202E-103</v>
      </c>
      <c r="H72" s="10" t="s">
        <v>158</v>
      </c>
      <c r="I72" s="10" t="s">
        <v>18</v>
      </c>
    </row>
    <row r="73" spans="1:9" x14ac:dyDescent="0.2">
      <c r="A73" s="10" t="s">
        <v>159</v>
      </c>
      <c r="B73" s="10">
        <v>1582.55862211665</v>
      </c>
      <c r="C73" s="10">
        <v>-1.4134565246558699</v>
      </c>
      <c r="D73" s="10">
        <v>0.205408585259132</v>
      </c>
      <c r="E73" s="10">
        <v>-6.8811949747510903</v>
      </c>
      <c r="F73" s="4">
        <v>5.9352548812611798E-12</v>
      </c>
      <c r="G73" s="4">
        <v>1.06885584765184E-10</v>
      </c>
      <c r="H73" s="10" t="s">
        <v>160</v>
      </c>
      <c r="I73" s="10" t="s">
        <v>18</v>
      </c>
    </row>
    <row r="74" spans="1:9" x14ac:dyDescent="0.2">
      <c r="A74" s="10" t="s">
        <v>161</v>
      </c>
      <c r="B74" s="10">
        <v>1883.01802077654</v>
      </c>
      <c r="C74" s="10">
        <v>-1.5813720737383301</v>
      </c>
      <c r="D74" s="10">
        <v>0.207217269217258</v>
      </c>
      <c r="E74" s="10">
        <v>-7.6314685533295501</v>
      </c>
      <c r="F74" s="4">
        <v>2.3209445979502E-14</v>
      </c>
      <c r="G74" s="4">
        <v>5.4282212412316797E-13</v>
      </c>
      <c r="H74" s="10" t="s">
        <v>162</v>
      </c>
      <c r="I74" s="10" t="s">
        <v>18</v>
      </c>
    </row>
    <row r="75" spans="1:9" x14ac:dyDescent="0.2">
      <c r="A75" s="10" t="s">
        <v>163</v>
      </c>
      <c r="B75" s="10">
        <v>322.86891519165198</v>
      </c>
      <c r="C75" s="10">
        <v>1.0099951067761299</v>
      </c>
      <c r="D75" s="10">
        <v>0.257545204266318</v>
      </c>
      <c r="E75" s="10">
        <v>3.9216226512675898</v>
      </c>
      <c r="F75" s="4">
        <v>8.7954658395808595E-5</v>
      </c>
      <c r="G75" s="10">
        <v>5.1087200539556496E-4</v>
      </c>
      <c r="H75" s="10" t="s">
        <v>164</v>
      </c>
      <c r="I75" s="10" t="s">
        <v>18</v>
      </c>
    </row>
    <row r="76" spans="1:9" x14ac:dyDescent="0.2">
      <c r="A76" s="10" t="s">
        <v>165</v>
      </c>
      <c r="B76" s="10">
        <v>351.23021275564599</v>
      </c>
      <c r="C76" s="10">
        <v>-1.53038949399554</v>
      </c>
      <c r="D76" s="10">
        <v>0.29134462822488699</v>
      </c>
      <c r="E76" s="10">
        <v>-5.2528495319098196</v>
      </c>
      <c r="F76" s="4">
        <v>1.4976388338723799E-7</v>
      </c>
      <c r="G76" s="4">
        <v>1.4752771260492E-6</v>
      </c>
      <c r="H76" s="10" t="s">
        <v>166</v>
      </c>
      <c r="I76" s="10" t="s">
        <v>18</v>
      </c>
    </row>
    <row r="77" spans="1:9" x14ac:dyDescent="0.2">
      <c r="A77" s="10" t="s">
        <v>167</v>
      </c>
      <c r="B77" s="10">
        <v>2089.3375288940001</v>
      </c>
      <c r="C77" s="10">
        <v>-1.44000297618163</v>
      </c>
      <c r="D77" s="10">
        <v>0.22838545112854</v>
      </c>
      <c r="E77" s="10">
        <v>-6.30514320884288</v>
      </c>
      <c r="F77" s="4">
        <v>2.8792754633469002E-10</v>
      </c>
      <c r="G77" s="4">
        <v>4.1840863226567001E-9</v>
      </c>
      <c r="H77" s="10" t="s">
        <v>168</v>
      </c>
      <c r="I77" s="10" t="s">
        <v>18</v>
      </c>
    </row>
    <row r="78" spans="1:9" x14ac:dyDescent="0.2">
      <c r="A78" s="10" t="s">
        <v>169</v>
      </c>
      <c r="B78" s="10">
        <v>3509.7960269689602</v>
      </c>
      <c r="C78" s="10">
        <v>-1.7686461014631201</v>
      </c>
      <c r="D78" s="10">
        <v>0.179656766384415</v>
      </c>
      <c r="E78" s="10">
        <v>-9.8445838531832095</v>
      </c>
      <c r="F78" s="4">
        <v>7.23379664964626E-23</v>
      </c>
      <c r="G78" s="4">
        <v>3.4397776145359803E-21</v>
      </c>
      <c r="H78" s="10" t="s">
        <v>170</v>
      </c>
      <c r="I78" s="10" t="s">
        <v>18</v>
      </c>
    </row>
    <row r="79" spans="1:9" x14ac:dyDescent="0.2">
      <c r="A79" s="10" t="s">
        <v>171</v>
      </c>
      <c r="B79" s="10">
        <v>36.684196452240897</v>
      </c>
      <c r="C79" s="10">
        <v>1.8450547048278401</v>
      </c>
      <c r="D79" s="10">
        <v>0.58911134004110599</v>
      </c>
      <c r="E79" s="10">
        <v>3.1319286854995898</v>
      </c>
      <c r="F79" s="10">
        <v>1.7366205241462001E-3</v>
      </c>
      <c r="G79" s="10">
        <v>7.1509293367706698E-3</v>
      </c>
      <c r="H79" s="10" t="s">
        <v>172</v>
      </c>
      <c r="I79" s="10" t="s">
        <v>18</v>
      </c>
    </row>
    <row r="80" spans="1:9" x14ac:dyDescent="0.2">
      <c r="A80" s="10" t="s">
        <v>173</v>
      </c>
      <c r="B80" s="10">
        <v>803.19935436380001</v>
      </c>
      <c r="C80" s="10">
        <v>1.2548995278484101</v>
      </c>
      <c r="D80" s="10">
        <v>0.23031836431643199</v>
      </c>
      <c r="E80" s="10">
        <v>5.4485430702534803</v>
      </c>
      <c r="F80" s="4">
        <v>5.0784094360746201E-8</v>
      </c>
      <c r="G80" s="4">
        <v>5.4284590782552095E-7</v>
      </c>
      <c r="H80" s="10" t="s">
        <v>174</v>
      </c>
      <c r="I80" s="10" t="s">
        <v>18</v>
      </c>
    </row>
    <row r="81" spans="1:9" x14ac:dyDescent="0.2">
      <c r="A81" s="10" t="s">
        <v>175</v>
      </c>
      <c r="B81" s="10">
        <v>130.184873031444</v>
      </c>
      <c r="C81" s="10">
        <v>2.4953776644935202</v>
      </c>
      <c r="D81" s="10">
        <v>0.36115602466171898</v>
      </c>
      <c r="E81" s="10">
        <v>6.9094172437822197</v>
      </c>
      <c r="F81" s="4">
        <v>4.8664866102914696E-12</v>
      </c>
      <c r="G81" s="4">
        <v>8.8575257628999099E-11</v>
      </c>
      <c r="H81" s="10" t="s">
        <v>176</v>
      </c>
      <c r="I81" s="10" t="s">
        <v>18</v>
      </c>
    </row>
    <row r="82" spans="1:9" x14ac:dyDescent="0.2">
      <c r="A82" s="10" t="s">
        <v>177</v>
      </c>
      <c r="B82" s="10">
        <v>1790.0908261324901</v>
      </c>
      <c r="C82" s="10">
        <v>3.3491115165791401</v>
      </c>
      <c r="D82" s="10">
        <v>0.21777726698048899</v>
      </c>
      <c r="E82" s="10">
        <v>15.378609360908101</v>
      </c>
      <c r="F82" s="4">
        <v>2.2778763589136299E-53</v>
      </c>
      <c r="G82" s="4">
        <v>5.1721080959433099E-51</v>
      </c>
      <c r="H82" s="10" t="s">
        <v>178</v>
      </c>
      <c r="I82" s="10" t="s">
        <v>18</v>
      </c>
    </row>
    <row r="83" spans="1:9" x14ac:dyDescent="0.2">
      <c r="A83" s="10" t="s">
        <v>179</v>
      </c>
      <c r="B83" s="10">
        <v>20409.1282319235</v>
      </c>
      <c r="C83" s="10">
        <v>1.8181916733447201</v>
      </c>
      <c r="D83" s="10">
        <v>0.19114756499438701</v>
      </c>
      <c r="E83" s="10">
        <v>9.5119792574815492</v>
      </c>
      <c r="F83" s="4">
        <v>1.8706882653618901E-21</v>
      </c>
      <c r="G83" s="4">
        <v>8.1553029066104799E-20</v>
      </c>
      <c r="H83" s="10" t="s">
        <v>180</v>
      </c>
      <c r="I83" s="10" t="s">
        <v>18</v>
      </c>
    </row>
    <row r="84" spans="1:9" x14ac:dyDescent="0.2">
      <c r="A84" s="10" t="s">
        <v>181</v>
      </c>
      <c r="B84" s="10">
        <v>18.3841097433526</v>
      </c>
      <c r="C84" s="10">
        <v>4.0750942929047103</v>
      </c>
      <c r="D84" s="10">
        <v>1.03370155539301</v>
      </c>
      <c r="E84" s="10">
        <v>3.94223484684162</v>
      </c>
      <c r="F84" s="4">
        <v>8.0725873459725403E-5</v>
      </c>
      <c r="G84" s="10">
        <v>4.7281553614727801E-4</v>
      </c>
      <c r="H84" s="10" t="s">
        <v>182</v>
      </c>
      <c r="I84" s="10" t="s">
        <v>18</v>
      </c>
    </row>
    <row r="85" spans="1:9" x14ac:dyDescent="0.2">
      <c r="A85" s="10" t="s">
        <v>183</v>
      </c>
      <c r="B85" s="10">
        <v>486.20764231621098</v>
      </c>
      <c r="C85" s="10">
        <v>1.01296363139316</v>
      </c>
      <c r="D85" s="10">
        <v>0.22561116463300099</v>
      </c>
      <c r="E85" s="10">
        <v>4.4898648213661501</v>
      </c>
      <c r="F85" s="4">
        <v>7.1268387268749403E-6</v>
      </c>
      <c r="G85" s="4">
        <v>5.2074275889289797E-5</v>
      </c>
      <c r="H85" s="10" t="s">
        <v>184</v>
      </c>
      <c r="I85" s="10" t="s">
        <v>18</v>
      </c>
    </row>
    <row r="86" spans="1:9" x14ac:dyDescent="0.2">
      <c r="A86" s="10" t="s">
        <v>185</v>
      </c>
      <c r="B86" s="10">
        <v>491.368533480103</v>
      </c>
      <c r="C86" s="10">
        <v>-1.30379351153288</v>
      </c>
      <c r="D86" s="10">
        <v>0.24179402098434499</v>
      </c>
      <c r="E86" s="10">
        <v>-5.3921660520186698</v>
      </c>
      <c r="F86" s="4">
        <v>6.9613392030541396E-8</v>
      </c>
      <c r="G86" s="4">
        <v>7.2756275130654399E-7</v>
      </c>
      <c r="H86" s="10" t="s">
        <v>186</v>
      </c>
      <c r="I86" s="10" t="s">
        <v>18</v>
      </c>
    </row>
    <row r="87" spans="1:9" x14ac:dyDescent="0.2">
      <c r="A87" s="10" t="s">
        <v>187</v>
      </c>
      <c r="B87" s="10">
        <v>4179.2302102580898</v>
      </c>
      <c r="C87" s="10">
        <v>1.3078357608703199</v>
      </c>
      <c r="D87" s="10">
        <v>0.22154865698960599</v>
      </c>
      <c r="E87" s="10">
        <v>5.9031536396615598</v>
      </c>
      <c r="F87" s="4">
        <v>3.5661787354724099E-9</v>
      </c>
      <c r="G87" s="4">
        <v>4.5152263943037502E-8</v>
      </c>
      <c r="H87" s="10" t="s">
        <v>188</v>
      </c>
      <c r="I87" s="10" t="s">
        <v>18</v>
      </c>
    </row>
    <row r="88" spans="1:9" x14ac:dyDescent="0.2">
      <c r="A88" s="10" t="s">
        <v>189</v>
      </c>
      <c r="B88" s="10">
        <v>693.83960760411901</v>
      </c>
      <c r="C88" s="10">
        <v>1.41840026949975</v>
      </c>
      <c r="D88" s="10">
        <v>0.22528137312169599</v>
      </c>
      <c r="E88" s="10">
        <v>6.29612759299697</v>
      </c>
      <c r="F88" s="4">
        <v>3.0517320568326799E-10</v>
      </c>
      <c r="G88" s="4">
        <v>4.4229012421553203E-9</v>
      </c>
      <c r="H88" s="10" t="s">
        <v>190</v>
      </c>
      <c r="I88" s="10" t="s">
        <v>18</v>
      </c>
    </row>
    <row r="89" spans="1:9" x14ac:dyDescent="0.2">
      <c r="A89" s="10" t="s">
        <v>191</v>
      </c>
      <c r="B89" s="10">
        <v>987.40318366084</v>
      </c>
      <c r="C89" s="10">
        <v>1.01971723978736</v>
      </c>
      <c r="D89" s="10">
        <v>0.20450625132036601</v>
      </c>
      <c r="E89" s="10">
        <v>4.9862399472079701</v>
      </c>
      <c r="F89" s="4">
        <v>6.1565677354809405E-7</v>
      </c>
      <c r="G89" s="4">
        <v>5.4605469104377896E-6</v>
      </c>
      <c r="H89" s="10" t="s">
        <v>192</v>
      </c>
      <c r="I89" s="10" t="s">
        <v>18</v>
      </c>
    </row>
    <row r="90" spans="1:9" x14ac:dyDescent="0.2">
      <c r="A90" s="10" t="s">
        <v>193</v>
      </c>
      <c r="B90" s="10">
        <v>180.69998954066801</v>
      </c>
      <c r="C90" s="10">
        <v>-1.07199807570586</v>
      </c>
      <c r="D90" s="10">
        <v>0.34441383647531998</v>
      </c>
      <c r="E90" s="10">
        <v>-3.1125290629335001</v>
      </c>
      <c r="F90" s="10">
        <v>1.8549174922366501E-3</v>
      </c>
      <c r="G90" s="10">
        <v>7.5546990898313999E-3</v>
      </c>
      <c r="H90" s="10" t="s">
        <v>194</v>
      </c>
      <c r="I90" s="10" t="s">
        <v>18</v>
      </c>
    </row>
    <row r="91" spans="1:9" x14ac:dyDescent="0.2">
      <c r="A91" s="10" t="s">
        <v>195</v>
      </c>
      <c r="B91" s="10">
        <v>338.02701056001399</v>
      </c>
      <c r="C91" s="10">
        <v>11.7977282466342</v>
      </c>
      <c r="D91" s="10">
        <v>1.46423892175948</v>
      </c>
      <c r="E91" s="10">
        <v>8.0572426202532696</v>
      </c>
      <c r="F91" s="4">
        <v>7.8034670291854499E-16</v>
      </c>
      <c r="G91" s="4">
        <v>2.1030768164610899E-14</v>
      </c>
      <c r="H91" s="10" t="s">
        <v>196</v>
      </c>
      <c r="I91" s="10" t="s">
        <v>18</v>
      </c>
    </row>
    <row r="92" spans="1:9" x14ac:dyDescent="0.2">
      <c r="A92" s="10" t="s">
        <v>197</v>
      </c>
      <c r="B92" s="10">
        <v>27.089910499230001</v>
      </c>
      <c r="C92" s="10">
        <v>-3.1928377577100799</v>
      </c>
      <c r="D92" s="10">
        <v>0.78765297697650805</v>
      </c>
      <c r="E92" s="10">
        <v>-4.0536097127013102</v>
      </c>
      <c r="F92" s="4">
        <v>5.0433330702322002E-5</v>
      </c>
      <c r="G92" s="10">
        <v>3.0872993970931702E-4</v>
      </c>
      <c r="H92" s="10" t="s">
        <v>198</v>
      </c>
      <c r="I92" s="10" t="s">
        <v>18</v>
      </c>
    </row>
    <row r="93" spans="1:9" x14ac:dyDescent="0.2">
      <c r="A93" s="10" t="s">
        <v>199</v>
      </c>
      <c r="B93" s="10">
        <v>4476.8719872194597</v>
      </c>
      <c r="C93" s="10">
        <v>-1.31959191353366</v>
      </c>
      <c r="D93" s="10">
        <v>0.18246113154280899</v>
      </c>
      <c r="E93" s="10">
        <v>-7.23218091642745</v>
      </c>
      <c r="F93" s="4">
        <v>4.7529842212490003E-13</v>
      </c>
      <c r="G93" s="4">
        <v>9.8407721182653207E-12</v>
      </c>
      <c r="H93" s="10" t="s">
        <v>200</v>
      </c>
      <c r="I93" s="10" t="s">
        <v>18</v>
      </c>
    </row>
    <row r="94" spans="1:9" x14ac:dyDescent="0.2">
      <c r="A94" s="10" t="s">
        <v>201</v>
      </c>
      <c r="B94" s="10">
        <v>8.2197002483510495</v>
      </c>
      <c r="C94" s="10">
        <v>4.95164271967265</v>
      </c>
      <c r="D94" s="10">
        <v>1.80620885712682</v>
      </c>
      <c r="E94" s="10">
        <v>2.7414563383048298</v>
      </c>
      <c r="F94" s="10">
        <v>6.11674895611399E-3</v>
      </c>
      <c r="G94" s="10">
        <v>2.10361144428492E-2</v>
      </c>
      <c r="H94" s="10" t="s">
        <v>202</v>
      </c>
      <c r="I94" s="10" t="s">
        <v>18</v>
      </c>
    </row>
    <row r="95" spans="1:9" x14ac:dyDescent="0.2">
      <c r="A95" s="10" t="s">
        <v>203</v>
      </c>
      <c r="B95" s="10">
        <v>16.4728440790085</v>
      </c>
      <c r="C95" s="10">
        <v>3.5631734064077598</v>
      </c>
      <c r="D95" s="10">
        <v>1.01782208938095</v>
      </c>
      <c r="E95" s="10">
        <v>3.5007821539567199</v>
      </c>
      <c r="F95" s="10">
        <v>4.63894880628231E-4</v>
      </c>
      <c r="G95" s="10">
        <v>2.2403809643062201E-3</v>
      </c>
      <c r="H95" s="10" t="s">
        <v>204</v>
      </c>
      <c r="I95" s="10" t="s">
        <v>18</v>
      </c>
    </row>
    <row r="96" spans="1:9" x14ac:dyDescent="0.2">
      <c r="A96" s="10" t="s">
        <v>205</v>
      </c>
      <c r="B96" s="10">
        <v>55.664168042743299</v>
      </c>
      <c r="C96" s="10">
        <v>4.2138435971544697</v>
      </c>
      <c r="D96" s="10">
        <v>0.62808569482369203</v>
      </c>
      <c r="E96" s="10">
        <v>6.7090265418914301</v>
      </c>
      <c r="F96" s="4">
        <v>1.9592703284733099E-11</v>
      </c>
      <c r="G96" s="4">
        <v>3.3386015409576202E-10</v>
      </c>
      <c r="H96" s="10" t="s">
        <v>206</v>
      </c>
      <c r="I96" s="10" t="s">
        <v>18</v>
      </c>
    </row>
    <row r="97" spans="1:9" x14ac:dyDescent="0.2">
      <c r="A97" s="10" t="s">
        <v>207</v>
      </c>
      <c r="B97" s="10">
        <v>285.87534269042197</v>
      </c>
      <c r="C97" s="10">
        <v>-1.0454843235006399</v>
      </c>
      <c r="D97" s="10">
        <v>0.260440630282465</v>
      </c>
      <c r="E97" s="10">
        <v>-4.0142904060965501</v>
      </c>
      <c r="F97" s="4">
        <v>5.9624899223740097E-5</v>
      </c>
      <c r="G97" s="10">
        <v>3.5910690299497002E-4</v>
      </c>
      <c r="H97" s="10" t="s">
        <v>208</v>
      </c>
      <c r="I97" s="10" t="s">
        <v>18</v>
      </c>
    </row>
    <row r="98" spans="1:9" x14ac:dyDescent="0.2">
      <c r="A98" s="10" t="s">
        <v>209</v>
      </c>
      <c r="B98" s="10">
        <v>1487.25778660843</v>
      </c>
      <c r="C98" s="10">
        <v>1.0087783319011501</v>
      </c>
      <c r="D98" s="10">
        <v>0.20613414656649501</v>
      </c>
      <c r="E98" s="10">
        <v>4.8937953692002001</v>
      </c>
      <c r="F98" s="4">
        <v>9.8909683403058396E-7</v>
      </c>
      <c r="G98" s="4">
        <v>8.4988714717222705E-6</v>
      </c>
      <c r="H98" s="10" t="s">
        <v>210</v>
      </c>
      <c r="I98" s="10" t="s">
        <v>18</v>
      </c>
    </row>
    <row r="99" spans="1:9" x14ac:dyDescent="0.2">
      <c r="A99" s="10" t="s">
        <v>211</v>
      </c>
      <c r="B99" s="10">
        <v>21.361098131084098</v>
      </c>
      <c r="C99" s="10">
        <v>7.8131521451357404</v>
      </c>
      <c r="D99" s="10">
        <v>1.6040040898560599</v>
      </c>
      <c r="E99" s="10">
        <v>4.8710300644164004</v>
      </c>
      <c r="F99" s="4">
        <v>1.1101794389181301E-6</v>
      </c>
      <c r="G99" s="4">
        <v>9.4380839850864907E-6</v>
      </c>
      <c r="H99" s="10" t="s">
        <v>212</v>
      </c>
      <c r="I99" s="10" t="s">
        <v>18</v>
      </c>
    </row>
    <row r="100" spans="1:9" x14ac:dyDescent="0.2">
      <c r="A100" s="10" t="s">
        <v>213</v>
      </c>
      <c r="B100" s="10">
        <v>15.3791422882629</v>
      </c>
      <c r="C100" s="10">
        <v>7.3395540326914999</v>
      </c>
      <c r="D100" s="10">
        <v>1.6598330149184599</v>
      </c>
      <c r="E100" s="10">
        <v>4.4218629023065201</v>
      </c>
      <c r="F100" s="4">
        <v>9.7853541632360107E-6</v>
      </c>
      <c r="G100" s="4">
        <v>6.9704979055082797E-5</v>
      </c>
      <c r="H100" s="10" t="s">
        <v>214</v>
      </c>
      <c r="I100" s="10" t="s">
        <v>18</v>
      </c>
    </row>
    <row r="101" spans="1:9" x14ac:dyDescent="0.2">
      <c r="A101" s="10" t="s">
        <v>215</v>
      </c>
      <c r="B101" s="10">
        <v>2710.9144589194798</v>
      </c>
      <c r="C101" s="10">
        <v>1.3327393908043199</v>
      </c>
      <c r="D101" s="10">
        <v>0.19861221168579801</v>
      </c>
      <c r="E101" s="10">
        <v>6.7102590494923504</v>
      </c>
      <c r="F101" s="4">
        <v>1.94279201753575E-11</v>
      </c>
      <c r="G101" s="4">
        <v>3.3125941240173102E-10</v>
      </c>
      <c r="H101" s="10" t="s">
        <v>216</v>
      </c>
      <c r="I101" s="10" t="s">
        <v>18</v>
      </c>
    </row>
    <row r="102" spans="1:9" x14ac:dyDescent="0.2">
      <c r="A102" s="10" t="s">
        <v>217</v>
      </c>
      <c r="B102" s="10">
        <v>1198.93937577523</v>
      </c>
      <c r="C102" s="10">
        <v>-1.2636261330267</v>
      </c>
      <c r="D102" s="10">
        <v>0.210255437306161</v>
      </c>
      <c r="E102" s="10">
        <v>-6.0099569800265398</v>
      </c>
      <c r="F102" s="4">
        <v>1.85572563313245E-9</v>
      </c>
      <c r="G102" s="4">
        <v>2.4181232102324202E-8</v>
      </c>
      <c r="H102" s="10" t="s">
        <v>218</v>
      </c>
      <c r="I102" s="10" t="s">
        <v>18</v>
      </c>
    </row>
    <row r="103" spans="1:9" x14ac:dyDescent="0.2">
      <c r="A103" s="10" t="s">
        <v>219</v>
      </c>
      <c r="B103" s="10">
        <v>1604.63925288271</v>
      </c>
      <c r="C103" s="10">
        <v>2.1102807087883302</v>
      </c>
      <c r="D103" s="10">
        <v>0.213681779205698</v>
      </c>
      <c r="E103" s="10">
        <v>9.8758102662412597</v>
      </c>
      <c r="F103" s="4">
        <v>5.3002847622050903E-23</v>
      </c>
      <c r="G103" s="4">
        <v>2.5515346098198199E-21</v>
      </c>
      <c r="H103" s="10" t="s">
        <v>220</v>
      </c>
      <c r="I103" s="10" t="s">
        <v>18</v>
      </c>
    </row>
    <row r="104" spans="1:9" x14ac:dyDescent="0.2">
      <c r="A104" s="10" t="s">
        <v>221</v>
      </c>
      <c r="B104" s="10">
        <v>3447.1123730824502</v>
      </c>
      <c r="C104" s="10">
        <v>2.0463650993363101</v>
      </c>
      <c r="D104" s="10">
        <v>0.21972430722024</v>
      </c>
      <c r="E104" s="10">
        <v>9.3133305332720493</v>
      </c>
      <c r="F104" s="4">
        <v>1.2388540267297399E-20</v>
      </c>
      <c r="G104" s="4">
        <v>5.0835927208290802E-19</v>
      </c>
      <c r="H104" s="10" t="s">
        <v>222</v>
      </c>
      <c r="I104" s="10" t="s">
        <v>18</v>
      </c>
    </row>
    <row r="105" spans="1:9" x14ac:dyDescent="0.2">
      <c r="A105" s="10" t="s">
        <v>223</v>
      </c>
      <c r="B105" s="10">
        <v>1644.68170635602</v>
      </c>
      <c r="C105" s="10">
        <v>1.37015682914735</v>
      </c>
      <c r="D105" s="10">
        <v>0.210027041664788</v>
      </c>
      <c r="E105" s="10">
        <v>6.5237162714226997</v>
      </c>
      <c r="F105" s="4">
        <v>6.8586396716769494E-11</v>
      </c>
      <c r="G105" s="4">
        <v>1.09412971390036E-9</v>
      </c>
      <c r="H105" s="10" t="s">
        <v>224</v>
      </c>
      <c r="I105" s="10" t="s">
        <v>18</v>
      </c>
    </row>
    <row r="106" spans="1:9" x14ac:dyDescent="0.2">
      <c r="A106" s="10" t="s">
        <v>225</v>
      </c>
      <c r="B106" s="10">
        <v>2174.6814183778101</v>
      </c>
      <c r="C106" s="10">
        <v>3.7267192557981201</v>
      </c>
      <c r="D106" s="10">
        <v>0.20819981889512201</v>
      </c>
      <c r="E106" s="10">
        <v>17.899723811361302</v>
      </c>
      <c r="F106" s="4">
        <v>1.1850815537988E-71</v>
      </c>
      <c r="G106" s="4">
        <v>6.0924371879916703E-69</v>
      </c>
      <c r="H106" s="10" t="s">
        <v>226</v>
      </c>
      <c r="I106" s="10" t="s">
        <v>18</v>
      </c>
    </row>
    <row r="107" spans="1:9" x14ac:dyDescent="0.2">
      <c r="A107" s="10" t="s">
        <v>227</v>
      </c>
      <c r="B107" s="10">
        <v>4.8797837467545202</v>
      </c>
      <c r="C107" s="10">
        <v>5.6795021195980304</v>
      </c>
      <c r="D107" s="10">
        <v>2.05906026095156</v>
      </c>
      <c r="E107" s="10">
        <v>2.7582981553795598</v>
      </c>
      <c r="F107" s="10">
        <v>5.8103175464449099E-3</v>
      </c>
      <c r="G107" s="10">
        <v>2.0167353144966201E-2</v>
      </c>
      <c r="H107" s="10" t="s">
        <v>228</v>
      </c>
      <c r="I107" s="10" t="s">
        <v>18</v>
      </c>
    </row>
    <row r="108" spans="1:9" x14ac:dyDescent="0.2">
      <c r="A108" s="10" t="s">
        <v>229</v>
      </c>
      <c r="B108" s="10">
        <v>352.57992420477501</v>
      </c>
      <c r="C108" s="10">
        <v>2.0182104715470199</v>
      </c>
      <c r="D108" s="10">
        <v>0.29160070387312398</v>
      </c>
      <c r="E108" s="10">
        <v>6.9211440327152003</v>
      </c>
      <c r="F108" s="4">
        <v>4.4801068381997699E-12</v>
      </c>
      <c r="G108" s="4">
        <v>8.1925819476798103E-11</v>
      </c>
      <c r="H108" s="10" t="s">
        <v>230</v>
      </c>
      <c r="I108" s="10" t="s">
        <v>18</v>
      </c>
    </row>
    <row r="109" spans="1:9" x14ac:dyDescent="0.2">
      <c r="A109" s="10" t="s">
        <v>231</v>
      </c>
      <c r="B109" s="10">
        <v>2273.8001079979299</v>
      </c>
      <c r="C109" s="10">
        <v>1.4481398374211401</v>
      </c>
      <c r="D109" s="10">
        <v>0.22570413201859699</v>
      </c>
      <c r="E109" s="10">
        <v>6.4160980327193204</v>
      </c>
      <c r="F109" s="4">
        <v>1.39811434792771E-10</v>
      </c>
      <c r="G109" s="4">
        <v>2.1293695717152698E-9</v>
      </c>
      <c r="H109" s="10" t="s">
        <v>232</v>
      </c>
      <c r="I109" s="10" t="s">
        <v>18</v>
      </c>
    </row>
    <row r="110" spans="1:9" x14ac:dyDescent="0.2">
      <c r="A110" s="10" t="s">
        <v>233</v>
      </c>
      <c r="B110" s="10">
        <v>4.0010518602740399</v>
      </c>
      <c r="C110" s="10">
        <v>5.39773571786733</v>
      </c>
      <c r="D110" s="10">
        <v>2.1532629357120299</v>
      </c>
      <c r="E110" s="10">
        <v>2.5067703661942402</v>
      </c>
      <c r="F110" s="10">
        <v>1.2183983780147E-2</v>
      </c>
      <c r="G110" s="10">
        <v>3.74945794056546E-2</v>
      </c>
      <c r="H110" s="10" t="s">
        <v>234</v>
      </c>
      <c r="I110" s="10" t="s">
        <v>18</v>
      </c>
    </row>
    <row r="111" spans="1:9" x14ac:dyDescent="0.2">
      <c r="A111" s="10" t="s">
        <v>235</v>
      </c>
      <c r="B111" s="10">
        <v>622.57946042337005</v>
      </c>
      <c r="C111" s="10">
        <v>2.5943910974837001</v>
      </c>
      <c r="D111" s="10">
        <v>0.25446000983054501</v>
      </c>
      <c r="E111" s="10">
        <v>10.195673179496501</v>
      </c>
      <c r="F111" s="4">
        <v>2.0730332586214901E-24</v>
      </c>
      <c r="G111" s="4">
        <v>1.0967754795662099E-22</v>
      </c>
      <c r="H111" s="10" t="s">
        <v>236</v>
      </c>
      <c r="I111" s="10" t="s">
        <v>18</v>
      </c>
    </row>
    <row r="112" spans="1:9" x14ac:dyDescent="0.2">
      <c r="A112" s="10" t="s">
        <v>237</v>
      </c>
      <c r="B112" s="10">
        <v>1152.61352270983</v>
      </c>
      <c r="C112" s="10">
        <v>1.92519714375889</v>
      </c>
      <c r="D112" s="10">
        <v>0.21313141502220401</v>
      </c>
      <c r="E112" s="10">
        <v>9.0329111903016397</v>
      </c>
      <c r="F112" s="4">
        <v>1.6716432849000099E-19</v>
      </c>
      <c r="G112" s="4">
        <v>6.1137267897544501E-18</v>
      </c>
      <c r="H112" s="10" t="s">
        <v>238</v>
      </c>
      <c r="I112" s="10" t="s">
        <v>18</v>
      </c>
    </row>
    <row r="113" spans="1:9" x14ac:dyDescent="0.2">
      <c r="A113" s="10" t="s">
        <v>239</v>
      </c>
      <c r="B113" s="10">
        <v>247.06710104102299</v>
      </c>
      <c r="C113" s="10">
        <v>5.4792568523104999</v>
      </c>
      <c r="D113" s="10">
        <v>0.41638555716866099</v>
      </c>
      <c r="E113" s="10">
        <v>13.159094396953501</v>
      </c>
      <c r="F113" s="4">
        <v>1.5088347097033798E-39</v>
      </c>
      <c r="G113" s="4">
        <v>2.0251832184870899E-37</v>
      </c>
      <c r="H113" s="10" t="s">
        <v>240</v>
      </c>
      <c r="I113" s="10" t="s">
        <v>18</v>
      </c>
    </row>
    <row r="114" spans="1:9" x14ac:dyDescent="0.2">
      <c r="A114" s="10" t="s">
        <v>241</v>
      </c>
      <c r="B114" s="10">
        <v>2981.0488476901101</v>
      </c>
      <c r="C114" s="10">
        <v>1.77081703073351</v>
      </c>
      <c r="D114" s="10">
        <v>0.211092569865625</v>
      </c>
      <c r="E114" s="10">
        <v>8.3888174361644001</v>
      </c>
      <c r="F114" s="4">
        <v>4.9105657220152497E-17</v>
      </c>
      <c r="G114" s="4">
        <v>1.46547846908816E-15</v>
      </c>
      <c r="H114" s="10" t="s">
        <v>242</v>
      </c>
      <c r="I114" s="10" t="s">
        <v>18</v>
      </c>
    </row>
    <row r="115" spans="1:9" x14ac:dyDescent="0.2">
      <c r="A115" s="10" t="s">
        <v>243</v>
      </c>
      <c r="B115" s="10">
        <v>3307.0907453898399</v>
      </c>
      <c r="C115" s="10">
        <v>-1.6824776261621801</v>
      </c>
      <c r="D115" s="10">
        <v>0.21427095465582699</v>
      </c>
      <c r="E115" s="10">
        <v>-7.8521030947225903</v>
      </c>
      <c r="F115" s="4">
        <v>4.0911796175260703E-15</v>
      </c>
      <c r="G115" s="4">
        <v>1.03215158369197E-13</v>
      </c>
      <c r="H115" s="10" t="s">
        <v>244</v>
      </c>
      <c r="I115" s="10" t="s">
        <v>18</v>
      </c>
    </row>
    <row r="116" spans="1:9" x14ac:dyDescent="0.2">
      <c r="A116" s="10" t="s">
        <v>245</v>
      </c>
      <c r="B116" s="10">
        <v>401.265705837903</v>
      </c>
      <c r="C116" s="10">
        <v>1.5173209570422801</v>
      </c>
      <c r="D116" s="10">
        <v>0.24154454834165401</v>
      </c>
      <c r="E116" s="10">
        <v>6.2817437506231597</v>
      </c>
      <c r="F116" s="4">
        <v>3.3479636210372698E-10</v>
      </c>
      <c r="G116" s="4">
        <v>4.8189099198310896E-9</v>
      </c>
      <c r="H116" s="10" t="s">
        <v>246</v>
      </c>
      <c r="I116" s="10" t="s">
        <v>18</v>
      </c>
    </row>
    <row r="117" spans="1:9" x14ac:dyDescent="0.2">
      <c r="A117" s="10" t="s">
        <v>247</v>
      </c>
      <c r="B117" s="10">
        <v>7719.6443976885803</v>
      </c>
      <c r="C117" s="10">
        <v>1.16509108679691</v>
      </c>
      <c r="D117" s="10">
        <v>0.19177521434899999</v>
      </c>
      <c r="E117" s="10">
        <v>6.0752954481210404</v>
      </c>
      <c r="F117" s="4">
        <v>1.23759646601935E-9</v>
      </c>
      <c r="G117" s="4">
        <v>1.6652242424508201E-8</v>
      </c>
      <c r="H117" s="10" t="s">
        <v>248</v>
      </c>
      <c r="I117" s="10" t="s">
        <v>18</v>
      </c>
    </row>
    <row r="118" spans="1:9" x14ac:dyDescent="0.2">
      <c r="A118" s="10" t="s">
        <v>249</v>
      </c>
      <c r="B118" s="10">
        <v>1418.3547176412601</v>
      </c>
      <c r="C118" s="10">
        <v>7.2442819425711003</v>
      </c>
      <c r="D118" s="10">
        <v>0.30821692130609701</v>
      </c>
      <c r="E118" s="10">
        <v>23.5038423973375</v>
      </c>
      <c r="F118" s="4">
        <v>3.7259442017945098E-122</v>
      </c>
      <c r="G118" s="4">
        <v>1.0152080166629501E-118</v>
      </c>
      <c r="H118" s="10" t="s">
        <v>250</v>
      </c>
      <c r="I118" s="10" t="s">
        <v>18</v>
      </c>
    </row>
    <row r="119" spans="1:9" x14ac:dyDescent="0.2">
      <c r="A119" s="10" t="s">
        <v>251</v>
      </c>
      <c r="B119" s="10">
        <v>1762.2076726881401</v>
      </c>
      <c r="C119" s="10">
        <v>-1.2044193652061601</v>
      </c>
      <c r="D119" s="10">
        <v>0.195068325193854</v>
      </c>
      <c r="E119" s="10">
        <v>-6.1743461631161098</v>
      </c>
      <c r="F119" s="4">
        <v>6.6437834271085996E-10</v>
      </c>
      <c r="G119" s="4">
        <v>9.2311660906898606E-9</v>
      </c>
      <c r="H119" s="10" t="s">
        <v>252</v>
      </c>
      <c r="I119" s="10" t="s">
        <v>18</v>
      </c>
    </row>
    <row r="120" spans="1:9" x14ac:dyDescent="0.2">
      <c r="A120" s="10" t="s">
        <v>253</v>
      </c>
      <c r="B120" s="10">
        <v>9.1405139214215403</v>
      </c>
      <c r="C120" s="10">
        <v>6.5901829154921696</v>
      </c>
      <c r="D120" s="10">
        <v>1.79254900780578</v>
      </c>
      <c r="E120" s="10">
        <v>3.6764310971665202</v>
      </c>
      <c r="F120" s="10">
        <v>2.36519700500884E-4</v>
      </c>
      <c r="G120" s="10">
        <v>1.2340965682779701E-3</v>
      </c>
      <c r="H120" s="10" t="s">
        <v>254</v>
      </c>
      <c r="I120" s="10" t="s">
        <v>18</v>
      </c>
    </row>
    <row r="121" spans="1:9" x14ac:dyDescent="0.2">
      <c r="A121" s="10" t="s">
        <v>255</v>
      </c>
      <c r="B121" s="10">
        <v>1220.26089515689</v>
      </c>
      <c r="C121" s="10">
        <v>-1.0837511018027799</v>
      </c>
      <c r="D121" s="10">
        <v>0.229858377144843</v>
      </c>
      <c r="E121" s="10">
        <v>-4.7148644972806997</v>
      </c>
      <c r="F121" s="4">
        <v>2.4187165730148101E-6</v>
      </c>
      <c r="G121" s="4">
        <v>1.9314997205432201E-5</v>
      </c>
      <c r="H121" s="10" t="s">
        <v>256</v>
      </c>
      <c r="I121" s="10" t="s">
        <v>18</v>
      </c>
    </row>
    <row r="122" spans="1:9" x14ac:dyDescent="0.2">
      <c r="A122" s="10" t="s">
        <v>257</v>
      </c>
      <c r="B122" s="10">
        <v>42.828576382065599</v>
      </c>
      <c r="C122" s="10">
        <v>5.3465357220774399</v>
      </c>
      <c r="D122" s="10">
        <v>0.90101690818104996</v>
      </c>
      <c r="E122" s="10">
        <v>5.9338905558064301</v>
      </c>
      <c r="F122" s="4">
        <v>2.95839075292567E-9</v>
      </c>
      <c r="G122" s="4">
        <v>3.77551629250424E-8</v>
      </c>
      <c r="H122" s="10" t="s">
        <v>258</v>
      </c>
      <c r="I122" s="10" t="s">
        <v>18</v>
      </c>
    </row>
    <row r="123" spans="1:9" x14ac:dyDescent="0.2">
      <c r="A123" s="10" t="s">
        <v>259</v>
      </c>
      <c r="B123" s="10">
        <v>19.129831210955199</v>
      </c>
      <c r="C123" s="10">
        <v>3.2647827793562998</v>
      </c>
      <c r="D123" s="10">
        <v>0.90386168832737102</v>
      </c>
      <c r="E123" s="10">
        <v>3.6120380159025198</v>
      </c>
      <c r="F123" s="10">
        <v>3.0380001556401602E-4</v>
      </c>
      <c r="G123" s="10">
        <v>1.54059911112465E-3</v>
      </c>
      <c r="H123" s="10" t="s">
        <v>260</v>
      </c>
      <c r="I123" s="10" t="s">
        <v>18</v>
      </c>
    </row>
    <row r="124" spans="1:9" x14ac:dyDescent="0.2">
      <c r="A124" s="10" t="s">
        <v>261</v>
      </c>
      <c r="B124" s="10">
        <v>318.57585479099203</v>
      </c>
      <c r="C124" s="10">
        <v>-1.9089016202184601</v>
      </c>
      <c r="D124" s="10">
        <v>0.26757156980379199</v>
      </c>
      <c r="E124" s="10">
        <v>-7.1341720707407097</v>
      </c>
      <c r="F124" s="4">
        <v>9.7371459986552795E-13</v>
      </c>
      <c r="G124" s="4">
        <v>1.9323235034622001E-11</v>
      </c>
      <c r="H124" s="10" t="s">
        <v>262</v>
      </c>
      <c r="I124" s="10" t="s">
        <v>18</v>
      </c>
    </row>
    <row r="125" spans="1:9" x14ac:dyDescent="0.2">
      <c r="A125" s="10" t="s">
        <v>263</v>
      </c>
      <c r="B125" s="10">
        <v>85.230247917081499</v>
      </c>
      <c r="C125" s="10">
        <v>1.6539976423375999</v>
      </c>
      <c r="D125" s="10">
        <v>0.44267966527929198</v>
      </c>
      <c r="E125" s="10">
        <v>3.7363307422175698</v>
      </c>
      <c r="F125" s="10">
        <v>1.86725034563769E-4</v>
      </c>
      <c r="G125" s="10">
        <v>1.00250187522345E-3</v>
      </c>
      <c r="H125" s="10" t="s">
        <v>264</v>
      </c>
      <c r="I125" s="10" t="s">
        <v>18</v>
      </c>
    </row>
    <row r="126" spans="1:9" x14ac:dyDescent="0.2">
      <c r="A126" s="10" t="s">
        <v>265</v>
      </c>
      <c r="B126" s="10">
        <v>2048.5985159960701</v>
      </c>
      <c r="C126" s="10">
        <v>1.95322195695753</v>
      </c>
      <c r="D126" s="10">
        <v>0.18799718772771301</v>
      </c>
      <c r="E126" s="10">
        <v>10.3896339118992</v>
      </c>
      <c r="F126" s="4">
        <v>2.76411999683377E-25</v>
      </c>
      <c r="G126" s="4">
        <v>1.5723168591592799E-23</v>
      </c>
      <c r="H126" s="10" t="s">
        <v>266</v>
      </c>
      <c r="I126" s="10" t="s">
        <v>18</v>
      </c>
    </row>
    <row r="127" spans="1:9" x14ac:dyDescent="0.2">
      <c r="A127" s="10" t="s">
        <v>267</v>
      </c>
      <c r="B127" s="10">
        <v>12.1207627363085</v>
      </c>
      <c r="C127" s="10">
        <v>5.5220822809180499</v>
      </c>
      <c r="D127" s="10">
        <v>1.7065179362360301</v>
      </c>
      <c r="E127" s="10">
        <v>3.2358770826035399</v>
      </c>
      <c r="F127" s="10">
        <v>1.2126959250637001E-3</v>
      </c>
      <c r="G127" s="10">
        <v>5.2249092141382998E-3</v>
      </c>
      <c r="H127" s="10" t="s">
        <v>268</v>
      </c>
      <c r="I127" s="10" t="s">
        <v>18</v>
      </c>
    </row>
    <row r="128" spans="1:9" x14ac:dyDescent="0.2">
      <c r="A128" s="10" t="s">
        <v>269</v>
      </c>
      <c r="B128" s="10">
        <v>6.8606877293017199</v>
      </c>
      <c r="C128" s="10">
        <v>6.1706072827813099</v>
      </c>
      <c r="D128" s="10">
        <v>1.91251448943764</v>
      </c>
      <c r="E128" s="10">
        <v>3.2264368802746901</v>
      </c>
      <c r="F128" s="10">
        <v>1.2534187471246201E-3</v>
      </c>
      <c r="G128" s="10">
        <v>5.3706401325529897E-3</v>
      </c>
      <c r="H128" s="10" t="s">
        <v>270</v>
      </c>
      <c r="I128" s="10" t="s">
        <v>18</v>
      </c>
    </row>
    <row r="129" spans="1:9" x14ac:dyDescent="0.2">
      <c r="A129" s="10" t="s">
        <v>271</v>
      </c>
      <c r="B129" s="10">
        <v>3142.3940120421298</v>
      </c>
      <c r="C129" s="10">
        <v>-1.16732812209448</v>
      </c>
      <c r="D129" s="10">
        <v>0.209332294117996</v>
      </c>
      <c r="E129" s="10">
        <v>-5.5764359102494003</v>
      </c>
      <c r="F129" s="4">
        <v>2.4549630061031099E-8</v>
      </c>
      <c r="G129" s="4">
        <v>2.7663514072494402E-7</v>
      </c>
      <c r="H129" s="10" t="s">
        <v>272</v>
      </c>
      <c r="I129" s="10" t="s">
        <v>18</v>
      </c>
    </row>
    <row r="130" spans="1:9" x14ac:dyDescent="0.2">
      <c r="A130" s="10" t="s">
        <v>273</v>
      </c>
      <c r="B130" s="10">
        <v>591.90365712355799</v>
      </c>
      <c r="C130" s="10">
        <v>-1.1852580300692599</v>
      </c>
      <c r="D130" s="10">
        <v>0.28284599056294701</v>
      </c>
      <c r="E130" s="10">
        <v>-4.1904713858953704</v>
      </c>
      <c r="F130" s="4">
        <v>2.7837552043382701E-5</v>
      </c>
      <c r="G130" s="10">
        <v>1.7973691481659899E-4</v>
      </c>
      <c r="H130" s="10" t="s">
        <v>274</v>
      </c>
      <c r="I130" s="10" t="s">
        <v>18</v>
      </c>
    </row>
    <row r="131" spans="1:9" x14ac:dyDescent="0.2">
      <c r="A131" s="10" t="s">
        <v>275</v>
      </c>
      <c r="B131" s="10">
        <v>52.698503860406497</v>
      </c>
      <c r="C131" s="10">
        <v>2.4761489353918602</v>
      </c>
      <c r="D131" s="10">
        <v>0.53114603982313102</v>
      </c>
      <c r="E131" s="10">
        <v>4.6618985170564597</v>
      </c>
      <c r="F131" s="4">
        <v>3.13305682259621E-6</v>
      </c>
      <c r="G131" s="4">
        <v>2.4572941636522399E-5</v>
      </c>
      <c r="H131" s="10" t="s">
        <v>276</v>
      </c>
      <c r="I131" s="10" t="s">
        <v>18</v>
      </c>
    </row>
    <row r="132" spans="1:9" x14ac:dyDescent="0.2">
      <c r="A132" s="10" t="s">
        <v>277</v>
      </c>
      <c r="B132" s="10">
        <v>317.09359785969002</v>
      </c>
      <c r="C132" s="10">
        <v>1.07323700338198</v>
      </c>
      <c r="D132" s="10">
        <v>0.26489425580509002</v>
      </c>
      <c r="E132" s="10">
        <v>4.0515676722400098</v>
      </c>
      <c r="F132" s="4">
        <v>5.0875606588405898E-5</v>
      </c>
      <c r="G132" s="10">
        <v>3.1087859446384702E-4</v>
      </c>
      <c r="H132" s="10" t="s">
        <v>278</v>
      </c>
      <c r="I132" s="10" t="s">
        <v>18</v>
      </c>
    </row>
    <row r="133" spans="1:9" x14ac:dyDescent="0.2">
      <c r="A133" s="10" t="s">
        <v>279</v>
      </c>
      <c r="B133" s="10">
        <v>18.3934684890739</v>
      </c>
      <c r="C133" s="10">
        <v>2.1697410195700599</v>
      </c>
      <c r="D133" s="10">
        <v>0.83247606959818499</v>
      </c>
      <c r="E133" s="10">
        <v>2.6063704397140701</v>
      </c>
      <c r="F133" s="10">
        <v>9.1507435504037202E-3</v>
      </c>
      <c r="G133" s="10">
        <v>2.9527511785628902E-2</v>
      </c>
      <c r="H133" s="10" t="s">
        <v>280</v>
      </c>
      <c r="I133" s="10" t="s">
        <v>18</v>
      </c>
    </row>
    <row r="134" spans="1:9" x14ac:dyDescent="0.2">
      <c r="A134" s="10" t="s">
        <v>281</v>
      </c>
      <c r="B134" s="10">
        <v>36.834228642903398</v>
      </c>
      <c r="C134" s="10">
        <v>3.0925146051342298</v>
      </c>
      <c r="D134" s="10">
        <v>0.65629845113826402</v>
      </c>
      <c r="E134" s="10">
        <v>4.7120553153381204</v>
      </c>
      <c r="F134" s="4">
        <v>2.45230788140885E-6</v>
      </c>
      <c r="G134" s="4">
        <v>1.9548868591207399E-5</v>
      </c>
      <c r="H134" s="10" t="s">
        <v>282</v>
      </c>
      <c r="I134" s="10" t="s">
        <v>18</v>
      </c>
    </row>
    <row r="135" spans="1:9" x14ac:dyDescent="0.2">
      <c r="A135" s="10" t="s">
        <v>283</v>
      </c>
      <c r="B135" s="10">
        <v>798.38299036727005</v>
      </c>
      <c r="C135" s="10">
        <v>-2.7667814017909</v>
      </c>
      <c r="D135" s="10">
        <v>0.225759474087151</v>
      </c>
      <c r="E135" s="10">
        <v>-12.255438727336999</v>
      </c>
      <c r="F135" s="4">
        <v>1.5709682696274499E-34</v>
      </c>
      <c r="G135" s="4">
        <v>1.6031525259378001E-32</v>
      </c>
      <c r="H135" s="10" t="s">
        <v>284</v>
      </c>
      <c r="I135" s="10" t="s">
        <v>18</v>
      </c>
    </row>
    <row r="136" spans="1:9" x14ac:dyDescent="0.2">
      <c r="A136" s="10" t="s">
        <v>285</v>
      </c>
      <c r="B136" s="10">
        <v>174.60858070676201</v>
      </c>
      <c r="C136" s="10">
        <v>5.9181170285829801</v>
      </c>
      <c r="D136" s="10">
        <v>0.53065804972441799</v>
      </c>
      <c r="E136" s="10">
        <v>11.1524116738762</v>
      </c>
      <c r="F136" s="4">
        <v>6.9691476476176894E-29</v>
      </c>
      <c r="G136" s="4">
        <v>5.0102471228136999E-27</v>
      </c>
      <c r="H136" s="10" t="s">
        <v>286</v>
      </c>
      <c r="I136" s="10" t="s">
        <v>18</v>
      </c>
    </row>
    <row r="137" spans="1:9" x14ac:dyDescent="0.2">
      <c r="A137" s="10" t="s">
        <v>287</v>
      </c>
      <c r="B137" s="10">
        <v>82.823610333708999</v>
      </c>
      <c r="C137" s="10">
        <v>-2.8874557513377201</v>
      </c>
      <c r="D137" s="10">
        <v>0.44423896627915099</v>
      </c>
      <c r="E137" s="10">
        <v>-6.4997804571769704</v>
      </c>
      <c r="F137" s="4">
        <v>8.0437311750685703E-11</v>
      </c>
      <c r="G137" s="4">
        <v>1.2690651032257901E-9</v>
      </c>
      <c r="H137" s="10" t="s">
        <v>288</v>
      </c>
      <c r="I137" s="10" t="s">
        <v>18</v>
      </c>
    </row>
    <row r="138" spans="1:9" x14ac:dyDescent="0.2">
      <c r="A138" s="10" t="s">
        <v>289</v>
      </c>
      <c r="B138" s="10">
        <v>77.865127755285698</v>
      </c>
      <c r="C138" s="10">
        <v>5.1987722225451396</v>
      </c>
      <c r="D138" s="10">
        <v>0.64444026257812903</v>
      </c>
      <c r="E138" s="10">
        <v>8.0671126936530602</v>
      </c>
      <c r="F138" s="4">
        <v>7.1980104186969796E-16</v>
      </c>
      <c r="G138" s="4">
        <v>1.9476086383141699E-14</v>
      </c>
      <c r="H138" s="10" t="s">
        <v>290</v>
      </c>
      <c r="I138" s="10" t="s">
        <v>18</v>
      </c>
    </row>
    <row r="139" spans="1:9" x14ac:dyDescent="0.2">
      <c r="A139" s="10" t="s">
        <v>291</v>
      </c>
      <c r="B139" s="10">
        <v>171.128038587986</v>
      </c>
      <c r="C139" s="10">
        <v>1.6852691843658101</v>
      </c>
      <c r="D139" s="10">
        <v>0.31454298774998002</v>
      </c>
      <c r="E139" s="10">
        <v>5.3578342229818903</v>
      </c>
      <c r="F139" s="4">
        <v>8.4225465573692207E-8</v>
      </c>
      <c r="G139" s="4">
        <v>8.63390240965535E-7</v>
      </c>
      <c r="H139" s="10" t="s">
        <v>292</v>
      </c>
      <c r="I139" s="10" t="s">
        <v>18</v>
      </c>
    </row>
    <row r="140" spans="1:9" x14ac:dyDescent="0.2">
      <c r="A140" s="10" t="s">
        <v>293</v>
      </c>
      <c r="B140" s="10">
        <v>2981.2776773649598</v>
      </c>
      <c r="C140" s="10">
        <v>1.3570338698440401</v>
      </c>
      <c r="D140" s="10">
        <v>0.19737980616596801</v>
      </c>
      <c r="E140" s="10">
        <v>6.8752416784874599</v>
      </c>
      <c r="F140" s="4">
        <v>6.1884852279096802E-12</v>
      </c>
      <c r="G140" s="4">
        <v>1.11257315898325E-10</v>
      </c>
      <c r="H140" s="10" t="s">
        <v>294</v>
      </c>
      <c r="I140" s="10" t="s">
        <v>18</v>
      </c>
    </row>
    <row r="141" spans="1:9" x14ac:dyDescent="0.2">
      <c r="A141" s="10" t="s">
        <v>295</v>
      </c>
      <c r="B141" s="10">
        <v>183.77271776406701</v>
      </c>
      <c r="C141" s="10">
        <v>-2.4977536255525599</v>
      </c>
      <c r="D141" s="10">
        <v>0.311140733456095</v>
      </c>
      <c r="E141" s="10">
        <v>-8.0277294387268601</v>
      </c>
      <c r="F141" s="4">
        <v>9.9293157060389398E-16</v>
      </c>
      <c r="G141" s="4">
        <v>2.65239279453376E-14</v>
      </c>
      <c r="H141" s="10" t="s">
        <v>296</v>
      </c>
      <c r="I141" s="10" t="s">
        <v>18</v>
      </c>
    </row>
    <row r="142" spans="1:9" x14ac:dyDescent="0.2">
      <c r="A142" s="10" t="s">
        <v>297</v>
      </c>
      <c r="B142" s="10">
        <v>271.10883365738698</v>
      </c>
      <c r="C142" s="10">
        <v>1.27354661336132</v>
      </c>
      <c r="D142" s="10">
        <v>0.27384404350561498</v>
      </c>
      <c r="E142" s="10">
        <v>4.6506274047739602</v>
      </c>
      <c r="F142" s="4">
        <v>3.30926732336026E-6</v>
      </c>
      <c r="G142" s="4">
        <v>2.5858218170231401E-5</v>
      </c>
      <c r="H142" s="10" t="s">
        <v>298</v>
      </c>
      <c r="I142" s="10" t="s">
        <v>18</v>
      </c>
    </row>
    <row r="143" spans="1:9" x14ac:dyDescent="0.2">
      <c r="A143" s="10" t="s">
        <v>299</v>
      </c>
      <c r="B143" s="10">
        <v>1990.7856772883899</v>
      </c>
      <c r="C143" s="10">
        <v>-1.3231180732916501</v>
      </c>
      <c r="D143" s="10">
        <v>0.20362276022457401</v>
      </c>
      <c r="E143" s="10">
        <v>-6.49788889921932</v>
      </c>
      <c r="F143" s="4">
        <v>8.1454920335760505E-11</v>
      </c>
      <c r="G143" s="4">
        <v>1.2836334380500101E-9</v>
      </c>
      <c r="H143" s="10" t="s">
        <v>300</v>
      </c>
      <c r="I143" s="10" t="s">
        <v>18</v>
      </c>
    </row>
    <row r="144" spans="1:9" x14ac:dyDescent="0.2">
      <c r="A144" s="10" t="s">
        <v>301</v>
      </c>
      <c r="B144" s="10">
        <v>12.4053709587768</v>
      </c>
      <c r="C144" s="10">
        <v>2.5640225243068899</v>
      </c>
      <c r="D144" s="10">
        <v>1.0666092684414601</v>
      </c>
      <c r="E144" s="10">
        <v>2.40390047243211</v>
      </c>
      <c r="F144" s="10">
        <v>1.6221188935436701E-2</v>
      </c>
      <c r="G144" s="10">
        <v>4.75194855310015E-2</v>
      </c>
      <c r="H144" s="10" t="s">
        <v>302</v>
      </c>
      <c r="I144" s="10" t="s">
        <v>18</v>
      </c>
    </row>
    <row r="145" spans="1:9" x14ac:dyDescent="0.2">
      <c r="A145" s="10" t="s">
        <v>303</v>
      </c>
      <c r="B145" s="10">
        <v>232.64369883312199</v>
      </c>
      <c r="C145" s="10">
        <v>9.8142287370833401</v>
      </c>
      <c r="D145" s="10">
        <v>1.4620184433305701</v>
      </c>
      <c r="E145" s="10">
        <v>6.7127940703168401</v>
      </c>
      <c r="F145" s="4">
        <v>1.9093248818351099E-11</v>
      </c>
      <c r="G145" s="4">
        <v>3.2596099658747599E-10</v>
      </c>
      <c r="H145" s="10" t="s">
        <v>304</v>
      </c>
      <c r="I145" s="10" t="s">
        <v>18</v>
      </c>
    </row>
    <row r="146" spans="1:9" x14ac:dyDescent="0.2">
      <c r="A146" s="10" t="s">
        <v>305</v>
      </c>
      <c r="B146" s="10">
        <v>11.659692860084199</v>
      </c>
      <c r="C146" s="10">
        <v>2.7154020966079102</v>
      </c>
      <c r="D146" s="10">
        <v>1.11486053956108</v>
      </c>
      <c r="E146" s="10">
        <v>2.4356428452270502</v>
      </c>
      <c r="F146" s="10">
        <v>1.4865353944665601E-2</v>
      </c>
      <c r="G146" s="10">
        <v>4.4220011243919603E-2</v>
      </c>
      <c r="H146" s="10" t="s">
        <v>306</v>
      </c>
      <c r="I146" s="10" t="s">
        <v>18</v>
      </c>
    </row>
    <row r="147" spans="1:9" x14ac:dyDescent="0.2">
      <c r="A147" s="10" t="s">
        <v>307</v>
      </c>
      <c r="B147" s="10">
        <v>200.092623679837</v>
      </c>
      <c r="C147" s="10">
        <v>-2.5771454210021698</v>
      </c>
      <c r="D147" s="10">
        <v>0.31291467216178898</v>
      </c>
      <c r="E147" s="10">
        <v>-8.2359366634929998</v>
      </c>
      <c r="F147" s="4">
        <v>1.7815817582075601E-16</v>
      </c>
      <c r="G147" s="4">
        <v>5.0723885230806098E-15</v>
      </c>
      <c r="H147" s="10" t="s">
        <v>308</v>
      </c>
      <c r="I147" s="10" t="s">
        <v>18</v>
      </c>
    </row>
    <row r="148" spans="1:9" x14ac:dyDescent="0.2">
      <c r="A148" s="10" t="s">
        <v>309</v>
      </c>
      <c r="B148" s="10">
        <v>26594.003921882999</v>
      </c>
      <c r="C148" s="10">
        <v>-1.74909521148923</v>
      </c>
      <c r="D148" s="10">
        <v>0.17803929448772901</v>
      </c>
      <c r="E148" s="10">
        <v>-9.8242088440188802</v>
      </c>
      <c r="F148" s="4">
        <v>8.8566710583328099E-23</v>
      </c>
      <c r="G148" s="4">
        <v>4.17504699526633E-21</v>
      </c>
      <c r="H148" s="10" t="s">
        <v>310</v>
      </c>
      <c r="I148" s="10" t="s">
        <v>18</v>
      </c>
    </row>
    <row r="149" spans="1:9" x14ac:dyDescent="0.2">
      <c r="A149" s="10" t="s">
        <v>311</v>
      </c>
      <c r="B149" s="10">
        <v>28.484361443762499</v>
      </c>
      <c r="C149" s="10">
        <v>1.9201515375472999</v>
      </c>
      <c r="D149" s="10">
        <v>0.66955819796988802</v>
      </c>
      <c r="E149" s="10">
        <v>2.8677888544554202</v>
      </c>
      <c r="F149" s="10">
        <v>4.1335128962458299E-3</v>
      </c>
      <c r="G149" s="10">
        <v>1.50629698922041E-2</v>
      </c>
      <c r="H149" s="10" t="s">
        <v>312</v>
      </c>
      <c r="I149" s="10" t="s">
        <v>18</v>
      </c>
    </row>
    <row r="150" spans="1:9" x14ac:dyDescent="0.2">
      <c r="A150" s="10" t="s">
        <v>313</v>
      </c>
      <c r="B150" s="10">
        <v>14.928676075995501</v>
      </c>
      <c r="C150" s="10">
        <v>2.6296627270920698</v>
      </c>
      <c r="D150" s="10">
        <v>0.96842766029164695</v>
      </c>
      <c r="E150" s="10">
        <v>2.7153940711484101</v>
      </c>
      <c r="F150" s="10">
        <v>6.6196949592019399E-3</v>
      </c>
      <c r="G150" s="10">
        <v>2.2485774512859599E-2</v>
      </c>
      <c r="H150" s="10" t="s">
        <v>314</v>
      </c>
      <c r="I150" s="10" t="s">
        <v>18</v>
      </c>
    </row>
    <row r="151" spans="1:9" x14ac:dyDescent="0.2">
      <c r="A151" s="10" t="s">
        <v>315</v>
      </c>
      <c r="B151" s="10">
        <v>59.938551040650196</v>
      </c>
      <c r="C151" s="10">
        <v>3.7462938676892499</v>
      </c>
      <c r="D151" s="10">
        <v>0.61582747786652303</v>
      </c>
      <c r="E151" s="10">
        <v>6.0833496430979999</v>
      </c>
      <c r="F151" s="4">
        <v>1.1769729156120901E-9</v>
      </c>
      <c r="G151" s="4">
        <v>1.58600301838192E-8</v>
      </c>
      <c r="H151" s="10" t="s">
        <v>316</v>
      </c>
      <c r="I151" s="10" t="s">
        <v>18</v>
      </c>
    </row>
    <row r="152" spans="1:9" x14ac:dyDescent="0.2">
      <c r="A152" s="10" t="s">
        <v>317</v>
      </c>
      <c r="B152" s="10">
        <v>1182.76743741155</v>
      </c>
      <c r="C152" s="10">
        <v>-1.11238236328514</v>
      </c>
      <c r="D152" s="10">
        <v>0.20820671332999699</v>
      </c>
      <c r="E152" s="10">
        <v>-5.3426824980521399</v>
      </c>
      <c r="F152" s="4">
        <v>9.1581092297512905E-8</v>
      </c>
      <c r="G152" s="4">
        <v>9.33175026862503E-7</v>
      </c>
      <c r="H152" s="10" t="s">
        <v>318</v>
      </c>
      <c r="I152" s="10" t="s">
        <v>18</v>
      </c>
    </row>
    <row r="153" spans="1:9" x14ac:dyDescent="0.2">
      <c r="A153" s="10" t="s">
        <v>319</v>
      </c>
      <c r="B153" s="10">
        <v>407.525057114623</v>
      </c>
      <c r="C153" s="10">
        <v>-1.66460159296197</v>
      </c>
      <c r="D153" s="10">
        <v>0.256717184828477</v>
      </c>
      <c r="E153" s="10">
        <v>-6.4841845086224303</v>
      </c>
      <c r="F153" s="4">
        <v>8.9212992458148306E-11</v>
      </c>
      <c r="G153" s="4">
        <v>1.3986112804989501E-9</v>
      </c>
      <c r="H153" s="10" t="s">
        <v>320</v>
      </c>
      <c r="I153" s="10" t="s">
        <v>18</v>
      </c>
    </row>
    <row r="154" spans="1:9" x14ac:dyDescent="0.2">
      <c r="A154" s="10" t="s">
        <v>321</v>
      </c>
      <c r="B154" s="10">
        <v>2445.1732711665099</v>
      </c>
      <c r="C154" s="10">
        <v>-1.1543824353124099</v>
      </c>
      <c r="D154" s="10">
        <v>0.190931134072331</v>
      </c>
      <c r="E154" s="10">
        <v>-6.0460670331277298</v>
      </c>
      <c r="F154" s="4">
        <v>1.4842436260727101E-9</v>
      </c>
      <c r="G154" s="4">
        <v>1.9717789409850402E-8</v>
      </c>
      <c r="H154" s="10" t="s">
        <v>322</v>
      </c>
      <c r="I154" s="10" t="s">
        <v>18</v>
      </c>
    </row>
    <row r="155" spans="1:9" x14ac:dyDescent="0.2">
      <c r="A155" s="10" t="s">
        <v>323</v>
      </c>
      <c r="B155" s="10">
        <v>200.94783757000999</v>
      </c>
      <c r="C155" s="10">
        <v>-1.7655082791346901</v>
      </c>
      <c r="D155" s="10">
        <v>0.31557810681297099</v>
      </c>
      <c r="E155" s="10">
        <v>-5.5945207890515096</v>
      </c>
      <c r="F155" s="4">
        <v>2.2123196152421599E-8</v>
      </c>
      <c r="G155" s="4">
        <v>2.51372279218111E-7</v>
      </c>
      <c r="H155" s="10" t="s">
        <v>324</v>
      </c>
      <c r="I155" s="10" t="s">
        <v>18</v>
      </c>
    </row>
    <row r="156" spans="1:9" x14ac:dyDescent="0.2">
      <c r="A156" s="10" t="s">
        <v>325</v>
      </c>
      <c r="B156" s="10">
        <v>1870.9166445992901</v>
      </c>
      <c r="C156" s="10">
        <v>2.5855607601172399</v>
      </c>
      <c r="D156" s="10">
        <v>0.240146763018253</v>
      </c>
      <c r="E156" s="10">
        <v>10.766585931123799</v>
      </c>
      <c r="F156" s="4">
        <v>4.9501818234825302E-27</v>
      </c>
      <c r="G156" s="4">
        <v>3.1661409423574801E-25</v>
      </c>
      <c r="H156" s="10" t="s">
        <v>326</v>
      </c>
      <c r="I156" s="10" t="s">
        <v>18</v>
      </c>
    </row>
    <row r="157" spans="1:9" x14ac:dyDescent="0.2">
      <c r="A157" s="10" t="s">
        <v>327</v>
      </c>
      <c r="B157" s="10">
        <v>1096.36328464744</v>
      </c>
      <c r="C157" s="10">
        <v>3.1644300329083901</v>
      </c>
      <c r="D157" s="10">
        <v>0.21564705008447799</v>
      </c>
      <c r="E157" s="10">
        <v>14.674116950214501</v>
      </c>
      <c r="F157" s="4">
        <v>9.4436972419947299E-49</v>
      </c>
      <c r="G157" s="4">
        <v>1.7745684051905502E-46</v>
      </c>
      <c r="H157" s="10" t="s">
        <v>328</v>
      </c>
      <c r="I157" s="10" t="s">
        <v>18</v>
      </c>
    </row>
    <row r="158" spans="1:9" x14ac:dyDescent="0.2">
      <c r="A158" s="10" t="s">
        <v>329</v>
      </c>
      <c r="B158" s="10">
        <v>1048.0821350198401</v>
      </c>
      <c r="C158" s="10">
        <v>-1.0290760770170699</v>
      </c>
      <c r="D158" s="10">
        <v>0.20566973444669001</v>
      </c>
      <c r="E158" s="10">
        <v>-5.0035367614276396</v>
      </c>
      <c r="F158" s="4">
        <v>5.6287925973862203E-7</v>
      </c>
      <c r="G158" s="4">
        <v>5.0284495705240102E-6</v>
      </c>
      <c r="H158" s="10" t="s">
        <v>330</v>
      </c>
      <c r="I158" s="10" t="s">
        <v>18</v>
      </c>
    </row>
    <row r="159" spans="1:9" x14ac:dyDescent="0.2">
      <c r="A159" s="10" t="s">
        <v>331</v>
      </c>
      <c r="B159" s="10">
        <v>543.72166386642402</v>
      </c>
      <c r="C159" s="10">
        <v>-1.151993334818</v>
      </c>
      <c r="D159" s="10">
        <v>0.22818636138107601</v>
      </c>
      <c r="E159" s="10">
        <v>-5.0484758503780398</v>
      </c>
      <c r="F159" s="4">
        <v>4.45348753799794E-7</v>
      </c>
      <c r="G159" s="4">
        <v>4.0583336102953099E-6</v>
      </c>
      <c r="H159" s="10" t="s">
        <v>332</v>
      </c>
      <c r="I159" s="10" t="s">
        <v>18</v>
      </c>
    </row>
    <row r="160" spans="1:9" x14ac:dyDescent="0.2">
      <c r="A160" s="10" t="s">
        <v>333</v>
      </c>
      <c r="B160" s="10">
        <v>188.00178765103601</v>
      </c>
      <c r="C160" s="10">
        <v>-1.6640748924748301</v>
      </c>
      <c r="D160" s="10">
        <v>0.31448130497985999</v>
      </c>
      <c r="E160" s="10">
        <v>-5.2914906740844403</v>
      </c>
      <c r="F160" s="4">
        <v>1.21323378183884E-7</v>
      </c>
      <c r="G160" s="4">
        <v>1.21622446113918E-6</v>
      </c>
      <c r="H160" s="10" t="s">
        <v>334</v>
      </c>
      <c r="I160" s="10" t="s">
        <v>18</v>
      </c>
    </row>
    <row r="161" spans="1:9" x14ac:dyDescent="0.2">
      <c r="A161" s="10" t="s">
        <v>335</v>
      </c>
      <c r="B161" s="10">
        <v>2063.0606366070101</v>
      </c>
      <c r="C161" s="10">
        <v>-1.07454944616203</v>
      </c>
      <c r="D161" s="10">
        <v>0.22070649115973801</v>
      </c>
      <c r="E161" s="10">
        <v>-4.8686807556752498</v>
      </c>
      <c r="F161" s="4">
        <v>1.1234573217227201E-6</v>
      </c>
      <c r="G161" s="4">
        <v>9.5334567261049798E-6</v>
      </c>
      <c r="H161" s="10" t="s">
        <v>336</v>
      </c>
      <c r="I161" s="10" t="s">
        <v>18</v>
      </c>
    </row>
    <row r="162" spans="1:9" x14ac:dyDescent="0.2">
      <c r="A162" s="10" t="s">
        <v>337</v>
      </c>
      <c r="B162" s="10">
        <v>2703.5663827953499</v>
      </c>
      <c r="C162" s="10">
        <v>-1.6277810710931899</v>
      </c>
      <c r="D162" s="10">
        <v>0.19625697338884901</v>
      </c>
      <c r="E162" s="10">
        <v>-8.2941311230150507</v>
      </c>
      <c r="F162" s="4">
        <v>1.09381747344309E-16</v>
      </c>
      <c r="G162" s="4">
        <v>3.1807091460943198E-15</v>
      </c>
      <c r="H162" s="10" t="s">
        <v>338</v>
      </c>
      <c r="I162" s="10" t="s">
        <v>18</v>
      </c>
    </row>
    <row r="163" spans="1:9" x14ac:dyDescent="0.2">
      <c r="A163" s="10" t="s">
        <v>339</v>
      </c>
      <c r="B163" s="10">
        <v>163.81060839336001</v>
      </c>
      <c r="C163" s="10">
        <v>4.1880996307337197</v>
      </c>
      <c r="D163" s="10">
        <v>0.39859477859901998</v>
      </c>
      <c r="E163" s="10">
        <v>10.507161296628199</v>
      </c>
      <c r="F163" s="4">
        <v>8.0067370545163901E-26</v>
      </c>
      <c r="G163" s="4">
        <v>4.7737322653043299E-24</v>
      </c>
      <c r="H163" s="10" t="s">
        <v>340</v>
      </c>
      <c r="I163" s="10" t="s">
        <v>18</v>
      </c>
    </row>
    <row r="164" spans="1:9" x14ac:dyDescent="0.2">
      <c r="A164" s="10" t="s">
        <v>341</v>
      </c>
      <c r="B164" s="10">
        <v>38.989591027300797</v>
      </c>
      <c r="C164" s="10">
        <v>6.2163364349109198</v>
      </c>
      <c r="D164" s="10">
        <v>1.14919866856078</v>
      </c>
      <c r="E164" s="10">
        <v>5.4092791829423703</v>
      </c>
      <c r="F164" s="4">
        <v>6.3278919440531596E-8</v>
      </c>
      <c r="G164" s="4">
        <v>6.6518546218987905E-7</v>
      </c>
      <c r="H164" s="10" t="s">
        <v>342</v>
      </c>
      <c r="I164" s="10" t="s">
        <v>18</v>
      </c>
    </row>
    <row r="165" spans="1:9" x14ac:dyDescent="0.2">
      <c r="A165" s="10" t="s">
        <v>343</v>
      </c>
      <c r="B165" s="10">
        <v>4.3302005939076098</v>
      </c>
      <c r="C165" s="10">
        <v>5.5088803257156904</v>
      </c>
      <c r="D165" s="10">
        <v>2.1104502212244198</v>
      </c>
      <c r="E165" s="10">
        <v>2.6102867863519599</v>
      </c>
      <c r="F165" s="10">
        <v>9.0466346159683401E-3</v>
      </c>
      <c r="G165" s="10">
        <v>2.9246992570157698E-2</v>
      </c>
      <c r="H165" s="10" t="s">
        <v>344</v>
      </c>
      <c r="I165" s="10" t="s">
        <v>18</v>
      </c>
    </row>
    <row r="166" spans="1:9" x14ac:dyDescent="0.2">
      <c r="A166" s="10" t="s">
        <v>345</v>
      </c>
      <c r="B166" s="10">
        <v>13.1564644286016</v>
      </c>
      <c r="C166" s="10">
        <v>-5.7736873347620099</v>
      </c>
      <c r="D166" s="10">
        <v>1.6666969555134401</v>
      </c>
      <c r="E166" s="10">
        <v>-3.46414944580214</v>
      </c>
      <c r="F166" s="10">
        <v>5.3191091549227804E-4</v>
      </c>
      <c r="G166" s="10">
        <v>2.53152431692893E-3</v>
      </c>
      <c r="H166" s="10" t="s">
        <v>346</v>
      </c>
      <c r="I166" s="10" t="s">
        <v>18</v>
      </c>
    </row>
    <row r="167" spans="1:9" x14ac:dyDescent="0.2">
      <c r="A167" s="10" t="s">
        <v>347</v>
      </c>
      <c r="B167" s="10">
        <v>1103.0853533066299</v>
      </c>
      <c r="C167" s="10">
        <v>-1.1478490170090101</v>
      </c>
      <c r="D167" s="10">
        <v>0.20629429625249199</v>
      </c>
      <c r="E167" s="10">
        <v>-5.5641335599706103</v>
      </c>
      <c r="F167" s="4">
        <v>2.6345811281577001E-8</v>
      </c>
      <c r="G167" s="4">
        <v>2.95652520588603E-7</v>
      </c>
      <c r="H167" s="10" t="s">
        <v>348</v>
      </c>
      <c r="I167" s="10" t="s">
        <v>18</v>
      </c>
    </row>
    <row r="168" spans="1:9" x14ac:dyDescent="0.2">
      <c r="A168" s="10" t="s">
        <v>349</v>
      </c>
      <c r="B168" s="10">
        <v>835.78097997362499</v>
      </c>
      <c r="C168" s="10">
        <v>-3.03855818999706</v>
      </c>
      <c r="D168" s="10">
        <v>0.27520249197519803</v>
      </c>
      <c r="E168" s="10">
        <v>-11.0411725133321</v>
      </c>
      <c r="F168" s="4">
        <v>2.4185631374238302E-28</v>
      </c>
      <c r="G168" s="4">
        <v>1.67255304074587E-26</v>
      </c>
      <c r="H168" s="10" t="s">
        <v>350</v>
      </c>
      <c r="I168" s="10" t="s">
        <v>18</v>
      </c>
    </row>
    <row r="169" spans="1:9" x14ac:dyDescent="0.2">
      <c r="A169" s="10" t="s">
        <v>351</v>
      </c>
      <c r="B169" s="10">
        <v>200.91056613803801</v>
      </c>
      <c r="C169" s="10">
        <v>1.0203242455013699</v>
      </c>
      <c r="D169" s="10">
        <v>0.29692868880090001</v>
      </c>
      <c r="E169" s="10">
        <v>3.43626023346479</v>
      </c>
      <c r="F169" s="10">
        <v>5.8980414885725701E-4</v>
      </c>
      <c r="G169" s="10">
        <v>2.77462936084944E-3</v>
      </c>
      <c r="H169" s="10" t="s">
        <v>352</v>
      </c>
      <c r="I169" s="10" t="s">
        <v>18</v>
      </c>
    </row>
    <row r="170" spans="1:9" x14ac:dyDescent="0.2">
      <c r="A170" s="10" t="s">
        <v>353</v>
      </c>
      <c r="B170" s="10">
        <v>260.30427160638402</v>
      </c>
      <c r="C170" s="10">
        <v>-1.9043331310448901</v>
      </c>
      <c r="D170" s="10">
        <v>0.31745484932573698</v>
      </c>
      <c r="E170" s="10">
        <v>-5.9987526890505301</v>
      </c>
      <c r="F170" s="4">
        <v>1.9883891748772399E-9</v>
      </c>
      <c r="G170" s="4">
        <v>2.586044861474E-8</v>
      </c>
      <c r="H170" s="10" t="s">
        <v>354</v>
      </c>
      <c r="I170" s="10" t="s">
        <v>18</v>
      </c>
    </row>
    <row r="171" spans="1:9" x14ac:dyDescent="0.2">
      <c r="A171" s="10" t="s">
        <v>355</v>
      </c>
      <c r="B171" s="10">
        <v>57.883244086479003</v>
      </c>
      <c r="C171" s="10">
        <v>1.6275420233800999</v>
      </c>
      <c r="D171" s="10">
        <v>0.49200996614969</v>
      </c>
      <c r="E171" s="10">
        <v>3.3079452355746302</v>
      </c>
      <c r="F171" s="10">
        <v>9.3983186206626703E-4</v>
      </c>
      <c r="G171" s="10">
        <v>4.1794677241259303E-3</v>
      </c>
      <c r="H171" s="10" t="s">
        <v>356</v>
      </c>
      <c r="I171" s="10" t="s">
        <v>18</v>
      </c>
    </row>
    <row r="172" spans="1:9" x14ac:dyDescent="0.2">
      <c r="A172" s="10" t="s">
        <v>357</v>
      </c>
      <c r="B172" s="10">
        <v>628.63199308496496</v>
      </c>
      <c r="C172" s="10">
        <v>1.57795004482294</v>
      </c>
      <c r="D172" s="10">
        <v>0.24376508617892501</v>
      </c>
      <c r="E172" s="10">
        <v>6.4732405676205502</v>
      </c>
      <c r="F172" s="4">
        <v>9.5923045423858406E-11</v>
      </c>
      <c r="G172" s="4">
        <v>1.49777376427729E-9</v>
      </c>
      <c r="H172" s="10" t="s">
        <v>358</v>
      </c>
      <c r="I172" s="10" t="s">
        <v>18</v>
      </c>
    </row>
    <row r="173" spans="1:9" x14ac:dyDescent="0.2">
      <c r="A173" s="10" t="s">
        <v>359</v>
      </c>
      <c r="B173" s="10">
        <v>424.66999349888499</v>
      </c>
      <c r="C173" s="10">
        <v>-1.0989906722799401</v>
      </c>
      <c r="D173" s="10">
        <v>0.263047916948628</v>
      </c>
      <c r="E173" s="10">
        <v>-4.17791056864582</v>
      </c>
      <c r="F173" s="4">
        <v>2.9419928179953999E-5</v>
      </c>
      <c r="G173" s="10">
        <v>1.8910233147421699E-4</v>
      </c>
      <c r="H173" s="10" t="s">
        <v>360</v>
      </c>
      <c r="I173" s="10" t="s">
        <v>18</v>
      </c>
    </row>
    <row r="174" spans="1:9" x14ac:dyDescent="0.2">
      <c r="A174" s="10" t="s">
        <v>361</v>
      </c>
      <c r="B174" s="10">
        <v>1248.7247678542601</v>
      </c>
      <c r="C174" s="10">
        <v>-1.1449213886174801</v>
      </c>
      <c r="D174" s="10">
        <v>0.207721033721775</v>
      </c>
      <c r="E174" s="10">
        <v>-5.5118221207728197</v>
      </c>
      <c r="F174" s="4">
        <v>3.5513774331889601E-8</v>
      </c>
      <c r="G174" s="4">
        <v>3.8876810334310801E-7</v>
      </c>
      <c r="H174" s="10" t="s">
        <v>362</v>
      </c>
      <c r="I174" s="10" t="s">
        <v>18</v>
      </c>
    </row>
    <row r="175" spans="1:9" x14ac:dyDescent="0.2">
      <c r="A175" s="10" t="s">
        <v>363</v>
      </c>
      <c r="B175" s="10">
        <v>838.74765683904695</v>
      </c>
      <c r="C175" s="10">
        <v>-1.3577200668507201</v>
      </c>
      <c r="D175" s="10">
        <v>0.20989729903861501</v>
      </c>
      <c r="E175" s="10">
        <v>-6.4684970843809797</v>
      </c>
      <c r="F175" s="4">
        <v>9.8982427156891595E-11</v>
      </c>
      <c r="G175" s="4">
        <v>1.5420092582869201E-9</v>
      </c>
      <c r="H175" s="10" t="s">
        <v>364</v>
      </c>
      <c r="I175" s="10" t="s">
        <v>18</v>
      </c>
    </row>
    <row r="176" spans="1:9" x14ac:dyDescent="0.2">
      <c r="A176" s="10" t="s">
        <v>365</v>
      </c>
      <c r="B176" s="10">
        <v>11.311376739016101</v>
      </c>
      <c r="C176" s="10">
        <v>4.3730628461921501</v>
      </c>
      <c r="D176" s="10">
        <v>1.4215409109908701</v>
      </c>
      <c r="E176" s="10">
        <v>3.0762834979852598</v>
      </c>
      <c r="F176" s="10">
        <v>2.0959845567618098E-3</v>
      </c>
      <c r="G176" s="10">
        <v>8.3959557803718107E-3</v>
      </c>
      <c r="H176" s="10" t="s">
        <v>366</v>
      </c>
      <c r="I176" s="10" t="s">
        <v>18</v>
      </c>
    </row>
    <row r="177" spans="1:9" x14ac:dyDescent="0.2">
      <c r="A177" s="10" t="s">
        <v>367</v>
      </c>
      <c r="B177" s="10">
        <v>1089.82075030907</v>
      </c>
      <c r="C177" s="10">
        <v>1.8882773107975901</v>
      </c>
      <c r="D177" s="10">
        <v>0.20191274242434001</v>
      </c>
      <c r="E177" s="10">
        <v>9.3519472229700895</v>
      </c>
      <c r="F177" s="4">
        <v>8.6048708176157803E-21</v>
      </c>
      <c r="G177" s="4">
        <v>3.6014887122515698E-19</v>
      </c>
      <c r="H177" s="10" t="s">
        <v>368</v>
      </c>
      <c r="I177" s="10" t="s">
        <v>18</v>
      </c>
    </row>
    <row r="178" spans="1:9" x14ac:dyDescent="0.2">
      <c r="A178" s="10" t="s">
        <v>369</v>
      </c>
      <c r="B178" s="10">
        <v>1453.6075537996901</v>
      </c>
      <c r="C178" s="10">
        <v>-3.6489374355678201</v>
      </c>
      <c r="D178" s="10">
        <v>0.19871417071449399</v>
      </c>
      <c r="E178" s="10">
        <v>-18.362743947488699</v>
      </c>
      <c r="F178" s="4">
        <v>2.6107568084974299E-75</v>
      </c>
      <c r="G178" s="4">
        <v>1.54641936437238E-72</v>
      </c>
      <c r="H178" s="10" t="s">
        <v>370</v>
      </c>
      <c r="I178" s="10" t="s">
        <v>18</v>
      </c>
    </row>
    <row r="179" spans="1:9" x14ac:dyDescent="0.2">
      <c r="A179" s="10" t="s">
        <v>371</v>
      </c>
      <c r="B179" s="10">
        <v>69.736761253614304</v>
      </c>
      <c r="C179" s="10">
        <v>-2.9990151086234098</v>
      </c>
      <c r="D179" s="10">
        <v>0.52045211190839002</v>
      </c>
      <c r="E179" s="10">
        <v>-5.7623267155678199</v>
      </c>
      <c r="F179" s="4">
        <v>8.2962203294316497E-9</v>
      </c>
      <c r="G179" s="4">
        <v>9.9756008524282503E-8</v>
      </c>
      <c r="H179" s="10" t="s">
        <v>372</v>
      </c>
      <c r="I179" s="10" t="s">
        <v>18</v>
      </c>
    </row>
    <row r="180" spans="1:9" x14ac:dyDescent="0.2">
      <c r="A180" s="10" t="s">
        <v>373</v>
      </c>
      <c r="B180" s="10">
        <v>877.82987202666902</v>
      </c>
      <c r="C180" s="10">
        <v>4.5433468321081296</v>
      </c>
      <c r="D180" s="10">
        <v>0.23741714507324899</v>
      </c>
      <c r="E180" s="10">
        <v>19.1365574323051</v>
      </c>
      <c r="F180" s="4">
        <v>1.2527901677837101E-81</v>
      </c>
      <c r="G180" s="4">
        <v>9.2256145139467006E-79</v>
      </c>
      <c r="H180" s="10" t="s">
        <v>374</v>
      </c>
      <c r="I180" s="10" t="s">
        <v>18</v>
      </c>
    </row>
    <row r="181" spans="1:9" x14ac:dyDescent="0.2">
      <c r="A181" s="10" t="s">
        <v>375</v>
      </c>
      <c r="B181" s="10">
        <v>2819.3004632430202</v>
      </c>
      <c r="C181" s="10">
        <v>1.16223654168801</v>
      </c>
      <c r="D181" s="10">
        <v>0.18234210992750999</v>
      </c>
      <c r="E181" s="10">
        <v>6.3739338222534503</v>
      </c>
      <c r="F181" s="4">
        <v>1.84240115952688E-10</v>
      </c>
      <c r="G181" s="4">
        <v>2.7567218228242E-9</v>
      </c>
      <c r="H181" s="10" t="s">
        <v>376</v>
      </c>
      <c r="I181" s="10" t="s">
        <v>18</v>
      </c>
    </row>
    <row r="182" spans="1:9" x14ac:dyDescent="0.2">
      <c r="A182" s="10" t="s">
        <v>377</v>
      </c>
      <c r="B182" s="10">
        <v>275.92200969187502</v>
      </c>
      <c r="C182" s="10">
        <v>-1.28822527264956</v>
      </c>
      <c r="D182" s="10">
        <v>0.27307076732621099</v>
      </c>
      <c r="E182" s="10">
        <v>-4.7175510043176496</v>
      </c>
      <c r="F182" s="4">
        <v>2.38700569840653E-6</v>
      </c>
      <c r="G182" s="4">
        <v>1.90953447635005E-5</v>
      </c>
      <c r="H182" s="10" t="s">
        <v>378</v>
      </c>
      <c r="I182" s="10" t="s">
        <v>18</v>
      </c>
    </row>
    <row r="183" spans="1:9" x14ac:dyDescent="0.2">
      <c r="A183" s="10" t="s">
        <v>379</v>
      </c>
      <c r="B183" s="10">
        <v>20.185582050746699</v>
      </c>
      <c r="C183" s="10">
        <v>-3.53960302712095</v>
      </c>
      <c r="D183" s="10">
        <v>0.96685172340233705</v>
      </c>
      <c r="E183" s="10">
        <v>-3.6609574575356199</v>
      </c>
      <c r="F183" s="10">
        <v>2.5127448315012397E-4</v>
      </c>
      <c r="G183" s="10">
        <v>1.30086943613745E-3</v>
      </c>
      <c r="H183" s="10" t="s">
        <v>380</v>
      </c>
      <c r="I183" s="10" t="s">
        <v>18</v>
      </c>
    </row>
    <row r="184" spans="1:9" x14ac:dyDescent="0.2">
      <c r="A184" s="10" t="s">
        <v>381</v>
      </c>
      <c r="B184" s="10">
        <v>2722.6998661108501</v>
      </c>
      <c r="C184" s="10">
        <v>-4.2570318121287096</v>
      </c>
      <c r="D184" s="10">
        <v>0.24390340462891599</v>
      </c>
      <c r="E184" s="10">
        <v>-17.4537613306609</v>
      </c>
      <c r="F184" s="4">
        <v>3.2229316172398701E-68</v>
      </c>
      <c r="G184" s="4">
        <v>1.27268431557876E-65</v>
      </c>
      <c r="H184" s="10" t="s">
        <v>382</v>
      </c>
      <c r="I184" s="10" t="s">
        <v>18</v>
      </c>
    </row>
    <row r="185" spans="1:9" x14ac:dyDescent="0.2">
      <c r="A185" s="10" t="s">
        <v>383</v>
      </c>
      <c r="B185" s="10">
        <v>19.827752645667498</v>
      </c>
      <c r="C185" s="10">
        <v>-2.0476307239164</v>
      </c>
      <c r="D185" s="10">
        <v>0.81179577868916397</v>
      </c>
      <c r="E185" s="10">
        <v>-2.52234709476167</v>
      </c>
      <c r="F185" s="10">
        <v>1.16574618534414E-2</v>
      </c>
      <c r="G185" s="10">
        <v>3.6143703131624801E-2</v>
      </c>
      <c r="H185" s="10" t="s">
        <v>384</v>
      </c>
      <c r="I185" s="10" t="s">
        <v>18</v>
      </c>
    </row>
    <row r="186" spans="1:9" x14ac:dyDescent="0.2">
      <c r="A186" s="10" t="s">
        <v>385</v>
      </c>
      <c r="B186" s="10">
        <v>1256.19148360646</v>
      </c>
      <c r="C186" s="10">
        <v>-1.51950574227638</v>
      </c>
      <c r="D186" s="10">
        <v>0.19358322362456901</v>
      </c>
      <c r="E186" s="10">
        <v>-7.8493668708775601</v>
      </c>
      <c r="F186" s="4">
        <v>4.1814277481165301E-15</v>
      </c>
      <c r="G186" s="4">
        <v>1.05394414295033E-13</v>
      </c>
      <c r="H186" s="10" t="s">
        <v>386</v>
      </c>
      <c r="I186" s="10" t="s">
        <v>18</v>
      </c>
    </row>
    <row r="187" spans="1:9" x14ac:dyDescent="0.2">
      <c r="A187" s="10" t="s">
        <v>387</v>
      </c>
      <c r="B187" s="10">
        <v>2266.9142862179001</v>
      </c>
      <c r="C187" s="10">
        <v>-1.2183218225160699</v>
      </c>
      <c r="D187" s="10">
        <v>0.197905002343718</v>
      </c>
      <c r="E187" s="10">
        <v>-6.1560941264137901</v>
      </c>
      <c r="F187" s="4">
        <v>7.45609192945823E-10</v>
      </c>
      <c r="G187" s="4">
        <v>1.0312494253905999E-8</v>
      </c>
      <c r="H187" s="10" t="s">
        <v>388</v>
      </c>
      <c r="I187" s="10" t="s">
        <v>18</v>
      </c>
    </row>
    <row r="188" spans="1:9" x14ac:dyDescent="0.2">
      <c r="A188" s="10" t="s">
        <v>389</v>
      </c>
      <c r="B188" s="10">
        <v>313.82026924346201</v>
      </c>
      <c r="C188" s="10">
        <v>2.0265974097661199</v>
      </c>
      <c r="D188" s="10">
        <v>0.27774304002035</v>
      </c>
      <c r="E188" s="10">
        <v>7.2966631661323502</v>
      </c>
      <c r="F188" s="4">
        <v>2.9499205748934699E-13</v>
      </c>
      <c r="G188" s="4">
        <v>6.2452592000095097E-12</v>
      </c>
      <c r="H188" s="10" t="s">
        <v>390</v>
      </c>
      <c r="I188" s="10" t="s">
        <v>18</v>
      </c>
    </row>
    <row r="189" spans="1:9" x14ac:dyDescent="0.2">
      <c r="A189" s="10" t="s">
        <v>391</v>
      </c>
      <c r="B189" s="10">
        <v>133.09849465444699</v>
      </c>
      <c r="C189" s="10">
        <v>-3.12687719902911</v>
      </c>
      <c r="D189" s="10">
        <v>0.36974198089438098</v>
      </c>
      <c r="E189" s="10">
        <v>-8.4569168788066804</v>
      </c>
      <c r="F189" s="4">
        <v>2.74539464608196E-17</v>
      </c>
      <c r="G189" s="4">
        <v>8.4297158876023801E-16</v>
      </c>
      <c r="H189" s="10" t="s">
        <v>392</v>
      </c>
      <c r="I189" s="10" t="s">
        <v>18</v>
      </c>
    </row>
    <row r="190" spans="1:9" x14ac:dyDescent="0.2">
      <c r="A190" s="10" t="s">
        <v>393</v>
      </c>
      <c r="B190" s="10">
        <v>52.438593584063199</v>
      </c>
      <c r="C190" s="10">
        <v>-1.78578908275639</v>
      </c>
      <c r="D190" s="10">
        <v>0.54278929357599603</v>
      </c>
      <c r="E190" s="10">
        <v>-3.2900226734231999</v>
      </c>
      <c r="F190" s="10">
        <v>1.0017931008143399E-3</v>
      </c>
      <c r="G190" s="10">
        <v>4.4268337038417503E-3</v>
      </c>
      <c r="H190" s="10" t="s">
        <v>394</v>
      </c>
      <c r="I190" s="10" t="s">
        <v>18</v>
      </c>
    </row>
    <row r="191" spans="1:9" x14ac:dyDescent="0.2">
      <c r="A191" s="10" t="s">
        <v>395</v>
      </c>
      <c r="B191" s="10">
        <v>20.316340355842001</v>
      </c>
      <c r="C191" s="10">
        <v>2.3346272611794801</v>
      </c>
      <c r="D191" s="10">
        <v>0.79862330646683699</v>
      </c>
      <c r="E191" s="10">
        <v>2.9233147120487</v>
      </c>
      <c r="F191" s="10">
        <v>3.4632627855406199E-3</v>
      </c>
      <c r="G191" s="10">
        <v>1.2963714183964701E-2</v>
      </c>
      <c r="H191" s="10" t="s">
        <v>396</v>
      </c>
      <c r="I191" s="10" t="s">
        <v>18</v>
      </c>
    </row>
    <row r="192" spans="1:9" x14ac:dyDescent="0.2">
      <c r="A192" s="10" t="s">
        <v>397</v>
      </c>
      <c r="B192" s="10">
        <v>4130.4102765420903</v>
      </c>
      <c r="C192" s="10">
        <v>1.12375479066399</v>
      </c>
      <c r="D192" s="10">
        <v>0.208007859013248</v>
      </c>
      <c r="E192" s="10">
        <v>5.40246313766644</v>
      </c>
      <c r="F192" s="4">
        <v>6.5731968512302704E-8</v>
      </c>
      <c r="G192" s="4">
        <v>6.8964148866180598E-7</v>
      </c>
      <c r="H192" s="10" t="s">
        <v>398</v>
      </c>
      <c r="I192" s="10" t="s">
        <v>18</v>
      </c>
    </row>
    <row r="193" spans="1:9" x14ac:dyDescent="0.2">
      <c r="A193" s="10" t="s">
        <v>399</v>
      </c>
      <c r="B193" s="10">
        <v>2066.0947757202998</v>
      </c>
      <c r="C193" s="10">
        <v>-1.44728802790248</v>
      </c>
      <c r="D193" s="10">
        <v>0.18111429548702401</v>
      </c>
      <c r="E193" s="10">
        <v>-7.9910203885930997</v>
      </c>
      <c r="F193" s="4">
        <v>1.33826420723743E-15</v>
      </c>
      <c r="G193" s="4">
        <v>3.5230613386085202E-14</v>
      </c>
      <c r="H193" s="10" t="s">
        <v>400</v>
      </c>
      <c r="I193" s="10" t="s">
        <v>18</v>
      </c>
    </row>
    <row r="194" spans="1:9" x14ac:dyDescent="0.2">
      <c r="A194" s="10" t="s">
        <v>401</v>
      </c>
      <c r="B194" s="10">
        <v>1424.7092365891201</v>
      </c>
      <c r="C194" s="10">
        <v>-1.6532314697895001</v>
      </c>
      <c r="D194" s="10">
        <v>0.21752845085873801</v>
      </c>
      <c r="E194" s="10">
        <v>-7.6000700748018604</v>
      </c>
      <c r="F194" s="4">
        <v>2.95970439414323E-14</v>
      </c>
      <c r="G194" s="4">
        <v>6.8749416561995302E-13</v>
      </c>
      <c r="H194" s="10" t="s">
        <v>402</v>
      </c>
      <c r="I194" s="10" t="s">
        <v>18</v>
      </c>
    </row>
    <row r="195" spans="1:9" x14ac:dyDescent="0.2">
      <c r="A195" s="10" t="s">
        <v>403</v>
      </c>
      <c r="B195" s="10">
        <v>2519.0414449170198</v>
      </c>
      <c r="C195" s="10">
        <v>-1.08009345109834</v>
      </c>
      <c r="D195" s="10">
        <v>0.18762443901668999</v>
      </c>
      <c r="E195" s="10">
        <v>-5.7566778440961004</v>
      </c>
      <c r="F195" s="4">
        <v>8.5785399368189299E-9</v>
      </c>
      <c r="G195" s="4">
        <v>1.02787808996704E-7</v>
      </c>
      <c r="H195" s="10" t="s">
        <v>404</v>
      </c>
      <c r="I195" s="10" t="s">
        <v>18</v>
      </c>
    </row>
    <row r="196" spans="1:9" x14ac:dyDescent="0.2">
      <c r="A196" s="10" t="s">
        <v>405</v>
      </c>
      <c r="B196" s="10">
        <v>2329.2427795240301</v>
      </c>
      <c r="C196" s="10">
        <v>-2.0075021356536298</v>
      </c>
      <c r="D196" s="10">
        <v>0.206440370901363</v>
      </c>
      <c r="E196" s="10">
        <v>-9.7243679949248296</v>
      </c>
      <c r="F196" s="4">
        <v>2.3737486491819798E-22</v>
      </c>
      <c r="G196" s="4">
        <v>1.09437444068124E-20</v>
      </c>
      <c r="H196" s="10" t="s">
        <v>406</v>
      </c>
      <c r="I196" s="10" t="s">
        <v>18</v>
      </c>
    </row>
    <row r="197" spans="1:9" x14ac:dyDescent="0.2">
      <c r="A197" s="10" t="s">
        <v>407</v>
      </c>
      <c r="B197" s="10">
        <v>60.742180999409896</v>
      </c>
      <c r="C197" s="10">
        <v>1.2095719058297201</v>
      </c>
      <c r="D197" s="10">
        <v>0.46305948317097601</v>
      </c>
      <c r="E197" s="10">
        <v>2.6121307300451302</v>
      </c>
      <c r="F197" s="10">
        <v>8.9979839376818308E-3</v>
      </c>
      <c r="G197" s="10">
        <v>2.9151970077290999E-2</v>
      </c>
      <c r="H197" s="10" t="s">
        <v>408</v>
      </c>
      <c r="I197" s="10" t="s">
        <v>18</v>
      </c>
    </row>
    <row r="198" spans="1:9" x14ac:dyDescent="0.2">
      <c r="A198" s="10" t="s">
        <v>409</v>
      </c>
      <c r="B198" s="10">
        <v>26.2175609516013</v>
      </c>
      <c r="C198" s="10">
        <v>1.94120260035508</v>
      </c>
      <c r="D198" s="10">
        <v>0.69308992581426199</v>
      </c>
      <c r="E198" s="10">
        <v>2.80079471372275</v>
      </c>
      <c r="F198" s="10">
        <v>5.0976936134624496E-3</v>
      </c>
      <c r="G198" s="10">
        <v>1.8015156664852299E-2</v>
      </c>
      <c r="H198" s="10" t="s">
        <v>410</v>
      </c>
      <c r="I198" s="10" t="s">
        <v>18</v>
      </c>
    </row>
    <row r="199" spans="1:9" x14ac:dyDescent="0.2">
      <c r="A199" s="10" t="s">
        <v>411</v>
      </c>
      <c r="B199" s="10">
        <v>578.45580365212095</v>
      </c>
      <c r="C199" s="10">
        <v>-1.29899765059812</v>
      </c>
      <c r="D199" s="10">
        <v>0.226732718512617</v>
      </c>
      <c r="E199" s="10">
        <v>-5.7292024685261298</v>
      </c>
      <c r="F199" s="4">
        <v>1.00903902245443E-8</v>
      </c>
      <c r="G199" s="4">
        <v>1.19536027151373E-7</v>
      </c>
      <c r="H199" s="10" t="s">
        <v>412</v>
      </c>
      <c r="I199" s="10" t="s">
        <v>18</v>
      </c>
    </row>
    <row r="200" spans="1:9" x14ac:dyDescent="0.2">
      <c r="A200" s="10" t="s">
        <v>413</v>
      </c>
      <c r="B200" s="10">
        <v>4093.4625210392501</v>
      </c>
      <c r="C200" s="10">
        <v>-1.5471926707313699</v>
      </c>
      <c r="D200" s="10">
        <v>0.19289050807994501</v>
      </c>
      <c r="E200" s="10">
        <v>-8.0210928268700492</v>
      </c>
      <c r="F200" s="4">
        <v>1.04808483476661E-15</v>
      </c>
      <c r="G200" s="4">
        <v>2.7915119738891301E-14</v>
      </c>
      <c r="H200" s="10" t="s">
        <v>414</v>
      </c>
      <c r="I200" s="10" t="s">
        <v>18</v>
      </c>
    </row>
    <row r="201" spans="1:9" x14ac:dyDescent="0.2">
      <c r="A201" s="10" t="s">
        <v>415</v>
      </c>
      <c r="B201" s="10">
        <v>7.2683242532945602</v>
      </c>
      <c r="C201" s="10">
        <v>6.2594851785055603</v>
      </c>
      <c r="D201" s="10">
        <v>1.8703113788183201</v>
      </c>
      <c r="E201" s="10">
        <v>3.34676099894144</v>
      </c>
      <c r="F201" s="10">
        <v>8.1761670174386599E-4</v>
      </c>
      <c r="G201" s="10">
        <v>3.7005983841221098E-3</v>
      </c>
      <c r="H201" s="10" t="s">
        <v>416</v>
      </c>
      <c r="I201" s="10" t="s">
        <v>18</v>
      </c>
    </row>
    <row r="202" spans="1:9" x14ac:dyDescent="0.2">
      <c r="A202" s="10" t="s">
        <v>417</v>
      </c>
      <c r="B202" s="10">
        <v>49.381567815875101</v>
      </c>
      <c r="C202" s="10">
        <v>1.4572706218973901</v>
      </c>
      <c r="D202" s="10">
        <v>0.52304459175806595</v>
      </c>
      <c r="E202" s="10">
        <v>2.7861307522541998</v>
      </c>
      <c r="F202" s="10">
        <v>5.3341350954691797E-3</v>
      </c>
      <c r="G202" s="10">
        <v>1.8743768241713799E-2</v>
      </c>
      <c r="H202" s="10" t="s">
        <v>418</v>
      </c>
      <c r="I202" s="10" t="s">
        <v>18</v>
      </c>
    </row>
    <row r="203" spans="1:9" x14ac:dyDescent="0.2">
      <c r="A203" s="10" t="s">
        <v>419</v>
      </c>
      <c r="B203" s="10">
        <v>18.9000814149306</v>
      </c>
      <c r="C203" s="10">
        <v>7.6355303932943501</v>
      </c>
      <c r="D203" s="10">
        <v>1.62460801699486</v>
      </c>
      <c r="E203" s="10">
        <v>4.6999216508966004</v>
      </c>
      <c r="F203" s="4">
        <v>2.6026132318172802E-6</v>
      </c>
      <c r="G203" s="4">
        <v>2.0656394619086899E-5</v>
      </c>
      <c r="H203" s="10" t="s">
        <v>420</v>
      </c>
      <c r="I203" s="10" t="s">
        <v>18</v>
      </c>
    </row>
    <row r="204" spans="1:9" x14ac:dyDescent="0.2">
      <c r="A204" s="10" t="s">
        <v>421</v>
      </c>
      <c r="B204" s="10">
        <v>17278.054058259801</v>
      </c>
      <c r="C204" s="10">
        <v>-1.01818561355757</v>
      </c>
      <c r="D204" s="10">
        <v>0.17934331723736799</v>
      </c>
      <c r="E204" s="10">
        <v>-5.6772988770468604</v>
      </c>
      <c r="F204" s="4">
        <v>1.36838267030334E-8</v>
      </c>
      <c r="G204" s="4">
        <v>1.59812784473875E-7</v>
      </c>
      <c r="H204" s="10" t="s">
        <v>422</v>
      </c>
      <c r="I204" s="10" t="s">
        <v>18</v>
      </c>
    </row>
    <row r="205" spans="1:9" x14ac:dyDescent="0.2">
      <c r="A205" s="10" t="s">
        <v>423</v>
      </c>
      <c r="B205" s="10">
        <v>1989.62796316713</v>
      </c>
      <c r="C205" s="10">
        <v>1.6753765657675499</v>
      </c>
      <c r="D205" s="10">
        <v>0.185751944408692</v>
      </c>
      <c r="E205" s="10">
        <v>9.0194294929230097</v>
      </c>
      <c r="F205" s="4">
        <v>1.8907134920190399E-19</v>
      </c>
      <c r="G205" s="4">
        <v>6.87800674459849E-18</v>
      </c>
      <c r="H205" s="10" t="s">
        <v>424</v>
      </c>
      <c r="I205" s="10" t="s">
        <v>18</v>
      </c>
    </row>
    <row r="206" spans="1:9" x14ac:dyDescent="0.2">
      <c r="A206" s="10" t="s">
        <v>425</v>
      </c>
      <c r="B206" s="10">
        <v>100.658316203095</v>
      </c>
      <c r="C206" s="10">
        <v>3.5843576267430399</v>
      </c>
      <c r="D206" s="10">
        <v>0.44366801433560199</v>
      </c>
      <c r="E206" s="10">
        <v>8.0789182698028306</v>
      </c>
      <c r="F206" s="4">
        <v>6.53438008946756E-16</v>
      </c>
      <c r="G206" s="4">
        <v>1.77332922607293E-14</v>
      </c>
      <c r="H206" s="10" t="s">
        <v>426</v>
      </c>
      <c r="I206" s="10" t="s">
        <v>18</v>
      </c>
    </row>
    <row r="207" spans="1:9" x14ac:dyDescent="0.2">
      <c r="A207" s="10" t="s">
        <v>427</v>
      </c>
      <c r="B207" s="10">
        <v>15.629971130499699</v>
      </c>
      <c r="C207" s="10">
        <v>5.8960900686576201</v>
      </c>
      <c r="D207" s="10">
        <v>1.64940829641038</v>
      </c>
      <c r="E207" s="10">
        <v>3.5746698264397798</v>
      </c>
      <c r="F207" s="10">
        <v>3.50670139387829E-4</v>
      </c>
      <c r="G207" s="10">
        <v>1.7499467560256701E-3</v>
      </c>
      <c r="H207" s="10" t="s">
        <v>428</v>
      </c>
      <c r="I207" s="10" t="s">
        <v>18</v>
      </c>
    </row>
    <row r="208" spans="1:9" x14ac:dyDescent="0.2">
      <c r="A208" s="10" t="s">
        <v>429</v>
      </c>
      <c r="B208" s="10">
        <v>40.7109732428341</v>
      </c>
      <c r="C208" s="10">
        <v>1.32187490299347</v>
      </c>
      <c r="D208" s="10">
        <v>0.54972318991756497</v>
      </c>
      <c r="E208" s="10">
        <v>2.4046191378458999</v>
      </c>
      <c r="F208" s="10">
        <v>1.6189328274638599E-2</v>
      </c>
      <c r="G208" s="10">
        <v>4.7441452731671101E-2</v>
      </c>
      <c r="H208" s="10" t="s">
        <v>430</v>
      </c>
      <c r="I208" s="10" t="s">
        <v>18</v>
      </c>
    </row>
    <row r="209" spans="1:9" x14ac:dyDescent="0.2">
      <c r="A209" s="10" t="s">
        <v>431</v>
      </c>
      <c r="B209" s="10">
        <v>326.06320501347699</v>
      </c>
      <c r="C209" s="10">
        <v>-3.7285987288886</v>
      </c>
      <c r="D209" s="10">
        <v>0.29582287827237302</v>
      </c>
      <c r="E209" s="10">
        <v>-12.6041594573884</v>
      </c>
      <c r="F209" s="4">
        <v>2.00296535288522E-36</v>
      </c>
      <c r="G209" s="4">
        <v>2.28346430837087E-34</v>
      </c>
      <c r="H209" s="10" t="s">
        <v>432</v>
      </c>
      <c r="I209" s="10" t="s">
        <v>18</v>
      </c>
    </row>
    <row r="210" spans="1:9" x14ac:dyDescent="0.2">
      <c r="A210" s="10" t="s">
        <v>433</v>
      </c>
      <c r="B210" s="10">
        <v>1403.5949019019999</v>
      </c>
      <c r="C210" s="10">
        <v>2.3469763363805298</v>
      </c>
      <c r="D210" s="10">
        <v>0.21839447415767901</v>
      </c>
      <c r="E210" s="10">
        <v>10.7465005487549</v>
      </c>
      <c r="F210" s="4">
        <v>6.1552778381682897E-27</v>
      </c>
      <c r="G210" s="4">
        <v>3.9093905654212501E-25</v>
      </c>
      <c r="H210" s="10" t="s">
        <v>434</v>
      </c>
      <c r="I210" s="10" t="s">
        <v>18</v>
      </c>
    </row>
    <row r="211" spans="1:9" x14ac:dyDescent="0.2">
      <c r="A211" s="10" t="s">
        <v>435</v>
      </c>
      <c r="B211" s="10">
        <v>4.84354564194778</v>
      </c>
      <c r="C211" s="10">
        <v>5.66966161396478</v>
      </c>
      <c r="D211" s="10">
        <v>2.0551998500533002</v>
      </c>
      <c r="E211" s="10">
        <v>2.7586911383911099</v>
      </c>
      <c r="F211" s="10">
        <v>5.8033355931816598E-3</v>
      </c>
      <c r="G211" s="10">
        <v>2.01585268877385E-2</v>
      </c>
      <c r="H211" s="10" t="s">
        <v>436</v>
      </c>
      <c r="I211" s="10" t="s">
        <v>18</v>
      </c>
    </row>
    <row r="212" spans="1:9" x14ac:dyDescent="0.2">
      <c r="A212" s="10" t="s">
        <v>437</v>
      </c>
      <c r="B212" s="10">
        <v>5.4686107947810703</v>
      </c>
      <c r="C212" s="10">
        <v>5.8471691751158898</v>
      </c>
      <c r="D212" s="10">
        <v>1.9869895306888601</v>
      </c>
      <c r="E212" s="10">
        <v>2.9427277219164698</v>
      </c>
      <c r="F212" s="10">
        <v>3.2533441457431398E-3</v>
      </c>
      <c r="G212" s="10">
        <v>1.22877554670174E-2</v>
      </c>
      <c r="H212" s="10" t="s">
        <v>438</v>
      </c>
      <c r="I212" s="10" t="s">
        <v>18</v>
      </c>
    </row>
    <row r="213" spans="1:9" x14ac:dyDescent="0.2">
      <c r="A213" s="10" t="s">
        <v>439</v>
      </c>
      <c r="B213" s="10">
        <v>69.883865358261005</v>
      </c>
      <c r="C213" s="10">
        <v>1.5213724333369201</v>
      </c>
      <c r="D213" s="10">
        <v>0.44896150167161503</v>
      </c>
      <c r="E213" s="10">
        <v>3.3886478632853998</v>
      </c>
      <c r="F213" s="10">
        <v>7.0238147854825796E-4</v>
      </c>
      <c r="G213" s="10">
        <v>3.2480971055676199E-3</v>
      </c>
      <c r="H213" s="10" t="s">
        <v>440</v>
      </c>
      <c r="I213" s="10" t="s">
        <v>18</v>
      </c>
    </row>
    <row r="214" spans="1:9" x14ac:dyDescent="0.2">
      <c r="A214" s="10" t="s">
        <v>441</v>
      </c>
      <c r="B214" s="10">
        <v>9.5567942263755601</v>
      </c>
      <c r="C214" s="10">
        <v>3.4867964000606402</v>
      </c>
      <c r="D214" s="10">
        <v>1.3597713173356001</v>
      </c>
      <c r="E214" s="10">
        <v>2.5642520588629698</v>
      </c>
      <c r="F214" s="10">
        <v>1.0339842468980299E-2</v>
      </c>
      <c r="G214" s="10">
        <v>3.2721218089698703E-2</v>
      </c>
      <c r="H214" s="10" t="s">
        <v>442</v>
      </c>
      <c r="I214" s="10" t="s">
        <v>18</v>
      </c>
    </row>
    <row r="215" spans="1:9" x14ac:dyDescent="0.2">
      <c r="A215" s="10" t="s">
        <v>443</v>
      </c>
      <c r="B215" s="10">
        <v>282.98588889017401</v>
      </c>
      <c r="C215" s="10">
        <v>1.13015595982606</v>
      </c>
      <c r="D215" s="10">
        <v>0.266992630203228</v>
      </c>
      <c r="E215" s="10">
        <v>4.2329106948226096</v>
      </c>
      <c r="F215" s="4">
        <v>2.3068612538679599E-5</v>
      </c>
      <c r="G215" s="10">
        <v>1.5149152084814699E-4</v>
      </c>
      <c r="H215" s="10" t="s">
        <v>444</v>
      </c>
      <c r="I215" s="10" t="s">
        <v>18</v>
      </c>
    </row>
    <row r="216" spans="1:9" x14ac:dyDescent="0.2">
      <c r="A216" s="10" t="s">
        <v>445</v>
      </c>
      <c r="B216" s="10">
        <v>455.02687185587502</v>
      </c>
      <c r="C216" s="10">
        <v>-1.7935599329667</v>
      </c>
      <c r="D216" s="10">
        <v>0.26305966229954603</v>
      </c>
      <c r="E216" s="10">
        <v>-6.8180728177335599</v>
      </c>
      <c r="F216" s="4">
        <v>9.2269874435503494E-12</v>
      </c>
      <c r="G216" s="4">
        <v>1.63676905517198E-10</v>
      </c>
      <c r="H216" s="10" t="s">
        <v>446</v>
      </c>
      <c r="I216" s="10" t="s">
        <v>18</v>
      </c>
    </row>
    <row r="217" spans="1:9" x14ac:dyDescent="0.2">
      <c r="A217" s="10" t="s">
        <v>447</v>
      </c>
      <c r="B217" s="10">
        <v>3.8560994410470699</v>
      </c>
      <c r="C217" s="10">
        <v>5.3491168120911601</v>
      </c>
      <c r="D217" s="10">
        <v>2.2210669996358101</v>
      </c>
      <c r="E217" s="10">
        <v>2.4083545489479898</v>
      </c>
      <c r="F217" s="10">
        <v>1.6024610240486702E-2</v>
      </c>
      <c r="G217" s="10">
        <v>4.7034639149255701E-2</v>
      </c>
      <c r="H217" s="10" t="s">
        <v>448</v>
      </c>
      <c r="I217" s="10" t="s">
        <v>18</v>
      </c>
    </row>
    <row r="218" spans="1:9" x14ac:dyDescent="0.2">
      <c r="A218" s="10" t="s">
        <v>449</v>
      </c>
      <c r="B218" s="10">
        <v>128.80083993078901</v>
      </c>
      <c r="C218" s="10">
        <v>10.403908761853501</v>
      </c>
      <c r="D218" s="10">
        <v>1.4861184187630601</v>
      </c>
      <c r="E218" s="10">
        <v>7.0007266113510598</v>
      </c>
      <c r="F218" s="4">
        <v>2.5463840083243698E-12</v>
      </c>
      <c r="G218" s="4">
        <v>4.79483932790699E-11</v>
      </c>
      <c r="H218" s="10" t="s">
        <v>450</v>
      </c>
      <c r="I218" s="10" t="s">
        <v>18</v>
      </c>
    </row>
    <row r="219" spans="1:9" x14ac:dyDescent="0.2">
      <c r="A219" s="10" t="s">
        <v>451</v>
      </c>
      <c r="B219" s="10">
        <v>49.773178624442401</v>
      </c>
      <c r="C219" s="10">
        <v>5.5605291259494196</v>
      </c>
      <c r="D219" s="10">
        <v>0.86075840238791301</v>
      </c>
      <c r="E219" s="10">
        <v>6.46003467468155</v>
      </c>
      <c r="F219" s="4">
        <v>1.0467899276996E-10</v>
      </c>
      <c r="G219" s="4">
        <v>1.62332869436716E-9</v>
      </c>
      <c r="H219" s="10" t="s">
        <v>452</v>
      </c>
      <c r="I219" s="10" t="s">
        <v>18</v>
      </c>
    </row>
    <row r="220" spans="1:9" x14ac:dyDescent="0.2">
      <c r="A220" s="10" t="s">
        <v>453</v>
      </c>
      <c r="B220" s="10">
        <v>39.264027449884097</v>
      </c>
      <c r="C220" s="10">
        <v>1.95861529420928</v>
      </c>
      <c r="D220" s="10">
        <v>0.59137735809937597</v>
      </c>
      <c r="E220" s="10">
        <v>3.31195516261235</v>
      </c>
      <c r="F220" s="10">
        <v>9.2646393303645299E-4</v>
      </c>
      <c r="G220" s="10">
        <v>4.1281051158535099E-3</v>
      </c>
      <c r="H220" s="10" t="s">
        <v>454</v>
      </c>
      <c r="I220" s="10" t="s">
        <v>18</v>
      </c>
    </row>
    <row r="221" spans="1:9" x14ac:dyDescent="0.2">
      <c r="A221" s="10" t="s">
        <v>455</v>
      </c>
      <c r="B221" s="10">
        <v>36.999669673634898</v>
      </c>
      <c r="C221" s="10">
        <v>6.1373555726082101</v>
      </c>
      <c r="D221" s="10">
        <v>1.1656517712046499</v>
      </c>
      <c r="E221" s="10">
        <v>5.2651707175510101</v>
      </c>
      <c r="F221" s="4">
        <v>1.40059144973285E-7</v>
      </c>
      <c r="G221" s="4">
        <v>1.38619379698042E-6</v>
      </c>
      <c r="H221" s="10" t="s">
        <v>456</v>
      </c>
      <c r="I221" s="10" t="s">
        <v>18</v>
      </c>
    </row>
    <row r="222" spans="1:9" x14ac:dyDescent="0.2">
      <c r="A222" s="10" t="s">
        <v>457</v>
      </c>
      <c r="B222" s="10">
        <v>1173.2773461664301</v>
      </c>
      <c r="C222" s="10">
        <v>-1.1532710237750701</v>
      </c>
      <c r="D222" s="10">
        <v>0.19248121817597699</v>
      </c>
      <c r="E222" s="10">
        <v>-5.9916028935388601</v>
      </c>
      <c r="F222" s="4">
        <v>2.0778279479194201E-9</v>
      </c>
      <c r="G222" s="4">
        <v>2.6959322903314601E-8</v>
      </c>
      <c r="H222" s="10" t="s">
        <v>458</v>
      </c>
      <c r="I222" s="10" t="s">
        <v>18</v>
      </c>
    </row>
    <row r="223" spans="1:9" x14ac:dyDescent="0.2">
      <c r="A223" s="10" t="s">
        <v>459</v>
      </c>
      <c r="B223" s="10">
        <v>5.72528331880115</v>
      </c>
      <c r="C223" s="10">
        <v>5.91290183596508</v>
      </c>
      <c r="D223" s="10">
        <v>1.9664132806819701</v>
      </c>
      <c r="E223" s="10">
        <v>3.0069476717093999</v>
      </c>
      <c r="F223" s="10">
        <v>2.6388518374758801E-3</v>
      </c>
      <c r="G223" s="10">
        <v>1.0232075710218501E-2</v>
      </c>
      <c r="H223" s="10" t="s">
        <v>460</v>
      </c>
      <c r="I223" s="10" t="s">
        <v>18</v>
      </c>
    </row>
    <row r="224" spans="1:9" x14ac:dyDescent="0.2">
      <c r="A224" s="10" t="s">
        <v>461</v>
      </c>
      <c r="B224" s="10">
        <v>123.735825299666</v>
      </c>
      <c r="C224" s="10">
        <v>2.6472496861946602</v>
      </c>
      <c r="D224" s="10">
        <v>0.37421939850779101</v>
      </c>
      <c r="E224" s="10">
        <v>7.0740578835587797</v>
      </c>
      <c r="F224" s="4">
        <v>1.5046747394036601E-12</v>
      </c>
      <c r="G224" s="4">
        <v>2.9284194731808302E-11</v>
      </c>
      <c r="H224" s="10" t="s">
        <v>462</v>
      </c>
      <c r="I224" s="10" t="s">
        <v>18</v>
      </c>
    </row>
    <row r="225" spans="1:9" x14ac:dyDescent="0.2">
      <c r="A225" s="10" t="s">
        <v>463</v>
      </c>
      <c r="B225" s="10">
        <v>222.240014158512</v>
      </c>
      <c r="C225" s="10">
        <v>-2.2139427497463302</v>
      </c>
      <c r="D225" s="10">
        <v>0.29041639558457399</v>
      </c>
      <c r="E225" s="10">
        <v>-7.6233393961450497</v>
      </c>
      <c r="F225" s="4">
        <v>2.4719580521447602E-14</v>
      </c>
      <c r="G225" s="4">
        <v>5.7764529199646795E-13</v>
      </c>
      <c r="H225" s="10" t="s">
        <v>464</v>
      </c>
      <c r="I225" s="10" t="s">
        <v>18</v>
      </c>
    </row>
    <row r="226" spans="1:9" x14ac:dyDescent="0.2">
      <c r="A226" s="10" t="s">
        <v>465</v>
      </c>
      <c r="B226" s="10">
        <v>377.49936565589297</v>
      </c>
      <c r="C226" s="10">
        <v>-1.5927113066431799</v>
      </c>
      <c r="D226" s="10">
        <v>0.25985997233849301</v>
      </c>
      <c r="E226" s="10">
        <v>-6.1291136619091198</v>
      </c>
      <c r="F226" s="4">
        <v>8.8369980377978495E-10</v>
      </c>
      <c r="G226" s="4">
        <v>1.21239519403765E-8</v>
      </c>
      <c r="H226" s="10" t="s">
        <v>466</v>
      </c>
      <c r="I226" s="10" t="s">
        <v>18</v>
      </c>
    </row>
    <row r="227" spans="1:9" x14ac:dyDescent="0.2">
      <c r="A227" s="10" t="s">
        <v>467</v>
      </c>
      <c r="B227" s="10">
        <v>910.09883463805704</v>
      </c>
      <c r="C227" s="10">
        <v>1.05020579585556</v>
      </c>
      <c r="D227" s="10">
        <v>0.21219194029837599</v>
      </c>
      <c r="E227" s="10">
        <v>4.9493199146904701</v>
      </c>
      <c r="F227" s="4">
        <v>7.4473248823501305E-7</v>
      </c>
      <c r="G227" s="4">
        <v>6.5141977871394597E-6</v>
      </c>
      <c r="H227" s="10" t="s">
        <v>468</v>
      </c>
      <c r="I227" s="10" t="s">
        <v>18</v>
      </c>
    </row>
    <row r="228" spans="1:9" x14ac:dyDescent="0.2">
      <c r="A228" s="10" t="s">
        <v>469</v>
      </c>
      <c r="B228" s="10">
        <v>381.51974632045602</v>
      </c>
      <c r="C228" s="10">
        <v>-1.26853836340869</v>
      </c>
      <c r="D228" s="10">
        <v>0.25175056547601798</v>
      </c>
      <c r="E228" s="10">
        <v>-5.0388699664292602</v>
      </c>
      <c r="F228" s="4">
        <v>4.6828849387765902E-7</v>
      </c>
      <c r="G228" s="4">
        <v>4.2517349525773301E-6</v>
      </c>
      <c r="H228" s="10" t="s">
        <v>470</v>
      </c>
      <c r="I228" s="10" t="s">
        <v>18</v>
      </c>
    </row>
    <row r="229" spans="1:9" x14ac:dyDescent="0.2">
      <c r="A229" s="10" t="s">
        <v>471</v>
      </c>
      <c r="B229" s="10">
        <v>535.85477702480102</v>
      </c>
      <c r="C229" s="10">
        <v>-1.31773712419636</v>
      </c>
      <c r="D229" s="10">
        <v>0.233626356940694</v>
      </c>
      <c r="E229" s="10">
        <v>-5.6403615647307603</v>
      </c>
      <c r="F229" s="4">
        <v>1.69693453311537E-8</v>
      </c>
      <c r="G229" s="4">
        <v>1.9542001362550501E-7</v>
      </c>
      <c r="H229" s="10" t="s">
        <v>472</v>
      </c>
      <c r="I229" s="10" t="s">
        <v>18</v>
      </c>
    </row>
    <row r="230" spans="1:9" x14ac:dyDescent="0.2">
      <c r="A230" s="10" t="s">
        <v>473</v>
      </c>
      <c r="B230" s="10">
        <v>438.52579875814098</v>
      </c>
      <c r="C230" s="10">
        <v>-1.26042770304611</v>
      </c>
      <c r="D230" s="10">
        <v>0.27268249305048398</v>
      </c>
      <c r="E230" s="10">
        <v>-4.6223271943342397</v>
      </c>
      <c r="F230" s="4">
        <v>3.7945887713373399E-6</v>
      </c>
      <c r="G230" s="4">
        <v>2.9314193437093401E-5</v>
      </c>
      <c r="H230" s="10" t="s">
        <v>474</v>
      </c>
      <c r="I230" s="10" t="s">
        <v>18</v>
      </c>
    </row>
    <row r="231" spans="1:9" x14ac:dyDescent="0.2">
      <c r="A231" s="10" t="s">
        <v>475</v>
      </c>
      <c r="B231" s="10">
        <v>391.17940338130597</v>
      </c>
      <c r="C231" s="10">
        <v>-1.7095899388201199</v>
      </c>
      <c r="D231" s="10">
        <v>0.23958235605053099</v>
      </c>
      <c r="E231" s="10">
        <v>-7.13570885186361</v>
      </c>
      <c r="F231" s="4">
        <v>9.6289632273983093E-13</v>
      </c>
      <c r="G231" s="4">
        <v>1.9122475295694E-11</v>
      </c>
      <c r="H231" s="10" t="s">
        <v>476</v>
      </c>
      <c r="I231" s="10" t="s">
        <v>18</v>
      </c>
    </row>
    <row r="232" spans="1:9" x14ac:dyDescent="0.2">
      <c r="A232" s="10" t="s">
        <v>477</v>
      </c>
      <c r="B232" s="10">
        <v>177.26435331271401</v>
      </c>
      <c r="C232" s="10">
        <v>-1.1965337087142001</v>
      </c>
      <c r="D232" s="10">
        <v>0.32516073058384698</v>
      </c>
      <c r="E232" s="10">
        <v>-3.6798223037749498</v>
      </c>
      <c r="F232" s="10">
        <v>2.3339653301345E-4</v>
      </c>
      <c r="G232" s="10">
        <v>1.2190415861449699E-3</v>
      </c>
      <c r="H232" s="10" t="s">
        <v>478</v>
      </c>
      <c r="I232" s="10" t="s">
        <v>18</v>
      </c>
    </row>
    <row r="233" spans="1:9" x14ac:dyDescent="0.2">
      <c r="A233" s="10" t="s">
        <v>479</v>
      </c>
      <c r="B233" s="10">
        <v>13.1474528323889</v>
      </c>
      <c r="C233" s="10">
        <v>5.6410618642337997</v>
      </c>
      <c r="D233" s="10">
        <v>1.6829629494520999</v>
      </c>
      <c r="E233" s="10">
        <v>3.3518633705336698</v>
      </c>
      <c r="F233" s="10">
        <v>8.0269622713449295E-4</v>
      </c>
      <c r="G233" s="10">
        <v>3.6403235853418002E-3</v>
      </c>
      <c r="H233" s="10" t="s">
        <v>480</v>
      </c>
      <c r="I233" s="10" t="s">
        <v>18</v>
      </c>
    </row>
    <row r="234" spans="1:9" x14ac:dyDescent="0.2">
      <c r="A234" s="10" t="s">
        <v>481</v>
      </c>
      <c r="B234" s="10">
        <v>4.0735280698875203</v>
      </c>
      <c r="C234" s="10">
        <v>5.4212402584095702</v>
      </c>
      <c r="D234" s="10">
        <v>2.1434463209324499</v>
      </c>
      <c r="E234" s="10">
        <v>2.52921671304146</v>
      </c>
      <c r="F234" s="10">
        <v>1.1431741709104999E-2</v>
      </c>
      <c r="G234" s="10">
        <v>3.5553095120189997E-2</v>
      </c>
      <c r="H234" s="10" t="s">
        <v>482</v>
      </c>
      <c r="I234" s="10" t="s">
        <v>18</v>
      </c>
    </row>
    <row r="235" spans="1:9" x14ac:dyDescent="0.2">
      <c r="A235" s="10" t="s">
        <v>483</v>
      </c>
      <c r="B235" s="10">
        <v>562.58938260657203</v>
      </c>
      <c r="C235" s="10">
        <v>-1.9225947077502501</v>
      </c>
      <c r="D235" s="10">
        <v>0.23664994747843501</v>
      </c>
      <c r="E235" s="10">
        <v>-8.1242135408690199</v>
      </c>
      <c r="F235" s="4">
        <v>4.5027241733644101E-16</v>
      </c>
      <c r="G235" s="4">
        <v>1.2383897097908299E-14</v>
      </c>
      <c r="H235" s="10" t="s">
        <v>484</v>
      </c>
      <c r="I235" s="10" t="s">
        <v>18</v>
      </c>
    </row>
    <row r="236" spans="1:9" x14ac:dyDescent="0.2">
      <c r="A236" s="10" t="s">
        <v>485</v>
      </c>
      <c r="B236" s="10">
        <v>690.51408164700103</v>
      </c>
      <c r="C236" s="10">
        <v>-1.67792936508834</v>
      </c>
      <c r="D236" s="10">
        <v>0.20963857700942801</v>
      </c>
      <c r="E236" s="10">
        <v>-8.0039150667049093</v>
      </c>
      <c r="F236" s="4">
        <v>1.2052453588750501E-15</v>
      </c>
      <c r="G236" s="4">
        <v>3.19448640985101E-14</v>
      </c>
      <c r="H236" s="10" t="s">
        <v>486</v>
      </c>
      <c r="I236" s="10" t="s">
        <v>18</v>
      </c>
    </row>
    <row r="237" spans="1:9" x14ac:dyDescent="0.2">
      <c r="A237" s="10" t="s">
        <v>487</v>
      </c>
      <c r="B237" s="10">
        <v>1572.8496739883601</v>
      </c>
      <c r="C237" s="10">
        <v>1.5213164208210801</v>
      </c>
      <c r="D237" s="10">
        <v>0.209626466423665</v>
      </c>
      <c r="E237" s="10">
        <v>7.2572726467965198</v>
      </c>
      <c r="F237" s="4">
        <v>3.9497307308208001E-13</v>
      </c>
      <c r="G237" s="4">
        <v>8.2534030599161706E-12</v>
      </c>
      <c r="H237" s="10" t="s">
        <v>488</v>
      </c>
      <c r="I237" s="10" t="s">
        <v>18</v>
      </c>
    </row>
    <row r="238" spans="1:9" x14ac:dyDescent="0.2">
      <c r="A238" s="10" t="s">
        <v>489</v>
      </c>
      <c r="B238" s="10">
        <v>481.48273547102298</v>
      </c>
      <c r="C238" s="10">
        <v>1.1814243107628799</v>
      </c>
      <c r="D238" s="10">
        <v>0.232286695904379</v>
      </c>
      <c r="E238" s="10">
        <v>5.0860610254201504</v>
      </c>
      <c r="F238" s="4">
        <v>3.6557646658851999E-7</v>
      </c>
      <c r="G238" s="4">
        <v>3.3822960900296798E-6</v>
      </c>
      <c r="H238" s="10" t="s">
        <v>490</v>
      </c>
      <c r="I238" s="10" t="s">
        <v>18</v>
      </c>
    </row>
    <row r="239" spans="1:9" x14ac:dyDescent="0.2">
      <c r="A239" s="10" t="s">
        <v>491</v>
      </c>
      <c r="B239" s="10">
        <v>33.100989604418402</v>
      </c>
      <c r="C239" s="10">
        <v>3.9053303621594599</v>
      </c>
      <c r="D239" s="10">
        <v>0.771054281965875</v>
      </c>
      <c r="E239" s="10">
        <v>5.0649227343663199</v>
      </c>
      <c r="F239" s="4">
        <v>4.0856602966103299E-7</v>
      </c>
      <c r="G239" s="4">
        <v>3.7444327649425401E-6</v>
      </c>
      <c r="H239" s="10" t="s">
        <v>492</v>
      </c>
      <c r="I239" s="10" t="s">
        <v>18</v>
      </c>
    </row>
    <row r="240" spans="1:9" x14ac:dyDescent="0.2">
      <c r="A240" s="10" t="s">
        <v>493</v>
      </c>
      <c r="B240" s="10">
        <v>595.99549212546003</v>
      </c>
      <c r="C240" s="10">
        <v>-1.3050509401068</v>
      </c>
      <c r="D240" s="10">
        <v>0.28265385686226202</v>
      </c>
      <c r="E240" s="10">
        <v>-4.6171347336072497</v>
      </c>
      <c r="F240" s="4">
        <v>3.8907467722049698E-6</v>
      </c>
      <c r="G240" s="4">
        <v>3.0014489609928901E-5</v>
      </c>
      <c r="H240" s="10" t="s">
        <v>494</v>
      </c>
      <c r="I240" s="10" t="s">
        <v>18</v>
      </c>
    </row>
    <row r="241" spans="1:9" x14ac:dyDescent="0.2">
      <c r="A241" s="10" t="s">
        <v>495</v>
      </c>
      <c r="B241" s="10">
        <v>43.003234700204899</v>
      </c>
      <c r="C241" s="10">
        <v>1.8595462347788301</v>
      </c>
      <c r="D241" s="10">
        <v>0.556882928897105</v>
      </c>
      <c r="E241" s="10">
        <v>3.3392049536544901</v>
      </c>
      <c r="F241" s="10">
        <v>8.40185503200659E-4</v>
      </c>
      <c r="G241" s="10">
        <v>3.7889001002496502E-3</v>
      </c>
      <c r="H241" s="10" t="s">
        <v>496</v>
      </c>
      <c r="I241" s="10" t="s">
        <v>18</v>
      </c>
    </row>
    <row r="242" spans="1:9" x14ac:dyDescent="0.2">
      <c r="A242" s="10" t="s">
        <v>497</v>
      </c>
      <c r="B242" s="10">
        <v>176.80971783367701</v>
      </c>
      <c r="C242" s="10">
        <v>-1.0202564118506301</v>
      </c>
      <c r="D242" s="10">
        <v>0.30358918755789499</v>
      </c>
      <c r="E242" s="10">
        <v>-3.3606480522501099</v>
      </c>
      <c r="F242" s="10">
        <v>7.7759842642248099E-4</v>
      </c>
      <c r="G242" s="10">
        <v>3.5441994521133099E-3</v>
      </c>
      <c r="H242" s="10" t="s">
        <v>498</v>
      </c>
      <c r="I242" s="10" t="s">
        <v>18</v>
      </c>
    </row>
    <row r="243" spans="1:9" x14ac:dyDescent="0.2">
      <c r="A243" s="10" t="s">
        <v>499</v>
      </c>
      <c r="B243" s="10">
        <v>1531.0459209891901</v>
      </c>
      <c r="C243" s="10">
        <v>-1.28555648892053</v>
      </c>
      <c r="D243" s="10">
        <v>0.23264390448681899</v>
      </c>
      <c r="E243" s="10">
        <v>-5.5258550261881796</v>
      </c>
      <c r="F243" s="4">
        <v>3.2788480495522E-8</v>
      </c>
      <c r="G243" s="4">
        <v>3.6184193117111699E-7</v>
      </c>
      <c r="H243" s="10" t="s">
        <v>500</v>
      </c>
      <c r="I243" s="10" t="s">
        <v>18</v>
      </c>
    </row>
    <row r="244" spans="1:9" x14ac:dyDescent="0.2">
      <c r="A244" s="10" t="s">
        <v>501</v>
      </c>
      <c r="B244" s="10">
        <v>415.12660163712098</v>
      </c>
      <c r="C244" s="10">
        <v>-1.90469705939656</v>
      </c>
      <c r="D244" s="10">
        <v>0.27588982262938899</v>
      </c>
      <c r="E244" s="10">
        <v>-6.9038322662420004</v>
      </c>
      <c r="F244" s="4">
        <v>5.06180639101339E-12</v>
      </c>
      <c r="G244" s="4">
        <v>9.1946025823961306E-11</v>
      </c>
      <c r="H244" s="10" t="s">
        <v>502</v>
      </c>
      <c r="I244" s="10" t="s">
        <v>18</v>
      </c>
    </row>
    <row r="245" spans="1:9" x14ac:dyDescent="0.2">
      <c r="A245" s="10" t="s">
        <v>503</v>
      </c>
      <c r="B245" s="10">
        <v>603.41902916071501</v>
      </c>
      <c r="C245" s="10">
        <v>-1.1703173806473399</v>
      </c>
      <c r="D245" s="10">
        <v>0.242536326795811</v>
      </c>
      <c r="E245" s="10">
        <v>-4.8253282141632203</v>
      </c>
      <c r="F245" s="4">
        <v>1.39772895343152E-6</v>
      </c>
      <c r="G245" s="4">
        <v>1.16919171962888E-5</v>
      </c>
      <c r="H245" s="10" t="s">
        <v>504</v>
      </c>
      <c r="I245" s="10" t="s">
        <v>18</v>
      </c>
    </row>
    <row r="246" spans="1:9" x14ac:dyDescent="0.2">
      <c r="A246" s="10" t="s">
        <v>505</v>
      </c>
      <c r="B246" s="10">
        <v>1101.6906981918601</v>
      </c>
      <c r="C246" s="10">
        <v>-1.9006340625751901</v>
      </c>
      <c r="D246" s="10">
        <v>0.22449252211560999</v>
      </c>
      <c r="E246" s="10">
        <v>-8.4663580090048303</v>
      </c>
      <c r="F246" s="4">
        <v>2.53185147955775E-17</v>
      </c>
      <c r="G246" s="4">
        <v>7.7861577046851E-16</v>
      </c>
      <c r="H246" s="10" t="s">
        <v>506</v>
      </c>
      <c r="I246" s="10" t="s">
        <v>18</v>
      </c>
    </row>
    <row r="247" spans="1:9" x14ac:dyDescent="0.2">
      <c r="A247" s="10" t="s">
        <v>507</v>
      </c>
      <c r="B247" s="10">
        <v>1749.6936720594299</v>
      </c>
      <c r="C247" s="10">
        <v>1.9892740947141101</v>
      </c>
      <c r="D247" s="10">
        <v>0.198952948248173</v>
      </c>
      <c r="E247" s="10">
        <v>9.9987163408742301</v>
      </c>
      <c r="F247" s="4">
        <v>1.54385241722522E-23</v>
      </c>
      <c r="G247" s="4">
        <v>7.6901913733337602E-22</v>
      </c>
      <c r="H247" s="10" t="s">
        <v>508</v>
      </c>
      <c r="I247" s="10" t="s">
        <v>18</v>
      </c>
    </row>
    <row r="248" spans="1:9" x14ac:dyDescent="0.2">
      <c r="A248" s="10" t="s">
        <v>509</v>
      </c>
      <c r="B248" s="10">
        <v>1743.1467141565799</v>
      </c>
      <c r="C248" s="10">
        <v>1.4530756336683499</v>
      </c>
      <c r="D248" s="10">
        <v>0.18902316314598</v>
      </c>
      <c r="E248" s="10">
        <v>7.6872887400903203</v>
      </c>
      <c r="F248" s="4">
        <v>1.50285712203506E-14</v>
      </c>
      <c r="G248" s="4">
        <v>3.5545440975772001E-13</v>
      </c>
      <c r="H248" s="10" t="s">
        <v>510</v>
      </c>
      <c r="I248" s="10" t="s">
        <v>18</v>
      </c>
    </row>
    <row r="249" spans="1:9" x14ac:dyDescent="0.2">
      <c r="A249" s="10" t="s">
        <v>511</v>
      </c>
      <c r="B249" s="10">
        <v>4.2939624891008599</v>
      </c>
      <c r="C249" s="10">
        <v>5.4978614945687996</v>
      </c>
      <c r="D249" s="10">
        <v>2.1119244238519399</v>
      </c>
      <c r="E249" s="10">
        <v>2.6032472717661199</v>
      </c>
      <c r="F249" s="10">
        <v>9.2345323669644607E-3</v>
      </c>
      <c r="G249" s="10">
        <v>2.9695893237658502E-2</v>
      </c>
      <c r="H249" s="10" t="s">
        <v>512</v>
      </c>
      <c r="I249" s="10" t="s">
        <v>18</v>
      </c>
    </row>
    <row r="250" spans="1:9" x14ac:dyDescent="0.2">
      <c r="A250" s="10" t="s">
        <v>513</v>
      </c>
      <c r="B250" s="10">
        <v>39.359381370079397</v>
      </c>
      <c r="C250" s="10">
        <v>2.28425819619912</v>
      </c>
      <c r="D250" s="10">
        <v>0.58702646237900802</v>
      </c>
      <c r="E250" s="10">
        <v>3.8912354767480899</v>
      </c>
      <c r="F250" s="4">
        <v>9.9735081580005805E-5</v>
      </c>
      <c r="G250" s="10">
        <v>5.7113950563480803E-4</v>
      </c>
      <c r="H250" s="10" t="s">
        <v>514</v>
      </c>
      <c r="I250" s="10" t="s">
        <v>18</v>
      </c>
    </row>
    <row r="251" spans="1:9" x14ac:dyDescent="0.2">
      <c r="A251" s="10" t="s">
        <v>515</v>
      </c>
      <c r="B251" s="10">
        <v>1651.9218973119901</v>
      </c>
      <c r="C251" s="10">
        <v>2.1006287006896498</v>
      </c>
      <c r="D251" s="10">
        <v>0.18922879792825001</v>
      </c>
      <c r="E251" s="10">
        <v>11.1009990217565</v>
      </c>
      <c r="F251" s="4">
        <v>1.24049454945359E-28</v>
      </c>
      <c r="G251" s="4">
        <v>8.75641320957561E-27</v>
      </c>
      <c r="H251" s="10" t="s">
        <v>516</v>
      </c>
      <c r="I251" s="10" t="s">
        <v>18</v>
      </c>
    </row>
    <row r="252" spans="1:9" x14ac:dyDescent="0.2">
      <c r="A252" s="10" t="s">
        <v>517</v>
      </c>
      <c r="B252" s="10">
        <v>960.79314389773697</v>
      </c>
      <c r="C252" s="10">
        <v>1.1282424494359899</v>
      </c>
      <c r="D252" s="10">
        <v>0.19716152735232001</v>
      </c>
      <c r="E252" s="10">
        <v>5.72242700990983</v>
      </c>
      <c r="F252" s="4">
        <v>1.05012964901225E-8</v>
      </c>
      <c r="G252" s="4">
        <v>1.2429575389503401E-7</v>
      </c>
      <c r="H252" s="10" t="s">
        <v>518</v>
      </c>
      <c r="I252" s="10" t="s">
        <v>18</v>
      </c>
    </row>
    <row r="253" spans="1:9" x14ac:dyDescent="0.2">
      <c r="A253" s="10" t="s">
        <v>519</v>
      </c>
      <c r="B253" s="10">
        <v>2722.6157850719301</v>
      </c>
      <c r="C253" s="10">
        <v>1.68444919540477</v>
      </c>
      <c r="D253" s="10">
        <v>0.21751632070973601</v>
      </c>
      <c r="E253" s="10">
        <v>7.74401290858804</v>
      </c>
      <c r="F253" s="4">
        <v>9.6327223204141706E-15</v>
      </c>
      <c r="G253" s="4">
        <v>2.3309305955979098E-13</v>
      </c>
      <c r="H253" s="10" t="s">
        <v>520</v>
      </c>
      <c r="I253" s="10" t="s">
        <v>18</v>
      </c>
    </row>
    <row r="254" spans="1:9" x14ac:dyDescent="0.2">
      <c r="A254" s="10" t="s">
        <v>521</v>
      </c>
      <c r="B254" s="10">
        <v>24.823636407123399</v>
      </c>
      <c r="C254" s="10">
        <v>2.9440998141426999</v>
      </c>
      <c r="D254" s="10">
        <v>0.81642836641751704</v>
      </c>
      <c r="E254" s="10">
        <v>3.6060724188962099</v>
      </c>
      <c r="F254" s="10">
        <v>3.1086641525136099E-4</v>
      </c>
      <c r="G254" s="10">
        <v>1.57262852141735E-3</v>
      </c>
      <c r="H254" s="10" t="s">
        <v>522</v>
      </c>
      <c r="I254" s="10" t="s">
        <v>18</v>
      </c>
    </row>
    <row r="255" spans="1:9" x14ac:dyDescent="0.2">
      <c r="A255" s="10" t="s">
        <v>523</v>
      </c>
      <c r="B255" s="10">
        <v>3.8530936506741802</v>
      </c>
      <c r="C255" s="10">
        <v>5.3403250580865702</v>
      </c>
      <c r="D255" s="10">
        <v>2.1789621139591802</v>
      </c>
      <c r="E255" s="10">
        <v>2.4508572333014098</v>
      </c>
      <c r="F255" s="10">
        <v>1.4251646682892799E-2</v>
      </c>
      <c r="G255" s="10">
        <v>4.2728280938466097E-2</v>
      </c>
      <c r="H255" s="10" t="s">
        <v>524</v>
      </c>
      <c r="I255" s="10" t="s">
        <v>18</v>
      </c>
    </row>
    <row r="256" spans="1:9" x14ac:dyDescent="0.2">
      <c r="A256" s="10" t="s">
        <v>525</v>
      </c>
      <c r="B256" s="10">
        <v>495.08203676071201</v>
      </c>
      <c r="C256" s="10">
        <v>-1.0507561113048001</v>
      </c>
      <c r="D256" s="10">
        <v>0.23418987268473901</v>
      </c>
      <c r="E256" s="10">
        <v>-4.48677006934156</v>
      </c>
      <c r="F256" s="4">
        <v>7.2311039506930104E-6</v>
      </c>
      <c r="G256" s="4">
        <v>5.2708905656643197E-5</v>
      </c>
      <c r="H256" s="10" t="s">
        <v>526</v>
      </c>
      <c r="I256" s="10" t="s">
        <v>18</v>
      </c>
    </row>
    <row r="257" spans="1:9" x14ac:dyDescent="0.2">
      <c r="A257" s="10" t="s">
        <v>527</v>
      </c>
      <c r="B257" s="10">
        <v>153.79620300911799</v>
      </c>
      <c r="C257" s="10">
        <v>-2.37992426702113</v>
      </c>
      <c r="D257" s="10">
        <v>0.39496116577926399</v>
      </c>
      <c r="E257" s="10">
        <v>-6.0257171419005404</v>
      </c>
      <c r="F257" s="4">
        <v>1.68361408438292E-9</v>
      </c>
      <c r="G257" s="4">
        <v>2.21503780575478E-8</v>
      </c>
      <c r="H257" s="10" t="s">
        <v>528</v>
      </c>
      <c r="I257" s="10" t="s">
        <v>18</v>
      </c>
    </row>
    <row r="258" spans="1:9" x14ac:dyDescent="0.2">
      <c r="A258" s="10" t="s">
        <v>529</v>
      </c>
      <c r="B258" s="10">
        <v>28.061603653407499</v>
      </c>
      <c r="C258" s="10">
        <v>3.0061794533183899</v>
      </c>
      <c r="D258" s="10">
        <v>0.73534588180512295</v>
      </c>
      <c r="E258" s="10">
        <v>4.0881162561743603</v>
      </c>
      <c r="F258" s="4">
        <v>4.3489021005152197E-5</v>
      </c>
      <c r="G258" s="10">
        <v>2.6936698234311901E-4</v>
      </c>
      <c r="H258" s="10" t="s">
        <v>530</v>
      </c>
      <c r="I258" s="10" t="s">
        <v>18</v>
      </c>
    </row>
    <row r="259" spans="1:9" x14ac:dyDescent="0.2">
      <c r="A259" s="10" t="s">
        <v>531</v>
      </c>
      <c r="B259" s="10">
        <v>3.9648137554673002</v>
      </c>
      <c r="C259" s="10">
        <v>5.38581965917892</v>
      </c>
      <c r="D259" s="10">
        <v>2.16320773319238</v>
      </c>
      <c r="E259" s="10">
        <v>2.4897376135165499</v>
      </c>
      <c r="F259" s="10">
        <v>1.2783743375967001E-2</v>
      </c>
      <c r="G259" s="10">
        <v>3.9066695352733702E-2</v>
      </c>
      <c r="H259" s="10" t="s">
        <v>532</v>
      </c>
      <c r="I259" s="10" t="s">
        <v>18</v>
      </c>
    </row>
    <row r="260" spans="1:9" x14ac:dyDescent="0.2">
      <c r="A260" s="10" t="s">
        <v>533</v>
      </c>
      <c r="B260" s="10">
        <v>1001.97807092025</v>
      </c>
      <c r="C260" s="10">
        <v>-1.45150192243767</v>
      </c>
      <c r="D260" s="10">
        <v>0.20163377747021599</v>
      </c>
      <c r="E260" s="10">
        <v>-7.1987042084359203</v>
      </c>
      <c r="F260" s="4">
        <v>6.0787456050726296E-13</v>
      </c>
      <c r="G260" s="4">
        <v>1.23880016081835E-11</v>
      </c>
      <c r="H260" s="10" t="s">
        <v>534</v>
      </c>
      <c r="I260" s="10" t="s">
        <v>18</v>
      </c>
    </row>
    <row r="261" spans="1:9" x14ac:dyDescent="0.2">
      <c r="A261" s="10" t="s">
        <v>535</v>
      </c>
      <c r="B261" s="10">
        <v>3.7081412314472102</v>
      </c>
      <c r="C261" s="10">
        <v>5.2900887480517502</v>
      </c>
      <c r="D261" s="10">
        <v>2.20912909971939</v>
      </c>
      <c r="E261" s="10">
        <v>2.39464898123143</v>
      </c>
      <c r="F261" s="10">
        <v>1.66362833632147E-2</v>
      </c>
      <c r="G261" s="10">
        <v>4.8568393099487003E-2</v>
      </c>
      <c r="H261" s="10" t="s">
        <v>536</v>
      </c>
      <c r="I261" s="10" t="s">
        <v>18</v>
      </c>
    </row>
    <row r="262" spans="1:9" x14ac:dyDescent="0.2">
      <c r="A262" s="10" t="s">
        <v>537</v>
      </c>
      <c r="B262" s="10">
        <v>1549.9823966506499</v>
      </c>
      <c r="C262" s="10">
        <v>-1.53177759012598</v>
      </c>
      <c r="D262" s="10">
        <v>0.19369149258030299</v>
      </c>
      <c r="E262" s="10">
        <v>-7.9083369626619602</v>
      </c>
      <c r="F262" s="4">
        <v>2.60849971265173E-15</v>
      </c>
      <c r="G262" s="4">
        <v>6.7177496853139495E-14</v>
      </c>
      <c r="H262" s="10" t="s">
        <v>538</v>
      </c>
      <c r="I262" s="10" t="s">
        <v>18</v>
      </c>
    </row>
    <row r="263" spans="1:9" x14ac:dyDescent="0.2">
      <c r="A263" s="10" t="s">
        <v>539</v>
      </c>
      <c r="B263" s="10">
        <v>54.233226379878097</v>
      </c>
      <c r="C263" s="10">
        <v>3.7000364787587299</v>
      </c>
      <c r="D263" s="10">
        <v>0.58207576307794595</v>
      </c>
      <c r="E263" s="10">
        <v>6.3566235075540396</v>
      </c>
      <c r="F263" s="4">
        <v>2.0623663278142599E-10</v>
      </c>
      <c r="G263" s="4">
        <v>3.0539834420627798E-9</v>
      </c>
      <c r="H263" s="10" t="s">
        <v>540</v>
      </c>
      <c r="I263" s="10" t="s">
        <v>18</v>
      </c>
    </row>
    <row r="264" spans="1:9" x14ac:dyDescent="0.2">
      <c r="A264" s="10" t="s">
        <v>541</v>
      </c>
      <c r="B264" s="10">
        <v>16.140310388166998</v>
      </c>
      <c r="C264" s="10">
        <v>5.9412975816262303</v>
      </c>
      <c r="D264" s="10">
        <v>1.6602758473235699</v>
      </c>
      <c r="E264" s="10">
        <v>3.5785002782542499</v>
      </c>
      <c r="F264" s="10">
        <v>3.4557150069848102E-4</v>
      </c>
      <c r="G264" s="10">
        <v>1.72640019793391E-3</v>
      </c>
      <c r="H264" s="10" t="s">
        <v>542</v>
      </c>
      <c r="I264" s="10" t="s">
        <v>18</v>
      </c>
    </row>
    <row r="265" spans="1:9" x14ac:dyDescent="0.2">
      <c r="A265" s="10" t="s">
        <v>543</v>
      </c>
      <c r="B265" s="10">
        <v>174.92894582792101</v>
      </c>
      <c r="C265" s="10">
        <v>2.6352386663942799</v>
      </c>
      <c r="D265" s="10">
        <v>0.32465004017253501</v>
      </c>
      <c r="E265" s="10">
        <v>8.1171672271895705</v>
      </c>
      <c r="F265" s="4">
        <v>4.7719102647852303E-16</v>
      </c>
      <c r="G265" s="4">
        <v>1.30936796560527E-14</v>
      </c>
      <c r="H265" s="10" t="s">
        <v>544</v>
      </c>
      <c r="I265" s="10" t="s">
        <v>18</v>
      </c>
    </row>
    <row r="266" spans="1:9" x14ac:dyDescent="0.2">
      <c r="A266" s="10" t="s">
        <v>545</v>
      </c>
      <c r="B266" s="10">
        <v>3405.0728459634101</v>
      </c>
      <c r="C266" s="10">
        <v>-4.5256209852779596</v>
      </c>
      <c r="D266" s="10">
        <v>0.21795883045748701</v>
      </c>
      <c r="E266" s="10">
        <v>-20.7636505287666</v>
      </c>
      <c r="F266" s="4">
        <v>9.2283092833782305E-96</v>
      </c>
      <c r="G266" s="4">
        <v>9.6709131940079399E-93</v>
      </c>
      <c r="H266" s="10" t="s">
        <v>546</v>
      </c>
      <c r="I266" s="10" t="s">
        <v>18</v>
      </c>
    </row>
    <row r="267" spans="1:9" x14ac:dyDescent="0.2">
      <c r="A267" s="10" t="s">
        <v>547</v>
      </c>
      <c r="B267" s="10">
        <v>78.8322833060151</v>
      </c>
      <c r="C267" s="10">
        <v>-2.6015094152235099</v>
      </c>
      <c r="D267" s="10">
        <v>0.44984839187666997</v>
      </c>
      <c r="E267" s="10">
        <v>-5.7830803937535098</v>
      </c>
      <c r="F267" s="4">
        <v>7.3344988986838199E-9</v>
      </c>
      <c r="G267" s="4">
        <v>8.88586445053081E-8</v>
      </c>
      <c r="H267" s="10" t="s">
        <v>548</v>
      </c>
      <c r="I267" s="10" t="s">
        <v>18</v>
      </c>
    </row>
    <row r="268" spans="1:9" x14ac:dyDescent="0.2">
      <c r="A268" s="10" t="s">
        <v>549</v>
      </c>
      <c r="B268" s="10">
        <v>631.17266961562598</v>
      </c>
      <c r="C268" s="10">
        <v>-1.37359448846587</v>
      </c>
      <c r="D268" s="10">
        <v>0.212136240300447</v>
      </c>
      <c r="E268" s="10">
        <v>-6.4750581349064298</v>
      </c>
      <c r="F268" s="4">
        <v>9.4775443873900996E-11</v>
      </c>
      <c r="G268" s="4">
        <v>1.48240328314132E-9</v>
      </c>
      <c r="H268" s="10" t="s">
        <v>550</v>
      </c>
      <c r="I268" s="10" t="s">
        <v>18</v>
      </c>
    </row>
    <row r="269" spans="1:9" x14ac:dyDescent="0.2">
      <c r="A269" s="10" t="s">
        <v>551</v>
      </c>
      <c r="B269" s="10">
        <v>128.90917414460799</v>
      </c>
      <c r="C269" s="10">
        <v>1.0700491438492901</v>
      </c>
      <c r="D269" s="10">
        <v>0.34175254810565298</v>
      </c>
      <c r="E269" s="10">
        <v>3.1310641274823499</v>
      </c>
      <c r="F269" s="10">
        <v>1.7417412308791699E-3</v>
      </c>
      <c r="G269" s="10">
        <v>7.1685839976016602E-3</v>
      </c>
      <c r="H269" s="10" t="s">
        <v>552</v>
      </c>
      <c r="I269" s="10" t="s">
        <v>18</v>
      </c>
    </row>
    <row r="270" spans="1:9" x14ac:dyDescent="0.2">
      <c r="A270" s="10" t="s">
        <v>553</v>
      </c>
      <c r="B270" s="10">
        <v>1684.19997292728</v>
      </c>
      <c r="C270" s="10">
        <v>4.0975139922264301</v>
      </c>
      <c r="D270" s="10">
        <v>0.25553989599833399</v>
      </c>
      <c r="E270" s="10">
        <v>16.034732957131499</v>
      </c>
      <c r="F270" s="4">
        <v>7.3097138228951707E-58</v>
      </c>
      <c r="G270" s="4">
        <v>1.9526252209061202E-55</v>
      </c>
      <c r="H270" s="10" t="s">
        <v>554</v>
      </c>
      <c r="I270" s="10" t="s">
        <v>18</v>
      </c>
    </row>
    <row r="271" spans="1:9" x14ac:dyDescent="0.2">
      <c r="A271" s="10" t="s">
        <v>555</v>
      </c>
      <c r="B271" s="10">
        <v>735.89571937514097</v>
      </c>
      <c r="C271" s="10">
        <v>-1.35267640422966</v>
      </c>
      <c r="D271" s="10">
        <v>0.21018477808490199</v>
      </c>
      <c r="E271" s="10">
        <v>-6.4356535071405396</v>
      </c>
      <c r="F271" s="4">
        <v>1.2294320489975701E-10</v>
      </c>
      <c r="G271" s="4">
        <v>1.8925613016404902E-9</v>
      </c>
      <c r="H271" s="10" t="s">
        <v>556</v>
      </c>
      <c r="I271" s="10" t="s">
        <v>18</v>
      </c>
    </row>
    <row r="272" spans="1:9" x14ac:dyDescent="0.2">
      <c r="A272" s="10" t="s">
        <v>557</v>
      </c>
      <c r="B272" s="10">
        <v>238.97021316670799</v>
      </c>
      <c r="C272" s="10">
        <v>-1.02244476998628</v>
      </c>
      <c r="D272" s="10">
        <v>0.29772555839668502</v>
      </c>
      <c r="E272" s="10">
        <v>-3.43418541388372</v>
      </c>
      <c r="F272" s="10">
        <v>5.9433750320929499E-4</v>
      </c>
      <c r="G272" s="10">
        <v>2.79253560095597E-3</v>
      </c>
      <c r="H272" s="10" t="s">
        <v>558</v>
      </c>
      <c r="I272" s="10" t="s">
        <v>18</v>
      </c>
    </row>
    <row r="273" spans="1:9" x14ac:dyDescent="0.2">
      <c r="A273" s="10" t="s">
        <v>559</v>
      </c>
      <c r="B273" s="10">
        <v>585.22495710039198</v>
      </c>
      <c r="C273" s="10">
        <v>-1.97009513043455</v>
      </c>
      <c r="D273" s="10">
        <v>0.23056519740409201</v>
      </c>
      <c r="E273" s="10">
        <v>-8.5446335900458195</v>
      </c>
      <c r="F273" s="4">
        <v>1.2894472714788301E-17</v>
      </c>
      <c r="G273" s="4">
        <v>4.0523148565148498E-16</v>
      </c>
      <c r="H273" s="10" t="s">
        <v>560</v>
      </c>
      <c r="I273" s="10" t="s">
        <v>18</v>
      </c>
    </row>
    <row r="274" spans="1:9" x14ac:dyDescent="0.2">
      <c r="A274" s="10" t="s">
        <v>561</v>
      </c>
      <c r="B274" s="10">
        <v>5.0277419563543804</v>
      </c>
      <c r="C274" s="10">
        <v>5.7249864720364698</v>
      </c>
      <c r="D274" s="10">
        <v>2.0292551541625601</v>
      </c>
      <c r="E274" s="10">
        <v>2.82122554193983</v>
      </c>
      <c r="F274" s="10">
        <v>4.7840554620197E-3</v>
      </c>
      <c r="G274" s="10">
        <v>1.7077316805142299E-2</v>
      </c>
      <c r="H274" s="10" t="s">
        <v>562</v>
      </c>
      <c r="I274" s="10" t="s">
        <v>18</v>
      </c>
    </row>
    <row r="275" spans="1:9" x14ac:dyDescent="0.2">
      <c r="A275" s="10" t="s">
        <v>563</v>
      </c>
      <c r="B275" s="10">
        <v>3681.72096423932</v>
      </c>
      <c r="C275" s="10">
        <v>-2.46687409696982</v>
      </c>
      <c r="D275" s="10">
        <v>0.25802026705646303</v>
      </c>
      <c r="E275" s="10">
        <v>-9.5607764657882104</v>
      </c>
      <c r="F275" s="4">
        <v>1.1687650044989301E-21</v>
      </c>
      <c r="G275" s="4">
        <v>5.1696980645426003E-20</v>
      </c>
      <c r="H275" s="10" t="s">
        <v>564</v>
      </c>
      <c r="I275" s="10" t="s">
        <v>18</v>
      </c>
    </row>
    <row r="276" spans="1:9" x14ac:dyDescent="0.2">
      <c r="A276" s="10" t="s">
        <v>565</v>
      </c>
      <c r="B276" s="10">
        <v>1080.36809718727</v>
      </c>
      <c r="C276" s="10">
        <v>-2.43815000780969</v>
      </c>
      <c r="D276" s="10">
        <v>0.28919033023004298</v>
      </c>
      <c r="E276" s="10">
        <v>-8.4309527426806099</v>
      </c>
      <c r="F276" s="4">
        <v>3.4286220158267599E-17</v>
      </c>
      <c r="G276" s="4">
        <v>1.03799626739146E-15</v>
      </c>
      <c r="H276" s="10" t="s">
        <v>566</v>
      </c>
      <c r="I276" s="10" t="s">
        <v>18</v>
      </c>
    </row>
    <row r="277" spans="1:9" x14ac:dyDescent="0.2">
      <c r="A277" s="10" t="s">
        <v>567</v>
      </c>
      <c r="B277" s="10">
        <v>159.140865044648</v>
      </c>
      <c r="C277" s="10">
        <v>-1.41074676786147</v>
      </c>
      <c r="D277" s="10">
        <v>0.33699961893156499</v>
      </c>
      <c r="E277" s="10">
        <v>-4.1861969231126999</v>
      </c>
      <c r="F277" s="4">
        <v>2.8366726801769301E-5</v>
      </c>
      <c r="G277" s="10">
        <v>1.8302349163338999E-4</v>
      </c>
      <c r="H277" s="10" t="s">
        <v>568</v>
      </c>
      <c r="I277" s="10" t="s">
        <v>18</v>
      </c>
    </row>
    <row r="278" spans="1:9" x14ac:dyDescent="0.2">
      <c r="A278" s="10" t="s">
        <v>569</v>
      </c>
      <c r="B278" s="10">
        <v>1567.6432556826801</v>
      </c>
      <c r="C278" s="10">
        <v>-1.22304529863361</v>
      </c>
      <c r="D278" s="10">
        <v>0.26766224957052898</v>
      </c>
      <c r="E278" s="10">
        <v>-4.5693604555592504</v>
      </c>
      <c r="F278" s="4">
        <v>4.8921476686099703E-6</v>
      </c>
      <c r="G278" s="4">
        <v>3.6965154610819701E-5</v>
      </c>
      <c r="H278" s="10" t="s">
        <v>570</v>
      </c>
      <c r="I278" s="10" t="s">
        <v>18</v>
      </c>
    </row>
    <row r="279" spans="1:9" x14ac:dyDescent="0.2">
      <c r="A279" s="10" t="s">
        <v>571</v>
      </c>
      <c r="B279" s="10">
        <v>4087.9625819732801</v>
      </c>
      <c r="C279" s="10">
        <v>-1.66014367276343</v>
      </c>
      <c r="D279" s="10">
        <v>0.252378718655354</v>
      </c>
      <c r="E279" s="10">
        <v>-6.5779859792001796</v>
      </c>
      <c r="F279" s="4">
        <v>4.7686318207888201E-11</v>
      </c>
      <c r="G279" s="4">
        <v>7.7432009070937402E-10</v>
      </c>
      <c r="H279" s="10" t="s">
        <v>572</v>
      </c>
      <c r="I279" s="10" t="s">
        <v>18</v>
      </c>
    </row>
    <row r="280" spans="1:9" x14ac:dyDescent="0.2">
      <c r="A280" s="10" t="s">
        <v>573</v>
      </c>
      <c r="B280" s="10">
        <v>306.39836994131798</v>
      </c>
      <c r="C280" s="10">
        <v>-1.0969671512422901</v>
      </c>
      <c r="D280" s="10">
        <v>0.34014927418121499</v>
      </c>
      <c r="E280" s="10">
        <v>-3.2249580831323001</v>
      </c>
      <c r="F280" s="10">
        <v>1.2599111433280201E-3</v>
      </c>
      <c r="G280" s="10">
        <v>5.3959130654288902E-3</v>
      </c>
      <c r="H280" s="10" t="s">
        <v>574</v>
      </c>
      <c r="I280" s="10" t="s">
        <v>18</v>
      </c>
    </row>
    <row r="281" spans="1:9" x14ac:dyDescent="0.2">
      <c r="A281" s="10" t="s">
        <v>575</v>
      </c>
      <c r="B281" s="10">
        <v>1724.4338496399901</v>
      </c>
      <c r="C281" s="10">
        <v>-1.3486515359678</v>
      </c>
      <c r="D281" s="10">
        <v>0.27702249449295802</v>
      </c>
      <c r="E281" s="10">
        <v>-4.8683827587224604</v>
      </c>
      <c r="F281" s="4">
        <v>1.1251524298586999E-6</v>
      </c>
      <c r="G281" s="4">
        <v>9.5445293450684893E-6</v>
      </c>
      <c r="H281" s="10" t="s">
        <v>576</v>
      </c>
      <c r="I281" s="10" t="s">
        <v>18</v>
      </c>
    </row>
    <row r="282" spans="1:9" x14ac:dyDescent="0.2">
      <c r="A282" s="10" t="s">
        <v>577</v>
      </c>
      <c r="B282" s="10">
        <v>7675.5310587730701</v>
      </c>
      <c r="C282" s="10">
        <v>-1.4350259687619</v>
      </c>
      <c r="D282" s="10">
        <v>0.25471657855484098</v>
      </c>
      <c r="E282" s="10">
        <v>-5.6338145593178801</v>
      </c>
      <c r="F282" s="4">
        <v>1.7626655691206101E-8</v>
      </c>
      <c r="G282" s="4">
        <v>2.0264704118915301E-7</v>
      </c>
      <c r="H282" s="10" t="s">
        <v>578</v>
      </c>
      <c r="I282" s="10" t="s">
        <v>18</v>
      </c>
    </row>
    <row r="283" spans="1:9" x14ac:dyDescent="0.2">
      <c r="A283" s="10" t="s">
        <v>579</v>
      </c>
      <c r="B283" s="10">
        <v>7979.0349515340304</v>
      </c>
      <c r="C283" s="10">
        <v>-1.08200351016204</v>
      </c>
      <c r="D283" s="10">
        <v>0.26124961458180002</v>
      </c>
      <c r="E283" s="10">
        <v>-4.1416463403939501</v>
      </c>
      <c r="F283" s="4">
        <v>3.4482175366563603E-5</v>
      </c>
      <c r="G283" s="10">
        <v>2.18141590947936E-4</v>
      </c>
      <c r="H283" s="10" t="s">
        <v>580</v>
      </c>
      <c r="I283" s="10" t="s">
        <v>18</v>
      </c>
    </row>
    <row r="284" spans="1:9" x14ac:dyDescent="0.2">
      <c r="A284" s="10" t="s">
        <v>581</v>
      </c>
      <c r="B284" s="10">
        <v>2540.05016918207</v>
      </c>
      <c r="C284" s="10">
        <v>-2.0909333661787999</v>
      </c>
      <c r="D284" s="10">
        <v>0.26716657626175599</v>
      </c>
      <c r="E284" s="10">
        <v>-7.8263284106699196</v>
      </c>
      <c r="F284" s="4">
        <v>5.0232410930938302E-15</v>
      </c>
      <c r="G284" s="4">
        <v>1.24635420545291E-13</v>
      </c>
      <c r="H284" s="10" t="s">
        <v>582</v>
      </c>
      <c r="I284" s="10" t="s">
        <v>18</v>
      </c>
    </row>
    <row r="285" spans="1:9" x14ac:dyDescent="0.2">
      <c r="A285" s="10" t="s">
        <v>583</v>
      </c>
      <c r="B285" s="10">
        <v>483.31655573143502</v>
      </c>
      <c r="C285" s="10">
        <v>-2.1616622551331299</v>
      </c>
      <c r="D285" s="10">
        <v>0.24186223501260801</v>
      </c>
      <c r="E285" s="10">
        <v>-8.9375766126548797</v>
      </c>
      <c r="F285" s="4">
        <v>3.9779789646845799E-19</v>
      </c>
      <c r="G285" s="4">
        <v>1.41130199024428E-17</v>
      </c>
      <c r="H285" s="10" t="s">
        <v>584</v>
      </c>
      <c r="I285" s="10" t="s">
        <v>18</v>
      </c>
    </row>
    <row r="286" spans="1:9" x14ac:dyDescent="0.2">
      <c r="A286" s="10" t="s">
        <v>585</v>
      </c>
      <c r="B286" s="10">
        <v>2252.17319641635</v>
      </c>
      <c r="C286" s="10">
        <v>-1.9130324196459301</v>
      </c>
      <c r="D286" s="10">
        <v>0.18333012398801499</v>
      </c>
      <c r="E286" s="10">
        <v>-10.4349049574144</v>
      </c>
      <c r="F286" s="4">
        <v>1.7178557814357999E-25</v>
      </c>
      <c r="G286" s="4">
        <v>1.00227872541288E-23</v>
      </c>
      <c r="H286" s="10" t="s">
        <v>586</v>
      </c>
      <c r="I286" s="10" t="s">
        <v>18</v>
      </c>
    </row>
    <row r="287" spans="1:9" x14ac:dyDescent="0.2">
      <c r="A287" s="10" t="s">
        <v>587</v>
      </c>
      <c r="B287" s="10">
        <v>48.916650815269598</v>
      </c>
      <c r="C287" s="10">
        <v>-2.7750967019727799</v>
      </c>
      <c r="D287" s="10">
        <v>0.55312964474909498</v>
      </c>
      <c r="E287" s="10">
        <v>-5.0170818510940496</v>
      </c>
      <c r="F287" s="4">
        <v>5.24622208921425E-7</v>
      </c>
      <c r="G287" s="4">
        <v>4.7254153145395303E-6</v>
      </c>
      <c r="H287" s="10" t="s">
        <v>588</v>
      </c>
      <c r="I287" s="10" t="s">
        <v>18</v>
      </c>
    </row>
    <row r="288" spans="1:9" x14ac:dyDescent="0.2">
      <c r="A288" s="10" t="s">
        <v>589</v>
      </c>
      <c r="B288" s="10">
        <v>97.762475350246305</v>
      </c>
      <c r="C288" s="10">
        <v>2.17244783074824</v>
      </c>
      <c r="D288" s="10">
        <v>0.40912742239384597</v>
      </c>
      <c r="E288" s="10">
        <v>5.3099540921433004</v>
      </c>
      <c r="F288" s="4">
        <v>1.09652851847024E-7</v>
      </c>
      <c r="G288" s="4">
        <v>1.1069697125883201E-6</v>
      </c>
      <c r="H288" s="10" t="s">
        <v>590</v>
      </c>
      <c r="I288" s="10" t="s">
        <v>18</v>
      </c>
    </row>
    <row r="289" spans="1:9" x14ac:dyDescent="0.2">
      <c r="A289" s="10" t="s">
        <v>591</v>
      </c>
      <c r="B289" s="10">
        <v>2152.7393146854902</v>
      </c>
      <c r="C289" s="10">
        <v>1.3551174793101799</v>
      </c>
      <c r="D289" s="10">
        <v>0.197956454432793</v>
      </c>
      <c r="E289" s="10">
        <v>6.84553319159519</v>
      </c>
      <c r="F289" s="4">
        <v>7.6191550488654705E-12</v>
      </c>
      <c r="G289" s="4">
        <v>1.35952270868656E-10</v>
      </c>
      <c r="H289" s="10" t="s">
        <v>592</v>
      </c>
      <c r="I289" s="10" t="s">
        <v>18</v>
      </c>
    </row>
    <row r="290" spans="1:9" x14ac:dyDescent="0.2">
      <c r="A290" s="10" t="s">
        <v>593</v>
      </c>
      <c r="B290" s="10">
        <v>1118.72634282786</v>
      </c>
      <c r="C290" s="10">
        <v>1.1257435381282299</v>
      </c>
      <c r="D290" s="10">
        <v>0.19227219644820001</v>
      </c>
      <c r="E290" s="10">
        <v>5.8549470954398899</v>
      </c>
      <c r="F290" s="4">
        <v>4.7716188545550402E-9</v>
      </c>
      <c r="G290" s="4">
        <v>5.9339250995007399E-8</v>
      </c>
      <c r="H290" s="10" t="s">
        <v>594</v>
      </c>
      <c r="I290" s="10" t="s">
        <v>18</v>
      </c>
    </row>
    <row r="291" spans="1:9" x14ac:dyDescent="0.2">
      <c r="A291" s="10" t="s">
        <v>595</v>
      </c>
      <c r="B291" s="10">
        <v>485.53071984856399</v>
      </c>
      <c r="C291" s="10">
        <v>-1.3434245542316201</v>
      </c>
      <c r="D291" s="10">
        <v>0.27254425951247102</v>
      </c>
      <c r="E291" s="10">
        <v>-4.9291977627221097</v>
      </c>
      <c r="F291" s="4">
        <v>8.2567961940823098E-7</v>
      </c>
      <c r="G291" s="4">
        <v>7.1853377802670304E-6</v>
      </c>
      <c r="H291" s="10" t="s">
        <v>596</v>
      </c>
      <c r="I291" s="10" t="s">
        <v>18</v>
      </c>
    </row>
    <row r="292" spans="1:9" x14ac:dyDescent="0.2">
      <c r="A292" s="10" t="s">
        <v>597</v>
      </c>
      <c r="B292" s="10">
        <v>119.91004863288801</v>
      </c>
      <c r="C292" s="10">
        <v>1.1835632665539999</v>
      </c>
      <c r="D292" s="10">
        <v>0.34496263049466502</v>
      </c>
      <c r="E292" s="10">
        <v>3.4309897998423899</v>
      </c>
      <c r="F292" s="10">
        <v>6.0138321329058499E-4</v>
      </c>
      <c r="G292" s="10">
        <v>2.8183502601528301E-3</v>
      </c>
      <c r="H292" s="10" t="s">
        <v>598</v>
      </c>
      <c r="I292" s="10" t="s">
        <v>18</v>
      </c>
    </row>
    <row r="293" spans="1:9" x14ac:dyDescent="0.2">
      <c r="A293" s="10" t="s">
        <v>599</v>
      </c>
      <c r="B293" s="10">
        <v>124.373655033568</v>
      </c>
      <c r="C293" s="10">
        <v>8.9099346543221802</v>
      </c>
      <c r="D293" s="10">
        <v>1.4768632446848799</v>
      </c>
      <c r="E293" s="10">
        <v>6.0330126613877999</v>
      </c>
      <c r="F293" s="4">
        <v>1.6093080089210301E-9</v>
      </c>
      <c r="G293" s="4">
        <v>2.12651868666689E-8</v>
      </c>
      <c r="H293" s="10" t="s">
        <v>600</v>
      </c>
      <c r="I293" s="10" t="s">
        <v>18</v>
      </c>
    </row>
    <row r="294" spans="1:9" x14ac:dyDescent="0.2">
      <c r="A294" s="10" t="s">
        <v>601</v>
      </c>
      <c r="B294" s="10">
        <v>46.940676751282702</v>
      </c>
      <c r="C294" s="10">
        <v>8.9485358861548594</v>
      </c>
      <c r="D294" s="10">
        <v>1.5238407255450499</v>
      </c>
      <c r="E294" s="10">
        <v>5.87235643210294</v>
      </c>
      <c r="F294" s="4">
        <v>4.2964374372844701E-9</v>
      </c>
      <c r="G294" s="4">
        <v>5.3773555743541498E-8</v>
      </c>
      <c r="H294" s="10" t="s">
        <v>602</v>
      </c>
      <c r="I294" s="10" t="s">
        <v>18</v>
      </c>
    </row>
    <row r="295" spans="1:9" x14ac:dyDescent="0.2">
      <c r="A295" s="10" t="s">
        <v>603</v>
      </c>
      <c r="B295" s="10">
        <v>305.70856385758498</v>
      </c>
      <c r="C295" s="10">
        <v>1.38310056175149</v>
      </c>
      <c r="D295" s="10">
        <v>0.253887047487799</v>
      </c>
      <c r="E295" s="10">
        <v>5.44770036690411</v>
      </c>
      <c r="F295" s="4">
        <v>5.1025220433729798E-8</v>
      </c>
      <c r="G295" s="4">
        <v>5.4478220264805504E-7</v>
      </c>
      <c r="H295" s="10" t="s">
        <v>604</v>
      </c>
      <c r="I295" s="10" t="s">
        <v>18</v>
      </c>
    </row>
    <row r="296" spans="1:9" x14ac:dyDescent="0.2">
      <c r="A296" s="10" t="s">
        <v>605</v>
      </c>
      <c r="B296" s="10">
        <v>42.824787531599</v>
      </c>
      <c r="C296" s="10">
        <v>-2.5980217268075099</v>
      </c>
      <c r="D296" s="10">
        <v>0.603863737142326</v>
      </c>
      <c r="E296" s="10">
        <v>-4.3023310839994702</v>
      </c>
      <c r="F296" s="4">
        <v>1.6901050954696699E-5</v>
      </c>
      <c r="G296" s="10">
        <v>1.1407058096671299E-4</v>
      </c>
      <c r="H296" s="10" t="s">
        <v>606</v>
      </c>
      <c r="I296" s="10" t="s">
        <v>18</v>
      </c>
    </row>
    <row r="297" spans="1:9" x14ac:dyDescent="0.2">
      <c r="A297" s="10" t="s">
        <v>607</v>
      </c>
      <c r="B297" s="10">
        <v>306.97284292518202</v>
      </c>
      <c r="C297" s="10">
        <v>-1.02574716140915</v>
      </c>
      <c r="D297" s="10">
        <v>0.252821383492983</v>
      </c>
      <c r="E297" s="10">
        <v>-4.0572009663004698</v>
      </c>
      <c r="F297" s="4">
        <v>4.9664344824102097E-5</v>
      </c>
      <c r="G297" s="10">
        <v>3.0443293665293798E-4</v>
      </c>
      <c r="H297" s="10" t="s">
        <v>608</v>
      </c>
      <c r="I297" s="10" t="s">
        <v>18</v>
      </c>
    </row>
    <row r="298" spans="1:9" x14ac:dyDescent="0.2">
      <c r="A298" s="10" t="s">
        <v>609</v>
      </c>
      <c r="B298" s="10">
        <v>1390.5472509107501</v>
      </c>
      <c r="C298" s="10">
        <v>1.1733224165906699</v>
      </c>
      <c r="D298" s="10">
        <v>0.21873316170277499</v>
      </c>
      <c r="E298" s="10">
        <v>5.3641725262721396</v>
      </c>
      <c r="F298" s="4">
        <v>8.1321148833410406E-8</v>
      </c>
      <c r="G298" s="4">
        <v>8.3708248668830098E-7</v>
      </c>
      <c r="H298" s="10" t="s">
        <v>610</v>
      </c>
      <c r="I298" s="10" t="s">
        <v>18</v>
      </c>
    </row>
    <row r="299" spans="1:9" x14ac:dyDescent="0.2">
      <c r="A299" s="10" t="s">
        <v>611</v>
      </c>
      <c r="B299" s="10">
        <v>5.5773251092012899</v>
      </c>
      <c r="C299" s="10">
        <v>5.8730172189294603</v>
      </c>
      <c r="D299" s="10">
        <v>1.9878318593136</v>
      </c>
      <c r="E299" s="10">
        <v>2.9544838973238998</v>
      </c>
      <c r="F299" s="10">
        <v>3.13192497340763E-3</v>
      </c>
      <c r="G299" s="10">
        <v>1.18835203663052E-2</v>
      </c>
      <c r="H299" s="10" t="s">
        <v>612</v>
      </c>
      <c r="I299" s="10" t="s">
        <v>18</v>
      </c>
    </row>
    <row r="300" spans="1:9" x14ac:dyDescent="0.2">
      <c r="A300" s="10" t="s">
        <v>613</v>
      </c>
      <c r="B300" s="10">
        <v>8.5156166675507698</v>
      </c>
      <c r="C300" s="10">
        <v>5.0070271060010896</v>
      </c>
      <c r="D300" s="10">
        <v>1.81681631856015</v>
      </c>
      <c r="E300" s="10">
        <v>2.7559346835728702</v>
      </c>
      <c r="F300" s="10">
        <v>5.8524682607126498E-3</v>
      </c>
      <c r="G300" s="10">
        <v>2.0290393523302901E-2</v>
      </c>
      <c r="H300" s="10" t="s">
        <v>614</v>
      </c>
      <c r="I300" s="10" t="s">
        <v>18</v>
      </c>
    </row>
    <row r="301" spans="1:9" x14ac:dyDescent="0.2">
      <c r="A301" s="10" t="s">
        <v>615</v>
      </c>
      <c r="B301" s="10">
        <v>28.548096702609001</v>
      </c>
      <c r="C301" s="10">
        <v>6.7756972776461</v>
      </c>
      <c r="D301" s="10">
        <v>1.5624022697499</v>
      </c>
      <c r="E301" s="10">
        <v>4.33671750792496</v>
      </c>
      <c r="F301" s="4">
        <v>1.44626305173421E-5</v>
      </c>
      <c r="G301" s="4">
        <v>9.9204920128771902E-5</v>
      </c>
      <c r="H301" s="10" t="s">
        <v>616</v>
      </c>
      <c r="I301" s="10" t="s">
        <v>18</v>
      </c>
    </row>
    <row r="302" spans="1:9" x14ac:dyDescent="0.2">
      <c r="A302" s="10" t="s">
        <v>617</v>
      </c>
      <c r="B302" s="10">
        <v>329.10091947706002</v>
      </c>
      <c r="C302" s="10">
        <v>11.759029074968799</v>
      </c>
      <c r="D302" s="10">
        <v>1.4640549963032701</v>
      </c>
      <c r="E302" s="10">
        <v>8.0318219634236794</v>
      </c>
      <c r="F302" s="4">
        <v>9.6035665603125094E-16</v>
      </c>
      <c r="G302" s="4">
        <v>2.5678937985165401E-14</v>
      </c>
      <c r="H302" s="10" t="s">
        <v>618</v>
      </c>
      <c r="I302" s="10" t="s">
        <v>18</v>
      </c>
    </row>
    <row r="303" spans="1:9" x14ac:dyDescent="0.2">
      <c r="A303" s="10" t="s">
        <v>619</v>
      </c>
      <c r="B303" s="10">
        <v>139.00110764239199</v>
      </c>
      <c r="C303" s="10">
        <v>10.515603984459799</v>
      </c>
      <c r="D303" s="10">
        <v>1.47752233514492</v>
      </c>
      <c r="E303" s="10">
        <v>7.1170524697539497</v>
      </c>
      <c r="F303" s="4">
        <v>1.10259520837335E-12</v>
      </c>
      <c r="G303" s="4">
        <v>2.16756216757206E-11</v>
      </c>
      <c r="H303" s="10" t="s">
        <v>620</v>
      </c>
      <c r="I303" s="10" t="s">
        <v>18</v>
      </c>
    </row>
    <row r="304" spans="1:9" x14ac:dyDescent="0.2">
      <c r="A304" s="10" t="s">
        <v>621</v>
      </c>
      <c r="B304" s="10">
        <v>8.1500619301479293</v>
      </c>
      <c r="C304" s="10">
        <v>6.4255588067260998</v>
      </c>
      <c r="D304" s="10">
        <v>1.83422848902311</v>
      </c>
      <c r="E304" s="10">
        <v>3.50313979156887</v>
      </c>
      <c r="F304" s="10">
        <v>4.5980808452777402E-4</v>
      </c>
      <c r="G304" s="10">
        <v>2.2244719662634599E-3</v>
      </c>
      <c r="H304" s="10" t="s">
        <v>622</v>
      </c>
      <c r="I304" s="10" t="s">
        <v>18</v>
      </c>
    </row>
    <row r="305" spans="1:9" x14ac:dyDescent="0.2">
      <c r="A305" s="10" t="s">
        <v>623</v>
      </c>
      <c r="B305" s="10">
        <v>240.60067160779801</v>
      </c>
      <c r="C305" s="10">
        <v>11.3071053367385</v>
      </c>
      <c r="D305" s="10">
        <v>1.4675110198604</v>
      </c>
      <c r="E305" s="10">
        <v>7.7049542958894497</v>
      </c>
      <c r="F305" s="4">
        <v>1.3089012780967399E-14</v>
      </c>
      <c r="G305" s="4">
        <v>3.1120098712305201E-13</v>
      </c>
      <c r="H305" s="10" t="s">
        <v>624</v>
      </c>
      <c r="I305" s="10" t="s">
        <v>18</v>
      </c>
    </row>
    <row r="306" spans="1:9" x14ac:dyDescent="0.2">
      <c r="A306" s="10" t="s">
        <v>625</v>
      </c>
      <c r="B306" s="10">
        <v>229.66645580860799</v>
      </c>
      <c r="C306" s="10">
        <v>11.240112651589399</v>
      </c>
      <c r="D306" s="10">
        <v>1.46846291446954</v>
      </c>
      <c r="E306" s="10">
        <v>7.6543387925119504</v>
      </c>
      <c r="F306" s="4">
        <v>1.9430939321481699E-14</v>
      </c>
      <c r="G306" s="4">
        <v>4.5680310931183096E-13</v>
      </c>
      <c r="H306" s="10" t="s">
        <v>626</v>
      </c>
      <c r="I306" s="10" t="s">
        <v>18</v>
      </c>
    </row>
    <row r="307" spans="1:9" x14ac:dyDescent="0.2">
      <c r="A307" s="10" t="s">
        <v>627</v>
      </c>
      <c r="B307" s="10">
        <v>1716.4930887979201</v>
      </c>
      <c r="C307" s="10">
        <v>1.1054039896591701</v>
      </c>
      <c r="D307" s="10">
        <v>0.21341414412950499</v>
      </c>
      <c r="E307" s="10">
        <v>5.17961915864577</v>
      </c>
      <c r="F307" s="4">
        <v>2.22339351888664E-7</v>
      </c>
      <c r="G307" s="4">
        <v>2.13613551513062E-6</v>
      </c>
      <c r="H307" s="10" t="s">
        <v>628</v>
      </c>
      <c r="I307" s="10" t="s">
        <v>18</v>
      </c>
    </row>
    <row r="308" spans="1:9" x14ac:dyDescent="0.2">
      <c r="A308" s="10" t="s">
        <v>629</v>
      </c>
      <c r="B308" s="10">
        <v>95.866111872061893</v>
      </c>
      <c r="C308" s="10">
        <v>-1.9999858935492201</v>
      </c>
      <c r="D308" s="10">
        <v>0.38703770770075702</v>
      </c>
      <c r="E308" s="10">
        <v>-5.1674187133609601</v>
      </c>
      <c r="F308" s="4">
        <v>2.3734913742799599E-7</v>
      </c>
      <c r="G308" s="4">
        <v>2.2642916500539201E-6</v>
      </c>
      <c r="H308" s="10" t="s">
        <v>630</v>
      </c>
      <c r="I308" s="10" t="s">
        <v>18</v>
      </c>
    </row>
    <row r="309" spans="1:9" x14ac:dyDescent="0.2">
      <c r="A309" s="10" t="s">
        <v>631</v>
      </c>
      <c r="B309" s="10">
        <v>13.3259733639747</v>
      </c>
      <c r="C309" s="10">
        <v>4.0246725366056104</v>
      </c>
      <c r="D309" s="10">
        <v>1.20365152645535</v>
      </c>
      <c r="E309" s="10">
        <v>3.34371904836769</v>
      </c>
      <c r="F309" s="10">
        <v>8.2663405980482095E-4</v>
      </c>
      <c r="G309" s="10">
        <v>3.73582654295936E-3</v>
      </c>
      <c r="H309" s="10" t="s">
        <v>632</v>
      </c>
      <c r="I309" s="10" t="s">
        <v>18</v>
      </c>
    </row>
    <row r="310" spans="1:9" x14ac:dyDescent="0.2">
      <c r="A310" s="10" t="s">
        <v>633</v>
      </c>
      <c r="B310" s="10">
        <v>4.2577243842941197</v>
      </c>
      <c r="C310" s="10">
        <v>5.4867669360524598</v>
      </c>
      <c r="D310" s="10">
        <v>2.11613036159978</v>
      </c>
      <c r="E310" s="10">
        <v>2.5928303074412198</v>
      </c>
      <c r="F310" s="10">
        <v>9.5189725018600003E-3</v>
      </c>
      <c r="G310" s="10">
        <v>3.0470329388883902E-2</v>
      </c>
      <c r="H310" s="10" t="s">
        <v>634</v>
      </c>
      <c r="I310" s="10" t="s">
        <v>18</v>
      </c>
    </row>
    <row r="311" spans="1:9" x14ac:dyDescent="0.2">
      <c r="A311" s="10" t="s">
        <v>635</v>
      </c>
      <c r="B311" s="10">
        <v>6.9333318378777298</v>
      </c>
      <c r="C311" s="10">
        <v>4.6952116007282401</v>
      </c>
      <c r="D311" s="10">
        <v>1.8608493036999001</v>
      </c>
      <c r="E311" s="10">
        <v>2.5231552019783701</v>
      </c>
      <c r="F311" s="10">
        <v>1.16307056364115E-2</v>
      </c>
      <c r="G311" s="10">
        <v>3.6085383338112398E-2</v>
      </c>
      <c r="H311" s="10" t="s">
        <v>636</v>
      </c>
      <c r="I311" s="10" t="s">
        <v>18</v>
      </c>
    </row>
    <row r="312" spans="1:9" x14ac:dyDescent="0.2">
      <c r="A312" s="10" t="s">
        <v>637</v>
      </c>
      <c r="B312" s="10">
        <v>20.8263816078167</v>
      </c>
      <c r="C312" s="10">
        <v>3.6332537502865199</v>
      </c>
      <c r="D312" s="10">
        <v>0.909560937787948</v>
      </c>
      <c r="E312" s="10">
        <v>3.99451383556839</v>
      </c>
      <c r="F312" s="4">
        <v>6.4827136022926004E-5</v>
      </c>
      <c r="G312" s="10">
        <v>3.8701686573546602E-4</v>
      </c>
      <c r="H312" s="10" t="s">
        <v>638</v>
      </c>
      <c r="I312" s="10" t="s">
        <v>18</v>
      </c>
    </row>
    <row r="313" spans="1:9" x14ac:dyDescent="0.2">
      <c r="A313" s="10" t="s">
        <v>639</v>
      </c>
      <c r="B313" s="10">
        <v>1383.7412611607001</v>
      </c>
      <c r="C313" s="10">
        <v>-1.05871189208175</v>
      </c>
      <c r="D313" s="10">
        <v>0.22083190273236</v>
      </c>
      <c r="E313" s="10">
        <v>-4.7941981162244902</v>
      </c>
      <c r="F313" s="4">
        <v>1.6332680721572899E-6</v>
      </c>
      <c r="G313" s="4">
        <v>1.34649486118214E-5</v>
      </c>
      <c r="H313" s="10" t="s">
        <v>640</v>
      </c>
      <c r="I313" s="10" t="s">
        <v>18</v>
      </c>
    </row>
    <row r="314" spans="1:9" x14ac:dyDescent="0.2">
      <c r="A314" s="10" t="s">
        <v>641</v>
      </c>
      <c r="B314" s="10">
        <v>31.9670242535366</v>
      </c>
      <c r="C314" s="10">
        <v>-1.8098145051209</v>
      </c>
      <c r="D314" s="10">
        <v>0.637303471086624</v>
      </c>
      <c r="E314" s="10">
        <v>-2.8398001693527699</v>
      </c>
      <c r="F314" s="10">
        <v>4.5141802320673103E-3</v>
      </c>
      <c r="G314" s="10">
        <v>1.62496961855303E-2</v>
      </c>
      <c r="H314" s="10" t="s">
        <v>642</v>
      </c>
      <c r="I314" s="10" t="s">
        <v>18</v>
      </c>
    </row>
    <row r="315" spans="1:9" x14ac:dyDescent="0.2">
      <c r="A315" s="10" t="s">
        <v>643</v>
      </c>
      <c r="B315" s="10">
        <v>1975.18725696806</v>
      </c>
      <c r="C315" s="10">
        <v>-2.2685888867950901</v>
      </c>
      <c r="D315" s="10">
        <v>0.24491364403803401</v>
      </c>
      <c r="E315" s="10">
        <v>-9.2628113705367596</v>
      </c>
      <c r="F315" s="4">
        <v>1.9911894012662E-20</v>
      </c>
      <c r="G315" s="4">
        <v>8.0257304166124697E-19</v>
      </c>
      <c r="H315" s="10" t="s">
        <v>644</v>
      </c>
      <c r="I315" s="10" t="s">
        <v>18</v>
      </c>
    </row>
    <row r="316" spans="1:9" x14ac:dyDescent="0.2">
      <c r="A316" s="10" t="s">
        <v>645</v>
      </c>
      <c r="B316" s="10">
        <v>87.2409200223331</v>
      </c>
      <c r="C316" s="10">
        <v>1.2908795285010299</v>
      </c>
      <c r="D316" s="10">
        <v>0.41623742433713401</v>
      </c>
      <c r="E316" s="10">
        <v>3.10130577652113</v>
      </c>
      <c r="F316" s="10">
        <v>1.9266922016358101E-3</v>
      </c>
      <c r="G316" s="10">
        <v>7.7980663128299202E-3</v>
      </c>
      <c r="H316" s="10" t="s">
        <v>646</v>
      </c>
      <c r="I316" s="10" t="s">
        <v>18</v>
      </c>
    </row>
    <row r="317" spans="1:9" x14ac:dyDescent="0.2">
      <c r="A317" s="10" t="s">
        <v>647</v>
      </c>
      <c r="B317" s="10">
        <v>983.82808490473894</v>
      </c>
      <c r="C317" s="10">
        <v>-1.6864492967681699</v>
      </c>
      <c r="D317" s="10">
        <v>0.21863772833945</v>
      </c>
      <c r="E317" s="10">
        <v>-7.7134413606321299</v>
      </c>
      <c r="F317" s="4">
        <v>1.2246963925108299E-14</v>
      </c>
      <c r="G317" s="4">
        <v>2.9271318076090002E-13</v>
      </c>
      <c r="H317" s="10" t="s">
        <v>648</v>
      </c>
      <c r="I317" s="10" t="s">
        <v>18</v>
      </c>
    </row>
    <row r="318" spans="1:9" x14ac:dyDescent="0.2">
      <c r="A318" s="10" t="s">
        <v>649</v>
      </c>
      <c r="B318" s="10">
        <v>233.83228963397801</v>
      </c>
      <c r="C318" s="10">
        <v>-1.2846898486859299</v>
      </c>
      <c r="D318" s="10">
        <v>0.30252909560591701</v>
      </c>
      <c r="E318" s="10">
        <v>-4.2465001460864702</v>
      </c>
      <c r="F318" s="4">
        <v>2.17135638807872E-5</v>
      </c>
      <c r="G318" s="10">
        <v>1.4325168887646699E-4</v>
      </c>
      <c r="H318" s="10" t="s">
        <v>650</v>
      </c>
      <c r="I318" s="10" t="s">
        <v>18</v>
      </c>
    </row>
    <row r="319" spans="1:9" x14ac:dyDescent="0.2">
      <c r="A319" s="10" t="s">
        <v>651</v>
      </c>
      <c r="B319" s="10">
        <v>209.91140387784299</v>
      </c>
      <c r="C319" s="10">
        <v>-2.7375140126713502</v>
      </c>
      <c r="D319" s="10">
        <v>0.33375974081537102</v>
      </c>
      <c r="E319" s="10">
        <v>-8.2020497918162096</v>
      </c>
      <c r="F319" s="4">
        <v>2.36322370422516E-16</v>
      </c>
      <c r="G319" s="4">
        <v>6.6795390320563196E-15</v>
      </c>
      <c r="H319" s="10" t="s">
        <v>652</v>
      </c>
      <c r="I319" s="10" t="s">
        <v>18</v>
      </c>
    </row>
    <row r="320" spans="1:9" x14ac:dyDescent="0.2">
      <c r="A320" s="10" t="s">
        <v>653</v>
      </c>
      <c r="B320" s="10">
        <v>3863.0950439336202</v>
      </c>
      <c r="C320" s="10">
        <v>-2.0381184215712498</v>
      </c>
      <c r="D320" s="10">
        <v>0.23278658590557</v>
      </c>
      <c r="E320" s="10">
        <v>-8.7553087032171995</v>
      </c>
      <c r="F320" s="4">
        <v>2.0354558975434E-18</v>
      </c>
      <c r="G320" s="4">
        <v>6.8553852707496804E-17</v>
      </c>
      <c r="H320" s="10" t="s">
        <v>654</v>
      </c>
      <c r="I320" s="10" t="s">
        <v>18</v>
      </c>
    </row>
    <row r="321" spans="1:9" x14ac:dyDescent="0.2">
      <c r="A321" s="10" t="s">
        <v>655</v>
      </c>
      <c r="B321" s="10">
        <v>137.22492728341899</v>
      </c>
      <c r="C321" s="10">
        <v>3.9212315480943101</v>
      </c>
      <c r="D321" s="10">
        <v>0.41204260620806499</v>
      </c>
      <c r="E321" s="10">
        <v>9.5165681631337105</v>
      </c>
      <c r="F321" s="4">
        <v>1.7899256962194999E-21</v>
      </c>
      <c r="G321" s="4">
        <v>7.8157220264251402E-20</v>
      </c>
      <c r="H321" s="10" t="s">
        <v>656</v>
      </c>
      <c r="I321" s="10" t="s">
        <v>18</v>
      </c>
    </row>
    <row r="322" spans="1:9" x14ac:dyDescent="0.2">
      <c r="A322" s="10" t="s">
        <v>657</v>
      </c>
      <c r="B322" s="10">
        <v>1260.35917222271</v>
      </c>
      <c r="C322" s="10">
        <v>-1.3427345830319</v>
      </c>
      <c r="D322" s="10">
        <v>0.25456519570833602</v>
      </c>
      <c r="E322" s="10">
        <v>-5.2746196482032701</v>
      </c>
      <c r="F322" s="4">
        <v>1.3303170308995101E-7</v>
      </c>
      <c r="G322" s="4">
        <v>1.3270238259299201E-6</v>
      </c>
      <c r="H322" s="10" t="s">
        <v>658</v>
      </c>
      <c r="I322" s="10" t="s">
        <v>18</v>
      </c>
    </row>
    <row r="323" spans="1:9" x14ac:dyDescent="0.2">
      <c r="A323" s="10" t="s">
        <v>659</v>
      </c>
      <c r="B323" s="10">
        <v>31.8035242650862</v>
      </c>
      <c r="C323" s="10">
        <v>2.6445810332880701</v>
      </c>
      <c r="D323" s="10">
        <v>0.66188053798033597</v>
      </c>
      <c r="E323" s="10">
        <v>3.9955564207368202</v>
      </c>
      <c r="F323" s="4">
        <v>6.4542483160019595E-5</v>
      </c>
      <c r="G323" s="10">
        <v>3.8548641794411501E-4</v>
      </c>
      <c r="H323" s="10" t="s">
        <v>660</v>
      </c>
      <c r="I323" s="10" t="s">
        <v>18</v>
      </c>
    </row>
    <row r="324" spans="1:9" x14ac:dyDescent="0.2">
      <c r="A324" s="10" t="s">
        <v>661</v>
      </c>
      <c r="B324" s="10">
        <v>675.06521778287595</v>
      </c>
      <c r="C324" s="10">
        <v>-1.6282735539917199</v>
      </c>
      <c r="D324" s="10">
        <v>0.26037446739504999</v>
      </c>
      <c r="E324" s="10">
        <v>-6.2535838105863002</v>
      </c>
      <c r="F324" s="4">
        <v>4.0113913348994699E-10</v>
      </c>
      <c r="G324" s="4">
        <v>5.71345424474677E-9</v>
      </c>
      <c r="H324" s="10" t="s">
        <v>662</v>
      </c>
      <c r="I324" s="10" t="s">
        <v>18</v>
      </c>
    </row>
    <row r="325" spans="1:9" x14ac:dyDescent="0.2">
      <c r="A325" s="10" t="s">
        <v>663</v>
      </c>
      <c r="B325" s="10">
        <v>20.971756562788801</v>
      </c>
      <c r="C325" s="10">
        <v>2.5276364257966399</v>
      </c>
      <c r="D325" s="10">
        <v>0.79695984654713903</v>
      </c>
      <c r="E325" s="10">
        <v>3.1715982138218402</v>
      </c>
      <c r="F325" s="10">
        <v>1.5160259510185901E-3</v>
      </c>
      <c r="G325" s="10">
        <v>6.3393430152553099E-3</v>
      </c>
      <c r="H325" s="10" t="s">
        <v>664</v>
      </c>
      <c r="I325" s="10" t="s">
        <v>18</v>
      </c>
    </row>
    <row r="326" spans="1:9" x14ac:dyDescent="0.2">
      <c r="A326" s="10" t="s">
        <v>665</v>
      </c>
      <c r="B326" s="10">
        <v>34.1975726554844</v>
      </c>
      <c r="C326" s="10">
        <v>3.0789553585078702</v>
      </c>
      <c r="D326" s="10">
        <v>0.66921593057602302</v>
      </c>
      <c r="E326" s="10">
        <v>4.6008399050776996</v>
      </c>
      <c r="F326" s="4">
        <v>4.2079075657132799E-6</v>
      </c>
      <c r="G326" s="4">
        <v>3.22693097222037E-5</v>
      </c>
      <c r="H326" s="10" t="s">
        <v>666</v>
      </c>
      <c r="I326" s="10" t="s">
        <v>18</v>
      </c>
    </row>
    <row r="327" spans="1:9" x14ac:dyDescent="0.2">
      <c r="A327" s="10" t="s">
        <v>667</v>
      </c>
      <c r="B327" s="10">
        <v>7341.3331631160199</v>
      </c>
      <c r="C327" s="10">
        <v>-1.0209316325698401</v>
      </c>
      <c r="D327" s="10">
        <v>0.180660627752012</v>
      </c>
      <c r="E327" s="10">
        <v>-5.6511019875965696</v>
      </c>
      <c r="F327" s="4">
        <v>1.59422462369625E-8</v>
      </c>
      <c r="G327" s="4">
        <v>1.8429290760225599E-7</v>
      </c>
      <c r="H327" s="10" t="s">
        <v>668</v>
      </c>
      <c r="I327" s="10" t="s">
        <v>18</v>
      </c>
    </row>
    <row r="328" spans="1:9" x14ac:dyDescent="0.2">
      <c r="A328" s="10" t="s">
        <v>669</v>
      </c>
      <c r="B328" s="10">
        <v>512.78187624748898</v>
      </c>
      <c r="C328" s="10">
        <v>5.0050571954260299</v>
      </c>
      <c r="D328" s="10">
        <v>0.29033440560435603</v>
      </c>
      <c r="E328" s="10">
        <v>17.238939301759899</v>
      </c>
      <c r="F328" s="4">
        <v>1.3550018479474601E-66</v>
      </c>
      <c r="G328" s="4">
        <v>4.8578599146085001E-64</v>
      </c>
      <c r="H328" s="10" t="s">
        <v>670</v>
      </c>
      <c r="I328" s="10" t="s">
        <v>18</v>
      </c>
    </row>
    <row r="329" spans="1:9" x14ac:dyDescent="0.2">
      <c r="A329" s="10" t="s">
        <v>671</v>
      </c>
      <c r="B329" s="10">
        <v>405.99534819373901</v>
      </c>
      <c r="C329" s="10">
        <v>3.6132092363251198</v>
      </c>
      <c r="D329" s="10">
        <v>0.26870217300518601</v>
      </c>
      <c r="E329" s="10">
        <v>13.4468925052399</v>
      </c>
      <c r="F329" s="4">
        <v>3.2108460144497902E-41</v>
      </c>
      <c r="G329" s="4">
        <v>4.7289687219304597E-39</v>
      </c>
      <c r="H329" s="10" t="s">
        <v>672</v>
      </c>
      <c r="I329" s="10" t="s">
        <v>18</v>
      </c>
    </row>
    <row r="330" spans="1:9" x14ac:dyDescent="0.2">
      <c r="A330" s="10" t="s">
        <v>673</v>
      </c>
      <c r="B330" s="10">
        <v>2400.2056794632299</v>
      </c>
      <c r="C330" s="10">
        <v>-1.20725288203101</v>
      </c>
      <c r="D330" s="10">
        <v>0.186474212561582</v>
      </c>
      <c r="E330" s="10">
        <v>-6.4741009786129204</v>
      </c>
      <c r="F330" s="4">
        <v>9.5378103471251705E-11</v>
      </c>
      <c r="G330" s="4">
        <v>1.49011879889977E-9</v>
      </c>
      <c r="H330" s="10" t="s">
        <v>674</v>
      </c>
      <c r="I330" s="10" t="s">
        <v>18</v>
      </c>
    </row>
    <row r="331" spans="1:9" x14ac:dyDescent="0.2">
      <c r="A331" s="10" t="s">
        <v>675</v>
      </c>
      <c r="B331" s="10">
        <v>5.9457177380145003</v>
      </c>
      <c r="C331" s="10">
        <v>5.9678110559896602</v>
      </c>
      <c r="D331" s="10">
        <v>1.9490680149737301</v>
      </c>
      <c r="E331" s="10">
        <v>3.0618793239342601</v>
      </c>
      <c r="F331" s="10">
        <v>2.1995210751093899E-3</v>
      </c>
      <c r="G331" s="10">
        <v>8.7349294175055308E-3</v>
      </c>
      <c r="H331" s="10" t="s">
        <v>676</v>
      </c>
      <c r="I331" s="10" t="s">
        <v>18</v>
      </c>
    </row>
    <row r="332" spans="1:9" x14ac:dyDescent="0.2">
      <c r="A332" s="10" t="s">
        <v>677</v>
      </c>
      <c r="B332" s="10">
        <v>24.876025677006002</v>
      </c>
      <c r="C332" s="10">
        <v>8.0298654184389502</v>
      </c>
      <c r="D332" s="10">
        <v>1.6018254979023701</v>
      </c>
      <c r="E332" s="10">
        <v>5.01294643452378</v>
      </c>
      <c r="F332" s="4">
        <v>5.3602822626938299E-7</v>
      </c>
      <c r="G332" s="4">
        <v>4.8185948799610297E-6</v>
      </c>
      <c r="H332" s="10" t="s">
        <v>678</v>
      </c>
      <c r="I332" s="10" t="s">
        <v>18</v>
      </c>
    </row>
    <row r="333" spans="1:9" x14ac:dyDescent="0.2">
      <c r="A333" s="10" t="s">
        <v>679</v>
      </c>
      <c r="B333" s="10">
        <v>5.8702357380281196</v>
      </c>
      <c r="C333" s="10">
        <v>5.9458397538104899</v>
      </c>
      <c r="D333" s="10">
        <v>1.9746359248366601</v>
      </c>
      <c r="E333" s="10">
        <v>3.0111068471026199</v>
      </c>
      <c r="F333" s="10">
        <v>2.6029724114652701E-3</v>
      </c>
      <c r="G333" s="10">
        <v>1.0113102708568999E-2</v>
      </c>
      <c r="H333" s="10" t="s">
        <v>680</v>
      </c>
      <c r="I333" s="10" t="s">
        <v>18</v>
      </c>
    </row>
    <row r="334" spans="1:9" x14ac:dyDescent="0.2">
      <c r="A334" s="10" t="s">
        <v>681</v>
      </c>
      <c r="B334" s="10">
        <v>722.70468776666598</v>
      </c>
      <c r="C334" s="10">
        <v>-1.4298155456438499</v>
      </c>
      <c r="D334" s="10">
        <v>0.21407388112616199</v>
      </c>
      <c r="E334" s="10">
        <v>-6.6790751777943598</v>
      </c>
      <c r="F334" s="4">
        <v>2.40454798580624E-11</v>
      </c>
      <c r="G334" s="4">
        <v>4.0643125911453297E-10</v>
      </c>
      <c r="H334" s="10" t="s">
        <v>682</v>
      </c>
      <c r="I334" s="10" t="s">
        <v>18</v>
      </c>
    </row>
    <row r="335" spans="1:9" x14ac:dyDescent="0.2">
      <c r="A335" s="10" t="s">
        <v>683</v>
      </c>
      <c r="B335" s="10">
        <v>933.02496625734705</v>
      </c>
      <c r="C335" s="10">
        <v>-2.4265036018797699</v>
      </c>
      <c r="D335" s="10">
        <v>0.21659916773882501</v>
      </c>
      <c r="E335" s="10">
        <v>-11.2027374214367</v>
      </c>
      <c r="F335" s="4">
        <v>3.9532581602549099E-29</v>
      </c>
      <c r="G335" s="4">
        <v>2.8800648420445299E-27</v>
      </c>
      <c r="H335" s="10" t="s">
        <v>684</v>
      </c>
      <c r="I335" s="10" t="s">
        <v>18</v>
      </c>
    </row>
    <row r="336" spans="1:9" x14ac:dyDescent="0.2">
      <c r="A336" s="10" t="s">
        <v>685</v>
      </c>
      <c r="B336" s="10">
        <v>143.996992959811</v>
      </c>
      <c r="C336" s="10">
        <v>-4.80541012992175</v>
      </c>
      <c r="D336" s="10">
        <v>0.44161474225108099</v>
      </c>
      <c r="E336" s="10">
        <v>-10.8814531540019</v>
      </c>
      <c r="F336" s="4">
        <v>1.41292324313206E-27</v>
      </c>
      <c r="G336" s="4">
        <v>9.3215301708521106E-26</v>
      </c>
      <c r="H336" s="10" t="s">
        <v>686</v>
      </c>
      <c r="I336" s="10" t="s">
        <v>18</v>
      </c>
    </row>
    <row r="337" spans="1:9" x14ac:dyDescent="0.2">
      <c r="A337" s="10" t="s">
        <v>687</v>
      </c>
      <c r="B337" s="10">
        <v>9.5451446550414794</v>
      </c>
      <c r="C337" s="10">
        <v>6.6535304851587798</v>
      </c>
      <c r="D337" s="10">
        <v>1.7842009133732999</v>
      </c>
      <c r="E337" s="10">
        <v>3.7291374728529099</v>
      </c>
      <c r="F337" s="10">
        <v>1.9213631437786801E-4</v>
      </c>
      <c r="G337" s="10">
        <v>1.02750503588886E-3</v>
      </c>
      <c r="H337" s="10" t="s">
        <v>688</v>
      </c>
      <c r="I337" s="10" t="s">
        <v>18</v>
      </c>
    </row>
    <row r="338" spans="1:9" x14ac:dyDescent="0.2">
      <c r="A338" s="10" t="s">
        <v>689</v>
      </c>
      <c r="B338" s="10">
        <v>75.394411824238702</v>
      </c>
      <c r="C338" s="10">
        <v>2.6194420498333</v>
      </c>
      <c r="D338" s="10">
        <v>0.46035593605828901</v>
      </c>
      <c r="E338" s="10">
        <v>5.6900364362883797</v>
      </c>
      <c r="F338" s="4">
        <v>1.2701226692947801E-8</v>
      </c>
      <c r="G338" s="4">
        <v>1.4878345816971201E-7</v>
      </c>
      <c r="H338" s="10" t="s">
        <v>690</v>
      </c>
      <c r="I338" s="10" t="s">
        <v>18</v>
      </c>
    </row>
    <row r="339" spans="1:9" x14ac:dyDescent="0.2">
      <c r="A339" s="10" t="s">
        <v>691</v>
      </c>
      <c r="B339" s="10">
        <v>2916.77852855437</v>
      </c>
      <c r="C339" s="10">
        <v>3.3859448197929098</v>
      </c>
      <c r="D339" s="10">
        <v>0.21513578750288201</v>
      </c>
      <c r="E339" s="10">
        <v>15.7386405074402</v>
      </c>
      <c r="F339" s="4">
        <v>8.2190560672590096E-56</v>
      </c>
      <c r="G339" s="4">
        <v>2.03586018786006E-53</v>
      </c>
      <c r="H339" s="10" t="s">
        <v>692</v>
      </c>
      <c r="I339" s="10" t="s">
        <v>18</v>
      </c>
    </row>
    <row r="340" spans="1:9" x14ac:dyDescent="0.2">
      <c r="A340" s="10" t="s">
        <v>693</v>
      </c>
      <c r="B340" s="10">
        <v>1344.80387130333</v>
      </c>
      <c r="C340" s="10">
        <v>-1.0879259433937301</v>
      </c>
      <c r="D340" s="10">
        <v>0.225231668141431</v>
      </c>
      <c r="E340" s="10">
        <v>-4.8302530118037801</v>
      </c>
      <c r="F340" s="4">
        <v>1.3635966642644301E-6</v>
      </c>
      <c r="G340" s="4">
        <v>1.1424944130139201E-5</v>
      </c>
      <c r="H340" s="10" t="s">
        <v>694</v>
      </c>
      <c r="I340" s="10" t="s">
        <v>18</v>
      </c>
    </row>
    <row r="341" spans="1:9" x14ac:dyDescent="0.2">
      <c r="A341" s="10" t="s">
        <v>695</v>
      </c>
      <c r="B341" s="10">
        <v>187.13574100950899</v>
      </c>
      <c r="C341" s="10">
        <v>-1.02038901523659</v>
      </c>
      <c r="D341" s="10">
        <v>0.30142454916476702</v>
      </c>
      <c r="E341" s="10">
        <v>-3.38522200021213</v>
      </c>
      <c r="F341" s="10">
        <v>7.1120709420561504E-4</v>
      </c>
      <c r="G341" s="10">
        <v>3.28389420366385E-3</v>
      </c>
      <c r="H341" s="10" t="s">
        <v>696</v>
      </c>
      <c r="I341" s="10" t="s">
        <v>18</v>
      </c>
    </row>
    <row r="342" spans="1:9" x14ac:dyDescent="0.2">
      <c r="A342" s="10" t="s">
        <v>697</v>
      </c>
      <c r="B342" s="10">
        <v>42742.780474279702</v>
      </c>
      <c r="C342" s="10">
        <v>-2.04709193525514</v>
      </c>
      <c r="D342" s="10">
        <v>0.22840944103257901</v>
      </c>
      <c r="E342" s="10">
        <v>-8.9623788141189795</v>
      </c>
      <c r="F342" s="4">
        <v>3.1774810751293398E-19</v>
      </c>
      <c r="G342" s="4">
        <v>1.13468973596395E-17</v>
      </c>
      <c r="H342" s="10" t="s">
        <v>698</v>
      </c>
      <c r="I342" s="10" t="s">
        <v>18</v>
      </c>
    </row>
    <row r="343" spans="1:9" x14ac:dyDescent="0.2">
      <c r="A343" s="10" t="s">
        <v>699</v>
      </c>
      <c r="B343" s="10">
        <v>4.2214862794873804</v>
      </c>
      <c r="C343" s="10">
        <v>5.4755790109220799</v>
      </c>
      <c r="D343" s="10">
        <v>2.12353005238585</v>
      </c>
      <c r="E343" s="10">
        <v>2.5785267341849498</v>
      </c>
      <c r="F343" s="10">
        <v>9.9222621654522294E-3</v>
      </c>
      <c r="G343" s="10">
        <v>3.16053164860974E-2</v>
      </c>
      <c r="H343" s="10" t="s">
        <v>700</v>
      </c>
      <c r="I343" s="10" t="s">
        <v>18</v>
      </c>
    </row>
    <row r="344" spans="1:9" x14ac:dyDescent="0.2">
      <c r="A344" s="10" t="s">
        <v>701</v>
      </c>
      <c r="B344" s="10">
        <v>510.25190801470001</v>
      </c>
      <c r="C344" s="10">
        <v>-2.4090354782088199</v>
      </c>
      <c r="D344" s="10">
        <v>0.23312957761651601</v>
      </c>
      <c r="E344" s="10">
        <v>-10.3334613429941</v>
      </c>
      <c r="F344" s="4">
        <v>4.9732907644059399E-25</v>
      </c>
      <c r="G344" s="4">
        <v>2.7767879806919802E-23</v>
      </c>
      <c r="H344" s="10" t="s">
        <v>702</v>
      </c>
      <c r="I344" s="10" t="s">
        <v>18</v>
      </c>
    </row>
    <row r="345" spans="1:9" x14ac:dyDescent="0.2">
      <c r="A345" s="10" t="s">
        <v>703</v>
      </c>
      <c r="B345" s="10">
        <v>147.30814515325901</v>
      </c>
      <c r="C345" s="10">
        <v>10.599883587687399</v>
      </c>
      <c r="D345" s="10">
        <v>1.4782547512166599</v>
      </c>
      <c r="E345" s="10">
        <v>7.17053916381004</v>
      </c>
      <c r="F345" s="4">
        <v>7.4702971156802204E-13</v>
      </c>
      <c r="G345" s="4">
        <v>1.5066112917167899E-11</v>
      </c>
      <c r="H345" s="10" t="s">
        <v>704</v>
      </c>
      <c r="I345" s="10" t="s">
        <v>18</v>
      </c>
    </row>
    <row r="346" spans="1:9" x14ac:dyDescent="0.2">
      <c r="A346" s="10" t="s">
        <v>705</v>
      </c>
      <c r="B346" s="10">
        <v>12.223844636818001</v>
      </c>
      <c r="C346" s="10">
        <v>3.0847964002005899</v>
      </c>
      <c r="D346" s="10">
        <v>1.0908045099472099</v>
      </c>
      <c r="E346" s="10">
        <v>2.82800114234022</v>
      </c>
      <c r="F346" s="10">
        <v>4.6839639396013899E-3</v>
      </c>
      <c r="G346" s="10">
        <v>1.6790417769019801E-2</v>
      </c>
      <c r="H346" s="10" t="s">
        <v>706</v>
      </c>
      <c r="I346" s="10" t="s">
        <v>18</v>
      </c>
    </row>
    <row r="347" spans="1:9" x14ac:dyDescent="0.2">
      <c r="A347" s="10" t="s">
        <v>707</v>
      </c>
      <c r="B347" s="10">
        <v>1819.30277535763</v>
      </c>
      <c r="C347" s="10">
        <v>-1.7445201490064799</v>
      </c>
      <c r="D347" s="10">
        <v>0.18955330512926499</v>
      </c>
      <c r="E347" s="10">
        <v>-9.2033222412915094</v>
      </c>
      <c r="F347" s="4">
        <v>3.4705023047087199E-20</v>
      </c>
      <c r="G347" s="4">
        <v>1.3645133664704E-18</v>
      </c>
      <c r="H347" s="10" t="s">
        <v>708</v>
      </c>
      <c r="I347" s="10" t="s">
        <v>18</v>
      </c>
    </row>
    <row r="348" spans="1:9" x14ac:dyDescent="0.2">
      <c r="A348" s="10" t="s">
        <v>709</v>
      </c>
      <c r="B348" s="10">
        <v>33.026342243936497</v>
      </c>
      <c r="C348" s="10">
        <v>4.6187809731652596</v>
      </c>
      <c r="D348" s="10">
        <v>0.873258839679383</v>
      </c>
      <c r="E348" s="10">
        <v>5.2891316563838604</v>
      </c>
      <c r="F348" s="4">
        <v>1.2289840871085701E-7</v>
      </c>
      <c r="G348" s="4">
        <v>1.2315604789057399E-6</v>
      </c>
      <c r="H348" s="10" t="s">
        <v>710</v>
      </c>
      <c r="I348" s="10" t="s">
        <v>18</v>
      </c>
    </row>
    <row r="349" spans="1:9" x14ac:dyDescent="0.2">
      <c r="A349" s="10" t="s">
        <v>711</v>
      </c>
      <c r="B349" s="10">
        <v>16.221636069936601</v>
      </c>
      <c r="C349" s="10">
        <v>7.4154196579656597</v>
      </c>
      <c r="D349" s="10">
        <v>1.6502374060516301</v>
      </c>
      <c r="E349" s="10">
        <v>4.4935471894967201</v>
      </c>
      <c r="F349" s="4">
        <v>7.0046490362251899E-6</v>
      </c>
      <c r="G349" s="4">
        <v>5.1263946357783398E-5</v>
      </c>
      <c r="H349" s="10" t="s">
        <v>712</v>
      </c>
      <c r="I349" s="10" t="s">
        <v>18</v>
      </c>
    </row>
    <row r="350" spans="1:9" x14ac:dyDescent="0.2">
      <c r="A350" s="10" t="s">
        <v>713</v>
      </c>
      <c r="B350" s="10">
        <v>5.24817637556772</v>
      </c>
      <c r="C350" s="10">
        <v>5.7873700827091596</v>
      </c>
      <c r="D350" s="10">
        <v>2.00710138519183</v>
      </c>
      <c r="E350" s="10">
        <v>2.88344680812226</v>
      </c>
      <c r="F350" s="10">
        <v>3.9334907211268401E-3</v>
      </c>
      <c r="G350" s="10">
        <v>1.44441808192106E-2</v>
      </c>
      <c r="H350" s="10" t="s">
        <v>714</v>
      </c>
      <c r="I350" s="10" t="s">
        <v>18</v>
      </c>
    </row>
    <row r="351" spans="1:9" x14ac:dyDescent="0.2">
      <c r="A351" s="10" t="s">
        <v>715</v>
      </c>
      <c r="B351" s="10">
        <v>5.83700342359427</v>
      </c>
      <c r="C351" s="10">
        <v>5.9436446019079803</v>
      </c>
      <c r="D351" s="10">
        <v>1.9625007119999101</v>
      </c>
      <c r="E351" s="10">
        <v>3.0286076155616</v>
      </c>
      <c r="F351" s="10">
        <v>2.4568355655680998E-3</v>
      </c>
      <c r="G351" s="10">
        <v>9.6138731373020102E-3</v>
      </c>
      <c r="H351" s="10" t="s">
        <v>716</v>
      </c>
      <c r="I351" s="10" t="s">
        <v>18</v>
      </c>
    </row>
    <row r="352" spans="1:9" x14ac:dyDescent="0.2">
      <c r="A352" s="10" t="s">
        <v>717</v>
      </c>
      <c r="B352" s="10">
        <v>2139.2099499096798</v>
      </c>
      <c r="C352" s="10">
        <v>-1.51061267310224</v>
      </c>
      <c r="D352" s="10">
        <v>0.18347665213272399</v>
      </c>
      <c r="E352" s="10">
        <v>-8.23326922277551</v>
      </c>
      <c r="F352" s="4">
        <v>1.8217214877804999E-16</v>
      </c>
      <c r="G352" s="4">
        <v>5.1812573463001404E-15</v>
      </c>
      <c r="H352" s="10" t="s">
        <v>718</v>
      </c>
      <c r="I352" s="10" t="s">
        <v>18</v>
      </c>
    </row>
    <row r="353" spans="1:9" x14ac:dyDescent="0.2">
      <c r="A353" s="10" t="s">
        <v>719</v>
      </c>
      <c r="B353" s="10">
        <v>879.980257466936</v>
      </c>
      <c r="C353" s="10">
        <v>-1.65399924906133</v>
      </c>
      <c r="D353" s="10">
        <v>0.21361690641171199</v>
      </c>
      <c r="E353" s="10">
        <v>-7.7428293333371103</v>
      </c>
      <c r="F353" s="4">
        <v>9.7228514023723599E-15</v>
      </c>
      <c r="G353" s="4">
        <v>2.3444117890304398E-13</v>
      </c>
      <c r="H353" s="10" t="s">
        <v>720</v>
      </c>
      <c r="I353" s="10" t="s">
        <v>18</v>
      </c>
    </row>
    <row r="354" spans="1:9" x14ac:dyDescent="0.2">
      <c r="A354" s="10" t="s">
        <v>721</v>
      </c>
      <c r="B354" s="10">
        <v>1782.4458049325301</v>
      </c>
      <c r="C354" s="10">
        <v>-1.3497953833662399</v>
      </c>
      <c r="D354" s="10">
        <v>0.19834724725960801</v>
      </c>
      <c r="E354" s="10">
        <v>-6.8052135939126703</v>
      </c>
      <c r="F354" s="4">
        <v>1.00899422443144E-11</v>
      </c>
      <c r="G354" s="4">
        <v>1.78519906708335E-10</v>
      </c>
      <c r="H354" s="10" t="s">
        <v>722</v>
      </c>
      <c r="I354" s="10" t="s">
        <v>18</v>
      </c>
    </row>
    <row r="355" spans="1:9" x14ac:dyDescent="0.2">
      <c r="A355" s="10" t="s">
        <v>723</v>
      </c>
      <c r="B355" s="10">
        <v>9440.0967815511103</v>
      </c>
      <c r="C355" s="10">
        <v>1.1762733421534699</v>
      </c>
      <c r="D355" s="10">
        <v>0.17396881691176999</v>
      </c>
      <c r="E355" s="10">
        <v>6.7614033539701897</v>
      </c>
      <c r="F355" s="4">
        <v>1.3666146658841599E-11</v>
      </c>
      <c r="G355" s="4">
        <v>2.3641999873870399E-10</v>
      </c>
      <c r="H355" s="10" t="s">
        <v>724</v>
      </c>
      <c r="I355" s="10" t="s">
        <v>18</v>
      </c>
    </row>
    <row r="356" spans="1:9" x14ac:dyDescent="0.2">
      <c r="A356" s="10" t="s">
        <v>725</v>
      </c>
      <c r="B356" s="10">
        <v>17.55012963591</v>
      </c>
      <c r="C356" s="10">
        <v>6.0640887043370002</v>
      </c>
      <c r="D356" s="10">
        <v>1.6249464255333499</v>
      </c>
      <c r="E356" s="10">
        <v>3.7318699306326999</v>
      </c>
      <c r="F356" s="10">
        <v>1.9006363843152799E-4</v>
      </c>
      <c r="G356" s="10">
        <v>1.0176191700420199E-3</v>
      </c>
      <c r="H356" s="10" t="s">
        <v>726</v>
      </c>
      <c r="I356" s="10" t="s">
        <v>18</v>
      </c>
    </row>
    <row r="357" spans="1:9" x14ac:dyDescent="0.2">
      <c r="A357" s="10" t="s">
        <v>727</v>
      </c>
      <c r="B357" s="10">
        <v>16.644058062366501</v>
      </c>
      <c r="C357" s="10">
        <v>2.6123031978350699</v>
      </c>
      <c r="D357" s="10">
        <v>0.96506306127837804</v>
      </c>
      <c r="E357" s="10">
        <v>2.7068730559168501</v>
      </c>
      <c r="F357" s="10">
        <v>6.7920223375905198E-3</v>
      </c>
      <c r="G357" s="10">
        <v>2.2989097221407299E-2</v>
      </c>
      <c r="H357" s="10" t="s">
        <v>728</v>
      </c>
      <c r="I357" s="10" t="s">
        <v>18</v>
      </c>
    </row>
    <row r="358" spans="1:9" x14ac:dyDescent="0.2">
      <c r="A358" s="10" t="s">
        <v>729</v>
      </c>
      <c r="B358" s="10">
        <v>675.35798520002197</v>
      </c>
      <c r="C358" s="10">
        <v>3.4079809349454702</v>
      </c>
      <c r="D358" s="10">
        <v>0.233397805785829</v>
      </c>
      <c r="E358" s="10">
        <v>14.6015980033365</v>
      </c>
      <c r="F358" s="4">
        <v>2.7433875556617601E-48</v>
      </c>
      <c r="G358" s="4">
        <v>5.0506135627781001E-46</v>
      </c>
      <c r="H358" s="10" t="s">
        <v>730</v>
      </c>
      <c r="I358" s="10" t="s">
        <v>18</v>
      </c>
    </row>
    <row r="359" spans="1:9" x14ac:dyDescent="0.2">
      <c r="A359" s="10" t="s">
        <v>731</v>
      </c>
      <c r="B359" s="10">
        <v>408.98164575108802</v>
      </c>
      <c r="C359" s="10">
        <v>-1.5424990438417601</v>
      </c>
      <c r="D359" s="10">
        <v>0.26575908762904599</v>
      </c>
      <c r="E359" s="10">
        <v>-5.8041252986043501</v>
      </c>
      <c r="F359" s="4">
        <v>6.4702879703594098E-9</v>
      </c>
      <c r="G359" s="4">
        <v>7.8844336461709694E-8</v>
      </c>
      <c r="H359" s="10" t="s">
        <v>732</v>
      </c>
      <c r="I359" s="10" t="s">
        <v>18</v>
      </c>
    </row>
    <row r="360" spans="1:9" x14ac:dyDescent="0.2">
      <c r="A360" s="10" t="s">
        <v>733</v>
      </c>
      <c r="B360" s="10">
        <v>16.423493536423099</v>
      </c>
      <c r="C360" s="10">
        <v>4.3281606374810604</v>
      </c>
      <c r="D360" s="10">
        <v>1.1588738393418001</v>
      </c>
      <c r="E360" s="10">
        <v>3.7347988111797199</v>
      </c>
      <c r="F360" s="10">
        <v>1.87865312627777E-4</v>
      </c>
      <c r="G360" s="10">
        <v>1.0078295280899899E-3</v>
      </c>
      <c r="H360" s="10" t="s">
        <v>734</v>
      </c>
      <c r="I360" s="10" t="s">
        <v>18</v>
      </c>
    </row>
    <row r="361" spans="1:9" x14ac:dyDescent="0.2">
      <c r="A361" s="10" t="s">
        <v>735</v>
      </c>
      <c r="B361" s="10">
        <v>7.7758256195514699</v>
      </c>
      <c r="C361" s="10">
        <v>4.8641152818390303</v>
      </c>
      <c r="D361" s="10">
        <v>1.8314780453770101</v>
      </c>
      <c r="E361" s="10">
        <v>2.65584143589215</v>
      </c>
      <c r="F361" s="10">
        <v>7.9110802726616702E-3</v>
      </c>
      <c r="G361" s="10">
        <v>2.61403352157667E-2</v>
      </c>
      <c r="H361" s="10" t="s">
        <v>736</v>
      </c>
      <c r="I361" s="10" t="s">
        <v>18</v>
      </c>
    </row>
    <row r="362" spans="1:9" x14ac:dyDescent="0.2">
      <c r="A362" s="10" t="s">
        <v>737</v>
      </c>
      <c r="B362" s="10">
        <v>4.8103133275139296</v>
      </c>
      <c r="C362" s="10">
        <v>5.6669478024759599</v>
      </c>
      <c r="D362" s="10">
        <v>2.07746699132823</v>
      </c>
      <c r="E362" s="10">
        <v>2.72781605008934</v>
      </c>
      <c r="F362" s="10">
        <v>6.3755150062626597E-3</v>
      </c>
      <c r="G362" s="10">
        <v>2.17877407971452E-2</v>
      </c>
      <c r="H362" s="10" t="s">
        <v>738</v>
      </c>
      <c r="I362" s="10" t="s">
        <v>18</v>
      </c>
    </row>
    <row r="363" spans="1:9" x14ac:dyDescent="0.2">
      <c r="A363" s="10" t="s">
        <v>739</v>
      </c>
      <c r="B363" s="10">
        <v>1328.32044285593</v>
      </c>
      <c r="C363" s="10">
        <v>-1.0045888799189799</v>
      </c>
      <c r="D363" s="10">
        <v>0.20815333812599399</v>
      </c>
      <c r="E363" s="10">
        <v>-4.8261963462287101</v>
      </c>
      <c r="F363" s="4">
        <v>1.39165312901758E-6</v>
      </c>
      <c r="G363" s="4">
        <v>1.1649269679367701E-5</v>
      </c>
      <c r="H363" s="10" t="s">
        <v>740</v>
      </c>
      <c r="I363" s="10" t="s">
        <v>18</v>
      </c>
    </row>
    <row r="364" spans="1:9" x14ac:dyDescent="0.2">
      <c r="A364" s="10" t="s">
        <v>741</v>
      </c>
      <c r="B364" s="10">
        <v>115.504501694067</v>
      </c>
      <c r="C364" s="10">
        <v>-2.2824535630523699</v>
      </c>
      <c r="D364" s="10">
        <v>0.37933176795412599</v>
      </c>
      <c r="E364" s="10">
        <v>-6.01703773813216</v>
      </c>
      <c r="F364" s="4">
        <v>1.7763768053875401E-9</v>
      </c>
      <c r="G364" s="4">
        <v>2.3258500152039601E-8</v>
      </c>
      <c r="H364" s="10" t="s">
        <v>742</v>
      </c>
      <c r="I364" s="10" t="s">
        <v>18</v>
      </c>
    </row>
    <row r="365" spans="1:9" x14ac:dyDescent="0.2">
      <c r="A365" s="10" t="s">
        <v>743</v>
      </c>
      <c r="B365" s="10">
        <v>25.50089557063</v>
      </c>
      <c r="C365" s="10">
        <v>2.06179790216237</v>
      </c>
      <c r="D365" s="10">
        <v>0.75486580603120501</v>
      </c>
      <c r="E365" s="10">
        <v>2.7313436185466</v>
      </c>
      <c r="F365" s="10">
        <v>6.3076667934110903E-3</v>
      </c>
      <c r="G365" s="10">
        <v>2.15965062980739E-2</v>
      </c>
      <c r="H365" s="10" t="s">
        <v>744</v>
      </c>
      <c r="I365" s="10" t="s">
        <v>18</v>
      </c>
    </row>
    <row r="366" spans="1:9" x14ac:dyDescent="0.2">
      <c r="A366" s="10" t="s">
        <v>745</v>
      </c>
      <c r="B366" s="10">
        <v>1211.3822206902901</v>
      </c>
      <c r="C366" s="10">
        <v>-1.14340406859774</v>
      </c>
      <c r="D366" s="10">
        <v>0.20520429033139401</v>
      </c>
      <c r="E366" s="10">
        <v>-5.5720280835805402</v>
      </c>
      <c r="F366" s="4">
        <v>2.51790819354546E-8</v>
      </c>
      <c r="G366" s="4">
        <v>2.8325947378007103E-7</v>
      </c>
      <c r="H366" s="10" t="s">
        <v>746</v>
      </c>
      <c r="I366" s="10" t="s">
        <v>18</v>
      </c>
    </row>
    <row r="367" spans="1:9" x14ac:dyDescent="0.2">
      <c r="A367" s="10" t="s">
        <v>747</v>
      </c>
      <c r="B367" s="10">
        <v>308.31054445023602</v>
      </c>
      <c r="C367" s="10">
        <v>-1.1466023882674099</v>
      </c>
      <c r="D367" s="10">
        <v>0.26401685346734999</v>
      </c>
      <c r="E367" s="10">
        <v>-4.3429136178581498</v>
      </c>
      <c r="F367" s="4">
        <v>1.4060542972385199E-5</v>
      </c>
      <c r="G367" s="4">
        <v>9.6695510946133095E-5</v>
      </c>
      <c r="H367" s="10" t="s">
        <v>748</v>
      </c>
      <c r="I367" s="10" t="s">
        <v>18</v>
      </c>
    </row>
    <row r="368" spans="1:9" x14ac:dyDescent="0.2">
      <c r="A368" s="10" t="s">
        <v>749</v>
      </c>
      <c r="B368" s="10">
        <v>2447.2900060380398</v>
      </c>
      <c r="C368" s="10">
        <v>1.5210606633775099</v>
      </c>
      <c r="D368" s="10">
        <v>0.17907307276197501</v>
      </c>
      <c r="E368" s="10">
        <v>8.4940780873253399</v>
      </c>
      <c r="F368" s="4">
        <v>1.99510145683133E-17</v>
      </c>
      <c r="G368" s="4">
        <v>6.1843605681778596E-16</v>
      </c>
      <c r="H368" s="10" t="s">
        <v>750</v>
      </c>
      <c r="I368" s="10" t="s">
        <v>18</v>
      </c>
    </row>
    <row r="369" spans="1:9" x14ac:dyDescent="0.2">
      <c r="A369" s="10" t="s">
        <v>751</v>
      </c>
      <c r="B369" s="10">
        <v>2883.4861559780102</v>
      </c>
      <c r="C369" s="10">
        <v>6.0331477837830301</v>
      </c>
      <c r="D369" s="10">
        <v>0.21421608439804701</v>
      </c>
      <c r="E369" s="10">
        <v>28.163841201450101</v>
      </c>
      <c r="F369" s="4">
        <v>1.6221355563694399E-174</v>
      </c>
      <c r="G369" s="4">
        <v>1.47327758347994E-170</v>
      </c>
      <c r="H369" s="10" t="s">
        <v>752</v>
      </c>
      <c r="I369" s="10" t="s">
        <v>18</v>
      </c>
    </row>
    <row r="370" spans="1:9" x14ac:dyDescent="0.2">
      <c r="A370" s="10" t="s">
        <v>753</v>
      </c>
      <c r="B370" s="10">
        <v>17.5774748996505</v>
      </c>
      <c r="C370" s="10">
        <v>7.5300668427267397</v>
      </c>
      <c r="D370" s="10">
        <v>1.64039573160332</v>
      </c>
      <c r="E370" s="10">
        <v>4.5903965108265998</v>
      </c>
      <c r="F370" s="4">
        <v>4.4240476913213497E-6</v>
      </c>
      <c r="G370" s="4">
        <v>3.3774734504184097E-5</v>
      </c>
      <c r="H370" s="10" t="s">
        <v>754</v>
      </c>
      <c r="I370" s="10" t="s">
        <v>18</v>
      </c>
    </row>
    <row r="371" spans="1:9" x14ac:dyDescent="0.2">
      <c r="A371" s="10" t="s">
        <v>755</v>
      </c>
      <c r="B371" s="10">
        <v>8.03834182535482</v>
      </c>
      <c r="C371" s="10">
        <v>6.4036527535552104</v>
      </c>
      <c r="D371" s="10">
        <v>1.83147432600908</v>
      </c>
      <c r="E371" s="10">
        <v>3.4964469130775302</v>
      </c>
      <c r="F371" s="10">
        <v>4.7149830009777702E-4</v>
      </c>
      <c r="G371" s="10">
        <v>2.27419263281362E-3</v>
      </c>
      <c r="H371" s="10" t="s">
        <v>756</v>
      </c>
      <c r="I371" s="10" t="s">
        <v>18</v>
      </c>
    </row>
    <row r="372" spans="1:9" x14ac:dyDescent="0.2">
      <c r="A372" s="10" t="s">
        <v>757</v>
      </c>
      <c r="B372" s="10">
        <v>5.4293668996014297</v>
      </c>
      <c r="C372" s="10">
        <v>5.8322105786942098</v>
      </c>
      <c r="D372" s="10">
        <v>2.0243950943545901</v>
      </c>
      <c r="E372" s="10">
        <v>2.8809645878704302</v>
      </c>
      <c r="F372" s="10">
        <v>3.9646018122070003E-3</v>
      </c>
      <c r="G372" s="10">
        <v>1.45368733114257E-2</v>
      </c>
      <c r="H372" s="10" t="s">
        <v>758</v>
      </c>
      <c r="I372" s="10" t="s">
        <v>18</v>
      </c>
    </row>
    <row r="373" spans="1:9" x14ac:dyDescent="0.2">
      <c r="A373" s="10" t="s">
        <v>759</v>
      </c>
      <c r="B373" s="10">
        <v>14.3977132447855</v>
      </c>
      <c r="C373" s="10">
        <v>2.7950698850193101</v>
      </c>
      <c r="D373" s="10">
        <v>0.99216603983030005</v>
      </c>
      <c r="E373" s="10">
        <v>2.8171392416307399</v>
      </c>
      <c r="F373" s="10">
        <v>4.8453514303882896E-3</v>
      </c>
      <c r="G373" s="10">
        <v>1.72757511677296E-2</v>
      </c>
      <c r="H373" s="10" t="s">
        <v>760</v>
      </c>
      <c r="I373" s="10" t="s">
        <v>18</v>
      </c>
    </row>
    <row r="374" spans="1:9" x14ac:dyDescent="0.2">
      <c r="A374" s="10" t="s">
        <v>761</v>
      </c>
      <c r="B374" s="10">
        <v>12.081518841128901</v>
      </c>
      <c r="C374" s="10">
        <v>5.5151314596374297</v>
      </c>
      <c r="D374" s="10">
        <v>1.69852019046753</v>
      </c>
      <c r="E374" s="10">
        <v>3.2470214311196099</v>
      </c>
      <c r="F374" s="10">
        <v>1.1661960795502401E-3</v>
      </c>
      <c r="G374" s="10">
        <v>5.0501183374929096E-3</v>
      </c>
      <c r="H374" s="10" t="s">
        <v>762</v>
      </c>
      <c r="I374" s="10" t="s">
        <v>18</v>
      </c>
    </row>
    <row r="375" spans="1:9" x14ac:dyDescent="0.2">
      <c r="A375" s="10" t="s">
        <v>763</v>
      </c>
      <c r="B375" s="10">
        <v>12.809411257689099</v>
      </c>
      <c r="C375" s="10">
        <v>7.0754431621666098</v>
      </c>
      <c r="D375" s="10">
        <v>1.69865950905401</v>
      </c>
      <c r="E375" s="10">
        <v>4.1653098366411001</v>
      </c>
      <c r="F375" s="4">
        <v>3.1093000257030598E-5</v>
      </c>
      <c r="G375" s="10">
        <v>1.9845185711016899E-4</v>
      </c>
      <c r="H375" s="10" t="s">
        <v>764</v>
      </c>
      <c r="I375" s="10" t="s">
        <v>18</v>
      </c>
    </row>
    <row r="376" spans="1:9" x14ac:dyDescent="0.2">
      <c r="A376" s="10" t="s">
        <v>765</v>
      </c>
      <c r="B376" s="10">
        <v>2334.39320091226</v>
      </c>
      <c r="C376" s="10">
        <v>1.38195232844797</v>
      </c>
      <c r="D376" s="10">
        <v>0.192938053012156</v>
      </c>
      <c r="E376" s="10">
        <v>7.16267375394788</v>
      </c>
      <c r="F376" s="4">
        <v>7.9118488735047202E-13</v>
      </c>
      <c r="G376" s="4">
        <v>1.5862703918792E-11</v>
      </c>
      <c r="H376" s="10" t="s">
        <v>766</v>
      </c>
      <c r="I376" s="10" t="s">
        <v>18</v>
      </c>
    </row>
    <row r="377" spans="1:9" x14ac:dyDescent="0.2">
      <c r="A377" s="10" t="s">
        <v>767</v>
      </c>
      <c r="B377" s="10">
        <v>730.55201962191597</v>
      </c>
      <c r="C377" s="10">
        <v>-1.62231033715502</v>
      </c>
      <c r="D377" s="10">
        <v>0.228140883714822</v>
      </c>
      <c r="E377" s="10">
        <v>-7.1110022488688198</v>
      </c>
      <c r="F377" s="4">
        <v>1.15203262572753E-12</v>
      </c>
      <c r="G377" s="4">
        <v>2.2598583839595499E-11</v>
      </c>
      <c r="H377" s="10" t="s">
        <v>768</v>
      </c>
      <c r="I377" s="10" t="s">
        <v>18</v>
      </c>
    </row>
    <row r="378" spans="1:9" x14ac:dyDescent="0.2">
      <c r="A378" s="10" t="s">
        <v>769</v>
      </c>
      <c r="B378" s="10">
        <v>802.151587531313</v>
      </c>
      <c r="C378" s="10">
        <v>-1.83975169198958</v>
      </c>
      <c r="D378" s="10">
        <v>0.25280739934128499</v>
      </c>
      <c r="E378" s="10">
        <v>-7.2772857787519003</v>
      </c>
      <c r="F378" s="4">
        <v>3.4060324527238501E-13</v>
      </c>
      <c r="G378" s="4">
        <v>7.1608152962474401E-12</v>
      </c>
      <c r="H378" s="10" t="s">
        <v>770</v>
      </c>
      <c r="I378" s="10" t="s">
        <v>18</v>
      </c>
    </row>
    <row r="379" spans="1:9" x14ac:dyDescent="0.2">
      <c r="A379" s="10" t="s">
        <v>771</v>
      </c>
      <c r="B379" s="10">
        <v>18.1987863604264</v>
      </c>
      <c r="C379" s="10">
        <v>3.1706874315906801</v>
      </c>
      <c r="D379" s="10">
        <v>0.94708602130876895</v>
      </c>
      <c r="E379" s="10">
        <v>3.3478346847619398</v>
      </c>
      <c r="F379" s="10">
        <v>8.1445579030315002E-4</v>
      </c>
      <c r="G379" s="10">
        <v>3.68812978533986E-3</v>
      </c>
      <c r="H379" s="10" t="s">
        <v>772</v>
      </c>
      <c r="I379" s="10" t="s">
        <v>18</v>
      </c>
    </row>
    <row r="380" spans="1:9" x14ac:dyDescent="0.2">
      <c r="A380" s="10" t="s">
        <v>773</v>
      </c>
      <c r="B380" s="10">
        <v>259.63311035831498</v>
      </c>
      <c r="C380" s="10">
        <v>1.0224696586889901</v>
      </c>
      <c r="D380" s="10">
        <v>0.32591248044629201</v>
      </c>
      <c r="E380" s="10">
        <v>3.1372522380513401</v>
      </c>
      <c r="F380" s="10">
        <v>1.7053934175164901E-3</v>
      </c>
      <c r="G380" s="10">
        <v>7.04152936652719E-3</v>
      </c>
      <c r="H380" s="10" t="s">
        <v>774</v>
      </c>
      <c r="I380" s="10" t="s">
        <v>18</v>
      </c>
    </row>
    <row r="381" spans="1:9" x14ac:dyDescent="0.2">
      <c r="A381" s="10" t="s">
        <v>775</v>
      </c>
      <c r="B381" s="10">
        <v>36.268982734574401</v>
      </c>
      <c r="C381" s="10">
        <v>4.4808040259653303</v>
      </c>
      <c r="D381" s="10">
        <v>0.82248050185682897</v>
      </c>
      <c r="E381" s="10">
        <v>5.4479151978064904</v>
      </c>
      <c r="F381" s="4">
        <v>5.0963644835351997E-8</v>
      </c>
      <c r="G381" s="4">
        <v>5.4455154150150398E-7</v>
      </c>
      <c r="H381" s="10" t="s">
        <v>776</v>
      </c>
      <c r="I381" s="10" t="s">
        <v>18</v>
      </c>
    </row>
    <row r="382" spans="1:9" x14ac:dyDescent="0.2">
      <c r="A382" s="10" t="s">
        <v>777</v>
      </c>
      <c r="B382" s="10">
        <v>4.0372899650807801</v>
      </c>
      <c r="C382" s="10">
        <v>5.4095356733146298</v>
      </c>
      <c r="D382" s="10">
        <v>2.1467512296701501</v>
      </c>
      <c r="E382" s="10">
        <v>2.5198707696307201</v>
      </c>
      <c r="F382" s="10">
        <v>1.17397926988685E-2</v>
      </c>
      <c r="G382" s="10">
        <v>3.6345203007166198E-2</v>
      </c>
      <c r="H382" s="10" t="s">
        <v>778</v>
      </c>
      <c r="I382" s="10" t="s">
        <v>18</v>
      </c>
    </row>
    <row r="383" spans="1:9" x14ac:dyDescent="0.2">
      <c r="A383" s="10" t="s">
        <v>779</v>
      </c>
      <c r="B383" s="10">
        <v>4.6623551179140703</v>
      </c>
      <c r="C383" s="10">
        <v>5.61968301665675</v>
      </c>
      <c r="D383" s="10">
        <v>2.07268783865596</v>
      </c>
      <c r="E383" s="10">
        <v>2.7113021613041601</v>
      </c>
      <c r="F383" s="10">
        <v>6.7019521803354997E-3</v>
      </c>
      <c r="G383" s="10">
        <v>2.27181004052751E-2</v>
      </c>
      <c r="H383" s="10" t="s">
        <v>780</v>
      </c>
      <c r="I383" s="10" t="s">
        <v>18</v>
      </c>
    </row>
    <row r="384" spans="1:9" x14ac:dyDescent="0.2">
      <c r="A384" s="10" t="s">
        <v>781</v>
      </c>
      <c r="B384" s="10">
        <v>4.6231112227344298</v>
      </c>
      <c r="C384" s="10">
        <v>5.6018746122246599</v>
      </c>
      <c r="D384" s="10">
        <v>2.0840292310307702</v>
      </c>
      <c r="E384" s="10">
        <v>2.68800193817528</v>
      </c>
      <c r="F384" s="10">
        <v>7.1880979433398204E-3</v>
      </c>
      <c r="G384" s="10">
        <v>2.4131851239795499E-2</v>
      </c>
      <c r="H384" s="10" t="s">
        <v>782</v>
      </c>
      <c r="I384" s="10" t="s">
        <v>18</v>
      </c>
    </row>
    <row r="385" spans="1:9" x14ac:dyDescent="0.2">
      <c r="A385" s="10" t="s">
        <v>783</v>
      </c>
      <c r="B385" s="10">
        <v>329.71601206660802</v>
      </c>
      <c r="C385" s="10">
        <v>-1.1695096516091199</v>
      </c>
      <c r="D385" s="10">
        <v>0.25208690339156298</v>
      </c>
      <c r="E385" s="10">
        <v>-4.6393114274268203</v>
      </c>
      <c r="F385" s="4">
        <v>3.49571939114079E-6</v>
      </c>
      <c r="G385" s="4">
        <v>2.7213676071546601E-5</v>
      </c>
      <c r="H385" s="10" t="s">
        <v>784</v>
      </c>
      <c r="I385" s="10" t="s">
        <v>18</v>
      </c>
    </row>
    <row r="386" spans="1:9" x14ac:dyDescent="0.2">
      <c r="A386" s="10" t="s">
        <v>785</v>
      </c>
      <c r="B386" s="10">
        <v>32.240408369103001</v>
      </c>
      <c r="C386" s="10">
        <v>-1.5827763265953301</v>
      </c>
      <c r="D386" s="10">
        <v>0.62717768231846904</v>
      </c>
      <c r="E386" s="10">
        <v>-2.5236489932874</v>
      </c>
      <c r="F386" s="10">
        <v>1.16143831677308E-2</v>
      </c>
      <c r="G386" s="10">
        <v>3.6038845025755897E-2</v>
      </c>
      <c r="H386" s="10" t="s">
        <v>786</v>
      </c>
      <c r="I386" s="10" t="s">
        <v>18</v>
      </c>
    </row>
    <row r="387" spans="1:9" x14ac:dyDescent="0.2">
      <c r="A387" s="10" t="s">
        <v>787</v>
      </c>
      <c r="B387" s="10">
        <v>1317.0590288036201</v>
      </c>
      <c r="C387" s="10">
        <v>1.0219440758262399</v>
      </c>
      <c r="D387" s="10">
        <v>0.231757684496295</v>
      </c>
      <c r="E387" s="10">
        <v>4.4095369611900797</v>
      </c>
      <c r="F387" s="4">
        <v>1.03591877496229E-5</v>
      </c>
      <c r="G387" s="4">
        <v>7.3389700627658305E-5</v>
      </c>
      <c r="H387" s="10" t="s">
        <v>788</v>
      </c>
      <c r="I387" s="10" t="s">
        <v>18</v>
      </c>
    </row>
    <row r="388" spans="1:9" x14ac:dyDescent="0.2">
      <c r="A388" s="10" t="s">
        <v>789</v>
      </c>
      <c r="B388" s="10">
        <v>19.225687724379299</v>
      </c>
      <c r="C388" s="10">
        <v>2.6815741766702499</v>
      </c>
      <c r="D388" s="10">
        <v>0.85738481443540604</v>
      </c>
      <c r="E388" s="10">
        <v>3.1276203304767898</v>
      </c>
      <c r="F388" s="10">
        <v>1.7622766574826401E-3</v>
      </c>
      <c r="G388" s="10">
        <v>7.2357974813787602E-3</v>
      </c>
      <c r="H388" s="10" t="s">
        <v>790</v>
      </c>
      <c r="I388" s="10" t="s">
        <v>18</v>
      </c>
    </row>
    <row r="389" spans="1:9" x14ac:dyDescent="0.2">
      <c r="A389" s="10" t="s">
        <v>791</v>
      </c>
      <c r="B389" s="10">
        <v>2075.1414839297299</v>
      </c>
      <c r="C389" s="10">
        <v>1.0709852782990701</v>
      </c>
      <c r="D389" s="10">
        <v>0.20569573313099199</v>
      </c>
      <c r="E389" s="10">
        <v>5.2066480038117398</v>
      </c>
      <c r="F389" s="4">
        <v>1.92282340027169E-7</v>
      </c>
      <c r="G389" s="4">
        <v>1.8644544194734099E-6</v>
      </c>
      <c r="H389" s="10" t="s">
        <v>792</v>
      </c>
      <c r="I389" s="10" t="s">
        <v>18</v>
      </c>
    </row>
    <row r="390" spans="1:9" x14ac:dyDescent="0.2">
      <c r="A390" s="10" t="s">
        <v>793</v>
      </c>
      <c r="B390" s="10">
        <v>1428.20112346156</v>
      </c>
      <c r="C390" s="10">
        <v>-1.0852462126709601</v>
      </c>
      <c r="D390" s="10">
        <v>0.229732994807963</v>
      </c>
      <c r="E390" s="10">
        <v>-4.7239457857506899</v>
      </c>
      <c r="F390" s="4">
        <v>2.3131210534490202E-6</v>
      </c>
      <c r="G390" s="4">
        <v>1.8571283946384101E-5</v>
      </c>
      <c r="H390" s="10" t="s">
        <v>794</v>
      </c>
      <c r="I390" s="10" t="s">
        <v>18</v>
      </c>
    </row>
    <row r="391" spans="1:9" x14ac:dyDescent="0.2">
      <c r="A391" s="10" t="s">
        <v>795</v>
      </c>
      <c r="B391" s="10">
        <v>20.103044585894001</v>
      </c>
      <c r="C391" s="10">
        <v>2.77495635476062</v>
      </c>
      <c r="D391" s="10">
        <v>0.87133295032552005</v>
      </c>
      <c r="E391" s="10">
        <v>3.1847256019916701</v>
      </c>
      <c r="F391" s="10">
        <v>1.4489132398351201E-3</v>
      </c>
      <c r="G391" s="10">
        <v>6.1041282745951204E-3</v>
      </c>
      <c r="H391" s="10" t="s">
        <v>796</v>
      </c>
      <c r="I391" s="10" t="s">
        <v>18</v>
      </c>
    </row>
    <row r="392" spans="1:9" x14ac:dyDescent="0.2">
      <c r="A392" s="10" t="s">
        <v>797</v>
      </c>
      <c r="B392" s="10">
        <v>1105.34423116227</v>
      </c>
      <c r="C392" s="10">
        <v>1.5613192793130599</v>
      </c>
      <c r="D392" s="10">
        <v>0.23675960527906501</v>
      </c>
      <c r="E392" s="10">
        <v>6.5945340526850504</v>
      </c>
      <c r="F392" s="4">
        <v>4.2659349492048798E-11</v>
      </c>
      <c r="G392" s="4">
        <v>6.9852121130399905E-10</v>
      </c>
      <c r="H392" s="10" t="s">
        <v>798</v>
      </c>
      <c r="I392" s="10" t="s">
        <v>18</v>
      </c>
    </row>
    <row r="393" spans="1:9" x14ac:dyDescent="0.2">
      <c r="A393" s="10" t="s">
        <v>799</v>
      </c>
      <c r="B393" s="10">
        <v>6.4953008908614098</v>
      </c>
      <c r="C393" s="10">
        <v>6.0938533645281696</v>
      </c>
      <c r="D393" s="10">
        <v>1.91564597028766</v>
      </c>
      <c r="E393" s="10">
        <v>3.1810958073913298</v>
      </c>
      <c r="F393" s="10">
        <v>1.4671909944337601E-3</v>
      </c>
      <c r="G393" s="10">
        <v>6.16731765278258E-3</v>
      </c>
      <c r="H393" s="10" t="s">
        <v>800</v>
      </c>
      <c r="I393" s="10" t="s">
        <v>18</v>
      </c>
    </row>
    <row r="394" spans="1:9" x14ac:dyDescent="0.2">
      <c r="A394" s="10" t="s">
        <v>801</v>
      </c>
      <c r="B394" s="10">
        <v>1646.04334101739</v>
      </c>
      <c r="C394" s="10">
        <v>1.11760835565394</v>
      </c>
      <c r="D394" s="10">
        <v>0.18881880907098</v>
      </c>
      <c r="E394" s="10">
        <v>5.9189461111038497</v>
      </c>
      <c r="F394" s="4">
        <v>3.24011098694873E-9</v>
      </c>
      <c r="G394" s="4">
        <v>4.1176914207738898E-8</v>
      </c>
      <c r="H394" s="10" t="s">
        <v>802</v>
      </c>
      <c r="I394" s="10" t="s">
        <v>18</v>
      </c>
    </row>
    <row r="395" spans="1:9" x14ac:dyDescent="0.2">
      <c r="A395" s="10" t="s">
        <v>803</v>
      </c>
      <c r="B395" s="10">
        <v>4.6231112227344298</v>
      </c>
      <c r="C395" s="10">
        <v>5.6018746122246599</v>
      </c>
      <c r="D395" s="10">
        <v>2.0840292310307702</v>
      </c>
      <c r="E395" s="10">
        <v>2.68800193817528</v>
      </c>
      <c r="F395" s="10">
        <v>7.1880979433398204E-3</v>
      </c>
      <c r="G395" s="10">
        <v>2.4131851239795499E-2</v>
      </c>
      <c r="H395" s="10" t="s">
        <v>804</v>
      </c>
      <c r="I395" s="10" t="s">
        <v>18</v>
      </c>
    </row>
    <row r="396" spans="1:9" x14ac:dyDescent="0.2">
      <c r="A396" s="10" t="s">
        <v>805</v>
      </c>
      <c r="B396" s="10">
        <v>4016.1515743557502</v>
      </c>
      <c r="C396" s="10">
        <v>3.2930710223923398</v>
      </c>
      <c r="D396" s="10">
        <v>0.20051445561515499</v>
      </c>
      <c r="E396" s="10">
        <v>16.423110305387102</v>
      </c>
      <c r="F396" s="4">
        <v>1.3069221277325901E-60</v>
      </c>
      <c r="G396" s="4">
        <v>3.9131546389373499E-58</v>
      </c>
      <c r="H396" s="10" t="s">
        <v>806</v>
      </c>
      <c r="I396" s="10" t="s">
        <v>18</v>
      </c>
    </row>
    <row r="397" spans="1:9" x14ac:dyDescent="0.2">
      <c r="A397" s="10" t="s">
        <v>807</v>
      </c>
      <c r="B397" s="10">
        <v>1003.0196459935401</v>
      </c>
      <c r="C397" s="10">
        <v>-2.06171292424234</v>
      </c>
      <c r="D397" s="10">
        <v>0.22118802493871301</v>
      </c>
      <c r="E397" s="10">
        <v>-9.3210874540500104</v>
      </c>
      <c r="F397" s="4">
        <v>1.1515392804859799E-20</v>
      </c>
      <c r="G397" s="4">
        <v>4.75393799627297E-19</v>
      </c>
      <c r="H397" s="10" t="s">
        <v>808</v>
      </c>
      <c r="I397" s="10" t="s">
        <v>18</v>
      </c>
    </row>
    <row r="398" spans="1:9" x14ac:dyDescent="0.2">
      <c r="A398" s="10" t="s">
        <v>809</v>
      </c>
      <c r="B398" s="10">
        <v>559.48664140342498</v>
      </c>
      <c r="C398" s="10">
        <v>1.44865845024692</v>
      </c>
      <c r="D398" s="10">
        <v>0.23805011618539301</v>
      </c>
      <c r="E398" s="10">
        <v>6.0855187700001201</v>
      </c>
      <c r="F398" s="4">
        <v>1.1611471954262599E-9</v>
      </c>
      <c r="G398" s="4">
        <v>1.5662266155336201E-8</v>
      </c>
      <c r="H398" s="10" t="s">
        <v>810</v>
      </c>
      <c r="I398" s="10" t="s">
        <v>18</v>
      </c>
    </row>
    <row r="399" spans="1:9" x14ac:dyDescent="0.2">
      <c r="A399" s="10" t="s">
        <v>811</v>
      </c>
      <c r="B399" s="10">
        <v>719.92461068000296</v>
      </c>
      <c r="C399" s="10">
        <v>-1.09333974474664</v>
      </c>
      <c r="D399" s="10">
        <v>0.20678569045515499</v>
      </c>
      <c r="E399" s="10">
        <v>-5.2873085286515398</v>
      </c>
      <c r="F399" s="4">
        <v>1.2412917949470901E-7</v>
      </c>
      <c r="G399" s="4">
        <v>1.24206674759175E-6</v>
      </c>
      <c r="H399" s="10" t="s">
        <v>812</v>
      </c>
      <c r="I399" s="10" t="s">
        <v>18</v>
      </c>
    </row>
    <row r="400" spans="1:9" x14ac:dyDescent="0.2">
      <c r="A400" s="10" t="s">
        <v>813</v>
      </c>
      <c r="B400" s="10">
        <v>23.387133059504201</v>
      </c>
      <c r="C400" s="10">
        <v>6.4845902960535504</v>
      </c>
      <c r="D400" s="10">
        <v>1.5833335261884101</v>
      </c>
      <c r="E400" s="10">
        <v>4.0955302144482699</v>
      </c>
      <c r="F400" s="4">
        <v>4.2120328697392103E-5</v>
      </c>
      <c r="G400" s="10">
        <v>2.6148384507127898E-4</v>
      </c>
      <c r="H400" s="10" t="s">
        <v>814</v>
      </c>
      <c r="I400" s="10" t="s">
        <v>18</v>
      </c>
    </row>
    <row r="401" spans="1:9" x14ac:dyDescent="0.2">
      <c r="A401" s="10" t="s">
        <v>815</v>
      </c>
      <c r="B401" s="10">
        <v>638.99245080666697</v>
      </c>
      <c r="C401" s="10">
        <v>1.6602142979194501</v>
      </c>
      <c r="D401" s="10">
        <v>0.236805761393658</v>
      </c>
      <c r="E401" s="10">
        <v>7.0108695335311904</v>
      </c>
      <c r="F401" s="4">
        <v>2.3684151318490701E-12</v>
      </c>
      <c r="G401" s="4">
        <v>4.4778129829227903E-11</v>
      </c>
      <c r="H401" s="10" t="s">
        <v>816</v>
      </c>
      <c r="I401" s="10" t="s">
        <v>18</v>
      </c>
    </row>
    <row r="402" spans="1:9" x14ac:dyDescent="0.2">
      <c r="A402" s="10" t="s">
        <v>817</v>
      </c>
      <c r="B402" s="10">
        <v>252.18954148611201</v>
      </c>
      <c r="C402" s="10">
        <v>1.16453501337203</v>
      </c>
      <c r="D402" s="10">
        <v>0.27729265347684101</v>
      </c>
      <c r="E402" s="10">
        <v>4.1996605347111897</v>
      </c>
      <c r="F402" s="4">
        <v>2.67315448237399E-5</v>
      </c>
      <c r="G402" s="10">
        <v>1.7312916610706899E-4</v>
      </c>
      <c r="H402" s="10" t="s">
        <v>818</v>
      </c>
      <c r="I402" s="10" t="s">
        <v>18</v>
      </c>
    </row>
    <row r="403" spans="1:9" x14ac:dyDescent="0.2">
      <c r="A403" s="10" t="s">
        <v>819</v>
      </c>
      <c r="B403" s="10">
        <v>73.508134540112707</v>
      </c>
      <c r="C403" s="10">
        <v>3.6520998661691699</v>
      </c>
      <c r="D403" s="10">
        <v>0.50694872216952802</v>
      </c>
      <c r="E403" s="10">
        <v>7.2040814119023899</v>
      </c>
      <c r="F403" s="4">
        <v>5.8436445686793996E-13</v>
      </c>
      <c r="G403" s="4">
        <v>1.1953587354565099E-11</v>
      </c>
      <c r="H403" s="10" t="s">
        <v>820</v>
      </c>
      <c r="I403" s="10" t="s">
        <v>18</v>
      </c>
    </row>
    <row r="404" spans="1:9" x14ac:dyDescent="0.2">
      <c r="A404" s="10" t="s">
        <v>821</v>
      </c>
      <c r="B404" s="10">
        <v>12.5617183125553</v>
      </c>
      <c r="C404" s="10">
        <v>3.1217691383838102</v>
      </c>
      <c r="D404" s="10">
        <v>1.0853019198688001</v>
      </c>
      <c r="E404" s="10">
        <v>2.8764061697791798</v>
      </c>
      <c r="F404" s="10">
        <v>4.02231762187223E-3</v>
      </c>
      <c r="G404" s="10">
        <v>1.4718787032386899E-2</v>
      </c>
      <c r="H404" s="10" t="s">
        <v>822</v>
      </c>
      <c r="I404" s="10" t="s">
        <v>18</v>
      </c>
    </row>
    <row r="405" spans="1:9" x14ac:dyDescent="0.2">
      <c r="A405" s="10" t="s">
        <v>823</v>
      </c>
      <c r="B405" s="10">
        <v>279.26917226046697</v>
      </c>
      <c r="C405" s="10">
        <v>-1.10547987487154</v>
      </c>
      <c r="D405" s="10">
        <v>0.26713947392996401</v>
      </c>
      <c r="E405" s="10">
        <v>-4.1382123675266396</v>
      </c>
      <c r="F405" s="4">
        <v>3.50022318711899E-5</v>
      </c>
      <c r="G405" s="10">
        <v>2.2107227904365101E-4</v>
      </c>
      <c r="H405" s="10" t="s">
        <v>824</v>
      </c>
      <c r="I405" s="10" t="s">
        <v>18</v>
      </c>
    </row>
    <row r="406" spans="1:9" x14ac:dyDescent="0.2">
      <c r="A406" s="10" t="s">
        <v>825</v>
      </c>
      <c r="B406" s="10">
        <v>85.134843042209297</v>
      </c>
      <c r="C406" s="10">
        <v>3.3150247402240298</v>
      </c>
      <c r="D406" s="10">
        <v>0.479177736806151</v>
      </c>
      <c r="E406" s="10">
        <v>6.9181526719491604</v>
      </c>
      <c r="F406" s="4">
        <v>4.5757102944153998E-12</v>
      </c>
      <c r="G406" s="4">
        <v>8.3505946679126802E-11</v>
      </c>
      <c r="H406" s="10" t="s">
        <v>826</v>
      </c>
      <c r="I406" s="10" t="s">
        <v>18</v>
      </c>
    </row>
    <row r="407" spans="1:9" x14ac:dyDescent="0.2">
      <c r="A407" s="10" t="s">
        <v>827</v>
      </c>
      <c r="B407" s="10">
        <v>1172.7665101238499</v>
      </c>
      <c r="C407" s="10">
        <v>1.1658265214132999</v>
      </c>
      <c r="D407" s="10">
        <v>0.229142573579945</v>
      </c>
      <c r="E407" s="10">
        <v>5.0877778982723996</v>
      </c>
      <c r="F407" s="4">
        <v>3.6228329212567901E-7</v>
      </c>
      <c r="G407" s="4">
        <v>3.3529663249145302E-6</v>
      </c>
      <c r="H407" s="10" t="s">
        <v>828</v>
      </c>
      <c r="I407" s="10" t="s">
        <v>18</v>
      </c>
    </row>
    <row r="408" spans="1:9" x14ac:dyDescent="0.2">
      <c r="A408" s="10" t="s">
        <v>829</v>
      </c>
      <c r="B408" s="10">
        <v>6.7912173100611302</v>
      </c>
      <c r="C408" s="10">
        <v>6.1616918281536197</v>
      </c>
      <c r="D408" s="10">
        <v>1.89712559481322</v>
      </c>
      <c r="E408" s="10">
        <v>3.2479092818102302</v>
      </c>
      <c r="F408" s="10">
        <v>1.16256330415498E-3</v>
      </c>
      <c r="G408" s="10">
        <v>5.0359876547394098E-3</v>
      </c>
      <c r="H408" s="10" t="s">
        <v>830</v>
      </c>
      <c r="I408" s="10" t="s">
        <v>18</v>
      </c>
    </row>
    <row r="409" spans="1:9" x14ac:dyDescent="0.2">
      <c r="A409" s="10" t="s">
        <v>831</v>
      </c>
      <c r="B409" s="10">
        <v>7.7061873013483497</v>
      </c>
      <c r="C409" s="10">
        <v>6.3403469558320502</v>
      </c>
      <c r="D409" s="10">
        <v>1.85101305643342</v>
      </c>
      <c r="E409" s="10">
        <v>3.4253388617629699</v>
      </c>
      <c r="F409" s="10">
        <v>6.1403305189254695E-4</v>
      </c>
      <c r="G409" s="10">
        <v>2.8725555306060601E-3</v>
      </c>
      <c r="H409" s="10" t="s">
        <v>832</v>
      </c>
      <c r="I409" s="10" t="s">
        <v>18</v>
      </c>
    </row>
    <row r="410" spans="1:9" x14ac:dyDescent="0.2">
      <c r="A410" s="10" t="s">
        <v>833</v>
      </c>
      <c r="B410" s="10">
        <v>54.175644160090897</v>
      </c>
      <c r="C410" s="10">
        <v>7.7050266985574796</v>
      </c>
      <c r="D410" s="10">
        <v>1.5082609660464501</v>
      </c>
      <c r="E410" s="10">
        <v>5.1085500931277101</v>
      </c>
      <c r="F410" s="4">
        <v>3.2464034144154599E-7</v>
      </c>
      <c r="G410" s="4">
        <v>3.0220278043244899E-6</v>
      </c>
      <c r="H410" s="10" t="s">
        <v>834</v>
      </c>
      <c r="I410" s="10" t="s">
        <v>18</v>
      </c>
    </row>
    <row r="411" spans="1:9" x14ac:dyDescent="0.2">
      <c r="A411" s="10" t="s">
        <v>835</v>
      </c>
      <c r="B411" s="10">
        <v>34.487179488245701</v>
      </c>
      <c r="C411" s="10">
        <v>4.17291618558406</v>
      </c>
      <c r="D411" s="10">
        <v>0.77929062600335797</v>
      </c>
      <c r="E411" s="10">
        <v>5.35476245490739</v>
      </c>
      <c r="F411" s="4">
        <v>8.5668888694370401E-8</v>
      </c>
      <c r="G411" s="4">
        <v>8.7620878763344997E-7</v>
      </c>
      <c r="H411" s="10" t="s">
        <v>836</v>
      </c>
      <c r="I411" s="10" t="s">
        <v>18</v>
      </c>
    </row>
    <row r="412" spans="1:9" x14ac:dyDescent="0.2">
      <c r="A412" s="10" t="s">
        <v>837</v>
      </c>
      <c r="B412" s="10">
        <v>53.011470317068103</v>
      </c>
      <c r="C412" s="10">
        <v>1.6749979312905301</v>
      </c>
      <c r="D412" s="10">
        <v>0.492209479936771</v>
      </c>
      <c r="E412" s="10">
        <v>3.40301842927872</v>
      </c>
      <c r="F412" s="10">
        <v>6.66457850079264E-4</v>
      </c>
      <c r="G412" s="10">
        <v>3.0956319538202699E-3</v>
      </c>
      <c r="H412" s="10" t="s">
        <v>838</v>
      </c>
      <c r="I412" s="10" t="s">
        <v>18</v>
      </c>
    </row>
    <row r="413" spans="1:9" x14ac:dyDescent="0.2">
      <c r="A413" s="10" t="s">
        <v>839</v>
      </c>
      <c r="B413" s="10">
        <v>14.3856845066164</v>
      </c>
      <c r="C413" s="10">
        <v>7.2414812533329496</v>
      </c>
      <c r="D413" s="10">
        <v>1.67591487692759</v>
      </c>
      <c r="E413" s="10">
        <v>4.3209123285596496</v>
      </c>
      <c r="F413" s="4">
        <v>1.5538540657719399E-5</v>
      </c>
      <c r="G413" s="10">
        <v>1.05897603126784E-4</v>
      </c>
      <c r="H413" s="10" t="s">
        <v>840</v>
      </c>
      <c r="I413" s="10" t="s">
        <v>18</v>
      </c>
    </row>
    <row r="414" spans="1:9" x14ac:dyDescent="0.2">
      <c r="A414" s="10" t="s">
        <v>841</v>
      </c>
      <c r="B414" s="10">
        <v>1163.56458489596</v>
      </c>
      <c r="C414" s="10">
        <v>3.2646661198231901</v>
      </c>
      <c r="D414" s="10">
        <v>0.20197371879492201</v>
      </c>
      <c r="E414" s="10">
        <v>16.1638164574175</v>
      </c>
      <c r="F414" s="4">
        <v>9.0764321882614305E-59</v>
      </c>
      <c r="G414" s="4">
        <v>2.5235259983016199E-56</v>
      </c>
      <c r="H414" s="10" t="s">
        <v>842</v>
      </c>
      <c r="I414" s="10" t="s">
        <v>18</v>
      </c>
    </row>
    <row r="415" spans="1:9" x14ac:dyDescent="0.2">
      <c r="A415" s="10" t="s">
        <v>843</v>
      </c>
      <c r="B415" s="10">
        <v>4558.7572400372801</v>
      </c>
      <c r="C415" s="10">
        <v>1.5716351527732599</v>
      </c>
      <c r="D415" s="10">
        <v>0.200457954699581</v>
      </c>
      <c r="E415" s="10">
        <v>7.8402234280430898</v>
      </c>
      <c r="F415" s="4">
        <v>4.4974546828670799E-15</v>
      </c>
      <c r="G415" s="4">
        <v>1.1283807342917101E-13</v>
      </c>
      <c r="H415" s="10" t="s">
        <v>844</v>
      </c>
      <c r="I415" s="10" t="s">
        <v>18</v>
      </c>
    </row>
    <row r="416" spans="1:9" x14ac:dyDescent="0.2">
      <c r="A416" s="10" t="s">
        <v>845</v>
      </c>
      <c r="B416" s="10">
        <v>1099.29597136034</v>
      </c>
      <c r="C416" s="10">
        <v>-1.59133517191711</v>
      </c>
      <c r="D416" s="10">
        <v>0.21333502654325401</v>
      </c>
      <c r="E416" s="10">
        <v>-7.4593244142891102</v>
      </c>
      <c r="F416" s="4">
        <v>8.6967238291333501E-14</v>
      </c>
      <c r="G416" s="4">
        <v>1.94707998498272E-12</v>
      </c>
      <c r="H416" s="10" t="s">
        <v>846</v>
      </c>
      <c r="I416" s="10" t="s">
        <v>18</v>
      </c>
    </row>
    <row r="417" spans="1:9" x14ac:dyDescent="0.2">
      <c r="A417" s="10" t="s">
        <v>847</v>
      </c>
      <c r="B417" s="10">
        <v>1309.6343525028201</v>
      </c>
      <c r="C417" s="10">
        <v>-1.20836455005558</v>
      </c>
      <c r="D417" s="10">
        <v>0.18855703900599499</v>
      </c>
      <c r="E417" s="10">
        <v>-6.4084828464937802</v>
      </c>
      <c r="F417" s="4">
        <v>1.46974811793676E-10</v>
      </c>
      <c r="G417" s="4">
        <v>2.2334761276867199E-9</v>
      </c>
      <c r="H417" s="10" t="s">
        <v>848</v>
      </c>
      <c r="I417" s="10" t="s">
        <v>18</v>
      </c>
    </row>
    <row r="418" spans="1:9" x14ac:dyDescent="0.2">
      <c r="A418" s="10" t="s">
        <v>849</v>
      </c>
      <c r="B418" s="10">
        <v>1443.0796164962001</v>
      </c>
      <c r="C418" s="10">
        <v>-1.30004393718267</v>
      </c>
      <c r="D418" s="10">
        <v>0.199836629200764</v>
      </c>
      <c r="E418" s="10">
        <v>-6.5055337571601699</v>
      </c>
      <c r="F418" s="4">
        <v>7.74179958093835E-11</v>
      </c>
      <c r="G418" s="4">
        <v>1.2264000766385301E-9</v>
      </c>
      <c r="H418" s="10" t="s">
        <v>850</v>
      </c>
      <c r="I418" s="10" t="s">
        <v>18</v>
      </c>
    </row>
    <row r="419" spans="1:9" x14ac:dyDescent="0.2">
      <c r="A419" s="10" t="s">
        <v>851</v>
      </c>
      <c r="B419" s="10">
        <v>102.02076524459601</v>
      </c>
      <c r="C419" s="10">
        <v>-1.2572029520036601</v>
      </c>
      <c r="D419" s="10">
        <v>0.38972301147155503</v>
      </c>
      <c r="E419" s="10">
        <v>-3.22588842587608</v>
      </c>
      <c r="F419" s="10">
        <v>1.2558230263761199E-3</v>
      </c>
      <c r="G419" s="10">
        <v>5.3800959118978E-3</v>
      </c>
      <c r="H419" s="10" t="s">
        <v>852</v>
      </c>
      <c r="I419" s="10" t="s">
        <v>18</v>
      </c>
    </row>
    <row r="420" spans="1:9" x14ac:dyDescent="0.2">
      <c r="A420" s="10" t="s">
        <v>853</v>
      </c>
      <c r="B420" s="10">
        <v>1578.3913648887899</v>
      </c>
      <c r="C420" s="10">
        <v>-1.1367989714246001</v>
      </c>
      <c r="D420" s="10">
        <v>0.18761548516882001</v>
      </c>
      <c r="E420" s="10">
        <v>-6.0591958622268898</v>
      </c>
      <c r="F420" s="4">
        <v>1.3680373123132501E-9</v>
      </c>
      <c r="G420" s="4">
        <v>1.8280977267581701E-8</v>
      </c>
      <c r="H420" s="10" t="s">
        <v>854</v>
      </c>
      <c r="I420" s="10" t="s">
        <v>18</v>
      </c>
    </row>
    <row r="421" spans="1:9" x14ac:dyDescent="0.2">
      <c r="A421" s="10" t="s">
        <v>855</v>
      </c>
      <c r="B421" s="10">
        <v>1997.66069896009</v>
      </c>
      <c r="C421" s="10">
        <v>-1.62262204377676</v>
      </c>
      <c r="D421" s="10">
        <v>0.19237447233002899</v>
      </c>
      <c r="E421" s="10">
        <v>-8.4347056245231204</v>
      </c>
      <c r="F421" s="4">
        <v>3.3203749361503402E-17</v>
      </c>
      <c r="G421" s="4">
        <v>1.0074638740009799E-15</v>
      </c>
      <c r="H421" s="10" t="s">
        <v>856</v>
      </c>
      <c r="I421" s="10" t="s">
        <v>18</v>
      </c>
    </row>
    <row r="422" spans="1:9" x14ac:dyDescent="0.2">
      <c r="A422" s="10" t="s">
        <v>857</v>
      </c>
      <c r="B422" s="10">
        <v>19.310810467116401</v>
      </c>
      <c r="C422" s="10">
        <v>4.1456484081533302</v>
      </c>
      <c r="D422" s="10">
        <v>1.0141072496106001</v>
      </c>
      <c r="E422" s="10">
        <v>4.0879782781803504</v>
      </c>
      <c r="F422" s="4">
        <v>4.3514888649073202E-5</v>
      </c>
      <c r="G422" s="10">
        <v>2.6946594795938599E-4</v>
      </c>
      <c r="H422" s="10" t="s">
        <v>858</v>
      </c>
      <c r="I422" s="10" t="s">
        <v>18</v>
      </c>
    </row>
    <row r="423" spans="1:9" x14ac:dyDescent="0.2">
      <c r="A423" s="10" t="s">
        <v>859</v>
      </c>
      <c r="B423" s="10">
        <v>5.9819558428212396</v>
      </c>
      <c r="C423" s="10">
        <v>5.9757714752725404</v>
      </c>
      <c r="D423" s="10">
        <v>1.9478131524890001</v>
      </c>
      <c r="E423" s="10">
        <v>3.0679387638575299</v>
      </c>
      <c r="F423" s="10">
        <v>2.15540781510168E-3</v>
      </c>
      <c r="G423" s="10">
        <v>8.5973351980786605E-3</v>
      </c>
      <c r="H423" s="10" t="s">
        <v>860</v>
      </c>
      <c r="I423" s="10" t="s">
        <v>18</v>
      </c>
    </row>
    <row r="424" spans="1:9" x14ac:dyDescent="0.2">
      <c r="A424" s="10" t="s">
        <v>861</v>
      </c>
      <c r="B424" s="10">
        <v>12.5560425297345</v>
      </c>
      <c r="C424" s="10">
        <v>2.5735999209435199</v>
      </c>
      <c r="D424" s="10">
        <v>1.02377092498417</v>
      </c>
      <c r="E424" s="10">
        <v>2.51384353485455</v>
      </c>
      <c r="F424" s="10">
        <v>1.19423403891507E-2</v>
      </c>
      <c r="G424" s="10">
        <v>3.6862560376547102E-2</v>
      </c>
      <c r="H424" s="10" t="s">
        <v>862</v>
      </c>
      <c r="I424" s="10" t="s">
        <v>18</v>
      </c>
    </row>
    <row r="425" spans="1:9" x14ac:dyDescent="0.2">
      <c r="A425" s="10" t="s">
        <v>863</v>
      </c>
      <c r="B425" s="10">
        <v>119.10066818393901</v>
      </c>
      <c r="C425" s="10">
        <v>-1.9410009888085</v>
      </c>
      <c r="D425" s="10">
        <v>0.35894527402250298</v>
      </c>
      <c r="E425" s="10">
        <v>-5.4075123125505202</v>
      </c>
      <c r="F425" s="4">
        <v>6.3906150957669405E-8</v>
      </c>
      <c r="G425" s="4">
        <v>6.7151982072642398E-7</v>
      </c>
      <c r="H425" s="10" t="s">
        <v>864</v>
      </c>
      <c r="I425" s="10" t="s">
        <v>18</v>
      </c>
    </row>
    <row r="426" spans="1:9" x14ac:dyDescent="0.2">
      <c r="A426" s="10" t="s">
        <v>865</v>
      </c>
      <c r="B426" s="10">
        <v>3379.2863620376602</v>
      </c>
      <c r="C426" s="10">
        <v>-1.0383989285497901</v>
      </c>
      <c r="D426" s="10">
        <v>0.22808350628489299</v>
      </c>
      <c r="E426" s="10">
        <v>-4.55271380848008</v>
      </c>
      <c r="F426" s="4">
        <v>5.2958294117850702E-6</v>
      </c>
      <c r="G426" s="4">
        <v>3.9783695611499298E-5</v>
      </c>
      <c r="H426" s="10" t="s">
        <v>866</v>
      </c>
      <c r="I426" s="10" t="s">
        <v>18</v>
      </c>
    </row>
    <row r="427" spans="1:9" x14ac:dyDescent="0.2">
      <c r="A427" s="10" t="s">
        <v>867</v>
      </c>
      <c r="B427" s="10">
        <v>5.7222775284282497</v>
      </c>
      <c r="C427" s="10">
        <v>5.90725639071547</v>
      </c>
      <c r="D427" s="10">
        <v>2.0180605920329699</v>
      </c>
      <c r="E427" s="10">
        <v>2.9271947601754502</v>
      </c>
      <c r="F427" s="10">
        <v>3.42034619021497E-3</v>
      </c>
      <c r="G427" s="10">
        <v>1.2824297873233401E-2</v>
      </c>
      <c r="H427" s="10" t="s">
        <v>868</v>
      </c>
      <c r="I427" s="10" t="s">
        <v>18</v>
      </c>
    </row>
    <row r="428" spans="1:9" x14ac:dyDescent="0.2">
      <c r="A428" s="10" t="s">
        <v>869</v>
      </c>
      <c r="B428" s="10">
        <v>253.095420264376</v>
      </c>
      <c r="C428" s="10">
        <v>1.3274569914340799</v>
      </c>
      <c r="D428" s="10">
        <v>0.27737808111395001</v>
      </c>
      <c r="E428" s="10">
        <v>4.7857313963057804</v>
      </c>
      <c r="F428" s="4">
        <v>1.70365775765609E-6</v>
      </c>
      <c r="G428" s="4">
        <v>1.40028847429428E-5</v>
      </c>
      <c r="H428" s="10" t="s">
        <v>870</v>
      </c>
      <c r="I428" s="10" t="s">
        <v>18</v>
      </c>
    </row>
    <row r="429" spans="1:9" x14ac:dyDescent="0.2">
      <c r="A429" s="10" t="s">
        <v>871</v>
      </c>
      <c r="B429" s="10">
        <v>606.31366210456497</v>
      </c>
      <c r="C429" s="10">
        <v>-2.1058984487176202</v>
      </c>
      <c r="D429" s="10">
        <v>0.23033440790599599</v>
      </c>
      <c r="E429" s="10">
        <v>-9.1427870801529707</v>
      </c>
      <c r="F429" s="4">
        <v>6.0863141490504104E-20</v>
      </c>
      <c r="G429" s="4">
        <v>2.3226022635738999E-18</v>
      </c>
      <c r="H429" s="10" t="s">
        <v>872</v>
      </c>
      <c r="I429" s="10" t="s">
        <v>18</v>
      </c>
    </row>
    <row r="430" spans="1:9" x14ac:dyDescent="0.2">
      <c r="A430" s="10" t="s">
        <v>873</v>
      </c>
      <c r="B430" s="10">
        <v>543.48954445671995</v>
      </c>
      <c r="C430" s="10">
        <v>2.2892664396894</v>
      </c>
      <c r="D430" s="10">
        <v>0.23141753825629699</v>
      </c>
      <c r="E430" s="10">
        <v>9.8923636338833507</v>
      </c>
      <c r="F430" s="4">
        <v>4.4929231469568901E-23</v>
      </c>
      <c r="G430" s="4">
        <v>2.1782682737568401E-21</v>
      </c>
      <c r="H430" s="10" t="s">
        <v>874</v>
      </c>
      <c r="I430" s="10" t="s">
        <v>18</v>
      </c>
    </row>
    <row r="431" spans="1:9" x14ac:dyDescent="0.2">
      <c r="A431" s="10" t="s">
        <v>875</v>
      </c>
      <c r="B431" s="10">
        <v>4618.3159589035904</v>
      </c>
      <c r="C431" s="10">
        <v>-1.2034548593503001</v>
      </c>
      <c r="D431" s="10">
        <v>0.17588201459923</v>
      </c>
      <c r="E431" s="10">
        <v>-6.84239865055289</v>
      </c>
      <c r="F431" s="4">
        <v>7.7878001528625406E-12</v>
      </c>
      <c r="G431" s="4">
        <v>1.3850795741843699E-10</v>
      </c>
      <c r="H431" s="10" t="s">
        <v>876</v>
      </c>
      <c r="I431" s="10" t="s">
        <v>18</v>
      </c>
    </row>
    <row r="432" spans="1:9" x14ac:dyDescent="0.2">
      <c r="A432" s="10" t="s">
        <v>877</v>
      </c>
      <c r="B432" s="10">
        <v>4850.963325447</v>
      </c>
      <c r="C432" s="10">
        <v>1.0750429101718</v>
      </c>
      <c r="D432" s="10">
        <v>0.22242629073089701</v>
      </c>
      <c r="E432" s="10">
        <v>4.8332546779393297</v>
      </c>
      <c r="F432" s="4">
        <v>1.34318773531668E-6</v>
      </c>
      <c r="G432" s="4">
        <v>1.12678067192652E-5</v>
      </c>
      <c r="H432" s="10" t="s">
        <v>878</v>
      </c>
      <c r="I432" s="10" t="s">
        <v>18</v>
      </c>
    </row>
    <row r="433" spans="1:9" x14ac:dyDescent="0.2">
      <c r="A433" s="10" t="s">
        <v>879</v>
      </c>
      <c r="B433" s="10">
        <v>21.5483002358636</v>
      </c>
      <c r="C433" s="10">
        <v>7.8274345354112098</v>
      </c>
      <c r="D433" s="10">
        <v>1.60665116147451</v>
      </c>
      <c r="E433" s="10">
        <v>4.87189423759391</v>
      </c>
      <c r="F433" s="4">
        <v>1.10533337857259E-6</v>
      </c>
      <c r="G433" s="4">
        <v>9.4027532207204E-6</v>
      </c>
      <c r="H433" s="10" t="s">
        <v>880</v>
      </c>
      <c r="I433" s="10" t="s">
        <v>18</v>
      </c>
    </row>
    <row r="434" spans="1:9" x14ac:dyDescent="0.2">
      <c r="A434" s="10" t="s">
        <v>881</v>
      </c>
      <c r="B434" s="10">
        <v>20.002253510997299</v>
      </c>
      <c r="C434" s="10">
        <v>7.7179034215605098</v>
      </c>
      <c r="D434" s="10">
        <v>1.61419742694605</v>
      </c>
      <c r="E434" s="10">
        <v>4.7812636129412303</v>
      </c>
      <c r="F434" s="4">
        <v>1.7419675527586301E-6</v>
      </c>
      <c r="G434" s="4">
        <v>1.4304819141053199E-5</v>
      </c>
      <c r="H434" s="10" t="s">
        <v>882</v>
      </c>
      <c r="I434" s="10" t="s">
        <v>18</v>
      </c>
    </row>
    <row r="435" spans="1:9" x14ac:dyDescent="0.2">
      <c r="A435" s="10" t="s">
        <v>883</v>
      </c>
      <c r="B435" s="10">
        <v>115.323782170727</v>
      </c>
      <c r="C435" s="10">
        <v>5.9740943991529196</v>
      </c>
      <c r="D435" s="10">
        <v>0.65759723049443797</v>
      </c>
      <c r="E435" s="10">
        <v>9.0847316900362909</v>
      </c>
      <c r="F435" s="4">
        <v>1.03954762461526E-19</v>
      </c>
      <c r="G435" s="4">
        <v>3.9068350521230504E-18</v>
      </c>
      <c r="H435" s="10" t="s">
        <v>884</v>
      </c>
      <c r="I435" s="10" t="s">
        <v>18</v>
      </c>
    </row>
    <row r="436" spans="1:9" x14ac:dyDescent="0.2">
      <c r="A436" s="10" t="s">
        <v>885</v>
      </c>
      <c r="B436" s="10">
        <v>90.389371241131897</v>
      </c>
      <c r="C436" s="10">
        <v>-1.53341297662998</v>
      </c>
      <c r="D436" s="10">
        <v>0.39039264455390499</v>
      </c>
      <c r="E436" s="10">
        <v>-3.9278736370204599</v>
      </c>
      <c r="F436" s="4">
        <v>8.5700216262613594E-5</v>
      </c>
      <c r="G436" s="10">
        <v>4.9931487858992797E-4</v>
      </c>
      <c r="H436" s="10" t="s">
        <v>886</v>
      </c>
      <c r="I436" s="10" t="s">
        <v>18</v>
      </c>
    </row>
    <row r="437" spans="1:9" x14ac:dyDescent="0.2">
      <c r="A437" s="10" t="s">
        <v>887</v>
      </c>
      <c r="B437" s="10">
        <v>57.249751997234704</v>
      </c>
      <c r="C437" s="10">
        <v>1.3715408576666801</v>
      </c>
      <c r="D437" s="10">
        <v>0.48006638764239701</v>
      </c>
      <c r="E437" s="10">
        <v>2.8569816445644198</v>
      </c>
      <c r="F437" s="10">
        <v>4.2769057033648699E-3</v>
      </c>
      <c r="G437" s="10">
        <v>1.5504636734909901E-2</v>
      </c>
      <c r="H437" s="10" t="s">
        <v>888</v>
      </c>
      <c r="I437" s="10" t="s">
        <v>18</v>
      </c>
    </row>
    <row r="438" spans="1:9" x14ac:dyDescent="0.2">
      <c r="A438" s="10" t="s">
        <v>889</v>
      </c>
      <c r="B438" s="10">
        <v>2401.5670578784302</v>
      </c>
      <c r="C438" s="10">
        <v>-1.0000489054634001</v>
      </c>
      <c r="D438" s="10">
        <v>0.181085121266122</v>
      </c>
      <c r="E438" s="10">
        <v>-5.52253491877853</v>
      </c>
      <c r="F438" s="4">
        <v>3.3414336380488998E-8</v>
      </c>
      <c r="G438" s="4">
        <v>3.6845019156583701E-7</v>
      </c>
      <c r="H438" s="10" t="s">
        <v>890</v>
      </c>
      <c r="I438" s="10" t="s">
        <v>18</v>
      </c>
    </row>
    <row r="439" spans="1:9" x14ac:dyDescent="0.2">
      <c r="A439" s="10" t="s">
        <v>891</v>
      </c>
      <c r="B439" s="10">
        <v>97.522325065110806</v>
      </c>
      <c r="C439" s="10">
        <v>-2.2277825699375802</v>
      </c>
      <c r="D439" s="10">
        <v>0.41811088540018498</v>
      </c>
      <c r="E439" s="10">
        <v>-5.3282099264297003</v>
      </c>
      <c r="F439" s="4">
        <v>9.9185446525854704E-8</v>
      </c>
      <c r="G439" s="4">
        <v>1.00802158205519E-6</v>
      </c>
      <c r="H439" s="10" t="s">
        <v>892</v>
      </c>
      <c r="I439" s="10" t="s">
        <v>18</v>
      </c>
    </row>
    <row r="440" spans="1:9" x14ac:dyDescent="0.2">
      <c r="A440" s="10" t="s">
        <v>893</v>
      </c>
      <c r="B440" s="10">
        <v>1232.56571434947</v>
      </c>
      <c r="C440" s="10">
        <v>-2.3253478224233599</v>
      </c>
      <c r="D440" s="10">
        <v>0.19543557413715101</v>
      </c>
      <c r="E440" s="10">
        <v>-11.8982832715578</v>
      </c>
      <c r="F440" s="4">
        <v>1.20806753431019E-32</v>
      </c>
      <c r="G440" s="4">
        <v>1.1082901046245701E-30</v>
      </c>
      <c r="H440" s="10" t="s">
        <v>894</v>
      </c>
      <c r="I440" s="10" t="s">
        <v>18</v>
      </c>
    </row>
    <row r="441" spans="1:9" x14ac:dyDescent="0.2">
      <c r="A441" s="10" t="s">
        <v>895</v>
      </c>
      <c r="B441" s="10">
        <v>1185.9959154871499</v>
      </c>
      <c r="C441" s="10">
        <v>-1.6167448963886999</v>
      </c>
      <c r="D441" s="10">
        <v>0.20867386788190101</v>
      </c>
      <c r="E441" s="10">
        <v>-7.7477113583944099</v>
      </c>
      <c r="F441" s="4">
        <v>9.3563518271179199E-15</v>
      </c>
      <c r="G441" s="4">
        <v>2.27212583095795E-13</v>
      </c>
      <c r="H441" s="10" t="s">
        <v>896</v>
      </c>
      <c r="I441" s="10" t="s">
        <v>18</v>
      </c>
    </row>
    <row r="442" spans="1:9" x14ac:dyDescent="0.2">
      <c r="A442" s="10" t="s">
        <v>897</v>
      </c>
      <c r="B442" s="10">
        <v>11631.596331405701</v>
      </c>
      <c r="C442" s="10">
        <v>-1.77153460543921</v>
      </c>
      <c r="D442" s="10">
        <v>0.23573466918118899</v>
      </c>
      <c r="E442" s="10">
        <v>-7.5149514986172097</v>
      </c>
      <c r="F442" s="4">
        <v>5.6932036712943497E-14</v>
      </c>
      <c r="G442" s="4">
        <v>1.2926893369313099E-12</v>
      </c>
      <c r="H442" s="10" t="s">
        <v>898</v>
      </c>
      <c r="I442" s="10" t="s">
        <v>18</v>
      </c>
    </row>
    <row r="443" spans="1:9" x14ac:dyDescent="0.2">
      <c r="A443" s="10" t="s">
        <v>899</v>
      </c>
      <c r="B443" s="10">
        <v>82.332151837701801</v>
      </c>
      <c r="C443" s="10">
        <v>3.7562295967247299</v>
      </c>
      <c r="D443" s="10">
        <v>0.48949099453794098</v>
      </c>
      <c r="E443" s="10">
        <v>7.6737460722243904</v>
      </c>
      <c r="F443" s="4">
        <v>1.67044611793005E-14</v>
      </c>
      <c r="G443" s="4">
        <v>3.94407672229116E-13</v>
      </c>
      <c r="H443" s="10" t="s">
        <v>900</v>
      </c>
      <c r="I443" s="10" t="s">
        <v>18</v>
      </c>
    </row>
    <row r="444" spans="1:9" x14ac:dyDescent="0.2">
      <c r="A444" s="10" t="s">
        <v>901</v>
      </c>
      <c r="B444" s="10">
        <v>71.739953910558398</v>
      </c>
      <c r="C444" s="10">
        <v>1.19057043506996</v>
      </c>
      <c r="D444" s="10">
        <v>0.44581499881322501</v>
      </c>
      <c r="E444" s="10">
        <v>2.6705481830788398</v>
      </c>
      <c r="F444" s="10">
        <v>7.5727502167147603E-3</v>
      </c>
      <c r="G444" s="10">
        <v>2.51597031038687E-2</v>
      </c>
      <c r="H444" s="10" t="s">
        <v>902</v>
      </c>
      <c r="I444" s="10" t="s">
        <v>18</v>
      </c>
    </row>
    <row r="445" spans="1:9" x14ac:dyDescent="0.2">
      <c r="A445" s="10" t="s">
        <v>903</v>
      </c>
      <c r="B445" s="10">
        <v>14.4980384150271</v>
      </c>
      <c r="C445" s="10">
        <v>2.3976788817981398</v>
      </c>
      <c r="D445" s="10">
        <v>0.95346283450093505</v>
      </c>
      <c r="E445" s="10">
        <v>2.51470617945286</v>
      </c>
      <c r="F445" s="10">
        <v>1.19131621683271E-2</v>
      </c>
      <c r="G445" s="10">
        <v>3.6802486349252601E-2</v>
      </c>
      <c r="H445" s="10" t="s">
        <v>904</v>
      </c>
      <c r="I445" s="10" t="s">
        <v>18</v>
      </c>
    </row>
    <row r="446" spans="1:9" x14ac:dyDescent="0.2">
      <c r="A446" s="10" t="s">
        <v>905</v>
      </c>
      <c r="B446" s="10">
        <v>2350.60127057111</v>
      </c>
      <c r="C446" s="10">
        <v>-1.14912251648568</v>
      </c>
      <c r="D446" s="10">
        <v>0.18300934452659701</v>
      </c>
      <c r="E446" s="10">
        <v>-6.2790373871792999</v>
      </c>
      <c r="F446" s="4">
        <v>3.4067567087242098E-10</v>
      </c>
      <c r="G446" s="4">
        <v>4.9009450920067902E-9</v>
      </c>
      <c r="H446" s="10" t="s">
        <v>906</v>
      </c>
      <c r="I446" s="10" t="s">
        <v>18</v>
      </c>
    </row>
    <row r="447" spans="1:9" x14ac:dyDescent="0.2">
      <c r="A447" s="10" t="s">
        <v>907</v>
      </c>
      <c r="B447" s="10">
        <v>75.631944321071003</v>
      </c>
      <c r="C447" s="10">
        <v>4.02489438505512</v>
      </c>
      <c r="D447" s="10">
        <v>0.53724626406715703</v>
      </c>
      <c r="E447" s="10">
        <v>7.4917121890902498</v>
      </c>
      <c r="F447" s="4">
        <v>6.7980868061206101E-14</v>
      </c>
      <c r="G447" s="4">
        <v>1.53650247521526E-12</v>
      </c>
      <c r="H447" s="10" t="s">
        <v>908</v>
      </c>
      <c r="I447" s="10" t="s">
        <v>18</v>
      </c>
    </row>
    <row r="448" spans="1:9" x14ac:dyDescent="0.2">
      <c r="A448" s="10" t="s">
        <v>909</v>
      </c>
      <c r="B448" s="10">
        <v>2809.0579567958498</v>
      </c>
      <c r="C448" s="10">
        <v>2.0111340004501801</v>
      </c>
      <c r="D448" s="10">
        <v>0.18900088457813999</v>
      </c>
      <c r="E448" s="10">
        <v>10.6408708347537</v>
      </c>
      <c r="F448" s="4">
        <v>1.9232336273544201E-26</v>
      </c>
      <c r="G448" s="4">
        <v>1.18289721545205E-24</v>
      </c>
      <c r="H448" s="10" t="s">
        <v>910</v>
      </c>
      <c r="I448" s="10" t="s">
        <v>18</v>
      </c>
    </row>
    <row r="449" spans="1:9" x14ac:dyDescent="0.2">
      <c r="A449" s="10" t="s">
        <v>911</v>
      </c>
      <c r="B449" s="10">
        <v>38.815208931284999</v>
      </c>
      <c r="C449" s="10">
        <v>5.1936101791152298</v>
      </c>
      <c r="D449" s="10">
        <v>0.92408792892505398</v>
      </c>
      <c r="E449" s="10">
        <v>5.62025540703329</v>
      </c>
      <c r="F449" s="4">
        <v>1.90675363596542E-8</v>
      </c>
      <c r="G449" s="4">
        <v>2.1819956454913801E-7</v>
      </c>
      <c r="H449" s="10" t="s">
        <v>912</v>
      </c>
      <c r="I449" s="10" t="s">
        <v>18</v>
      </c>
    </row>
    <row r="450" spans="1:9" x14ac:dyDescent="0.2">
      <c r="A450" s="10" t="s">
        <v>913</v>
      </c>
      <c r="B450" s="10">
        <v>11002.481926116499</v>
      </c>
      <c r="C450" s="10">
        <v>-1.15352832727904</v>
      </c>
      <c r="D450" s="10">
        <v>0.17503548677761599</v>
      </c>
      <c r="E450" s="10">
        <v>-6.5902540594217003</v>
      </c>
      <c r="F450" s="4">
        <v>4.3907457277129202E-11</v>
      </c>
      <c r="G450" s="4">
        <v>7.1723410577334501E-10</v>
      </c>
      <c r="H450" s="10" t="s">
        <v>914</v>
      </c>
      <c r="I450" s="10" t="s">
        <v>18</v>
      </c>
    </row>
    <row r="451" spans="1:9" x14ac:dyDescent="0.2">
      <c r="A451" s="10" t="s">
        <v>915</v>
      </c>
      <c r="B451" s="10">
        <v>452.79182671549398</v>
      </c>
      <c r="C451" s="10">
        <v>-2.3795557494508701</v>
      </c>
      <c r="D451" s="10">
        <v>0.25269467156396602</v>
      </c>
      <c r="E451" s="10">
        <v>-9.4167230940147597</v>
      </c>
      <c r="F451" s="4">
        <v>4.6538549185703198E-21</v>
      </c>
      <c r="G451" s="4">
        <v>1.9751337222162901E-19</v>
      </c>
      <c r="H451" s="10" t="s">
        <v>916</v>
      </c>
      <c r="I451" s="10" t="s">
        <v>18</v>
      </c>
    </row>
    <row r="452" spans="1:9" x14ac:dyDescent="0.2">
      <c r="A452" s="10" t="s">
        <v>917</v>
      </c>
      <c r="B452" s="10">
        <v>9560.0774540796301</v>
      </c>
      <c r="C452" s="10">
        <v>-1.8936644545849799</v>
      </c>
      <c r="D452" s="10">
        <v>0.181126431689309</v>
      </c>
      <c r="E452" s="10">
        <v>-10.4549316017732</v>
      </c>
      <c r="F452" s="4">
        <v>1.39099106842207E-25</v>
      </c>
      <c r="G452" s="4">
        <v>8.1681753537275897E-24</v>
      </c>
      <c r="H452" s="10" t="s">
        <v>918</v>
      </c>
      <c r="I452" s="10" t="s">
        <v>18</v>
      </c>
    </row>
    <row r="453" spans="1:9" x14ac:dyDescent="0.2">
      <c r="A453" s="10" t="s">
        <v>919</v>
      </c>
      <c r="B453" s="10">
        <v>351.88007952818202</v>
      </c>
      <c r="C453" s="10">
        <v>1.1077289078516701</v>
      </c>
      <c r="D453" s="10">
        <v>0.26889740633175102</v>
      </c>
      <c r="E453" s="10">
        <v>4.1195224712767002</v>
      </c>
      <c r="F453" s="4">
        <v>3.7965839930263402E-5</v>
      </c>
      <c r="G453" s="10">
        <v>2.3807945698041101E-4</v>
      </c>
      <c r="H453" s="10" t="s">
        <v>920</v>
      </c>
      <c r="I453" s="10" t="s">
        <v>18</v>
      </c>
    </row>
    <row r="454" spans="1:9" x14ac:dyDescent="0.2">
      <c r="A454" s="10" t="s">
        <v>921</v>
      </c>
      <c r="B454" s="10">
        <v>55.217605375408603</v>
      </c>
      <c r="C454" s="10">
        <v>-1.61067827905288</v>
      </c>
      <c r="D454" s="10">
        <v>0.49151548297499498</v>
      </c>
      <c r="E454" s="10">
        <v>-3.2769634626847002</v>
      </c>
      <c r="F454" s="10">
        <v>1.04929946832849E-3</v>
      </c>
      <c r="G454" s="10">
        <v>4.6002031558401201E-3</v>
      </c>
      <c r="H454" s="10" t="s">
        <v>922</v>
      </c>
      <c r="I454" s="10" t="s">
        <v>18</v>
      </c>
    </row>
    <row r="455" spans="1:9" x14ac:dyDescent="0.2">
      <c r="A455" s="10" t="s">
        <v>923</v>
      </c>
      <c r="B455" s="10">
        <v>29.366294379825099</v>
      </c>
      <c r="C455" s="10">
        <v>4.7776690044710604</v>
      </c>
      <c r="D455" s="10">
        <v>0.93261421505723097</v>
      </c>
      <c r="E455" s="10">
        <v>5.1228781712038103</v>
      </c>
      <c r="F455" s="4">
        <v>3.00906781610349E-7</v>
      </c>
      <c r="G455" s="4">
        <v>2.8155244088383102E-6</v>
      </c>
      <c r="H455" s="10" t="s">
        <v>924</v>
      </c>
      <c r="I455" s="10" t="s">
        <v>18</v>
      </c>
    </row>
    <row r="456" spans="1:9" x14ac:dyDescent="0.2">
      <c r="A456" s="10" t="s">
        <v>925</v>
      </c>
      <c r="B456" s="10">
        <v>3.7806174410606901</v>
      </c>
      <c r="C456" s="10">
        <v>5.3154478000652503</v>
      </c>
      <c r="D456" s="10">
        <v>2.1865395084011801</v>
      </c>
      <c r="E456" s="10">
        <v>2.43098639637752</v>
      </c>
      <c r="F456" s="10">
        <v>1.5057779905063901E-2</v>
      </c>
      <c r="G456" s="10">
        <v>4.4683002512881202E-2</v>
      </c>
      <c r="H456" s="10" t="s">
        <v>926</v>
      </c>
      <c r="I456" s="10" t="s">
        <v>18</v>
      </c>
    </row>
    <row r="457" spans="1:9" x14ac:dyDescent="0.2">
      <c r="A457" s="10" t="s">
        <v>927</v>
      </c>
      <c r="B457" s="10">
        <v>155.64486278708901</v>
      </c>
      <c r="C457" s="10">
        <v>-1.2603412134008001</v>
      </c>
      <c r="D457" s="10">
        <v>0.322657290113678</v>
      </c>
      <c r="E457" s="10">
        <v>-3.9061296676630302</v>
      </c>
      <c r="F457" s="4">
        <v>9.3786198178075499E-5</v>
      </c>
      <c r="G457" s="10">
        <v>5.4025212299323904E-4</v>
      </c>
      <c r="H457" s="10" t="s">
        <v>928</v>
      </c>
      <c r="I457" s="10" t="s">
        <v>18</v>
      </c>
    </row>
    <row r="458" spans="1:9" x14ac:dyDescent="0.2">
      <c r="A458" s="10" t="s">
        <v>929</v>
      </c>
      <c r="B458" s="10">
        <v>1764.6869767175599</v>
      </c>
      <c r="C458" s="10">
        <v>-1.4849947622080399</v>
      </c>
      <c r="D458" s="10">
        <v>0.19189798318196</v>
      </c>
      <c r="E458" s="10">
        <v>-7.7384594542609104</v>
      </c>
      <c r="F458" s="4">
        <v>1.00628629028236E-14</v>
      </c>
      <c r="G458" s="4">
        <v>2.4242513307978301E-13</v>
      </c>
      <c r="H458" s="10" t="s">
        <v>930</v>
      </c>
      <c r="I458" s="10" t="s">
        <v>18</v>
      </c>
    </row>
    <row r="459" spans="1:9" x14ac:dyDescent="0.2">
      <c r="A459" s="10" t="s">
        <v>931</v>
      </c>
      <c r="B459" s="10">
        <v>574.96252839232898</v>
      </c>
      <c r="C459" s="10">
        <v>-1.19830033584944</v>
      </c>
      <c r="D459" s="10">
        <v>0.21777852827399699</v>
      </c>
      <c r="E459" s="10">
        <v>-5.5023805392871701</v>
      </c>
      <c r="F459" s="4">
        <v>3.7469710824609197E-8</v>
      </c>
      <c r="G459" s="4">
        <v>4.0886552296280598E-7</v>
      </c>
      <c r="H459" s="10" t="s">
        <v>932</v>
      </c>
      <c r="I459" s="10" t="s">
        <v>18</v>
      </c>
    </row>
    <row r="460" spans="1:9" x14ac:dyDescent="0.2">
      <c r="A460" s="10" t="s">
        <v>933</v>
      </c>
      <c r="B460" s="10">
        <v>68.510354039051094</v>
      </c>
      <c r="C460" s="10">
        <v>8.0456755833218896</v>
      </c>
      <c r="D460" s="10">
        <v>1.4996024855928201</v>
      </c>
      <c r="E460" s="10">
        <v>5.3652055532178498</v>
      </c>
      <c r="F460" s="4">
        <v>8.0857083778181494E-8</v>
      </c>
      <c r="G460" s="4">
        <v>8.3293495716601599E-7</v>
      </c>
      <c r="H460" s="10" t="s">
        <v>934</v>
      </c>
      <c r="I460" s="10" t="s">
        <v>18</v>
      </c>
    </row>
    <row r="461" spans="1:9" x14ac:dyDescent="0.2">
      <c r="A461" s="10" t="s">
        <v>935</v>
      </c>
      <c r="B461" s="10">
        <v>559.80441648802696</v>
      </c>
      <c r="C461" s="10">
        <v>1.24728579215029</v>
      </c>
      <c r="D461" s="10">
        <v>0.22660213150706099</v>
      </c>
      <c r="E461" s="10">
        <v>5.5042985864915499</v>
      </c>
      <c r="F461" s="4">
        <v>3.70640921923386E-8</v>
      </c>
      <c r="G461" s="4">
        <v>4.0505108812438098E-7</v>
      </c>
      <c r="H461" s="10" t="s">
        <v>936</v>
      </c>
      <c r="I461" s="10" t="s">
        <v>18</v>
      </c>
    </row>
    <row r="462" spans="1:9" x14ac:dyDescent="0.2">
      <c r="A462" s="10" t="s">
        <v>937</v>
      </c>
      <c r="B462" s="10">
        <v>240.15697951390001</v>
      </c>
      <c r="C462" s="10">
        <v>-1.0240334523857899</v>
      </c>
      <c r="D462" s="10">
        <v>0.27458631142804102</v>
      </c>
      <c r="E462" s="10">
        <v>-3.7293681795720302</v>
      </c>
      <c r="F462" s="10">
        <v>1.9196049663199101E-4</v>
      </c>
      <c r="G462" s="10">
        <v>1.02676632346523E-3</v>
      </c>
      <c r="H462" s="10" t="s">
        <v>938</v>
      </c>
      <c r="I462" s="10" t="s">
        <v>18</v>
      </c>
    </row>
    <row r="463" spans="1:9" x14ac:dyDescent="0.2">
      <c r="A463" s="10" t="s">
        <v>939</v>
      </c>
      <c r="B463" s="10">
        <v>60.553647238574598</v>
      </c>
      <c r="C463" s="10">
        <v>1.1491939002395899</v>
      </c>
      <c r="D463" s="10">
        <v>0.47255181603875501</v>
      </c>
      <c r="E463" s="10">
        <v>2.4318897129057699</v>
      </c>
      <c r="F463" s="10">
        <v>1.5020280077705001E-2</v>
      </c>
      <c r="G463" s="10">
        <v>4.4605729839480003E-2</v>
      </c>
      <c r="H463" s="10" t="s">
        <v>940</v>
      </c>
      <c r="I463" s="10" t="s">
        <v>18</v>
      </c>
    </row>
    <row r="464" spans="1:9" x14ac:dyDescent="0.2">
      <c r="A464" s="10" t="s">
        <v>941</v>
      </c>
      <c r="B464" s="10">
        <v>110.711053817522</v>
      </c>
      <c r="C464" s="10">
        <v>3.16752063404518</v>
      </c>
      <c r="D464" s="10">
        <v>0.40477000445251998</v>
      </c>
      <c r="E464" s="10">
        <v>7.8254826177880403</v>
      </c>
      <c r="F464" s="4">
        <v>5.0571306702751398E-15</v>
      </c>
      <c r="G464" s="4">
        <v>1.2526512670271501E-13</v>
      </c>
      <c r="H464" s="10" t="s">
        <v>942</v>
      </c>
      <c r="I464" s="10" t="s">
        <v>18</v>
      </c>
    </row>
    <row r="465" spans="1:9" x14ac:dyDescent="0.2">
      <c r="A465" s="10" t="s">
        <v>943</v>
      </c>
      <c r="B465" s="10">
        <v>1794.5020800802199</v>
      </c>
      <c r="C465" s="10">
        <v>-1.70327990989669</v>
      </c>
      <c r="D465" s="10">
        <v>0.19736169933646899</v>
      </c>
      <c r="E465" s="10">
        <v>-8.6302454611159405</v>
      </c>
      <c r="F465" s="4">
        <v>6.1220448219474098E-18</v>
      </c>
      <c r="G465" s="4">
        <v>1.9670678686745401E-16</v>
      </c>
      <c r="H465" s="10" t="s">
        <v>944</v>
      </c>
      <c r="I465" s="10" t="s">
        <v>18</v>
      </c>
    </row>
    <row r="466" spans="1:9" x14ac:dyDescent="0.2">
      <c r="A466" s="10" t="s">
        <v>945</v>
      </c>
      <c r="B466" s="10">
        <v>225.210357881535</v>
      </c>
      <c r="C466" s="10">
        <v>1.48717769711376</v>
      </c>
      <c r="D466" s="10">
        <v>0.29873255592377501</v>
      </c>
      <c r="E466" s="10">
        <v>4.9782913432884204</v>
      </c>
      <c r="F466" s="4">
        <v>6.4148047534065201E-7</v>
      </c>
      <c r="G466" s="4">
        <v>5.6766542746368097E-6</v>
      </c>
      <c r="H466" s="10" t="s">
        <v>946</v>
      </c>
      <c r="I466" s="10" t="s">
        <v>18</v>
      </c>
    </row>
    <row r="467" spans="1:9" x14ac:dyDescent="0.2">
      <c r="A467" s="10" t="s">
        <v>947</v>
      </c>
      <c r="B467" s="10">
        <v>5.06698585153402</v>
      </c>
      <c r="C467" s="10">
        <v>5.7412832508036598</v>
      </c>
      <c r="D467" s="10">
        <v>2.0428499322073099</v>
      </c>
      <c r="E467" s="10">
        <v>2.8104282944563499</v>
      </c>
      <c r="F467" s="10">
        <v>4.9475612197975001E-3</v>
      </c>
      <c r="G467" s="10">
        <v>1.7564725257654502E-2</v>
      </c>
      <c r="H467" s="10" t="s">
        <v>948</v>
      </c>
      <c r="I467" s="10" t="s">
        <v>18</v>
      </c>
    </row>
    <row r="468" spans="1:9" x14ac:dyDescent="0.2">
      <c r="A468" s="10" t="s">
        <v>949</v>
      </c>
      <c r="B468" s="10">
        <v>518.45869424976399</v>
      </c>
      <c r="C468" s="10">
        <v>8.3828728564162809</v>
      </c>
      <c r="D468" s="10">
        <v>0.63272044635854696</v>
      </c>
      <c r="E468" s="10">
        <v>13.248936247693001</v>
      </c>
      <c r="F468" s="4">
        <v>4.5764395544972496E-40</v>
      </c>
      <c r="G468" s="4">
        <v>6.36195145619319E-38</v>
      </c>
      <c r="H468" s="10" t="s">
        <v>950</v>
      </c>
      <c r="I468" s="10" t="s">
        <v>18</v>
      </c>
    </row>
    <row r="469" spans="1:9" x14ac:dyDescent="0.2">
      <c r="A469" s="10" t="s">
        <v>951</v>
      </c>
      <c r="B469" s="10">
        <v>11.4505666376023</v>
      </c>
      <c r="C469" s="10">
        <v>6.91291091471654</v>
      </c>
      <c r="D469" s="10">
        <v>1.72661133309107</v>
      </c>
      <c r="E469" s="10">
        <v>4.0037446657671802</v>
      </c>
      <c r="F469" s="4">
        <v>6.2347656262021103E-5</v>
      </c>
      <c r="G469" s="10">
        <v>3.7396594317121997E-4</v>
      </c>
      <c r="H469" s="10" t="s">
        <v>952</v>
      </c>
      <c r="I469" s="10" t="s">
        <v>18</v>
      </c>
    </row>
    <row r="470" spans="1:9" x14ac:dyDescent="0.2">
      <c r="A470" s="10" t="s">
        <v>953</v>
      </c>
      <c r="B470" s="10">
        <v>41.898522718420402</v>
      </c>
      <c r="C470" s="10">
        <v>1.42701245743307</v>
      </c>
      <c r="D470" s="10">
        <v>0.54044810740105298</v>
      </c>
      <c r="E470" s="10">
        <v>2.6404245623051499</v>
      </c>
      <c r="F470" s="10">
        <v>8.2802224507592097E-3</v>
      </c>
      <c r="G470" s="10">
        <v>2.71493647552149E-2</v>
      </c>
      <c r="H470" s="10" t="s">
        <v>954</v>
      </c>
      <c r="I470" s="10" t="s">
        <v>18</v>
      </c>
    </row>
    <row r="471" spans="1:9" x14ac:dyDescent="0.2">
      <c r="A471" s="10" t="s">
        <v>955</v>
      </c>
      <c r="B471" s="10">
        <v>11433.772904576899</v>
      </c>
      <c r="C471" s="10">
        <v>1.46369637547673</v>
      </c>
      <c r="D471" s="10">
        <v>0.16846995168034401</v>
      </c>
      <c r="E471" s="10">
        <v>8.6881747212343399</v>
      </c>
      <c r="F471" s="4">
        <v>3.6830904331972202E-18</v>
      </c>
      <c r="G471" s="4">
        <v>1.2061678489582299E-16</v>
      </c>
      <c r="H471" s="10" t="s">
        <v>956</v>
      </c>
      <c r="I471" s="10" t="s">
        <v>18</v>
      </c>
    </row>
    <row r="472" spans="1:9" x14ac:dyDescent="0.2">
      <c r="A472" s="10" t="s">
        <v>957</v>
      </c>
      <c r="B472" s="10">
        <v>26.134387659874399</v>
      </c>
      <c r="C472" s="10">
        <v>2.8848485415432701</v>
      </c>
      <c r="D472" s="10">
        <v>0.77297522054349599</v>
      </c>
      <c r="E472" s="10">
        <v>3.7321358626669401</v>
      </c>
      <c r="F472" s="10">
        <v>1.89863044641128E-4</v>
      </c>
      <c r="G472" s="10">
        <v>1.0167449640992199E-3</v>
      </c>
      <c r="H472" s="10" t="s">
        <v>958</v>
      </c>
      <c r="I472" s="10" t="s">
        <v>18</v>
      </c>
    </row>
    <row r="473" spans="1:9" x14ac:dyDescent="0.2">
      <c r="A473" s="10" t="s">
        <v>959</v>
      </c>
      <c r="B473" s="10">
        <v>820.61923688984405</v>
      </c>
      <c r="C473" s="10">
        <v>1.3384821683696699</v>
      </c>
      <c r="D473" s="10">
        <v>0.20423685568505001</v>
      </c>
      <c r="E473" s="10">
        <v>6.5535780203829699</v>
      </c>
      <c r="F473" s="4">
        <v>5.6174562127246598E-11</v>
      </c>
      <c r="G473" s="4">
        <v>9.0728411042151004E-10</v>
      </c>
      <c r="H473" s="10" t="s">
        <v>960</v>
      </c>
      <c r="I473" s="10" t="s">
        <v>18</v>
      </c>
    </row>
    <row r="474" spans="1:9" x14ac:dyDescent="0.2">
      <c r="A474" s="10" t="s">
        <v>961</v>
      </c>
      <c r="B474" s="10">
        <v>11.6377687423818</v>
      </c>
      <c r="C474" s="10">
        <v>6.9395150305460804</v>
      </c>
      <c r="D474" s="10">
        <v>1.73020727560748</v>
      </c>
      <c r="E474" s="10">
        <v>4.01079982056463</v>
      </c>
      <c r="F474" s="4">
        <v>6.0513401513346498E-5</v>
      </c>
      <c r="G474" s="10">
        <v>3.6387132610487502E-4</v>
      </c>
      <c r="H474" s="10" t="s">
        <v>962</v>
      </c>
      <c r="I474" s="10" t="s">
        <v>18</v>
      </c>
    </row>
    <row r="475" spans="1:9" x14ac:dyDescent="0.2">
      <c r="A475" s="10" t="s">
        <v>963</v>
      </c>
      <c r="B475" s="10">
        <v>40.003764696987702</v>
      </c>
      <c r="C475" s="10">
        <v>3.32283927260726</v>
      </c>
      <c r="D475" s="10">
        <v>0.68047530790277599</v>
      </c>
      <c r="E475" s="10">
        <v>4.8831151314634003</v>
      </c>
      <c r="F475" s="4">
        <v>1.0442285828289901E-6</v>
      </c>
      <c r="G475" s="4">
        <v>8.9247478658536294E-6</v>
      </c>
      <c r="H475" s="10" t="s">
        <v>964</v>
      </c>
      <c r="I475" s="10" t="s">
        <v>18</v>
      </c>
    </row>
    <row r="476" spans="1:9" x14ac:dyDescent="0.2">
      <c r="A476" s="10" t="s">
        <v>965</v>
      </c>
      <c r="B476" s="10">
        <v>20.460951400466399</v>
      </c>
      <c r="C476" s="10">
        <v>4.2311678693854899</v>
      </c>
      <c r="D476" s="10">
        <v>1.01467252614561</v>
      </c>
      <c r="E476" s="10">
        <v>4.1699836748889103</v>
      </c>
      <c r="F476" s="4">
        <v>3.0462145918990701E-5</v>
      </c>
      <c r="G476" s="10">
        <v>1.9520274926028701E-4</v>
      </c>
      <c r="H476" s="10" t="s">
        <v>966</v>
      </c>
      <c r="I476" s="10" t="s">
        <v>18</v>
      </c>
    </row>
    <row r="477" spans="1:9" x14ac:dyDescent="0.2">
      <c r="A477" s="10" t="s">
        <v>967</v>
      </c>
      <c r="B477" s="10">
        <v>113.65261493312499</v>
      </c>
      <c r="C477" s="10">
        <v>1.3280452938462699</v>
      </c>
      <c r="D477" s="10">
        <v>0.37707261871041697</v>
      </c>
      <c r="E477" s="10">
        <v>3.52198814750369</v>
      </c>
      <c r="F477" s="10">
        <v>4.2832329295959499E-4</v>
      </c>
      <c r="G477" s="10">
        <v>2.0892453926369598E-3</v>
      </c>
      <c r="H477" s="10" t="s">
        <v>968</v>
      </c>
      <c r="I477" s="10" t="s">
        <v>18</v>
      </c>
    </row>
    <row r="478" spans="1:9" x14ac:dyDescent="0.2">
      <c r="A478" s="10" t="s">
        <v>969</v>
      </c>
      <c r="B478" s="10">
        <v>6402.0160443286004</v>
      </c>
      <c r="C478" s="10">
        <v>-2.4687064210425498</v>
      </c>
      <c r="D478" s="10">
        <v>0.18640940421794799</v>
      </c>
      <c r="E478" s="10">
        <v>-13.243465003279301</v>
      </c>
      <c r="F478" s="4">
        <v>4.9224332458374503E-40</v>
      </c>
      <c r="G478" s="4">
        <v>6.8081999314382299E-38</v>
      </c>
      <c r="H478" s="10" t="s">
        <v>970</v>
      </c>
      <c r="I478" s="10" t="s">
        <v>18</v>
      </c>
    </row>
    <row r="479" spans="1:9" x14ac:dyDescent="0.2">
      <c r="A479" s="10" t="s">
        <v>971</v>
      </c>
      <c r="B479" s="10">
        <v>695.343719135892</v>
      </c>
      <c r="C479" s="10">
        <v>-1.0409521405069699</v>
      </c>
      <c r="D479" s="10">
        <v>0.215205239107187</v>
      </c>
      <c r="E479" s="10">
        <v>-4.8370204406989403</v>
      </c>
      <c r="F479" s="4">
        <v>1.3179987891946E-6</v>
      </c>
      <c r="G479" s="4">
        <v>1.10701334800202E-5</v>
      </c>
      <c r="H479" s="10" t="s">
        <v>972</v>
      </c>
      <c r="I479" s="10" t="s">
        <v>18</v>
      </c>
    </row>
    <row r="480" spans="1:9" x14ac:dyDescent="0.2">
      <c r="A480" s="10" t="s">
        <v>973</v>
      </c>
      <c r="B480" s="10">
        <v>177.92160813865701</v>
      </c>
      <c r="C480" s="10">
        <v>7.0949934826671504</v>
      </c>
      <c r="D480" s="10">
        <v>0.71471310505410501</v>
      </c>
      <c r="E480" s="10">
        <v>9.9270510537651901</v>
      </c>
      <c r="F480" s="4">
        <v>3.1750675354330603E-23</v>
      </c>
      <c r="G480" s="4">
        <v>1.55595440895584E-21</v>
      </c>
      <c r="H480" s="10" t="s">
        <v>974</v>
      </c>
      <c r="I480" s="10" t="s">
        <v>18</v>
      </c>
    </row>
    <row r="481" spans="1:9" x14ac:dyDescent="0.2">
      <c r="A481" s="10" t="s">
        <v>975</v>
      </c>
      <c r="B481" s="10">
        <v>65.978142691758705</v>
      </c>
      <c r="C481" s="10">
        <v>-2.25431609055354</v>
      </c>
      <c r="D481" s="10">
        <v>0.46153172129773801</v>
      </c>
      <c r="E481" s="10">
        <v>-4.8844228609354099</v>
      </c>
      <c r="F481" s="4">
        <v>1.0373224251183601E-6</v>
      </c>
      <c r="G481" s="4">
        <v>8.8685045865077092E-6</v>
      </c>
      <c r="H481" s="10" t="s">
        <v>976</v>
      </c>
      <c r="I481" s="10" t="s">
        <v>18</v>
      </c>
    </row>
    <row r="482" spans="1:9" x14ac:dyDescent="0.2">
      <c r="A482" s="10" t="s">
        <v>977</v>
      </c>
      <c r="B482" s="10">
        <v>56.612950351186299</v>
      </c>
      <c r="C482" s="10">
        <v>6.1706682375068098</v>
      </c>
      <c r="D482" s="10">
        <v>0.97360366506182805</v>
      </c>
      <c r="E482" s="10">
        <v>6.33796734640985</v>
      </c>
      <c r="F482" s="4">
        <v>2.3281615299465499E-10</v>
      </c>
      <c r="G482" s="4">
        <v>3.4160794315042902E-9</v>
      </c>
      <c r="H482" s="10" t="s">
        <v>978</v>
      </c>
      <c r="I482" s="10" t="s">
        <v>18</v>
      </c>
    </row>
    <row r="483" spans="1:9" x14ac:dyDescent="0.2">
      <c r="A483" s="10" t="s">
        <v>979</v>
      </c>
      <c r="B483" s="10">
        <v>2746.4258501172699</v>
      </c>
      <c r="C483" s="10">
        <v>1.1985672027946399</v>
      </c>
      <c r="D483" s="10">
        <v>0.17907541660926099</v>
      </c>
      <c r="E483" s="10">
        <v>6.6930862174671804</v>
      </c>
      <c r="F483" s="4">
        <v>2.1851230629380599E-11</v>
      </c>
      <c r="G483" s="4">
        <v>3.7095357069080001E-10</v>
      </c>
      <c r="H483" s="10" t="s">
        <v>980</v>
      </c>
      <c r="I483" s="10" t="s">
        <v>18</v>
      </c>
    </row>
    <row r="484" spans="1:9" x14ac:dyDescent="0.2">
      <c r="A484" s="10" t="s">
        <v>981</v>
      </c>
      <c r="B484" s="10">
        <v>12235.976597892801</v>
      </c>
      <c r="C484" s="10">
        <v>1.17361492604968</v>
      </c>
      <c r="D484" s="10">
        <v>0.204237604981683</v>
      </c>
      <c r="E484" s="10">
        <v>5.7463214286856603</v>
      </c>
      <c r="F484" s="4">
        <v>9.1205854569125305E-9</v>
      </c>
      <c r="G484" s="4">
        <v>1.0880411205976199E-7</v>
      </c>
      <c r="H484" s="10" t="s">
        <v>982</v>
      </c>
      <c r="I484" s="10" t="s">
        <v>18</v>
      </c>
    </row>
    <row r="485" spans="1:9" x14ac:dyDescent="0.2">
      <c r="A485" s="10" t="s">
        <v>983</v>
      </c>
      <c r="B485" s="10">
        <v>86.347686489473205</v>
      </c>
      <c r="C485" s="10">
        <v>1.97437700924682</v>
      </c>
      <c r="D485" s="10">
        <v>0.41679682304709498</v>
      </c>
      <c r="E485" s="10">
        <v>4.73702509249628</v>
      </c>
      <c r="F485" s="4">
        <v>2.1687832119248E-6</v>
      </c>
      <c r="G485" s="4">
        <v>1.7518816125422201E-5</v>
      </c>
      <c r="H485" s="10" t="s">
        <v>984</v>
      </c>
      <c r="I485" s="10" t="s">
        <v>18</v>
      </c>
    </row>
    <row r="486" spans="1:9" x14ac:dyDescent="0.2">
      <c r="A486" s="10" t="s">
        <v>985</v>
      </c>
      <c r="B486" s="10">
        <v>23.841580240364699</v>
      </c>
      <c r="C486" s="10">
        <v>2.8976421939896602</v>
      </c>
      <c r="D486" s="10">
        <v>0.81407217255254805</v>
      </c>
      <c r="E486" s="10">
        <v>3.5594414005136898</v>
      </c>
      <c r="F486" s="10">
        <v>3.71644444870012E-4</v>
      </c>
      <c r="G486" s="10">
        <v>1.84616156597506E-3</v>
      </c>
      <c r="H486" s="10" t="s">
        <v>986</v>
      </c>
      <c r="I486" s="10" t="s">
        <v>18</v>
      </c>
    </row>
    <row r="487" spans="1:9" x14ac:dyDescent="0.2">
      <c r="A487" s="10" t="s">
        <v>987</v>
      </c>
      <c r="B487" s="10">
        <v>15154.5796340868</v>
      </c>
      <c r="C487" s="10">
        <v>5.2634856642543104</v>
      </c>
      <c r="D487" s="10">
        <v>0.19699727564077299</v>
      </c>
      <c r="E487" s="10">
        <v>26.718570838778099</v>
      </c>
      <c r="F487" s="4">
        <v>2.8642302306309702E-157</v>
      </c>
      <c r="G487" s="4">
        <v>1.9510420273500501E-153</v>
      </c>
      <c r="H487" s="10" t="s">
        <v>988</v>
      </c>
      <c r="I487" s="10" t="s">
        <v>18</v>
      </c>
    </row>
    <row r="488" spans="1:9" x14ac:dyDescent="0.2">
      <c r="A488" s="10" t="s">
        <v>989</v>
      </c>
      <c r="B488" s="10">
        <v>14.364524299261699</v>
      </c>
      <c r="C488" s="10">
        <v>2.3690041802474902</v>
      </c>
      <c r="D488" s="10">
        <v>0.95022134694058302</v>
      </c>
      <c r="E488" s="10">
        <v>2.4931077247158799</v>
      </c>
      <c r="F488" s="10">
        <v>1.26630421031768E-2</v>
      </c>
      <c r="G488" s="10">
        <v>3.8767405414074002E-2</v>
      </c>
      <c r="H488" s="10" t="s">
        <v>990</v>
      </c>
      <c r="I488" s="10" t="s">
        <v>18</v>
      </c>
    </row>
    <row r="489" spans="1:9" x14ac:dyDescent="0.2">
      <c r="A489" s="10" t="s">
        <v>991</v>
      </c>
      <c r="B489" s="10">
        <v>740.29466015039998</v>
      </c>
      <c r="C489" s="10">
        <v>-1.2691429320162699</v>
      </c>
      <c r="D489" s="10">
        <v>0.26318957193135101</v>
      </c>
      <c r="E489" s="10">
        <v>-4.8221626818379697</v>
      </c>
      <c r="F489" s="4">
        <v>1.42010049447751E-6</v>
      </c>
      <c r="G489" s="4">
        <v>1.18437337536054E-5</v>
      </c>
      <c r="H489" s="10" t="s">
        <v>992</v>
      </c>
      <c r="I489" s="10" t="s">
        <v>18</v>
      </c>
    </row>
    <row r="490" spans="1:9" x14ac:dyDescent="0.2">
      <c r="A490" s="10" t="s">
        <v>993</v>
      </c>
      <c r="B490" s="10">
        <v>2107.06889062049</v>
      </c>
      <c r="C490" s="10">
        <v>-1.0592520427529299</v>
      </c>
      <c r="D490" s="10">
        <v>0.20702775485488101</v>
      </c>
      <c r="E490" s="10">
        <v>-5.1164736027564501</v>
      </c>
      <c r="F490" s="4">
        <v>3.1130082878244602E-7</v>
      </c>
      <c r="G490" s="4">
        <v>2.9047992061079802E-6</v>
      </c>
      <c r="H490" s="10" t="s">
        <v>994</v>
      </c>
      <c r="I490" s="10" t="s">
        <v>18</v>
      </c>
    </row>
    <row r="491" spans="1:9" x14ac:dyDescent="0.2">
      <c r="A491" s="10" t="s">
        <v>995</v>
      </c>
      <c r="B491" s="10">
        <v>45.5988481280746</v>
      </c>
      <c r="C491" s="10">
        <v>1.9585728107884199</v>
      </c>
      <c r="D491" s="10">
        <v>0.55344617529714402</v>
      </c>
      <c r="E491" s="10">
        <v>3.5388677313324401</v>
      </c>
      <c r="F491" s="10">
        <v>4.0184714811346099E-4</v>
      </c>
      <c r="G491" s="10">
        <v>1.9781624651576302E-3</v>
      </c>
      <c r="H491" s="10" t="s">
        <v>996</v>
      </c>
      <c r="I491" s="10" t="s">
        <v>18</v>
      </c>
    </row>
    <row r="492" spans="1:9" x14ac:dyDescent="0.2">
      <c r="A492" s="10" t="s">
        <v>997</v>
      </c>
      <c r="B492" s="10">
        <v>228.302419952842</v>
      </c>
      <c r="C492" s="10">
        <v>2.1969947447770801</v>
      </c>
      <c r="D492" s="10">
        <v>0.30555091844138899</v>
      </c>
      <c r="E492" s="10">
        <v>7.1902737389365896</v>
      </c>
      <c r="F492" s="4">
        <v>6.4661549373910302E-13</v>
      </c>
      <c r="G492" s="4">
        <v>1.31186391347054E-11</v>
      </c>
      <c r="H492" s="10" t="s">
        <v>998</v>
      </c>
      <c r="I492" s="10" t="s">
        <v>18</v>
      </c>
    </row>
    <row r="493" spans="1:9" x14ac:dyDescent="0.2">
      <c r="A493" s="10" t="s">
        <v>999</v>
      </c>
      <c r="B493" s="10">
        <v>350.19051621844199</v>
      </c>
      <c r="C493" s="10">
        <v>2.4926451759945798</v>
      </c>
      <c r="D493" s="10">
        <v>0.27615478365620499</v>
      </c>
      <c r="E493" s="10">
        <v>9.0262610808066306</v>
      </c>
      <c r="F493" s="4">
        <v>1.77637418831407E-19</v>
      </c>
      <c r="G493" s="4">
        <v>6.4793664670674197E-18</v>
      </c>
      <c r="H493" s="10" t="s">
        <v>1000</v>
      </c>
      <c r="I493" s="10" t="s">
        <v>18</v>
      </c>
    </row>
    <row r="494" spans="1:9" x14ac:dyDescent="0.2">
      <c r="A494" s="10" t="s">
        <v>1001</v>
      </c>
      <c r="B494" s="10">
        <v>182.20396928064201</v>
      </c>
      <c r="C494" s="10">
        <v>5.8544232773187304</v>
      </c>
      <c r="D494" s="10">
        <v>0.50600437206133897</v>
      </c>
      <c r="E494" s="10">
        <v>11.5699065078612</v>
      </c>
      <c r="F494" s="4">
        <v>5.8546432301582804E-31</v>
      </c>
      <c r="G494" s="4">
        <v>4.9083527412960799E-29</v>
      </c>
      <c r="H494" s="10" t="s">
        <v>1002</v>
      </c>
      <c r="I494" s="10" t="s">
        <v>18</v>
      </c>
    </row>
    <row r="495" spans="1:9" x14ac:dyDescent="0.2">
      <c r="A495" s="10" t="s">
        <v>1003</v>
      </c>
      <c r="B495" s="10">
        <v>6.8940879426980901</v>
      </c>
      <c r="C495" s="10">
        <v>4.6828026687353104</v>
      </c>
      <c r="D495" s="10">
        <v>1.88971457844805</v>
      </c>
      <c r="E495" s="10">
        <v>2.4780475962571602</v>
      </c>
      <c r="F495" s="10">
        <v>1.32103521520789E-2</v>
      </c>
      <c r="G495" s="10">
        <v>4.0154224128479903E-2</v>
      </c>
      <c r="H495" s="10" t="s">
        <v>1004</v>
      </c>
      <c r="I495" s="10" t="s">
        <v>18</v>
      </c>
    </row>
    <row r="496" spans="1:9" x14ac:dyDescent="0.2">
      <c r="A496" s="10" t="s">
        <v>1005</v>
      </c>
      <c r="B496" s="10">
        <v>48.247982749654597</v>
      </c>
      <c r="C496" s="10">
        <v>2.3843502459773198</v>
      </c>
      <c r="D496" s="10">
        <v>0.53893701488873902</v>
      </c>
      <c r="E496" s="10">
        <v>4.4241723617175603</v>
      </c>
      <c r="F496" s="4">
        <v>9.6812705738861598E-6</v>
      </c>
      <c r="G496" s="4">
        <v>6.9035744393267803E-5</v>
      </c>
      <c r="H496" s="10" t="s">
        <v>1006</v>
      </c>
      <c r="I496" s="10" t="s">
        <v>18</v>
      </c>
    </row>
    <row r="497" spans="1:9" x14ac:dyDescent="0.2">
      <c r="A497" s="10" t="s">
        <v>1007</v>
      </c>
      <c r="B497" s="10">
        <v>180.29455588333499</v>
      </c>
      <c r="C497" s="10">
        <v>2.8144648995003299</v>
      </c>
      <c r="D497" s="10">
        <v>0.321836278541133</v>
      </c>
      <c r="E497" s="10">
        <v>8.7450206429745805</v>
      </c>
      <c r="F497" s="4">
        <v>2.2297487702327302E-18</v>
      </c>
      <c r="G497" s="4">
        <v>7.4820153623806794E-17</v>
      </c>
      <c r="H497" s="10" t="s">
        <v>1008</v>
      </c>
      <c r="I497" s="10" t="s">
        <v>18</v>
      </c>
    </row>
    <row r="498" spans="1:9" x14ac:dyDescent="0.2">
      <c r="A498" s="10" t="s">
        <v>1009</v>
      </c>
      <c r="B498" s="10">
        <v>24.855157898666398</v>
      </c>
      <c r="C498" s="10">
        <v>3.2790879045848298</v>
      </c>
      <c r="D498" s="10">
        <v>0.79332345878463995</v>
      </c>
      <c r="E498" s="10">
        <v>4.1333555289142101</v>
      </c>
      <c r="F498" s="4">
        <v>3.5750505208840401E-5</v>
      </c>
      <c r="G498" s="10">
        <v>2.2529383921333801E-4</v>
      </c>
      <c r="H498" s="10" t="s">
        <v>1010</v>
      </c>
      <c r="I498" s="10" t="s">
        <v>18</v>
      </c>
    </row>
    <row r="499" spans="1:9" x14ac:dyDescent="0.2">
      <c r="A499" s="10" t="s">
        <v>1011</v>
      </c>
      <c r="B499" s="10">
        <v>4383.9512706122396</v>
      </c>
      <c r="C499" s="10">
        <v>-1.19003686368231</v>
      </c>
      <c r="D499" s="10">
        <v>0.19779664140543199</v>
      </c>
      <c r="E499" s="10">
        <v>-6.0164664840948303</v>
      </c>
      <c r="F499" s="4">
        <v>1.7826538590626799E-9</v>
      </c>
      <c r="G499" s="4">
        <v>2.3318276379203398E-8</v>
      </c>
      <c r="H499" s="10" t="s">
        <v>1012</v>
      </c>
      <c r="I499" s="10" t="s">
        <v>18</v>
      </c>
    </row>
    <row r="500" spans="1:9" x14ac:dyDescent="0.2">
      <c r="A500" s="10" t="s">
        <v>1013</v>
      </c>
      <c r="B500" s="10">
        <v>36.616362375084996</v>
      </c>
      <c r="C500" s="10">
        <v>1.4594815182894401</v>
      </c>
      <c r="D500" s="10">
        <v>0.60317398158614499</v>
      </c>
      <c r="E500" s="10">
        <v>2.4196692212278301</v>
      </c>
      <c r="F500" s="10">
        <v>1.55346308639666E-2</v>
      </c>
      <c r="G500" s="10">
        <v>4.5917996002440599E-2</v>
      </c>
      <c r="H500" s="10" t="s">
        <v>1014</v>
      </c>
      <c r="I500" s="10" t="s">
        <v>18</v>
      </c>
    </row>
    <row r="501" spans="1:9" x14ac:dyDescent="0.2">
      <c r="A501" s="10" t="s">
        <v>1015</v>
      </c>
      <c r="B501" s="10">
        <v>3676.5491292228198</v>
      </c>
      <c r="C501" s="10">
        <v>-1.1584428598713901</v>
      </c>
      <c r="D501" s="10">
        <v>0.20759658868978101</v>
      </c>
      <c r="E501" s="10">
        <v>-5.5802596140078702</v>
      </c>
      <c r="F501" s="4">
        <v>2.4015985245865901E-8</v>
      </c>
      <c r="G501" s="4">
        <v>2.71182573557442E-7</v>
      </c>
      <c r="H501" s="10" t="s">
        <v>1016</v>
      </c>
      <c r="I501" s="10" t="s">
        <v>18</v>
      </c>
    </row>
    <row r="502" spans="1:9" x14ac:dyDescent="0.2">
      <c r="A502" s="10" t="s">
        <v>1017</v>
      </c>
      <c r="B502" s="10">
        <v>604.24903091001295</v>
      </c>
      <c r="C502" s="10">
        <v>-2.2649126703798399</v>
      </c>
      <c r="D502" s="10">
        <v>0.24105132861810599</v>
      </c>
      <c r="E502" s="10">
        <v>-9.3959767131925105</v>
      </c>
      <c r="F502" s="4">
        <v>5.66893874487867E-21</v>
      </c>
      <c r="G502" s="4">
        <v>2.3984716456787102E-19</v>
      </c>
      <c r="H502" s="10" t="s">
        <v>1018</v>
      </c>
      <c r="I502" s="10" t="s">
        <v>18</v>
      </c>
    </row>
    <row r="503" spans="1:9" x14ac:dyDescent="0.2">
      <c r="A503" s="10" t="s">
        <v>1019</v>
      </c>
      <c r="B503" s="10">
        <v>347.100041023919</v>
      </c>
      <c r="C503" s="10">
        <v>-2.5519946110840199</v>
      </c>
      <c r="D503" s="10">
        <v>0.25431697655551999</v>
      </c>
      <c r="E503" s="10">
        <v>-10.034700182616</v>
      </c>
      <c r="F503" s="4">
        <v>1.07284834090879E-23</v>
      </c>
      <c r="G503" s="4">
        <v>5.4233578376144298E-22</v>
      </c>
      <c r="H503" s="10" t="s">
        <v>1020</v>
      </c>
      <c r="I503" s="10" t="s">
        <v>18</v>
      </c>
    </row>
    <row r="504" spans="1:9" x14ac:dyDescent="0.2">
      <c r="A504" s="10" t="s">
        <v>1021</v>
      </c>
      <c r="B504" s="10">
        <v>70.621592673122294</v>
      </c>
      <c r="C504" s="10">
        <v>2.19214833050636</v>
      </c>
      <c r="D504" s="10">
        <v>0.52862596961442898</v>
      </c>
      <c r="E504" s="10">
        <v>4.1468797533826702</v>
      </c>
      <c r="F504" s="4">
        <v>3.3703695439085698E-5</v>
      </c>
      <c r="G504" s="10">
        <v>2.1376270708304599E-4</v>
      </c>
      <c r="H504" s="10" t="s">
        <v>1022</v>
      </c>
      <c r="I504" s="10" t="s">
        <v>18</v>
      </c>
    </row>
    <row r="505" spans="1:9" x14ac:dyDescent="0.2">
      <c r="A505" s="10" t="s">
        <v>1023</v>
      </c>
      <c r="B505" s="10">
        <v>1809.1644874245801</v>
      </c>
      <c r="C505" s="10">
        <v>1.0355196362249</v>
      </c>
      <c r="D505" s="10">
        <v>0.18760477351028901</v>
      </c>
      <c r="E505" s="10">
        <v>5.5196870359384</v>
      </c>
      <c r="F505" s="4">
        <v>3.3960395414309501E-8</v>
      </c>
      <c r="G505" s="4">
        <v>3.7416857818588403E-7</v>
      </c>
      <c r="H505" s="10" t="s">
        <v>1024</v>
      </c>
      <c r="I505" s="10" t="s">
        <v>18</v>
      </c>
    </row>
    <row r="506" spans="1:9" x14ac:dyDescent="0.2">
      <c r="A506" s="10" t="s">
        <v>1025</v>
      </c>
      <c r="B506" s="10">
        <v>207.10229064225101</v>
      </c>
      <c r="C506" s="10">
        <v>3.2323501535234298</v>
      </c>
      <c r="D506" s="10">
        <v>0.32801505996617403</v>
      </c>
      <c r="E506" s="10">
        <v>9.8542736234633708</v>
      </c>
      <c r="F506" s="4">
        <v>6.5689949169409499E-23</v>
      </c>
      <c r="G506" s="4">
        <v>3.1456134358855902E-21</v>
      </c>
      <c r="H506" s="10" t="s">
        <v>1026</v>
      </c>
      <c r="I506" s="10" t="s">
        <v>18</v>
      </c>
    </row>
    <row r="507" spans="1:9" x14ac:dyDescent="0.2">
      <c r="A507" s="10" t="s">
        <v>1027</v>
      </c>
      <c r="B507" s="10">
        <v>2307.0184613951301</v>
      </c>
      <c r="C507" s="10">
        <v>1.53671009581466</v>
      </c>
      <c r="D507" s="10">
        <v>0.214965802081684</v>
      </c>
      <c r="E507" s="10">
        <v>7.1486258787838999</v>
      </c>
      <c r="F507" s="4">
        <v>8.7650852525180402E-13</v>
      </c>
      <c r="G507" s="4">
        <v>1.74961375732864E-11</v>
      </c>
      <c r="H507" s="10" t="s">
        <v>1028</v>
      </c>
      <c r="I507" s="10" t="s">
        <v>18</v>
      </c>
    </row>
    <row r="508" spans="1:9" x14ac:dyDescent="0.2">
      <c r="A508" s="10" t="s">
        <v>1029</v>
      </c>
      <c r="B508" s="10">
        <v>221.49823084035401</v>
      </c>
      <c r="C508" s="10">
        <v>2.99323929495351</v>
      </c>
      <c r="D508" s="10">
        <v>0.326381471884442</v>
      </c>
      <c r="E508" s="10">
        <v>9.1709841176685707</v>
      </c>
      <c r="F508" s="4">
        <v>4.68720150811967E-20</v>
      </c>
      <c r="G508" s="4">
        <v>1.81667396147563E-18</v>
      </c>
      <c r="H508" s="10" t="s">
        <v>1030</v>
      </c>
      <c r="I508" s="10" t="s">
        <v>18</v>
      </c>
    </row>
    <row r="509" spans="1:9" x14ac:dyDescent="0.2">
      <c r="A509" s="10" t="s">
        <v>1031</v>
      </c>
      <c r="B509" s="10">
        <v>4.21848048911448</v>
      </c>
      <c r="C509" s="10">
        <v>5.4675059121987797</v>
      </c>
      <c r="D509" s="10">
        <v>2.1651366155771901</v>
      </c>
      <c r="E509" s="10">
        <v>2.52524753997624</v>
      </c>
      <c r="F509" s="10">
        <v>1.15616818810764E-2</v>
      </c>
      <c r="G509" s="10">
        <v>3.5899845722357597E-2</v>
      </c>
      <c r="H509" s="10" t="s">
        <v>1032</v>
      </c>
      <c r="I509" s="10" t="s">
        <v>18</v>
      </c>
    </row>
    <row r="510" spans="1:9" x14ac:dyDescent="0.2">
      <c r="A510" s="10" t="s">
        <v>1033</v>
      </c>
      <c r="B510" s="10">
        <v>11.6797693678293</v>
      </c>
      <c r="C510" s="10">
        <v>4.4231831521922897</v>
      </c>
      <c r="D510" s="10">
        <v>1.3951901266628699</v>
      </c>
      <c r="E510" s="10">
        <v>3.1703085247399501</v>
      </c>
      <c r="F510" s="10">
        <v>1.5227715688664999E-3</v>
      </c>
      <c r="G510" s="10">
        <v>6.3646198706711803E-3</v>
      </c>
      <c r="H510" s="10" t="s">
        <v>1034</v>
      </c>
      <c r="I510" s="10" t="s">
        <v>18</v>
      </c>
    </row>
    <row r="511" spans="1:9" x14ac:dyDescent="0.2">
      <c r="A511" s="10" t="s">
        <v>1035</v>
      </c>
      <c r="B511" s="10">
        <v>1484.39846998398</v>
      </c>
      <c r="C511" s="10">
        <v>2.1513896605375402</v>
      </c>
      <c r="D511" s="10">
        <v>0.19039923692255001</v>
      </c>
      <c r="E511" s="10">
        <v>11.2993607291224</v>
      </c>
      <c r="F511" s="4">
        <v>1.3217665597545499E-29</v>
      </c>
      <c r="G511" s="4">
        <v>1.0059824987048101E-27</v>
      </c>
      <c r="H511" s="10" t="s">
        <v>1036</v>
      </c>
      <c r="I511" s="10" t="s">
        <v>18</v>
      </c>
    </row>
    <row r="512" spans="1:9" x14ac:dyDescent="0.2">
      <c r="A512" s="10" t="s">
        <v>1037</v>
      </c>
      <c r="B512" s="10">
        <v>32.714935823525302</v>
      </c>
      <c r="C512" s="10">
        <v>4.6046625068620699</v>
      </c>
      <c r="D512" s="10">
        <v>0.85676270819136402</v>
      </c>
      <c r="E512" s="10">
        <v>5.3744898824816598</v>
      </c>
      <c r="F512" s="4">
        <v>7.6799795358699193E-8</v>
      </c>
      <c r="G512" s="4">
        <v>7.9565172020474401E-7</v>
      </c>
      <c r="H512" s="10" t="s">
        <v>1038</v>
      </c>
      <c r="I512" s="10" t="s">
        <v>18</v>
      </c>
    </row>
    <row r="513" spans="1:9" x14ac:dyDescent="0.2">
      <c r="A513" s="10" t="s">
        <v>1039</v>
      </c>
      <c r="B513" s="10">
        <v>14.5034595610653</v>
      </c>
      <c r="C513" s="10">
        <v>4.7622256261078304</v>
      </c>
      <c r="D513" s="10">
        <v>1.3164916043039001</v>
      </c>
      <c r="E513" s="10">
        <v>3.6173611822050802</v>
      </c>
      <c r="F513" s="10">
        <v>2.9762185939406202E-4</v>
      </c>
      <c r="G513" s="10">
        <v>1.51208331212195E-3</v>
      </c>
      <c r="H513" s="10" t="s">
        <v>1040</v>
      </c>
      <c r="I513" s="10" t="s">
        <v>18</v>
      </c>
    </row>
    <row r="514" spans="1:9" x14ac:dyDescent="0.2">
      <c r="A514" s="10" t="s">
        <v>1041</v>
      </c>
      <c r="B514" s="10">
        <v>7.5582290917484896</v>
      </c>
      <c r="C514" s="10">
        <v>6.3108766697947098</v>
      </c>
      <c r="D514" s="10">
        <v>1.86957021130238</v>
      </c>
      <c r="E514" s="10">
        <v>3.3755761787616598</v>
      </c>
      <c r="F514" s="10">
        <v>7.3661296188052097E-4</v>
      </c>
      <c r="G514" s="10">
        <v>3.3828574704801201E-3</v>
      </c>
      <c r="H514" s="10" t="s">
        <v>1042</v>
      </c>
      <c r="I514" s="10" t="s">
        <v>18</v>
      </c>
    </row>
    <row r="515" spans="1:9" x14ac:dyDescent="0.2">
      <c r="A515" s="10" t="s">
        <v>1043</v>
      </c>
      <c r="B515" s="10">
        <v>1198.87402733727</v>
      </c>
      <c r="C515" s="10">
        <v>-1.0395434828699399</v>
      </c>
      <c r="D515" s="10">
        <v>0.19616640860319401</v>
      </c>
      <c r="E515" s="10">
        <v>-5.2992940548385699</v>
      </c>
      <c r="F515" s="4">
        <v>1.16251279183216E-7</v>
      </c>
      <c r="G515" s="4">
        <v>1.1679567123543799E-6</v>
      </c>
      <c r="H515" s="10" t="s">
        <v>1044</v>
      </c>
      <c r="I515" s="10" t="s">
        <v>18</v>
      </c>
    </row>
    <row r="516" spans="1:9" x14ac:dyDescent="0.2">
      <c r="A516" s="10" t="s">
        <v>1045</v>
      </c>
      <c r="B516" s="10">
        <v>47.034301816667302</v>
      </c>
      <c r="C516" s="10">
        <v>2.17432319100309</v>
      </c>
      <c r="D516" s="10">
        <v>0.535620799871242</v>
      </c>
      <c r="E516" s="10">
        <v>4.0594450244011799</v>
      </c>
      <c r="F516" s="4">
        <v>4.9189486942369103E-5</v>
      </c>
      <c r="G516" s="10">
        <v>3.0220201820038998E-4</v>
      </c>
      <c r="H516" s="10" t="s">
        <v>1046</v>
      </c>
      <c r="I516" s="10" t="s">
        <v>18</v>
      </c>
    </row>
    <row r="517" spans="1:9" x14ac:dyDescent="0.2">
      <c r="A517" s="10" t="s">
        <v>1047</v>
      </c>
      <c r="B517" s="10">
        <v>8.3677018268609409</v>
      </c>
      <c r="C517" s="10">
        <v>3.2975766106148101</v>
      </c>
      <c r="D517" s="10">
        <v>1.3454458937831699</v>
      </c>
      <c r="E517" s="10">
        <v>2.45091729504081</v>
      </c>
      <c r="F517" s="10">
        <v>1.42492689261919E-2</v>
      </c>
      <c r="G517" s="10">
        <v>4.2728280938466097E-2</v>
      </c>
      <c r="H517" s="10" t="s">
        <v>1048</v>
      </c>
      <c r="I517" s="10" t="s">
        <v>18</v>
      </c>
    </row>
    <row r="518" spans="1:9" x14ac:dyDescent="0.2">
      <c r="A518" s="10" t="s">
        <v>1049</v>
      </c>
      <c r="B518" s="10">
        <v>1138.1410679524699</v>
      </c>
      <c r="C518" s="10">
        <v>-1.0056288032599801</v>
      </c>
      <c r="D518" s="10">
        <v>0.19275927389154901</v>
      </c>
      <c r="E518" s="10">
        <v>-5.2170190463872297</v>
      </c>
      <c r="F518" s="4">
        <v>1.81825569528086E-7</v>
      </c>
      <c r="G518" s="4">
        <v>1.7718888744391201E-6</v>
      </c>
      <c r="H518" s="10" t="s">
        <v>1050</v>
      </c>
      <c r="I518" s="10" t="s">
        <v>18</v>
      </c>
    </row>
    <row r="519" spans="1:9" x14ac:dyDescent="0.2">
      <c r="A519" s="10" t="s">
        <v>1051</v>
      </c>
      <c r="B519" s="10">
        <v>2222.38369775713</v>
      </c>
      <c r="C519" s="10">
        <v>1.5717749831063099</v>
      </c>
      <c r="D519" s="10">
        <v>0.21170268782454599</v>
      </c>
      <c r="E519" s="10">
        <v>7.4244450991994899</v>
      </c>
      <c r="F519" s="4">
        <v>1.1325370658529499E-13</v>
      </c>
      <c r="G519" s="4">
        <v>2.51698510875167E-12</v>
      </c>
      <c r="H519" s="10" t="s">
        <v>1052</v>
      </c>
      <c r="I519" s="10" t="s">
        <v>18</v>
      </c>
    </row>
    <row r="520" spans="1:9" x14ac:dyDescent="0.2">
      <c r="A520" s="10" t="s">
        <v>1053</v>
      </c>
      <c r="B520" s="10">
        <v>66.316623942860303</v>
      </c>
      <c r="C520" s="10">
        <v>3.6404838306533001</v>
      </c>
      <c r="D520" s="10">
        <v>0.55145968371870902</v>
      </c>
      <c r="E520" s="10">
        <v>6.6015412153144002</v>
      </c>
      <c r="F520" s="4">
        <v>4.0690510451196303E-11</v>
      </c>
      <c r="G520" s="4">
        <v>6.6990594457023898E-10</v>
      </c>
      <c r="H520" s="10" t="s">
        <v>1054</v>
      </c>
      <c r="I520" s="10" t="s">
        <v>18</v>
      </c>
    </row>
    <row r="521" spans="1:9" x14ac:dyDescent="0.2">
      <c r="A521" s="10" t="s">
        <v>1055</v>
      </c>
      <c r="B521" s="10">
        <v>69.503020550103102</v>
      </c>
      <c r="C521" s="10">
        <v>5.4515848087961203</v>
      </c>
      <c r="D521" s="10">
        <v>0.72226959666463697</v>
      </c>
      <c r="E521" s="10">
        <v>7.5478530924892198</v>
      </c>
      <c r="F521" s="4">
        <v>4.4249163369088302E-14</v>
      </c>
      <c r="G521" s="4">
        <v>1.0182913465519801E-12</v>
      </c>
      <c r="H521" s="10" t="s">
        <v>1056</v>
      </c>
      <c r="I521" s="10" t="s">
        <v>18</v>
      </c>
    </row>
    <row r="522" spans="1:9" x14ac:dyDescent="0.2">
      <c r="A522" s="10" t="s">
        <v>1057</v>
      </c>
      <c r="B522" s="10">
        <v>355.78427764671301</v>
      </c>
      <c r="C522" s="10">
        <v>1.49816390592082</v>
      </c>
      <c r="D522" s="10">
        <v>0.25803154972720599</v>
      </c>
      <c r="E522" s="10">
        <v>5.8061268379959596</v>
      </c>
      <c r="F522" s="4">
        <v>6.3934535909556903E-9</v>
      </c>
      <c r="G522" s="4">
        <v>7.7977811097927399E-8</v>
      </c>
      <c r="H522" s="10" t="s">
        <v>1058</v>
      </c>
      <c r="I522" s="10" t="s">
        <v>18</v>
      </c>
    </row>
    <row r="523" spans="1:9" x14ac:dyDescent="0.2">
      <c r="A523" s="10" t="s">
        <v>1059</v>
      </c>
      <c r="B523" s="10">
        <v>1443.84096504694</v>
      </c>
      <c r="C523" s="10">
        <v>-1.28157489836218</v>
      </c>
      <c r="D523" s="10">
        <v>0.21921832257611301</v>
      </c>
      <c r="E523" s="10">
        <v>-5.8461121465666599</v>
      </c>
      <c r="F523" s="4">
        <v>5.0319486961655002E-9</v>
      </c>
      <c r="G523" s="4">
        <v>6.2434201331703703E-8</v>
      </c>
      <c r="H523" s="10" t="s">
        <v>1060</v>
      </c>
      <c r="I523" s="10" t="s">
        <v>18</v>
      </c>
    </row>
    <row r="524" spans="1:9" x14ac:dyDescent="0.2">
      <c r="A524" s="10" t="s">
        <v>1061</v>
      </c>
      <c r="B524" s="10">
        <v>17.3181757520926</v>
      </c>
      <c r="C524" s="10">
        <v>3.9827739889995799</v>
      </c>
      <c r="D524" s="10">
        <v>1.0519049812430801</v>
      </c>
      <c r="E524" s="10">
        <v>3.7862488152617999</v>
      </c>
      <c r="F524" s="10">
        <v>1.52938540920194E-4</v>
      </c>
      <c r="G524" s="10">
        <v>8.3963659569867295E-4</v>
      </c>
      <c r="H524" s="10" t="s">
        <v>1062</v>
      </c>
      <c r="I524" s="10" t="s">
        <v>18</v>
      </c>
    </row>
    <row r="525" spans="1:9" x14ac:dyDescent="0.2">
      <c r="A525" s="10" t="s">
        <v>1063</v>
      </c>
      <c r="B525" s="10">
        <v>25.637529574835199</v>
      </c>
      <c r="C525" s="10">
        <v>5.0084121360403602</v>
      </c>
      <c r="D525" s="10">
        <v>1.08604455139262</v>
      </c>
      <c r="E525" s="10">
        <v>4.6116083632279699</v>
      </c>
      <c r="F525" s="4">
        <v>3.9956526853937203E-6</v>
      </c>
      <c r="G525" s="4">
        <v>3.0762799864064097E-5</v>
      </c>
      <c r="H525" s="10" t="s">
        <v>1064</v>
      </c>
      <c r="I525" s="10" t="s">
        <v>18</v>
      </c>
    </row>
    <row r="526" spans="1:9" x14ac:dyDescent="0.2">
      <c r="A526" s="10" t="s">
        <v>1065</v>
      </c>
      <c r="B526" s="10">
        <v>1699.11550950279</v>
      </c>
      <c r="C526" s="10">
        <v>-1.8776309853703601</v>
      </c>
      <c r="D526" s="10">
        <v>0.21985718348420299</v>
      </c>
      <c r="E526" s="10">
        <v>-8.5402303241334696</v>
      </c>
      <c r="F526" s="4">
        <v>1.33954561878873E-17</v>
      </c>
      <c r="G526" s="4">
        <v>4.2049077736332301E-16</v>
      </c>
      <c r="H526" s="10" t="s">
        <v>1066</v>
      </c>
      <c r="I526" s="10" t="s">
        <v>18</v>
      </c>
    </row>
    <row r="527" spans="1:9" x14ac:dyDescent="0.2">
      <c r="A527" s="10" t="s">
        <v>1067</v>
      </c>
      <c r="B527" s="10">
        <v>22426.444169305301</v>
      </c>
      <c r="C527" s="10">
        <v>-1.6518145071054799</v>
      </c>
      <c r="D527" s="10">
        <v>0.18925795007013699</v>
      </c>
      <c r="E527" s="10">
        <v>-8.7278473981850606</v>
      </c>
      <c r="F527" s="4">
        <v>2.59565558578597E-18</v>
      </c>
      <c r="G527" s="4">
        <v>8.6353880031636396E-17</v>
      </c>
      <c r="H527" s="10" t="s">
        <v>1068</v>
      </c>
      <c r="I527" s="10" t="s">
        <v>18</v>
      </c>
    </row>
    <row r="528" spans="1:9" x14ac:dyDescent="0.2">
      <c r="A528" s="10" t="s">
        <v>1069</v>
      </c>
      <c r="B528" s="10">
        <v>924.22570487737005</v>
      </c>
      <c r="C528" s="10">
        <v>1.04278842830322</v>
      </c>
      <c r="D528" s="10">
        <v>0.23628050201742001</v>
      </c>
      <c r="E528" s="10">
        <v>4.4133494698023803</v>
      </c>
      <c r="F528" s="4">
        <v>1.01783496479825E-5</v>
      </c>
      <c r="G528" s="4">
        <v>7.2183626459807501E-5</v>
      </c>
      <c r="H528" s="10" t="s">
        <v>1070</v>
      </c>
      <c r="I528" s="10" t="s">
        <v>18</v>
      </c>
    </row>
    <row r="529" spans="1:9" x14ac:dyDescent="0.2">
      <c r="A529" s="10" t="s">
        <v>1071</v>
      </c>
      <c r="B529" s="10">
        <v>2153.1376020320699</v>
      </c>
      <c r="C529" s="10">
        <v>-1.2368278004663</v>
      </c>
      <c r="D529" s="10">
        <v>0.18369925723205199</v>
      </c>
      <c r="E529" s="10">
        <v>-6.7328949452632596</v>
      </c>
      <c r="F529" s="4">
        <v>1.6632015374623199E-11</v>
      </c>
      <c r="G529" s="4">
        <v>2.8573299048698499E-10</v>
      </c>
      <c r="H529" s="10" t="s">
        <v>1072</v>
      </c>
      <c r="I529" s="10" t="s">
        <v>18</v>
      </c>
    </row>
    <row r="530" spans="1:9" x14ac:dyDescent="0.2">
      <c r="A530" s="10" t="s">
        <v>1073</v>
      </c>
      <c r="B530" s="10">
        <v>2797.6025929244202</v>
      </c>
      <c r="C530" s="10">
        <v>-2.0187951314315402</v>
      </c>
      <c r="D530" s="10">
        <v>0.18021140105838701</v>
      </c>
      <c r="E530" s="10">
        <v>-11.202371878666399</v>
      </c>
      <c r="F530" s="4">
        <v>3.9696075358323799E-29</v>
      </c>
      <c r="G530" s="4">
        <v>2.8842639074353299E-27</v>
      </c>
      <c r="H530" s="10" t="s">
        <v>1074</v>
      </c>
      <c r="I530" s="10" t="s">
        <v>18</v>
      </c>
    </row>
    <row r="531" spans="1:9" x14ac:dyDescent="0.2">
      <c r="A531" s="10" t="s">
        <v>1075</v>
      </c>
      <c r="B531" s="10">
        <v>27.847549549789299</v>
      </c>
      <c r="C531" s="10">
        <v>6.7385220922948896</v>
      </c>
      <c r="D531" s="10">
        <v>1.5719634389722199</v>
      </c>
      <c r="E531" s="10">
        <v>4.2866913601379197</v>
      </c>
      <c r="F531" s="4">
        <v>1.8135398405804598E-5</v>
      </c>
      <c r="G531" s="10">
        <v>1.21409140138319E-4</v>
      </c>
      <c r="H531" s="10" t="s">
        <v>1076</v>
      </c>
      <c r="I531" s="10" t="s">
        <v>18</v>
      </c>
    </row>
    <row r="532" spans="1:9" x14ac:dyDescent="0.2">
      <c r="A532" s="10" t="s">
        <v>1077</v>
      </c>
      <c r="B532" s="10">
        <v>10.940227379934999</v>
      </c>
      <c r="C532" s="10">
        <v>6.8503417420184904</v>
      </c>
      <c r="D532" s="10">
        <v>1.74606308453004</v>
      </c>
      <c r="E532" s="10">
        <v>3.9233071260207599</v>
      </c>
      <c r="F532" s="4">
        <v>8.7341692499193002E-5</v>
      </c>
      <c r="G532" s="10">
        <v>5.0785298666784296E-4</v>
      </c>
      <c r="H532" s="10" t="s">
        <v>1078</v>
      </c>
      <c r="I532" s="10" t="s">
        <v>18</v>
      </c>
    </row>
    <row r="533" spans="1:9" x14ac:dyDescent="0.2">
      <c r="A533" s="10" t="s">
        <v>1079</v>
      </c>
      <c r="B533" s="10">
        <v>8.2195757182985503</v>
      </c>
      <c r="C533" s="10">
        <v>3.89291474651748</v>
      </c>
      <c r="D533" s="10">
        <v>1.5299083855215501</v>
      </c>
      <c r="E533" s="10">
        <v>2.5445410871386001</v>
      </c>
      <c r="F533" s="10">
        <v>1.09421437927781E-2</v>
      </c>
      <c r="G533" s="10">
        <v>3.4319692802109301E-2</v>
      </c>
      <c r="H533" s="10" t="s">
        <v>1080</v>
      </c>
      <c r="I533" s="10" t="s">
        <v>18</v>
      </c>
    </row>
    <row r="534" spans="1:9" x14ac:dyDescent="0.2">
      <c r="A534" s="10" t="s">
        <v>1081</v>
      </c>
      <c r="B534" s="10">
        <v>995.29835497214799</v>
      </c>
      <c r="C534" s="10">
        <v>-1.0458384802759699</v>
      </c>
      <c r="D534" s="10">
        <v>0.198323827066371</v>
      </c>
      <c r="E534" s="10">
        <v>-5.2733879521494602</v>
      </c>
      <c r="F534" s="4">
        <v>1.3392803453622699E-7</v>
      </c>
      <c r="G534" s="4">
        <v>1.3322881186595799E-6</v>
      </c>
      <c r="H534" s="10" t="s">
        <v>1082</v>
      </c>
      <c r="I534" s="10" t="s">
        <v>18</v>
      </c>
    </row>
    <row r="535" spans="1:9" x14ac:dyDescent="0.2">
      <c r="A535" s="10" t="s">
        <v>1083</v>
      </c>
      <c r="B535" s="10">
        <v>57.509634899163899</v>
      </c>
      <c r="C535" s="10">
        <v>1.3413711738304499</v>
      </c>
      <c r="D535" s="10">
        <v>0.473917132982835</v>
      </c>
      <c r="E535" s="10">
        <v>2.83039181425635</v>
      </c>
      <c r="F535" s="10">
        <v>4.6491031147787099E-3</v>
      </c>
      <c r="G535" s="10">
        <v>1.6678619166343101E-2</v>
      </c>
      <c r="H535" s="10" t="s">
        <v>1084</v>
      </c>
      <c r="I535" s="10" t="s">
        <v>18</v>
      </c>
    </row>
    <row r="536" spans="1:9" x14ac:dyDescent="0.2">
      <c r="A536" s="10" t="s">
        <v>1085</v>
      </c>
      <c r="B536" s="10">
        <v>616.00487246938201</v>
      </c>
      <c r="C536" s="10">
        <v>-1.1964297488965401</v>
      </c>
      <c r="D536" s="10">
        <v>0.26020824634547901</v>
      </c>
      <c r="E536" s="10">
        <v>-4.5979701477563397</v>
      </c>
      <c r="F536" s="4">
        <v>4.2662710422207604E-6</v>
      </c>
      <c r="G536" s="4">
        <v>3.26617271951079E-5</v>
      </c>
      <c r="H536" s="10" t="s">
        <v>1086</v>
      </c>
      <c r="I536" s="10" t="s">
        <v>18</v>
      </c>
    </row>
    <row r="537" spans="1:9" x14ac:dyDescent="0.2">
      <c r="A537" s="10" t="s">
        <v>1087</v>
      </c>
      <c r="B537" s="10">
        <v>7264.7258386286603</v>
      </c>
      <c r="C537" s="10">
        <v>1.52688317562706</v>
      </c>
      <c r="D537" s="10">
        <v>0.18112414317900499</v>
      </c>
      <c r="E537" s="10">
        <v>8.4300367075748905</v>
      </c>
      <c r="F537" s="4">
        <v>3.4555680581238997E-17</v>
      </c>
      <c r="G537" s="4">
        <v>1.04499292874253E-15</v>
      </c>
      <c r="H537" s="10" t="s">
        <v>1088</v>
      </c>
      <c r="I537" s="10" t="s">
        <v>18</v>
      </c>
    </row>
    <row r="538" spans="1:9" x14ac:dyDescent="0.2">
      <c r="A538" s="10" t="s">
        <v>1089</v>
      </c>
      <c r="B538" s="10">
        <v>3039.2363866023402</v>
      </c>
      <c r="C538" s="10">
        <v>-1.03472623277084</v>
      </c>
      <c r="D538" s="10">
        <v>0.18166723418325301</v>
      </c>
      <c r="E538" s="10">
        <v>-5.69572293772623</v>
      </c>
      <c r="F538" s="4">
        <v>1.2285023979039999E-8</v>
      </c>
      <c r="G538" s="4">
        <v>1.44280193257286E-7</v>
      </c>
      <c r="H538" s="10" t="s">
        <v>1090</v>
      </c>
      <c r="I538" s="10" t="s">
        <v>18</v>
      </c>
    </row>
    <row r="539" spans="1:9" x14ac:dyDescent="0.2">
      <c r="A539" s="10" t="s">
        <v>1091</v>
      </c>
      <c r="B539" s="10">
        <v>5592.3091574628997</v>
      </c>
      <c r="C539" s="10">
        <v>1.0183588241592301</v>
      </c>
      <c r="D539" s="10">
        <v>0.20518610553119801</v>
      </c>
      <c r="E539" s="10">
        <v>4.9630983614745103</v>
      </c>
      <c r="F539" s="4">
        <v>6.9377424041882103E-7</v>
      </c>
      <c r="G539" s="4">
        <v>6.10373481714292E-6</v>
      </c>
      <c r="H539" s="10" t="s">
        <v>1092</v>
      </c>
      <c r="I539" s="10" t="s">
        <v>18</v>
      </c>
    </row>
    <row r="540" spans="1:9" x14ac:dyDescent="0.2">
      <c r="A540" s="10" t="s">
        <v>1093</v>
      </c>
      <c r="B540" s="10">
        <v>3.8530936506741802</v>
      </c>
      <c r="C540" s="10">
        <v>5.3403250580865702</v>
      </c>
      <c r="D540" s="10">
        <v>2.1789621139591802</v>
      </c>
      <c r="E540" s="10">
        <v>2.4508572333014098</v>
      </c>
      <c r="F540" s="10">
        <v>1.4251646682892799E-2</v>
      </c>
      <c r="G540" s="10">
        <v>4.2728280938466097E-2</v>
      </c>
      <c r="H540" s="10" t="s">
        <v>1094</v>
      </c>
      <c r="I540" s="10" t="s">
        <v>18</v>
      </c>
    </row>
    <row r="541" spans="1:9" x14ac:dyDescent="0.2">
      <c r="A541" s="10" t="s">
        <v>1095</v>
      </c>
      <c r="B541" s="10">
        <v>12.6341077843487</v>
      </c>
      <c r="C541" s="10">
        <v>5.5828064410411704</v>
      </c>
      <c r="D541" s="10">
        <v>1.6939855943069799</v>
      </c>
      <c r="E541" s="10">
        <v>3.2956634695144098</v>
      </c>
      <c r="F541" s="10">
        <v>9.8189559405419103E-4</v>
      </c>
      <c r="G541" s="10">
        <v>4.3494893921629902E-3</v>
      </c>
      <c r="H541" s="10" t="s">
        <v>1096</v>
      </c>
      <c r="I541" s="10" t="s">
        <v>18</v>
      </c>
    </row>
    <row r="542" spans="1:9" x14ac:dyDescent="0.2">
      <c r="A542" s="10" t="s">
        <v>1097</v>
      </c>
      <c r="B542" s="10">
        <v>265.02245831320101</v>
      </c>
      <c r="C542" s="10">
        <v>2.0946285348900102</v>
      </c>
      <c r="D542" s="10">
        <v>0.29415382724220701</v>
      </c>
      <c r="E542" s="10">
        <v>7.1208610628250604</v>
      </c>
      <c r="F542" s="4">
        <v>1.0725486862767901E-12</v>
      </c>
      <c r="G542" s="4">
        <v>2.11612846162083E-11</v>
      </c>
      <c r="H542" s="10" t="s">
        <v>1098</v>
      </c>
      <c r="I542" s="10" t="s">
        <v>18</v>
      </c>
    </row>
    <row r="543" spans="1:9" x14ac:dyDescent="0.2">
      <c r="A543" s="10" t="s">
        <v>1099</v>
      </c>
      <c r="B543" s="10">
        <v>6.6070209956545298</v>
      </c>
      <c r="C543" s="10">
        <v>6.1210130461908303</v>
      </c>
      <c r="D543" s="10">
        <v>1.90507111739157</v>
      </c>
      <c r="E543" s="10">
        <v>3.2130102599905701</v>
      </c>
      <c r="F543" s="10">
        <v>1.3135159723961501E-3</v>
      </c>
      <c r="G543" s="10">
        <v>5.59646125095822E-3</v>
      </c>
      <c r="H543" s="10" t="s">
        <v>1100</v>
      </c>
      <c r="I543" s="10" t="s">
        <v>18</v>
      </c>
    </row>
    <row r="544" spans="1:9" x14ac:dyDescent="0.2">
      <c r="A544" s="10" t="s">
        <v>1101</v>
      </c>
      <c r="B544" s="10">
        <v>891.66128405829897</v>
      </c>
      <c r="C544" s="10">
        <v>1.0552529157577</v>
      </c>
      <c r="D544" s="10">
        <v>0.198716130423197</v>
      </c>
      <c r="E544" s="10">
        <v>5.3103535858431599</v>
      </c>
      <c r="F544" s="4">
        <v>1.09412753052064E-7</v>
      </c>
      <c r="G544" s="4">
        <v>1.10536495454563E-6</v>
      </c>
      <c r="H544" s="10" t="s">
        <v>1102</v>
      </c>
      <c r="I544" s="10" t="s">
        <v>18</v>
      </c>
    </row>
    <row r="545" spans="1:9" x14ac:dyDescent="0.2">
      <c r="A545" s="10" t="s">
        <v>1103</v>
      </c>
      <c r="B545" s="10">
        <v>13.171960204718999</v>
      </c>
      <c r="C545" s="10">
        <v>5.6455286154806004</v>
      </c>
      <c r="D545" s="10">
        <v>1.68132636654667</v>
      </c>
      <c r="E545" s="10">
        <v>3.35778271715095</v>
      </c>
      <c r="F545" s="10">
        <v>7.8570348798250597E-4</v>
      </c>
      <c r="G545" s="10">
        <v>3.5775506245085799E-3</v>
      </c>
      <c r="H545" s="10" t="s">
        <v>1104</v>
      </c>
      <c r="I545" s="10" t="s">
        <v>18</v>
      </c>
    </row>
    <row r="546" spans="1:9" x14ac:dyDescent="0.2">
      <c r="A546" s="10" t="s">
        <v>1105</v>
      </c>
      <c r="B546" s="10">
        <v>1096.6739838521501</v>
      </c>
      <c r="C546" s="10">
        <v>-1.13199626953979</v>
      </c>
      <c r="D546" s="10">
        <v>0.20540963749815899</v>
      </c>
      <c r="E546" s="10">
        <v>-5.5109209252654203</v>
      </c>
      <c r="F546" s="4">
        <v>3.5696107278067101E-8</v>
      </c>
      <c r="G546" s="4">
        <v>3.9060716265280898E-7</v>
      </c>
      <c r="H546" s="10" t="s">
        <v>1106</v>
      </c>
      <c r="I546" s="10" t="s">
        <v>18</v>
      </c>
    </row>
    <row r="547" spans="1:9" x14ac:dyDescent="0.2">
      <c r="A547" s="10" t="s">
        <v>1107</v>
      </c>
      <c r="B547" s="10">
        <v>23.612836734456501</v>
      </c>
      <c r="C547" s="10">
        <v>2.3404287921824101</v>
      </c>
      <c r="D547" s="10">
        <v>0.77157299177870198</v>
      </c>
      <c r="E547" s="10">
        <v>3.03332130222319</v>
      </c>
      <c r="F547" s="10">
        <v>2.4187791734609498E-3</v>
      </c>
      <c r="G547" s="10">
        <v>9.4826584373079795E-3</v>
      </c>
      <c r="H547" s="10" t="s">
        <v>1108</v>
      </c>
      <c r="I547" s="10" t="s">
        <v>18</v>
      </c>
    </row>
    <row r="548" spans="1:9" x14ac:dyDescent="0.2">
      <c r="A548" s="10" t="s">
        <v>1109</v>
      </c>
      <c r="B548" s="10">
        <v>75.359282756031604</v>
      </c>
      <c r="C548" s="10">
        <v>1.45409791301443</v>
      </c>
      <c r="D548" s="10">
        <v>0.42005211780201501</v>
      </c>
      <c r="E548" s="10">
        <v>3.4617083247269602</v>
      </c>
      <c r="F548" s="10">
        <v>5.3675852556111505E-4</v>
      </c>
      <c r="G548" s="10">
        <v>2.5505858991914398E-3</v>
      </c>
      <c r="H548" s="10" t="s">
        <v>1110</v>
      </c>
      <c r="I548" s="10" t="s">
        <v>18</v>
      </c>
    </row>
    <row r="549" spans="1:9" x14ac:dyDescent="0.2">
      <c r="A549" s="10" t="s">
        <v>1111</v>
      </c>
      <c r="B549" s="10">
        <v>653.11690355968597</v>
      </c>
      <c r="C549" s="10">
        <v>-1.01141274983785</v>
      </c>
      <c r="D549" s="10">
        <v>0.220276400355715</v>
      </c>
      <c r="E549" s="10">
        <v>-4.5915620021235002</v>
      </c>
      <c r="F549" s="4">
        <v>4.3994090058672501E-6</v>
      </c>
      <c r="G549" s="4">
        <v>3.3596047416722297E-5</v>
      </c>
      <c r="H549" s="10" t="s">
        <v>1112</v>
      </c>
      <c r="I549" s="10" t="s">
        <v>18</v>
      </c>
    </row>
    <row r="550" spans="1:9" x14ac:dyDescent="0.2">
      <c r="A550" s="10" t="s">
        <v>1113</v>
      </c>
      <c r="B550" s="10">
        <v>1934.31995954687</v>
      </c>
      <c r="C550" s="10">
        <v>-1.5139332511177599</v>
      </c>
      <c r="D550" s="10">
        <v>0.21214336057135799</v>
      </c>
      <c r="E550" s="10">
        <v>-7.1363687604473496</v>
      </c>
      <c r="F550" s="4">
        <v>9.58287134362064E-13</v>
      </c>
      <c r="G550" s="4">
        <v>1.9044820970067998E-11</v>
      </c>
      <c r="H550" s="10" t="s">
        <v>1114</v>
      </c>
      <c r="I550" s="10" t="s">
        <v>18</v>
      </c>
    </row>
    <row r="551" spans="1:9" x14ac:dyDescent="0.2">
      <c r="A551" s="10" t="s">
        <v>1115</v>
      </c>
      <c r="B551" s="10">
        <v>277.06637648647097</v>
      </c>
      <c r="C551" s="10">
        <v>-1.03157694340741</v>
      </c>
      <c r="D551" s="10">
        <v>0.30360671917277698</v>
      </c>
      <c r="E551" s="10">
        <v>-3.3977408214748999</v>
      </c>
      <c r="F551" s="10">
        <v>6.79447570579572E-4</v>
      </c>
      <c r="G551" s="10">
        <v>3.1495250009495701E-3</v>
      </c>
      <c r="H551" s="10" t="s">
        <v>1116</v>
      </c>
      <c r="I551" s="10" t="s">
        <v>18</v>
      </c>
    </row>
    <row r="552" spans="1:9" x14ac:dyDescent="0.2">
      <c r="A552" s="10" t="s">
        <v>1117</v>
      </c>
      <c r="B552" s="10">
        <v>359.96722425305001</v>
      </c>
      <c r="C552" s="10">
        <v>3.25841435954207</v>
      </c>
      <c r="D552" s="10">
        <v>0.27750917261601998</v>
      </c>
      <c r="E552" s="10">
        <v>11.7416456141816</v>
      </c>
      <c r="F552" s="4">
        <v>7.79546712968697E-32</v>
      </c>
      <c r="G552" s="4">
        <v>6.8077914385442596E-30</v>
      </c>
      <c r="H552" s="10" t="s">
        <v>1118</v>
      </c>
      <c r="I552" s="10" t="s">
        <v>18</v>
      </c>
    </row>
    <row r="553" spans="1:9" x14ac:dyDescent="0.2">
      <c r="A553" s="10" t="s">
        <v>1119</v>
      </c>
      <c r="B553" s="10">
        <v>5.3206525851812003</v>
      </c>
      <c r="C553" s="10">
        <v>5.8053769265941</v>
      </c>
      <c r="D553" s="10">
        <v>2.0076052546962599</v>
      </c>
      <c r="E553" s="10">
        <v>2.89169243456301</v>
      </c>
      <c r="F553" s="10">
        <v>3.8317285447488402E-3</v>
      </c>
      <c r="G553" s="10">
        <v>1.41314439169967E-2</v>
      </c>
      <c r="H553" s="10" t="s">
        <v>1120</v>
      </c>
      <c r="I553" s="10" t="s">
        <v>18</v>
      </c>
    </row>
    <row r="554" spans="1:9" x14ac:dyDescent="0.2">
      <c r="A554" s="10" t="s">
        <v>1121</v>
      </c>
      <c r="B554" s="10">
        <v>2488.9357949548598</v>
      </c>
      <c r="C554" s="10">
        <v>-1.18762125375776</v>
      </c>
      <c r="D554" s="10">
        <v>0.18461164851935</v>
      </c>
      <c r="E554" s="10">
        <v>-6.4330786452691102</v>
      </c>
      <c r="F554" s="4">
        <v>1.25044908247931E-10</v>
      </c>
      <c r="G554" s="4">
        <v>1.9216574252856E-9</v>
      </c>
      <c r="H554" s="10" t="s">
        <v>1122</v>
      </c>
      <c r="I554" s="10" t="s">
        <v>18</v>
      </c>
    </row>
    <row r="555" spans="1:9" x14ac:dyDescent="0.2">
      <c r="A555" s="10" t="s">
        <v>1123</v>
      </c>
      <c r="B555" s="10">
        <v>156.55868790449901</v>
      </c>
      <c r="C555" s="10">
        <v>1.0548686069584701</v>
      </c>
      <c r="D555" s="10">
        <v>0.32456909734487699</v>
      </c>
      <c r="E555" s="10">
        <v>3.25005866420363</v>
      </c>
      <c r="F555" s="10">
        <v>1.1538120424979799E-3</v>
      </c>
      <c r="G555" s="10">
        <v>5.0020551665779503E-3</v>
      </c>
      <c r="H555" s="10" t="s">
        <v>1124</v>
      </c>
      <c r="I555" s="10" t="s">
        <v>18</v>
      </c>
    </row>
    <row r="556" spans="1:9" x14ac:dyDescent="0.2">
      <c r="A556" s="10" t="s">
        <v>1125</v>
      </c>
      <c r="B556" s="10">
        <v>3728.87573192743</v>
      </c>
      <c r="C556" s="10">
        <v>-1.3408517591957601</v>
      </c>
      <c r="D556" s="10">
        <v>0.20958555908007601</v>
      </c>
      <c r="E556" s="10">
        <v>-6.3976342887415596</v>
      </c>
      <c r="F556" s="4">
        <v>1.5780268062937201E-10</v>
      </c>
      <c r="G556" s="4">
        <v>2.3926820473614401E-9</v>
      </c>
      <c r="H556" s="10" t="s">
        <v>1126</v>
      </c>
      <c r="I556" s="10" t="s">
        <v>18</v>
      </c>
    </row>
    <row r="557" spans="1:9" x14ac:dyDescent="0.2">
      <c r="A557" s="10" t="s">
        <v>1127</v>
      </c>
      <c r="B557" s="10">
        <v>166.67905390488701</v>
      </c>
      <c r="C557" s="10">
        <v>1.0817180560731401</v>
      </c>
      <c r="D557" s="10">
        <v>0.33332157337028701</v>
      </c>
      <c r="E557" s="10">
        <v>3.2452686609380099</v>
      </c>
      <c r="F557" s="10">
        <v>1.17339862007587E-3</v>
      </c>
      <c r="G557" s="10">
        <v>5.0740505001122599E-3</v>
      </c>
      <c r="H557" s="10" t="s">
        <v>1128</v>
      </c>
      <c r="I557" s="10" t="s">
        <v>18</v>
      </c>
    </row>
    <row r="558" spans="1:9" x14ac:dyDescent="0.2">
      <c r="A558" s="10" t="s">
        <v>1129</v>
      </c>
      <c r="B558" s="10">
        <v>3611.9212440364299</v>
      </c>
      <c r="C558" s="10">
        <v>-1.07366241179304</v>
      </c>
      <c r="D558" s="10">
        <v>0.20584750253104001</v>
      </c>
      <c r="E558" s="10">
        <v>-5.2158146132044596</v>
      </c>
      <c r="F558" s="4">
        <v>1.8301114417016099E-7</v>
      </c>
      <c r="G558" s="4">
        <v>1.78153077713626E-6</v>
      </c>
      <c r="H558" s="10" t="s">
        <v>1130</v>
      </c>
      <c r="I558" s="10" t="s">
        <v>18</v>
      </c>
    </row>
    <row r="559" spans="1:9" x14ac:dyDescent="0.2">
      <c r="A559" s="10" t="s">
        <v>1131</v>
      </c>
      <c r="B559" s="10">
        <v>1772.4283554450101</v>
      </c>
      <c r="C559" s="10">
        <v>1.44379474559531</v>
      </c>
      <c r="D559" s="10">
        <v>0.20645432705134301</v>
      </c>
      <c r="E559" s="10">
        <v>6.9932888606216901</v>
      </c>
      <c r="F559" s="4">
        <v>2.68515848663891E-12</v>
      </c>
      <c r="G559" s="4">
        <v>5.04917275952038E-11</v>
      </c>
      <c r="H559" s="10" t="s">
        <v>1132</v>
      </c>
      <c r="I559" s="10" t="s">
        <v>18</v>
      </c>
    </row>
    <row r="560" spans="1:9" x14ac:dyDescent="0.2">
      <c r="A560" s="10" t="s">
        <v>1133</v>
      </c>
      <c r="B560" s="10">
        <v>7.3076115173842204</v>
      </c>
      <c r="C560" s="10">
        <v>3.7193782300559701</v>
      </c>
      <c r="D560" s="10">
        <v>1.5214415123688301</v>
      </c>
      <c r="E560" s="10">
        <v>2.44464095387081</v>
      </c>
      <c r="F560" s="10">
        <v>1.44996409714648E-2</v>
      </c>
      <c r="G560" s="10">
        <v>4.3366818611361199E-2</v>
      </c>
      <c r="H560" s="10" t="s">
        <v>1134</v>
      </c>
      <c r="I560" s="10" t="s">
        <v>18</v>
      </c>
    </row>
    <row r="561" spans="1:9" x14ac:dyDescent="0.2">
      <c r="A561" s="10" t="s">
        <v>1135</v>
      </c>
      <c r="B561" s="10">
        <v>11702.5112250606</v>
      </c>
      <c r="C561" s="10">
        <v>-2.11746535788193</v>
      </c>
      <c r="D561" s="10">
        <v>0.187814746780925</v>
      </c>
      <c r="E561" s="10">
        <v>-11.2742231064094</v>
      </c>
      <c r="F561" s="4">
        <v>1.75924680623398E-29</v>
      </c>
      <c r="G561" s="4">
        <v>1.32050131486108E-27</v>
      </c>
      <c r="H561" s="10" t="s">
        <v>1136</v>
      </c>
      <c r="I561" s="10" t="s">
        <v>18</v>
      </c>
    </row>
    <row r="562" spans="1:9" x14ac:dyDescent="0.2">
      <c r="A562" s="10" t="s">
        <v>1137</v>
      </c>
      <c r="B562" s="10">
        <v>967.20555246267804</v>
      </c>
      <c r="C562" s="10">
        <v>-1.0552032790899699</v>
      </c>
      <c r="D562" s="10">
        <v>0.199601765763052</v>
      </c>
      <c r="E562" s="10">
        <v>-5.2865428071543397</v>
      </c>
      <c r="F562" s="4">
        <v>1.24649657108325E-7</v>
      </c>
      <c r="G562" s="4">
        <v>1.245902130312E-6</v>
      </c>
      <c r="H562" s="10" t="s">
        <v>1138</v>
      </c>
      <c r="I562" s="10" t="s">
        <v>18</v>
      </c>
    </row>
    <row r="563" spans="1:9" x14ac:dyDescent="0.2">
      <c r="A563" s="10" t="s">
        <v>1139</v>
      </c>
      <c r="B563" s="10">
        <v>12.552738733669001</v>
      </c>
      <c r="C563" s="10">
        <v>7.0464468100420401</v>
      </c>
      <c r="D563" s="10">
        <v>1.70342541894748</v>
      </c>
      <c r="E563" s="10">
        <v>4.1366335923271196</v>
      </c>
      <c r="F563" s="4">
        <v>3.5243820350058603E-5</v>
      </c>
      <c r="G563" s="10">
        <v>2.2249498912837E-4</v>
      </c>
      <c r="H563" s="10" t="s">
        <v>1140</v>
      </c>
      <c r="I563" s="10" t="s">
        <v>18</v>
      </c>
    </row>
    <row r="564" spans="1:9" x14ac:dyDescent="0.2">
      <c r="A564" s="10" t="s">
        <v>1141</v>
      </c>
      <c r="B564" s="10">
        <v>85.776232807423895</v>
      </c>
      <c r="C564" s="10">
        <v>-1.44636007502699</v>
      </c>
      <c r="D564" s="10">
        <v>0.40661649880737499</v>
      </c>
      <c r="E564" s="10">
        <v>-3.55706194723833</v>
      </c>
      <c r="F564" s="10">
        <v>3.7502574380186198E-4</v>
      </c>
      <c r="G564" s="10">
        <v>1.8609226809997001E-3</v>
      </c>
      <c r="H564" s="10" t="s">
        <v>1142</v>
      </c>
      <c r="I564" s="10" t="s">
        <v>18</v>
      </c>
    </row>
    <row r="565" spans="1:9" x14ac:dyDescent="0.2">
      <c r="A565" s="10" t="s">
        <v>1143</v>
      </c>
      <c r="B565" s="10">
        <v>9.5844752880411708</v>
      </c>
      <c r="C565" s="10">
        <v>3.0496262136197698</v>
      </c>
      <c r="D565" s="10">
        <v>1.21923590343412</v>
      </c>
      <c r="E565" s="10">
        <v>2.5012601786333102</v>
      </c>
      <c r="F565" s="10">
        <v>1.23752226002273E-2</v>
      </c>
      <c r="G565" s="10">
        <v>3.7997260557628303E-2</v>
      </c>
      <c r="H565" s="10" t="s">
        <v>1144</v>
      </c>
      <c r="I565" s="10" t="s">
        <v>18</v>
      </c>
    </row>
    <row r="566" spans="1:9" x14ac:dyDescent="0.2">
      <c r="A566" s="10" t="s">
        <v>1145</v>
      </c>
      <c r="B566" s="10">
        <v>34.859455915846397</v>
      </c>
      <c r="C566" s="10">
        <v>4.4273080151036597</v>
      </c>
      <c r="D566" s="10">
        <v>0.81953898144319703</v>
      </c>
      <c r="E566" s="10">
        <v>5.4021933249681799</v>
      </c>
      <c r="F566" s="4">
        <v>6.5830943991986404E-8</v>
      </c>
      <c r="G566" s="4">
        <v>6.9015137316382197E-7</v>
      </c>
      <c r="H566" s="10" t="s">
        <v>1146</v>
      </c>
      <c r="I566" s="10" t="s">
        <v>18</v>
      </c>
    </row>
    <row r="567" spans="1:9" x14ac:dyDescent="0.2">
      <c r="A567" s="10" t="s">
        <v>1147</v>
      </c>
      <c r="B567" s="10">
        <v>7856.5134512591603</v>
      </c>
      <c r="C567" s="10">
        <v>2.64936367631159</v>
      </c>
      <c r="D567" s="10">
        <v>0.20981897020144799</v>
      </c>
      <c r="E567" s="10">
        <v>12.6269024853564</v>
      </c>
      <c r="F567" s="4">
        <v>1.50070137033841E-36</v>
      </c>
      <c r="G567" s="4">
        <v>1.73261060328859E-34</v>
      </c>
      <c r="H567" s="10" t="s">
        <v>1148</v>
      </c>
      <c r="I567" s="10" t="s">
        <v>18</v>
      </c>
    </row>
    <row r="568" spans="1:9" x14ac:dyDescent="0.2">
      <c r="A568" s="10" t="s">
        <v>1149</v>
      </c>
      <c r="B568" s="10">
        <v>16.6468092159568</v>
      </c>
      <c r="C568" s="10">
        <v>3.90599395753084</v>
      </c>
      <c r="D568" s="10">
        <v>1.0949221789330501</v>
      </c>
      <c r="E568" s="10">
        <v>3.5673713006133698</v>
      </c>
      <c r="F568" s="10">
        <v>3.6058037837641797E-4</v>
      </c>
      <c r="G568" s="10">
        <v>1.7947997021597101E-3</v>
      </c>
      <c r="H568" s="10" t="s">
        <v>1150</v>
      </c>
      <c r="I568" s="10" t="s">
        <v>18</v>
      </c>
    </row>
    <row r="569" spans="1:9" x14ac:dyDescent="0.2">
      <c r="A569" s="10" t="s">
        <v>1151</v>
      </c>
      <c r="B569" s="10">
        <v>1578.53093733271</v>
      </c>
      <c r="C569" s="10">
        <v>1.7783224236605999</v>
      </c>
      <c r="D569" s="10">
        <v>0.20941927319452699</v>
      </c>
      <c r="E569" s="10">
        <v>8.4916846311883099</v>
      </c>
      <c r="F569" s="4">
        <v>2.0366305291095801E-17</v>
      </c>
      <c r="G569" s="4">
        <v>6.30591727575553E-16</v>
      </c>
      <c r="H569" s="10" t="s">
        <v>1152</v>
      </c>
      <c r="I569" s="10" t="s">
        <v>18</v>
      </c>
    </row>
    <row r="570" spans="1:9" x14ac:dyDescent="0.2">
      <c r="A570" s="10" t="s">
        <v>1153</v>
      </c>
      <c r="B570" s="10">
        <v>339.50996888129299</v>
      </c>
      <c r="C570" s="10">
        <v>1.88492823317937</v>
      </c>
      <c r="D570" s="10">
        <v>0.28991993063473698</v>
      </c>
      <c r="E570" s="10">
        <v>6.5015476136897403</v>
      </c>
      <c r="F570" s="4">
        <v>7.9497865651092199E-11</v>
      </c>
      <c r="G570" s="4">
        <v>1.25497007265082E-9</v>
      </c>
      <c r="H570" s="10" t="s">
        <v>1154</v>
      </c>
      <c r="I570" s="10" t="s">
        <v>18</v>
      </c>
    </row>
    <row r="571" spans="1:9" x14ac:dyDescent="0.2">
      <c r="A571" s="10" t="s">
        <v>1155</v>
      </c>
      <c r="B571" s="10">
        <v>1808.9602413280199</v>
      </c>
      <c r="C571" s="10">
        <v>1.2239624817696899</v>
      </c>
      <c r="D571" s="10">
        <v>0.19808504281221501</v>
      </c>
      <c r="E571" s="10">
        <v>6.1789747695892698</v>
      </c>
      <c r="F571" s="4">
        <v>6.4519204747442098E-10</v>
      </c>
      <c r="G571" s="4">
        <v>8.9737354351891498E-9</v>
      </c>
      <c r="H571" s="10" t="s">
        <v>1156</v>
      </c>
      <c r="I571" s="10" t="s">
        <v>18</v>
      </c>
    </row>
    <row r="572" spans="1:9" x14ac:dyDescent="0.2">
      <c r="A572" s="10" t="s">
        <v>1157</v>
      </c>
      <c r="B572" s="10">
        <v>145.00074245681799</v>
      </c>
      <c r="C572" s="10">
        <v>1.77821170707986</v>
      </c>
      <c r="D572" s="10">
        <v>0.34148502137924702</v>
      </c>
      <c r="E572" s="10">
        <v>5.2072904981241104</v>
      </c>
      <c r="F572" s="4">
        <v>1.9161798729699E-7</v>
      </c>
      <c r="G572" s="4">
        <v>1.85867401206162E-6</v>
      </c>
      <c r="H572" s="10" t="s">
        <v>1158</v>
      </c>
      <c r="I572" s="10" t="s">
        <v>18</v>
      </c>
    </row>
    <row r="573" spans="1:9" x14ac:dyDescent="0.2">
      <c r="A573" s="10" t="s">
        <v>1159</v>
      </c>
      <c r="B573" s="10">
        <v>6.1299140524210998</v>
      </c>
      <c r="C573" s="10">
        <v>6.0129926677642098</v>
      </c>
      <c r="D573" s="10">
        <v>1.93646501795776</v>
      </c>
      <c r="E573" s="10">
        <v>3.1051388029233098</v>
      </c>
      <c r="F573" s="10">
        <v>1.9018975097317601E-3</v>
      </c>
      <c r="G573" s="10">
        <v>7.7114585487591302E-3</v>
      </c>
      <c r="H573" s="10" t="s">
        <v>1160</v>
      </c>
      <c r="I573" s="10" t="s">
        <v>18</v>
      </c>
    </row>
    <row r="574" spans="1:9" x14ac:dyDescent="0.2">
      <c r="A574" s="10" t="s">
        <v>1161</v>
      </c>
      <c r="B574" s="10">
        <v>1601.3881760957099</v>
      </c>
      <c r="C574" s="10">
        <v>-4.3992837388685704</v>
      </c>
      <c r="D574" s="10">
        <v>0.23777885554231701</v>
      </c>
      <c r="E574" s="10">
        <v>-18.501576722769801</v>
      </c>
      <c r="F574" s="4">
        <v>2.00521008441863E-76</v>
      </c>
      <c r="G574" s="4">
        <v>1.2141324260034301E-73</v>
      </c>
      <c r="H574" s="10" t="s">
        <v>1162</v>
      </c>
      <c r="I574" s="10" t="s">
        <v>18</v>
      </c>
    </row>
    <row r="575" spans="1:9" x14ac:dyDescent="0.2">
      <c r="A575" s="10" t="s">
        <v>1163</v>
      </c>
      <c r="B575" s="10">
        <v>343.04052526708398</v>
      </c>
      <c r="C575" s="10">
        <v>7.0447642386778497</v>
      </c>
      <c r="D575" s="10">
        <v>0.51839309424170599</v>
      </c>
      <c r="E575" s="10">
        <v>13.589618220093699</v>
      </c>
      <c r="F575" s="4">
        <v>4.6148128343910298E-42</v>
      </c>
      <c r="G575" s="4">
        <v>6.98554473881403E-40</v>
      </c>
      <c r="H575" s="10" t="s">
        <v>1164</v>
      </c>
      <c r="I575" s="10" t="s">
        <v>18</v>
      </c>
    </row>
    <row r="576" spans="1:9" x14ac:dyDescent="0.2">
      <c r="A576" s="10" t="s">
        <v>1165</v>
      </c>
      <c r="B576" s="10">
        <v>1123.05244179638</v>
      </c>
      <c r="C576" s="10">
        <v>-1.13187868743746</v>
      </c>
      <c r="D576" s="10">
        <v>0.21040014658055001</v>
      </c>
      <c r="E576" s="10">
        <v>-5.3796478083922503</v>
      </c>
      <c r="F576" s="4">
        <v>7.4631697965075302E-8</v>
      </c>
      <c r="G576" s="4">
        <v>7.7525347863301803E-7</v>
      </c>
      <c r="H576" s="10" t="s">
        <v>1166</v>
      </c>
      <c r="I576" s="10" t="s">
        <v>18</v>
      </c>
    </row>
    <row r="577" spans="1:9" x14ac:dyDescent="0.2">
      <c r="A577" s="10" t="s">
        <v>1167</v>
      </c>
      <c r="B577" s="10">
        <v>15.5212568160795</v>
      </c>
      <c r="C577" s="10">
        <v>5.8867856478403198</v>
      </c>
      <c r="D577" s="10">
        <v>1.6477589815531899</v>
      </c>
      <c r="E577" s="10">
        <v>3.5726011593585101</v>
      </c>
      <c r="F577" s="10">
        <v>3.5345287696985099E-4</v>
      </c>
      <c r="G577" s="10">
        <v>1.76318757575934E-3</v>
      </c>
      <c r="H577" s="10" t="s">
        <v>1168</v>
      </c>
      <c r="I577" s="10" t="s">
        <v>18</v>
      </c>
    </row>
    <row r="578" spans="1:9" x14ac:dyDescent="0.2">
      <c r="A578" s="10" t="s">
        <v>1169</v>
      </c>
      <c r="B578" s="10">
        <v>1253.3478709206299</v>
      </c>
      <c r="C578" s="10">
        <v>-1.28010902429388</v>
      </c>
      <c r="D578" s="10">
        <v>0.21419100692040599</v>
      </c>
      <c r="E578" s="10">
        <v>-5.9764835260780496</v>
      </c>
      <c r="F578" s="4">
        <v>2.2800559880162499E-9</v>
      </c>
      <c r="G578" s="4">
        <v>2.9429031504253399E-8</v>
      </c>
      <c r="H578" s="10" t="s">
        <v>1170</v>
      </c>
      <c r="I578" s="10" t="s">
        <v>18</v>
      </c>
    </row>
    <row r="579" spans="1:9" x14ac:dyDescent="0.2">
      <c r="A579" s="10" t="s">
        <v>1171</v>
      </c>
      <c r="B579" s="10">
        <v>541.30427245718795</v>
      </c>
      <c r="C579" s="10">
        <v>-2.3305728133013202</v>
      </c>
      <c r="D579" s="10">
        <v>0.26340309283152902</v>
      </c>
      <c r="E579" s="10">
        <v>-8.8479326049217502</v>
      </c>
      <c r="F579" s="4">
        <v>8.9155462612227206E-19</v>
      </c>
      <c r="G579" s="4">
        <v>3.0906092745487998E-17</v>
      </c>
      <c r="H579" s="10" t="s">
        <v>1172</v>
      </c>
      <c r="I579" s="10" t="s">
        <v>18</v>
      </c>
    </row>
    <row r="580" spans="1:9" x14ac:dyDescent="0.2">
      <c r="A580" s="10" t="s">
        <v>1173</v>
      </c>
      <c r="B580" s="10">
        <v>391.25116566151701</v>
      </c>
      <c r="C580" s="10">
        <v>-1.0191631943033399</v>
      </c>
      <c r="D580" s="10">
        <v>0.25317316839342202</v>
      </c>
      <c r="E580" s="10">
        <v>-4.02555768753344</v>
      </c>
      <c r="F580" s="4">
        <v>5.6840443226474597E-5</v>
      </c>
      <c r="G580" s="10">
        <v>3.4416256813150101E-4</v>
      </c>
      <c r="H580" s="10" t="s">
        <v>1174</v>
      </c>
      <c r="I580" s="10" t="s">
        <v>18</v>
      </c>
    </row>
    <row r="581" spans="1:9" x14ac:dyDescent="0.2">
      <c r="A581" s="10" t="s">
        <v>1175</v>
      </c>
      <c r="B581" s="10">
        <v>1985.56211833003</v>
      </c>
      <c r="C581" s="10">
        <v>-1.0282522365361499</v>
      </c>
      <c r="D581" s="10">
        <v>0.23845750570436</v>
      </c>
      <c r="E581" s="10">
        <v>-4.3120984323763496</v>
      </c>
      <c r="F581" s="4">
        <v>1.6171240745876801E-5</v>
      </c>
      <c r="G581" s="10">
        <v>1.09824974228042E-4</v>
      </c>
      <c r="H581" s="10" t="s">
        <v>1176</v>
      </c>
      <c r="I581" s="10" t="s">
        <v>18</v>
      </c>
    </row>
    <row r="582" spans="1:9" x14ac:dyDescent="0.2">
      <c r="A582" s="10" t="s">
        <v>1177</v>
      </c>
      <c r="B582" s="10">
        <v>6.2748664716480604</v>
      </c>
      <c r="C582" s="10">
        <v>6.0436307079929099</v>
      </c>
      <c r="D582" s="10">
        <v>1.9320769159683999</v>
      </c>
      <c r="E582" s="10">
        <v>3.1280487117479501</v>
      </c>
      <c r="F582" s="10">
        <v>1.7597101450729099E-3</v>
      </c>
      <c r="G582" s="10">
        <v>7.2285274118500898E-3</v>
      </c>
      <c r="H582" s="10" t="s">
        <v>1178</v>
      </c>
      <c r="I582" s="10" t="s">
        <v>18</v>
      </c>
    </row>
    <row r="583" spans="1:9" x14ac:dyDescent="0.2">
      <c r="A583" s="10" t="s">
        <v>1179</v>
      </c>
      <c r="B583" s="10">
        <v>2192.3293355390001</v>
      </c>
      <c r="C583" s="10">
        <v>-1.1486883513546899</v>
      </c>
      <c r="D583" s="10">
        <v>0.202550313995012</v>
      </c>
      <c r="E583" s="10">
        <v>-5.6711259967880299</v>
      </c>
      <c r="F583" s="4">
        <v>1.4186201360161E-8</v>
      </c>
      <c r="G583" s="4">
        <v>1.6525499292873301E-7</v>
      </c>
      <c r="H583" s="10" t="s">
        <v>1180</v>
      </c>
      <c r="I583" s="10" t="s">
        <v>18</v>
      </c>
    </row>
    <row r="584" spans="1:9" x14ac:dyDescent="0.2">
      <c r="A584" s="10" t="s">
        <v>1181</v>
      </c>
      <c r="B584" s="10">
        <v>725.86032002495199</v>
      </c>
      <c r="C584" s="10">
        <v>-1.0859168193601501</v>
      </c>
      <c r="D584" s="10">
        <v>0.25738591134515298</v>
      </c>
      <c r="E584" s="10">
        <v>-4.2190219879748598</v>
      </c>
      <c r="F584" s="4">
        <v>2.45364346052278E-5</v>
      </c>
      <c r="G584" s="10">
        <v>1.60015374267267E-4</v>
      </c>
      <c r="H584" s="10" t="s">
        <v>1182</v>
      </c>
      <c r="I584" s="10" t="s">
        <v>18</v>
      </c>
    </row>
    <row r="585" spans="1:9" x14ac:dyDescent="0.2">
      <c r="A585" s="10" t="s">
        <v>1183</v>
      </c>
      <c r="B585" s="10">
        <v>449.15111252101201</v>
      </c>
      <c r="C585" s="10">
        <v>4.5364991858783803</v>
      </c>
      <c r="D585" s="10">
        <v>0.28798759221632297</v>
      </c>
      <c r="E585" s="10">
        <v>15.7524119388823</v>
      </c>
      <c r="F585" s="4">
        <v>6.6110945242120304E-56</v>
      </c>
      <c r="G585" s="4">
        <v>1.6525916743229799E-53</v>
      </c>
      <c r="H585" s="10" t="s">
        <v>1184</v>
      </c>
      <c r="I585" s="10" t="s">
        <v>18</v>
      </c>
    </row>
    <row r="586" spans="1:9" x14ac:dyDescent="0.2">
      <c r="A586" s="10" t="s">
        <v>1185</v>
      </c>
      <c r="B586" s="10">
        <v>13.6549541986458</v>
      </c>
      <c r="C586" s="10">
        <v>4.6684545666992801</v>
      </c>
      <c r="D586" s="10">
        <v>1.3240197604264501</v>
      </c>
      <c r="E586" s="10">
        <v>3.5259704622502301</v>
      </c>
      <c r="F586" s="10">
        <v>4.2193402535669499E-4</v>
      </c>
      <c r="G586" s="10">
        <v>2.0632513260757102E-3</v>
      </c>
      <c r="H586" s="10" t="s">
        <v>1186</v>
      </c>
      <c r="I586" s="10" t="s">
        <v>18</v>
      </c>
    </row>
    <row r="587" spans="1:9" x14ac:dyDescent="0.2">
      <c r="A587" s="10" t="s">
        <v>1187</v>
      </c>
      <c r="B587" s="10">
        <v>5.72528331880115</v>
      </c>
      <c r="C587" s="10">
        <v>5.91290183596508</v>
      </c>
      <c r="D587" s="10">
        <v>1.9664132806819701</v>
      </c>
      <c r="E587" s="10">
        <v>3.0069476717093999</v>
      </c>
      <c r="F587" s="10">
        <v>2.6388518374758801E-3</v>
      </c>
      <c r="G587" s="10">
        <v>1.0232075710218501E-2</v>
      </c>
      <c r="H587" s="10" t="s">
        <v>1188</v>
      </c>
      <c r="I587" s="10" t="s">
        <v>18</v>
      </c>
    </row>
    <row r="588" spans="1:9" x14ac:dyDescent="0.2">
      <c r="A588" s="10" t="s">
        <v>1189</v>
      </c>
      <c r="B588" s="10">
        <v>4882.9519094891402</v>
      </c>
      <c r="C588" s="10">
        <v>-1.05906117646774</v>
      </c>
      <c r="D588" s="10">
        <v>0.18635603677826501</v>
      </c>
      <c r="E588" s="10">
        <v>-5.6829990311924501</v>
      </c>
      <c r="F588" s="4">
        <v>1.32353019112883E-8</v>
      </c>
      <c r="G588" s="4">
        <v>1.5490647387322701E-7</v>
      </c>
      <c r="H588" s="10" t="s">
        <v>1190</v>
      </c>
      <c r="I588" s="10" t="s">
        <v>18</v>
      </c>
    </row>
    <row r="589" spans="1:9" x14ac:dyDescent="0.2">
      <c r="A589" s="10" t="s">
        <v>1191</v>
      </c>
      <c r="B589" s="10">
        <v>56.0781848823313</v>
      </c>
      <c r="C589" s="10">
        <v>9.2049790897770194</v>
      </c>
      <c r="D589" s="10">
        <v>1.51299540790461</v>
      </c>
      <c r="E589" s="10">
        <v>6.08394383861698</v>
      </c>
      <c r="F589" s="4">
        <v>1.1726169368781199E-9</v>
      </c>
      <c r="G589" s="4">
        <v>1.58091507566146E-8</v>
      </c>
      <c r="H589" s="10" t="s">
        <v>1192</v>
      </c>
      <c r="I589" s="10" t="s">
        <v>18</v>
      </c>
    </row>
    <row r="590" spans="1:9" x14ac:dyDescent="0.2">
      <c r="A590" s="10" t="s">
        <v>1193</v>
      </c>
      <c r="B590" s="10">
        <v>14.364437561441701</v>
      </c>
      <c r="C590" s="10">
        <v>3.34017005600368</v>
      </c>
      <c r="D590" s="10">
        <v>1.0494281767351199</v>
      </c>
      <c r="E590" s="10">
        <v>3.18284769749111</v>
      </c>
      <c r="F590" s="10">
        <v>1.4583430228012799E-3</v>
      </c>
      <c r="G590" s="10">
        <v>6.1414949524368698E-3</v>
      </c>
      <c r="H590" s="10" t="s">
        <v>1194</v>
      </c>
      <c r="I590" s="10" t="s">
        <v>18</v>
      </c>
    </row>
    <row r="591" spans="1:9" x14ac:dyDescent="0.2">
      <c r="A591" s="10" t="s">
        <v>1195</v>
      </c>
      <c r="B591" s="10">
        <v>482.92833859783599</v>
      </c>
      <c r="C591" s="10">
        <v>-1.6254663079706599</v>
      </c>
      <c r="D591" s="10">
        <v>0.229112836584181</v>
      </c>
      <c r="E591" s="10">
        <v>-7.0946103771598299</v>
      </c>
      <c r="F591" s="4">
        <v>1.29716411262927E-12</v>
      </c>
      <c r="G591" s="4">
        <v>2.5354254359260801E-11</v>
      </c>
      <c r="H591" s="10" t="s">
        <v>1196</v>
      </c>
      <c r="I591" s="10" t="s">
        <v>18</v>
      </c>
    </row>
    <row r="592" spans="1:9" x14ac:dyDescent="0.2">
      <c r="A592" s="10" t="s">
        <v>1197</v>
      </c>
      <c r="B592" s="10">
        <v>2999.4531830527299</v>
      </c>
      <c r="C592" s="10">
        <v>-1.0700638437112899</v>
      </c>
      <c r="D592" s="10">
        <v>0.18774704459608499</v>
      </c>
      <c r="E592" s="10">
        <v>-5.6994976725913196</v>
      </c>
      <c r="F592" s="4">
        <v>1.20160965091657E-8</v>
      </c>
      <c r="G592" s="4">
        <v>1.4118265700096501E-7</v>
      </c>
      <c r="H592" s="10" t="s">
        <v>1198</v>
      </c>
      <c r="I592" s="10" t="s">
        <v>18</v>
      </c>
    </row>
    <row r="593" spans="1:9" x14ac:dyDescent="0.2">
      <c r="A593" s="10" t="s">
        <v>1199</v>
      </c>
      <c r="B593" s="10">
        <v>15.5422217642248</v>
      </c>
      <c r="C593" s="10">
        <v>2.15761209625808</v>
      </c>
      <c r="D593" s="10">
        <v>0.89699007603692804</v>
      </c>
      <c r="E593" s="10">
        <v>2.4053912678619902</v>
      </c>
      <c r="F593" s="10">
        <v>1.6155158662887501E-2</v>
      </c>
      <c r="G593" s="10">
        <v>4.7356601192866797E-2</v>
      </c>
      <c r="H593" s="10" t="s">
        <v>1200</v>
      </c>
      <c r="I593" s="10" t="s">
        <v>18</v>
      </c>
    </row>
    <row r="594" spans="1:9" x14ac:dyDescent="0.2">
      <c r="A594" s="10" t="s">
        <v>1201</v>
      </c>
      <c r="B594" s="10">
        <v>9.0680810807180805</v>
      </c>
      <c r="C594" s="10">
        <v>4.0496977695423402</v>
      </c>
      <c r="D594" s="10">
        <v>1.4406693081975299</v>
      </c>
      <c r="E594" s="10">
        <v>2.8109835799924601</v>
      </c>
      <c r="F594" s="10">
        <v>4.9390306405681997E-3</v>
      </c>
      <c r="G594" s="10">
        <v>1.7547759533649999E-2</v>
      </c>
      <c r="H594" s="10" t="s">
        <v>1202</v>
      </c>
      <c r="I594" s="10" t="s">
        <v>18</v>
      </c>
    </row>
    <row r="595" spans="1:9" x14ac:dyDescent="0.2">
      <c r="A595" s="10" t="s">
        <v>1203</v>
      </c>
      <c r="B595" s="10">
        <v>1865.02618150126</v>
      </c>
      <c r="C595" s="10">
        <v>-1.80381262113039</v>
      </c>
      <c r="D595" s="10">
        <v>0.189073985526031</v>
      </c>
      <c r="E595" s="10">
        <v>-9.54024751798576</v>
      </c>
      <c r="F595" s="4">
        <v>1.42491815468157E-21</v>
      </c>
      <c r="G595" s="4">
        <v>6.2620556388078699E-20</v>
      </c>
      <c r="H595" s="10" t="s">
        <v>1204</v>
      </c>
      <c r="I595" s="10" t="s">
        <v>18</v>
      </c>
    </row>
    <row r="596" spans="1:9" x14ac:dyDescent="0.2">
      <c r="A596" s="10" t="s">
        <v>1205</v>
      </c>
      <c r="B596" s="10">
        <v>3.8893317554809199</v>
      </c>
      <c r="C596" s="10">
        <v>5.35263968609567</v>
      </c>
      <c r="D596" s="10">
        <v>2.1805139762792298</v>
      </c>
      <c r="E596" s="10">
        <v>2.4547605492670499</v>
      </c>
      <c r="F596" s="10">
        <v>1.40978459500909E-2</v>
      </c>
      <c r="G596" s="10">
        <v>4.2402473628670397E-2</v>
      </c>
      <c r="H596" s="10" t="s">
        <v>1206</v>
      </c>
      <c r="I596" s="10" t="s">
        <v>18</v>
      </c>
    </row>
    <row r="597" spans="1:9" x14ac:dyDescent="0.2">
      <c r="A597" s="10" t="s">
        <v>1207</v>
      </c>
      <c r="B597" s="10">
        <v>10.701091477942301</v>
      </c>
      <c r="C597" s="10">
        <v>3.21006300710722</v>
      </c>
      <c r="D597" s="10">
        <v>1.25380192638946</v>
      </c>
      <c r="E597" s="10">
        <v>2.5602632597248798</v>
      </c>
      <c r="F597" s="10">
        <v>1.0459289817616299E-2</v>
      </c>
      <c r="G597" s="10">
        <v>3.3041654453401903E-2</v>
      </c>
      <c r="H597" s="10" t="s">
        <v>1208</v>
      </c>
      <c r="I597" s="10" t="s">
        <v>18</v>
      </c>
    </row>
    <row r="598" spans="1:9" x14ac:dyDescent="0.2">
      <c r="A598" s="10" t="s">
        <v>1209</v>
      </c>
      <c r="B598" s="10">
        <v>1093.8076834681301</v>
      </c>
      <c r="C598" s="10">
        <v>-1.3797065617850099</v>
      </c>
      <c r="D598" s="10">
        <v>0.21745789036198701</v>
      </c>
      <c r="E598" s="10">
        <v>-6.3447068280130603</v>
      </c>
      <c r="F598" s="4">
        <v>2.2284941173977899E-10</v>
      </c>
      <c r="G598" s="4">
        <v>3.2821502279317601E-9</v>
      </c>
      <c r="H598" s="10" t="s">
        <v>1210</v>
      </c>
      <c r="I598" s="10" t="s">
        <v>18</v>
      </c>
    </row>
    <row r="599" spans="1:9" x14ac:dyDescent="0.2">
      <c r="A599" s="10" t="s">
        <v>1211</v>
      </c>
      <c r="B599" s="10">
        <v>54.397877045445497</v>
      </c>
      <c r="C599" s="10">
        <v>1.3942544683493201</v>
      </c>
      <c r="D599" s="10">
        <v>0.54712554531825897</v>
      </c>
      <c r="E599" s="10">
        <v>2.5483263947003101</v>
      </c>
      <c r="F599" s="10">
        <v>1.08241146054887E-2</v>
      </c>
      <c r="G599" s="10">
        <v>3.4036312828130397E-2</v>
      </c>
      <c r="H599" s="10" t="s">
        <v>1212</v>
      </c>
      <c r="I599" s="10" t="s">
        <v>18</v>
      </c>
    </row>
    <row r="600" spans="1:9" x14ac:dyDescent="0.2">
      <c r="A600" s="10" t="s">
        <v>1213</v>
      </c>
      <c r="B600" s="10">
        <v>342.93840304510502</v>
      </c>
      <c r="C600" s="10">
        <v>2.8180355246864401</v>
      </c>
      <c r="D600" s="10">
        <v>0.27534569624780098</v>
      </c>
      <c r="E600" s="10">
        <v>10.2345363050465</v>
      </c>
      <c r="F600" s="4">
        <v>1.3885876486260899E-24</v>
      </c>
      <c r="G600" s="4">
        <v>7.4920490420029696E-23</v>
      </c>
      <c r="H600" s="10" t="s">
        <v>1214</v>
      </c>
      <c r="I600" s="10" t="s">
        <v>18</v>
      </c>
    </row>
    <row r="601" spans="1:9" x14ac:dyDescent="0.2">
      <c r="A601" s="10" t="s">
        <v>1215</v>
      </c>
      <c r="B601" s="10">
        <v>5694.0033361346404</v>
      </c>
      <c r="C601" s="10">
        <v>1.66449482502636</v>
      </c>
      <c r="D601" s="10">
        <v>0.20198106326176701</v>
      </c>
      <c r="E601" s="10">
        <v>8.2408459394491391</v>
      </c>
      <c r="F601" s="4">
        <v>1.7099729463876601E-16</v>
      </c>
      <c r="G601" s="4">
        <v>4.8736017646678397E-15</v>
      </c>
      <c r="H601" s="10" t="s">
        <v>1216</v>
      </c>
      <c r="I601" s="10" t="s">
        <v>18</v>
      </c>
    </row>
    <row r="602" spans="1:9" x14ac:dyDescent="0.2">
      <c r="A602" s="10" t="s">
        <v>1217</v>
      </c>
      <c r="B602" s="10">
        <v>2746.7460838039701</v>
      </c>
      <c r="C602" s="10">
        <v>-1.0788711744232999</v>
      </c>
      <c r="D602" s="10">
        <v>0.179369047988061</v>
      </c>
      <c r="E602" s="10">
        <v>-6.0148124022774896</v>
      </c>
      <c r="F602" s="4">
        <v>1.80095138035599E-9</v>
      </c>
      <c r="G602" s="4">
        <v>2.3514983822138401E-8</v>
      </c>
      <c r="H602" s="10" t="s">
        <v>1218</v>
      </c>
      <c r="I602" s="10" t="s">
        <v>18</v>
      </c>
    </row>
    <row r="603" spans="1:9" x14ac:dyDescent="0.2">
      <c r="A603" s="10" t="s">
        <v>1219</v>
      </c>
      <c r="B603" s="10">
        <v>828.84422997337401</v>
      </c>
      <c r="C603" s="10">
        <v>-1.20018134808318</v>
      </c>
      <c r="D603" s="10">
        <v>0.207507233517814</v>
      </c>
      <c r="E603" s="10">
        <v>-5.7838048714583801</v>
      </c>
      <c r="F603" s="4">
        <v>7.3029648913686603E-9</v>
      </c>
      <c r="G603" s="4">
        <v>8.8515962809217894E-8</v>
      </c>
      <c r="H603" s="10" t="s">
        <v>1220</v>
      </c>
      <c r="I603" s="10" t="s">
        <v>18</v>
      </c>
    </row>
    <row r="604" spans="1:9" x14ac:dyDescent="0.2">
      <c r="A604" s="10" t="s">
        <v>1221</v>
      </c>
      <c r="B604" s="10">
        <v>5.35989648036084</v>
      </c>
      <c r="C604" s="10">
        <v>5.82087034832609</v>
      </c>
      <c r="D604" s="10">
        <v>2.0030830883710302</v>
      </c>
      <c r="E604" s="10">
        <v>2.9059555153350201</v>
      </c>
      <c r="F604" s="10">
        <v>3.66133497227402E-3</v>
      </c>
      <c r="G604" s="10">
        <v>1.3608019914002199E-2</v>
      </c>
      <c r="H604" s="10" t="s">
        <v>1222</v>
      </c>
      <c r="I604" s="10" t="s">
        <v>18</v>
      </c>
    </row>
    <row r="605" spans="1:9" x14ac:dyDescent="0.2">
      <c r="A605" s="10" t="s">
        <v>1223</v>
      </c>
      <c r="B605" s="10">
        <v>13.214041991309101</v>
      </c>
      <c r="C605" s="10">
        <v>7.1210089062058097</v>
      </c>
      <c r="D605" s="10">
        <v>1.6921903964879801</v>
      </c>
      <c r="E605" s="10">
        <v>4.2081605716383503</v>
      </c>
      <c r="F605" s="4">
        <v>2.5745789734411199E-5</v>
      </c>
      <c r="G605" s="10">
        <v>1.67142133164999E-4</v>
      </c>
      <c r="H605" s="10" t="s">
        <v>1224</v>
      </c>
      <c r="I605" s="10" t="s">
        <v>18</v>
      </c>
    </row>
    <row r="606" spans="1:9" x14ac:dyDescent="0.2">
      <c r="A606" s="10" t="s">
        <v>1225</v>
      </c>
      <c r="B606" s="10">
        <v>2071.3356877579799</v>
      </c>
      <c r="C606" s="10">
        <v>1.1853123975589399</v>
      </c>
      <c r="D606" s="10">
        <v>0.19580379932577799</v>
      </c>
      <c r="E606" s="10">
        <v>6.0535720023839801</v>
      </c>
      <c r="F606" s="4">
        <v>1.4166870573915101E-9</v>
      </c>
      <c r="G606" s="4">
        <v>1.8874105795532899E-8</v>
      </c>
      <c r="H606" s="10" t="s">
        <v>1226</v>
      </c>
      <c r="I606" s="10" t="s">
        <v>18</v>
      </c>
    </row>
    <row r="607" spans="1:9" x14ac:dyDescent="0.2">
      <c r="A607" s="10" t="s">
        <v>1227</v>
      </c>
      <c r="B607" s="10">
        <v>233.45392593785999</v>
      </c>
      <c r="C607" s="10">
        <v>2.18843361361195</v>
      </c>
      <c r="D607" s="10">
        <v>0.29093896066957198</v>
      </c>
      <c r="E607" s="10">
        <v>7.5219682113920001</v>
      </c>
      <c r="F607" s="4">
        <v>5.39577054816725E-14</v>
      </c>
      <c r="G607" s="4">
        <v>1.22925217496583E-12</v>
      </c>
      <c r="H607" s="10" t="s">
        <v>1228</v>
      </c>
      <c r="I607" s="10" t="s">
        <v>18</v>
      </c>
    </row>
    <row r="608" spans="1:9" x14ac:dyDescent="0.2">
      <c r="A608" s="10" t="s">
        <v>1229</v>
      </c>
      <c r="B608" s="10">
        <v>221.679380841696</v>
      </c>
      <c r="C608" s="10">
        <v>3.8400350714709202</v>
      </c>
      <c r="D608" s="10">
        <v>0.330951711615596</v>
      </c>
      <c r="E608" s="10">
        <v>11.6030071357696</v>
      </c>
      <c r="F608" s="4">
        <v>3.9784817753904399E-31</v>
      </c>
      <c r="G608" s="4">
        <v>3.3981721922903902E-29</v>
      </c>
      <c r="H608" s="10" t="s">
        <v>1230</v>
      </c>
      <c r="I608" s="10" t="s">
        <v>18</v>
      </c>
    </row>
    <row r="609" spans="1:9" x14ac:dyDescent="0.2">
      <c r="A609" s="10" t="s">
        <v>1231</v>
      </c>
      <c r="B609" s="10">
        <v>1108.18700885464</v>
      </c>
      <c r="C609" s="10">
        <v>1.85623748686309</v>
      </c>
      <c r="D609" s="10">
        <v>0.205360525797675</v>
      </c>
      <c r="E609" s="10">
        <v>9.0389205990438892</v>
      </c>
      <c r="F609" s="4">
        <v>1.5822643435243199E-19</v>
      </c>
      <c r="G609" s="4">
        <v>5.7946178182805299E-18</v>
      </c>
      <c r="H609" s="10" t="s">
        <v>1232</v>
      </c>
      <c r="I609" s="10" t="s">
        <v>18</v>
      </c>
    </row>
    <row r="610" spans="1:9" x14ac:dyDescent="0.2">
      <c r="A610" s="10" t="s">
        <v>1233</v>
      </c>
      <c r="B610" s="10">
        <v>648.83331871325595</v>
      </c>
      <c r="C610" s="10">
        <v>1.41512854219055</v>
      </c>
      <c r="D610" s="10">
        <v>0.21888602893061199</v>
      </c>
      <c r="E610" s="10">
        <v>6.4651387258669999</v>
      </c>
      <c r="F610" s="4">
        <v>1.01205919472877E-10</v>
      </c>
      <c r="G610" s="4">
        <v>1.5730505920578899E-9</v>
      </c>
      <c r="H610" s="10" t="s">
        <v>1234</v>
      </c>
      <c r="I610" s="10" t="s">
        <v>18</v>
      </c>
    </row>
    <row r="611" spans="1:9" x14ac:dyDescent="0.2">
      <c r="A611" s="10" t="s">
        <v>1235</v>
      </c>
      <c r="B611" s="10">
        <v>7.0509389933641398</v>
      </c>
      <c r="C611" s="10">
        <v>3.6643351664009902</v>
      </c>
      <c r="D611" s="10">
        <v>1.53766828890081</v>
      </c>
      <c r="E611" s="10">
        <v>2.3830465860880898</v>
      </c>
      <c r="F611" s="10">
        <v>1.7170021326532298E-2</v>
      </c>
      <c r="G611" s="10">
        <v>4.98754340174868E-2</v>
      </c>
      <c r="H611" s="10" t="s">
        <v>1236</v>
      </c>
      <c r="I611" s="10" t="s">
        <v>18</v>
      </c>
    </row>
    <row r="612" spans="1:9" x14ac:dyDescent="0.2">
      <c r="A612" s="10" t="s">
        <v>1237</v>
      </c>
      <c r="B612" s="10">
        <v>3993.5478798794502</v>
      </c>
      <c r="C612" s="10">
        <v>-1.5305969810861799</v>
      </c>
      <c r="D612" s="10">
        <v>0.214619981081802</v>
      </c>
      <c r="E612" s="10">
        <v>-7.1316611499597196</v>
      </c>
      <c r="F612" s="4">
        <v>9.9164760203512598E-13</v>
      </c>
      <c r="G612" s="4">
        <v>1.9664790547780999E-11</v>
      </c>
      <c r="H612" s="10" t="s">
        <v>1238</v>
      </c>
      <c r="I612" s="10" t="s">
        <v>18</v>
      </c>
    </row>
    <row r="613" spans="1:9" x14ac:dyDescent="0.2">
      <c r="A613" s="10" t="s">
        <v>1239</v>
      </c>
      <c r="B613" s="10">
        <v>987.6068772932</v>
      </c>
      <c r="C613" s="10">
        <v>-1.1653893702715199</v>
      </c>
      <c r="D613" s="10">
        <v>0.22169749621806301</v>
      </c>
      <c r="E613" s="10">
        <v>-5.2566645548636997</v>
      </c>
      <c r="F613" s="4">
        <v>1.4669152265915899E-7</v>
      </c>
      <c r="G613" s="4">
        <v>1.4460578574146501E-6</v>
      </c>
      <c r="H613" s="10" t="s">
        <v>1240</v>
      </c>
      <c r="I613" s="10" t="s">
        <v>18</v>
      </c>
    </row>
    <row r="614" spans="1:9" x14ac:dyDescent="0.2">
      <c r="A614" s="10" t="s">
        <v>1241</v>
      </c>
      <c r="B614" s="10">
        <v>26.950197341671998</v>
      </c>
      <c r="C614" s="10">
        <v>5.6734019193896801</v>
      </c>
      <c r="D614" s="10">
        <v>1.1974494688925701</v>
      </c>
      <c r="E614" s="10">
        <v>4.7379050780627896</v>
      </c>
      <c r="F614" s="4">
        <v>2.1593891065316001E-6</v>
      </c>
      <c r="G614" s="4">
        <v>1.74590133488624E-5</v>
      </c>
      <c r="H614" s="10" t="s">
        <v>1242</v>
      </c>
      <c r="I614" s="10" t="s">
        <v>18</v>
      </c>
    </row>
    <row r="615" spans="1:9" x14ac:dyDescent="0.2">
      <c r="A615" s="10" t="s">
        <v>1243</v>
      </c>
      <c r="B615" s="10">
        <v>881.93604923053294</v>
      </c>
      <c r="C615" s="10">
        <v>-1.15562742053323</v>
      </c>
      <c r="D615" s="10">
        <v>0.22325201747310799</v>
      </c>
      <c r="E615" s="10">
        <v>-5.1763358450833801</v>
      </c>
      <c r="F615" s="4">
        <v>2.2628596763688299E-7</v>
      </c>
      <c r="G615" s="4">
        <v>2.1656528838082699E-6</v>
      </c>
      <c r="H615" s="10" t="s">
        <v>1244</v>
      </c>
      <c r="I615" s="10" t="s">
        <v>18</v>
      </c>
    </row>
    <row r="616" spans="1:9" x14ac:dyDescent="0.2">
      <c r="A616" s="10" t="s">
        <v>1245</v>
      </c>
      <c r="B616" s="10">
        <v>347.94581375775999</v>
      </c>
      <c r="C616" s="10">
        <v>-1.0979027821730201</v>
      </c>
      <c r="D616" s="10">
        <v>0.25467718564779601</v>
      </c>
      <c r="E616" s="10">
        <v>-4.3109585155042502</v>
      </c>
      <c r="F616" s="4">
        <v>1.62548401679764E-5</v>
      </c>
      <c r="G616" s="10">
        <v>1.10255322394038E-4</v>
      </c>
      <c r="H616" s="10" t="s">
        <v>1246</v>
      </c>
      <c r="I616" s="10" t="s">
        <v>18</v>
      </c>
    </row>
    <row r="617" spans="1:9" x14ac:dyDescent="0.2">
      <c r="A617" s="10" t="s">
        <v>1247</v>
      </c>
      <c r="B617" s="10">
        <v>19.778813301410999</v>
      </c>
      <c r="C617" s="10">
        <v>7.70010863145637</v>
      </c>
      <c r="D617" s="10">
        <v>1.62229930251313</v>
      </c>
      <c r="E617" s="10">
        <v>4.7464167798925798</v>
      </c>
      <c r="F617" s="4">
        <v>2.0705185548911101E-6</v>
      </c>
      <c r="G617" s="4">
        <v>1.67853076659083E-5</v>
      </c>
      <c r="H617" s="10" t="s">
        <v>1248</v>
      </c>
      <c r="I617" s="10" t="s">
        <v>18</v>
      </c>
    </row>
    <row r="618" spans="1:9" x14ac:dyDescent="0.2">
      <c r="A618" s="10" t="s">
        <v>1249</v>
      </c>
      <c r="B618" s="10">
        <v>4.2214862794873804</v>
      </c>
      <c r="C618" s="10">
        <v>5.4755790109220799</v>
      </c>
      <c r="D618" s="10">
        <v>2.12353005238585</v>
      </c>
      <c r="E618" s="10">
        <v>2.5785267341849498</v>
      </c>
      <c r="F618" s="10">
        <v>9.9222621654522294E-3</v>
      </c>
      <c r="G618" s="10">
        <v>3.16053164860974E-2</v>
      </c>
      <c r="H618" s="10" t="s">
        <v>1250</v>
      </c>
      <c r="I618" s="10" t="s">
        <v>18</v>
      </c>
    </row>
    <row r="619" spans="1:9" x14ac:dyDescent="0.2">
      <c r="A619" s="10" t="s">
        <v>1251</v>
      </c>
      <c r="B619" s="10">
        <v>419.41094949425099</v>
      </c>
      <c r="C619" s="10">
        <v>-1.0397134114378499</v>
      </c>
      <c r="D619" s="10">
        <v>0.26054057957817001</v>
      </c>
      <c r="E619" s="10">
        <v>-3.99060067004226</v>
      </c>
      <c r="F619" s="4">
        <v>6.5906166999393794E-5</v>
      </c>
      <c r="G619" s="10">
        <v>3.9259845479503298E-4</v>
      </c>
      <c r="H619" s="10" t="s">
        <v>1252</v>
      </c>
      <c r="I619" s="10" t="s">
        <v>18</v>
      </c>
    </row>
    <row r="620" spans="1:9" x14ac:dyDescent="0.2">
      <c r="A620" s="10" t="s">
        <v>1253</v>
      </c>
      <c r="B620" s="10">
        <v>71.867844954907397</v>
      </c>
      <c r="C620" s="10">
        <v>8.1149274647195302</v>
      </c>
      <c r="D620" s="10">
        <v>1.49310454300895</v>
      </c>
      <c r="E620" s="10">
        <v>5.4349358875876597</v>
      </c>
      <c r="F620" s="4">
        <v>5.48161383711664E-8</v>
      </c>
      <c r="G620" s="4">
        <v>5.82517676364731E-7</v>
      </c>
      <c r="H620" s="10" t="s">
        <v>1254</v>
      </c>
      <c r="I620" s="10" t="s">
        <v>18</v>
      </c>
    </row>
    <row r="621" spans="1:9" x14ac:dyDescent="0.2">
      <c r="A621" s="10" t="s">
        <v>1255</v>
      </c>
      <c r="B621" s="10">
        <v>1631.13748462375</v>
      </c>
      <c r="C621" s="10">
        <v>1.4456038875716699</v>
      </c>
      <c r="D621" s="10">
        <v>0.18871702673843499</v>
      </c>
      <c r="E621" s="10">
        <v>7.6601667192187302</v>
      </c>
      <c r="F621" s="4">
        <v>1.8569186885493499E-14</v>
      </c>
      <c r="G621" s="4">
        <v>4.3692110109589001E-13</v>
      </c>
      <c r="H621" s="10" t="s">
        <v>1256</v>
      </c>
      <c r="I621" s="10" t="s">
        <v>18</v>
      </c>
    </row>
    <row r="622" spans="1:9" x14ac:dyDescent="0.2">
      <c r="A622" s="10" t="s">
        <v>1257</v>
      </c>
      <c r="B622" s="10">
        <v>40.377091887273501</v>
      </c>
      <c r="C622" s="10">
        <v>2.6924022945133799</v>
      </c>
      <c r="D622" s="10">
        <v>0.601696168268814</v>
      </c>
      <c r="E622" s="10">
        <v>4.4746874527386504</v>
      </c>
      <c r="F622" s="4">
        <v>7.6523166394589702E-6</v>
      </c>
      <c r="G622" s="4">
        <v>5.56303819304532E-5</v>
      </c>
      <c r="H622" s="10" t="s">
        <v>1258</v>
      </c>
      <c r="I622" s="10" t="s">
        <v>18</v>
      </c>
    </row>
    <row r="623" spans="1:9" x14ac:dyDescent="0.2">
      <c r="A623" s="10" t="s">
        <v>1259</v>
      </c>
      <c r="B623" s="10">
        <v>2289.1278277818101</v>
      </c>
      <c r="C623" s="10">
        <v>-1.5992780405882501</v>
      </c>
      <c r="D623" s="10">
        <v>0.195490606825902</v>
      </c>
      <c r="E623" s="10">
        <v>-8.1808433998699499</v>
      </c>
      <c r="F623" s="4">
        <v>2.8186401896350202E-16</v>
      </c>
      <c r="G623" s="4">
        <v>7.8849578282325799E-15</v>
      </c>
      <c r="H623" s="10" t="s">
        <v>1260</v>
      </c>
      <c r="I623" s="10" t="s">
        <v>18</v>
      </c>
    </row>
    <row r="624" spans="1:9" x14ac:dyDescent="0.2">
      <c r="A624" s="10" t="s">
        <v>1261</v>
      </c>
      <c r="B624" s="10">
        <v>901.56136273273296</v>
      </c>
      <c r="C624" s="10">
        <v>-1.52267222965219</v>
      </c>
      <c r="D624" s="10">
        <v>0.20805115809904001</v>
      </c>
      <c r="E624" s="10">
        <v>-7.3187395040951797</v>
      </c>
      <c r="F624" s="4">
        <v>2.50310957464021E-13</v>
      </c>
      <c r="G624" s="4">
        <v>5.3408164902287996E-12</v>
      </c>
      <c r="H624" s="10" t="s">
        <v>1262</v>
      </c>
      <c r="I624" s="10" t="s">
        <v>18</v>
      </c>
    </row>
    <row r="625" spans="1:9" x14ac:dyDescent="0.2">
      <c r="A625" s="10" t="s">
        <v>1263</v>
      </c>
      <c r="B625" s="10">
        <v>90.099613650064896</v>
      </c>
      <c r="C625" s="10">
        <v>2.0687181955948</v>
      </c>
      <c r="D625" s="10">
        <v>0.41282105106665601</v>
      </c>
      <c r="E625" s="10">
        <v>5.0111741885487699</v>
      </c>
      <c r="F625" s="4">
        <v>5.4098916872237E-7</v>
      </c>
      <c r="G625" s="4">
        <v>4.8583822940601202E-6</v>
      </c>
      <c r="H625" s="10" t="s">
        <v>1264</v>
      </c>
      <c r="I625" s="10" t="s">
        <v>18</v>
      </c>
    </row>
    <row r="626" spans="1:9" x14ac:dyDescent="0.2">
      <c r="A626" s="10" t="s">
        <v>1265</v>
      </c>
      <c r="B626" s="10">
        <v>89.173834501854003</v>
      </c>
      <c r="C626" s="10">
        <v>4.7969885722575096</v>
      </c>
      <c r="D626" s="10">
        <v>0.55740280733102099</v>
      </c>
      <c r="E626" s="10">
        <v>8.6059641414915902</v>
      </c>
      <c r="F626" s="4">
        <v>7.5677922829781501E-18</v>
      </c>
      <c r="G626" s="4">
        <v>2.4060634344726402E-16</v>
      </c>
      <c r="H626" s="10" t="s">
        <v>1266</v>
      </c>
      <c r="I626" s="10" t="s">
        <v>18</v>
      </c>
    </row>
    <row r="627" spans="1:9" x14ac:dyDescent="0.2">
      <c r="A627" s="10" t="s">
        <v>1267</v>
      </c>
      <c r="B627" s="10">
        <v>324.08288967148002</v>
      </c>
      <c r="C627" s="10">
        <v>1.6797106668870601</v>
      </c>
      <c r="D627" s="10">
        <v>0.25453202912445799</v>
      </c>
      <c r="E627" s="10">
        <v>6.59921139459321</v>
      </c>
      <c r="F627" s="4">
        <v>4.1335056989128397E-11</v>
      </c>
      <c r="G627" s="4">
        <v>6.7928606621398204E-10</v>
      </c>
      <c r="H627" s="10" t="s">
        <v>1268</v>
      </c>
      <c r="I627" s="10" t="s">
        <v>18</v>
      </c>
    </row>
    <row r="628" spans="1:9" x14ac:dyDescent="0.2">
      <c r="A628" s="10" t="s">
        <v>1269</v>
      </c>
      <c r="B628" s="10">
        <v>67.903296268208393</v>
      </c>
      <c r="C628" s="10">
        <v>3.5273338840598898</v>
      </c>
      <c r="D628" s="10">
        <v>0.52056259606532296</v>
      </c>
      <c r="E628" s="10">
        <v>6.7760033293234496</v>
      </c>
      <c r="F628" s="4">
        <v>1.2354583261251701E-11</v>
      </c>
      <c r="G628" s="4">
        <v>2.15509174212115E-10</v>
      </c>
      <c r="H628" s="10" t="s">
        <v>1270</v>
      </c>
      <c r="I628" s="10" t="s">
        <v>18</v>
      </c>
    </row>
    <row r="629" spans="1:9" x14ac:dyDescent="0.2">
      <c r="A629" s="10" t="s">
        <v>1271</v>
      </c>
      <c r="B629" s="10">
        <v>73.413446440861605</v>
      </c>
      <c r="C629" s="10">
        <v>1.3754848701476601</v>
      </c>
      <c r="D629" s="10">
        <v>0.43402367251686103</v>
      </c>
      <c r="E629" s="10">
        <v>3.16914711626525</v>
      </c>
      <c r="F629" s="10">
        <v>1.5288698727320201E-3</v>
      </c>
      <c r="G629" s="10">
        <v>6.3844440909560504E-3</v>
      </c>
      <c r="H629" s="10" t="s">
        <v>1272</v>
      </c>
      <c r="I629" s="10" t="s">
        <v>18</v>
      </c>
    </row>
    <row r="630" spans="1:9" x14ac:dyDescent="0.2">
      <c r="A630" s="10" t="s">
        <v>1273</v>
      </c>
      <c r="B630" s="10">
        <v>17.4749834338486</v>
      </c>
      <c r="C630" s="10">
        <v>4.4363547931021099</v>
      </c>
      <c r="D630" s="10">
        <v>1.1383159391691799</v>
      </c>
      <c r="E630" s="10">
        <v>3.8972965592839302</v>
      </c>
      <c r="F630" s="4">
        <v>9.7272475626702397E-5</v>
      </c>
      <c r="G630" s="10">
        <v>5.5856336004230997E-4</v>
      </c>
      <c r="H630" s="10" t="s">
        <v>1274</v>
      </c>
      <c r="I630" s="10" t="s">
        <v>18</v>
      </c>
    </row>
    <row r="631" spans="1:9" x14ac:dyDescent="0.2">
      <c r="A631" s="10" t="s">
        <v>1275</v>
      </c>
      <c r="B631" s="10">
        <v>6363.86450698096</v>
      </c>
      <c r="C631" s="10">
        <v>-1.3911349046513699</v>
      </c>
      <c r="D631" s="10">
        <v>0.176231858400791</v>
      </c>
      <c r="E631" s="10">
        <v>-7.8937765128006196</v>
      </c>
      <c r="F631" s="4">
        <v>2.9317696683055701E-15</v>
      </c>
      <c r="G631" s="4">
        <v>7.5077000143159603E-14</v>
      </c>
      <c r="H631" s="10" t="s">
        <v>1276</v>
      </c>
      <c r="I631" s="10" t="s">
        <v>18</v>
      </c>
    </row>
    <row r="632" spans="1:9" x14ac:dyDescent="0.2">
      <c r="A632" s="10" t="s">
        <v>1277</v>
      </c>
      <c r="B632" s="10">
        <v>7.92967087984462</v>
      </c>
      <c r="C632" s="10">
        <v>3.8425499193354402</v>
      </c>
      <c r="D632" s="10">
        <v>1.48861607842969</v>
      </c>
      <c r="E632" s="10">
        <v>2.5812900821203399</v>
      </c>
      <c r="F632" s="10">
        <v>9.8431833520355103E-3</v>
      </c>
      <c r="G632" s="10">
        <v>3.1379105743876402E-2</v>
      </c>
      <c r="H632" s="10" t="s">
        <v>1278</v>
      </c>
      <c r="I632" s="10" t="s">
        <v>18</v>
      </c>
    </row>
    <row r="633" spans="1:9" x14ac:dyDescent="0.2">
      <c r="A633" s="10" t="s">
        <v>1279</v>
      </c>
      <c r="B633" s="10">
        <v>9.2551152865350499</v>
      </c>
      <c r="C633" s="10">
        <v>5.12013698084019</v>
      </c>
      <c r="D633" s="10">
        <v>1.76679203542103</v>
      </c>
      <c r="E633" s="10">
        <v>2.8979850928635398</v>
      </c>
      <c r="F633" s="10">
        <v>3.7556844038140699E-3</v>
      </c>
      <c r="G633" s="10">
        <v>1.38980215877661E-2</v>
      </c>
      <c r="H633" s="10" t="s">
        <v>1280</v>
      </c>
      <c r="I633" s="10" t="s">
        <v>18</v>
      </c>
    </row>
    <row r="634" spans="1:9" x14ac:dyDescent="0.2">
      <c r="A634" s="10" t="s">
        <v>1281</v>
      </c>
      <c r="B634" s="10">
        <v>15.3041261929316</v>
      </c>
      <c r="C634" s="10">
        <v>2.6821107594044502</v>
      </c>
      <c r="D634" s="10">
        <v>0.950656382913735</v>
      </c>
      <c r="E634" s="10">
        <v>2.8213251471408198</v>
      </c>
      <c r="F634" s="10">
        <v>4.7825701486887201E-3</v>
      </c>
      <c r="G634" s="10">
        <v>1.7077316805142299E-2</v>
      </c>
      <c r="H634" s="10" t="s">
        <v>1282</v>
      </c>
      <c r="I634" s="10" t="s">
        <v>18</v>
      </c>
    </row>
    <row r="635" spans="1:9" x14ac:dyDescent="0.2">
      <c r="A635" s="10" t="s">
        <v>1283</v>
      </c>
      <c r="B635" s="10">
        <v>1182.8796003188399</v>
      </c>
      <c r="C635" s="10">
        <v>-2.81004993321022</v>
      </c>
      <c r="D635" s="10">
        <v>0.20252624271894501</v>
      </c>
      <c r="E635" s="10">
        <v>-13.8749916824846</v>
      </c>
      <c r="F635" s="4">
        <v>8.9803511184293791E-44</v>
      </c>
      <c r="G635" s="4">
        <v>1.43092179487629E-41</v>
      </c>
      <c r="H635" s="10" t="s">
        <v>1284</v>
      </c>
      <c r="I635" s="10" t="s">
        <v>18</v>
      </c>
    </row>
    <row r="636" spans="1:9" x14ac:dyDescent="0.2">
      <c r="A636" s="10" t="s">
        <v>1285</v>
      </c>
      <c r="B636" s="10">
        <v>15.1194639738699</v>
      </c>
      <c r="C636" s="10">
        <v>7.3131367624703296</v>
      </c>
      <c r="D636" s="10">
        <v>1.66629322784528</v>
      </c>
      <c r="E636" s="10">
        <v>4.3888654411247296</v>
      </c>
      <c r="F636" s="4">
        <v>1.13943539280509E-5</v>
      </c>
      <c r="G636" s="4">
        <v>7.9933563717199705E-5</v>
      </c>
      <c r="H636" s="10" t="s">
        <v>1286</v>
      </c>
      <c r="I636" s="10" t="s">
        <v>18</v>
      </c>
    </row>
    <row r="637" spans="1:9" x14ac:dyDescent="0.2">
      <c r="A637" s="10" t="s">
        <v>1287</v>
      </c>
      <c r="B637" s="10">
        <v>31.029081405118401</v>
      </c>
      <c r="C637" s="10">
        <v>2.3128263237448401</v>
      </c>
      <c r="D637" s="10">
        <v>0.71243172789706499</v>
      </c>
      <c r="E637" s="10">
        <v>3.2463831033631401</v>
      </c>
      <c r="F637" s="10">
        <v>1.1688143733379901E-3</v>
      </c>
      <c r="G637" s="10">
        <v>5.0574377053104903E-3</v>
      </c>
      <c r="H637" s="10" t="s">
        <v>1288</v>
      </c>
      <c r="I637" s="10" t="s">
        <v>18</v>
      </c>
    </row>
    <row r="638" spans="1:9" x14ac:dyDescent="0.2">
      <c r="A638" s="10" t="s">
        <v>1289</v>
      </c>
      <c r="B638" s="10">
        <v>79.896655464331204</v>
      </c>
      <c r="C638" s="10">
        <v>2.9761095106019102</v>
      </c>
      <c r="D638" s="10">
        <v>0.46601456628578197</v>
      </c>
      <c r="E638" s="10">
        <v>6.3863014719089701</v>
      </c>
      <c r="F638" s="4">
        <v>1.69945812529525E-10</v>
      </c>
      <c r="G638" s="4">
        <v>2.55970898507018E-9</v>
      </c>
      <c r="H638" s="10" t="s">
        <v>1290</v>
      </c>
      <c r="I638" s="10" t="s">
        <v>18</v>
      </c>
    </row>
    <row r="639" spans="1:9" x14ac:dyDescent="0.2">
      <c r="A639" s="10" t="s">
        <v>1291</v>
      </c>
      <c r="B639" s="10">
        <v>48.762075699379203</v>
      </c>
      <c r="C639" s="10">
        <v>2.8498788231888899</v>
      </c>
      <c r="D639" s="10">
        <v>0.55838850529881701</v>
      </c>
      <c r="E639" s="10">
        <v>5.1037562488214299</v>
      </c>
      <c r="F639" s="4">
        <v>3.3297711075920601E-7</v>
      </c>
      <c r="G639" s="4">
        <v>3.0936502380317301E-6</v>
      </c>
      <c r="H639" s="10" t="s">
        <v>1292</v>
      </c>
      <c r="I639" s="10" t="s">
        <v>18</v>
      </c>
    </row>
    <row r="640" spans="1:9" x14ac:dyDescent="0.2">
      <c r="A640" s="10" t="s">
        <v>1293</v>
      </c>
      <c r="B640" s="10">
        <v>36.181655904044597</v>
      </c>
      <c r="C640" s="10">
        <v>2.4203352770353099</v>
      </c>
      <c r="D640" s="10">
        <v>0.635054611873755</v>
      </c>
      <c r="E640" s="10">
        <v>3.8112238408819801</v>
      </c>
      <c r="F640" s="10">
        <v>1.3828047956245199E-4</v>
      </c>
      <c r="G640" s="10">
        <v>7.6657746218476805E-4</v>
      </c>
      <c r="H640" s="10" t="s">
        <v>1294</v>
      </c>
      <c r="I640" s="10" t="s">
        <v>18</v>
      </c>
    </row>
    <row r="641" spans="1:9" x14ac:dyDescent="0.2">
      <c r="A641" s="10" t="s">
        <v>1295</v>
      </c>
      <c r="B641" s="10">
        <v>220.88003725892801</v>
      </c>
      <c r="C641" s="10">
        <v>4.9391400216020296</v>
      </c>
      <c r="D641" s="10">
        <v>0.39741892088477598</v>
      </c>
      <c r="E641" s="10">
        <v>12.428044469060501</v>
      </c>
      <c r="F641" s="4">
        <v>1.8408251789507099E-35</v>
      </c>
      <c r="G641" s="4">
        <v>1.98248868185257E-33</v>
      </c>
      <c r="H641" s="10" t="s">
        <v>1296</v>
      </c>
      <c r="I641" s="10" t="s">
        <v>18</v>
      </c>
    </row>
    <row r="642" spans="1:9" x14ac:dyDescent="0.2">
      <c r="A642" s="10" t="s">
        <v>1297</v>
      </c>
      <c r="B642" s="10">
        <v>963.06393436279802</v>
      </c>
      <c r="C642" s="10">
        <v>-1.3916932267566</v>
      </c>
      <c r="D642" s="10">
        <v>0.20074702478374201</v>
      </c>
      <c r="E642" s="10">
        <v>-6.93257211784747</v>
      </c>
      <c r="F642" s="4">
        <v>4.1325674715559901E-12</v>
      </c>
      <c r="G642" s="4">
        <v>7.5824960200327296E-11</v>
      </c>
      <c r="H642" s="10" t="s">
        <v>1298</v>
      </c>
      <c r="I642" s="10" t="s">
        <v>18</v>
      </c>
    </row>
    <row r="643" spans="1:9" x14ac:dyDescent="0.2">
      <c r="A643" s="10" t="s">
        <v>1299</v>
      </c>
      <c r="B643" s="10">
        <v>122.424384390811</v>
      </c>
      <c r="C643" s="10">
        <v>-1.0150598328761899</v>
      </c>
      <c r="D643" s="10">
        <v>0.34229775267969398</v>
      </c>
      <c r="E643" s="10">
        <v>-2.9654294395149998</v>
      </c>
      <c r="F643" s="10">
        <v>3.0226067403949898E-3</v>
      </c>
      <c r="G643" s="10">
        <v>1.1531358982853899E-2</v>
      </c>
      <c r="H643" s="10" t="s">
        <v>1300</v>
      </c>
      <c r="I643" s="10" t="s">
        <v>18</v>
      </c>
    </row>
    <row r="644" spans="1:9" x14ac:dyDescent="0.2">
      <c r="A644" s="10" t="s">
        <v>1301</v>
      </c>
      <c r="B644" s="10">
        <v>5.0277419563543804</v>
      </c>
      <c r="C644" s="10">
        <v>5.7249864720364698</v>
      </c>
      <c r="D644" s="10">
        <v>2.0292551541625601</v>
      </c>
      <c r="E644" s="10">
        <v>2.82122554193983</v>
      </c>
      <c r="F644" s="10">
        <v>4.7840554620197E-3</v>
      </c>
      <c r="G644" s="10">
        <v>1.7077316805142299E-2</v>
      </c>
      <c r="H644" s="10" t="s">
        <v>1302</v>
      </c>
      <c r="I644" s="10" t="s">
        <v>18</v>
      </c>
    </row>
    <row r="645" spans="1:9" x14ac:dyDescent="0.2">
      <c r="A645" s="10" t="s">
        <v>1303</v>
      </c>
      <c r="B645" s="10">
        <v>8.5517302423050108</v>
      </c>
      <c r="C645" s="10">
        <v>3.9562146361555302</v>
      </c>
      <c r="D645" s="10">
        <v>1.4769578512629999</v>
      </c>
      <c r="E645" s="10">
        <v>2.6786239246925301</v>
      </c>
      <c r="F645" s="10">
        <v>7.3925371106341202E-3</v>
      </c>
      <c r="G645" s="10">
        <v>2.46571745199471E-2</v>
      </c>
      <c r="H645" s="10" t="s">
        <v>1304</v>
      </c>
      <c r="I645" s="10" t="s">
        <v>18</v>
      </c>
    </row>
    <row r="646" spans="1:9" x14ac:dyDescent="0.2">
      <c r="A646" s="10" t="s">
        <v>1305</v>
      </c>
      <c r="B646" s="10">
        <v>5.8702357380281196</v>
      </c>
      <c r="C646" s="10">
        <v>5.9458397538104899</v>
      </c>
      <c r="D646" s="10">
        <v>1.9746359248366601</v>
      </c>
      <c r="E646" s="10">
        <v>3.0111068471026199</v>
      </c>
      <c r="F646" s="10">
        <v>2.6029724114652701E-3</v>
      </c>
      <c r="G646" s="10">
        <v>1.0113102708568999E-2</v>
      </c>
      <c r="H646" s="10" t="s">
        <v>1306</v>
      </c>
      <c r="I646" s="10" t="s">
        <v>18</v>
      </c>
    </row>
    <row r="647" spans="1:9" x14ac:dyDescent="0.2">
      <c r="A647" s="10" t="s">
        <v>1307</v>
      </c>
      <c r="B647" s="10">
        <v>5453.8549982462901</v>
      </c>
      <c r="C647" s="10">
        <v>-1.19367849869603</v>
      </c>
      <c r="D647" s="10">
        <v>0.171754780782609</v>
      </c>
      <c r="E647" s="10">
        <v>-6.9498996956997701</v>
      </c>
      <c r="F647" s="4">
        <v>3.6554602271220204E-12</v>
      </c>
      <c r="G647" s="4">
        <v>6.7434207724030995E-11</v>
      </c>
      <c r="H647" s="10" t="s">
        <v>1308</v>
      </c>
      <c r="I647" s="10" t="s">
        <v>18</v>
      </c>
    </row>
    <row r="648" spans="1:9" x14ac:dyDescent="0.2">
      <c r="A648" s="10" t="s">
        <v>1309</v>
      </c>
      <c r="B648" s="10">
        <v>4.6985932227208096</v>
      </c>
      <c r="C648" s="10">
        <v>5.62982837124685</v>
      </c>
      <c r="D648" s="10">
        <v>2.0642529017708502</v>
      </c>
      <c r="E648" s="10">
        <v>2.7272958494655399</v>
      </c>
      <c r="F648" s="10">
        <v>6.3855757645927104E-3</v>
      </c>
      <c r="G648" s="10">
        <v>2.1811179999731398E-2</v>
      </c>
      <c r="H648" s="10" t="s">
        <v>1310</v>
      </c>
      <c r="I648" s="10" t="s">
        <v>18</v>
      </c>
    </row>
    <row r="649" spans="1:9" x14ac:dyDescent="0.2">
      <c r="A649" s="10" t="s">
        <v>1311</v>
      </c>
      <c r="B649" s="10">
        <v>15.7445724956132</v>
      </c>
      <c r="C649" s="10">
        <v>4.87983055252288</v>
      </c>
      <c r="D649" s="10">
        <v>1.2991747924727</v>
      </c>
      <c r="E649" s="10">
        <v>3.7561000881453301</v>
      </c>
      <c r="F649" s="10">
        <v>1.7258169585134499E-4</v>
      </c>
      <c r="G649" s="10">
        <v>9.3337305813052799E-4</v>
      </c>
      <c r="H649" s="10" t="s">
        <v>1312</v>
      </c>
      <c r="I649" s="10" t="s">
        <v>18</v>
      </c>
    </row>
    <row r="650" spans="1:9" x14ac:dyDescent="0.2">
      <c r="A650" s="10" t="s">
        <v>1313</v>
      </c>
      <c r="B650" s="10">
        <v>13.944815668189699</v>
      </c>
      <c r="C650" s="10">
        <v>7.1962260949161596</v>
      </c>
      <c r="D650" s="10">
        <v>1.68401263833697</v>
      </c>
      <c r="E650" s="10">
        <v>4.2732613349165396</v>
      </c>
      <c r="F650" s="4">
        <v>1.9263445827662299E-5</v>
      </c>
      <c r="G650" s="10">
        <v>1.28424543299808E-4</v>
      </c>
      <c r="H650" s="10" t="s">
        <v>1314</v>
      </c>
      <c r="I650" s="10" t="s">
        <v>18</v>
      </c>
    </row>
    <row r="651" spans="1:9" x14ac:dyDescent="0.2">
      <c r="A651" s="10" t="s">
        <v>1315</v>
      </c>
      <c r="B651" s="10">
        <v>7.3377946725351499</v>
      </c>
      <c r="C651" s="10">
        <v>6.2678095163654897</v>
      </c>
      <c r="D651" s="10">
        <v>1.8845290122337099</v>
      </c>
      <c r="E651" s="10">
        <v>3.3259289062025901</v>
      </c>
      <c r="F651" s="10">
        <v>8.8124402618598502E-4</v>
      </c>
      <c r="G651" s="10">
        <v>3.9485702978933604E-3</v>
      </c>
      <c r="H651" s="10" t="s">
        <v>1316</v>
      </c>
      <c r="I651" s="10" t="s">
        <v>18</v>
      </c>
    </row>
    <row r="652" spans="1:9" x14ac:dyDescent="0.2">
      <c r="A652" s="10" t="s">
        <v>1317</v>
      </c>
      <c r="B652" s="10">
        <v>894.82413044536099</v>
      </c>
      <c r="C652" s="10">
        <v>-2.29486301043812</v>
      </c>
      <c r="D652" s="10">
        <v>0.22108083613797999</v>
      </c>
      <c r="E652" s="10">
        <v>-10.3801987115964</v>
      </c>
      <c r="F652" s="4">
        <v>3.0513939413994399E-25</v>
      </c>
      <c r="G652" s="4">
        <v>1.7213526029256899E-23</v>
      </c>
      <c r="H652" s="10" t="s">
        <v>1318</v>
      </c>
      <c r="I652" s="10" t="s">
        <v>18</v>
      </c>
    </row>
    <row r="653" spans="1:9" x14ac:dyDescent="0.2">
      <c r="A653" s="10" t="s">
        <v>1319</v>
      </c>
      <c r="B653" s="10">
        <v>204.06929325922599</v>
      </c>
      <c r="C653" s="10">
        <v>-1.6755842391250799</v>
      </c>
      <c r="D653" s="10">
        <v>0.312052585892515</v>
      </c>
      <c r="E653" s="10">
        <v>-5.3695572953919699</v>
      </c>
      <c r="F653" s="4">
        <v>7.8930158261925203E-8</v>
      </c>
      <c r="G653" s="4">
        <v>8.1617078639949698E-7</v>
      </c>
      <c r="H653" s="10" t="s">
        <v>1320</v>
      </c>
      <c r="I653" s="10" t="s">
        <v>18</v>
      </c>
    </row>
    <row r="654" spans="1:9" x14ac:dyDescent="0.2">
      <c r="A654" s="10" t="s">
        <v>1321</v>
      </c>
      <c r="B654" s="10">
        <v>499.40451123929898</v>
      </c>
      <c r="C654" s="10">
        <v>-2.4099786167531199</v>
      </c>
      <c r="D654" s="10">
        <v>0.23284716477010001</v>
      </c>
      <c r="E654" s="10">
        <v>-10.350044928108099</v>
      </c>
      <c r="F654" s="4">
        <v>4.1828947062782802E-25</v>
      </c>
      <c r="G654" s="4">
        <v>2.34508913707746E-23</v>
      </c>
      <c r="H654" s="10" t="s">
        <v>1322</v>
      </c>
      <c r="I654" s="10" t="s">
        <v>18</v>
      </c>
    </row>
    <row r="655" spans="1:9" x14ac:dyDescent="0.2">
      <c r="A655" s="10" t="s">
        <v>1323</v>
      </c>
      <c r="B655" s="10">
        <v>18.090819947690701</v>
      </c>
      <c r="C655" s="10">
        <v>7.5713933089514498</v>
      </c>
      <c r="D655" s="10">
        <v>1.63677619837084</v>
      </c>
      <c r="E655" s="10">
        <v>4.6257963162511899</v>
      </c>
      <c r="F655" s="4">
        <v>3.7316188370144E-6</v>
      </c>
      <c r="G655" s="4">
        <v>2.8860465072986502E-5</v>
      </c>
      <c r="H655" s="10" t="s">
        <v>1324</v>
      </c>
      <c r="I655" s="10" t="s">
        <v>18</v>
      </c>
    </row>
    <row r="656" spans="1:9" x14ac:dyDescent="0.2">
      <c r="A656" s="10" t="s">
        <v>1325</v>
      </c>
      <c r="B656" s="10">
        <v>8.0324981435715497</v>
      </c>
      <c r="C656" s="10">
        <v>4.9122608650429997</v>
      </c>
      <c r="D656" s="10">
        <v>1.8228119692409399</v>
      </c>
      <c r="E656" s="10">
        <v>2.6948807380766602</v>
      </c>
      <c r="F656" s="10">
        <v>7.0413829033417596E-3</v>
      </c>
      <c r="G656" s="10">
        <v>2.3735810957237799E-2</v>
      </c>
      <c r="H656" s="10" t="s">
        <v>1326</v>
      </c>
      <c r="I656" s="10" t="s">
        <v>18</v>
      </c>
    </row>
    <row r="657" spans="1:9" x14ac:dyDescent="0.2">
      <c r="A657" s="10" t="s">
        <v>1327</v>
      </c>
      <c r="B657" s="10">
        <v>22.6473420115049</v>
      </c>
      <c r="C657" s="10">
        <v>6.4350271627564801</v>
      </c>
      <c r="D657" s="10">
        <v>1.59188722223579</v>
      </c>
      <c r="E657" s="10">
        <v>4.0423888532245096</v>
      </c>
      <c r="F657" s="4">
        <v>5.2909394312838801E-5</v>
      </c>
      <c r="G657" s="10">
        <v>3.2207825443295799E-4</v>
      </c>
      <c r="H657" s="10" t="s">
        <v>1328</v>
      </c>
      <c r="I657" s="10" t="s">
        <v>18</v>
      </c>
    </row>
    <row r="658" spans="1:9" x14ac:dyDescent="0.2">
      <c r="A658" s="10" t="s">
        <v>1329</v>
      </c>
      <c r="B658" s="10">
        <v>32.995736553040501</v>
      </c>
      <c r="C658" s="10">
        <v>6.9836963478184702</v>
      </c>
      <c r="D658" s="10">
        <v>1.54975338945914</v>
      </c>
      <c r="E658" s="10">
        <v>4.5063275197970496</v>
      </c>
      <c r="F658" s="4">
        <v>6.5959253260412797E-6</v>
      </c>
      <c r="G658" s="4">
        <v>4.8572750637472097E-5</v>
      </c>
      <c r="H658" s="10" t="s">
        <v>1330</v>
      </c>
      <c r="I658" s="10" t="s">
        <v>18</v>
      </c>
    </row>
    <row r="659" spans="1:9" x14ac:dyDescent="0.2">
      <c r="A659" s="10" t="s">
        <v>1331</v>
      </c>
      <c r="B659" s="10">
        <v>89.783086112564703</v>
      </c>
      <c r="C659" s="10">
        <v>4.1214867970975604</v>
      </c>
      <c r="D659" s="10">
        <v>0.53216615985945503</v>
      </c>
      <c r="E659" s="10">
        <v>7.7447367156642297</v>
      </c>
      <c r="F659" s="4">
        <v>9.5780101968171501E-15</v>
      </c>
      <c r="G659" s="4">
        <v>2.3218153365896502E-13</v>
      </c>
      <c r="H659" s="10" t="s">
        <v>1332</v>
      </c>
      <c r="I659" s="10" t="s">
        <v>18</v>
      </c>
    </row>
    <row r="660" spans="1:9" x14ac:dyDescent="0.2">
      <c r="A660" s="10" t="s">
        <v>1333</v>
      </c>
      <c r="B660" s="10">
        <v>101.109696164418</v>
      </c>
      <c r="C660" s="10">
        <v>-1.58716828220962</v>
      </c>
      <c r="D660" s="10">
        <v>0.37383337704026698</v>
      </c>
      <c r="E660" s="10">
        <v>-4.2456569682879302</v>
      </c>
      <c r="F660" s="4">
        <v>2.1795386254323099E-5</v>
      </c>
      <c r="G660" s="10">
        <v>1.43687125398389E-4</v>
      </c>
      <c r="H660" s="10" t="s">
        <v>1334</v>
      </c>
      <c r="I660" s="10" t="s">
        <v>18</v>
      </c>
    </row>
    <row r="661" spans="1:9" x14ac:dyDescent="0.2">
      <c r="A661" s="10" t="s">
        <v>1335</v>
      </c>
      <c r="B661" s="10">
        <v>37.471014096227599</v>
      </c>
      <c r="C661" s="10">
        <v>8.6232580268444892</v>
      </c>
      <c r="D661" s="10">
        <v>1.5415698674573299</v>
      </c>
      <c r="E661" s="10">
        <v>5.5938158943569203</v>
      </c>
      <c r="F661" s="4">
        <v>2.2213250066576001E-8</v>
      </c>
      <c r="G661" s="4">
        <v>2.5229029785910598E-7</v>
      </c>
      <c r="H661" s="10" t="s">
        <v>1336</v>
      </c>
      <c r="I661" s="10" t="s">
        <v>18</v>
      </c>
    </row>
    <row r="662" spans="1:9" x14ac:dyDescent="0.2">
      <c r="A662" s="10" t="s">
        <v>1337</v>
      </c>
      <c r="B662" s="10">
        <v>4287.1838611540597</v>
      </c>
      <c r="C662" s="10">
        <v>-1.2019025617183701</v>
      </c>
      <c r="D662" s="10">
        <v>0.181298034428967</v>
      </c>
      <c r="E662" s="10">
        <v>-6.6294296322847304</v>
      </c>
      <c r="F662" s="4">
        <v>3.3698643172008702E-11</v>
      </c>
      <c r="G662" s="4">
        <v>5.6021167206084302E-10</v>
      </c>
      <c r="H662" s="10" t="s">
        <v>1338</v>
      </c>
      <c r="I662" s="10" t="s">
        <v>18</v>
      </c>
    </row>
    <row r="663" spans="1:9" x14ac:dyDescent="0.2">
      <c r="A663" s="10" t="s">
        <v>1339</v>
      </c>
      <c r="B663" s="10">
        <v>185.33209514398601</v>
      </c>
      <c r="C663" s="10">
        <v>5.4550955484402701</v>
      </c>
      <c r="D663" s="10">
        <v>0.45926460543025599</v>
      </c>
      <c r="E663" s="10">
        <v>11.8778923608313</v>
      </c>
      <c r="F663" s="4">
        <v>1.5420654570818701E-32</v>
      </c>
      <c r="G663" s="4">
        <v>1.39590224282757E-30</v>
      </c>
      <c r="H663" s="10" t="s">
        <v>1340</v>
      </c>
      <c r="I663" s="10" t="s">
        <v>18</v>
      </c>
    </row>
    <row r="664" spans="1:9" x14ac:dyDescent="0.2">
      <c r="A664" s="10" t="s">
        <v>1341</v>
      </c>
      <c r="B664" s="10">
        <v>3884.8351040262601</v>
      </c>
      <c r="C664" s="10">
        <v>1.24275876336936</v>
      </c>
      <c r="D664" s="10">
        <v>0.18911442131491699</v>
      </c>
      <c r="E664" s="10">
        <v>6.57146480278145</v>
      </c>
      <c r="F664" s="4">
        <v>4.9822664679662601E-11</v>
      </c>
      <c r="G664" s="4">
        <v>8.0756582065839795E-10</v>
      </c>
      <c r="H664" s="10" t="s">
        <v>1342</v>
      </c>
      <c r="I664" s="10" t="s">
        <v>18</v>
      </c>
    </row>
    <row r="665" spans="1:9" x14ac:dyDescent="0.2">
      <c r="A665" s="10" t="s">
        <v>1343</v>
      </c>
      <c r="B665" s="10">
        <v>101.595756458285</v>
      </c>
      <c r="C665" s="10">
        <v>1.59396536711509</v>
      </c>
      <c r="D665" s="10">
        <v>0.37384417098985101</v>
      </c>
      <c r="E665" s="10">
        <v>4.2637159833056799</v>
      </c>
      <c r="F665" s="4">
        <v>2.0105497310128501E-5</v>
      </c>
      <c r="G665" s="10">
        <v>1.3354814363946099E-4</v>
      </c>
      <c r="H665" s="10" t="s">
        <v>1344</v>
      </c>
      <c r="I665" s="10" t="s">
        <v>18</v>
      </c>
    </row>
    <row r="666" spans="1:9" x14ac:dyDescent="0.2">
      <c r="A666" s="10" t="s">
        <v>1345</v>
      </c>
      <c r="B666" s="10">
        <v>2954.8801802999601</v>
      </c>
      <c r="C666" s="10">
        <v>-1.45778640749719</v>
      </c>
      <c r="D666" s="10">
        <v>0.20506462339204201</v>
      </c>
      <c r="E666" s="10">
        <v>-7.1089122218325898</v>
      </c>
      <c r="F666" s="4">
        <v>1.1696110075182E-12</v>
      </c>
      <c r="G666" s="4">
        <v>2.2926900087660801E-11</v>
      </c>
      <c r="H666" s="10" t="s">
        <v>1346</v>
      </c>
      <c r="I666" s="10" t="s">
        <v>18</v>
      </c>
    </row>
    <row r="667" spans="1:9" x14ac:dyDescent="0.2">
      <c r="A667" s="10" t="s">
        <v>1347</v>
      </c>
      <c r="B667" s="10">
        <v>1100.3356364824001</v>
      </c>
      <c r="C667" s="10">
        <v>-1.43272616341826</v>
      </c>
      <c r="D667" s="10">
        <v>0.20865675316535201</v>
      </c>
      <c r="E667" s="10">
        <v>-6.8664260402963597</v>
      </c>
      <c r="F667" s="4">
        <v>6.5830280323554303E-12</v>
      </c>
      <c r="G667" s="4">
        <v>1.1792752452175401E-10</v>
      </c>
      <c r="H667" s="10" t="s">
        <v>1348</v>
      </c>
      <c r="I667" s="10" t="s">
        <v>18</v>
      </c>
    </row>
    <row r="668" spans="1:9" x14ac:dyDescent="0.2">
      <c r="A668" s="10" t="s">
        <v>1349</v>
      </c>
      <c r="B668" s="10">
        <v>294.32489489904901</v>
      </c>
      <c r="C668" s="10">
        <v>1.0272913638225001</v>
      </c>
      <c r="D668" s="10">
        <v>0.27855347994215202</v>
      </c>
      <c r="E668" s="10">
        <v>3.68795020631527</v>
      </c>
      <c r="F668" s="10">
        <v>2.2606787469572599E-4</v>
      </c>
      <c r="G668" s="10">
        <v>1.1852359788020899E-3</v>
      </c>
      <c r="H668" s="10" t="s">
        <v>1350</v>
      </c>
      <c r="I668" s="10" t="s">
        <v>18</v>
      </c>
    </row>
    <row r="669" spans="1:9" x14ac:dyDescent="0.2">
      <c r="A669" s="10" t="s">
        <v>1351</v>
      </c>
      <c r="B669" s="10">
        <v>34.176039961630998</v>
      </c>
      <c r="C669" s="10">
        <v>2.4189998536973198</v>
      </c>
      <c r="D669" s="10">
        <v>0.68636914078778499</v>
      </c>
      <c r="E669" s="10">
        <v>3.5243423836346901</v>
      </c>
      <c r="F669" s="10">
        <v>4.24535300699672E-4</v>
      </c>
      <c r="G669" s="10">
        <v>2.0733667930030401E-3</v>
      </c>
      <c r="H669" s="10" t="s">
        <v>1352</v>
      </c>
      <c r="I669" s="10" t="s">
        <v>18</v>
      </c>
    </row>
    <row r="670" spans="1:9" x14ac:dyDescent="0.2">
      <c r="A670" s="10" t="s">
        <v>1353</v>
      </c>
      <c r="B670" s="10">
        <v>11.8973658956323</v>
      </c>
      <c r="C670" s="10">
        <v>3.8379257447151098</v>
      </c>
      <c r="D670" s="10">
        <v>1.2344276621918999</v>
      </c>
      <c r="E670" s="10">
        <v>3.10907302409306</v>
      </c>
      <c r="F670" s="10">
        <v>1.8767532691623E-3</v>
      </c>
      <c r="G670" s="10">
        <v>7.6276694995324199E-3</v>
      </c>
      <c r="H670" s="10" t="s">
        <v>1354</v>
      </c>
      <c r="I670" s="10" t="s">
        <v>18</v>
      </c>
    </row>
    <row r="671" spans="1:9" x14ac:dyDescent="0.2">
      <c r="A671" s="10" t="s">
        <v>1355</v>
      </c>
      <c r="B671" s="10">
        <v>5.9094796332077504</v>
      </c>
      <c r="C671" s="10">
        <v>5.9598090719970296</v>
      </c>
      <c r="D671" s="10">
        <v>1.95187301083798</v>
      </c>
      <c r="E671" s="10">
        <v>3.0533795174709502</v>
      </c>
      <c r="F671" s="10">
        <v>2.2627956517912002E-3</v>
      </c>
      <c r="G671" s="10">
        <v>8.9561872638516601E-3</v>
      </c>
      <c r="H671" s="10" t="s">
        <v>1356</v>
      </c>
      <c r="I671" s="10" t="s">
        <v>18</v>
      </c>
    </row>
    <row r="672" spans="1:9" x14ac:dyDescent="0.2">
      <c r="A672" s="10" t="s">
        <v>1357</v>
      </c>
      <c r="B672" s="10">
        <v>172.80092293235799</v>
      </c>
      <c r="C672" s="10">
        <v>1.73025002123008</v>
      </c>
      <c r="D672" s="10">
        <v>0.31938877078226402</v>
      </c>
      <c r="E672" s="10">
        <v>5.4173790048794102</v>
      </c>
      <c r="F672" s="4">
        <v>6.0479050201494995E-8</v>
      </c>
      <c r="G672" s="4">
        <v>6.37968517553285E-7</v>
      </c>
      <c r="H672" s="10" t="s">
        <v>1358</v>
      </c>
      <c r="I672" s="10" t="s">
        <v>18</v>
      </c>
    </row>
    <row r="673" spans="1:9" x14ac:dyDescent="0.2">
      <c r="A673" s="10" t="s">
        <v>1359</v>
      </c>
      <c r="B673" s="10">
        <v>197.444501460645</v>
      </c>
      <c r="C673" s="10">
        <v>1.80626575217181</v>
      </c>
      <c r="D673" s="10">
        <v>0.31350938960973901</v>
      </c>
      <c r="E673" s="10">
        <v>5.7614406841858203</v>
      </c>
      <c r="F673" s="4">
        <v>8.3398972899124407E-9</v>
      </c>
      <c r="G673" s="4">
        <v>1.0014860355145199E-7</v>
      </c>
      <c r="H673" s="10" t="s">
        <v>1360</v>
      </c>
      <c r="I673" s="10" t="s">
        <v>18</v>
      </c>
    </row>
    <row r="674" spans="1:9" x14ac:dyDescent="0.2">
      <c r="A674" s="10" t="s">
        <v>1361</v>
      </c>
      <c r="B674" s="10">
        <v>20.379501188644198</v>
      </c>
      <c r="C674" s="10">
        <v>3.5956219806683198</v>
      </c>
      <c r="D674" s="10">
        <v>0.94896557626021305</v>
      </c>
      <c r="E674" s="10">
        <v>3.78899095037603</v>
      </c>
      <c r="F674" s="10">
        <v>1.5126042317579501E-4</v>
      </c>
      <c r="G674" s="10">
        <v>8.3159660013536803E-4</v>
      </c>
      <c r="H674" s="10" t="s">
        <v>1362</v>
      </c>
      <c r="I674" s="10" t="s">
        <v>18</v>
      </c>
    </row>
    <row r="675" spans="1:9" x14ac:dyDescent="0.2">
      <c r="A675" s="10" t="s">
        <v>1363</v>
      </c>
      <c r="B675" s="10">
        <v>103.94352969363401</v>
      </c>
      <c r="C675" s="10">
        <v>-1.47521914017289</v>
      </c>
      <c r="D675" s="10">
        <v>0.36648872875949501</v>
      </c>
      <c r="E675" s="10">
        <v>-4.0252783357520201</v>
      </c>
      <c r="F675" s="4">
        <v>5.6907964367180102E-5</v>
      </c>
      <c r="G675" s="10">
        <v>3.4449484672574002E-4</v>
      </c>
      <c r="H675" s="10" t="s">
        <v>1364</v>
      </c>
      <c r="I675" s="10" t="s">
        <v>18</v>
      </c>
    </row>
    <row r="676" spans="1:9" x14ac:dyDescent="0.2">
      <c r="A676" s="10" t="s">
        <v>1365</v>
      </c>
      <c r="B676" s="10">
        <v>619.204050431052</v>
      </c>
      <c r="C676" s="10">
        <v>6.4565963766635601</v>
      </c>
      <c r="D676" s="10">
        <v>0.36167461162553999</v>
      </c>
      <c r="E676" s="10">
        <v>17.851948047015298</v>
      </c>
      <c r="F676" s="4">
        <v>2.7912778269633202E-71</v>
      </c>
      <c r="G676" s="4">
        <v>1.35810619555839E-68</v>
      </c>
      <c r="H676" s="10" t="s">
        <v>1366</v>
      </c>
      <c r="I676" s="10" t="s">
        <v>18</v>
      </c>
    </row>
    <row r="677" spans="1:9" x14ac:dyDescent="0.2">
      <c r="A677" s="10" t="s">
        <v>1367</v>
      </c>
      <c r="B677" s="10">
        <v>25.108569995530999</v>
      </c>
      <c r="C677" s="10">
        <v>4.5425573197421603</v>
      </c>
      <c r="D677" s="10">
        <v>0.96064377704249904</v>
      </c>
      <c r="E677" s="10">
        <v>4.7286594972042302</v>
      </c>
      <c r="F677" s="4">
        <v>2.2600704509355902E-6</v>
      </c>
      <c r="G677" s="4">
        <v>1.8186692137224499E-5</v>
      </c>
      <c r="H677" s="10" t="s">
        <v>1368</v>
      </c>
      <c r="I677" s="10" t="s">
        <v>18</v>
      </c>
    </row>
    <row r="678" spans="1:9" x14ac:dyDescent="0.2">
      <c r="A678" s="10" t="s">
        <v>1369</v>
      </c>
      <c r="B678" s="10">
        <v>10.4933469607625</v>
      </c>
      <c r="C678" s="10">
        <v>6.7841994739702898</v>
      </c>
      <c r="D678" s="10">
        <v>1.7673223630908199</v>
      </c>
      <c r="E678" s="10">
        <v>3.8386881848230501</v>
      </c>
      <c r="F678" s="10">
        <v>1.23693394022282E-4</v>
      </c>
      <c r="G678" s="10">
        <v>6.9368054761543695E-4</v>
      </c>
      <c r="H678" s="10" t="s">
        <v>1370</v>
      </c>
      <c r="I678" s="10" t="s">
        <v>18</v>
      </c>
    </row>
    <row r="679" spans="1:9" x14ac:dyDescent="0.2">
      <c r="A679" s="10" t="s">
        <v>1371</v>
      </c>
      <c r="B679" s="10">
        <v>4.2939624891008599</v>
      </c>
      <c r="C679" s="10">
        <v>5.4978614945687996</v>
      </c>
      <c r="D679" s="10">
        <v>2.1119244238519399</v>
      </c>
      <c r="E679" s="10">
        <v>2.6032472717661199</v>
      </c>
      <c r="F679" s="10">
        <v>9.2345323669644607E-3</v>
      </c>
      <c r="G679" s="10">
        <v>2.9695893237658502E-2</v>
      </c>
      <c r="H679" s="10" t="s">
        <v>1372</v>
      </c>
      <c r="I679" s="10" t="s">
        <v>18</v>
      </c>
    </row>
    <row r="680" spans="1:9" x14ac:dyDescent="0.2">
      <c r="A680" s="10" t="s">
        <v>1373</v>
      </c>
      <c r="B680" s="10">
        <v>5154.8676042529596</v>
      </c>
      <c r="C680" s="10">
        <v>-1.2030266999032799</v>
      </c>
      <c r="D680" s="10">
        <v>0.18027755001095699</v>
      </c>
      <c r="E680" s="10">
        <v>-6.6731919744314299</v>
      </c>
      <c r="F680" s="4">
        <v>2.50298620607075E-11</v>
      </c>
      <c r="G680" s="4">
        <v>4.2254563294182E-10</v>
      </c>
      <c r="H680" s="10" t="s">
        <v>1374</v>
      </c>
      <c r="I680" s="10" t="s">
        <v>18</v>
      </c>
    </row>
    <row r="681" spans="1:9" x14ac:dyDescent="0.2">
      <c r="A681" s="10" t="s">
        <v>1375</v>
      </c>
      <c r="B681" s="10">
        <v>41.571014998118699</v>
      </c>
      <c r="C681" s="10">
        <v>4.4515217195387402</v>
      </c>
      <c r="D681" s="10">
        <v>0.77171776744026199</v>
      </c>
      <c r="E681" s="10">
        <v>5.7683286654188999</v>
      </c>
      <c r="F681" s="4">
        <v>8.0061551727617801E-9</v>
      </c>
      <c r="G681" s="4">
        <v>9.6523765483292097E-8</v>
      </c>
      <c r="H681" s="10" t="s">
        <v>1376</v>
      </c>
      <c r="I681" s="10" t="s">
        <v>18</v>
      </c>
    </row>
    <row r="682" spans="1:9" x14ac:dyDescent="0.2">
      <c r="A682" s="10" t="s">
        <v>1377</v>
      </c>
      <c r="B682" s="10">
        <v>29.243688614045698</v>
      </c>
      <c r="C682" s="10">
        <v>2.60931734337596</v>
      </c>
      <c r="D682" s="10">
        <v>0.70534702991339104</v>
      </c>
      <c r="E682" s="10">
        <v>3.6993383862357101</v>
      </c>
      <c r="F682" s="10">
        <v>2.16162236401919E-4</v>
      </c>
      <c r="G682" s="10">
        <v>1.14077916463476E-3</v>
      </c>
      <c r="H682" s="10" t="s">
        <v>1378</v>
      </c>
      <c r="I682" s="10" t="s">
        <v>18</v>
      </c>
    </row>
    <row r="683" spans="1:9" x14ac:dyDescent="0.2">
      <c r="A683" s="10" t="s">
        <v>1379</v>
      </c>
      <c r="B683" s="10">
        <v>6.7186165703951497</v>
      </c>
      <c r="C683" s="10">
        <v>4.6346258604105204</v>
      </c>
      <c r="D683" s="10">
        <v>1.91667348627798</v>
      </c>
      <c r="E683" s="10">
        <v>2.4180570627136801</v>
      </c>
      <c r="F683" s="10">
        <v>1.5603629654432301E-2</v>
      </c>
      <c r="G683" s="10">
        <v>4.6066973365946E-2</v>
      </c>
      <c r="H683" s="10" t="s">
        <v>1380</v>
      </c>
      <c r="I683" s="10" t="s">
        <v>18</v>
      </c>
    </row>
    <row r="684" spans="1:9" x14ac:dyDescent="0.2">
      <c r="A684" s="10" t="s">
        <v>1381</v>
      </c>
      <c r="B684" s="10">
        <v>162.339111660941</v>
      </c>
      <c r="C684" s="10">
        <v>2.92526953309289</v>
      </c>
      <c r="D684" s="10">
        <v>0.34645039037383202</v>
      </c>
      <c r="E684" s="10">
        <v>8.4435452069671992</v>
      </c>
      <c r="F684" s="4">
        <v>3.0785522920425301E-17</v>
      </c>
      <c r="G684" s="4">
        <v>9.3722138884114994E-16</v>
      </c>
      <c r="H684" s="10" t="s">
        <v>1382</v>
      </c>
      <c r="I684" s="10" t="s">
        <v>18</v>
      </c>
    </row>
    <row r="685" spans="1:9" x14ac:dyDescent="0.2">
      <c r="A685" s="10" t="s">
        <v>1383</v>
      </c>
      <c r="B685" s="10">
        <v>4711.2566807864096</v>
      </c>
      <c r="C685" s="10">
        <v>3.1008573601169598</v>
      </c>
      <c r="D685" s="10">
        <v>0.19228728177898199</v>
      </c>
      <c r="E685" s="10">
        <v>16.126169819599099</v>
      </c>
      <c r="F685" s="4">
        <v>1.6706537692312499E-58</v>
      </c>
      <c r="G685" s="4">
        <v>4.5980104293175699E-56</v>
      </c>
      <c r="H685" s="10" t="s">
        <v>1384</v>
      </c>
      <c r="I685" s="10" t="s">
        <v>18</v>
      </c>
    </row>
    <row r="686" spans="1:9" x14ac:dyDescent="0.2">
      <c r="A686" s="10" t="s">
        <v>1385</v>
      </c>
      <c r="B686" s="10">
        <v>132.66198599395099</v>
      </c>
      <c r="C686" s="10">
        <v>1.1292233306508399</v>
      </c>
      <c r="D686" s="10">
        <v>0.35533366486119899</v>
      </c>
      <c r="E686" s="10">
        <v>3.1779238566994201</v>
      </c>
      <c r="F686" s="10">
        <v>1.4833370069787201E-3</v>
      </c>
      <c r="G686" s="10">
        <v>6.2213916031566502E-3</v>
      </c>
      <c r="H686" s="10" t="s">
        <v>1386</v>
      </c>
      <c r="I686" s="10" t="s">
        <v>18</v>
      </c>
    </row>
    <row r="687" spans="1:9" x14ac:dyDescent="0.2">
      <c r="A687" s="10" t="s">
        <v>1387</v>
      </c>
      <c r="B687" s="10">
        <v>4.0735280698875203</v>
      </c>
      <c r="C687" s="10">
        <v>5.4212402584095702</v>
      </c>
      <c r="D687" s="10">
        <v>2.1434463209324499</v>
      </c>
      <c r="E687" s="10">
        <v>2.52921671304146</v>
      </c>
      <c r="F687" s="10">
        <v>1.1431741709104999E-2</v>
      </c>
      <c r="G687" s="10">
        <v>3.5553095120189997E-2</v>
      </c>
      <c r="H687" s="10" t="s">
        <v>1388</v>
      </c>
      <c r="I687" s="10" t="s">
        <v>18</v>
      </c>
    </row>
    <row r="688" spans="1:9" x14ac:dyDescent="0.2">
      <c r="A688" s="10" t="s">
        <v>1389</v>
      </c>
      <c r="B688" s="10">
        <v>1509.32560732807</v>
      </c>
      <c r="C688" s="10">
        <v>1.87885410518673</v>
      </c>
      <c r="D688" s="10">
        <v>0.190756720305743</v>
      </c>
      <c r="E688" s="10">
        <v>9.8494779223259705</v>
      </c>
      <c r="F688" s="4">
        <v>6.8900939643263896E-23</v>
      </c>
      <c r="G688" s="4">
        <v>3.2878176925744501E-21</v>
      </c>
      <c r="H688" s="10" t="s">
        <v>1390</v>
      </c>
      <c r="I688" s="10" t="s">
        <v>18</v>
      </c>
    </row>
    <row r="689" spans="1:9" x14ac:dyDescent="0.2">
      <c r="A689" s="10" t="s">
        <v>1391</v>
      </c>
      <c r="B689" s="10">
        <v>62.316287952776797</v>
      </c>
      <c r="C689" s="10">
        <v>1.12645192767723</v>
      </c>
      <c r="D689" s="10">
        <v>0.45891122343883201</v>
      </c>
      <c r="E689" s="10">
        <v>2.4546183883588899</v>
      </c>
      <c r="F689" s="10">
        <v>1.41034216509805E-2</v>
      </c>
      <c r="G689" s="10">
        <v>4.2414561779720299E-2</v>
      </c>
      <c r="H689" s="10" t="s">
        <v>1392</v>
      </c>
      <c r="I689" s="10" t="s">
        <v>18</v>
      </c>
    </row>
    <row r="690" spans="1:9" x14ac:dyDescent="0.2">
      <c r="A690" s="10" t="s">
        <v>1393</v>
      </c>
      <c r="B690" s="10">
        <v>1057.9076301069899</v>
      </c>
      <c r="C690" s="10">
        <v>-1.20017181862406</v>
      </c>
      <c r="D690" s="10">
        <v>0.200453836691181</v>
      </c>
      <c r="E690" s="10">
        <v>-5.9872728725718796</v>
      </c>
      <c r="F690" s="4">
        <v>2.1338861814207599E-9</v>
      </c>
      <c r="G690" s="4">
        <v>2.7673487284707999E-8</v>
      </c>
      <c r="H690" s="10" t="s">
        <v>1394</v>
      </c>
      <c r="I690" s="10" t="s">
        <v>18</v>
      </c>
    </row>
    <row r="691" spans="1:9" x14ac:dyDescent="0.2">
      <c r="A691" s="10" t="s">
        <v>1395</v>
      </c>
      <c r="B691" s="10">
        <v>9177.01862276047</v>
      </c>
      <c r="C691" s="10">
        <v>1.81115260259136</v>
      </c>
      <c r="D691" s="10">
        <v>0.17445678958504299</v>
      </c>
      <c r="E691" s="10">
        <v>10.3816687610686</v>
      </c>
      <c r="F691" s="4">
        <v>3.0047637124235598E-25</v>
      </c>
      <c r="G691" s="4">
        <v>1.70209556907286E-23</v>
      </c>
      <c r="H691" s="10" t="s">
        <v>1396</v>
      </c>
      <c r="I691" s="10" t="s">
        <v>18</v>
      </c>
    </row>
    <row r="692" spans="1:9" x14ac:dyDescent="0.2">
      <c r="A692" s="10" t="s">
        <v>1397</v>
      </c>
      <c r="B692" s="10">
        <v>34.691464567411401</v>
      </c>
      <c r="C692" s="10">
        <v>3.3574943879855801</v>
      </c>
      <c r="D692" s="10">
        <v>0.75330908441070099</v>
      </c>
      <c r="E692" s="10">
        <v>4.4569944229626302</v>
      </c>
      <c r="F692" s="4">
        <v>8.3116764657673001E-6</v>
      </c>
      <c r="G692" s="4">
        <v>6.0087091712061999E-5</v>
      </c>
      <c r="H692" s="10" t="s">
        <v>1398</v>
      </c>
      <c r="I692" s="10" t="s">
        <v>18</v>
      </c>
    </row>
    <row r="693" spans="1:9" x14ac:dyDescent="0.2">
      <c r="A693" s="10" t="s">
        <v>1399</v>
      </c>
      <c r="B693" s="10">
        <v>5154.2118046128899</v>
      </c>
      <c r="C693" s="10">
        <v>-1.0785412667396099</v>
      </c>
      <c r="D693" s="10">
        <v>0.17634773830719899</v>
      </c>
      <c r="E693" s="10">
        <v>-6.1159914898414298</v>
      </c>
      <c r="F693" s="4">
        <v>9.5958446267298196E-10</v>
      </c>
      <c r="G693" s="4">
        <v>1.31096241918883E-8</v>
      </c>
      <c r="H693" s="10" t="s">
        <v>1400</v>
      </c>
      <c r="I693" s="10" t="s">
        <v>18</v>
      </c>
    </row>
    <row r="694" spans="1:9" x14ac:dyDescent="0.2">
      <c r="A694" s="10" t="s">
        <v>1401</v>
      </c>
      <c r="B694" s="10">
        <v>3962.4125765406402</v>
      </c>
      <c r="C694" s="10">
        <v>1.9128395575086501</v>
      </c>
      <c r="D694" s="10">
        <v>0.21569840611521399</v>
      </c>
      <c r="E694" s="10">
        <v>8.8681209655620492</v>
      </c>
      <c r="F694" s="4">
        <v>7.43904948120276E-19</v>
      </c>
      <c r="G694" s="4">
        <v>2.5919665116922199E-17</v>
      </c>
      <c r="H694" s="10" t="s">
        <v>1402</v>
      </c>
      <c r="I694" s="10" t="s">
        <v>18</v>
      </c>
    </row>
    <row r="695" spans="1:9" x14ac:dyDescent="0.2">
      <c r="A695" s="10" t="s">
        <v>1403</v>
      </c>
      <c r="B695" s="10">
        <v>2505.59614538506</v>
      </c>
      <c r="C695" s="10">
        <v>1.50992510461468</v>
      </c>
      <c r="D695" s="10">
        <v>0.20463013410436601</v>
      </c>
      <c r="E695" s="10">
        <v>7.3788013247579096</v>
      </c>
      <c r="F695" s="4">
        <v>1.5972096092156501E-13</v>
      </c>
      <c r="G695" s="4">
        <v>3.4998720592296999E-12</v>
      </c>
      <c r="H695" s="10" t="s">
        <v>1404</v>
      </c>
      <c r="I695" s="10" t="s">
        <v>18</v>
      </c>
    </row>
    <row r="696" spans="1:9" x14ac:dyDescent="0.2">
      <c r="A696" s="10" t="s">
        <v>1405</v>
      </c>
      <c r="B696" s="10">
        <v>28.838380707898001</v>
      </c>
      <c r="C696" s="10">
        <v>4.4193799326496199</v>
      </c>
      <c r="D696" s="10">
        <v>0.89123686385019696</v>
      </c>
      <c r="E696" s="10">
        <v>4.9587041469061797</v>
      </c>
      <c r="F696" s="4">
        <v>7.0964941241285004E-7</v>
      </c>
      <c r="G696" s="4">
        <v>6.2273164380073897E-6</v>
      </c>
      <c r="H696" s="10" t="s">
        <v>1406</v>
      </c>
      <c r="I696" s="10" t="s">
        <v>18</v>
      </c>
    </row>
    <row r="697" spans="1:9" x14ac:dyDescent="0.2">
      <c r="A697" s="10" t="s">
        <v>1407</v>
      </c>
      <c r="B697" s="10">
        <v>32.171369828101803</v>
      </c>
      <c r="C697" s="10">
        <v>3.2261637015818598</v>
      </c>
      <c r="D697" s="10">
        <v>0.70830817145889302</v>
      </c>
      <c r="E697" s="10">
        <v>4.5547458459175703</v>
      </c>
      <c r="F697" s="4">
        <v>5.2448952483926304E-6</v>
      </c>
      <c r="G697" s="4">
        <v>3.94573172302474E-5</v>
      </c>
      <c r="H697" s="10" t="s">
        <v>1408</v>
      </c>
      <c r="I697" s="10" t="s">
        <v>18</v>
      </c>
    </row>
    <row r="698" spans="1:9" x14ac:dyDescent="0.2">
      <c r="A698" s="10" t="s">
        <v>1409</v>
      </c>
      <c r="B698" s="10">
        <v>4.3694444890872397</v>
      </c>
      <c r="C698" s="10">
        <v>5.5278073040699196</v>
      </c>
      <c r="D698" s="10">
        <v>2.1223585767351398</v>
      </c>
      <c r="E698" s="10">
        <v>2.6045586097771598</v>
      </c>
      <c r="F698" s="10">
        <v>9.1992685622235906E-3</v>
      </c>
      <c r="G698" s="10">
        <v>2.9634957497624299E-2</v>
      </c>
      <c r="H698" s="10" t="s">
        <v>1410</v>
      </c>
      <c r="I698" s="10" t="s">
        <v>18</v>
      </c>
    </row>
    <row r="699" spans="1:9" x14ac:dyDescent="0.2">
      <c r="A699" s="10" t="s">
        <v>1411</v>
      </c>
      <c r="B699" s="10">
        <v>3645.3129960996998</v>
      </c>
      <c r="C699" s="10">
        <v>2.2898453650972401</v>
      </c>
      <c r="D699" s="10">
        <v>0.20289939119450501</v>
      </c>
      <c r="E699" s="10">
        <v>11.285619693664501</v>
      </c>
      <c r="F699" s="4">
        <v>1.5454855087759399E-29</v>
      </c>
      <c r="G699" s="4">
        <v>1.16325534965796E-27</v>
      </c>
      <c r="H699" s="10" t="s">
        <v>1412</v>
      </c>
      <c r="I699" s="10" t="s">
        <v>18</v>
      </c>
    </row>
    <row r="700" spans="1:9" x14ac:dyDescent="0.2">
      <c r="A700" s="10" t="s">
        <v>1413</v>
      </c>
      <c r="B700" s="10">
        <v>26.6991732402259</v>
      </c>
      <c r="C700" s="10">
        <v>2.0544457705936399</v>
      </c>
      <c r="D700" s="10">
        <v>0.70188043699207903</v>
      </c>
      <c r="E700" s="10">
        <v>2.9270594567331201</v>
      </c>
      <c r="F700" s="10">
        <v>3.4218345758641202E-3</v>
      </c>
      <c r="G700" s="10">
        <v>1.28262780725015E-2</v>
      </c>
      <c r="H700" s="10" t="s">
        <v>1414</v>
      </c>
      <c r="I700" s="10" t="s">
        <v>18</v>
      </c>
    </row>
    <row r="701" spans="1:9" x14ac:dyDescent="0.2">
      <c r="A701" s="10" t="s">
        <v>1415</v>
      </c>
      <c r="B701" s="10">
        <v>11.7742074873777</v>
      </c>
      <c r="C701" s="10">
        <v>3.8408448883616102</v>
      </c>
      <c r="D701" s="10">
        <v>1.2673253212051601</v>
      </c>
      <c r="E701" s="10">
        <v>3.0306700450908499</v>
      </c>
      <c r="F701" s="10">
        <v>2.4401174260976102E-3</v>
      </c>
      <c r="G701" s="10">
        <v>9.5566881570909104E-3</v>
      </c>
      <c r="H701" s="10" t="s">
        <v>1416</v>
      </c>
      <c r="I701" s="10" t="s">
        <v>18</v>
      </c>
    </row>
    <row r="702" spans="1:9" x14ac:dyDescent="0.2">
      <c r="A702" s="10" t="s">
        <v>1417</v>
      </c>
      <c r="B702" s="10">
        <v>1457.3691966978099</v>
      </c>
      <c r="C702" s="10">
        <v>1.77224880894243</v>
      </c>
      <c r="D702" s="10">
        <v>0.19340244014678001</v>
      </c>
      <c r="E702" s="10">
        <v>9.1635286896970403</v>
      </c>
      <c r="F702" s="4">
        <v>5.0227445309227897E-20</v>
      </c>
      <c r="G702" s="4">
        <v>1.9357103286287601E-18</v>
      </c>
      <c r="H702" s="10" t="s">
        <v>1418</v>
      </c>
      <c r="I702" s="10" t="s">
        <v>18</v>
      </c>
    </row>
    <row r="703" spans="1:9" x14ac:dyDescent="0.2">
      <c r="A703" s="10" t="s">
        <v>1419</v>
      </c>
      <c r="B703" s="10">
        <v>1896.0701914241399</v>
      </c>
      <c r="C703" s="10">
        <v>1.0793512612493601</v>
      </c>
      <c r="D703" s="10">
        <v>0.18208786089346801</v>
      </c>
      <c r="E703" s="10">
        <v>5.9276398544812698</v>
      </c>
      <c r="F703" s="4">
        <v>3.0731958437391899E-9</v>
      </c>
      <c r="G703" s="4">
        <v>3.9165279305127102E-8</v>
      </c>
      <c r="H703" s="10" t="s">
        <v>1420</v>
      </c>
      <c r="I703" s="10" t="s">
        <v>18</v>
      </c>
    </row>
    <row r="704" spans="1:9" x14ac:dyDescent="0.2">
      <c r="A704" s="10" t="s">
        <v>1421</v>
      </c>
      <c r="B704" s="10">
        <v>17.242482484233701</v>
      </c>
      <c r="C704" s="10">
        <v>6.0387176711752701</v>
      </c>
      <c r="D704" s="10">
        <v>1.6403539930058799</v>
      </c>
      <c r="E704" s="10">
        <v>3.6813503042166902</v>
      </c>
      <c r="F704" s="10">
        <v>2.3200198918628401E-4</v>
      </c>
      <c r="G704" s="10">
        <v>1.2130796774819999E-3</v>
      </c>
      <c r="H704" s="10" t="s">
        <v>1422</v>
      </c>
      <c r="I704" s="10" t="s">
        <v>18</v>
      </c>
    </row>
    <row r="705" spans="1:9" x14ac:dyDescent="0.2">
      <c r="A705" s="10" t="s">
        <v>1423</v>
      </c>
      <c r="B705" s="10">
        <v>13.217091150591999</v>
      </c>
      <c r="C705" s="10">
        <v>4.6218153510090003</v>
      </c>
      <c r="D705" s="10">
        <v>1.33274451425642</v>
      </c>
      <c r="E705" s="10">
        <v>3.4678929844161801</v>
      </c>
      <c r="F705" s="10">
        <v>5.2455613769112404E-4</v>
      </c>
      <c r="G705" s="10">
        <v>2.4995769646152599E-3</v>
      </c>
      <c r="H705" s="10" t="s">
        <v>1424</v>
      </c>
      <c r="I705" s="10" t="s">
        <v>18</v>
      </c>
    </row>
    <row r="706" spans="1:9" x14ac:dyDescent="0.2">
      <c r="A706" s="10" t="s">
        <v>1425</v>
      </c>
      <c r="B706" s="10">
        <v>13.6911489345425</v>
      </c>
      <c r="C706" s="10">
        <v>7.1721300879490997</v>
      </c>
      <c r="D706" s="10">
        <v>1.6842598683910399</v>
      </c>
      <c r="E706" s="10">
        <v>4.2583274841076602</v>
      </c>
      <c r="F706" s="4">
        <v>2.0596207524148599E-5</v>
      </c>
      <c r="G706" s="10">
        <v>1.3657455984679399E-4</v>
      </c>
      <c r="H706" s="10" t="s">
        <v>1426</v>
      </c>
      <c r="I706" s="10" t="s">
        <v>18</v>
      </c>
    </row>
    <row r="707" spans="1:9" x14ac:dyDescent="0.2">
      <c r="A707" s="10" t="s">
        <v>1427</v>
      </c>
      <c r="B707" s="10">
        <v>108.801843875758</v>
      </c>
      <c r="C707" s="10">
        <v>-2.0595705959886002</v>
      </c>
      <c r="D707" s="10">
        <v>0.388395942123829</v>
      </c>
      <c r="E707" s="10">
        <v>-5.3027603345350096</v>
      </c>
      <c r="F707" s="4">
        <v>1.14064630700155E-7</v>
      </c>
      <c r="G707" s="4">
        <v>1.14852882213123E-6</v>
      </c>
      <c r="H707" s="10" t="s">
        <v>1428</v>
      </c>
      <c r="I707" s="10" t="s">
        <v>18</v>
      </c>
    </row>
    <row r="708" spans="1:9" x14ac:dyDescent="0.2">
      <c r="A708" s="10" t="s">
        <v>1429</v>
      </c>
      <c r="B708" s="10">
        <v>7.3770385677147798</v>
      </c>
      <c r="C708" s="10">
        <v>6.2789249680386803</v>
      </c>
      <c r="D708" s="10">
        <v>1.86209762343444</v>
      </c>
      <c r="E708" s="10">
        <v>3.3719633648733698</v>
      </c>
      <c r="F708" s="10">
        <v>7.4634375373145204E-4</v>
      </c>
      <c r="G708" s="10">
        <v>3.4209261222604799E-3</v>
      </c>
      <c r="H708" s="10" t="s">
        <v>1430</v>
      </c>
      <c r="I708" s="10" t="s">
        <v>18</v>
      </c>
    </row>
    <row r="709" spans="1:9" x14ac:dyDescent="0.2">
      <c r="A709" s="10" t="s">
        <v>1431</v>
      </c>
      <c r="B709" s="10">
        <v>181.36385752125199</v>
      </c>
      <c r="C709" s="10">
        <v>2.1346085672286601</v>
      </c>
      <c r="D709" s="10">
        <v>0.33951730608835501</v>
      </c>
      <c r="E709" s="10">
        <v>6.2871863346876102</v>
      </c>
      <c r="F709" s="4">
        <v>3.2327128223472601E-10</v>
      </c>
      <c r="G709" s="4">
        <v>4.6702930154027504E-9</v>
      </c>
      <c r="H709" s="10" t="s">
        <v>1432</v>
      </c>
      <c r="I709" s="10" t="s">
        <v>18</v>
      </c>
    </row>
    <row r="710" spans="1:9" x14ac:dyDescent="0.2">
      <c r="A710" s="10" t="s">
        <v>1433</v>
      </c>
      <c r="B710" s="10">
        <v>1469.85448962128</v>
      </c>
      <c r="C710" s="10">
        <v>-1.07219806118131</v>
      </c>
      <c r="D710" s="10">
        <v>0.19185858784231399</v>
      </c>
      <c r="E710" s="10">
        <v>-5.5884809392141497</v>
      </c>
      <c r="F710" s="4">
        <v>2.2906451439209001E-8</v>
      </c>
      <c r="G710" s="4">
        <v>2.5973037135419401E-7</v>
      </c>
      <c r="H710" s="10" t="s">
        <v>1434</v>
      </c>
      <c r="I710" s="10" t="s">
        <v>18</v>
      </c>
    </row>
    <row r="711" spans="1:9" x14ac:dyDescent="0.2">
      <c r="A711" s="10" t="s">
        <v>1435</v>
      </c>
      <c r="B711" s="10">
        <v>4.7710694323342899</v>
      </c>
      <c r="C711" s="10">
        <v>5.6498655801083801</v>
      </c>
      <c r="D711" s="10">
        <v>2.0548781453748601</v>
      </c>
      <c r="E711" s="10">
        <v>2.7494893518747898</v>
      </c>
      <c r="F711" s="10">
        <v>5.9688202149847996E-3</v>
      </c>
      <c r="G711" s="10">
        <v>2.05942059513348E-2</v>
      </c>
      <c r="H711" s="10" t="s">
        <v>1436</v>
      </c>
      <c r="I711" s="10" t="s">
        <v>18</v>
      </c>
    </row>
    <row r="712" spans="1:9" x14ac:dyDescent="0.2">
      <c r="A712" s="10" t="s">
        <v>1437</v>
      </c>
      <c r="B712" s="10">
        <v>5536.4935046970104</v>
      </c>
      <c r="C712" s="10">
        <v>1.80588430776447</v>
      </c>
      <c r="D712" s="10">
        <v>0.19284735049405199</v>
      </c>
      <c r="E712" s="10">
        <v>9.3643200341513992</v>
      </c>
      <c r="F712" s="4">
        <v>7.6541535921326494E-21</v>
      </c>
      <c r="G712" s="4">
        <v>3.2184062179759002E-19</v>
      </c>
      <c r="H712" s="10" t="s">
        <v>1438</v>
      </c>
      <c r="I712" s="10" t="s">
        <v>18</v>
      </c>
    </row>
    <row r="713" spans="1:9" x14ac:dyDescent="0.2">
      <c r="A713" s="10" t="s">
        <v>1439</v>
      </c>
      <c r="B713" s="10">
        <v>191.56056953046701</v>
      </c>
      <c r="C713" s="10">
        <v>1.82954479571634</v>
      </c>
      <c r="D713" s="10">
        <v>0.319730725020686</v>
      </c>
      <c r="E713" s="10">
        <v>5.7221425798161096</v>
      </c>
      <c r="F713" s="4">
        <v>1.0518897128672701E-8</v>
      </c>
      <c r="G713" s="4">
        <v>1.2445001739685001E-7</v>
      </c>
      <c r="H713" s="10" t="s">
        <v>1440</v>
      </c>
      <c r="I713" s="10" t="s">
        <v>18</v>
      </c>
    </row>
    <row r="714" spans="1:9" x14ac:dyDescent="0.2">
      <c r="A714" s="10" t="s">
        <v>1441</v>
      </c>
      <c r="B714" s="10">
        <v>168.12609496935599</v>
      </c>
      <c r="C714" s="10">
        <v>7.0140980092605796</v>
      </c>
      <c r="D714" s="10">
        <v>0.71199338022630598</v>
      </c>
      <c r="E714" s="10">
        <v>9.8513528412738207</v>
      </c>
      <c r="F714" s="4">
        <v>6.7627484871824395E-23</v>
      </c>
      <c r="G714" s="4">
        <v>3.23271242158351E-21</v>
      </c>
      <c r="H714" s="10" t="s">
        <v>1442</v>
      </c>
      <c r="I714" s="10" t="s">
        <v>18</v>
      </c>
    </row>
    <row r="715" spans="1:9" x14ac:dyDescent="0.2">
      <c r="A715" s="10" t="s">
        <v>1443</v>
      </c>
      <c r="B715" s="10">
        <v>372.39830789847701</v>
      </c>
      <c r="C715" s="10">
        <v>-2.13184944684363</v>
      </c>
      <c r="D715" s="10">
        <v>0.246759386772748</v>
      </c>
      <c r="E715" s="10">
        <v>-8.6393854139658508</v>
      </c>
      <c r="F715" s="4">
        <v>5.65162160081112E-18</v>
      </c>
      <c r="G715" s="4">
        <v>1.82452291181636E-16</v>
      </c>
      <c r="H715" s="10" t="s">
        <v>1444</v>
      </c>
      <c r="I715" s="10" t="s">
        <v>18</v>
      </c>
    </row>
    <row r="716" spans="1:9" x14ac:dyDescent="0.2">
      <c r="A716" s="10" t="s">
        <v>1445</v>
      </c>
      <c r="B716" s="10">
        <v>1582.31551171819</v>
      </c>
      <c r="C716" s="10">
        <v>1.5705251998321701</v>
      </c>
      <c r="D716" s="10">
        <v>0.18747696054235499</v>
      </c>
      <c r="E716" s="10">
        <v>8.37716376075638</v>
      </c>
      <c r="F716" s="4">
        <v>5.4218384314216903E-17</v>
      </c>
      <c r="G716" s="4">
        <v>1.60924653312578E-15</v>
      </c>
      <c r="H716" s="10" t="s">
        <v>1446</v>
      </c>
      <c r="I716" s="10" t="s">
        <v>18</v>
      </c>
    </row>
    <row r="717" spans="1:9" x14ac:dyDescent="0.2">
      <c r="A717" s="10" t="s">
        <v>1447</v>
      </c>
      <c r="B717" s="10">
        <v>8404.2243534127992</v>
      </c>
      <c r="C717" s="10">
        <v>-1.7358179152272999</v>
      </c>
      <c r="D717" s="10">
        <v>0.17975649807140101</v>
      </c>
      <c r="E717" s="10">
        <v>-9.6564960591178099</v>
      </c>
      <c r="F717" s="4">
        <v>4.6137502790910903E-22</v>
      </c>
      <c r="G717" s="4">
        <v>2.09169473967379E-20</v>
      </c>
      <c r="H717" s="10" t="s">
        <v>1448</v>
      </c>
      <c r="I717" s="10" t="s">
        <v>18</v>
      </c>
    </row>
    <row r="718" spans="1:9" x14ac:dyDescent="0.2">
      <c r="A718" s="10" t="s">
        <v>1449</v>
      </c>
      <c r="B718" s="10">
        <v>15.9259742875195</v>
      </c>
      <c r="C718" s="10">
        <v>3.5016904182327799</v>
      </c>
      <c r="D718" s="10">
        <v>1.03847967460142</v>
      </c>
      <c r="E718" s="10">
        <v>3.37193929151936</v>
      </c>
      <c r="F718" s="10">
        <v>7.4640899169958405E-4</v>
      </c>
      <c r="G718" s="10">
        <v>3.4209261222604799E-3</v>
      </c>
      <c r="H718" s="10" t="s">
        <v>1450</v>
      </c>
      <c r="I718" s="10" t="s">
        <v>18</v>
      </c>
    </row>
    <row r="719" spans="1:9" x14ac:dyDescent="0.2">
      <c r="A719" s="10" t="s">
        <v>1451</v>
      </c>
      <c r="B719" s="10">
        <v>31.232385729386198</v>
      </c>
      <c r="C719" s="10">
        <v>8.3606444468709</v>
      </c>
      <c r="D719" s="10">
        <v>1.5582639916951</v>
      </c>
      <c r="E719" s="10">
        <v>5.36535817514212</v>
      </c>
      <c r="F719" s="4">
        <v>8.0788739470943399E-8</v>
      </c>
      <c r="G719" s="4">
        <v>8.32545682437516E-7</v>
      </c>
      <c r="H719" s="10" t="s">
        <v>1452</v>
      </c>
      <c r="I719" s="10" t="s">
        <v>18</v>
      </c>
    </row>
    <row r="720" spans="1:9" x14ac:dyDescent="0.2">
      <c r="A720" s="10" t="s">
        <v>1453</v>
      </c>
      <c r="B720" s="10">
        <v>5.1032239563407602</v>
      </c>
      <c r="C720" s="10">
        <v>5.7506729751476504</v>
      </c>
      <c r="D720" s="10">
        <v>2.0308236987250701</v>
      </c>
      <c r="E720" s="10">
        <v>2.8316948333613898</v>
      </c>
      <c r="F720" s="10">
        <v>4.6302015401490301E-3</v>
      </c>
      <c r="G720" s="10">
        <v>1.6623942728217201E-2</v>
      </c>
      <c r="H720" s="10" t="s">
        <v>1454</v>
      </c>
      <c r="I720" s="10" t="s">
        <v>18</v>
      </c>
    </row>
    <row r="721" spans="1:9" x14ac:dyDescent="0.2">
      <c r="A721" s="10" t="s">
        <v>1455</v>
      </c>
      <c r="B721" s="10">
        <v>34.988414636974298</v>
      </c>
      <c r="C721" s="10">
        <v>5.4583583226117902</v>
      </c>
      <c r="D721" s="10">
        <v>1.0138773257109801</v>
      </c>
      <c r="E721" s="10">
        <v>5.3836476901030501</v>
      </c>
      <c r="F721" s="4">
        <v>7.2991304082264699E-8</v>
      </c>
      <c r="G721" s="4">
        <v>7.5995187708424405E-7</v>
      </c>
      <c r="H721" s="10" t="s">
        <v>1456</v>
      </c>
      <c r="I721" s="10" t="s">
        <v>18</v>
      </c>
    </row>
    <row r="722" spans="1:9" x14ac:dyDescent="0.2">
      <c r="A722" s="10" t="s">
        <v>1457</v>
      </c>
      <c r="B722" s="10">
        <v>4.9552657467409</v>
      </c>
      <c r="C722" s="10">
        <v>5.7059742842858201</v>
      </c>
      <c r="D722" s="10">
        <v>2.0354097879191899</v>
      </c>
      <c r="E722" s="10">
        <v>2.8033540558528398</v>
      </c>
      <c r="F722" s="10">
        <v>5.0574115774759702E-3</v>
      </c>
      <c r="G722" s="10">
        <v>1.7900661633084899E-2</v>
      </c>
      <c r="H722" s="10" t="s">
        <v>1458</v>
      </c>
      <c r="I722" s="10" t="s">
        <v>18</v>
      </c>
    </row>
    <row r="723" spans="1:9" x14ac:dyDescent="0.2">
      <c r="A723" s="10" t="s">
        <v>1459</v>
      </c>
      <c r="B723" s="10">
        <v>869.23407551663797</v>
      </c>
      <c r="C723" s="10">
        <v>-1.25381067441853</v>
      </c>
      <c r="D723" s="10">
        <v>0.205219570992239</v>
      </c>
      <c r="E723" s="10">
        <v>-6.1096057669175901</v>
      </c>
      <c r="F723" s="4">
        <v>9.9877547494394501E-10</v>
      </c>
      <c r="G723" s="4">
        <v>1.35661193249241E-8</v>
      </c>
      <c r="H723" s="10" t="s">
        <v>1460</v>
      </c>
      <c r="I723" s="10" t="s">
        <v>18</v>
      </c>
    </row>
    <row r="724" spans="1:9" x14ac:dyDescent="0.2">
      <c r="A724" s="10" t="s">
        <v>1461</v>
      </c>
      <c r="B724" s="10">
        <v>4957.5180080302998</v>
      </c>
      <c r="C724" s="10">
        <v>10.7536242055556</v>
      </c>
      <c r="D724" s="10">
        <v>1.1671903647408901</v>
      </c>
      <c r="E724" s="10">
        <v>9.2132564921771891</v>
      </c>
      <c r="F724" s="4">
        <v>3.1637787150901797E-20</v>
      </c>
      <c r="G724" s="4">
        <v>1.24932577753713E-18</v>
      </c>
      <c r="H724" s="10" t="s">
        <v>1462</v>
      </c>
      <c r="I724" s="10" t="s">
        <v>18</v>
      </c>
    </row>
    <row r="725" spans="1:9" x14ac:dyDescent="0.2">
      <c r="A725" s="10" t="s">
        <v>1463</v>
      </c>
      <c r="B725" s="10">
        <v>1029.0442301052001</v>
      </c>
      <c r="C725" s="10">
        <v>-1.27654273691748</v>
      </c>
      <c r="D725" s="10">
        <v>0.20317359182109401</v>
      </c>
      <c r="E725" s="10">
        <v>-6.28301505857881</v>
      </c>
      <c r="F725" s="4">
        <v>3.3206888282911398E-10</v>
      </c>
      <c r="G725" s="4">
        <v>4.78217803934718E-9</v>
      </c>
      <c r="H725" s="10" t="s">
        <v>1464</v>
      </c>
      <c r="I725" s="10" t="s">
        <v>18</v>
      </c>
    </row>
    <row r="726" spans="1:9" x14ac:dyDescent="0.2">
      <c r="A726" s="10" t="s">
        <v>1465</v>
      </c>
      <c r="B726" s="10">
        <v>98.206132030836997</v>
      </c>
      <c r="C726" s="10">
        <v>2.3059151874297599</v>
      </c>
      <c r="D726" s="10">
        <v>0.39742879872134801</v>
      </c>
      <c r="E726" s="10">
        <v>5.8020837816700999</v>
      </c>
      <c r="F726" s="4">
        <v>6.5495819441827604E-9</v>
      </c>
      <c r="G726" s="4">
        <v>7.9754250366252806E-8</v>
      </c>
      <c r="H726" s="10" t="s">
        <v>1466</v>
      </c>
      <c r="I726" s="10" t="s">
        <v>18</v>
      </c>
    </row>
    <row r="727" spans="1:9" x14ac:dyDescent="0.2">
      <c r="A727" s="10" t="s">
        <v>1467</v>
      </c>
      <c r="B727" s="10">
        <v>103.640920996074</v>
      </c>
      <c r="C727" s="10">
        <v>10.091071353695099</v>
      </c>
      <c r="D727" s="10">
        <v>1.4865260708122101</v>
      </c>
      <c r="E727" s="10">
        <v>6.7883581403866504</v>
      </c>
      <c r="F727" s="4">
        <v>1.1341682310603601E-11</v>
      </c>
      <c r="G727" s="4">
        <v>1.9911521773003601E-10</v>
      </c>
      <c r="H727" s="10" t="s">
        <v>1468</v>
      </c>
      <c r="I727" s="10" t="s">
        <v>18</v>
      </c>
    </row>
    <row r="728" spans="1:9" x14ac:dyDescent="0.2">
      <c r="A728" s="10" t="s">
        <v>1469</v>
      </c>
      <c r="B728" s="10">
        <v>1569.6105172155901</v>
      </c>
      <c r="C728" s="10">
        <v>-1.0626809250993099</v>
      </c>
      <c r="D728" s="10">
        <v>0.231097393428083</v>
      </c>
      <c r="E728" s="10">
        <v>-4.5984115585882499</v>
      </c>
      <c r="F728" s="4">
        <v>4.2572436768376403E-6</v>
      </c>
      <c r="G728" s="4">
        <v>3.26017758467665E-5</v>
      </c>
      <c r="H728" s="10" t="s">
        <v>1470</v>
      </c>
      <c r="I728" s="10" t="s">
        <v>18</v>
      </c>
    </row>
    <row r="729" spans="1:9" x14ac:dyDescent="0.2">
      <c r="A729" s="10" t="s">
        <v>1471</v>
      </c>
      <c r="B729" s="10">
        <v>8898.1783628856701</v>
      </c>
      <c r="C729" s="10">
        <v>1.33975782677574</v>
      </c>
      <c r="D729" s="10">
        <v>0.190499637771741</v>
      </c>
      <c r="E729" s="10">
        <v>7.0328628570992802</v>
      </c>
      <c r="F729" s="4">
        <v>2.02338227743692E-12</v>
      </c>
      <c r="G729" s="4">
        <v>3.8634265531411198E-11</v>
      </c>
      <c r="H729" s="10" t="s">
        <v>1472</v>
      </c>
      <c r="I729" s="10" t="s">
        <v>18</v>
      </c>
    </row>
    <row r="730" spans="1:9" x14ac:dyDescent="0.2">
      <c r="A730" s="10" t="s">
        <v>1473</v>
      </c>
      <c r="B730" s="10">
        <v>223.55012009862099</v>
      </c>
      <c r="C730" s="10">
        <v>6.43268569902951</v>
      </c>
      <c r="D730" s="10">
        <v>1.0267709729424199</v>
      </c>
      <c r="E730" s="10">
        <v>6.2649664516667798</v>
      </c>
      <c r="F730" s="4">
        <v>3.7290568247579401E-10</v>
      </c>
      <c r="G730" s="4">
        <v>5.3364291651354796E-9</v>
      </c>
      <c r="H730" s="10" t="s">
        <v>1474</v>
      </c>
      <c r="I730" s="10" t="s">
        <v>18</v>
      </c>
    </row>
    <row r="731" spans="1:9" x14ac:dyDescent="0.2">
      <c r="A731" s="10" t="s">
        <v>1475</v>
      </c>
      <c r="B731" s="10">
        <v>41.791882385062799</v>
      </c>
      <c r="C731" s="10">
        <v>2.25682015605152</v>
      </c>
      <c r="D731" s="10">
        <v>0.58515982552244195</v>
      </c>
      <c r="E731" s="10">
        <v>3.8567585429102</v>
      </c>
      <c r="F731" s="10">
        <v>1.14900559581417E-4</v>
      </c>
      <c r="G731" s="10">
        <v>6.49387170071533E-4</v>
      </c>
      <c r="H731" s="10" t="s">
        <v>1476</v>
      </c>
      <c r="I731" s="10" t="s">
        <v>18</v>
      </c>
    </row>
    <row r="732" spans="1:9" x14ac:dyDescent="0.2">
      <c r="A732" s="10" t="s">
        <v>1477</v>
      </c>
      <c r="B732" s="10">
        <v>3754.9882798910098</v>
      </c>
      <c r="C732" s="10">
        <v>-1.65066148249963</v>
      </c>
      <c r="D732" s="10">
        <v>0.20050545565639699</v>
      </c>
      <c r="E732" s="10">
        <v>-8.2325015900232597</v>
      </c>
      <c r="F732" s="4">
        <v>1.83343715318908E-16</v>
      </c>
      <c r="G732" s="4">
        <v>5.2091409919648497E-15</v>
      </c>
      <c r="H732" s="10" t="s">
        <v>1478</v>
      </c>
      <c r="I732" s="10" t="s">
        <v>18</v>
      </c>
    </row>
    <row r="733" spans="1:9" x14ac:dyDescent="0.2">
      <c r="A733" s="10" t="s">
        <v>1479</v>
      </c>
      <c r="B733" s="10">
        <v>6782.1185085691004</v>
      </c>
      <c r="C733" s="10">
        <v>-2.1121935958368501</v>
      </c>
      <c r="D733" s="10">
        <v>0.197049350905453</v>
      </c>
      <c r="E733" s="10">
        <v>-10.7191096348768</v>
      </c>
      <c r="F733" s="4">
        <v>8.2796509663601006E-27</v>
      </c>
      <c r="G733" s="4">
        <v>5.22212152500958E-25</v>
      </c>
      <c r="H733" s="10" t="s">
        <v>1480</v>
      </c>
      <c r="I733" s="10" t="s">
        <v>18</v>
      </c>
    </row>
    <row r="734" spans="1:9" x14ac:dyDescent="0.2">
      <c r="A734" s="10" t="s">
        <v>1481</v>
      </c>
      <c r="B734" s="10">
        <v>3228.8435723482598</v>
      </c>
      <c r="C734" s="10">
        <v>-1.11280481919989</v>
      </c>
      <c r="D734" s="10">
        <v>0.17870280217019199</v>
      </c>
      <c r="E734" s="10">
        <v>-6.2271257399762696</v>
      </c>
      <c r="F734" s="4">
        <v>4.75069840847013E-10</v>
      </c>
      <c r="G734" s="4">
        <v>6.6999109490468797E-9</v>
      </c>
      <c r="H734" s="10" t="s">
        <v>1482</v>
      </c>
      <c r="I734" s="10" t="s">
        <v>18</v>
      </c>
    </row>
    <row r="735" spans="1:9" x14ac:dyDescent="0.2">
      <c r="A735" s="10" t="s">
        <v>1483</v>
      </c>
      <c r="B735" s="10">
        <v>5.6920510043673103</v>
      </c>
      <c r="C735" s="10">
        <v>5.91039109063734</v>
      </c>
      <c r="D735" s="10">
        <v>2.0086123258178499</v>
      </c>
      <c r="E735" s="10">
        <v>2.94252455522038</v>
      </c>
      <c r="F735" s="10">
        <v>3.2554796678640899E-3</v>
      </c>
      <c r="G735" s="10">
        <v>1.22924133190539E-2</v>
      </c>
      <c r="H735" s="10" t="s">
        <v>1484</v>
      </c>
      <c r="I735" s="10" t="s">
        <v>18</v>
      </c>
    </row>
    <row r="736" spans="1:9" x14ac:dyDescent="0.2">
      <c r="A736" s="10" t="s">
        <v>1485</v>
      </c>
      <c r="B736" s="10">
        <v>856.25522901471197</v>
      </c>
      <c r="C736" s="10">
        <v>-1.13881723913165</v>
      </c>
      <c r="D736" s="10">
        <v>0.227394223556174</v>
      </c>
      <c r="E736" s="10">
        <v>-5.0081185938759196</v>
      </c>
      <c r="F736" s="4">
        <v>5.4964665425579499E-7</v>
      </c>
      <c r="G736" s="4">
        <v>4.9231500290952103E-6</v>
      </c>
      <c r="H736" s="10" t="s">
        <v>1486</v>
      </c>
      <c r="I736" s="10" t="s">
        <v>18</v>
      </c>
    </row>
    <row r="737" spans="1:9" x14ac:dyDescent="0.2">
      <c r="A737" s="10" t="s">
        <v>1487</v>
      </c>
      <c r="B737" s="10">
        <v>3885.9659383401399</v>
      </c>
      <c r="C737" s="10">
        <v>-1.14813778393366</v>
      </c>
      <c r="D737" s="10">
        <v>0.19978697101093301</v>
      </c>
      <c r="E737" s="10">
        <v>-5.7468101054038803</v>
      </c>
      <c r="F737" s="4">
        <v>9.0942764426159107E-9</v>
      </c>
      <c r="G737" s="4">
        <v>1.08537779339446E-7</v>
      </c>
      <c r="H737" s="10" t="s">
        <v>1488</v>
      </c>
      <c r="I737" s="10" t="s">
        <v>18</v>
      </c>
    </row>
    <row r="738" spans="1:9" x14ac:dyDescent="0.2">
      <c r="A738" s="10" t="s">
        <v>1489</v>
      </c>
      <c r="B738" s="10">
        <v>4.5536408034938498</v>
      </c>
      <c r="C738" s="10">
        <v>5.5885371783693403</v>
      </c>
      <c r="D738" s="10">
        <v>2.11786677543365</v>
      </c>
      <c r="E738" s="10">
        <v>2.6387576608661001</v>
      </c>
      <c r="F738" s="10">
        <v>8.3210440149675807E-3</v>
      </c>
      <c r="G738" s="10">
        <v>2.7260248440041102E-2</v>
      </c>
      <c r="H738" s="10" t="s">
        <v>1490</v>
      </c>
      <c r="I738" s="10" t="s">
        <v>18</v>
      </c>
    </row>
    <row r="739" spans="1:9" x14ac:dyDescent="0.2">
      <c r="A739" s="10" t="s">
        <v>1491</v>
      </c>
      <c r="B739" s="10">
        <v>10.423876541522</v>
      </c>
      <c r="C739" s="10">
        <v>6.77830170909938</v>
      </c>
      <c r="D739" s="10">
        <v>1.7508608067593401</v>
      </c>
      <c r="E739" s="10">
        <v>3.8714109556460299</v>
      </c>
      <c r="F739" s="10">
        <v>1.08207185576163E-4</v>
      </c>
      <c r="G739" s="10">
        <v>6.1461771636308097E-4</v>
      </c>
      <c r="H739" s="10" t="s">
        <v>1492</v>
      </c>
      <c r="I739" s="10" t="s">
        <v>18</v>
      </c>
    </row>
    <row r="740" spans="1:9" x14ac:dyDescent="0.2">
      <c r="A740" s="10" t="s">
        <v>1493</v>
      </c>
      <c r="B740" s="10">
        <v>15.990720493562099</v>
      </c>
      <c r="C740" s="10">
        <v>-3.9826399754369701</v>
      </c>
      <c r="D740" s="10">
        <v>1.0741400822567799</v>
      </c>
      <c r="E740" s="10">
        <v>-3.7077472866196399</v>
      </c>
      <c r="F740" s="10">
        <v>2.0911118081194199E-4</v>
      </c>
      <c r="G740" s="10">
        <v>1.1102206437223199E-3</v>
      </c>
      <c r="H740" s="10" t="s">
        <v>1494</v>
      </c>
      <c r="I740" s="10" t="s">
        <v>18</v>
      </c>
    </row>
    <row r="741" spans="1:9" x14ac:dyDescent="0.2">
      <c r="A741" s="10" t="s">
        <v>1495</v>
      </c>
      <c r="B741" s="10">
        <v>220.96417161849899</v>
      </c>
      <c r="C741" s="10">
        <v>1.14139864406483</v>
      </c>
      <c r="D741" s="10">
        <v>0.28556537073580501</v>
      </c>
      <c r="E741" s="10">
        <v>3.9969784891068301</v>
      </c>
      <c r="F741" s="4">
        <v>6.41561283703631E-5</v>
      </c>
      <c r="G741" s="10">
        <v>3.8354659842408E-4</v>
      </c>
      <c r="H741" s="10" t="s">
        <v>1496</v>
      </c>
      <c r="I741" s="10" t="s">
        <v>18</v>
      </c>
    </row>
    <row r="742" spans="1:9" x14ac:dyDescent="0.2">
      <c r="A742" s="10" t="s">
        <v>1497</v>
      </c>
      <c r="B742" s="10">
        <v>358.433204400536</v>
      </c>
      <c r="C742" s="10">
        <v>-1.0375375358912999</v>
      </c>
      <c r="D742" s="10">
        <v>0.265280085979469</v>
      </c>
      <c r="E742" s="10">
        <v>-3.9111022301598402</v>
      </c>
      <c r="F742" s="4">
        <v>9.1875870822400094E-5</v>
      </c>
      <c r="G742" s="10">
        <v>5.3093146390200102E-4</v>
      </c>
      <c r="H742" s="10" t="s">
        <v>1498</v>
      </c>
      <c r="I742" s="10" t="s">
        <v>18</v>
      </c>
    </row>
    <row r="743" spans="1:9" x14ac:dyDescent="0.2">
      <c r="A743" s="10" t="s">
        <v>1499</v>
      </c>
      <c r="B743" s="10">
        <v>129.504435521522</v>
      </c>
      <c r="C743" s="10">
        <v>7.3786325812890503</v>
      </c>
      <c r="D743" s="10">
        <v>0.89771593326396204</v>
      </c>
      <c r="E743" s="10">
        <v>8.2193401140396798</v>
      </c>
      <c r="F743" s="4">
        <v>2.0462596354951999E-16</v>
      </c>
      <c r="G743" s="4">
        <v>5.7896610891316496E-15</v>
      </c>
      <c r="H743" s="10" t="s">
        <v>1500</v>
      </c>
      <c r="I743" s="10" t="s">
        <v>18</v>
      </c>
    </row>
    <row r="744" spans="1:9" x14ac:dyDescent="0.2">
      <c r="A744" s="10" t="s">
        <v>1501</v>
      </c>
      <c r="B744" s="10">
        <v>1322.8663856851001</v>
      </c>
      <c r="C744" s="10">
        <v>-1.9441171219976501</v>
      </c>
      <c r="D744" s="10">
        <v>0.22898500134292701</v>
      </c>
      <c r="E744" s="10">
        <v>-8.4901504928095495</v>
      </c>
      <c r="F744" s="4">
        <v>2.06369686085929E-17</v>
      </c>
      <c r="G744" s="4">
        <v>6.3824686002080595E-16</v>
      </c>
      <c r="H744" s="10" t="s">
        <v>1502</v>
      </c>
      <c r="I744" s="10" t="s">
        <v>18</v>
      </c>
    </row>
    <row r="745" spans="1:9" x14ac:dyDescent="0.2">
      <c r="A745" s="10" t="s">
        <v>1503</v>
      </c>
      <c r="B745" s="10">
        <v>18.308584374456199</v>
      </c>
      <c r="C745" s="10">
        <v>5.1125607759611604</v>
      </c>
      <c r="D745" s="10">
        <v>1.2689776159715001</v>
      </c>
      <c r="E745" s="10">
        <v>4.0288817640389301</v>
      </c>
      <c r="F745" s="4">
        <v>5.60427941517319E-5</v>
      </c>
      <c r="G745" s="10">
        <v>3.3940831568176E-4</v>
      </c>
      <c r="H745" s="10" t="s">
        <v>1504</v>
      </c>
      <c r="I745" s="10" t="s">
        <v>18</v>
      </c>
    </row>
    <row r="746" spans="1:9" x14ac:dyDescent="0.2">
      <c r="A746" s="10" t="s">
        <v>1505</v>
      </c>
      <c r="B746" s="10">
        <v>78.393214902852904</v>
      </c>
      <c r="C746" s="10">
        <v>4.2644190028065303</v>
      </c>
      <c r="D746" s="10">
        <v>0.53813969808952899</v>
      </c>
      <c r="E746" s="10">
        <v>7.9243717160168901</v>
      </c>
      <c r="F746" s="4">
        <v>2.2930273610334502E-15</v>
      </c>
      <c r="G746" s="4">
        <v>5.9389844587526995E-14</v>
      </c>
      <c r="H746" s="10" t="s">
        <v>1506</v>
      </c>
      <c r="I746" s="10" t="s">
        <v>18</v>
      </c>
    </row>
    <row r="747" spans="1:9" x14ac:dyDescent="0.2">
      <c r="A747" s="10" t="s">
        <v>1507</v>
      </c>
      <c r="B747" s="10">
        <v>12.277657155884601</v>
      </c>
      <c r="C747" s="10">
        <v>3.4429838481494799</v>
      </c>
      <c r="D747" s="10">
        <v>1.18500565458459</v>
      </c>
      <c r="E747" s="10">
        <v>2.90545773754679</v>
      </c>
      <c r="F747" s="10">
        <v>3.66716368977685E-3</v>
      </c>
      <c r="G747" s="10">
        <v>1.3624108134080999E-2</v>
      </c>
      <c r="H747" s="10" t="s">
        <v>1508</v>
      </c>
      <c r="I747" s="10" t="s">
        <v>18</v>
      </c>
    </row>
    <row r="748" spans="1:9" x14ac:dyDescent="0.2">
      <c r="A748" s="10" t="s">
        <v>1509</v>
      </c>
      <c r="B748" s="10">
        <v>392.50015211621297</v>
      </c>
      <c r="C748" s="10">
        <v>-2.0244376154688801</v>
      </c>
      <c r="D748" s="10">
        <v>0.272928842315034</v>
      </c>
      <c r="E748" s="10">
        <v>-7.4174557672147001</v>
      </c>
      <c r="F748" s="4">
        <v>1.1939154196921599E-13</v>
      </c>
      <c r="G748" s="4">
        <v>2.64476532035384E-12</v>
      </c>
      <c r="H748" s="10" t="s">
        <v>1510</v>
      </c>
      <c r="I748" s="10" t="s">
        <v>18</v>
      </c>
    </row>
    <row r="749" spans="1:9" x14ac:dyDescent="0.2">
      <c r="A749" s="10" t="s">
        <v>1511</v>
      </c>
      <c r="B749" s="10">
        <v>59.589090710405799</v>
      </c>
      <c r="C749" s="10">
        <v>-3.7038189384287401</v>
      </c>
      <c r="D749" s="10">
        <v>0.55760351663541396</v>
      </c>
      <c r="E749" s="10">
        <v>-6.64238805518593</v>
      </c>
      <c r="F749" s="4">
        <v>3.0864106560527099E-11</v>
      </c>
      <c r="G749" s="4">
        <v>5.1592289046299498E-10</v>
      </c>
      <c r="H749" s="10" t="s">
        <v>1512</v>
      </c>
      <c r="I749" s="10" t="s">
        <v>18</v>
      </c>
    </row>
    <row r="750" spans="1:9" x14ac:dyDescent="0.2">
      <c r="A750" s="10" t="s">
        <v>1513</v>
      </c>
      <c r="B750" s="10">
        <v>544.86926776027497</v>
      </c>
      <c r="C750" s="10">
        <v>-1.04861509879168</v>
      </c>
      <c r="D750" s="10">
        <v>0.25073807533168901</v>
      </c>
      <c r="E750" s="10">
        <v>-4.1821135358262298</v>
      </c>
      <c r="F750" s="4">
        <v>2.8881167374015001E-5</v>
      </c>
      <c r="G750" s="10">
        <v>1.85946400623768E-4</v>
      </c>
      <c r="H750" s="10" t="s">
        <v>1514</v>
      </c>
      <c r="I750" s="10" t="s">
        <v>18</v>
      </c>
    </row>
    <row r="751" spans="1:9" x14ac:dyDescent="0.2">
      <c r="A751" s="10" t="s">
        <v>1515</v>
      </c>
      <c r="B751" s="10">
        <v>21.222244030422999</v>
      </c>
      <c r="C751" s="10">
        <v>4.2907323702138997</v>
      </c>
      <c r="D751" s="10">
        <v>0.997127623791489</v>
      </c>
      <c r="E751" s="10">
        <v>4.3030924706496103</v>
      </c>
      <c r="F751" s="4">
        <v>1.6843051051559601E-5</v>
      </c>
      <c r="G751" s="10">
        <v>1.1379187007236401E-4</v>
      </c>
      <c r="H751" s="10" t="s">
        <v>1516</v>
      </c>
      <c r="I751" s="10" t="s">
        <v>18</v>
      </c>
    </row>
    <row r="752" spans="1:9" x14ac:dyDescent="0.2">
      <c r="A752" s="10" t="s">
        <v>1517</v>
      </c>
      <c r="B752" s="10">
        <v>7.0841279388879599</v>
      </c>
      <c r="C752" s="10">
        <v>6.2215057564940697</v>
      </c>
      <c r="D752" s="10">
        <v>1.87753123217466</v>
      </c>
      <c r="E752" s="10">
        <v>3.3136629899295902</v>
      </c>
      <c r="F752" s="10">
        <v>9.2082420897765603E-4</v>
      </c>
      <c r="G752" s="10">
        <v>4.1056614665380799E-3</v>
      </c>
      <c r="H752" s="10" t="s">
        <v>1518</v>
      </c>
      <c r="I752" s="10" t="s">
        <v>18</v>
      </c>
    </row>
    <row r="753" spans="1:9" x14ac:dyDescent="0.2">
      <c r="A753" s="10" t="s">
        <v>1519</v>
      </c>
      <c r="B753" s="10">
        <v>20.150211720597099</v>
      </c>
      <c r="C753" s="10">
        <v>7.7291175843928102</v>
      </c>
      <c r="D753" s="10">
        <v>1.61270648663426</v>
      </c>
      <c r="E753" s="10">
        <v>4.7926375000348598</v>
      </c>
      <c r="F753" s="4">
        <v>1.64602883462317E-6</v>
      </c>
      <c r="G753" s="4">
        <v>1.35537466476209E-5</v>
      </c>
      <c r="H753" s="10" t="s">
        <v>1520</v>
      </c>
      <c r="I753" s="10" t="s">
        <v>18</v>
      </c>
    </row>
    <row r="754" spans="1:9" x14ac:dyDescent="0.2">
      <c r="A754" s="10" t="s">
        <v>1521</v>
      </c>
      <c r="B754" s="10">
        <v>11.8855917942457</v>
      </c>
      <c r="C754" s="10">
        <v>5.49268473759924</v>
      </c>
      <c r="D754" s="10">
        <v>1.7127170604841799</v>
      </c>
      <c r="E754" s="10">
        <v>3.2070006566329501</v>
      </c>
      <c r="F754" s="10">
        <v>1.34126689690551E-3</v>
      </c>
      <c r="G754" s="10">
        <v>5.7039954955493098E-3</v>
      </c>
      <c r="H754" s="10" t="s">
        <v>1522</v>
      </c>
      <c r="I754" s="10" t="s">
        <v>18</v>
      </c>
    </row>
    <row r="755" spans="1:9" x14ac:dyDescent="0.2">
      <c r="A755" s="10" t="s">
        <v>1523</v>
      </c>
      <c r="B755" s="10">
        <v>466.75206599965099</v>
      </c>
      <c r="C755" s="10">
        <v>1.17944877452326</v>
      </c>
      <c r="D755" s="10">
        <v>0.23661596271558599</v>
      </c>
      <c r="E755" s="10">
        <v>4.9846542937636196</v>
      </c>
      <c r="F755" s="4">
        <v>6.2072695597660304E-7</v>
      </c>
      <c r="G755" s="4">
        <v>5.5037251446451402E-6</v>
      </c>
      <c r="H755" s="10" t="s">
        <v>1524</v>
      </c>
      <c r="I755" s="10" t="s">
        <v>18</v>
      </c>
    </row>
    <row r="756" spans="1:9" x14ac:dyDescent="0.2">
      <c r="A756" s="10" t="s">
        <v>1525</v>
      </c>
      <c r="B756" s="10">
        <v>5063.4099295586802</v>
      </c>
      <c r="C756" s="10">
        <v>3.2518672773362698</v>
      </c>
      <c r="D756" s="10">
        <v>0.197740839171336</v>
      </c>
      <c r="E756" s="10">
        <v>16.445096981300001</v>
      </c>
      <c r="F756" s="4">
        <v>9.0938693964495394E-61</v>
      </c>
      <c r="G756" s="4">
        <v>2.7840523533152901E-58</v>
      </c>
      <c r="H756" s="10" t="s">
        <v>1526</v>
      </c>
      <c r="I756" s="10" t="s">
        <v>18</v>
      </c>
    </row>
    <row r="757" spans="1:9" x14ac:dyDescent="0.2">
      <c r="A757" s="10" t="s">
        <v>1527</v>
      </c>
      <c r="B757" s="10">
        <v>5.5410870043945497</v>
      </c>
      <c r="C757" s="10">
        <v>5.8644343548867397</v>
      </c>
      <c r="D757" s="10">
        <v>1.9857427620116099</v>
      </c>
      <c r="E757" s="10">
        <v>2.95326991344333</v>
      </c>
      <c r="F757" s="10">
        <v>3.1442690636943002E-3</v>
      </c>
      <c r="G757" s="10">
        <v>1.1922056662744001E-2</v>
      </c>
      <c r="H757" s="10" t="s">
        <v>1528</v>
      </c>
      <c r="I757" s="10" t="s">
        <v>18</v>
      </c>
    </row>
    <row r="758" spans="1:9" x14ac:dyDescent="0.2">
      <c r="A758" s="10" t="s">
        <v>1529</v>
      </c>
      <c r="B758" s="10">
        <v>56.519097089668001</v>
      </c>
      <c r="C758" s="10">
        <v>6.7601743016445797</v>
      </c>
      <c r="D758" s="10">
        <v>1.1163173686254</v>
      </c>
      <c r="E758" s="10">
        <v>6.05578170835848</v>
      </c>
      <c r="F758" s="4">
        <v>1.3973739251582499E-9</v>
      </c>
      <c r="G758" s="4">
        <v>1.8636440204986199E-8</v>
      </c>
      <c r="H758" s="10" t="s">
        <v>1530</v>
      </c>
      <c r="I758" s="10" t="s">
        <v>18</v>
      </c>
    </row>
    <row r="759" spans="1:9" x14ac:dyDescent="0.2">
      <c r="A759" s="10" t="s">
        <v>1531</v>
      </c>
      <c r="B759" s="10">
        <v>480.572771956493</v>
      </c>
      <c r="C759" s="10">
        <v>1.14311479245758</v>
      </c>
      <c r="D759" s="10">
        <v>0.23787918093551799</v>
      </c>
      <c r="E759" s="10">
        <v>4.8054427796581303</v>
      </c>
      <c r="F759" s="4">
        <v>1.54409395799218E-6</v>
      </c>
      <c r="G759" s="4">
        <v>1.28150862240064E-5</v>
      </c>
      <c r="H759" s="10" t="s">
        <v>1532</v>
      </c>
      <c r="I759" s="10" t="s">
        <v>18</v>
      </c>
    </row>
    <row r="760" spans="1:9" x14ac:dyDescent="0.2">
      <c r="A760" s="10" t="s">
        <v>1533</v>
      </c>
      <c r="B760" s="10">
        <v>19.536920669150401</v>
      </c>
      <c r="C760" s="10">
        <v>5.1975468695421503</v>
      </c>
      <c r="D760" s="10">
        <v>1.2535854929563</v>
      </c>
      <c r="E760" s="10">
        <v>4.1461447174894399</v>
      </c>
      <c r="F760" s="4">
        <v>3.3812016734031798E-5</v>
      </c>
      <c r="G760" s="10">
        <v>2.14399818466876E-4</v>
      </c>
      <c r="H760" s="10" t="s">
        <v>1534</v>
      </c>
      <c r="I760" s="10" t="s">
        <v>18</v>
      </c>
    </row>
    <row r="761" spans="1:9" x14ac:dyDescent="0.2">
      <c r="A761" s="10" t="s">
        <v>1535</v>
      </c>
      <c r="B761" s="10">
        <v>42.3566848936754</v>
      </c>
      <c r="C761" s="10">
        <v>7.3475351032980898</v>
      </c>
      <c r="D761" s="10">
        <v>1.5254408482989199</v>
      </c>
      <c r="E761" s="10">
        <v>4.8166634002830104</v>
      </c>
      <c r="F761" s="4">
        <v>1.4597863023682701E-6</v>
      </c>
      <c r="G761" s="4">
        <v>1.2159827997746299E-5</v>
      </c>
      <c r="H761" s="10" t="s">
        <v>1536</v>
      </c>
      <c r="I761" s="10" t="s">
        <v>18</v>
      </c>
    </row>
    <row r="762" spans="1:9" x14ac:dyDescent="0.2">
      <c r="A762" s="10" t="s">
        <v>1537</v>
      </c>
      <c r="B762" s="10">
        <v>332.57202432197403</v>
      </c>
      <c r="C762" s="10">
        <v>-2.6662966980332001</v>
      </c>
      <c r="D762" s="10">
        <v>0.26042779009919098</v>
      </c>
      <c r="E762" s="10">
        <v>-10.238142008645401</v>
      </c>
      <c r="F762" s="4">
        <v>1.3378075582193199E-24</v>
      </c>
      <c r="G762" s="4">
        <v>7.2323893926194002E-23</v>
      </c>
      <c r="H762" s="10" t="s">
        <v>1538</v>
      </c>
      <c r="I762" s="10" t="s">
        <v>18</v>
      </c>
    </row>
    <row r="763" spans="1:9" x14ac:dyDescent="0.2">
      <c r="A763" s="10" t="s">
        <v>1539</v>
      </c>
      <c r="B763" s="10">
        <v>5.3206525851812003</v>
      </c>
      <c r="C763" s="10">
        <v>5.8053769265941</v>
      </c>
      <c r="D763" s="10">
        <v>2.0076052546962599</v>
      </c>
      <c r="E763" s="10">
        <v>2.89169243456301</v>
      </c>
      <c r="F763" s="10">
        <v>3.8317285447488402E-3</v>
      </c>
      <c r="G763" s="10">
        <v>1.41314439169967E-2</v>
      </c>
      <c r="H763" s="10" t="s">
        <v>1540</v>
      </c>
      <c r="I763" s="10" t="s">
        <v>18</v>
      </c>
    </row>
    <row r="764" spans="1:9" x14ac:dyDescent="0.2">
      <c r="A764" s="10" t="s">
        <v>1541</v>
      </c>
      <c r="B764" s="10">
        <v>8.8083593974150691</v>
      </c>
      <c r="C764" s="10">
        <v>6.5347051393384996</v>
      </c>
      <c r="D764" s="10">
        <v>1.8011923100001801</v>
      </c>
      <c r="E764" s="10">
        <v>3.6279885845936302</v>
      </c>
      <c r="F764" s="10">
        <v>2.85637887042486E-4</v>
      </c>
      <c r="G764" s="10">
        <v>1.45936161789736E-3</v>
      </c>
      <c r="H764" s="10" t="s">
        <v>1542</v>
      </c>
      <c r="I764" s="10" t="s">
        <v>18</v>
      </c>
    </row>
    <row r="765" spans="1:9" x14ac:dyDescent="0.2">
      <c r="A765" s="10" t="s">
        <v>1543</v>
      </c>
      <c r="B765" s="10">
        <v>11.963911685642501</v>
      </c>
      <c r="C765" s="10">
        <v>6.9757864163661001</v>
      </c>
      <c r="D765" s="10">
        <v>1.71663427221734</v>
      </c>
      <c r="E765" s="10">
        <v>4.0636415859014896</v>
      </c>
      <c r="F765" s="4">
        <v>4.83129936373076E-5</v>
      </c>
      <c r="G765" s="10">
        <v>2.9715217553853799E-4</v>
      </c>
      <c r="H765" s="10" t="s">
        <v>1544</v>
      </c>
      <c r="I765" s="10" t="s">
        <v>18</v>
      </c>
    </row>
    <row r="766" spans="1:9" x14ac:dyDescent="0.2">
      <c r="A766" s="10" t="s">
        <v>1545</v>
      </c>
      <c r="B766" s="10">
        <v>4.0372899650807801</v>
      </c>
      <c r="C766" s="10">
        <v>5.4095356733146298</v>
      </c>
      <c r="D766" s="10">
        <v>2.1467512296701501</v>
      </c>
      <c r="E766" s="10">
        <v>2.5198707696307201</v>
      </c>
      <c r="F766" s="10">
        <v>1.17397926988685E-2</v>
      </c>
      <c r="G766" s="10">
        <v>3.6345203007166198E-2</v>
      </c>
      <c r="H766" s="10" t="s">
        <v>1546</v>
      </c>
      <c r="I766" s="10" t="s">
        <v>18</v>
      </c>
    </row>
    <row r="767" spans="1:9" x14ac:dyDescent="0.2">
      <c r="A767" s="10" t="s">
        <v>1547</v>
      </c>
      <c r="B767" s="10">
        <v>20.690495505295999</v>
      </c>
      <c r="C767" s="10">
        <v>2.1103063040524401</v>
      </c>
      <c r="D767" s="10">
        <v>0.81213331214038498</v>
      </c>
      <c r="E767" s="10">
        <v>2.59847277842933</v>
      </c>
      <c r="F767" s="10">
        <v>9.3639469181973096E-3</v>
      </c>
      <c r="G767" s="10">
        <v>3.00623850218124E-2</v>
      </c>
      <c r="H767" s="10" t="s">
        <v>1548</v>
      </c>
      <c r="I767" s="10" t="s">
        <v>18</v>
      </c>
    </row>
    <row r="768" spans="1:9" x14ac:dyDescent="0.2">
      <c r="A768" s="10" t="s">
        <v>1549</v>
      </c>
      <c r="B768" s="10">
        <v>2310.2562587409998</v>
      </c>
      <c r="C768" s="10">
        <v>-2.0038556043362101</v>
      </c>
      <c r="D768" s="10">
        <v>0.19521400672917399</v>
      </c>
      <c r="E768" s="10">
        <v>-10.2649171435542</v>
      </c>
      <c r="F768" s="4">
        <v>1.0140799099660199E-24</v>
      </c>
      <c r="G768" s="4">
        <v>5.5483203427397904E-23</v>
      </c>
      <c r="H768" s="10" t="s">
        <v>1550</v>
      </c>
      <c r="I768" s="10" t="s">
        <v>18</v>
      </c>
    </row>
    <row r="769" spans="1:9" x14ac:dyDescent="0.2">
      <c r="A769" s="10" t="s">
        <v>1551</v>
      </c>
      <c r="B769" s="10">
        <v>106.230193909671</v>
      </c>
      <c r="C769" s="10">
        <v>2.7976971646019702</v>
      </c>
      <c r="D769" s="10">
        <v>0.43224472182423102</v>
      </c>
      <c r="E769" s="10">
        <v>6.4724842741738096</v>
      </c>
      <c r="F769" s="4">
        <v>9.6404557329459496E-11</v>
      </c>
      <c r="G769" s="4">
        <v>1.5044301108566901E-9</v>
      </c>
      <c r="H769" s="10" t="s">
        <v>1552</v>
      </c>
      <c r="I769" s="10" t="s">
        <v>18</v>
      </c>
    </row>
    <row r="770" spans="1:9" x14ac:dyDescent="0.2">
      <c r="A770" s="10" t="s">
        <v>1553</v>
      </c>
      <c r="B770" s="10">
        <v>332.12024120121498</v>
      </c>
      <c r="C770" s="10">
        <v>1.0584714845820999</v>
      </c>
      <c r="D770" s="10">
        <v>0.25172960688019902</v>
      </c>
      <c r="E770" s="10">
        <v>4.2047953663465503</v>
      </c>
      <c r="F770" s="4">
        <v>2.6131847727798899E-5</v>
      </c>
      <c r="G770" s="10">
        <v>1.69458567674684E-4</v>
      </c>
      <c r="H770" s="10" t="s">
        <v>1554</v>
      </c>
      <c r="I770" s="10" t="s">
        <v>18</v>
      </c>
    </row>
    <row r="771" spans="1:9" x14ac:dyDescent="0.2">
      <c r="A771" s="10" t="s">
        <v>1555</v>
      </c>
      <c r="B771" s="10">
        <v>30.869880151266301</v>
      </c>
      <c r="C771" s="10">
        <v>6.8875580798481497</v>
      </c>
      <c r="D771" s="10">
        <v>1.5526883880870801</v>
      </c>
      <c r="E771" s="10">
        <v>4.4358920519355802</v>
      </c>
      <c r="F771" s="4">
        <v>9.1691789977470307E-6</v>
      </c>
      <c r="G771" s="4">
        <v>6.5832047470780903E-5</v>
      </c>
      <c r="H771" s="10" t="s">
        <v>1556</v>
      </c>
      <c r="I771" s="10" t="s">
        <v>18</v>
      </c>
    </row>
    <row r="772" spans="1:9" x14ac:dyDescent="0.2">
      <c r="A772" s="10" t="s">
        <v>1557</v>
      </c>
      <c r="B772" s="10">
        <v>4.0372899650807801</v>
      </c>
      <c r="C772" s="10">
        <v>5.4095356733146298</v>
      </c>
      <c r="D772" s="10">
        <v>2.1467512296701501</v>
      </c>
      <c r="E772" s="10">
        <v>2.5198707696307201</v>
      </c>
      <c r="F772" s="10">
        <v>1.17397926988685E-2</v>
      </c>
      <c r="G772" s="10">
        <v>3.6345203007166198E-2</v>
      </c>
      <c r="H772" s="10" t="s">
        <v>1558</v>
      </c>
      <c r="I772" s="10" t="s">
        <v>18</v>
      </c>
    </row>
    <row r="773" spans="1:9" x14ac:dyDescent="0.2">
      <c r="A773" s="10" t="s">
        <v>1559</v>
      </c>
      <c r="B773" s="10">
        <v>14.8776147105193</v>
      </c>
      <c r="C773" s="10">
        <v>3.73861151785816</v>
      </c>
      <c r="D773" s="10">
        <v>1.0899720504783601</v>
      </c>
      <c r="E773" s="10">
        <v>3.4300067751437999</v>
      </c>
      <c r="F773" s="10">
        <v>6.0356617835997299E-4</v>
      </c>
      <c r="G773" s="10">
        <v>2.8266358992392899E-3</v>
      </c>
      <c r="H773" s="10" t="s">
        <v>1560</v>
      </c>
      <c r="I773" s="10" t="s">
        <v>18</v>
      </c>
    </row>
    <row r="774" spans="1:9" x14ac:dyDescent="0.2">
      <c r="A774" s="10" t="s">
        <v>1561</v>
      </c>
      <c r="B774" s="10">
        <v>4.9160218515612604</v>
      </c>
      <c r="C774" s="10">
        <v>5.6893237459326498</v>
      </c>
      <c r="D774" s="10">
        <v>2.0655895965157098</v>
      </c>
      <c r="E774" s="10">
        <v>2.7543340436694499</v>
      </c>
      <c r="F774" s="10">
        <v>5.8811707954730102E-3</v>
      </c>
      <c r="G774" s="10">
        <v>2.0353646724787601E-2</v>
      </c>
      <c r="H774" s="10" t="s">
        <v>1562</v>
      </c>
      <c r="I774" s="10" t="s">
        <v>18</v>
      </c>
    </row>
    <row r="775" spans="1:9" x14ac:dyDescent="0.2">
      <c r="A775" s="10" t="s">
        <v>1563</v>
      </c>
      <c r="B775" s="10">
        <v>386.02692110024202</v>
      </c>
      <c r="C775" s="10">
        <v>-2.3553158453794598</v>
      </c>
      <c r="D775" s="10">
        <v>0.26202634637835598</v>
      </c>
      <c r="E775" s="10">
        <v>-8.9888512278779409</v>
      </c>
      <c r="F775" s="4">
        <v>2.4982793906602E-19</v>
      </c>
      <c r="G775" s="4">
        <v>8.9921556878888196E-18</v>
      </c>
      <c r="H775" s="10" t="s">
        <v>1564</v>
      </c>
      <c r="I775" s="10" t="s">
        <v>18</v>
      </c>
    </row>
    <row r="776" spans="1:9" x14ac:dyDescent="0.2">
      <c r="A776" s="10" t="s">
        <v>1565</v>
      </c>
      <c r="B776" s="10">
        <v>19.2650570550419</v>
      </c>
      <c r="C776" s="10">
        <v>-2.0204092258842499</v>
      </c>
      <c r="D776" s="10">
        <v>0.79865856242699396</v>
      </c>
      <c r="E776" s="10">
        <v>-2.5297534152073098</v>
      </c>
      <c r="F776" s="10">
        <v>1.1414271367425901E-2</v>
      </c>
      <c r="G776" s="10">
        <v>3.55393271566967E-2</v>
      </c>
      <c r="H776" s="10" t="s">
        <v>1566</v>
      </c>
      <c r="I776" s="10" t="s">
        <v>18</v>
      </c>
    </row>
    <row r="777" spans="1:9" x14ac:dyDescent="0.2">
      <c r="A777" s="10" t="s">
        <v>1567</v>
      </c>
      <c r="B777" s="10">
        <v>7.93839582194828</v>
      </c>
      <c r="C777" s="10">
        <v>3.8336759828679901</v>
      </c>
      <c r="D777" s="10">
        <v>1.5196156452071601</v>
      </c>
      <c r="E777" s="10">
        <v>2.5227931779718999</v>
      </c>
      <c r="F777" s="10">
        <v>1.1642685411527199E-2</v>
      </c>
      <c r="G777" s="10">
        <v>3.6114327118383603E-2</v>
      </c>
      <c r="H777" s="10" t="s">
        <v>1568</v>
      </c>
      <c r="I777" s="10" t="s">
        <v>18</v>
      </c>
    </row>
    <row r="778" spans="1:9" x14ac:dyDescent="0.2">
      <c r="A778" s="10" t="s">
        <v>1569</v>
      </c>
      <c r="B778" s="10">
        <v>15.686708278796701</v>
      </c>
      <c r="C778" s="10">
        <v>4.2563060539652904</v>
      </c>
      <c r="D778" s="10">
        <v>1.17714440331558</v>
      </c>
      <c r="E778" s="10">
        <v>3.6157892285575599</v>
      </c>
      <c r="F778" s="10">
        <v>2.9943394104752798E-4</v>
      </c>
      <c r="G778" s="10">
        <v>1.5201558769744701E-3</v>
      </c>
      <c r="H778" s="10" t="s">
        <v>1570</v>
      </c>
      <c r="I778" s="10" t="s">
        <v>18</v>
      </c>
    </row>
    <row r="779" spans="1:9" x14ac:dyDescent="0.2">
      <c r="A779" s="10" t="s">
        <v>1571</v>
      </c>
      <c r="B779" s="10">
        <v>13.144447042015999</v>
      </c>
      <c r="C779" s="10">
        <v>5.63824171208653</v>
      </c>
      <c r="D779" s="10">
        <v>1.6803036899295001</v>
      </c>
      <c r="E779" s="10">
        <v>3.3554896926537601</v>
      </c>
      <c r="F779" s="10">
        <v>7.92246087438954E-4</v>
      </c>
      <c r="G779" s="10">
        <v>3.6019237684714101E-3</v>
      </c>
      <c r="H779" s="10" t="s">
        <v>1572</v>
      </c>
      <c r="I779" s="10" t="s">
        <v>18</v>
      </c>
    </row>
    <row r="780" spans="1:9" x14ac:dyDescent="0.2">
      <c r="A780" s="10" t="s">
        <v>1573</v>
      </c>
      <c r="B780" s="10">
        <v>6.7882115196882298</v>
      </c>
      <c r="C780" s="10">
        <v>6.1565191295862496</v>
      </c>
      <c r="D780" s="10">
        <v>1.90393892797984</v>
      </c>
      <c r="E780" s="10">
        <v>3.2335696482232099</v>
      </c>
      <c r="F780" s="10">
        <v>1.22253522584566E-3</v>
      </c>
      <c r="G780" s="10">
        <v>5.2598164059082103E-3</v>
      </c>
      <c r="H780" s="10" t="s">
        <v>1574</v>
      </c>
      <c r="I780" s="10" t="s">
        <v>18</v>
      </c>
    </row>
    <row r="781" spans="1:9" x14ac:dyDescent="0.2">
      <c r="A781" s="10" t="s">
        <v>1575</v>
      </c>
      <c r="B781" s="10">
        <v>26.610628851707201</v>
      </c>
      <c r="C781" s="10">
        <v>1.8871690950897999</v>
      </c>
      <c r="D781" s="10">
        <v>0.69175577590163895</v>
      </c>
      <c r="E781" s="10">
        <v>2.7280857794502</v>
      </c>
      <c r="F781" s="10">
        <v>6.3703040172924802E-3</v>
      </c>
      <c r="G781" s="10">
        <v>2.1775395001777501E-2</v>
      </c>
      <c r="H781" s="10" t="s">
        <v>1576</v>
      </c>
      <c r="I781" s="10" t="s">
        <v>18</v>
      </c>
    </row>
    <row r="782" spans="1:9" x14ac:dyDescent="0.2">
      <c r="A782" s="10" t="s">
        <v>1577</v>
      </c>
      <c r="B782" s="10">
        <v>543.36484101799101</v>
      </c>
      <c r="C782" s="10">
        <v>-1.4149269301317899</v>
      </c>
      <c r="D782" s="10">
        <v>0.23019974933749701</v>
      </c>
      <c r="E782" s="10">
        <v>-6.14651811830322</v>
      </c>
      <c r="F782" s="4">
        <v>7.9202279404169695E-10</v>
      </c>
      <c r="G782" s="4">
        <v>1.0932241676420499E-8</v>
      </c>
      <c r="H782" s="10" t="s">
        <v>1578</v>
      </c>
      <c r="I782" s="10" t="s">
        <v>18</v>
      </c>
    </row>
    <row r="783" spans="1:9" x14ac:dyDescent="0.2">
      <c r="A783" s="10" t="s">
        <v>1579</v>
      </c>
      <c r="B783" s="10">
        <v>437.63456226242897</v>
      </c>
      <c r="C783" s="10">
        <v>5.0113786478097602</v>
      </c>
      <c r="D783" s="10">
        <v>0.30735435443465298</v>
      </c>
      <c r="E783" s="10">
        <v>16.304889049083702</v>
      </c>
      <c r="F783" s="4">
        <v>9.1104214849802804E-60</v>
      </c>
      <c r="G783" s="4">
        <v>2.61296478106587E-57</v>
      </c>
      <c r="H783" s="10" t="s">
        <v>1580</v>
      </c>
      <c r="I783" s="10" t="s">
        <v>18</v>
      </c>
    </row>
    <row r="784" spans="1:9" x14ac:dyDescent="0.2">
      <c r="A784" s="10" t="s">
        <v>1581</v>
      </c>
      <c r="B784" s="10">
        <v>237.33979553903501</v>
      </c>
      <c r="C784" s="10">
        <v>6.36837261964377</v>
      </c>
      <c r="D784" s="10">
        <v>0.50986273386841197</v>
      </c>
      <c r="E784" s="10">
        <v>12.490366909787401</v>
      </c>
      <c r="F784" s="4">
        <v>8.4264136782001993E-36</v>
      </c>
      <c r="G784" s="4">
        <v>9.3331094914601894E-34</v>
      </c>
      <c r="H784" s="10" t="s">
        <v>1582</v>
      </c>
      <c r="I784" s="10" t="s">
        <v>18</v>
      </c>
    </row>
    <row r="785" spans="1:9" x14ac:dyDescent="0.2">
      <c r="A785" s="10" t="s">
        <v>1583</v>
      </c>
      <c r="B785" s="10">
        <v>2197.0599981802702</v>
      </c>
      <c r="C785" s="10">
        <v>-1.1597048977279001</v>
      </c>
      <c r="D785" s="10">
        <v>0.20544177358212301</v>
      </c>
      <c r="E785" s="10">
        <v>-5.6449322720839898</v>
      </c>
      <c r="F785" s="4">
        <v>1.6524628750889501E-8</v>
      </c>
      <c r="G785" s="4">
        <v>1.9054022834341399E-7</v>
      </c>
      <c r="H785" s="10" t="s">
        <v>1584</v>
      </c>
      <c r="I785" s="10" t="s">
        <v>18</v>
      </c>
    </row>
    <row r="786" spans="1:9" x14ac:dyDescent="0.2">
      <c r="A786" s="10" t="s">
        <v>1585</v>
      </c>
      <c r="B786" s="10">
        <v>15.9257196507369</v>
      </c>
      <c r="C786" s="10">
        <v>7.3874326880881798</v>
      </c>
      <c r="D786" s="10">
        <v>1.6598800041223101</v>
      </c>
      <c r="E786" s="10">
        <v>4.4505823732688397</v>
      </c>
      <c r="F786" s="4">
        <v>8.5637737119496104E-6</v>
      </c>
      <c r="G786" s="4">
        <v>6.1827541687729505E-5</v>
      </c>
      <c r="H786" s="10" t="s">
        <v>1586</v>
      </c>
      <c r="I786" s="10" t="s">
        <v>18</v>
      </c>
    </row>
    <row r="787" spans="1:9" x14ac:dyDescent="0.2">
      <c r="A787" s="10" t="s">
        <v>1587</v>
      </c>
      <c r="B787" s="10">
        <v>26.947440611404101</v>
      </c>
      <c r="C787" s="10">
        <v>8.1508923901166206</v>
      </c>
      <c r="D787" s="10">
        <v>1.5843993838395101</v>
      </c>
      <c r="E787" s="10">
        <v>5.1444682907944399</v>
      </c>
      <c r="F787" s="4">
        <v>2.68279560279713E-7</v>
      </c>
      <c r="G787" s="4">
        <v>2.52847221685968E-6</v>
      </c>
      <c r="H787" s="10" t="s">
        <v>1588</v>
      </c>
      <c r="I787" s="10" t="s">
        <v>18</v>
      </c>
    </row>
    <row r="788" spans="1:9" x14ac:dyDescent="0.2">
      <c r="A788" s="10" t="s">
        <v>1589</v>
      </c>
      <c r="B788" s="10">
        <v>4807.4101865293496</v>
      </c>
      <c r="C788" s="10">
        <v>2.6524175415403501</v>
      </c>
      <c r="D788" s="10">
        <v>0.213992093837056</v>
      </c>
      <c r="E788" s="10">
        <v>12.3949324200735</v>
      </c>
      <c r="F788" s="4">
        <v>2.7838031812614401E-35</v>
      </c>
      <c r="G788" s="4">
        <v>2.93993353797793E-33</v>
      </c>
      <c r="H788" s="10" t="s">
        <v>1590</v>
      </c>
      <c r="I788" s="10" t="s">
        <v>18</v>
      </c>
    </row>
    <row r="789" spans="1:9" x14ac:dyDescent="0.2">
      <c r="A789" s="10" t="s">
        <v>1591</v>
      </c>
      <c r="B789" s="10">
        <v>1756.1954093158399</v>
      </c>
      <c r="C789" s="10">
        <v>-1.5050632271333599</v>
      </c>
      <c r="D789" s="10">
        <v>0.21895667796842899</v>
      </c>
      <c r="E789" s="10">
        <v>-6.8737945839239103</v>
      </c>
      <c r="F789" s="4">
        <v>6.2516212720117203E-12</v>
      </c>
      <c r="G789" s="4">
        <v>1.12286041396509E-10</v>
      </c>
      <c r="H789" s="10" t="s">
        <v>1592</v>
      </c>
      <c r="I789" s="10" t="s">
        <v>18</v>
      </c>
    </row>
    <row r="790" spans="1:9" x14ac:dyDescent="0.2">
      <c r="A790" s="10" t="s">
        <v>1593</v>
      </c>
      <c r="B790" s="10">
        <v>1765.5321494709401</v>
      </c>
      <c r="C790" s="10">
        <v>1.0677939656333399</v>
      </c>
      <c r="D790" s="10">
        <v>0.20177987961374599</v>
      </c>
      <c r="E790" s="10">
        <v>5.29187532313603</v>
      </c>
      <c r="F790" s="4">
        <v>1.2106842083875899E-7</v>
      </c>
      <c r="G790" s="4">
        <v>1.2141152972372701E-6</v>
      </c>
      <c r="H790" s="10" t="s">
        <v>1594</v>
      </c>
      <c r="I790" s="10" t="s">
        <v>18</v>
      </c>
    </row>
    <row r="791" spans="1:9" x14ac:dyDescent="0.2">
      <c r="A791" s="10" t="s">
        <v>1595</v>
      </c>
      <c r="B791" s="10">
        <v>7.23797319918111</v>
      </c>
      <c r="C791" s="10">
        <v>4.7555340719592403</v>
      </c>
      <c r="D791" s="10">
        <v>1.8527099862123999</v>
      </c>
      <c r="E791" s="10">
        <v>2.5667989633289898</v>
      </c>
      <c r="F791" s="10">
        <v>1.0264210160871199E-2</v>
      </c>
      <c r="G791" s="10">
        <v>3.2522247703915402E-2</v>
      </c>
      <c r="H791" s="10" t="s">
        <v>1596</v>
      </c>
      <c r="I791" s="10" t="s">
        <v>18</v>
      </c>
    </row>
    <row r="792" spans="1:9" x14ac:dyDescent="0.2">
      <c r="A792" s="10" t="s">
        <v>1597</v>
      </c>
      <c r="B792" s="10">
        <v>249.705158835558</v>
      </c>
      <c r="C792" s="10">
        <v>-2.76490664064251</v>
      </c>
      <c r="D792" s="10">
        <v>0.29162395420731502</v>
      </c>
      <c r="E792" s="10">
        <v>-9.4810683441900494</v>
      </c>
      <c r="F792" s="4">
        <v>2.5169280663596501E-21</v>
      </c>
      <c r="G792" s="4">
        <v>1.0885514130809699E-19</v>
      </c>
      <c r="H792" s="10" t="s">
        <v>1598</v>
      </c>
      <c r="I792" s="10" t="s">
        <v>18</v>
      </c>
    </row>
    <row r="793" spans="1:9" x14ac:dyDescent="0.2">
      <c r="A793" s="10" t="s">
        <v>1599</v>
      </c>
      <c r="B793" s="10">
        <v>94.745006571995901</v>
      </c>
      <c r="C793" s="10">
        <v>2.7319216798820798</v>
      </c>
      <c r="D793" s="10">
        <v>0.41782669195980798</v>
      </c>
      <c r="E793" s="10">
        <v>6.5384087049778001</v>
      </c>
      <c r="F793" s="4">
        <v>6.2176820601498895E-11</v>
      </c>
      <c r="G793" s="4">
        <v>1.00066853569347E-9</v>
      </c>
      <c r="H793" s="10" t="s">
        <v>1600</v>
      </c>
      <c r="I793" s="10" t="s">
        <v>18</v>
      </c>
    </row>
    <row r="794" spans="1:9" x14ac:dyDescent="0.2">
      <c r="A794" s="10" t="s">
        <v>1601</v>
      </c>
      <c r="B794" s="10">
        <v>1434.8923951430099</v>
      </c>
      <c r="C794" s="10">
        <v>-1.8069926674071299</v>
      </c>
      <c r="D794" s="10">
        <v>0.22123123376963</v>
      </c>
      <c r="E794" s="10">
        <v>-8.1678912901094698</v>
      </c>
      <c r="F794" s="4">
        <v>3.1382650863020501E-16</v>
      </c>
      <c r="G794" s="4">
        <v>8.7342501334496393E-15</v>
      </c>
      <c r="H794" s="10" t="s">
        <v>1602</v>
      </c>
      <c r="I794" s="10" t="s">
        <v>18</v>
      </c>
    </row>
    <row r="795" spans="1:9" x14ac:dyDescent="0.2">
      <c r="A795" s="10" t="s">
        <v>1603</v>
      </c>
      <c r="B795" s="10">
        <v>669.86328132643996</v>
      </c>
      <c r="C795" s="10">
        <v>-1.3742538394050801</v>
      </c>
      <c r="D795" s="10">
        <v>0.23974656526465901</v>
      </c>
      <c r="E795" s="10">
        <v>-5.7321106472913401</v>
      </c>
      <c r="F795" s="4">
        <v>9.9188529746222002E-9</v>
      </c>
      <c r="G795" s="4">
        <v>1.17708618031155E-7</v>
      </c>
      <c r="H795" s="10" t="s">
        <v>1604</v>
      </c>
      <c r="I795" s="10" t="s">
        <v>18</v>
      </c>
    </row>
    <row r="796" spans="1:9" x14ac:dyDescent="0.2">
      <c r="A796" s="10" t="s">
        <v>1605</v>
      </c>
      <c r="B796" s="10">
        <v>1444.05790437989</v>
      </c>
      <c r="C796" s="10">
        <v>-1.1023538015210801</v>
      </c>
      <c r="D796" s="10">
        <v>0.208998360926479</v>
      </c>
      <c r="E796" s="10">
        <v>-5.2744614677091297</v>
      </c>
      <c r="F796" s="4">
        <v>1.33146488792454E-7</v>
      </c>
      <c r="G796" s="4">
        <v>1.3274212880087801E-6</v>
      </c>
      <c r="H796" s="10" t="s">
        <v>1606</v>
      </c>
      <c r="I796" s="10" t="s">
        <v>18</v>
      </c>
    </row>
    <row r="797" spans="1:9" x14ac:dyDescent="0.2">
      <c r="A797" s="10" t="s">
        <v>1607</v>
      </c>
      <c r="B797" s="10">
        <v>2314.27306329982</v>
      </c>
      <c r="C797" s="10">
        <v>-1.01978453878658</v>
      </c>
      <c r="D797" s="10">
        <v>0.21258750567047499</v>
      </c>
      <c r="E797" s="10">
        <v>-4.7970106971729596</v>
      </c>
      <c r="F797" s="4">
        <v>1.6105100389290099E-6</v>
      </c>
      <c r="G797" s="4">
        <v>1.32974445547572E-5</v>
      </c>
      <c r="H797" s="10" t="s">
        <v>1608</v>
      </c>
      <c r="I797" s="10" t="s">
        <v>18</v>
      </c>
    </row>
    <row r="798" spans="1:9" x14ac:dyDescent="0.2">
      <c r="A798" s="10" t="s">
        <v>1609</v>
      </c>
      <c r="B798" s="10">
        <v>2577.6840853376598</v>
      </c>
      <c r="C798" s="10">
        <v>-1.6864273928532501</v>
      </c>
      <c r="D798" s="10">
        <v>0.19453658462757101</v>
      </c>
      <c r="E798" s="10">
        <v>-8.6689472629624902</v>
      </c>
      <c r="F798" s="4">
        <v>4.3613389398827503E-18</v>
      </c>
      <c r="G798" s="4">
        <v>1.41805969087095E-16</v>
      </c>
      <c r="H798" s="10" t="s">
        <v>1610</v>
      </c>
      <c r="I798" s="10" t="s">
        <v>18</v>
      </c>
    </row>
    <row r="799" spans="1:9" x14ac:dyDescent="0.2">
      <c r="A799" s="10" t="s">
        <v>1611</v>
      </c>
      <c r="B799" s="10">
        <v>1304.2231173329101</v>
      </c>
      <c r="C799" s="10">
        <v>-2.0845597294015201</v>
      </c>
      <c r="D799" s="10">
        <v>0.24159557615275601</v>
      </c>
      <c r="E799" s="10">
        <v>-8.6283025649587994</v>
      </c>
      <c r="F799" s="4">
        <v>6.2269174559536004E-18</v>
      </c>
      <c r="G799" s="4">
        <v>1.9960567049690301E-16</v>
      </c>
      <c r="H799" s="10" t="s">
        <v>1612</v>
      </c>
      <c r="I799" s="10" t="s">
        <v>18</v>
      </c>
    </row>
    <row r="800" spans="1:9" x14ac:dyDescent="0.2">
      <c r="A800" s="10" t="s">
        <v>1613</v>
      </c>
      <c r="B800" s="10">
        <v>7.2349674088082097</v>
      </c>
      <c r="C800" s="10">
        <v>4.7501499219081396</v>
      </c>
      <c r="D800" s="10">
        <v>1.8481518715646901</v>
      </c>
      <c r="E800" s="10">
        <v>2.57021622248313</v>
      </c>
      <c r="F800" s="10">
        <v>1.0163505726399199E-2</v>
      </c>
      <c r="G800" s="10">
        <v>3.2256848052090802E-2</v>
      </c>
      <c r="H800" s="10" t="s">
        <v>1614</v>
      </c>
      <c r="I800" s="10" t="s">
        <v>18</v>
      </c>
    </row>
    <row r="801" spans="1:9" x14ac:dyDescent="0.2">
      <c r="A801" s="10" t="s">
        <v>1615</v>
      </c>
      <c r="B801" s="10">
        <v>2474.8600719441702</v>
      </c>
      <c r="C801" s="10">
        <v>-1.5933134792324499</v>
      </c>
      <c r="D801" s="10">
        <v>0.17857336959616801</v>
      </c>
      <c r="E801" s="10">
        <v>-8.9224584989107001</v>
      </c>
      <c r="F801" s="4">
        <v>4.56049810205331E-19</v>
      </c>
      <c r="G801" s="4">
        <v>1.61167174820553E-17</v>
      </c>
      <c r="H801" s="10" t="s">
        <v>1616</v>
      </c>
      <c r="I801" s="10" t="s">
        <v>18</v>
      </c>
    </row>
    <row r="802" spans="1:9" x14ac:dyDescent="0.2">
      <c r="A802" s="10" t="s">
        <v>1617</v>
      </c>
      <c r="B802" s="10">
        <v>506.28698078005101</v>
      </c>
      <c r="C802" s="10">
        <v>5.2833328453466999</v>
      </c>
      <c r="D802" s="10">
        <v>0.31412533007219701</v>
      </c>
      <c r="E802" s="10">
        <v>16.8191875648245</v>
      </c>
      <c r="F802" s="4">
        <v>1.76563374564091E-63</v>
      </c>
      <c r="G802" s="4">
        <v>5.7961714057202199E-61</v>
      </c>
      <c r="H802" s="10" t="s">
        <v>1618</v>
      </c>
      <c r="I802" s="10" t="s">
        <v>18</v>
      </c>
    </row>
    <row r="803" spans="1:9" x14ac:dyDescent="0.2">
      <c r="A803" s="10" t="s">
        <v>1619</v>
      </c>
      <c r="B803" s="10">
        <v>813.00340542567403</v>
      </c>
      <c r="C803" s="10">
        <v>-1.2338018477922501</v>
      </c>
      <c r="D803" s="10">
        <v>0.206517896471718</v>
      </c>
      <c r="E803" s="10">
        <v>-5.9743095822265397</v>
      </c>
      <c r="F803" s="4">
        <v>2.3106664636030401E-9</v>
      </c>
      <c r="G803" s="4">
        <v>2.9795896419210599E-8</v>
      </c>
      <c r="H803" s="10" t="s">
        <v>1620</v>
      </c>
      <c r="I803" s="10" t="s">
        <v>18</v>
      </c>
    </row>
    <row r="804" spans="1:9" x14ac:dyDescent="0.2">
      <c r="A804" s="10" t="s">
        <v>1621</v>
      </c>
      <c r="B804" s="10">
        <v>1462.9583101412099</v>
      </c>
      <c r="C804" s="10">
        <v>1.54988894863316</v>
      </c>
      <c r="D804" s="10">
        <v>0.19642690844190999</v>
      </c>
      <c r="E804" s="10">
        <v>7.89041053961052</v>
      </c>
      <c r="F804" s="4">
        <v>3.0119405991472801E-15</v>
      </c>
      <c r="G804" s="4">
        <v>7.6913163547296994E-14</v>
      </c>
      <c r="H804" s="10" t="s">
        <v>1622</v>
      </c>
      <c r="I804" s="10" t="s">
        <v>18</v>
      </c>
    </row>
    <row r="805" spans="1:9" x14ac:dyDescent="0.2">
      <c r="A805" s="10" t="s">
        <v>1623</v>
      </c>
      <c r="B805" s="10">
        <v>29.2319351784021</v>
      </c>
      <c r="C805" s="10">
        <v>-2.9377537403771101</v>
      </c>
      <c r="D805" s="10">
        <v>0.712839671490336</v>
      </c>
      <c r="E805" s="10">
        <v>-4.1211984375605004</v>
      </c>
      <c r="F805" s="4">
        <v>3.7690659821878098E-5</v>
      </c>
      <c r="G805" s="10">
        <v>2.3652879684032699E-4</v>
      </c>
      <c r="H805" s="10" t="s">
        <v>1624</v>
      </c>
      <c r="I805" s="10" t="s">
        <v>18</v>
      </c>
    </row>
    <row r="806" spans="1:9" x14ac:dyDescent="0.2">
      <c r="A806" s="10" t="s">
        <v>1625</v>
      </c>
      <c r="B806" s="10">
        <v>270.858732977361</v>
      </c>
      <c r="C806" s="10">
        <v>-1.1840811412412799</v>
      </c>
      <c r="D806" s="10">
        <v>0.31501277046526799</v>
      </c>
      <c r="E806" s="10">
        <v>-3.7588353624280599</v>
      </c>
      <c r="F806" s="10">
        <v>1.7070611597377899E-4</v>
      </c>
      <c r="G806" s="10">
        <v>9.2451392207067596E-4</v>
      </c>
      <c r="H806" s="10" t="s">
        <v>1626</v>
      </c>
      <c r="I806" s="10" t="s">
        <v>18</v>
      </c>
    </row>
    <row r="807" spans="1:9" x14ac:dyDescent="0.2">
      <c r="A807" s="10" t="s">
        <v>1627</v>
      </c>
      <c r="B807" s="10">
        <v>323.69580142393301</v>
      </c>
      <c r="C807" s="10">
        <v>-1.0860370780042501</v>
      </c>
      <c r="D807" s="10">
        <v>0.25727643978491999</v>
      </c>
      <c r="E807" s="10">
        <v>-4.2212846186466502</v>
      </c>
      <c r="F807" s="4">
        <v>2.4291398886726701E-5</v>
      </c>
      <c r="G807" s="10">
        <v>1.5856917716019201E-4</v>
      </c>
      <c r="H807" s="10" t="s">
        <v>1628</v>
      </c>
      <c r="I807" s="10" t="s">
        <v>18</v>
      </c>
    </row>
    <row r="808" spans="1:9" x14ac:dyDescent="0.2">
      <c r="A808" s="10" t="s">
        <v>1629</v>
      </c>
      <c r="B808" s="10">
        <v>734.97865582157999</v>
      </c>
      <c r="C808" s="10">
        <v>-1.45971362294704</v>
      </c>
      <c r="D808" s="10">
        <v>0.24148029489941</v>
      </c>
      <c r="E808" s="10">
        <v>-6.04485605566739</v>
      </c>
      <c r="F808" s="4">
        <v>1.4954345363446099E-9</v>
      </c>
      <c r="G808" s="4">
        <v>1.9845241834868599E-8</v>
      </c>
      <c r="H808" s="10" t="s">
        <v>1630</v>
      </c>
      <c r="I808" s="10" t="s">
        <v>18</v>
      </c>
    </row>
    <row r="809" spans="1:9" x14ac:dyDescent="0.2">
      <c r="A809" s="10" t="s">
        <v>1631</v>
      </c>
      <c r="B809" s="10">
        <v>677.38399390178802</v>
      </c>
      <c r="C809" s="10">
        <v>-1.51554529210011</v>
      </c>
      <c r="D809" s="10">
        <v>0.233636975942903</v>
      </c>
      <c r="E809" s="10">
        <v>-6.4867527324548497</v>
      </c>
      <c r="F809" s="4">
        <v>8.7706101290591604E-11</v>
      </c>
      <c r="G809" s="4">
        <v>1.37577901086053E-9</v>
      </c>
      <c r="H809" s="10" t="s">
        <v>1632</v>
      </c>
      <c r="I809" s="10" t="s">
        <v>18</v>
      </c>
    </row>
    <row r="810" spans="1:9" x14ac:dyDescent="0.2">
      <c r="A810" s="10" t="s">
        <v>1633</v>
      </c>
      <c r="B810" s="10">
        <v>4797.9901151885397</v>
      </c>
      <c r="C810" s="10">
        <v>-1.36427417930631</v>
      </c>
      <c r="D810" s="10">
        <v>0.211458462023705</v>
      </c>
      <c r="E810" s="10">
        <v>-6.4517360348216704</v>
      </c>
      <c r="F810" s="4">
        <v>1.1057605900676801E-10</v>
      </c>
      <c r="G810" s="4">
        <v>1.70894264308418E-9</v>
      </c>
      <c r="H810" s="10" t="s">
        <v>1634</v>
      </c>
      <c r="I810" s="10" t="s">
        <v>18</v>
      </c>
    </row>
    <row r="811" spans="1:9" x14ac:dyDescent="0.2">
      <c r="A811" s="10" t="s">
        <v>1635</v>
      </c>
      <c r="B811" s="10">
        <v>630.16153117730698</v>
      </c>
      <c r="C811" s="10">
        <v>4.5505804915726999</v>
      </c>
      <c r="D811" s="10">
        <v>0.25747412994766899</v>
      </c>
      <c r="E811" s="10">
        <v>17.673932882102001</v>
      </c>
      <c r="F811" s="4">
        <v>6.65884758068535E-70</v>
      </c>
      <c r="G811" s="4">
        <v>2.9743216398513702E-67</v>
      </c>
      <c r="H811" s="10" t="s">
        <v>1636</v>
      </c>
      <c r="I811" s="10" t="s">
        <v>18</v>
      </c>
    </row>
    <row r="812" spans="1:9" x14ac:dyDescent="0.2">
      <c r="A812" s="10" t="s">
        <v>1637</v>
      </c>
      <c r="B812" s="10">
        <v>19.491957622240001</v>
      </c>
      <c r="C812" s="10">
        <v>5.1998419316881197</v>
      </c>
      <c r="D812" s="10">
        <v>1.24566406316084</v>
      </c>
      <c r="E812" s="10">
        <v>4.1743533312614396</v>
      </c>
      <c r="F812" s="4">
        <v>2.9883366392363601E-5</v>
      </c>
      <c r="G812" s="10">
        <v>1.9176450402560801E-4</v>
      </c>
      <c r="H812" s="10" t="s">
        <v>1638</v>
      </c>
      <c r="I812" s="10" t="s">
        <v>18</v>
      </c>
    </row>
    <row r="813" spans="1:9" x14ac:dyDescent="0.2">
      <c r="A813" s="10" t="s">
        <v>1639</v>
      </c>
      <c r="B813" s="10">
        <v>7.2683242532945602</v>
      </c>
      <c r="C813" s="10">
        <v>6.2594851785055603</v>
      </c>
      <c r="D813" s="10">
        <v>1.8703113788183201</v>
      </c>
      <c r="E813" s="10">
        <v>3.34676099894144</v>
      </c>
      <c r="F813" s="10">
        <v>8.1761670174386599E-4</v>
      </c>
      <c r="G813" s="10">
        <v>3.7005983841221098E-3</v>
      </c>
      <c r="H813" s="10" t="s">
        <v>1640</v>
      </c>
      <c r="I813" s="10" t="s">
        <v>18</v>
      </c>
    </row>
    <row r="814" spans="1:9" x14ac:dyDescent="0.2">
      <c r="A814" s="10" t="s">
        <v>1641</v>
      </c>
      <c r="B814" s="10">
        <v>19.5737492086648</v>
      </c>
      <c r="C814" s="10">
        <v>2.89662777820836</v>
      </c>
      <c r="D814" s="10">
        <v>0.86353298845964999</v>
      </c>
      <c r="E814" s="10">
        <v>3.3543915715082302</v>
      </c>
      <c r="F814" s="10">
        <v>7.9539718804055295E-4</v>
      </c>
      <c r="G814" s="10">
        <v>3.6126333026406002E-3</v>
      </c>
      <c r="H814" s="10" t="s">
        <v>1642</v>
      </c>
      <c r="I814" s="10" t="s">
        <v>18</v>
      </c>
    </row>
    <row r="815" spans="1:9" x14ac:dyDescent="0.2">
      <c r="A815" s="10" t="s">
        <v>1643</v>
      </c>
      <c r="B815" s="10">
        <v>665.05515119937195</v>
      </c>
      <c r="C815" s="10">
        <v>-1.93195398626662</v>
      </c>
      <c r="D815" s="10">
        <v>0.218820596061853</v>
      </c>
      <c r="E815" s="10">
        <v>-8.8289403330229508</v>
      </c>
      <c r="F815" s="4">
        <v>1.0567207232939301E-18</v>
      </c>
      <c r="G815" s="4">
        <v>3.6400087923627797E-17</v>
      </c>
      <c r="H815" s="10" t="s">
        <v>1644</v>
      </c>
      <c r="I815" s="10" t="s">
        <v>18</v>
      </c>
    </row>
    <row r="816" spans="1:9" x14ac:dyDescent="0.2">
      <c r="A816" s="10" t="s">
        <v>1645</v>
      </c>
      <c r="B816" s="10">
        <v>485.73279682671802</v>
      </c>
      <c r="C816" s="10">
        <v>-1.0404245932466001</v>
      </c>
      <c r="D816" s="10">
        <v>0.23108789879762501</v>
      </c>
      <c r="E816" s="10">
        <v>-4.50228938278482</v>
      </c>
      <c r="F816" s="4">
        <v>6.7225362063835101E-6</v>
      </c>
      <c r="G816" s="4">
        <v>4.9358378877750297E-5</v>
      </c>
      <c r="H816" s="10" t="s">
        <v>1646</v>
      </c>
      <c r="I816" s="10" t="s">
        <v>18</v>
      </c>
    </row>
    <row r="817" spans="1:9" x14ac:dyDescent="0.2">
      <c r="A817" s="10" t="s">
        <v>1647</v>
      </c>
      <c r="B817" s="10">
        <v>484.84327517632698</v>
      </c>
      <c r="C817" s="10">
        <v>8.8720336317755706</v>
      </c>
      <c r="D817" s="10">
        <v>0.75569499137250895</v>
      </c>
      <c r="E817" s="10">
        <v>11.7402308246903</v>
      </c>
      <c r="F817" s="4">
        <v>7.9269805169781003E-32</v>
      </c>
      <c r="G817" s="4">
        <v>6.9005251803866599E-30</v>
      </c>
      <c r="H817" s="10" t="s">
        <v>1648</v>
      </c>
      <c r="I817" s="10" t="s">
        <v>18</v>
      </c>
    </row>
    <row r="818" spans="1:9" x14ac:dyDescent="0.2">
      <c r="A818" s="10" t="s">
        <v>1649</v>
      </c>
      <c r="B818" s="10">
        <v>7.7425933051176203</v>
      </c>
      <c r="C818" s="10">
        <v>4.8628047843404598</v>
      </c>
      <c r="D818" s="10">
        <v>1.82604759127734</v>
      </c>
      <c r="E818" s="10">
        <v>2.6630219319414699</v>
      </c>
      <c r="F818" s="10">
        <v>7.7442366471307802E-3</v>
      </c>
      <c r="G818" s="10">
        <v>2.56699776063713E-2</v>
      </c>
      <c r="H818" s="10" t="s">
        <v>1650</v>
      </c>
      <c r="I818" s="10" t="s">
        <v>18</v>
      </c>
    </row>
    <row r="819" spans="1:9" x14ac:dyDescent="0.2">
      <c r="A819" s="10" t="s">
        <v>1651</v>
      </c>
      <c r="B819" s="10">
        <v>66.187947218761806</v>
      </c>
      <c r="C819" s="10">
        <v>5.1539253008873098</v>
      </c>
      <c r="D819" s="10">
        <v>0.68570961396318497</v>
      </c>
      <c r="E819" s="10">
        <v>7.5161922713891203</v>
      </c>
      <c r="F819" s="4">
        <v>5.6394599139569902E-14</v>
      </c>
      <c r="G819" s="4">
        <v>1.2826240757561501E-12</v>
      </c>
      <c r="H819" s="10" t="s">
        <v>1652</v>
      </c>
      <c r="I819" s="10" t="s">
        <v>18</v>
      </c>
    </row>
    <row r="820" spans="1:9" x14ac:dyDescent="0.2">
      <c r="A820" s="10" t="s">
        <v>1653</v>
      </c>
      <c r="B820" s="10">
        <v>3194.0344859626598</v>
      </c>
      <c r="C820" s="10">
        <v>1.6445644870692799</v>
      </c>
      <c r="D820" s="10">
        <v>0.18263677910444501</v>
      </c>
      <c r="E820" s="10">
        <v>9.0045635667325907</v>
      </c>
      <c r="F820" s="4">
        <v>2.1652529439982001E-19</v>
      </c>
      <c r="G820" s="4">
        <v>7.85574526832476E-18</v>
      </c>
      <c r="H820" s="10" t="s">
        <v>1654</v>
      </c>
      <c r="I820" s="10" t="s">
        <v>18</v>
      </c>
    </row>
    <row r="821" spans="1:9" x14ac:dyDescent="0.2">
      <c r="A821" s="10" t="s">
        <v>1655</v>
      </c>
      <c r="B821" s="10">
        <v>730.90346245921296</v>
      </c>
      <c r="C821" s="10">
        <v>7.3717956521864103</v>
      </c>
      <c r="D821" s="10">
        <v>0.41547065590937898</v>
      </c>
      <c r="E821" s="10">
        <v>17.743240220061001</v>
      </c>
      <c r="F821" s="4">
        <v>1.94395049011E-70</v>
      </c>
      <c r="G821" s="4">
        <v>8.9774269498351192E-68</v>
      </c>
      <c r="H821" s="10" t="s">
        <v>1656</v>
      </c>
      <c r="I821" s="10" t="s">
        <v>18</v>
      </c>
    </row>
    <row r="822" spans="1:9" x14ac:dyDescent="0.2">
      <c r="A822" s="10" t="s">
        <v>1657</v>
      </c>
      <c r="B822" s="10">
        <v>6.5011879415546998</v>
      </c>
      <c r="C822" s="10">
        <v>4.5896969795197204</v>
      </c>
      <c r="D822" s="10">
        <v>1.8857659799433899</v>
      </c>
      <c r="E822" s="10">
        <v>2.4338634954362099</v>
      </c>
      <c r="F822" s="10">
        <v>1.49386275965023E-2</v>
      </c>
      <c r="G822" s="10">
        <v>4.4392276815563202E-2</v>
      </c>
      <c r="H822" s="10" t="s">
        <v>1658</v>
      </c>
      <c r="I822" s="10" t="s">
        <v>18</v>
      </c>
    </row>
    <row r="823" spans="1:9" x14ac:dyDescent="0.2">
      <c r="A823" s="10" t="s">
        <v>1659</v>
      </c>
      <c r="B823" s="10">
        <v>12.4922912622247</v>
      </c>
      <c r="C823" s="10">
        <v>2.5611925111107201</v>
      </c>
      <c r="D823" s="10">
        <v>1.0240487556002</v>
      </c>
      <c r="E823" s="10">
        <v>2.5010454796262001</v>
      </c>
      <c r="F823" s="10">
        <v>1.2382727551710399E-2</v>
      </c>
      <c r="G823" s="10">
        <v>3.8003173868152003E-2</v>
      </c>
      <c r="H823" s="10" t="s">
        <v>1660</v>
      </c>
      <c r="I823" s="10" t="s">
        <v>18</v>
      </c>
    </row>
    <row r="824" spans="1:9" x14ac:dyDescent="0.2">
      <c r="A824" s="10" t="s">
        <v>1661</v>
      </c>
      <c r="B824" s="10">
        <v>499.78014584862899</v>
      </c>
      <c r="C824" s="10">
        <v>-1.3205778359154301</v>
      </c>
      <c r="D824" s="10">
        <v>0.22694630786412101</v>
      </c>
      <c r="E824" s="10">
        <v>-5.8188998461525596</v>
      </c>
      <c r="F824" s="4">
        <v>5.9236212664294496E-9</v>
      </c>
      <c r="G824" s="4">
        <v>7.2442059536087599E-8</v>
      </c>
      <c r="H824" s="10" t="s">
        <v>1662</v>
      </c>
      <c r="I824" s="10" t="s">
        <v>18</v>
      </c>
    </row>
    <row r="825" spans="1:9" x14ac:dyDescent="0.2">
      <c r="A825" s="10" t="s">
        <v>1663</v>
      </c>
      <c r="B825" s="10">
        <v>24.400310871060402</v>
      </c>
      <c r="C825" s="10">
        <v>2.1982679739803599</v>
      </c>
      <c r="D825" s="10">
        <v>0.74596119784346104</v>
      </c>
      <c r="E825" s="10">
        <v>2.9468931900686699</v>
      </c>
      <c r="F825" s="10">
        <v>3.20984053967545E-3</v>
      </c>
      <c r="G825" s="10">
        <v>1.2145330535278E-2</v>
      </c>
      <c r="H825" s="10" t="s">
        <v>1664</v>
      </c>
      <c r="I825" s="10" t="s">
        <v>18</v>
      </c>
    </row>
    <row r="826" spans="1:9" x14ac:dyDescent="0.2">
      <c r="A826" s="10" t="s">
        <v>1665</v>
      </c>
      <c r="B826" s="10">
        <v>5.1394620611475004</v>
      </c>
      <c r="C826" s="10">
        <v>5.7599622059772502</v>
      </c>
      <c r="D826" s="10">
        <v>2.0216211010815899</v>
      </c>
      <c r="E826" s="10">
        <v>2.84917989968329</v>
      </c>
      <c r="F826" s="10">
        <v>4.3832088088900196E-3</v>
      </c>
      <c r="G826" s="10">
        <v>1.5842376356141601E-2</v>
      </c>
      <c r="H826" s="10" t="s">
        <v>1666</v>
      </c>
      <c r="I826" s="10" t="s">
        <v>18</v>
      </c>
    </row>
    <row r="827" spans="1:9" x14ac:dyDescent="0.2">
      <c r="A827" s="10" t="s">
        <v>1667</v>
      </c>
      <c r="B827" s="10">
        <v>225.45720467985501</v>
      </c>
      <c r="C827" s="10">
        <v>8.7668619178471907</v>
      </c>
      <c r="D827" s="10">
        <v>1.05628546438796</v>
      </c>
      <c r="E827" s="10">
        <v>8.2997089455613295</v>
      </c>
      <c r="F827" s="4">
        <v>1.04366762343469E-16</v>
      </c>
      <c r="G827" s="4">
        <v>3.0381209119364299E-15</v>
      </c>
      <c r="H827" s="10" t="s">
        <v>1668</v>
      </c>
      <c r="I827" s="10" t="s">
        <v>18</v>
      </c>
    </row>
    <row r="828" spans="1:9" x14ac:dyDescent="0.2">
      <c r="A828" s="10" t="s">
        <v>1669</v>
      </c>
      <c r="B828" s="10">
        <v>341.88756113493201</v>
      </c>
      <c r="C828" s="10">
        <v>2.4721759959960199</v>
      </c>
      <c r="D828" s="10">
        <v>0.26134202119903499</v>
      </c>
      <c r="E828" s="10">
        <v>9.4595426508668297</v>
      </c>
      <c r="F828" s="4">
        <v>3.0929301935048201E-21</v>
      </c>
      <c r="G828" s="4">
        <v>1.3292282173884201E-19</v>
      </c>
      <c r="H828" s="10" t="s">
        <v>1670</v>
      </c>
      <c r="I828" s="10" t="s">
        <v>18</v>
      </c>
    </row>
    <row r="829" spans="1:9" x14ac:dyDescent="0.2">
      <c r="A829" s="10" t="s">
        <v>1671</v>
      </c>
      <c r="B829" s="10">
        <v>19.9328264606667</v>
      </c>
      <c r="C829" s="10">
        <v>5.2332205053776999</v>
      </c>
      <c r="D829" s="10">
        <v>1.24158934308469</v>
      </c>
      <c r="E829" s="10">
        <v>4.2149367135964004</v>
      </c>
      <c r="F829" s="4">
        <v>2.49848241377747E-5</v>
      </c>
      <c r="G829" s="10">
        <v>1.6255050221632001E-4</v>
      </c>
      <c r="H829" s="10" t="s">
        <v>1672</v>
      </c>
      <c r="I829" s="10" t="s">
        <v>18</v>
      </c>
    </row>
    <row r="830" spans="1:9" x14ac:dyDescent="0.2">
      <c r="A830" s="10" t="s">
        <v>1673</v>
      </c>
      <c r="B830" s="10">
        <v>30.708068282539699</v>
      </c>
      <c r="C830" s="10">
        <v>3.8038211649743499</v>
      </c>
      <c r="D830" s="10">
        <v>0.80412000520099602</v>
      </c>
      <c r="E830" s="10">
        <v>4.7304147892994699</v>
      </c>
      <c r="F830" s="4">
        <v>2.24061560022279E-6</v>
      </c>
      <c r="G830" s="4">
        <v>1.8046128660736101E-5</v>
      </c>
      <c r="H830" s="10" t="s">
        <v>1674</v>
      </c>
      <c r="I830" s="10" t="s">
        <v>18</v>
      </c>
    </row>
    <row r="831" spans="1:9" x14ac:dyDescent="0.2">
      <c r="A831" s="10" t="s">
        <v>1675</v>
      </c>
      <c r="B831" s="10">
        <v>28.351210486168799</v>
      </c>
      <c r="C831" s="10">
        <v>4.3835554197625903</v>
      </c>
      <c r="D831" s="10">
        <v>0.89320644513286096</v>
      </c>
      <c r="E831" s="10">
        <v>4.9076621016886603</v>
      </c>
      <c r="F831" s="4">
        <v>9.2168469105477905E-7</v>
      </c>
      <c r="G831" s="4">
        <v>7.9698961527037592E-6</v>
      </c>
      <c r="H831" s="10" t="s">
        <v>1676</v>
      </c>
      <c r="I831" s="10" t="s">
        <v>18</v>
      </c>
    </row>
    <row r="832" spans="1:9" x14ac:dyDescent="0.2">
      <c r="A832" s="10" t="s">
        <v>1677</v>
      </c>
      <c r="B832" s="10">
        <v>12.745703359089299</v>
      </c>
      <c r="C832" s="10">
        <v>4.5569911336170401</v>
      </c>
      <c r="D832" s="10">
        <v>1.3590566786695499</v>
      </c>
      <c r="E832" s="10">
        <v>3.35305451578231</v>
      </c>
      <c r="F832" s="10">
        <v>7.9924962351853002E-4</v>
      </c>
      <c r="G832" s="10">
        <v>3.6265036622829998E-3</v>
      </c>
      <c r="H832" s="10" t="s">
        <v>1678</v>
      </c>
      <c r="I832" s="10" t="s">
        <v>18</v>
      </c>
    </row>
    <row r="833" spans="1:9" x14ac:dyDescent="0.2">
      <c r="A833" s="10" t="s">
        <v>1679</v>
      </c>
      <c r="B833" s="10">
        <v>2693.3194687299201</v>
      </c>
      <c r="C833" s="10">
        <v>-1.7505899044414599</v>
      </c>
      <c r="D833" s="10">
        <v>0.17975390619934301</v>
      </c>
      <c r="E833" s="10">
        <v>-9.7388142569769993</v>
      </c>
      <c r="F833" s="4">
        <v>2.0594328715384901E-22</v>
      </c>
      <c r="G833" s="4">
        <v>9.52688751287082E-21</v>
      </c>
      <c r="H833" s="10" t="s">
        <v>1680</v>
      </c>
      <c r="I833" s="10" t="s">
        <v>18</v>
      </c>
    </row>
    <row r="834" spans="1:9" x14ac:dyDescent="0.2">
      <c r="A834" s="10" t="s">
        <v>1681</v>
      </c>
      <c r="B834" s="10">
        <v>309.844490948155</v>
      </c>
      <c r="C834" s="10">
        <v>-1.9280782512866499</v>
      </c>
      <c r="D834" s="10">
        <v>0.26736422228171303</v>
      </c>
      <c r="E834" s="10">
        <v>-7.2114295429367203</v>
      </c>
      <c r="F834" s="4">
        <v>5.5367494755772696E-13</v>
      </c>
      <c r="G834" s="4">
        <v>1.1377059800984499E-11</v>
      </c>
      <c r="H834" s="10" t="s">
        <v>1682</v>
      </c>
      <c r="I834" s="10" t="s">
        <v>18</v>
      </c>
    </row>
    <row r="835" spans="1:9" x14ac:dyDescent="0.2">
      <c r="A835" s="10" t="s">
        <v>1683</v>
      </c>
      <c r="B835" s="10">
        <v>536.10640345480397</v>
      </c>
      <c r="C835" s="10">
        <v>-1.3203040475186001</v>
      </c>
      <c r="D835" s="10">
        <v>0.22068739283788</v>
      </c>
      <c r="E835" s="10">
        <v>-5.98268904508069</v>
      </c>
      <c r="F835" s="4">
        <v>2.1948353841657001E-9</v>
      </c>
      <c r="G835" s="4">
        <v>2.8396334146421099E-8</v>
      </c>
      <c r="H835" s="10" t="s">
        <v>1684</v>
      </c>
      <c r="I835" s="10" t="s">
        <v>18</v>
      </c>
    </row>
    <row r="836" spans="1:9" x14ac:dyDescent="0.2">
      <c r="A836" s="10" t="s">
        <v>1685</v>
      </c>
      <c r="B836" s="10">
        <v>11743.490566538299</v>
      </c>
      <c r="C836" s="10">
        <v>-1.1739350659966401</v>
      </c>
      <c r="D836" s="10">
        <v>0.16854979232123801</v>
      </c>
      <c r="E836" s="10">
        <v>-6.9649155292891001</v>
      </c>
      <c r="F836" s="4">
        <v>3.2860085481098701E-12</v>
      </c>
      <c r="G836" s="4">
        <v>6.1073584522748695E-11</v>
      </c>
      <c r="H836" s="10" t="s">
        <v>1686</v>
      </c>
      <c r="I836" s="10" t="s">
        <v>18</v>
      </c>
    </row>
    <row r="837" spans="1:9" x14ac:dyDescent="0.2">
      <c r="A837" s="10" t="s">
        <v>1687</v>
      </c>
      <c r="B837" s="10">
        <v>4.8465514323206698</v>
      </c>
      <c r="C837" s="10">
        <v>5.6768670601366198</v>
      </c>
      <c r="D837" s="10">
        <v>2.0625215872145701</v>
      </c>
      <c r="E837" s="10">
        <v>2.75239158480916</v>
      </c>
      <c r="F837" s="10">
        <v>5.9161731801165201E-3</v>
      </c>
      <c r="G837" s="10">
        <v>2.0448810178692701E-2</v>
      </c>
      <c r="H837" s="10" t="s">
        <v>1688</v>
      </c>
      <c r="I837" s="10" t="s">
        <v>18</v>
      </c>
    </row>
    <row r="838" spans="1:9" x14ac:dyDescent="0.2">
      <c r="A838" s="10" t="s">
        <v>1689</v>
      </c>
      <c r="B838" s="10">
        <v>231.818541530624</v>
      </c>
      <c r="C838" s="10">
        <v>1.52191812048652</v>
      </c>
      <c r="D838" s="10">
        <v>0.27576601414785001</v>
      </c>
      <c r="E838" s="10">
        <v>5.5188748518900397</v>
      </c>
      <c r="F838" s="4">
        <v>3.4117705027383599E-8</v>
      </c>
      <c r="G838" s="4">
        <v>3.7574984190829399E-7</v>
      </c>
      <c r="H838" s="10" t="s">
        <v>1690</v>
      </c>
      <c r="I838" s="10" t="s">
        <v>18</v>
      </c>
    </row>
    <row r="839" spans="1:9" x14ac:dyDescent="0.2">
      <c r="A839" s="10" t="s">
        <v>1691</v>
      </c>
      <c r="B839" s="10">
        <v>118.298814228884</v>
      </c>
      <c r="C839" s="10">
        <v>2.4168615244891498</v>
      </c>
      <c r="D839" s="10">
        <v>0.39556053492145699</v>
      </c>
      <c r="E839" s="10">
        <v>6.1099662658941698</v>
      </c>
      <c r="F839" s="4">
        <v>9.9652201691817494E-10</v>
      </c>
      <c r="G839" s="4">
        <v>1.3542262042378799E-8</v>
      </c>
      <c r="H839" s="10" t="s">
        <v>1692</v>
      </c>
      <c r="I839" s="10" t="s">
        <v>18</v>
      </c>
    </row>
    <row r="840" spans="1:9" x14ac:dyDescent="0.2">
      <c r="A840" s="10" t="s">
        <v>1693</v>
      </c>
      <c r="B840" s="10">
        <v>2486.2958411221898</v>
      </c>
      <c r="C840" s="10">
        <v>1.3243324867121999</v>
      </c>
      <c r="D840" s="10">
        <v>0.185322660427855</v>
      </c>
      <c r="E840" s="10">
        <v>7.14609041147318</v>
      </c>
      <c r="F840" s="4">
        <v>8.9284265739561302E-13</v>
      </c>
      <c r="G840" s="4">
        <v>1.7796111109040399E-11</v>
      </c>
      <c r="H840" s="10" t="s">
        <v>1694</v>
      </c>
      <c r="I840" s="10" t="s">
        <v>18</v>
      </c>
    </row>
    <row r="841" spans="1:9" x14ac:dyDescent="0.2">
      <c r="A841" s="10" t="s">
        <v>1695</v>
      </c>
      <c r="B841" s="10">
        <v>29.017237037408901</v>
      </c>
      <c r="C841" s="10">
        <v>3.5340743186761499</v>
      </c>
      <c r="D841" s="10">
        <v>0.80917908661439597</v>
      </c>
      <c r="E841" s="10">
        <v>4.3674810399051598</v>
      </c>
      <c r="F841" s="4">
        <v>1.2568770337820601E-5</v>
      </c>
      <c r="G841" s="4">
        <v>8.7295764821462507E-5</v>
      </c>
      <c r="H841" s="10" t="s">
        <v>1696</v>
      </c>
      <c r="I841" s="10" t="s">
        <v>18</v>
      </c>
    </row>
    <row r="842" spans="1:9" x14ac:dyDescent="0.2">
      <c r="A842" s="10" t="s">
        <v>1697</v>
      </c>
      <c r="B842" s="10">
        <v>40.930649314209901</v>
      </c>
      <c r="C842" s="10">
        <v>-3.40897231974941</v>
      </c>
      <c r="D842" s="10">
        <v>0.63462047197424698</v>
      </c>
      <c r="E842" s="10">
        <v>-5.3716708966926303</v>
      </c>
      <c r="F842" s="4">
        <v>7.8010386961281498E-8</v>
      </c>
      <c r="G842" s="4">
        <v>8.0727269788607496E-7</v>
      </c>
      <c r="H842" s="10" t="s">
        <v>1698</v>
      </c>
      <c r="I842" s="10" t="s">
        <v>18</v>
      </c>
    </row>
    <row r="843" spans="1:9" x14ac:dyDescent="0.2">
      <c r="A843" s="10" t="s">
        <v>1699</v>
      </c>
      <c r="B843" s="10">
        <v>1075.2942735531899</v>
      </c>
      <c r="C843" s="10">
        <v>2.20892696262074</v>
      </c>
      <c r="D843" s="10">
        <v>0.24378882271210101</v>
      </c>
      <c r="E843" s="10">
        <v>9.0608213208746804</v>
      </c>
      <c r="F843" s="4">
        <v>1.29471943584923E-19</v>
      </c>
      <c r="G843" s="4">
        <v>4.7671919552140703E-18</v>
      </c>
      <c r="H843" s="10" t="s">
        <v>1700</v>
      </c>
      <c r="I843" s="10" t="s">
        <v>18</v>
      </c>
    </row>
    <row r="844" spans="1:9" x14ac:dyDescent="0.2">
      <c r="A844" s="10" t="s">
        <v>1701</v>
      </c>
      <c r="B844" s="10">
        <v>15.115666912902499</v>
      </c>
      <c r="C844" s="10">
        <v>3.40882752332312</v>
      </c>
      <c r="D844" s="10">
        <v>1.0946519424596699</v>
      </c>
      <c r="E844" s="10">
        <v>3.11407433824446</v>
      </c>
      <c r="F844" s="10">
        <v>1.8452299268811199E-3</v>
      </c>
      <c r="G844" s="10">
        <v>7.5197397274498704E-3</v>
      </c>
      <c r="H844" s="10" t="s">
        <v>1702</v>
      </c>
      <c r="I844" s="10" t="s">
        <v>18</v>
      </c>
    </row>
    <row r="845" spans="1:9" x14ac:dyDescent="0.2">
      <c r="A845" s="10" t="s">
        <v>1703</v>
      </c>
      <c r="B845" s="10">
        <v>2549.7600418761599</v>
      </c>
      <c r="C845" s="10">
        <v>-1.47000134542335</v>
      </c>
      <c r="D845" s="10">
        <v>0.21035544220935901</v>
      </c>
      <c r="E845" s="10">
        <v>-6.9881783422570702</v>
      </c>
      <c r="F845" s="4">
        <v>2.7847826315032399E-12</v>
      </c>
      <c r="G845" s="4">
        <v>5.2292882398737998E-11</v>
      </c>
      <c r="H845" s="10" t="s">
        <v>1704</v>
      </c>
      <c r="I845" s="10" t="s">
        <v>18</v>
      </c>
    </row>
    <row r="846" spans="1:9" x14ac:dyDescent="0.2">
      <c r="A846" s="10" t="s">
        <v>1705</v>
      </c>
      <c r="B846" s="10">
        <v>1059.0548451283501</v>
      </c>
      <c r="C846" s="10">
        <v>-1.2925584391996801</v>
      </c>
      <c r="D846" s="10">
        <v>0.238864015538995</v>
      </c>
      <c r="E846" s="10">
        <v>-5.4112731726586203</v>
      </c>
      <c r="F846" s="4">
        <v>6.2578224564990204E-8</v>
      </c>
      <c r="G846" s="4">
        <v>6.58836508779864E-7</v>
      </c>
      <c r="H846" s="10" t="s">
        <v>1706</v>
      </c>
      <c r="I846" s="10" t="s">
        <v>18</v>
      </c>
    </row>
    <row r="847" spans="1:9" x14ac:dyDescent="0.2">
      <c r="A847" s="10" t="s">
        <v>1707</v>
      </c>
      <c r="B847" s="10">
        <v>1749.69518795051</v>
      </c>
      <c r="C847" s="10">
        <v>-1.51268205719269</v>
      </c>
      <c r="D847" s="10">
        <v>0.18523015960550299</v>
      </c>
      <c r="E847" s="10">
        <v>-8.1664997774355008</v>
      </c>
      <c r="F847" s="4">
        <v>3.1746598679404102E-16</v>
      </c>
      <c r="G847" s="4">
        <v>8.8175287891714994E-15</v>
      </c>
      <c r="H847" s="10" t="s">
        <v>1708</v>
      </c>
      <c r="I847" s="10" t="s">
        <v>18</v>
      </c>
    </row>
    <row r="848" spans="1:9" x14ac:dyDescent="0.2">
      <c r="A848" s="10" t="s">
        <v>1709</v>
      </c>
      <c r="B848" s="10">
        <v>914.31924757158697</v>
      </c>
      <c r="C848" s="10">
        <v>-1.04928186896041</v>
      </c>
      <c r="D848" s="10">
        <v>0.20751760388899501</v>
      </c>
      <c r="E848" s="10">
        <v>-5.05635112056172</v>
      </c>
      <c r="F848" s="4">
        <v>4.2735420145050201E-7</v>
      </c>
      <c r="G848" s="4">
        <v>3.9074227942690697E-6</v>
      </c>
      <c r="H848" s="10" t="s">
        <v>1710</v>
      </c>
      <c r="I848" s="10" t="s">
        <v>18</v>
      </c>
    </row>
    <row r="849" spans="1:9" x14ac:dyDescent="0.2">
      <c r="A849" s="10" t="s">
        <v>1711</v>
      </c>
      <c r="B849" s="10">
        <v>75.880866161609902</v>
      </c>
      <c r="C849" s="10">
        <v>1.1380954523360001</v>
      </c>
      <c r="D849" s="10">
        <v>0.42174964566224599</v>
      </c>
      <c r="E849" s="10">
        <v>2.6985095637695702</v>
      </c>
      <c r="F849" s="10">
        <v>6.9650736585542498E-3</v>
      </c>
      <c r="G849" s="10">
        <v>2.3519316145077199E-2</v>
      </c>
      <c r="H849" s="10" t="s">
        <v>1712</v>
      </c>
      <c r="I849" s="10" t="s">
        <v>18</v>
      </c>
    </row>
    <row r="850" spans="1:9" x14ac:dyDescent="0.2">
      <c r="A850" s="10" t="s">
        <v>1713</v>
      </c>
      <c r="B850" s="10">
        <v>10.324141805988001</v>
      </c>
      <c r="C850" s="10">
        <v>2.8035045624129902</v>
      </c>
      <c r="D850" s="10">
        <v>1.14903168848005</v>
      </c>
      <c r="E850" s="10">
        <v>2.4398844614298598</v>
      </c>
      <c r="F850" s="10">
        <v>1.46919599911932E-2</v>
      </c>
      <c r="G850" s="10">
        <v>4.3791068582520798E-2</v>
      </c>
      <c r="H850" s="10" t="s">
        <v>1714</v>
      </c>
      <c r="I850" s="10" t="s">
        <v>18</v>
      </c>
    </row>
    <row r="851" spans="1:9" x14ac:dyDescent="0.2">
      <c r="A851" s="10" t="s">
        <v>1715</v>
      </c>
      <c r="B851" s="10">
        <v>7051.7330466630001</v>
      </c>
      <c r="C851" s="10">
        <v>1.5461703831320901</v>
      </c>
      <c r="D851" s="10">
        <v>0.172274011930097</v>
      </c>
      <c r="E851" s="10">
        <v>8.9750645835047607</v>
      </c>
      <c r="F851" s="4">
        <v>2.8318560645931798E-19</v>
      </c>
      <c r="G851" s="4">
        <v>1.0152576604206601E-17</v>
      </c>
      <c r="H851" s="10" t="s">
        <v>1716</v>
      </c>
      <c r="I851" s="10" t="s">
        <v>18</v>
      </c>
    </row>
    <row r="852" spans="1:9" x14ac:dyDescent="0.2">
      <c r="A852" s="10" t="s">
        <v>1717</v>
      </c>
      <c r="B852" s="10">
        <v>4.6231112227344298</v>
      </c>
      <c r="C852" s="10">
        <v>5.6018746122246599</v>
      </c>
      <c r="D852" s="10">
        <v>2.0840292310307702</v>
      </c>
      <c r="E852" s="10">
        <v>2.68800193817528</v>
      </c>
      <c r="F852" s="10">
        <v>7.1880979433398204E-3</v>
      </c>
      <c r="G852" s="10">
        <v>2.4131851239795499E-2</v>
      </c>
      <c r="H852" s="10" t="s">
        <v>1718</v>
      </c>
      <c r="I852" s="10" t="s">
        <v>18</v>
      </c>
    </row>
    <row r="853" spans="1:9" x14ac:dyDescent="0.2">
      <c r="A853" s="10" t="s">
        <v>1719</v>
      </c>
      <c r="B853" s="10">
        <v>25.4710755736509</v>
      </c>
      <c r="C853" s="10">
        <v>4.99685614770614</v>
      </c>
      <c r="D853" s="10">
        <v>1.04656296103091</v>
      </c>
      <c r="E853" s="10">
        <v>4.7745394532059402</v>
      </c>
      <c r="F853" s="4">
        <v>1.80118971116974E-6</v>
      </c>
      <c r="G853" s="4">
        <v>1.4720160785915401E-5</v>
      </c>
      <c r="H853" s="10" t="s">
        <v>1720</v>
      </c>
      <c r="I853" s="10" t="s">
        <v>18</v>
      </c>
    </row>
    <row r="854" spans="1:9" x14ac:dyDescent="0.2">
      <c r="A854" s="10" t="s">
        <v>1721</v>
      </c>
      <c r="B854" s="10">
        <v>264.26778894667302</v>
      </c>
      <c r="C854" s="10">
        <v>-1.0639377613258001</v>
      </c>
      <c r="D854" s="10">
        <v>0.26257155346757699</v>
      </c>
      <c r="E854" s="10">
        <v>-4.0519917229235398</v>
      </c>
      <c r="F854" s="4">
        <v>5.0783462118753303E-5</v>
      </c>
      <c r="G854" s="10">
        <v>3.1045478850115997E-4</v>
      </c>
      <c r="H854" s="10" t="s">
        <v>1722</v>
      </c>
      <c r="I854" s="10" t="s">
        <v>18</v>
      </c>
    </row>
    <row r="855" spans="1:9" x14ac:dyDescent="0.2">
      <c r="A855" s="10" t="s">
        <v>1723</v>
      </c>
      <c r="B855" s="10">
        <v>8.5606230833711994</v>
      </c>
      <c r="C855" s="10">
        <v>3.3262562477800399</v>
      </c>
      <c r="D855" s="10">
        <v>1.3372908353149799</v>
      </c>
      <c r="E855" s="10">
        <v>2.48730953652022</v>
      </c>
      <c r="F855" s="10">
        <v>1.2871335404449499E-2</v>
      </c>
      <c r="G855" s="10">
        <v>3.9293194339222903E-2</v>
      </c>
      <c r="H855" s="10" t="s">
        <v>1724</v>
      </c>
      <c r="I855" s="10" t="s">
        <v>18</v>
      </c>
    </row>
    <row r="856" spans="1:9" x14ac:dyDescent="0.2">
      <c r="A856" s="10" t="s">
        <v>1725</v>
      </c>
      <c r="B856" s="10">
        <v>25.075169782134601</v>
      </c>
      <c r="C856" s="10">
        <v>4.9691040418288699</v>
      </c>
      <c r="D856" s="10">
        <v>1.04934292209986</v>
      </c>
      <c r="E856" s="10">
        <v>4.7354434257631404</v>
      </c>
      <c r="F856" s="4">
        <v>2.18576672655697E-6</v>
      </c>
      <c r="G856" s="4">
        <v>1.7640872629886801E-5</v>
      </c>
      <c r="H856" s="10" t="s">
        <v>1726</v>
      </c>
      <c r="I856" s="10" t="s">
        <v>18</v>
      </c>
    </row>
    <row r="857" spans="1:9" x14ac:dyDescent="0.2">
      <c r="A857" s="10" t="s">
        <v>1727</v>
      </c>
      <c r="B857" s="10">
        <v>227.61934162157999</v>
      </c>
      <c r="C857" s="10">
        <v>2.0767159442343899</v>
      </c>
      <c r="D857" s="10">
        <v>0.28322304051396502</v>
      </c>
      <c r="E857" s="10">
        <v>7.3324399754545597</v>
      </c>
      <c r="F857" s="4">
        <v>2.25999704439494E-13</v>
      </c>
      <c r="G857" s="4">
        <v>4.8448575506395704E-12</v>
      </c>
      <c r="H857" s="10" t="s">
        <v>1728</v>
      </c>
      <c r="I857" s="10" t="s">
        <v>18</v>
      </c>
    </row>
    <row r="858" spans="1:9" x14ac:dyDescent="0.2">
      <c r="A858" s="10" t="s">
        <v>1729</v>
      </c>
      <c r="B858" s="10">
        <v>32.154108508599997</v>
      </c>
      <c r="C858" s="10">
        <v>-1.95567773236767</v>
      </c>
      <c r="D858" s="10">
        <v>0.62643742952932102</v>
      </c>
      <c r="E858" s="10">
        <v>-3.1219043438018699</v>
      </c>
      <c r="F858" s="10">
        <v>1.7968531123223901E-3</v>
      </c>
      <c r="G858" s="10">
        <v>7.3555974686670697E-3</v>
      </c>
      <c r="H858" s="10" t="s">
        <v>1730</v>
      </c>
      <c r="I858" s="10" t="s">
        <v>18</v>
      </c>
    </row>
    <row r="859" spans="1:9" x14ac:dyDescent="0.2">
      <c r="A859" s="10" t="s">
        <v>1731</v>
      </c>
      <c r="B859" s="10">
        <v>392.96404570770801</v>
      </c>
      <c r="C859" s="10">
        <v>1.0061716898445301</v>
      </c>
      <c r="D859" s="10">
        <v>0.25916523604256497</v>
      </c>
      <c r="E859" s="10">
        <v>3.88235592554273</v>
      </c>
      <c r="F859" s="10">
        <v>1.0344930967573E-4</v>
      </c>
      <c r="G859" s="10">
        <v>5.9067127844396696E-4</v>
      </c>
      <c r="H859" s="10" t="s">
        <v>1732</v>
      </c>
      <c r="I859" s="10" t="s">
        <v>18</v>
      </c>
    </row>
    <row r="860" spans="1:9" x14ac:dyDescent="0.2">
      <c r="A860" s="10" t="s">
        <v>1733</v>
      </c>
      <c r="B860" s="10">
        <v>7.1900043618978096</v>
      </c>
      <c r="C860" s="10">
        <v>4.7491817685633197</v>
      </c>
      <c r="D860" s="10">
        <v>1.8487327756955301</v>
      </c>
      <c r="E860" s="10">
        <v>2.5688849308016199</v>
      </c>
      <c r="F860" s="10">
        <v>1.02026329670853E-2</v>
      </c>
      <c r="G860" s="10">
        <v>3.2358414672817297E-2</v>
      </c>
      <c r="H860" s="10" t="s">
        <v>1734</v>
      </c>
      <c r="I860" s="10" t="s">
        <v>18</v>
      </c>
    </row>
    <row r="861" spans="1:9" x14ac:dyDescent="0.2">
      <c r="A861" s="10" t="s">
        <v>1735</v>
      </c>
      <c r="B861" s="10">
        <v>204.66949254117301</v>
      </c>
      <c r="C861" s="10">
        <v>6.1496331538653601</v>
      </c>
      <c r="D861" s="10">
        <v>0.51899148865109501</v>
      </c>
      <c r="E861" s="10">
        <v>11.8491984711518</v>
      </c>
      <c r="F861" s="4">
        <v>2.17258877388627E-32</v>
      </c>
      <c r="G861" s="4">
        <v>1.94725415533155E-30</v>
      </c>
      <c r="H861" s="10" t="s">
        <v>1736</v>
      </c>
      <c r="I861" s="10" t="s">
        <v>18</v>
      </c>
    </row>
    <row r="862" spans="1:9" x14ac:dyDescent="0.2">
      <c r="A862" s="10" t="s">
        <v>1737</v>
      </c>
      <c r="B862" s="10">
        <v>8.3009014000681898</v>
      </c>
      <c r="C862" s="10">
        <v>4.9581862346609</v>
      </c>
      <c r="D862" s="10">
        <v>1.7993780913019199</v>
      </c>
      <c r="E862" s="10">
        <v>2.75549994669184</v>
      </c>
      <c r="F862" s="10">
        <v>5.8602514074060502E-3</v>
      </c>
      <c r="G862" s="10">
        <v>2.0296716676953399E-2</v>
      </c>
      <c r="H862" s="10" t="s">
        <v>1738</v>
      </c>
      <c r="I862" s="10" t="s">
        <v>18</v>
      </c>
    </row>
    <row r="863" spans="1:9" x14ac:dyDescent="0.2">
      <c r="A863" s="10" t="s">
        <v>1739</v>
      </c>
      <c r="B863" s="10">
        <v>6.1661521572278399</v>
      </c>
      <c r="C863" s="10">
        <v>6.0207072949405402</v>
      </c>
      <c r="D863" s="10">
        <v>1.93317068918253</v>
      </c>
      <c r="E863" s="10">
        <v>3.11442095032307</v>
      </c>
      <c r="F863" s="10">
        <v>1.84306335590704E-3</v>
      </c>
      <c r="G863" s="10">
        <v>7.5120339952728498E-3</v>
      </c>
      <c r="H863" s="10" t="s">
        <v>1740</v>
      </c>
      <c r="I863" s="10" t="s">
        <v>18</v>
      </c>
    </row>
    <row r="864" spans="1:9" x14ac:dyDescent="0.2">
      <c r="A864" s="10" t="s">
        <v>1741</v>
      </c>
      <c r="B864" s="10">
        <v>960.84266798343901</v>
      </c>
      <c r="C864" s="10">
        <v>-1.1493174631224099</v>
      </c>
      <c r="D864" s="10">
        <v>0.23480836435970401</v>
      </c>
      <c r="E864" s="10">
        <v>-4.8947040973453699</v>
      </c>
      <c r="F864" s="4">
        <v>9.8453752780004795E-7</v>
      </c>
      <c r="G864" s="4">
        <v>8.4639478391309792E-6</v>
      </c>
      <c r="H864" s="10" t="s">
        <v>1742</v>
      </c>
      <c r="I864" s="10" t="s">
        <v>18</v>
      </c>
    </row>
    <row r="865" spans="1:9" x14ac:dyDescent="0.2">
      <c r="A865" s="10" t="s">
        <v>1743</v>
      </c>
      <c r="B865" s="10">
        <v>7976.2151812306502</v>
      </c>
      <c r="C865" s="10">
        <v>-1.10101787527935</v>
      </c>
      <c r="D865" s="10">
        <v>0.172951724565575</v>
      </c>
      <c r="E865" s="10">
        <v>-6.3660416110039799</v>
      </c>
      <c r="F865" s="4">
        <v>1.93968830696863E-10</v>
      </c>
      <c r="G865" s="4">
        <v>2.89249758290758E-9</v>
      </c>
      <c r="H865" s="10" t="s">
        <v>1744</v>
      </c>
      <c r="I865" s="10" t="s">
        <v>18</v>
      </c>
    </row>
    <row r="866" spans="1:9" x14ac:dyDescent="0.2">
      <c r="A866" s="10" t="s">
        <v>1745</v>
      </c>
      <c r="B866" s="10">
        <v>1018.01545192294</v>
      </c>
      <c r="C866" s="10">
        <v>-1.4732460133632701</v>
      </c>
      <c r="D866" s="10">
        <v>0.20016601892298999</v>
      </c>
      <c r="E866" s="10">
        <v>-7.3601204704484502</v>
      </c>
      <c r="F866" s="4">
        <v>1.83744327845373E-13</v>
      </c>
      <c r="G866" s="4">
        <v>3.98880126504922E-12</v>
      </c>
      <c r="H866" s="10" t="s">
        <v>1746</v>
      </c>
      <c r="I866" s="10" t="s">
        <v>18</v>
      </c>
    </row>
    <row r="867" spans="1:9" x14ac:dyDescent="0.2">
      <c r="A867" s="10" t="s">
        <v>1747</v>
      </c>
      <c r="B867" s="10">
        <v>154.52650774935</v>
      </c>
      <c r="C867" s="10">
        <v>5.4977203354896202</v>
      </c>
      <c r="D867" s="10">
        <v>0.51653806651990097</v>
      </c>
      <c r="E867" s="10">
        <v>10.6433982156043</v>
      </c>
      <c r="F867" s="4">
        <v>1.8717573614333001E-26</v>
      </c>
      <c r="G867" s="4">
        <v>1.15384101418491E-24</v>
      </c>
      <c r="H867" s="10" t="s">
        <v>1748</v>
      </c>
      <c r="I867" s="10" t="s">
        <v>18</v>
      </c>
    </row>
    <row r="868" spans="1:9" x14ac:dyDescent="0.2">
      <c r="A868" s="10" t="s">
        <v>1749</v>
      </c>
      <c r="B868" s="10">
        <v>5738.3196064529102</v>
      </c>
      <c r="C868" s="10">
        <v>4.1850089172992702</v>
      </c>
      <c r="D868" s="10">
        <v>0.19621452624024199</v>
      </c>
      <c r="E868" s="10">
        <v>21.328741543708102</v>
      </c>
      <c r="F868" s="4">
        <v>6.1438607350076496E-101</v>
      </c>
      <c r="G868" s="4">
        <v>6.9750738936147302E-98</v>
      </c>
      <c r="H868" s="10" t="s">
        <v>1750</v>
      </c>
      <c r="I868" s="10" t="s">
        <v>18</v>
      </c>
    </row>
    <row r="869" spans="1:9" x14ac:dyDescent="0.2">
      <c r="A869" s="10" t="s">
        <v>1751</v>
      </c>
      <c r="B869" s="10">
        <v>1252.60304025151</v>
      </c>
      <c r="C869" s="10">
        <v>-1.70509147429293</v>
      </c>
      <c r="D869" s="10">
        <v>0.21293881360338501</v>
      </c>
      <c r="E869" s="10">
        <v>-8.0074245058432307</v>
      </c>
      <c r="F869" s="4">
        <v>1.1713560602368299E-15</v>
      </c>
      <c r="G869" s="4">
        <v>3.1107152605529102E-14</v>
      </c>
      <c r="H869" s="10" t="s">
        <v>1752</v>
      </c>
      <c r="I869" s="10" t="s">
        <v>18</v>
      </c>
    </row>
    <row r="870" spans="1:9" x14ac:dyDescent="0.2">
      <c r="A870" s="10" t="s">
        <v>1753</v>
      </c>
      <c r="B870" s="10">
        <v>283.70897027324799</v>
      </c>
      <c r="C870" s="10">
        <v>1.0034430072501099</v>
      </c>
      <c r="D870" s="10">
        <v>0.28363949789050802</v>
      </c>
      <c r="E870" s="10">
        <v>3.5377407403163001</v>
      </c>
      <c r="F870" s="10">
        <v>4.03566104521004E-4</v>
      </c>
      <c r="G870" s="10">
        <v>1.98483134474437E-3</v>
      </c>
      <c r="H870" s="10" t="s">
        <v>1754</v>
      </c>
      <c r="I870" s="10" t="s">
        <v>18</v>
      </c>
    </row>
    <row r="871" spans="1:9" x14ac:dyDescent="0.2">
      <c r="A871" s="10" t="s">
        <v>1755</v>
      </c>
      <c r="B871" s="10">
        <v>561.66399689212199</v>
      </c>
      <c r="C871" s="10">
        <v>1.4319151691841301</v>
      </c>
      <c r="D871" s="10">
        <v>0.227873618868492</v>
      </c>
      <c r="E871" s="10">
        <v>6.2838128270148896</v>
      </c>
      <c r="F871" s="4">
        <v>3.3036843233500101E-10</v>
      </c>
      <c r="G871" s="4">
        <v>4.7627241671067601E-9</v>
      </c>
      <c r="H871" s="10" t="s">
        <v>1756</v>
      </c>
      <c r="I871" s="10" t="s">
        <v>18</v>
      </c>
    </row>
    <row r="872" spans="1:9" x14ac:dyDescent="0.2">
      <c r="A872" s="10" t="s">
        <v>1757</v>
      </c>
      <c r="B872" s="10">
        <v>29.671314907963598</v>
      </c>
      <c r="C872" s="10">
        <v>3.7425261068059199</v>
      </c>
      <c r="D872" s="10">
        <v>0.78332809103538803</v>
      </c>
      <c r="E872" s="10">
        <v>4.7777248762509297</v>
      </c>
      <c r="F872" s="4">
        <v>1.77289728043085E-6</v>
      </c>
      <c r="G872" s="4">
        <v>1.45107035746168E-5</v>
      </c>
      <c r="H872" s="10" t="s">
        <v>1758</v>
      </c>
      <c r="I872" s="10" t="s">
        <v>18</v>
      </c>
    </row>
    <row r="873" spans="1:9" x14ac:dyDescent="0.2">
      <c r="A873" s="10" t="s">
        <v>1759</v>
      </c>
      <c r="B873" s="10">
        <v>127.751011587468</v>
      </c>
      <c r="C873" s="10">
        <v>-1.22694320554646</v>
      </c>
      <c r="D873" s="10">
        <v>0.383575857679538</v>
      </c>
      <c r="E873" s="10">
        <v>-3.1986976786519099</v>
      </c>
      <c r="F873" s="10">
        <v>1.38049852922051E-3</v>
      </c>
      <c r="G873" s="10">
        <v>5.8498356805087599E-3</v>
      </c>
      <c r="H873" s="10" t="s">
        <v>1760</v>
      </c>
      <c r="I873" s="10" t="s">
        <v>18</v>
      </c>
    </row>
    <row r="874" spans="1:9" x14ac:dyDescent="0.2">
      <c r="A874" s="10" t="s">
        <v>1761</v>
      </c>
      <c r="B874" s="10">
        <v>284.03849507260003</v>
      </c>
      <c r="C874" s="10">
        <v>-2.1200232181413998</v>
      </c>
      <c r="D874" s="10">
        <v>0.287468732121618</v>
      </c>
      <c r="E874" s="10">
        <v>-7.3747958690842497</v>
      </c>
      <c r="F874" s="4">
        <v>1.6459705278871199E-13</v>
      </c>
      <c r="G874" s="4">
        <v>3.59933860139168E-12</v>
      </c>
      <c r="H874" s="10" t="s">
        <v>1762</v>
      </c>
      <c r="I874" s="10" t="s">
        <v>18</v>
      </c>
    </row>
    <row r="875" spans="1:9" x14ac:dyDescent="0.2">
      <c r="A875" s="10" t="s">
        <v>1763</v>
      </c>
      <c r="B875" s="10">
        <v>3885.0332422698302</v>
      </c>
      <c r="C875" s="10">
        <v>2.0541934897826701</v>
      </c>
      <c r="D875" s="10">
        <v>0.20551425458690101</v>
      </c>
      <c r="E875" s="10">
        <v>9.9953820425339597</v>
      </c>
      <c r="F875" s="4">
        <v>1.5967034689418001E-23</v>
      </c>
      <c r="G875" s="4">
        <v>7.9389378500469603E-22</v>
      </c>
      <c r="H875" s="10" t="s">
        <v>1764</v>
      </c>
      <c r="I875" s="10" t="s">
        <v>18</v>
      </c>
    </row>
    <row r="876" spans="1:9" x14ac:dyDescent="0.2">
      <c r="A876" s="10" t="s">
        <v>1765</v>
      </c>
      <c r="B876" s="10">
        <v>1106.81611109152</v>
      </c>
      <c r="C876" s="10">
        <v>-1.3955793990422101</v>
      </c>
      <c r="D876" s="10">
        <v>0.23363745097708</v>
      </c>
      <c r="E876" s="10">
        <v>-5.97326923918168</v>
      </c>
      <c r="F876" s="4">
        <v>2.3254563943810101E-9</v>
      </c>
      <c r="G876" s="4">
        <v>2.9972426857946797E-8</v>
      </c>
      <c r="H876" s="10" t="s">
        <v>1766</v>
      </c>
      <c r="I876" s="10" t="s">
        <v>18</v>
      </c>
    </row>
    <row r="877" spans="1:9" x14ac:dyDescent="0.2">
      <c r="A877" s="10" t="s">
        <v>1767</v>
      </c>
      <c r="B877" s="10">
        <v>2273.3279954903301</v>
      </c>
      <c r="C877" s="10">
        <v>-1.0861656941014399</v>
      </c>
      <c r="D877" s="10">
        <v>0.230935189398848</v>
      </c>
      <c r="E877" s="10">
        <v>-4.70333558488361</v>
      </c>
      <c r="F877" s="4">
        <v>2.55945216264188E-6</v>
      </c>
      <c r="G877" s="4">
        <v>2.0343463557614801E-5</v>
      </c>
      <c r="H877" s="10" t="s">
        <v>1768</v>
      </c>
      <c r="I877" s="10" t="s">
        <v>18</v>
      </c>
    </row>
    <row r="878" spans="1:9" x14ac:dyDescent="0.2">
      <c r="A878" s="10" t="s">
        <v>1769</v>
      </c>
      <c r="B878" s="10">
        <v>1712.03166631416</v>
      </c>
      <c r="C878" s="10">
        <v>-1.9690853823705301</v>
      </c>
      <c r="D878" s="10">
        <v>0.23938587555965801</v>
      </c>
      <c r="E878" s="10">
        <v>-8.2255704425627698</v>
      </c>
      <c r="F878" s="4">
        <v>1.94264055100498E-16</v>
      </c>
      <c r="G878" s="4">
        <v>5.51365907221173E-15</v>
      </c>
      <c r="H878" s="10" t="s">
        <v>1770</v>
      </c>
      <c r="I878" s="10" t="s">
        <v>18</v>
      </c>
    </row>
    <row r="879" spans="1:9" x14ac:dyDescent="0.2">
      <c r="A879" s="10" t="s">
        <v>1771</v>
      </c>
      <c r="B879" s="10">
        <v>42.118263956442803</v>
      </c>
      <c r="C879" s="10">
        <v>3.7892599256844801</v>
      </c>
      <c r="D879" s="10">
        <v>0.662603242828118</v>
      </c>
      <c r="E879" s="10">
        <v>5.7187464243476702</v>
      </c>
      <c r="F879" s="4">
        <v>1.0731280102746601E-8</v>
      </c>
      <c r="G879" s="4">
        <v>1.26852576555114E-7</v>
      </c>
      <c r="H879" s="10" t="s">
        <v>1772</v>
      </c>
      <c r="I879" s="10" t="s">
        <v>18</v>
      </c>
    </row>
    <row r="880" spans="1:9" x14ac:dyDescent="0.2">
      <c r="A880" s="10" t="s">
        <v>1773</v>
      </c>
      <c r="B880" s="10">
        <v>1660.0112851978899</v>
      </c>
      <c r="C880" s="10">
        <v>-1.29011212906821</v>
      </c>
      <c r="D880" s="10">
        <v>0.19658122116308199</v>
      </c>
      <c r="E880" s="10">
        <v>-6.5627434880870101</v>
      </c>
      <c r="F880" s="4">
        <v>5.28266791633747E-11</v>
      </c>
      <c r="G880" s="4">
        <v>8.5473190449196605E-10</v>
      </c>
      <c r="H880" s="10" t="s">
        <v>1774</v>
      </c>
      <c r="I880" s="10" t="s">
        <v>18</v>
      </c>
    </row>
    <row r="881" spans="1:9" x14ac:dyDescent="0.2">
      <c r="A881" s="10" t="s">
        <v>1775</v>
      </c>
      <c r="B881" s="10">
        <v>873.14365791352998</v>
      </c>
      <c r="C881" s="10">
        <v>-1.1842249567332901</v>
      </c>
      <c r="D881" s="10">
        <v>0.23032180171230601</v>
      </c>
      <c r="E881" s="10">
        <v>-5.1416103379240496</v>
      </c>
      <c r="F881" s="4">
        <v>2.7239360541121699E-7</v>
      </c>
      <c r="G881" s="4">
        <v>2.56458485371093E-6</v>
      </c>
      <c r="H881" s="10" t="s">
        <v>1776</v>
      </c>
      <c r="I881" s="10" t="s">
        <v>18</v>
      </c>
    </row>
    <row r="882" spans="1:9" x14ac:dyDescent="0.2">
      <c r="A882" s="10" t="s">
        <v>1777</v>
      </c>
      <c r="B882" s="10">
        <v>840.96939726436801</v>
      </c>
      <c r="C882" s="10">
        <v>1.4425583071025601</v>
      </c>
      <c r="D882" s="10">
        <v>0.212607621441016</v>
      </c>
      <c r="E882" s="10">
        <v>6.7850733540272703</v>
      </c>
      <c r="F882" s="4">
        <v>1.16027543334321E-11</v>
      </c>
      <c r="G882" s="4">
        <v>2.03305625288119E-10</v>
      </c>
      <c r="H882" s="10" t="s">
        <v>1778</v>
      </c>
      <c r="I882" s="10" t="s">
        <v>18</v>
      </c>
    </row>
    <row r="883" spans="1:9" x14ac:dyDescent="0.2">
      <c r="A883" s="10" t="s">
        <v>1779</v>
      </c>
      <c r="B883" s="10">
        <v>860.22785809888001</v>
      </c>
      <c r="C883" s="10">
        <v>-1.54796348678568</v>
      </c>
      <c r="D883" s="10">
        <v>0.22906965392162701</v>
      </c>
      <c r="E883" s="10">
        <v>-6.7576104485463304</v>
      </c>
      <c r="F883" s="4">
        <v>1.40286095521559E-11</v>
      </c>
      <c r="G883" s="4">
        <v>2.42229102957916E-10</v>
      </c>
      <c r="H883" s="10" t="s">
        <v>1780</v>
      </c>
      <c r="I883" s="10" t="s">
        <v>18</v>
      </c>
    </row>
    <row r="884" spans="1:9" x14ac:dyDescent="0.2">
      <c r="A884" s="10" t="s">
        <v>1781</v>
      </c>
      <c r="B884" s="10">
        <v>1820.38396084942</v>
      </c>
      <c r="C884" s="10">
        <v>1.4937433580023001</v>
      </c>
      <c r="D884" s="10">
        <v>0.23615310534660899</v>
      </c>
      <c r="E884" s="10">
        <v>6.3253174494990896</v>
      </c>
      <c r="F884" s="4">
        <v>2.5271250576338202E-10</v>
      </c>
      <c r="G884" s="4">
        <v>3.6964936360532198E-9</v>
      </c>
      <c r="H884" s="10" t="s">
        <v>1782</v>
      </c>
      <c r="I884" s="10" t="s">
        <v>18</v>
      </c>
    </row>
    <row r="885" spans="1:9" x14ac:dyDescent="0.2">
      <c r="A885" s="10" t="s">
        <v>1783</v>
      </c>
      <c r="B885" s="10">
        <v>1121.4483857338801</v>
      </c>
      <c r="C885" s="10">
        <v>-2.29712026933794</v>
      </c>
      <c r="D885" s="10">
        <v>0.23393331068468001</v>
      </c>
      <c r="E885" s="10">
        <v>-9.8195518313090595</v>
      </c>
      <c r="F885" s="4">
        <v>9.2754987363386302E-23</v>
      </c>
      <c r="G885" s="4">
        <v>4.3649311583595599E-21</v>
      </c>
      <c r="H885" s="10" t="s">
        <v>1784</v>
      </c>
      <c r="I885" s="10" t="s">
        <v>18</v>
      </c>
    </row>
    <row r="886" spans="1:9" x14ac:dyDescent="0.2">
      <c r="A886" s="10" t="s">
        <v>1785</v>
      </c>
      <c r="B886" s="10">
        <v>346.59472848478202</v>
      </c>
      <c r="C886" s="10">
        <v>1.0672833521056899</v>
      </c>
      <c r="D886" s="10">
        <v>0.24371518089751601</v>
      </c>
      <c r="E886" s="10">
        <v>4.3792239292409398</v>
      </c>
      <c r="F886" s="4">
        <v>1.1910269847028401E-5</v>
      </c>
      <c r="G886" s="4">
        <v>8.3188700979744401E-5</v>
      </c>
      <c r="H886" s="10" t="s">
        <v>1786</v>
      </c>
      <c r="I886" s="10" t="s">
        <v>18</v>
      </c>
    </row>
    <row r="887" spans="1:9" x14ac:dyDescent="0.2">
      <c r="A887" s="10" t="s">
        <v>1787</v>
      </c>
      <c r="B887" s="10">
        <v>1155.5222781797499</v>
      </c>
      <c r="C887" s="10">
        <v>-2.0798410414969899</v>
      </c>
      <c r="D887" s="10">
        <v>0.20128401737335899</v>
      </c>
      <c r="E887" s="10">
        <v>-10.3328673018242</v>
      </c>
      <c r="F887" s="4">
        <v>5.0041948507143801E-25</v>
      </c>
      <c r="G887" s="4">
        <v>2.7883291839962098E-23</v>
      </c>
      <c r="H887" s="10" t="s">
        <v>1788</v>
      </c>
      <c r="I887" s="10" t="s">
        <v>18</v>
      </c>
    </row>
    <row r="888" spans="1:9" x14ac:dyDescent="0.2">
      <c r="A888" s="10" t="s">
        <v>1789</v>
      </c>
      <c r="B888" s="10">
        <v>127.44901111580501</v>
      </c>
      <c r="C888" s="10">
        <v>-2.0386721276706501</v>
      </c>
      <c r="D888" s="10">
        <v>0.35344092153193002</v>
      </c>
      <c r="E888" s="10">
        <v>-5.7680704283883504</v>
      </c>
      <c r="F888" s="4">
        <v>8.0184297983931693E-9</v>
      </c>
      <c r="G888" s="4">
        <v>9.6628994567367896E-8</v>
      </c>
      <c r="H888" s="10" t="s">
        <v>1790</v>
      </c>
      <c r="I888" s="10" t="s">
        <v>18</v>
      </c>
    </row>
    <row r="889" spans="1:9" x14ac:dyDescent="0.2">
      <c r="A889" s="10" t="s">
        <v>1791</v>
      </c>
      <c r="B889" s="10">
        <v>34.725173218486098</v>
      </c>
      <c r="C889" s="10">
        <v>1.51321247446878</v>
      </c>
      <c r="D889" s="10">
        <v>0.60374926532677597</v>
      </c>
      <c r="E889" s="10">
        <v>2.5063591152359601</v>
      </c>
      <c r="F889" s="10">
        <v>1.2198165856194701E-2</v>
      </c>
      <c r="G889" s="10">
        <v>3.7529745379825702E-2</v>
      </c>
      <c r="H889" s="10" t="s">
        <v>1792</v>
      </c>
      <c r="I889" s="10" t="s">
        <v>18</v>
      </c>
    </row>
    <row r="890" spans="1:9" x14ac:dyDescent="0.2">
      <c r="A890" s="10" t="s">
        <v>1793</v>
      </c>
      <c r="B890" s="10">
        <v>4791.2298951680796</v>
      </c>
      <c r="C890" s="10">
        <v>-1.4373208022233199</v>
      </c>
      <c r="D890" s="10">
        <v>0.211514629039083</v>
      </c>
      <c r="E890" s="10">
        <v>-6.7953730139286899</v>
      </c>
      <c r="F890" s="4">
        <v>1.0803263901446499E-11</v>
      </c>
      <c r="G890" s="4">
        <v>1.9052202687554299E-10</v>
      </c>
      <c r="H890" s="10" t="s">
        <v>1794</v>
      </c>
      <c r="I890" s="10" t="s">
        <v>18</v>
      </c>
    </row>
    <row r="891" spans="1:9" x14ac:dyDescent="0.2">
      <c r="A891" s="10" t="s">
        <v>1795</v>
      </c>
      <c r="B891" s="10">
        <v>3268.6007445938098</v>
      </c>
      <c r="C891" s="10">
        <v>-1.1960244480045901</v>
      </c>
      <c r="D891" s="10">
        <v>0.19113519793686301</v>
      </c>
      <c r="E891" s="10">
        <v>-6.2574787946679997</v>
      </c>
      <c r="F891" s="4">
        <v>3.9125083347693598E-10</v>
      </c>
      <c r="G891" s="4">
        <v>5.5842909689607604E-9</v>
      </c>
      <c r="H891" s="10" t="s">
        <v>1796</v>
      </c>
      <c r="I891" s="10" t="s">
        <v>18</v>
      </c>
    </row>
    <row r="892" spans="1:9" x14ac:dyDescent="0.2">
      <c r="A892" s="10" t="s">
        <v>1797</v>
      </c>
      <c r="B892" s="10">
        <v>49.154103254618299</v>
      </c>
      <c r="C892" s="10">
        <v>-1.4329136842290799</v>
      </c>
      <c r="D892" s="10">
        <v>0.50103957783990705</v>
      </c>
      <c r="E892" s="10">
        <v>-2.8598812301548899</v>
      </c>
      <c r="F892" s="10">
        <v>4.2379969547981702E-3</v>
      </c>
      <c r="G892" s="10">
        <v>1.5384053161122501E-2</v>
      </c>
      <c r="H892" s="10" t="s">
        <v>1798</v>
      </c>
      <c r="I892" s="10" t="s">
        <v>18</v>
      </c>
    </row>
    <row r="893" spans="1:9" x14ac:dyDescent="0.2">
      <c r="A893" s="10" t="s">
        <v>1799</v>
      </c>
      <c r="B893" s="10">
        <v>50.179774817735698</v>
      </c>
      <c r="C893" s="10">
        <v>4.0520786200247398</v>
      </c>
      <c r="D893" s="10">
        <v>0.65974083312638399</v>
      </c>
      <c r="E893" s="10">
        <v>6.1419248537683</v>
      </c>
      <c r="F893" s="4">
        <v>8.1527427799545296E-10</v>
      </c>
      <c r="G893" s="4">
        <v>1.1224748990673099E-8</v>
      </c>
      <c r="H893" s="10" t="s">
        <v>1800</v>
      </c>
      <c r="I893" s="10" t="s">
        <v>18</v>
      </c>
    </row>
    <row r="894" spans="1:9" x14ac:dyDescent="0.2">
      <c r="A894" s="10" t="s">
        <v>1801</v>
      </c>
      <c r="B894" s="10">
        <v>6.7519734148814896</v>
      </c>
      <c r="C894" s="10">
        <v>6.1494628660046899</v>
      </c>
      <c r="D894" s="10">
        <v>1.90159178459093</v>
      </c>
      <c r="E894" s="10">
        <v>3.2338501437770799</v>
      </c>
      <c r="F894" s="10">
        <v>1.22133521966576E-3</v>
      </c>
      <c r="G894" s="10">
        <v>5.2554833749578096E-3</v>
      </c>
      <c r="H894" s="10" t="s">
        <v>1802</v>
      </c>
      <c r="I894" s="10" t="s">
        <v>18</v>
      </c>
    </row>
    <row r="895" spans="1:9" x14ac:dyDescent="0.2">
      <c r="A895" s="10" t="s">
        <v>1803</v>
      </c>
      <c r="B895" s="10">
        <v>15.391171026432</v>
      </c>
      <c r="C895" s="10">
        <v>2.9072173468135101</v>
      </c>
      <c r="D895" s="10">
        <v>0.95849491115949703</v>
      </c>
      <c r="E895" s="10">
        <v>3.0331067102866802</v>
      </c>
      <c r="F895" s="10">
        <v>2.4204999115394598E-3</v>
      </c>
      <c r="G895" s="10">
        <v>9.4880392878313596E-3</v>
      </c>
      <c r="H895" s="10" t="s">
        <v>1804</v>
      </c>
      <c r="I895" s="10" t="s">
        <v>18</v>
      </c>
    </row>
    <row r="896" spans="1:9" x14ac:dyDescent="0.2">
      <c r="A896" s="10" t="s">
        <v>1805</v>
      </c>
      <c r="B896" s="10">
        <v>3489.3472761249</v>
      </c>
      <c r="C896" s="10">
        <v>1.0642916497628601</v>
      </c>
      <c r="D896" s="10">
        <v>0.17526437061346101</v>
      </c>
      <c r="E896" s="10">
        <v>6.0724929204813201</v>
      </c>
      <c r="F896" s="4">
        <v>1.25939652526809E-9</v>
      </c>
      <c r="G896" s="4">
        <v>1.6928849099151199E-8</v>
      </c>
      <c r="H896" s="10" t="s">
        <v>1806</v>
      </c>
      <c r="I896" s="10" t="s">
        <v>18</v>
      </c>
    </row>
    <row r="897" spans="1:9" x14ac:dyDescent="0.2">
      <c r="A897" s="10" t="s">
        <v>1807</v>
      </c>
      <c r="B897" s="10">
        <v>58.638048799049002</v>
      </c>
      <c r="C897" s="10">
        <v>2.6121214095235401</v>
      </c>
      <c r="D897" s="10">
        <v>0.53312198256347398</v>
      </c>
      <c r="E897" s="10">
        <v>4.8996692970028404</v>
      </c>
      <c r="F897" s="4">
        <v>9.5998100411943296E-7</v>
      </c>
      <c r="G897" s="4">
        <v>8.2774058288741093E-6</v>
      </c>
      <c r="H897" s="10" t="s">
        <v>1808</v>
      </c>
      <c r="I897" s="10" t="s">
        <v>18</v>
      </c>
    </row>
    <row r="898" spans="1:9" x14ac:dyDescent="0.2">
      <c r="A898" s="10" t="s">
        <v>1809</v>
      </c>
      <c r="B898" s="10">
        <v>265.81688802603799</v>
      </c>
      <c r="C898" s="10">
        <v>-1.49796605623098</v>
      </c>
      <c r="D898" s="10">
        <v>0.273436350349816</v>
      </c>
      <c r="E898" s="10">
        <v>-5.47829889593896</v>
      </c>
      <c r="F898" s="4">
        <v>4.2943428645378901E-8</v>
      </c>
      <c r="G898" s="4">
        <v>4.6542545755793101E-7</v>
      </c>
      <c r="H898" s="10" t="s">
        <v>1810</v>
      </c>
      <c r="I898" s="10" t="s">
        <v>18</v>
      </c>
    </row>
    <row r="899" spans="1:9" x14ac:dyDescent="0.2">
      <c r="A899" s="10" t="s">
        <v>1811</v>
      </c>
      <c r="B899" s="10">
        <v>593.42509185712299</v>
      </c>
      <c r="C899" s="10">
        <v>-1.8102936536885299</v>
      </c>
      <c r="D899" s="10">
        <v>0.23145412497175599</v>
      </c>
      <c r="E899" s="10">
        <v>-7.8213929171037098</v>
      </c>
      <c r="F899" s="4">
        <v>5.2242001102470396E-15</v>
      </c>
      <c r="G899" s="4">
        <v>1.29051478154036E-13</v>
      </c>
      <c r="H899" s="10" t="s">
        <v>1812</v>
      </c>
      <c r="I899" s="10" t="s">
        <v>18</v>
      </c>
    </row>
    <row r="900" spans="1:9" x14ac:dyDescent="0.2">
      <c r="A900" s="10" t="s">
        <v>1813</v>
      </c>
      <c r="B900" s="10">
        <v>7.3742006763044099</v>
      </c>
      <c r="C900" s="10">
        <v>4.7880582450455504</v>
      </c>
      <c r="D900" s="10">
        <v>1.83861232792217</v>
      </c>
      <c r="E900" s="10">
        <v>2.6041695534896001</v>
      </c>
      <c r="F900" s="10">
        <v>9.2097182968161294E-3</v>
      </c>
      <c r="G900" s="10">
        <v>2.9654596364139599E-2</v>
      </c>
      <c r="H900" s="10" t="s">
        <v>1814</v>
      </c>
      <c r="I900" s="10" t="s">
        <v>18</v>
      </c>
    </row>
    <row r="901" spans="1:9" x14ac:dyDescent="0.2">
      <c r="A901" s="10" t="s">
        <v>1815</v>
      </c>
      <c r="B901" s="10">
        <v>11.1908883232093</v>
      </c>
      <c r="C901" s="10">
        <v>6.8774013179738596</v>
      </c>
      <c r="D901" s="10">
        <v>1.7464027080084601</v>
      </c>
      <c r="E901" s="10">
        <v>3.9380386244456802</v>
      </c>
      <c r="F901" s="4">
        <v>8.2150372962616199E-5</v>
      </c>
      <c r="G901" s="10">
        <v>4.8012681512492501E-4</v>
      </c>
      <c r="H901" s="10" t="s">
        <v>1816</v>
      </c>
      <c r="I901" s="10" t="s">
        <v>18</v>
      </c>
    </row>
    <row r="902" spans="1:9" x14ac:dyDescent="0.2">
      <c r="A902" s="10" t="s">
        <v>1817</v>
      </c>
      <c r="B902" s="10">
        <v>111.036167781667</v>
      </c>
      <c r="C902" s="10">
        <v>5.7214815429921702</v>
      </c>
      <c r="D902" s="10">
        <v>0.61288904595731897</v>
      </c>
      <c r="E902" s="10">
        <v>9.3352648097264392</v>
      </c>
      <c r="F902" s="4">
        <v>1.00739109896829E-20</v>
      </c>
      <c r="G902" s="4">
        <v>4.1905931715403102E-19</v>
      </c>
      <c r="H902" s="10" t="s">
        <v>1818</v>
      </c>
      <c r="I902" s="10" t="s">
        <v>18</v>
      </c>
    </row>
    <row r="903" spans="1:9" x14ac:dyDescent="0.2">
      <c r="A903" s="10" t="s">
        <v>1819</v>
      </c>
      <c r="B903" s="10">
        <v>1474.8418740162899</v>
      </c>
      <c r="C903" s="10">
        <v>-2.3845671639979198</v>
      </c>
      <c r="D903" s="10">
        <v>0.19931793674095699</v>
      </c>
      <c r="E903" s="10">
        <v>-11.9636356014312</v>
      </c>
      <c r="F903" s="4">
        <v>5.5095774593512301E-33</v>
      </c>
      <c r="G903" s="4">
        <v>5.1944448801018303E-31</v>
      </c>
      <c r="H903" s="10" t="s">
        <v>1820</v>
      </c>
      <c r="I903" s="10" t="s">
        <v>18</v>
      </c>
    </row>
    <row r="904" spans="1:9" x14ac:dyDescent="0.2">
      <c r="A904" s="10" t="s">
        <v>1821</v>
      </c>
      <c r="B904" s="10">
        <v>66.011576945738199</v>
      </c>
      <c r="C904" s="10">
        <v>-1.6503681053557</v>
      </c>
      <c r="D904" s="10">
        <v>0.44574314401750198</v>
      </c>
      <c r="E904" s="10">
        <v>-3.7025092309460099</v>
      </c>
      <c r="F904" s="10">
        <v>2.1347759074097101E-4</v>
      </c>
      <c r="G904" s="10">
        <v>1.12944153687752E-3</v>
      </c>
      <c r="H904" s="10" t="s">
        <v>1822</v>
      </c>
      <c r="I904" s="10" t="s">
        <v>18</v>
      </c>
    </row>
    <row r="905" spans="1:9" x14ac:dyDescent="0.2">
      <c r="A905" s="10" t="s">
        <v>1823</v>
      </c>
      <c r="B905" s="10">
        <v>103.677898270638</v>
      </c>
      <c r="C905" s="10">
        <v>-1.0284590570038701</v>
      </c>
      <c r="D905" s="10">
        <v>0.36930701254167497</v>
      </c>
      <c r="E905" s="10">
        <v>-2.7848348990876799</v>
      </c>
      <c r="F905" s="10">
        <v>5.3554984362884804E-3</v>
      </c>
      <c r="G905" s="10">
        <v>1.8813984772247602E-2</v>
      </c>
      <c r="H905" s="10" t="s">
        <v>1824</v>
      </c>
      <c r="I905" s="10" t="s">
        <v>18</v>
      </c>
    </row>
    <row r="906" spans="1:9" x14ac:dyDescent="0.2">
      <c r="A906" s="10" t="s">
        <v>1825</v>
      </c>
      <c r="B906" s="10">
        <v>64.295811149619695</v>
      </c>
      <c r="C906" s="10">
        <v>3.77313433782105</v>
      </c>
      <c r="D906" s="10">
        <v>0.55714189360283095</v>
      </c>
      <c r="E906" s="10">
        <v>6.7723041134487003</v>
      </c>
      <c r="F906" s="4">
        <v>1.26747355896483E-11</v>
      </c>
      <c r="G906" s="4">
        <v>2.2066998122118099E-10</v>
      </c>
      <c r="H906" s="10" t="s">
        <v>1826</v>
      </c>
      <c r="I906" s="10" t="s">
        <v>18</v>
      </c>
    </row>
    <row r="907" spans="1:9" x14ac:dyDescent="0.2">
      <c r="A907" s="10" t="s">
        <v>1827</v>
      </c>
      <c r="B907" s="10">
        <v>130.79209115544799</v>
      </c>
      <c r="C907" s="10">
        <v>-1.21545251086176</v>
      </c>
      <c r="D907" s="10">
        <v>0.35178745460561101</v>
      </c>
      <c r="E907" s="10">
        <v>-3.45507633927539</v>
      </c>
      <c r="F907" s="10">
        <v>5.5013703272003103E-4</v>
      </c>
      <c r="G907" s="10">
        <v>2.6077911848508498E-3</v>
      </c>
      <c r="H907" s="10" t="s">
        <v>1828</v>
      </c>
      <c r="I907" s="10" t="s">
        <v>18</v>
      </c>
    </row>
    <row r="908" spans="1:9" x14ac:dyDescent="0.2">
      <c r="A908" s="10" t="s">
        <v>1829</v>
      </c>
      <c r="B908" s="10">
        <v>10.816987810537899</v>
      </c>
      <c r="C908" s="10">
        <v>3.70712897975389</v>
      </c>
      <c r="D908" s="10">
        <v>1.2955566483193499</v>
      </c>
      <c r="E908" s="10">
        <v>2.86141789674957</v>
      </c>
      <c r="F908" s="10">
        <v>4.2175072574352299E-3</v>
      </c>
      <c r="G908" s="10">
        <v>1.53239658945643E-2</v>
      </c>
      <c r="H908" s="10" t="s">
        <v>1830</v>
      </c>
      <c r="I908" s="10" t="s">
        <v>18</v>
      </c>
    </row>
    <row r="909" spans="1:9" x14ac:dyDescent="0.2">
      <c r="A909" s="10" t="s">
        <v>1831</v>
      </c>
      <c r="B909" s="10">
        <v>9.13467023963827</v>
      </c>
      <c r="C909" s="10">
        <v>5.1049058326668897</v>
      </c>
      <c r="D909" s="10">
        <v>1.7741165434225801</v>
      </c>
      <c r="E909" s="10">
        <v>2.8774354489805001</v>
      </c>
      <c r="F909" s="10">
        <v>4.0092192710801796E-3</v>
      </c>
      <c r="G909" s="10">
        <v>1.46807146188848E-2</v>
      </c>
      <c r="H909" s="10" t="s">
        <v>1832</v>
      </c>
      <c r="I909" s="10" t="s">
        <v>18</v>
      </c>
    </row>
    <row r="910" spans="1:9" x14ac:dyDescent="0.2">
      <c r="A910" s="10" t="s">
        <v>1833</v>
      </c>
      <c r="B910" s="10">
        <v>2123.0644141836701</v>
      </c>
      <c r="C910" s="10">
        <v>1.34625844009436</v>
      </c>
      <c r="D910" s="10">
        <v>0.19822846939347799</v>
      </c>
      <c r="E910" s="10">
        <v>6.7914484948278204</v>
      </c>
      <c r="F910" s="4">
        <v>1.11013217889192E-11</v>
      </c>
      <c r="G910" s="4">
        <v>1.9514691276302001E-10</v>
      </c>
      <c r="H910" s="10" t="s">
        <v>1834</v>
      </c>
      <c r="I910" s="10" t="s">
        <v>18</v>
      </c>
    </row>
    <row r="911" spans="1:9" x14ac:dyDescent="0.2">
      <c r="A911" s="10" t="s">
        <v>1835</v>
      </c>
      <c r="B911" s="10">
        <v>9.7018711756550307</v>
      </c>
      <c r="C911" s="10">
        <v>4.1449332769318099</v>
      </c>
      <c r="D911" s="10">
        <v>1.4441584833116099</v>
      </c>
      <c r="E911" s="10">
        <v>2.8701374016978001</v>
      </c>
      <c r="F911" s="10">
        <v>4.1029346816137003E-3</v>
      </c>
      <c r="G911" s="10">
        <v>1.4967554059436099E-2</v>
      </c>
      <c r="H911" s="10" t="s">
        <v>1836</v>
      </c>
      <c r="I911" s="10" t="s">
        <v>18</v>
      </c>
    </row>
    <row r="912" spans="1:9" x14ac:dyDescent="0.2">
      <c r="A912" s="10" t="s">
        <v>1837</v>
      </c>
      <c r="B912" s="10">
        <v>54.8195842713437</v>
      </c>
      <c r="C912" s="10">
        <v>5.3759776538815096</v>
      </c>
      <c r="D912" s="10">
        <v>0.79829083680461699</v>
      </c>
      <c r="E912" s="10">
        <v>6.7343597170679903</v>
      </c>
      <c r="F912" s="4">
        <v>1.6465337229939E-11</v>
      </c>
      <c r="G912" s="4">
        <v>2.8322666887888098E-10</v>
      </c>
      <c r="H912" s="10" t="s">
        <v>1838</v>
      </c>
      <c r="I912" s="10" t="s">
        <v>18</v>
      </c>
    </row>
    <row r="913" spans="1:9" x14ac:dyDescent="0.2">
      <c r="A913" s="10" t="s">
        <v>1839</v>
      </c>
      <c r="B913" s="10">
        <v>1293.4979778427801</v>
      </c>
      <c r="C913" s="10">
        <v>1.69015525309012</v>
      </c>
      <c r="D913" s="10">
        <v>0.207199474747426</v>
      </c>
      <c r="E913" s="10">
        <v>8.1571406257201993</v>
      </c>
      <c r="F913" s="4">
        <v>3.4304889971695801E-16</v>
      </c>
      <c r="G913" s="4">
        <v>9.4990379782398007E-15</v>
      </c>
      <c r="H913" s="10" t="s">
        <v>1840</v>
      </c>
      <c r="I913" s="10" t="s">
        <v>18</v>
      </c>
    </row>
    <row r="914" spans="1:9" x14ac:dyDescent="0.2">
      <c r="A914" s="10" t="s">
        <v>1841</v>
      </c>
      <c r="B914" s="10">
        <v>449.17100795236001</v>
      </c>
      <c r="C914" s="10">
        <v>-1.36648985760669</v>
      </c>
      <c r="D914" s="10">
        <v>0.228616845453156</v>
      </c>
      <c r="E914" s="10">
        <v>-5.9772054631323703</v>
      </c>
      <c r="F914" s="4">
        <v>2.2699783102504299E-9</v>
      </c>
      <c r="G914" s="4">
        <v>2.9312843137153301E-8</v>
      </c>
      <c r="H914" s="10" t="s">
        <v>1842</v>
      </c>
      <c r="I914" s="10" t="s">
        <v>18</v>
      </c>
    </row>
    <row r="915" spans="1:9" x14ac:dyDescent="0.2">
      <c r="A915" s="10" t="s">
        <v>1843</v>
      </c>
      <c r="B915" s="10">
        <v>236.32363997622099</v>
      </c>
      <c r="C915" s="10">
        <v>1.0516674997859501</v>
      </c>
      <c r="D915" s="10">
        <v>0.27969057887938398</v>
      </c>
      <c r="E915" s="10">
        <v>3.7601105621776498</v>
      </c>
      <c r="F915" s="10">
        <v>1.6983827850364599E-4</v>
      </c>
      <c r="G915" s="10">
        <v>9.2106013825248804E-4</v>
      </c>
      <c r="H915" s="10" t="s">
        <v>1844</v>
      </c>
      <c r="I915" s="10" t="s">
        <v>18</v>
      </c>
    </row>
    <row r="916" spans="1:9" x14ac:dyDescent="0.2">
      <c r="A916" s="10" t="s">
        <v>1845</v>
      </c>
      <c r="B916" s="10">
        <v>8.4430159278847903</v>
      </c>
      <c r="C916" s="10">
        <v>3.9384924344898402</v>
      </c>
      <c r="D916" s="10">
        <v>1.4685123774536799</v>
      </c>
      <c r="E916" s="10">
        <v>2.68196066642555</v>
      </c>
      <c r="F916" s="10">
        <v>7.3192064946571E-3</v>
      </c>
      <c r="G916" s="10">
        <v>2.4457489074488199E-2</v>
      </c>
      <c r="H916" s="10" t="s">
        <v>1846</v>
      </c>
      <c r="I916" s="10" t="s">
        <v>18</v>
      </c>
    </row>
    <row r="917" spans="1:9" x14ac:dyDescent="0.2">
      <c r="A917" s="10" t="s">
        <v>1847</v>
      </c>
      <c r="B917" s="10">
        <v>1159.7674302877001</v>
      </c>
      <c r="C917" s="10">
        <v>-1.34008131144042</v>
      </c>
      <c r="D917" s="10">
        <v>0.19181772301575101</v>
      </c>
      <c r="E917" s="10">
        <v>-6.9862225990993396</v>
      </c>
      <c r="F917" s="4">
        <v>2.82385917705188E-12</v>
      </c>
      <c r="G917" s="4">
        <v>5.2953675841109801E-11</v>
      </c>
      <c r="H917" s="10" t="s">
        <v>1848</v>
      </c>
      <c r="I917" s="10" t="s">
        <v>18</v>
      </c>
    </row>
    <row r="918" spans="1:9" x14ac:dyDescent="0.2">
      <c r="A918" s="10" t="s">
        <v>1849</v>
      </c>
      <c r="B918" s="10">
        <v>7.5671219328146799</v>
      </c>
      <c r="C918" s="10">
        <v>4.82033408964804</v>
      </c>
      <c r="D918" s="10">
        <v>1.8300607674228599</v>
      </c>
      <c r="E918" s="10">
        <v>2.6339748796626901</v>
      </c>
      <c r="F918" s="10">
        <v>8.4391731347117499E-3</v>
      </c>
      <c r="G918" s="10">
        <v>2.7597473643961999E-2</v>
      </c>
      <c r="H918" s="10" t="s">
        <v>1850</v>
      </c>
      <c r="I918" s="10" t="s">
        <v>18</v>
      </c>
    </row>
    <row r="919" spans="1:9" x14ac:dyDescent="0.2">
      <c r="A919" s="10" t="s">
        <v>1851</v>
      </c>
      <c r="B919" s="10">
        <v>484.008869212131</v>
      </c>
      <c r="C919" s="10">
        <v>-1.42191099756636</v>
      </c>
      <c r="D919" s="10">
        <v>0.23504271856971001</v>
      </c>
      <c r="E919" s="10">
        <v>-6.0495853954507703</v>
      </c>
      <c r="F919" s="4">
        <v>1.45219073106843E-9</v>
      </c>
      <c r="G919" s="4">
        <v>1.9320234789756601E-8</v>
      </c>
      <c r="H919" s="10" t="s">
        <v>1852</v>
      </c>
      <c r="I919" s="10" t="s">
        <v>18</v>
      </c>
    </row>
    <row r="920" spans="1:9" x14ac:dyDescent="0.2">
      <c r="A920" s="10" t="s">
        <v>1853</v>
      </c>
      <c r="B920" s="10">
        <v>185.95912814958601</v>
      </c>
      <c r="C920" s="10">
        <v>-1.47240613161453</v>
      </c>
      <c r="D920" s="10">
        <v>0.29806816982960699</v>
      </c>
      <c r="E920" s="10">
        <v>-4.9398301484396603</v>
      </c>
      <c r="F920" s="4">
        <v>7.8190650527833902E-7</v>
      </c>
      <c r="G920" s="4">
        <v>6.8174740957820504E-6</v>
      </c>
      <c r="H920" s="10" t="s">
        <v>1854</v>
      </c>
      <c r="I920" s="10" t="s">
        <v>18</v>
      </c>
    </row>
    <row r="921" spans="1:9" x14ac:dyDescent="0.2">
      <c r="A921" s="10" t="s">
        <v>1855</v>
      </c>
      <c r="B921" s="10">
        <v>3.9618079650943998</v>
      </c>
      <c r="C921" s="10">
        <v>5.3771408192735599</v>
      </c>
      <c r="D921" s="10">
        <v>2.19654804218851</v>
      </c>
      <c r="E921" s="10">
        <v>2.4479959991751898</v>
      </c>
      <c r="F921" s="10">
        <v>1.43653250707227E-2</v>
      </c>
      <c r="G921" s="10">
        <v>4.3002857855634E-2</v>
      </c>
      <c r="H921" s="10" t="s">
        <v>1856</v>
      </c>
      <c r="I921" s="10" t="s">
        <v>18</v>
      </c>
    </row>
    <row r="922" spans="1:9" x14ac:dyDescent="0.2">
      <c r="A922" s="10" t="s">
        <v>1857</v>
      </c>
      <c r="B922" s="10">
        <v>38.204669033428601</v>
      </c>
      <c r="C922" s="10">
        <v>7.1964401247508398</v>
      </c>
      <c r="D922" s="10">
        <v>1.5401501002834299</v>
      </c>
      <c r="E922" s="10">
        <v>4.6725576444961403</v>
      </c>
      <c r="F922" s="4">
        <v>2.9747199017338001E-6</v>
      </c>
      <c r="G922" s="4">
        <v>2.3405195830938702E-5</v>
      </c>
      <c r="H922" s="10" t="s">
        <v>1858</v>
      </c>
      <c r="I922" s="10" t="s">
        <v>18</v>
      </c>
    </row>
    <row r="923" spans="1:9" x14ac:dyDescent="0.2">
      <c r="A923" s="10" t="s">
        <v>1859</v>
      </c>
      <c r="B923" s="10">
        <v>14.2136848293414</v>
      </c>
      <c r="C923" s="10">
        <v>2.5555831736172601</v>
      </c>
      <c r="D923" s="10">
        <v>0.96103464968581398</v>
      </c>
      <c r="E923" s="10">
        <v>2.6591998264086998</v>
      </c>
      <c r="F923" s="10">
        <v>7.8326491619340795E-3</v>
      </c>
      <c r="G923" s="10">
        <v>2.59126021995165E-2</v>
      </c>
      <c r="H923" s="10" t="s">
        <v>1860</v>
      </c>
      <c r="I923" s="10" t="s">
        <v>18</v>
      </c>
    </row>
    <row r="924" spans="1:9" x14ac:dyDescent="0.2">
      <c r="A924" s="10" t="s">
        <v>1861</v>
      </c>
      <c r="B924" s="10">
        <v>4.5476292227480499</v>
      </c>
      <c r="C924" s="10">
        <v>5.5744939162496001</v>
      </c>
      <c r="D924" s="10">
        <v>2.1839988111781001</v>
      </c>
      <c r="E924" s="10">
        <v>2.5524253436944799</v>
      </c>
      <c r="F924" s="10">
        <v>1.0697583288758699E-2</v>
      </c>
      <c r="G924" s="10">
        <v>3.3704561964478297E-2</v>
      </c>
      <c r="H924" s="10" t="s">
        <v>1862</v>
      </c>
      <c r="I924" s="10" t="s">
        <v>18</v>
      </c>
    </row>
    <row r="925" spans="1:9" x14ac:dyDescent="0.2">
      <c r="A925" s="10" t="s">
        <v>1863</v>
      </c>
      <c r="B925" s="10">
        <v>4.2909566987279701</v>
      </c>
      <c r="C925" s="10">
        <v>5.4906776166512303</v>
      </c>
      <c r="D925" s="10">
        <v>2.2108381641221801</v>
      </c>
      <c r="E925" s="10">
        <v>2.4835276076534099</v>
      </c>
      <c r="F925" s="10">
        <v>1.30088250259493E-2</v>
      </c>
      <c r="G925" s="10">
        <v>3.9643379429822101E-2</v>
      </c>
      <c r="H925" s="10" t="s">
        <v>1864</v>
      </c>
      <c r="I925" s="10" t="s">
        <v>18</v>
      </c>
    </row>
    <row r="926" spans="1:9" x14ac:dyDescent="0.2">
      <c r="A926" s="10" t="s">
        <v>1865</v>
      </c>
      <c r="B926" s="10">
        <v>24.892821077685301</v>
      </c>
      <c r="C926" s="10">
        <v>2.6920109183498702</v>
      </c>
      <c r="D926" s="10">
        <v>0.82030773595231898</v>
      </c>
      <c r="E926" s="10">
        <v>3.2817085593184601</v>
      </c>
      <c r="F926" s="10">
        <v>1.0318018891636699E-3</v>
      </c>
      <c r="G926" s="10">
        <v>4.5388288785990502E-3</v>
      </c>
      <c r="H926" s="10" t="s">
        <v>1866</v>
      </c>
      <c r="I926" s="10" t="s">
        <v>18</v>
      </c>
    </row>
    <row r="927" spans="1:9" x14ac:dyDescent="0.2">
      <c r="A927" s="10" t="s">
        <v>1867</v>
      </c>
      <c r="B927" s="10">
        <v>1325.1167080678499</v>
      </c>
      <c r="C927" s="10">
        <v>2.03862392383876</v>
      </c>
      <c r="D927" s="10">
        <v>0.207489290633462</v>
      </c>
      <c r="E927" s="10">
        <v>9.8252007012741203</v>
      </c>
      <c r="F927" s="4">
        <v>8.7699166105264405E-23</v>
      </c>
      <c r="G927" s="4">
        <v>4.1413157346102897E-21</v>
      </c>
      <c r="H927" s="10" t="s">
        <v>1868</v>
      </c>
      <c r="I927" s="10" t="s">
        <v>18</v>
      </c>
    </row>
    <row r="928" spans="1:9" x14ac:dyDescent="0.2">
      <c r="A928" s="10" t="s">
        <v>1869</v>
      </c>
      <c r="B928" s="10">
        <v>6.53742604636144</v>
      </c>
      <c r="C928" s="10">
        <v>4.5972269486047104</v>
      </c>
      <c r="D928" s="10">
        <v>1.8870152278735499</v>
      </c>
      <c r="E928" s="10">
        <v>2.43624263370956</v>
      </c>
      <c r="F928" s="10">
        <v>1.4840726110578999E-2</v>
      </c>
      <c r="G928" s="10">
        <v>4.4163965086822299E-2</v>
      </c>
      <c r="H928" s="10" t="s">
        <v>1870</v>
      </c>
      <c r="I928" s="10" t="s">
        <v>18</v>
      </c>
    </row>
    <row r="929" spans="1:9" x14ac:dyDescent="0.2">
      <c r="A929" s="10" t="s">
        <v>1871</v>
      </c>
      <c r="B929" s="10">
        <v>5.9457177380145003</v>
      </c>
      <c r="C929" s="10">
        <v>5.9678110559896602</v>
      </c>
      <c r="D929" s="10">
        <v>1.9490680149737301</v>
      </c>
      <c r="E929" s="10">
        <v>3.0618793239342601</v>
      </c>
      <c r="F929" s="10">
        <v>2.1995210751093899E-3</v>
      </c>
      <c r="G929" s="10">
        <v>8.7349294175055308E-3</v>
      </c>
      <c r="H929" s="10" t="s">
        <v>1872</v>
      </c>
      <c r="I929" s="10" t="s">
        <v>18</v>
      </c>
    </row>
    <row r="930" spans="1:9" x14ac:dyDescent="0.2">
      <c r="A930" s="10" t="s">
        <v>1873</v>
      </c>
      <c r="B930" s="10">
        <v>1147.9443671061599</v>
      </c>
      <c r="C930" s="10">
        <v>2.91922490173142</v>
      </c>
      <c r="D930" s="10">
        <v>0.20313642646378099</v>
      </c>
      <c r="E930" s="10">
        <v>14.3707603434282</v>
      </c>
      <c r="F930" s="4">
        <v>7.8959586950079001E-47</v>
      </c>
      <c r="G930" s="4">
        <v>1.38784534237747E-44</v>
      </c>
      <c r="H930" s="10" t="s">
        <v>1874</v>
      </c>
      <c r="I930" s="10" t="s">
        <v>18</v>
      </c>
    </row>
    <row r="931" spans="1:9" x14ac:dyDescent="0.2">
      <c r="A931" s="10" t="s">
        <v>1875</v>
      </c>
      <c r="B931" s="10">
        <v>1322.0251176019101</v>
      </c>
      <c r="C931" s="10">
        <v>-1.1116460820298599</v>
      </c>
      <c r="D931" s="10">
        <v>0.19081867001983899</v>
      </c>
      <c r="E931" s="10">
        <v>-5.8256672783343504</v>
      </c>
      <c r="F931" s="4">
        <v>5.6884848021286402E-9</v>
      </c>
      <c r="G931" s="4">
        <v>6.9837149089604694E-8</v>
      </c>
      <c r="H931" s="10" t="s">
        <v>1876</v>
      </c>
      <c r="I931" s="10" t="s">
        <v>18</v>
      </c>
    </row>
    <row r="932" spans="1:9" x14ac:dyDescent="0.2">
      <c r="A932" s="10" t="s">
        <v>1877</v>
      </c>
      <c r="B932" s="10">
        <v>22.689591697057399</v>
      </c>
      <c r="C932" s="10">
        <v>6.4403116646450904</v>
      </c>
      <c r="D932" s="10">
        <v>1.58717948080053</v>
      </c>
      <c r="E932" s="10">
        <v>4.0577084964560903</v>
      </c>
      <c r="F932" s="4">
        <v>4.9556569279601999E-5</v>
      </c>
      <c r="G932" s="10">
        <v>3.0397745231006601E-4</v>
      </c>
      <c r="H932" s="10" t="s">
        <v>1878</v>
      </c>
      <c r="I932" s="10" t="s">
        <v>18</v>
      </c>
    </row>
    <row r="933" spans="1:9" x14ac:dyDescent="0.2">
      <c r="A933" s="10" t="s">
        <v>1879</v>
      </c>
      <c r="B933" s="10">
        <v>251.84973327853601</v>
      </c>
      <c r="C933" s="10">
        <v>1.6492934331264799</v>
      </c>
      <c r="D933" s="10">
        <v>0.273574080248637</v>
      </c>
      <c r="E933" s="10">
        <v>6.0286904067356097</v>
      </c>
      <c r="F933" s="4">
        <v>1.65293578793651E-9</v>
      </c>
      <c r="G933" s="4">
        <v>2.17993908102159E-8</v>
      </c>
      <c r="H933" s="10" t="s">
        <v>1880</v>
      </c>
      <c r="I933" s="10" t="s">
        <v>18</v>
      </c>
    </row>
    <row r="934" spans="1:9" x14ac:dyDescent="0.2">
      <c r="A934" s="10" t="s">
        <v>1881</v>
      </c>
      <c r="B934" s="10">
        <v>5.1726943755813402</v>
      </c>
      <c r="C934" s="10">
        <v>5.7625288115753097</v>
      </c>
      <c r="D934" s="10">
        <v>2.0437771331615</v>
      </c>
      <c r="E934" s="10">
        <v>2.8195485300597798</v>
      </c>
      <c r="F934" s="10">
        <v>4.8091258350547398E-3</v>
      </c>
      <c r="G934" s="10">
        <v>1.71555710431705E-2</v>
      </c>
      <c r="H934" s="10" t="s">
        <v>1882</v>
      </c>
      <c r="I934" s="10" t="s">
        <v>18</v>
      </c>
    </row>
    <row r="935" spans="1:9" x14ac:dyDescent="0.2">
      <c r="A935" s="10" t="s">
        <v>1883</v>
      </c>
      <c r="B935" s="10">
        <v>20.264980984673201</v>
      </c>
      <c r="C935" s="10">
        <v>5.2586807194001297</v>
      </c>
      <c r="D935" s="10">
        <v>1.2407706177358699</v>
      </c>
      <c r="E935" s="10">
        <v>4.2382376276737102</v>
      </c>
      <c r="F935" s="4">
        <v>2.2528125520326201E-5</v>
      </c>
      <c r="G935" s="10">
        <v>1.4815926527934499E-4</v>
      </c>
      <c r="H935" s="10" t="s">
        <v>1884</v>
      </c>
      <c r="I935" s="10" t="s">
        <v>18</v>
      </c>
    </row>
    <row r="936" spans="1:9" x14ac:dyDescent="0.2">
      <c r="A936" s="10" t="s">
        <v>1885</v>
      </c>
      <c r="B936" s="10">
        <v>1451.67331005561</v>
      </c>
      <c r="C936" s="10">
        <v>-1.16680162658428</v>
      </c>
      <c r="D936" s="10">
        <v>0.206495034237929</v>
      </c>
      <c r="E936" s="10">
        <v>-5.6505069523360199</v>
      </c>
      <c r="F936" s="4">
        <v>1.5997533621123101E-8</v>
      </c>
      <c r="G936" s="4">
        <v>1.8485360414535201E-7</v>
      </c>
      <c r="H936" s="10" t="s">
        <v>1886</v>
      </c>
      <c r="I936" s="10" t="s">
        <v>18</v>
      </c>
    </row>
    <row r="937" spans="1:9" x14ac:dyDescent="0.2">
      <c r="A937" s="10" t="s">
        <v>1887</v>
      </c>
      <c r="B937" s="10">
        <v>22.460394543507999</v>
      </c>
      <c r="C937" s="10">
        <v>3.7504996094193701</v>
      </c>
      <c r="D937" s="10">
        <v>0.93848258482656</v>
      </c>
      <c r="E937" s="10">
        <v>3.9963443862013701</v>
      </c>
      <c r="F937" s="4">
        <v>6.4328133466709701E-5</v>
      </c>
      <c r="G937" s="10">
        <v>3.8429043029323401E-4</v>
      </c>
      <c r="H937" s="10" t="s">
        <v>1888</v>
      </c>
      <c r="I937" s="10" t="s">
        <v>18</v>
      </c>
    </row>
    <row r="938" spans="1:9" x14ac:dyDescent="0.2">
      <c r="A938" s="10" t="s">
        <v>1889</v>
      </c>
      <c r="B938" s="10">
        <v>63.764998185452399</v>
      </c>
      <c r="C938" s="10">
        <v>1.72937716342845</v>
      </c>
      <c r="D938" s="10">
        <v>0.48146215485878302</v>
      </c>
      <c r="E938" s="10">
        <v>3.5919275190709299</v>
      </c>
      <c r="F938" s="10">
        <v>3.28241153096659E-4</v>
      </c>
      <c r="G938" s="10">
        <v>1.65010824694182E-3</v>
      </c>
      <c r="H938" s="10" t="s">
        <v>1890</v>
      </c>
      <c r="I938" s="10" t="s">
        <v>18</v>
      </c>
    </row>
    <row r="939" spans="1:9" x14ac:dyDescent="0.2">
      <c r="A939" s="10" t="s">
        <v>1891</v>
      </c>
      <c r="B939" s="10">
        <v>13.029889045812499</v>
      </c>
      <c r="C939" s="10">
        <v>4.5970865782346504</v>
      </c>
      <c r="D939" s="10">
        <v>1.34001029459433</v>
      </c>
      <c r="E939" s="10">
        <v>3.4306352695792901</v>
      </c>
      <c r="F939" s="10">
        <v>6.0216965638687904E-4</v>
      </c>
      <c r="G939" s="10">
        <v>2.8205804757733001E-3</v>
      </c>
      <c r="H939" s="10" t="s">
        <v>1892</v>
      </c>
      <c r="I939" s="10" t="s">
        <v>18</v>
      </c>
    </row>
    <row r="940" spans="1:9" x14ac:dyDescent="0.2">
      <c r="A940" s="10" t="s">
        <v>1893</v>
      </c>
      <c r="B940" s="10">
        <v>14.2771814600687</v>
      </c>
      <c r="C940" s="10">
        <v>4.1271063654046696</v>
      </c>
      <c r="D940" s="10">
        <v>1.17270929821061</v>
      </c>
      <c r="E940" s="10">
        <v>3.5192919265687199</v>
      </c>
      <c r="F940" s="10">
        <v>4.3270030094026598E-4</v>
      </c>
      <c r="G940" s="10">
        <v>2.1075768858990701E-3</v>
      </c>
      <c r="H940" s="10" t="s">
        <v>1894</v>
      </c>
      <c r="I940" s="10" t="s">
        <v>18</v>
      </c>
    </row>
    <row r="941" spans="1:9" x14ac:dyDescent="0.2">
      <c r="A941" s="10" t="s">
        <v>1895</v>
      </c>
      <c r="B941" s="10">
        <v>4.2577243842941197</v>
      </c>
      <c r="C941" s="10">
        <v>5.4867669360524598</v>
      </c>
      <c r="D941" s="10">
        <v>2.11613036159978</v>
      </c>
      <c r="E941" s="10">
        <v>2.5928303074412198</v>
      </c>
      <c r="F941" s="10">
        <v>9.5189725018600003E-3</v>
      </c>
      <c r="G941" s="10">
        <v>3.0470329388883902E-2</v>
      </c>
      <c r="H941" s="10" t="s">
        <v>1896</v>
      </c>
      <c r="I941" s="10" t="s">
        <v>18</v>
      </c>
    </row>
    <row r="942" spans="1:9" x14ac:dyDescent="0.2">
      <c r="A942" s="10" t="s">
        <v>1897</v>
      </c>
      <c r="B942" s="10">
        <v>17.301477521219098</v>
      </c>
      <c r="C942" s="10">
        <v>2.4981078616657402</v>
      </c>
      <c r="D942" s="10">
        <v>0.95954253344336204</v>
      </c>
      <c r="E942" s="10">
        <v>2.60343629865074</v>
      </c>
      <c r="F942" s="10">
        <v>9.2294417263390893E-3</v>
      </c>
      <c r="G942" s="10">
        <v>2.9695893237658502E-2</v>
      </c>
      <c r="H942" s="10" t="s">
        <v>1898</v>
      </c>
      <c r="I942" s="10" t="s">
        <v>18</v>
      </c>
    </row>
    <row r="943" spans="1:9" x14ac:dyDescent="0.2">
      <c r="A943" s="10" t="s">
        <v>1899</v>
      </c>
      <c r="B943" s="10">
        <v>4.5868731179276896</v>
      </c>
      <c r="C943" s="10">
        <v>5.5915059184507401</v>
      </c>
      <c r="D943" s="10">
        <v>2.0812331718906201</v>
      </c>
      <c r="E943" s="10">
        <v>2.6866311732727901</v>
      </c>
      <c r="F943" s="10">
        <v>7.2176601926175997E-3</v>
      </c>
      <c r="G943" s="10">
        <v>2.4195323236743602E-2</v>
      </c>
      <c r="H943" s="10" t="s">
        <v>1900</v>
      </c>
      <c r="I943" s="10" t="s">
        <v>18</v>
      </c>
    </row>
    <row r="944" spans="1:9" x14ac:dyDescent="0.2">
      <c r="A944" s="10" t="s">
        <v>1901</v>
      </c>
      <c r="B944" s="10">
        <v>2692.8884479664098</v>
      </c>
      <c r="C944" s="10">
        <v>-1.6990041157334901</v>
      </c>
      <c r="D944" s="10">
        <v>0.191965356865297</v>
      </c>
      <c r="E944" s="10">
        <v>-8.8505767054922</v>
      </c>
      <c r="F944" s="4">
        <v>8.7068197332198802E-19</v>
      </c>
      <c r="G944" s="4">
        <v>3.0220983091852499E-17</v>
      </c>
      <c r="H944" s="10" t="s">
        <v>1902</v>
      </c>
      <c r="I944" s="10" t="s">
        <v>18</v>
      </c>
    </row>
    <row r="945" spans="1:9" x14ac:dyDescent="0.2">
      <c r="A945" s="10" t="s">
        <v>1903</v>
      </c>
      <c r="B945" s="10">
        <v>3311.43736942756</v>
      </c>
      <c r="C945" s="10">
        <v>-1.11300743255378</v>
      </c>
      <c r="D945" s="10">
        <v>0.176734107364246</v>
      </c>
      <c r="E945" s="10">
        <v>-6.2976380119989699</v>
      </c>
      <c r="F945" s="4">
        <v>3.0221524893797899E-10</v>
      </c>
      <c r="G945" s="4">
        <v>4.3823623671171401E-9</v>
      </c>
      <c r="H945" s="10" t="s">
        <v>1904</v>
      </c>
      <c r="I945" s="10" t="s">
        <v>18</v>
      </c>
    </row>
    <row r="946" spans="1:9" x14ac:dyDescent="0.2">
      <c r="A946" s="10" t="s">
        <v>1905</v>
      </c>
      <c r="B946" s="10">
        <v>17.3236836359508</v>
      </c>
      <c r="C946" s="10">
        <v>6.0413104022730399</v>
      </c>
      <c r="D946" s="10">
        <v>1.6438448412589599</v>
      </c>
      <c r="E946" s="10">
        <v>3.6751098708599699</v>
      </c>
      <c r="F946" s="10">
        <v>2.3774707929802901E-4</v>
      </c>
      <c r="G946" s="10">
        <v>1.2395512188353201E-3</v>
      </c>
      <c r="H946" s="10" t="s">
        <v>1906</v>
      </c>
      <c r="I946" s="10" t="s">
        <v>18</v>
      </c>
    </row>
    <row r="947" spans="1:9" x14ac:dyDescent="0.2">
      <c r="A947" s="10" t="s">
        <v>1907</v>
      </c>
      <c r="B947" s="10">
        <v>3.8530936506741802</v>
      </c>
      <c r="C947" s="10">
        <v>5.3403250580865702</v>
      </c>
      <c r="D947" s="10">
        <v>2.1789621139591802</v>
      </c>
      <c r="E947" s="10">
        <v>2.4508572333014098</v>
      </c>
      <c r="F947" s="10">
        <v>1.4251646682892799E-2</v>
      </c>
      <c r="G947" s="10">
        <v>4.2728280938466097E-2</v>
      </c>
      <c r="H947" s="10" t="s">
        <v>1908</v>
      </c>
      <c r="I947" s="10" t="s">
        <v>18</v>
      </c>
    </row>
    <row r="948" spans="1:9" x14ac:dyDescent="0.2">
      <c r="A948" s="10" t="s">
        <v>1909</v>
      </c>
      <c r="B948" s="10">
        <v>6.5707828908477897</v>
      </c>
      <c r="C948" s="10">
        <v>6.1138111095610004</v>
      </c>
      <c r="D948" s="10">
        <v>1.9091683263975801</v>
      </c>
      <c r="E948" s="10">
        <v>3.2023426248104601</v>
      </c>
      <c r="F948" s="10">
        <v>1.3631476007978499E-3</v>
      </c>
      <c r="G948" s="10">
        <v>5.7862101073281099E-3</v>
      </c>
      <c r="H948" s="10" t="s">
        <v>1910</v>
      </c>
      <c r="I948" s="10" t="s">
        <v>18</v>
      </c>
    </row>
    <row r="949" spans="1:9" x14ac:dyDescent="0.2">
      <c r="A949" s="10" t="s">
        <v>1911</v>
      </c>
      <c r="B949" s="10">
        <v>6499.3962849159298</v>
      </c>
      <c r="C949" s="10">
        <v>9.4473725423649295</v>
      </c>
      <c r="D949" s="10">
        <v>0.32629480023457402</v>
      </c>
      <c r="E949" s="10">
        <v>28.953487875299199</v>
      </c>
      <c r="F949" s="4">
        <v>2.5364251344922299E-184</v>
      </c>
      <c r="G949" s="4">
        <v>6.9109975639509698E-180</v>
      </c>
      <c r="H949" s="10" t="s">
        <v>1912</v>
      </c>
      <c r="I949" s="10" t="s">
        <v>18</v>
      </c>
    </row>
    <row r="950" spans="1:9" x14ac:dyDescent="0.2">
      <c r="A950" s="10" t="s">
        <v>1913</v>
      </c>
      <c r="B950" s="10">
        <v>3164.0136072168202</v>
      </c>
      <c r="C950" s="10">
        <v>1.05291502802106</v>
      </c>
      <c r="D950" s="10">
        <v>0.18772912527173399</v>
      </c>
      <c r="E950" s="10">
        <v>5.60869298515611</v>
      </c>
      <c r="F950" s="4">
        <v>2.0386029226650801E-8</v>
      </c>
      <c r="G950" s="4">
        <v>2.3260391052703301E-7</v>
      </c>
      <c r="H950" s="10" t="s">
        <v>1914</v>
      </c>
      <c r="I950" s="10" t="s">
        <v>18</v>
      </c>
    </row>
    <row r="951" spans="1:9" x14ac:dyDescent="0.2">
      <c r="A951" s="10" t="s">
        <v>1915</v>
      </c>
      <c r="B951" s="10">
        <v>8.8779977156181893</v>
      </c>
      <c r="C951" s="10">
        <v>5.0628967352389003</v>
      </c>
      <c r="D951" s="10">
        <v>1.78155743299794</v>
      </c>
      <c r="E951" s="10">
        <v>2.8418375077132598</v>
      </c>
      <c r="F951" s="10">
        <v>4.4854346656680302E-3</v>
      </c>
      <c r="G951" s="10">
        <v>1.6157408558362899E-2</v>
      </c>
      <c r="H951" s="10" t="s">
        <v>1916</v>
      </c>
      <c r="I951" s="10" t="s">
        <v>18</v>
      </c>
    </row>
    <row r="952" spans="1:9" x14ac:dyDescent="0.2">
      <c r="A952" s="10" t="s">
        <v>1917</v>
      </c>
      <c r="B952" s="10">
        <v>1493.9507381584301</v>
      </c>
      <c r="C952" s="10">
        <v>1.19037860272013</v>
      </c>
      <c r="D952" s="10">
        <v>0.19528739735387801</v>
      </c>
      <c r="E952" s="10">
        <v>6.0955218762174699</v>
      </c>
      <c r="F952" s="4">
        <v>1.09080993143759E-9</v>
      </c>
      <c r="G952" s="4">
        <v>1.4769068189586301E-8</v>
      </c>
      <c r="H952" s="10" t="s">
        <v>1918</v>
      </c>
      <c r="I952" s="10" t="s">
        <v>18</v>
      </c>
    </row>
    <row r="953" spans="1:9" x14ac:dyDescent="0.2">
      <c r="A953" s="10" t="s">
        <v>1919</v>
      </c>
      <c r="B953" s="10">
        <v>5.8007653187875299</v>
      </c>
      <c r="C953" s="10">
        <v>5.93546411782095</v>
      </c>
      <c r="D953" s="10">
        <v>1.9704464687610299</v>
      </c>
      <c r="E953" s="10">
        <v>3.01224327172564</v>
      </c>
      <c r="F953" s="10">
        <v>2.59324684567092E-3</v>
      </c>
      <c r="G953" s="10">
        <v>1.00853835004276E-2</v>
      </c>
      <c r="H953" s="10" t="s">
        <v>1920</v>
      </c>
      <c r="I953" s="10" t="s">
        <v>18</v>
      </c>
    </row>
    <row r="954" spans="1:9" x14ac:dyDescent="0.2">
      <c r="A954" s="10" t="s">
        <v>1921</v>
      </c>
      <c r="B954" s="10">
        <v>304.99800530054398</v>
      </c>
      <c r="C954" s="10">
        <v>1.39251227716398</v>
      </c>
      <c r="D954" s="10">
        <v>0.271324774870292</v>
      </c>
      <c r="E954" s="10">
        <v>5.1322710129573599</v>
      </c>
      <c r="F954" s="4">
        <v>2.8626689939474097E-7</v>
      </c>
      <c r="G954" s="4">
        <v>2.6877719530697901E-6</v>
      </c>
      <c r="H954" s="10" t="s">
        <v>1922</v>
      </c>
      <c r="I954" s="10" t="s">
        <v>18</v>
      </c>
    </row>
    <row r="955" spans="1:9" x14ac:dyDescent="0.2">
      <c r="A955" s="10" t="s">
        <v>1923</v>
      </c>
      <c r="B955" s="10">
        <v>3070.9087781693402</v>
      </c>
      <c r="C955" s="10">
        <v>-1.1025029612732</v>
      </c>
      <c r="D955" s="10">
        <v>0.19343611377626499</v>
      </c>
      <c r="E955" s="10">
        <v>-5.6995715006371004</v>
      </c>
      <c r="F955" s="4">
        <v>1.2010894158138399E-8</v>
      </c>
      <c r="G955" s="4">
        <v>1.4118241291061099E-7</v>
      </c>
      <c r="H955" s="10" t="s">
        <v>1924</v>
      </c>
      <c r="I955" s="10" t="s">
        <v>18</v>
      </c>
    </row>
    <row r="956" spans="1:9" x14ac:dyDescent="0.2">
      <c r="A956" s="10" t="s">
        <v>1925</v>
      </c>
      <c r="B956" s="10">
        <v>2045.4473643910101</v>
      </c>
      <c r="C956" s="10">
        <v>-1.78736549030115</v>
      </c>
      <c r="D956" s="10">
        <v>0.18471641364331901</v>
      </c>
      <c r="E956" s="10">
        <v>-9.6762678261634694</v>
      </c>
      <c r="F956" s="4">
        <v>3.8034774797440902E-22</v>
      </c>
      <c r="G956" s="4">
        <v>1.73299917877236E-20</v>
      </c>
      <c r="H956" s="10" t="s">
        <v>1926</v>
      </c>
      <c r="I956" s="10" t="s">
        <v>18</v>
      </c>
    </row>
    <row r="957" spans="1:9" x14ac:dyDescent="0.2">
      <c r="A957" s="10" t="s">
        <v>1927</v>
      </c>
      <c r="B957" s="10">
        <v>45.872104784901403</v>
      </c>
      <c r="C957" s="10">
        <v>1.51579614912362</v>
      </c>
      <c r="D957" s="10">
        <v>0.52168345625572299</v>
      </c>
      <c r="E957" s="10">
        <v>2.90558600420826</v>
      </c>
      <c r="F957" s="10">
        <v>3.6656609478795E-3</v>
      </c>
      <c r="G957" s="10">
        <v>1.36215832264101E-2</v>
      </c>
      <c r="H957" s="10" t="s">
        <v>1928</v>
      </c>
      <c r="I957" s="10" t="s">
        <v>18</v>
      </c>
    </row>
    <row r="958" spans="1:9" x14ac:dyDescent="0.2">
      <c r="A958" s="10" t="s">
        <v>1929</v>
      </c>
      <c r="B958" s="10">
        <v>34.359575112173196</v>
      </c>
      <c r="C958" s="10">
        <v>1.66525428969858</v>
      </c>
      <c r="D958" s="10">
        <v>0.60845778310668297</v>
      </c>
      <c r="E958" s="10">
        <v>2.7368444219680699</v>
      </c>
      <c r="F958" s="10">
        <v>6.2031621826412701E-3</v>
      </c>
      <c r="G958" s="10">
        <v>2.1299832572583801E-2</v>
      </c>
      <c r="H958" s="10" t="s">
        <v>1930</v>
      </c>
      <c r="I958" s="10" t="s">
        <v>18</v>
      </c>
    </row>
    <row r="959" spans="1:9" x14ac:dyDescent="0.2">
      <c r="A959" s="10" t="s">
        <v>1931</v>
      </c>
      <c r="B959" s="10">
        <v>7.2988865752805596</v>
      </c>
      <c r="C959" s="10">
        <v>3.7286325678223902</v>
      </c>
      <c r="D959" s="10">
        <v>1.55925272272043</v>
      </c>
      <c r="E959" s="10">
        <v>2.39129456918121</v>
      </c>
      <c r="F959" s="10">
        <v>1.6789076612084401E-2</v>
      </c>
      <c r="G959" s="10">
        <v>4.8930577649958597E-2</v>
      </c>
      <c r="H959" s="10" t="s">
        <v>1932</v>
      </c>
      <c r="I959" s="10" t="s">
        <v>18</v>
      </c>
    </row>
    <row r="960" spans="1:9" x14ac:dyDescent="0.2">
      <c r="A960" s="10" t="s">
        <v>1933</v>
      </c>
      <c r="B960" s="10">
        <v>279.034067362146</v>
      </c>
      <c r="C960" s="10">
        <v>-2.0609575965194198</v>
      </c>
      <c r="D960" s="10">
        <v>0.28202690816088499</v>
      </c>
      <c r="E960" s="10">
        <v>-7.3076629813766996</v>
      </c>
      <c r="F960" s="4">
        <v>2.7182852362854002E-13</v>
      </c>
      <c r="G960" s="4">
        <v>5.7728073135673001E-12</v>
      </c>
      <c r="H960" s="10" t="s">
        <v>1934</v>
      </c>
      <c r="I960" s="10" t="s">
        <v>18</v>
      </c>
    </row>
    <row r="961" spans="1:9" x14ac:dyDescent="0.2">
      <c r="A961" s="10" t="s">
        <v>1935</v>
      </c>
      <c r="B961" s="10">
        <v>904.95121998505897</v>
      </c>
      <c r="C961" s="10">
        <v>-2.1813891932205198</v>
      </c>
      <c r="D961" s="10">
        <v>0.21469014406992401</v>
      </c>
      <c r="E961" s="10">
        <v>-10.160639663598401</v>
      </c>
      <c r="F961" s="4">
        <v>2.97120638320831E-24</v>
      </c>
      <c r="G961" s="4">
        <v>1.5568550062168601E-22</v>
      </c>
      <c r="H961" s="10" t="s">
        <v>1936</v>
      </c>
      <c r="I961" s="10" t="s">
        <v>18</v>
      </c>
    </row>
    <row r="962" spans="1:9" x14ac:dyDescent="0.2">
      <c r="A962" s="10" t="s">
        <v>1937</v>
      </c>
      <c r="B962" s="10">
        <v>415.871894450036</v>
      </c>
      <c r="C962" s="10">
        <v>-1.56560774448035</v>
      </c>
      <c r="D962" s="10">
        <v>0.24233949399871299</v>
      </c>
      <c r="E962" s="10">
        <v>-6.4603904161352599</v>
      </c>
      <c r="F962" s="4">
        <v>1.0443319580571701E-10</v>
      </c>
      <c r="G962" s="4">
        <v>1.6204392289967901E-9</v>
      </c>
      <c r="H962" s="10" t="s">
        <v>1938</v>
      </c>
      <c r="I962" s="10" t="s">
        <v>18</v>
      </c>
    </row>
    <row r="963" spans="1:9" x14ac:dyDescent="0.2">
      <c r="A963" s="10" t="s">
        <v>1939</v>
      </c>
      <c r="B963" s="10">
        <v>496.21569309835502</v>
      </c>
      <c r="C963" s="10">
        <v>-1.2434041996654599</v>
      </c>
      <c r="D963" s="10">
        <v>0.260146166499023</v>
      </c>
      <c r="E963" s="10">
        <v>-4.7796368341646396</v>
      </c>
      <c r="F963" s="4">
        <v>1.75612118510228E-6</v>
      </c>
      <c r="G963" s="4">
        <v>1.4386793504925E-5</v>
      </c>
      <c r="H963" s="10" t="s">
        <v>1940</v>
      </c>
      <c r="I963" s="10" t="s">
        <v>18</v>
      </c>
    </row>
    <row r="964" spans="1:9" x14ac:dyDescent="0.2">
      <c r="A964" s="10" t="s">
        <v>1941</v>
      </c>
      <c r="B964" s="10">
        <v>4801.6939878987096</v>
      </c>
      <c r="C964" s="10">
        <v>-2.2453674457105399</v>
      </c>
      <c r="D964" s="10">
        <v>0.247232961740356</v>
      </c>
      <c r="E964" s="10">
        <v>-9.0819906451981502</v>
      </c>
      <c r="F964" s="4">
        <v>1.06606937207392E-19</v>
      </c>
      <c r="G964" s="4">
        <v>3.9954872325856903E-18</v>
      </c>
      <c r="H964" s="10" t="s">
        <v>1942</v>
      </c>
      <c r="I964" s="10" t="s">
        <v>18</v>
      </c>
    </row>
    <row r="965" spans="1:9" x14ac:dyDescent="0.2">
      <c r="A965" s="10" t="s">
        <v>1943</v>
      </c>
      <c r="B965" s="10">
        <v>883.22548341031097</v>
      </c>
      <c r="C965" s="10">
        <v>-1.83135150945852</v>
      </c>
      <c r="D965" s="10">
        <v>0.223731580958209</v>
      </c>
      <c r="E965" s="10">
        <v>-8.1854850424563104</v>
      </c>
      <c r="F965" s="4">
        <v>2.7120907259926399E-16</v>
      </c>
      <c r="G965" s="4">
        <v>7.6103332658209496E-15</v>
      </c>
      <c r="H965" s="10" t="s">
        <v>1944</v>
      </c>
      <c r="I965" s="10" t="s">
        <v>18</v>
      </c>
    </row>
    <row r="966" spans="1:9" x14ac:dyDescent="0.2">
      <c r="A966" s="10" t="s">
        <v>1945</v>
      </c>
      <c r="B966" s="10">
        <v>130.531292398738</v>
      </c>
      <c r="C966" s="10">
        <v>1.73074195752389</v>
      </c>
      <c r="D966" s="10">
        <v>0.34860278610229201</v>
      </c>
      <c r="E966" s="10">
        <v>4.9647966870122202</v>
      </c>
      <c r="F966" s="4">
        <v>6.8773077662984898E-7</v>
      </c>
      <c r="G966" s="4">
        <v>6.0564319556669403E-6</v>
      </c>
      <c r="H966" s="10" t="s">
        <v>1946</v>
      </c>
      <c r="I966" s="10" t="s">
        <v>18</v>
      </c>
    </row>
    <row r="967" spans="1:9" x14ac:dyDescent="0.2">
      <c r="A967" s="10" t="s">
        <v>1947</v>
      </c>
      <c r="B967" s="10">
        <v>43.479707839820698</v>
      </c>
      <c r="C967" s="10">
        <v>2.38642743963501</v>
      </c>
      <c r="D967" s="10">
        <v>0.57080430421461303</v>
      </c>
      <c r="E967" s="10">
        <v>4.1808154248566396</v>
      </c>
      <c r="F967" s="4">
        <v>2.9046557630150801E-5</v>
      </c>
      <c r="G967" s="10">
        <v>1.86834644888744E-4</v>
      </c>
      <c r="H967" s="10" t="s">
        <v>1948</v>
      </c>
      <c r="I967" s="10" t="s">
        <v>18</v>
      </c>
    </row>
    <row r="968" spans="1:9" x14ac:dyDescent="0.2">
      <c r="A968" s="10" t="s">
        <v>1949</v>
      </c>
      <c r="B968" s="10">
        <v>224.955905173274</v>
      </c>
      <c r="C968" s="10">
        <v>1.14337872328214</v>
      </c>
      <c r="D968" s="10">
        <v>0.30346214797226301</v>
      </c>
      <c r="E968" s="10">
        <v>3.7677803670810701</v>
      </c>
      <c r="F968" s="10">
        <v>1.6470551274327201E-4</v>
      </c>
      <c r="G968" s="10">
        <v>8.9682875813667997E-4</v>
      </c>
      <c r="H968" s="10" t="s">
        <v>1950</v>
      </c>
      <c r="I968" s="10" t="s">
        <v>18</v>
      </c>
    </row>
    <row r="969" spans="1:9" x14ac:dyDescent="0.2">
      <c r="A969" s="10" t="s">
        <v>1951</v>
      </c>
      <c r="B969" s="10">
        <v>1314.2049707262499</v>
      </c>
      <c r="C969" s="10">
        <v>-1.0605720408535</v>
      </c>
      <c r="D969" s="10">
        <v>0.19989724960412</v>
      </c>
      <c r="E969" s="10">
        <v>-5.3055859595561197</v>
      </c>
      <c r="F969" s="4">
        <v>1.1231162574649101E-7</v>
      </c>
      <c r="G969" s="4">
        <v>1.13171407792701E-6</v>
      </c>
      <c r="H969" s="10" t="s">
        <v>1952</v>
      </c>
      <c r="I969" s="10" t="s">
        <v>18</v>
      </c>
    </row>
    <row r="970" spans="1:9" x14ac:dyDescent="0.2">
      <c r="A970" s="10" t="s">
        <v>1953</v>
      </c>
      <c r="B970" s="10">
        <v>60.820339658013097</v>
      </c>
      <c r="C970" s="10">
        <v>-1.6414548897933401</v>
      </c>
      <c r="D970" s="10">
        <v>0.478132307509543</v>
      </c>
      <c r="E970" s="10">
        <v>-3.43305579650792</v>
      </c>
      <c r="F970" s="10">
        <v>5.9681926383916596E-4</v>
      </c>
      <c r="G970" s="10">
        <v>2.8017805792256599E-3</v>
      </c>
      <c r="H970" s="10" t="s">
        <v>1954</v>
      </c>
      <c r="I970" s="10" t="s">
        <v>18</v>
      </c>
    </row>
    <row r="971" spans="1:9" x14ac:dyDescent="0.2">
      <c r="A971" s="10" t="s">
        <v>1955</v>
      </c>
      <c r="B971" s="10">
        <v>6143.80521682368</v>
      </c>
      <c r="C971" s="10">
        <v>-1.3295616605819101</v>
      </c>
      <c r="D971" s="10">
        <v>0.19846103932419701</v>
      </c>
      <c r="E971" s="10">
        <v>-6.6993585497151296</v>
      </c>
      <c r="F971" s="4">
        <v>2.0933638695144998E-11</v>
      </c>
      <c r="G971" s="4">
        <v>3.5604173129002202E-10</v>
      </c>
      <c r="H971" s="10" t="s">
        <v>1956</v>
      </c>
      <c r="I971" s="10" t="s">
        <v>18</v>
      </c>
    </row>
    <row r="972" spans="1:9" x14ac:dyDescent="0.2">
      <c r="A972" s="10" t="s">
        <v>1957</v>
      </c>
      <c r="B972" s="10">
        <v>2269.0844268105898</v>
      </c>
      <c r="C972" s="10">
        <v>-1.5154653040766799</v>
      </c>
      <c r="D972" s="10">
        <v>0.183616377605168</v>
      </c>
      <c r="E972" s="10">
        <v>-8.2534320949049107</v>
      </c>
      <c r="F972" s="4">
        <v>1.5390934040726999E-16</v>
      </c>
      <c r="G972" s="4">
        <v>4.4189334015562502E-15</v>
      </c>
      <c r="H972" s="10" t="s">
        <v>1958</v>
      </c>
      <c r="I972" s="10" t="s">
        <v>18</v>
      </c>
    </row>
    <row r="973" spans="1:9" x14ac:dyDescent="0.2">
      <c r="A973" s="10" t="s">
        <v>1959</v>
      </c>
      <c r="B973" s="10">
        <v>42.704296481969003</v>
      </c>
      <c r="C973" s="10">
        <v>3.43520486094146</v>
      </c>
      <c r="D973" s="10">
        <v>0.626952963447995</v>
      </c>
      <c r="E973" s="10">
        <v>5.4792066729363302</v>
      </c>
      <c r="F973" s="4">
        <v>4.2723708885426097E-8</v>
      </c>
      <c r="G973" s="4">
        <v>4.6322837087194801E-7</v>
      </c>
      <c r="H973" s="10" t="s">
        <v>1960</v>
      </c>
      <c r="I973" s="10" t="s">
        <v>18</v>
      </c>
    </row>
    <row r="974" spans="1:9" x14ac:dyDescent="0.2">
      <c r="A974" s="10" t="s">
        <v>1961</v>
      </c>
      <c r="B974" s="10">
        <v>9.1375081310486408</v>
      </c>
      <c r="C974" s="10">
        <v>6.5863269429523701</v>
      </c>
      <c r="D974" s="10">
        <v>1.79353052999688</v>
      </c>
      <c r="E974" s="10">
        <v>3.6722692102508199</v>
      </c>
      <c r="F974" s="10">
        <v>2.4040623147508999E-4</v>
      </c>
      <c r="G974" s="10">
        <v>1.2514995393583801E-3</v>
      </c>
      <c r="H974" s="10" t="s">
        <v>1962</v>
      </c>
      <c r="I974" s="10" t="s">
        <v>18</v>
      </c>
    </row>
    <row r="975" spans="1:9" x14ac:dyDescent="0.2">
      <c r="A975" s="10" t="s">
        <v>1963</v>
      </c>
      <c r="B975" s="10">
        <v>18.7638973067173</v>
      </c>
      <c r="C975" s="10">
        <v>5.1361473686723498</v>
      </c>
      <c r="D975" s="10">
        <v>1.26574557375986</v>
      </c>
      <c r="E975" s="10">
        <v>4.0578039340209404</v>
      </c>
      <c r="F975" s="4">
        <v>4.9536327607728497E-5</v>
      </c>
      <c r="G975" s="10">
        <v>3.03936427025082E-4</v>
      </c>
      <c r="H975" s="10" t="s">
        <v>1964</v>
      </c>
      <c r="I975" s="10" t="s">
        <v>18</v>
      </c>
    </row>
    <row r="976" spans="1:9" x14ac:dyDescent="0.2">
      <c r="A976" s="10" t="s">
        <v>1965</v>
      </c>
      <c r="B976" s="10">
        <v>113.665056878713</v>
      </c>
      <c r="C976" s="10">
        <v>1.4482313502835999</v>
      </c>
      <c r="D976" s="10">
        <v>0.36037204592760502</v>
      </c>
      <c r="E976" s="10">
        <v>4.0187116804685097</v>
      </c>
      <c r="F976" s="4">
        <v>5.8517223463912599E-5</v>
      </c>
      <c r="G976" s="10">
        <v>3.5337295827154801E-4</v>
      </c>
      <c r="H976" s="10" t="s">
        <v>1966</v>
      </c>
      <c r="I976" s="10" t="s">
        <v>18</v>
      </c>
    </row>
    <row r="977" spans="1:9" x14ac:dyDescent="0.2">
      <c r="A977" s="10" t="s">
        <v>1967</v>
      </c>
      <c r="B977" s="10">
        <v>639.05540877950398</v>
      </c>
      <c r="C977" s="10">
        <v>-1.4156515506284</v>
      </c>
      <c r="D977" s="10">
        <v>0.21914781244121001</v>
      </c>
      <c r="E977" s="10">
        <v>-6.4598023355043797</v>
      </c>
      <c r="F977" s="4">
        <v>1.04839831036481E-10</v>
      </c>
      <c r="G977" s="4">
        <v>1.62397434693065E-9</v>
      </c>
      <c r="H977" s="10" t="s">
        <v>1968</v>
      </c>
      <c r="I977" s="10" t="s">
        <v>18</v>
      </c>
    </row>
    <row r="978" spans="1:9" x14ac:dyDescent="0.2">
      <c r="A978" s="10" t="s">
        <v>1969</v>
      </c>
      <c r="B978" s="10">
        <v>3092.0431902012801</v>
      </c>
      <c r="C978" s="10">
        <v>-1.2029650485228001</v>
      </c>
      <c r="D978" s="10">
        <v>0.17684909711511199</v>
      </c>
      <c r="E978" s="10">
        <v>-6.8022119883359196</v>
      </c>
      <c r="F978" s="4">
        <v>1.0302484375058999E-11</v>
      </c>
      <c r="G978" s="4">
        <v>1.8204396353257599E-10</v>
      </c>
      <c r="H978" s="10" t="s">
        <v>1970</v>
      </c>
      <c r="I978" s="10" t="s">
        <v>18</v>
      </c>
    </row>
    <row r="979" spans="1:9" x14ac:dyDescent="0.2">
      <c r="A979" s="10" t="s">
        <v>1971</v>
      </c>
      <c r="B979" s="10">
        <v>5.9819558428212396</v>
      </c>
      <c r="C979" s="10">
        <v>5.9757714752725404</v>
      </c>
      <c r="D979" s="10">
        <v>1.9478131524890001</v>
      </c>
      <c r="E979" s="10">
        <v>3.0679387638575299</v>
      </c>
      <c r="F979" s="10">
        <v>2.15540781510168E-3</v>
      </c>
      <c r="G979" s="10">
        <v>8.5973351980786605E-3</v>
      </c>
      <c r="H979" s="10" t="s">
        <v>1972</v>
      </c>
      <c r="I979" s="10" t="s">
        <v>18</v>
      </c>
    </row>
    <row r="980" spans="1:9" x14ac:dyDescent="0.2">
      <c r="A980" s="10" t="s">
        <v>1973</v>
      </c>
      <c r="B980" s="10">
        <v>5.0307477467272701</v>
      </c>
      <c r="C980" s="10">
        <v>5.7317796925980504</v>
      </c>
      <c r="D980" s="10">
        <v>2.05778837501515</v>
      </c>
      <c r="E980" s="10">
        <v>2.78540775241567</v>
      </c>
      <c r="F980" s="10">
        <v>5.3460449078456497E-3</v>
      </c>
      <c r="G980" s="10">
        <v>1.87831960804733E-2</v>
      </c>
      <c r="H980" s="10" t="s">
        <v>1974</v>
      </c>
      <c r="I980" s="10" t="s">
        <v>18</v>
      </c>
    </row>
    <row r="981" spans="1:9" x14ac:dyDescent="0.2">
      <c r="A981" s="10" t="s">
        <v>1975</v>
      </c>
      <c r="B981" s="10">
        <v>94120.746876767007</v>
      </c>
      <c r="C981" s="10">
        <v>-1.0012060815649699</v>
      </c>
      <c r="D981" s="10">
        <v>0.22402567330442899</v>
      </c>
      <c r="E981" s="10">
        <v>-4.4691577835564704</v>
      </c>
      <c r="F981" s="4">
        <v>7.8528188856676003E-6</v>
      </c>
      <c r="G981" s="4">
        <v>5.6966388758728703E-5</v>
      </c>
      <c r="H981" s="10" t="s">
        <v>1976</v>
      </c>
      <c r="I981" s="10" t="s">
        <v>18</v>
      </c>
    </row>
    <row r="982" spans="1:9" x14ac:dyDescent="0.2">
      <c r="A982" s="10" t="s">
        <v>1977</v>
      </c>
      <c r="B982" s="10">
        <v>1400.57463847038</v>
      </c>
      <c r="C982" s="10">
        <v>-1.1912849313620999</v>
      </c>
      <c r="D982" s="10">
        <v>0.19305536674938401</v>
      </c>
      <c r="E982" s="10">
        <v>-6.1706905714181399</v>
      </c>
      <c r="F982" s="4">
        <v>6.7992369354123595E-10</v>
      </c>
      <c r="G982" s="4">
        <v>9.4423449938420294E-9</v>
      </c>
      <c r="H982" s="10" t="s">
        <v>1978</v>
      </c>
      <c r="I982" s="10" t="s">
        <v>18</v>
      </c>
    </row>
    <row r="983" spans="1:9" x14ac:dyDescent="0.2">
      <c r="A983" s="10" t="s">
        <v>1979</v>
      </c>
      <c r="B983" s="10">
        <v>26.7841280840004</v>
      </c>
      <c r="C983" s="10">
        <v>2.7984483744295701</v>
      </c>
      <c r="D983" s="10">
        <v>0.73537343960377699</v>
      </c>
      <c r="E983" s="10">
        <v>3.80547926226081</v>
      </c>
      <c r="F983" s="10">
        <v>1.41529872807524E-4</v>
      </c>
      <c r="G983" s="10">
        <v>7.8236243546086299E-4</v>
      </c>
      <c r="H983" s="10" t="s">
        <v>1980</v>
      </c>
      <c r="I983" s="10" t="s">
        <v>18</v>
      </c>
    </row>
    <row r="984" spans="1:9" x14ac:dyDescent="0.2">
      <c r="A984" s="10" t="s">
        <v>1981</v>
      </c>
      <c r="B984" s="10">
        <v>68.229088310311198</v>
      </c>
      <c r="C984" s="10">
        <v>2.17521032271411</v>
      </c>
      <c r="D984" s="10">
        <v>0.48250981636991003</v>
      </c>
      <c r="E984" s="10">
        <v>4.5081162059644297</v>
      </c>
      <c r="F984" s="4">
        <v>6.5405752138990301E-6</v>
      </c>
      <c r="G984" s="4">
        <v>4.8230325535347001E-5</v>
      </c>
      <c r="H984" s="10" t="s">
        <v>1982</v>
      </c>
      <c r="I984" s="10" t="s">
        <v>18</v>
      </c>
    </row>
    <row r="985" spans="1:9" x14ac:dyDescent="0.2">
      <c r="A985" s="10" t="s">
        <v>1983</v>
      </c>
      <c r="B985" s="10">
        <v>1626.0930226088001</v>
      </c>
      <c r="C985" s="10">
        <v>-1.13748568000465</v>
      </c>
      <c r="D985" s="10">
        <v>0.18458321248006401</v>
      </c>
      <c r="E985" s="10">
        <v>-6.16245467137216</v>
      </c>
      <c r="F985" s="4">
        <v>7.1625837995796701E-10</v>
      </c>
      <c r="G985" s="4">
        <v>9.9266999383086107E-9</v>
      </c>
      <c r="H985" s="10" t="s">
        <v>1984</v>
      </c>
      <c r="I985" s="10" t="s">
        <v>18</v>
      </c>
    </row>
    <row r="986" spans="1:9" x14ac:dyDescent="0.2">
      <c r="A986" s="10" t="s">
        <v>1985</v>
      </c>
      <c r="B986" s="10">
        <v>800.781250234666</v>
      </c>
      <c r="C986" s="10">
        <v>1.6039270157865599</v>
      </c>
      <c r="D986" s="10">
        <v>0.20354587334899399</v>
      </c>
      <c r="E986" s="10">
        <v>7.8799289290258097</v>
      </c>
      <c r="F986" s="4">
        <v>3.2756734197877601E-15</v>
      </c>
      <c r="G986" s="4">
        <v>8.3257717974773501E-14</v>
      </c>
      <c r="H986" s="10" t="s">
        <v>1986</v>
      </c>
      <c r="I986" s="10" t="s">
        <v>18</v>
      </c>
    </row>
    <row r="987" spans="1:9" x14ac:dyDescent="0.2">
      <c r="A987" s="10" t="s">
        <v>1987</v>
      </c>
      <c r="B987" s="10">
        <v>9.5028949694889508</v>
      </c>
      <c r="C987" s="10">
        <v>6.6413066223502</v>
      </c>
      <c r="D987" s="10">
        <v>1.79369484842161</v>
      </c>
      <c r="E987" s="10">
        <v>3.7025844324603701</v>
      </c>
      <c r="F987" s="10">
        <v>2.1341430191571301E-4</v>
      </c>
      <c r="G987" s="10">
        <v>1.12932598257864E-3</v>
      </c>
      <c r="H987" s="10" t="s">
        <v>1988</v>
      </c>
      <c r="I987" s="10" t="s">
        <v>18</v>
      </c>
    </row>
    <row r="988" spans="1:9" x14ac:dyDescent="0.2">
      <c r="A988" s="10" t="s">
        <v>1989</v>
      </c>
      <c r="B988" s="10">
        <v>362.29322258638399</v>
      </c>
      <c r="C988" s="10">
        <v>-1.1399279158043401</v>
      </c>
      <c r="D988" s="10">
        <v>0.241309302426301</v>
      </c>
      <c r="E988" s="10">
        <v>-4.7239286025970504</v>
      </c>
      <c r="F988" s="4">
        <v>2.3133166115178702E-6</v>
      </c>
      <c r="G988" s="4">
        <v>1.8571283946384101E-5</v>
      </c>
      <c r="H988" s="10" t="s">
        <v>1990</v>
      </c>
      <c r="I988" s="10" t="s">
        <v>18</v>
      </c>
    </row>
    <row r="989" spans="1:9" x14ac:dyDescent="0.2">
      <c r="A989" s="10" t="s">
        <v>1991</v>
      </c>
      <c r="B989" s="10">
        <v>7.56428404140431</v>
      </c>
      <c r="C989" s="10">
        <v>3.7723966223521002</v>
      </c>
      <c r="D989" s="10">
        <v>1.50666124825488</v>
      </c>
      <c r="E989" s="10">
        <v>2.50381207236966</v>
      </c>
      <c r="F989" s="10">
        <v>1.22863274533834E-2</v>
      </c>
      <c r="G989" s="10">
        <v>3.7758353724603698E-2</v>
      </c>
      <c r="H989" s="10" t="s">
        <v>1992</v>
      </c>
      <c r="I989" s="10" t="s">
        <v>18</v>
      </c>
    </row>
    <row r="990" spans="1:9" x14ac:dyDescent="0.2">
      <c r="A990" s="10" t="s">
        <v>1993</v>
      </c>
      <c r="B990" s="10">
        <v>881.01507961480002</v>
      </c>
      <c r="C990" s="10">
        <v>1.7222584339437299</v>
      </c>
      <c r="D990" s="10">
        <v>0.212820731298381</v>
      </c>
      <c r="E990" s="10">
        <v>8.0925313217210899</v>
      </c>
      <c r="F990" s="4">
        <v>5.84373679295831E-16</v>
      </c>
      <c r="G990" s="4">
        <v>1.5906523116656899E-14</v>
      </c>
      <c r="H990" s="10" t="s">
        <v>1994</v>
      </c>
      <c r="I990" s="10" t="s">
        <v>18</v>
      </c>
    </row>
    <row r="991" spans="1:9" x14ac:dyDescent="0.2">
      <c r="A991" s="10" t="s">
        <v>1995</v>
      </c>
      <c r="B991" s="10">
        <v>22.568978751198099</v>
      </c>
      <c r="C991" s="10">
        <v>7.8910546208409604</v>
      </c>
      <c r="D991" s="10">
        <v>1.5998237473485299</v>
      </c>
      <c r="E991" s="10">
        <v>4.9324524866687502</v>
      </c>
      <c r="F991" s="4">
        <v>8.1203536168932597E-7</v>
      </c>
      <c r="G991" s="4">
        <v>7.0733783567612096E-6</v>
      </c>
      <c r="H991" s="10" t="s">
        <v>1996</v>
      </c>
      <c r="I991" s="10" t="s">
        <v>18</v>
      </c>
    </row>
    <row r="992" spans="1:9" x14ac:dyDescent="0.2">
      <c r="A992" s="10" t="s">
        <v>1997</v>
      </c>
      <c r="B992" s="10">
        <v>1352.91337196423</v>
      </c>
      <c r="C992" s="10">
        <v>-1.62348499780953</v>
      </c>
      <c r="D992" s="10">
        <v>0.195988956926064</v>
      </c>
      <c r="E992" s="10">
        <v>-8.2835534372581101</v>
      </c>
      <c r="F992" s="4">
        <v>1.19553292708491E-16</v>
      </c>
      <c r="G992" s="4">
        <v>3.4617094223467E-15</v>
      </c>
      <c r="H992" s="10" t="s">
        <v>1998</v>
      </c>
      <c r="I992" s="10" t="s">
        <v>18</v>
      </c>
    </row>
    <row r="993" spans="1:9" x14ac:dyDescent="0.2">
      <c r="A993" s="10" t="s">
        <v>1999</v>
      </c>
      <c r="B993" s="10">
        <v>653.99543212722597</v>
      </c>
      <c r="C993" s="10">
        <v>-1.1249587722619601</v>
      </c>
      <c r="D993" s="10">
        <v>0.21955927057149099</v>
      </c>
      <c r="E993" s="10">
        <v>-5.1237133796892396</v>
      </c>
      <c r="F993" s="4">
        <v>2.9957626641031699E-7</v>
      </c>
      <c r="G993" s="4">
        <v>2.8050015570040902E-6</v>
      </c>
      <c r="H993" s="10" t="s">
        <v>2000</v>
      </c>
      <c r="I993" s="10" t="s">
        <v>18</v>
      </c>
    </row>
    <row r="994" spans="1:9" x14ac:dyDescent="0.2">
      <c r="A994" s="10" t="s">
        <v>2001</v>
      </c>
      <c r="B994" s="10">
        <v>585.06959109123898</v>
      </c>
      <c r="C994" s="10">
        <v>-1.1357480632694199</v>
      </c>
      <c r="D994" s="10">
        <v>0.227065876964059</v>
      </c>
      <c r="E994" s="10">
        <v>-5.0018438633524402</v>
      </c>
      <c r="F994" s="4">
        <v>5.6784572708198596E-7</v>
      </c>
      <c r="G994" s="4">
        <v>5.0645147383970097E-6</v>
      </c>
      <c r="H994" s="10" t="s">
        <v>2002</v>
      </c>
      <c r="I994" s="10" t="s">
        <v>18</v>
      </c>
    </row>
    <row r="995" spans="1:9" x14ac:dyDescent="0.2">
      <c r="A995" s="10" t="s">
        <v>2003</v>
      </c>
      <c r="B995" s="10">
        <v>17.0602082605904</v>
      </c>
      <c r="C995" s="10">
        <v>3.3067674827995099</v>
      </c>
      <c r="D995" s="10">
        <v>1.0437509502284299</v>
      </c>
      <c r="E995" s="10">
        <v>3.1681575782764999</v>
      </c>
      <c r="F995" s="10">
        <v>1.5340834608836001E-3</v>
      </c>
      <c r="G995" s="10">
        <v>6.4020787346753504E-3</v>
      </c>
      <c r="H995" s="10" t="s">
        <v>2004</v>
      </c>
      <c r="I995" s="10" t="s">
        <v>18</v>
      </c>
    </row>
    <row r="996" spans="1:9" x14ac:dyDescent="0.2">
      <c r="A996" s="10" t="s">
        <v>2005</v>
      </c>
      <c r="B996" s="10">
        <v>100.279676373993</v>
      </c>
      <c r="C996" s="10">
        <v>1.24924471792657</v>
      </c>
      <c r="D996" s="10">
        <v>0.37749478754209698</v>
      </c>
      <c r="E996" s="10">
        <v>3.3093032252458801</v>
      </c>
      <c r="F996" s="10">
        <v>9.35284838012414E-4</v>
      </c>
      <c r="G996" s="10">
        <v>4.1612844515552302E-3</v>
      </c>
      <c r="H996" s="10" t="s">
        <v>2006</v>
      </c>
      <c r="I996" s="10" t="s">
        <v>18</v>
      </c>
    </row>
    <row r="997" spans="1:9" x14ac:dyDescent="0.2">
      <c r="A997" s="10" t="s">
        <v>2007</v>
      </c>
      <c r="B997" s="10">
        <v>5.1364562707746</v>
      </c>
      <c r="C997" s="10">
        <v>5.7531737618863001</v>
      </c>
      <c r="D997" s="10">
        <v>2.0366314197419402</v>
      </c>
      <c r="E997" s="10">
        <v>2.8248477884207799</v>
      </c>
      <c r="F997" s="10">
        <v>4.7303081241233903E-3</v>
      </c>
      <c r="G997" s="10">
        <v>1.69342669107857E-2</v>
      </c>
      <c r="H997" s="10" t="s">
        <v>2008</v>
      </c>
      <c r="I997" s="10" t="s">
        <v>18</v>
      </c>
    </row>
    <row r="998" spans="1:9" x14ac:dyDescent="0.2">
      <c r="A998" s="10" t="s">
        <v>2009</v>
      </c>
      <c r="B998" s="10">
        <v>5.0277419563543804</v>
      </c>
      <c r="C998" s="10">
        <v>5.7249864720364698</v>
      </c>
      <c r="D998" s="10">
        <v>2.0292551541625601</v>
      </c>
      <c r="E998" s="10">
        <v>2.82122554193983</v>
      </c>
      <c r="F998" s="10">
        <v>4.7840554620197E-3</v>
      </c>
      <c r="G998" s="10">
        <v>1.7077316805142299E-2</v>
      </c>
      <c r="H998" s="10" t="s">
        <v>2010</v>
      </c>
      <c r="I998" s="10" t="s">
        <v>18</v>
      </c>
    </row>
    <row r="999" spans="1:9" x14ac:dyDescent="0.2">
      <c r="A999" s="10" t="s">
        <v>2011</v>
      </c>
      <c r="B999" s="10">
        <v>72.000898742695298</v>
      </c>
      <c r="C999" s="10">
        <v>9.5649958467563607</v>
      </c>
      <c r="D999" s="10">
        <v>1.50272562814321</v>
      </c>
      <c r="E999" s="10">
        <v>6.3650979710614397</v>
      </c>
      <c r="F999" s="4">
        <v>1.95165121731533E-10</v>
      </c>
      <c r="G999" s="4">
        <v>2.9042403450677598E-9</v>
      </c>
      <c r="H999" s="10" t="s">
        <v>2012</v>
      </c>
      <c r="I999" s="10" t="s">
        <v>18</v>
      </c>
    </row>
    <row r="1000" spans="1:9" x14ac:dyDescent="0.2">
      <c r="A1000" s="10" t="s">
        <v>2013</v>
      </c>
      <c r="B1000" s="10">
        <v>100.695376676225</v>
      </c>
      <c r="C1000" s="10">
        <v>1.06591416780847</v>
      </c>
      <c r="D1000" s="10">
        <v>0.36962973075351002</v>
      </c>
      <c r="E1000" s="10">
        <v>2.8837349355950099</v>
      </c>
      <c r="F1000" s="10">
        <v>3.92989385296984E-3</v>
      </c>
      <c r="G1000" s="10">
        <v>1.44368097359942E-2</v>
      </c>
      <c r="H1000" s="10" t="s">
        <v>2014</v>
      </c>
      <c r="I1000" s="10" t="s">
        <v>18</v>
      </c>
    </row>
    <row r="1001" spans="1:9" x14ac:dyDescent="0.2">
      <c r="A1001" s="10" t="s">
        <v>2015</v>
      </c>
      <c r="B1001" s="10">
        <v>88.065770499785899</v>
      </c>
      <c r="C1001" s="10">
        <v>6.8157027782768598</v>
      </c>
      <c r="D1001" s="10">
        <v>0.92766924611497503</v>
      </c>
      <c r="E1001" s="10">
        <v>7.3471259361249999</v>
      </c>
      <c r="F1001" s="4">
        <v>2.0251404693118901E-13</v>
      </c>
      <c r="G1001" s="4">
        <v>4.3723456709461901E-12</v>
      </c>
      <c r="H1001" s="10" t="s">
        <v>2016</v>
      </c>
      <c r="I1001" s="10" t="s">
        <v>18</v>
      </c>
    </row>
    <row r="1002" spans="1:9" x14ac:dyDescent="0.2">
      <c r="A1002" s="10" t="s">
        <v>2017</v>
      </c>
      <c r="B1002" s="10">
        <v>7.2262424667045497</v>
      </c>
      <c r="C1002" s="10">
        <v>4.7559651492753403</v>
      </c>
      <c r="D1002" s="10">
        <v>1.84928559223421</v>
      </c>
      <c r="E1002" s="10">
        <v>2.5717851094754001</v>
      </c>
      <c r="F1002" s="10">
        <v>1.0117566987984701E-2</v>
      </c>
      <c r="G1002" s="10">
        <v>3.2122273097368703E-2</v>
      </c>
      <c r="H1002" s="10" t="s">
        <v>2018</v>
      </c>
      <c r="I1002" s="10" t="s">
        <v>18</v>
      </c>
    </row>
    <row r="1003" spans="1:9" x14ac:dyDescent="0.2">
      <c r="A1003" s="10" t="s">
        <v>2019</v>
      </c>
      <c r="B1003" s="10">
        <v>27.757396165265401</v>
      </c>
      <c r="C1003" s="10">
        <v>-1.8166141022587701</v>
      </c>
      <c r="D1003" s="10">
        <v>0.668000891619972</v>
      </c>
      <c r="E1003" s="10">
        <v>-2.7194785591577499</v>
      </c>
      <c r="F1003" s="10">
        <v>6.5384933806700903E-3</v>
      </c>
      <c r="G1003" s="10">
        <v>2.2258162061858801E-2</v>
      </c>
      <c r="H1003" s="10" t="s">
        <v>2020</v>
      </c>
      <c r="I1003" s="10" t="s">
        <v>18</v>
      </c>
    </row>
    <row r="1004" spans="1:9" x14ac:dyDescent="0.2">
      <c r="A1004" s="10" t="s">
        <v>2021</v>
      </c>
      <c r="B1004" s="10">
        <v>3281.56210493358</v>
      </c>
      <c r="C1004" s="10">
        <v>-1.16940014083129</v>
      </c>
      <c r="D1004" s="10">
        <v>0.174914293684415</v>
      </c>
      <c r="E1004" s="10">
        <v>-6.6855607749310204</v>
      </c>
      <c r="F1004" s="4">
        <v>2.3004202575916101E-11</v>
      </c>
      <c r="G1004" s="4">
        <v>3.8955594007830103E-10</v>
      </c>
      <c r="H1004" s="10" t="s">
        <v>2022</v>
      </c>
      <c r="I1004" s="10" t="s">
        <v>18</v>
      </c>
    </row>
    <row r="1005" spans="1:9" x14ac:dyDescent="0.2">
      <c r="A1005" s="10" t="s">
        <v>2023</v>
      </c>
      <c r="B1005" s="10">
        <v>4.7710694323342899</v>
      </c>
      <c r="C1005" s="10">
        <v>5.6498655801083801</v>
      </c>
      <c r="D1005" s="10">
        <v>2.0548781453748601</v>
      </c>
      <c r="E1005" s="10">
        <v>2.7494893518747898</v>
      </c>
      <c r="F1005" s="10">
        <v>5.9688202149847996E-3</v>
      </c>
      <c r="G1005" s="10">
        <v>2.05942059513348E-2</v>
      </c>
      <c r="H1005" s="10" t="s">
        <v>2024</v>
      </c>
      <c r="I1005" s="10" t="s">
        <v>18</v>
      </c>
    </row>
    <row r="1006" spans="1:9" x14ac:dyDescent="0.2">
      <c r="A1006" s="10" t="s">
        <v>2025</v>
      </c>
      <c r="B1006" s="10">
        <v>134.66921666477401</v>
      </c>
      <c r="C1006" s="10">
        <v>-1.1029736823112199</v>
      </c>
      <c r="D1006" s="10">
        <v>0.32820069036032501</v>
      </c>
      <c r="E1006" s="10">
        <v>-3.3606683797657202</v>
      </c>
      <c r="F1006" s="10">
        <v>7.7754120504726397E-4</v>
      </c>
      <c r="G1006" s="10">
        <v>3.5441994521133099E-3</v>
      </c>
      <c r="H1006" s="10" t="s">
        <v>2026</v>
      </c>
      <c r="I1006" s="10" t="s">
        <v>18</v>
      </c>
    </row>
    <row r="1007" spans="1:9" x14ac:dyDescent="0.2">
      <c r="A1007" s="10" t="s">
        <v>2027</v>
      </c>
      <c r="B1007" s="10">
        <v>7.4495147773282699</v>
      </c>
      <c r="C1007" s="10">
        <v>6.2917466817180996</v>
      </c>
      <c r="D1007" s="10">
        <v>1.86195315884304</v>
      </c>
      <c r="E1007" s="10">
        <v>3.3791111510171401</v>
      </c>
      <c r="F1007" s="10">
        <v>7.2720600339298402E-4</v>
      </c>
      <c r="G1007" s="10">
        <v>3.34755566387036E-3</v>
      </c>
      <c r="H1007" s="10" t="s">
        <v>2028</v>
      </c>
      <c r="I1007" s="10" t="s">
        <v>18</v>
      </c>
    </row>
    <row r="1008" spans="1:9" x14ac:dyDescent="0.2">
      <c r="A1008" s="10" t="s">
        <v>2029</v>
      </c>
      <c r="B1008" s="10">
        <v>7.7816693013347296</v>
      </c>
      <c r="C1008" s="10">
        <v>6.3571816435620097</v>
      </c>
      <c r="D1008" s="10">
        <v>1.8433164230325001</v>
      </c>
      <c r="E1008" s="10">
        <v>3.4487739403436799</v>
      </c>
      <c r="F1008" s="10">
        <v>5.63137934857868E-4</v>
      </c>
      <c r="G1008" s="10">
        <v>2.6601628486602499E-3</v>
      </c>
      <c r="H1008" s="10" t="s">
        <v>2030</v>
      </c>
      <c r="I1008" s="10" t="s">
        <v>18</v>
      </c>
    </row>
    <row r="1009" spans="1:9" x14ac:dyDescent="0.2">
      <c r="A1009" s="10" t="s">
        <v>2031</v>
      </c>
      <c r="B1009" s="10">
        <v>4.1822423843077399</v>
      </c>
      <c r="C1009" s="10">
        <v>5.4559790170220399</v>
      </c>
      <c r="D1009" s="10">
        <v>2.1535693190750198</v>
      </c>
      <c r="E1009" s="10">
        <v>2.5334587415860099</v>
      </c>
      <c r="F1009" s="10">
        <v>1.12943035283908E-2</v>
      </c>
      <c r="G1009" s="10">
        <v>3.5206027712854998E-2</v>
      </c>
      <c r="H1009" s="10" t="s">
        <v>2032</v>
      </c>
      <c r="I1009" s="10" t="s">
        <v>18</v>
      </c>
    </row>
    <row r="1010" spans="1:9" x14ac:dyDescent="0.2">
      <c r="A1010" s="10" t="s">
        <v>2033</v>
      </c>
      <c r="B1010" s="10">
        <v>23.640675263098899</v>
      </c>
      <c r="C1010" s="10">
        <v>5.4770126064727602</v>
      </c>
      <c r="D1010" s="10">
        <v>1.2379493967812101</v>
      </c>
      <c r="E1010" s="10">
        <v>4.4242621069274</v>
      </c>
      <c r="F1010" s="4">
        <v>9.6772473259608292E-6</v>
      </c>
      <c r="G1010" s="4">
        <v>6.9025119866611195E-5</v>
      </c>
      <c r="H1010" s="10" t="s">
        <v>2034</v>
      </c>
      <c r="I1010" s="10" t="s">
        <v>18</v>
      </c>
    </row>
    <row r="1011" spans="1:9" x14ac:dyDescent="0.2">
      <c r="A1011" s="10" t="s">
        <v>2035</v>
      </c>
      <c r="B1011" s="10">
        <v>67.092022831302302</v>
      </c>
      <c r="C1011" s="10">
        <v>-1.37206491824583</v>
      </c>
      <c r="D1011" s="10">
        <v>0.44962088424924601</v>
      </c>
      <c r="E1011" s="10">
        <v>-3.0516040653601499</v>
      </c>
      <c r="F1011" s="10">
        <v>2.2762213017230898E-3</v>
      </c>
      <c r="G1011" s="10">
        <v>8.9988685153872504E-3</v>
      </c>
      <c r="H1011" s="10" t="s">
        <v>2036</v>
      </c>
      <c r="I1011" s="10" t="s">
        <v>18</v>
      </c>
    </row>
    <row r="1012" spans="1:9" x14ac:dyDescent="0.2">
      <c r="A1012" s="10" t="s">
        <v>2037</v>
      </c>
      <c r="B1012" s="10">
        <v>96.737023265502202</v>
      </c>
      <c r="C1012" s="10">
        <v>-3.0039902112954899</v>
      </c>
      <c r="D1012" s="10">
        <v>0.41392869094637302</v>
      </c>
      <c r="E1012" s="10">
        <v>-7.25726502414562</v>
      </c>
      <c r="F1012" s="4">
        <v>3.9499532389366497E-13</v>
      </c>
      <c r="G1012" s="4">
        <v>8.2534030599161706E-12</v>
      </c>
      <c r="H1012" s="10" t="s">
        <v>2038</v>
      </c>
      <c r="I1012" s="10" t="s">
        <v>18</v>
      </c>
    </row>
    <row r="1013" spans="1:9" x14ac:dyDescent="0.2">
      <c r="A1013" s="10" t="s">
        <v>2039</v>
      </c>
      <c r="B1013" s="10">
        <v>646.05202425184302</v>
      </c>
      <c r="C1013" s="10">
        <v>-1.13098500098749</v>
      </c>
      <c r="D1013" s="10">
        <v>0.21025053370776001</v>
      </c>
      <c r="E1013" s="10">
        <v>-5.3792253510258101</v>
      </c>
      <c r="F1013" s="4">
        <v>7.4807022543413395E-8</v>
      </c>
      <c r="G1013" s="4">
        <v>7.7677856068612195E-7</v>
      </c>
      <c r="H1013" s="10" t="s">
        <v>2040</v>
      </c>
      <c r="I1013" s="10" t="s">
        <v>18</v>
      </c>
    </row>
    <row r="1014" spans="1:9" x14ac:dyDescent="0.2">
      <c r="A1014" s="10" t="s">
        <v>2041</v>
      </c>
      <c r="B1014" s="10">
        <v>501.01107410154401</v>
      </c>
      <c r="C1014" s="10">
        <v>-1.0739526120209699</v>
      </c>
      <c r="D1014" s="10">
        <v>0.22249696614410699</v>
      </c>
      <c r="E1014" s="10">
        <v>-4.82681912761627</v>
      </c>
      <c r="F1014" s="4">
        <v>1.3873101028716399E-6</v>
      </c>
      <c r="G1014" s="4">
        <v>1.16164838269648E-5</v>
      </c>
      <c r="H1014" s="10" t="s">
        <v>2042</v>
      </c>
      <c r="I1014" s="10" t="s">
        <v>18</v>
      </c>
    </row>
    <row r="1015" spans="1:9" x14ac:dyDescent="0.2">
      <c r="A1015" s="10" t="s">
        <v>2043</v>
      </c>
      <c r="B1015" s="10">
        <v>15.0269979943313</v>
      </c>
      <c r="C1015" s="10">
        <v>2.6594028519990398</v>
      </c>
      <c r="D1015" s="10">
        <v>1.0348664550074</v>
      </c>
      <c r="E1015" s="10">
        <v>2.5698029336355601</v>
      </c>
      <c r="F1015" s="10">
        <v>1.0175638141552101E-2</v>
      </c>
      <c r="G1015" s="10">
        <v>3.2284471314041399E-2</v>
      </c>
      <c r="H1015" s="10" t="s">
        <v>2044</v>
      </c>
      <c r="I1015" s="10" t="s">
        <v>18</v>
      </c>
    </row>
    <row r="1016" spans="1:9" x14ac:dyDescent="0.2">
      <c r="A1016" s="10" t="s">
        <v>2045</v>
      </c>
      <c r="B1016" s="10">
        <v>17233.084069706802</v>
      </c>
      <c r="C1016" s="10">
        <v>-1.07271014765647</v>
      </c>
      <c r="D1016" s="10">
        <v>0.171659551338052</v>
      </c>
      <c r="E1016" s="10">
        <v>-6.24905599073809</v>
      </c>
      <c r="F1016" s="4">
        <v>4.12940877469491E-10</v>
      </c>
      <c r="G1016" s="4">
        <v>5.8662148531862402E-9</v>
      </c>
      <c r="H1016" s="10" t="s">
        <v>2046</v>
      </c>
      <c r="I1016" s="10" t="s">
        <v>18</v>
      </c>
    </row>
    <row r="1017" spans="1:9" x14ac:dyDescent="0.2">
      <c r="A1017" s="10" t="s">
        <v>2047</v>
      </c>
      <c r="B1017" s="10">
        <v>98.587173017802002</v>
      </c>
      <c r="C1017" s="10">
        <v>2.6716318658897</v>
      </c>
      <c r="D1017" s="10">
        <v>0.44489787552337301</v>
      </c>
      <c r="E1017" s="10">
        <v>6.00504523144064</v>
      </c>
      <c r="F1017" s="4">
        <v>1.9127857272612498E-9</v>
      </c>
      <c r="G1017" s="4">
        <v>2.48890509602136E-8</v>
      </c>
      <c r="H1017" s="10" t="s">
        <v>2048</v>
      </c>
      <c r="I1017" s="10" t="s">
        <v>18</v>
      </c>
    </row>
    <row r="1018" spans="1:9" x14ac:dyDescent="0.2">
      <c r="A1018" s="10" t="s">
        <v>2049</v>
      </c>
      <c r="B1018" s="10">
        <v>9.5421388646685905</v>
      </c>
      <c r="C1018" s="10">
        <v>6.6498734178358099</v>
      </c>
      <c r="D1018" s="10">
        <v>1.77692644650817</v>
      </c>
      <c r="E1018" s="10">
        <v>3.74234590908558</v>
      </c>
      <c r="F1018" s="10">
        <v>1.8231032506606601E-4</v>
      </c>
      <c r="G1018" s="10">
        <v>9.8137371993082005E-4</v>
      </c>
      <c r="H1018" s="10" t="s">
        <v>2050</v>
      </c>
      <c r="I1018" s="10" t="s">
        <v>18</v>
      </c>
    </row>
    <row r="1019" spans="1:9" x14ac:dyDescent="0.2">
      <c r="A1019" s="10" t="s">
        <v>2051</v>
      </c>
      <c r="B1019" s="10">
        <v>3829.9963917155201</v>
      </c>
      <c r="C1019" s="10">
        <v>-1.42574754310247</v>
      </c>
      <c r="D1019" s="10">
        <v>0.180250262972733</v>
      </c>
      <c r="E1019" s="10">
        <v>-7.9098222637164701</v>
      </c>
      <c r="F1019" s="4">
        <v>2.5775662658741199E-15</v>
      </c>
      <c r="G1019" s="4">
        <v>6.6506579589272801E-14</v>
      </c>
      <c r="H1019" s="10" t="s">
        <v>2052</v>
      </c>
      <c r="I1019" s="10" t="s">
        <v>18</v>
      </c>
    </row>
    <row r="1020" spans="1:9" x14ac:dyDescent="0.2">
      <c r="A1020" s="10" t="s">
        <v>2053</v>
      </c>
      <c r="B1020" s="10">
        <v>9176.1754361119001</v>
      </c>
      <c r="C1020" s="10">
        <v>1.9484949268215499</v>
      </c>
      <c r="D1020" s="10">
        <v>0.17862287633209201</v>
      </c>
      <c r="E1020" s="10">
        <v>10.908428790492399</v>
      </c>
      <c r="F1020" s="4">
        <v>1.0505637199561E-27</v>
      </c>
      <c r="G1020" s="4">
        <v>6.9816365067423905E-26</v>
      </c>
      <c r="H1020" s="10" t="s">
        <v>2054</v>
      </c>
      <c r="I1020" s="10" t="s">
        <v>18</v>
      </c>
    </row>
    <row r="1021" spans="1:9" x14ac:dyDescent="0.2">
      <c r="A1021" s="10" t="s">
        <v>2055</v>
      </c>
      <c r="B1021" s="10">
        <v>679.01238093401196</v>
      </c>
      <c r="C1021" s="10">
        <v>-1.0935735178052199</v>
      </c>
      <c r="D1021" s="10">
        <v>0.21456834239248901</v>
      </c>
      <c r="E1021" s="10">
        <v>-5.0966209908303099</v>
      </c>
      <c r="F1021" s="4">
        <v>3.4576960604335401E-7</v>
      </c>
      <c r="G1021" s="4">
        <v>3.2055748403753898E-6</v>
      </c>
      <c r="H1021" s="10" t="s">
        <v>2056</v>
      </c>
      <c r="I1021" s="10" t="s">
        <v>18</v>
      </c>
    </row>
    <row r="1022" spans="1:9" x14ac:dyDescent="0.2">
      <c r="A1022" s="10" t="s">
        <v>2057</v>
      </c>
      <c r="B1022" s="10">
        <v>32.174019140639203</v>
      </c>
      <c r="C1022" s="10">
        <v>1.5412675539310201</v>
      </c>
      <c r="D1022" s="10">
        <v>0.64413369695434197</v>
      </c>
      <c r="E1022" s="10">
        <v>2.3927758495147802</v>
      </c>
      <c r="F1022" s="10">
        <v>1.6721453153678002E-2</v>
      </c>
      <c r="G1022" s="10">
        <v>4.8759571284060901E-2</v>
      </c>
      <c r="H1022" s="10" t="s">
        <v>2058</v>
      </c>
      <c r="I1022" s="10" t="s">
        <v>18</v>
      </c>
    </row>
    <row r="1023" spans="1:9" x14ac:dyDescent="0.2">
      <c r="A1023" s="10" t="s">
        <v>2059</v>
      </c>
      <c r="B1023" s="10">
        <v>1756.4604266706699</v>
      </c>
      <c r="C1023" s="10">
        <v>1.34816906092621</v>
      </c>
      <c r="D1023" s="10">
        <v>0.20123277876094001</v>
      </c>
      <c r="E1023" s="10">
        <v>6.6995499899536801</v>
      </c>
      <c r="F1023" s="4">
        <v>2.0906234215679499E-11</v>
      </c>
      <c r="G1023" s="4">
        <v>3.5579772871619002E-10</v>
      </c>
      <c r="H1023" s="10" t="s">
        <v>2060</v>
      </c>
      <c r="I1023" s="10" t="s">
        <v>18</v>
      </c>
    </row>
    <row r="1024" spans="1:9" x14ac:dyDescent="0.2">
      <c r="A1024" s="10" t="s">
        <v>2061</v>
      </c>
      <c r="B1024" s="10">
        <v>7.6337110917348703</v>
      </c>
      <c r="C1024" s="10">
        <v>6.3279423768160701</v>
      </c>
      <c r="D1024" s="10">
        <v>1.8500988979756201</v>
      </c>
      <c r="E1024" s="10">
        <v>3.4203265478078499</v>
      </c>
      <c r="F1024" s="10">
        <v>6.2546007452649001E-4</v>
      </c>
      <c r="G1024" s="10">
        <v>2.9191350891783598E-3</v>
      </c>
      <c r="H1024" s="10" t="s">
        <v>2062</v>
      </c>
      <c r="I1024" s="10" t="s">
        <v>18</v>
      </c>
    </row>
    <row r="1025" spans="1:9" x14ac:dyDescent="0.2">
      <c r="A1025" s="10" t="s">
        <v>2063</v>
      </c>
      <c r="B1025" s="10">
        <v>16.5174279590838</v>
      </c>
      <c r="C1025" s="10">
        <v>5.9719247391061296</v>
      </c>
      <c r="D1025" s="10">
        <v>1.6468008426240499</v>
      </c>
      <c r="E1025" s="10">
        <v>3.6263794531403799</v>
      </c>
      <c r="F1025" s="10">
        <v>2.8742290387989499E-4</v>
      </c>
      <c r="G1025" s="10">
        <v>1.4660074620021499E-3</v>
      </c>
      <c r="H1025" s="10" t="s">
        <v>2064</v>
      </c>
      <c r="I1025" s="10" t="s">
        <v>18</v>
      </c>
    </row>
    <row r="1026" spans="1:9" x14ac:dyDescent="0.2">
      <c r="A1026" s="10" t="s">
        <v>2065</v>
      </c>
      <c r="B1026" s="10">
        <v>171.327027263562</v>
      </c>
      <c r="C1026" s="10">
        <v>7.3666990989697503</v>
      </c>
      <c r="D1026" s="10">
        <v>0.77961351631064302</v>
      </c>
      <c r="E1026" s="10">
        <v>9.4491680106203102</v>
      </c>
      <c r="F1026" s="4">
        <v>3.4153450137129202E-21</v>
      </c>
      <c r="G1026" s="4">
        <v>1.46317461617352E-19</v>
      </c>
      <c r="H1026" s="10" t="s">
        <v>2066</v>
      </c>
      <c r="I1026" s="10" t="s">
        <v>18</v>
      </c>
    </row>
    <row r="1027" spans="1:9" x14ac:dyDescent="0.2">
      <c r="A1027" s="10" t="s">
        <v>2067</v>
      </c>
      <c r="B1027" s="10">
        <v>12.284714644007501</v>
      </c>
      <c r="C1027" s="10">
        <v>3.4604044312378202</v>
      </c>
      <c r="D1027" s="10">
        <v>1.19490787925812</v>
      </c>
      <c r="E1027" s="10">
        <v>2.8959591708327199</v>
      </c>
      <c r="F1027" s="10">
        <v>3.7800157709114101E-3</v>
      </c>
      <c r="G1027" s="10">
        <v>1.39766711507699E-2</v>
      </c>
      <c r="H1027" s="10" t="s">
        <v>2068</v>
      </c>
      <c r="I1027" s="10" t="s">
        <v>18</v>
      </c>
    </row>
    <row r="1028" spans="1:9" x14ac:dyDescent="0.2">
      <c r="A1028" s="10" t="s">
        <v>2069</v>
      </c>
      <c r="B1028" s="10">
        <v>6.3562355223277303</v>
      </c>
      <c r="C1028" s="10">
        <v>4.5591433939742698</v>
      </c>
      <c r="D1028" s="10">
        <v>1.8946246447728401</v>
      </c>
      <c r="E1028" s="10">
        <v>2.4063570620981301</v>
      </c>
      <c r="F1028" s="10">
        <v>1.6112507932879199E-2</v>
      </c>
      <c r="G1028" s="10">
        <v>4.7241741487911298E-2</v>
      </c>
      <c r="H1028" s="10" t="s">
        <v>2070</v>
      </c>
      <c r="I1028" s="10" t="s">
        <v>18</v>
      </c>
    </row>
    <row r="1029" spans="1:9" x14ac:dyDescent="0.2">
      <c r="A1029" s="10" t="s">
        <v>2071</v>
      </c>
      <c r="B1029" s="10">
        <v>771.30893486077002</v>
      </c>
      <c r="C1029" s="10">
        <v>1.55469225635403</v>
      </c>
      <c r="D1029" s="10">
        <v>0.20977180103350301</v>
      </c>
      <c r="E1029" s="10">
        <v>7.4113500894514104</v>
      </c>
      <c r="F1029" s="4">
        <v>1.2502006644915201E-13</v>
      </c>
      <c r="G1029" s="4">
        <v>2.7649527195942E-12</v>
      </c>
      <c r="H1029" s="10" t="s">
        <v>2072</v>
      </c>
      <c r="I1029" s="10" t="s">
        <v>18</v>
      </c>
    </row>
    <row r="1030" spans="1:9" x14ac:dyDescent="0.2">
      <c r="A1030" s="10" t="s">
        <v>2073</v>
      </c>
      <c r="B1030" s="10">
        <v>32.947116983878502</v>
      </c>
      <c r="C1030" s="10">
        <v>1.8958793791333</v>
      </c>
      <c r="D1030" s="10">
        <v>0.63458168364263901</v>
      </c>
      <c r="E1030" s="10">
        <v>2.9876049498474901</v>
      </c>
      <c r="F1030" s="10">
        <v>2.8117273847543399E-3</v>
      </c>
      <c r="G1030" s="10">
        <v>1.0816198793223399E-2</v>
      </c>
      <c r="H1030" s="10" t="s">
        <v>2074</v>
      </c>
      <c r="I1030" s="10" t="s">
        <v>18</v>
      </c>
    </row>
    <row r="1031" spans="1:9" x14ac:dyDescent="0.2">
      <c r="A1031" s="10" t="s">
        <v>2075</v>
      </c>
      <c r="B1031" s="10">
        <v>1386.9790339707399</v>
      </c>
      <c r="C1031" s="10">
        <v>-1.10354689217533</v>
      </c>
      <c r="D1031" s="10">
        <v>0.22991065607022401</v>
      </c>
      <c r="E1031" s="10">
        <v>-4.7998944939649197</v>
      </c>
      <c r="F1031" s="4">
        <v>1.58749239756449E-6</v>
      </c>
      <c r="G1031" s="4">
        <v>1.31392482856743E-5</v>
      </c>
      <c r="H1031" s="10" t="s">
        <v>2076</v>
      </c>
      <c r="I1031" s="10" t="s">
        <v>18</v>
      </c>
    </row>
    <row r="1032" spans="1:9" x14ac:dyDescent="0.2">
      <c r="A1032" s="10" t="s">
        <v>2077</v>
      </c>
      <c r="B1032" s="10">
        <v>212.53804135419901</v>
      </c>
      <c r="C1032" s="10">
        <v>-1.14298434225569</v>
      </c>
      <c r="D1032" s="10">
        <v>0.31404799520940002</v>
      </c>
      <c r="E1032" s="10">
        <v>-3.6395212187028001</v>
      </c>
      <c r="F1032" s="10">
        <v>2.7314543057147298E-4</v>
      </c>
      <c r="G1032" s="10">
        <v>1.40117229670319E-3</v>
      </c>
      <c r="H1032" s="10" t="s">
        <v>2078</v>
      </c>
      <c r="I1032" s="10" t="s">
        <v>18</v>
      </c>
    </row>
    <row r="1033" spans="1:9" x14ac:dyDescent="0.2">
      <c r="A1033" s="10" t="s">
        <v>2079</v>
      </c>
      <c r="B1033" s="10">
        <v>573.786922631317</v>
      </c>
      <c r="C1033" s="10">
        <v>-1.8434486240229799</v>
      </c>
      <c r="D1033" s="10">
        <v>0.241925436437499</v>
      </c>
      <c r="E1033" s="10">
        <v>-7.6199040959433404</v>
      </c>
      <c r="F1033" s="4">
        <v>2.5386426038788599E-14</v>
      </c>
      <c r="G1033" s="4">
        <v>5.9170568886131103E-13</v>
      </c>
      <c r="H1033" s="10" t="s">
        <v>2080</v>
      </c>
      <c r="I1033" s="10" t="s">
        <v>18</v>
      </c>
    </row>
    <row r="1034" spans="1:9" x14ac:dyDescent="0.2">
      <c r="A1034" s="10" t="s">
        <v>2081</v>
      </c>
      <c r="B1034" s="10">
        <v>47.919619709937997</v>
      </c>
      <c r="C1034" s="10">
        <v>3.2225772069653198</v>
      </c>
      <c r="D1034" s="10">
        <v>0.59183173663648503</v>
      </c>
      <c r="E1034" s="10">
        <v>5.4450902300034798</v>
      </c>
      <c r="F1034" s="4">
        <v>5.17791315059016E-8</v>
      </c>
      <c r="G1034" s="4">
        <v>5.5239858893551301E-7</v>
      </c>
      <c r="H1034" s="10" t="s">
        <v>2082</v>
      </c>
      <c r="I1034" s="10" t="s">
        <v>18</v>
      </c>
    </row>
    <row r="1035" spans="1:9" x14ac:dyDescent="0.2">
      <c r="A1035" s="10" t="s">
        <v>2083</v>
      </c>
      <c r="B1035" s="10">
        <v>337.57193506892298</v>
      </c>
      <c r="C1035" s="10">
        <v>-2.4142656909554501</v>
      </c>
      <c r="D1035" s="10">
        <v>0.26431868974563799</v>
      </c>
      <c r="E1035" s="10">
        <v>-9.1339197136561392</v>
      </c>
      <c r="F1035" s="4">
        <v>6.6063029438190103E-20</v>
      </c>
      <c r="G1035" s="4">
        <v>2.5000268931977299E-18</v>
      </c>
      <c r="H1035" s="10" t="s">
        <v>2084</v>
      </c>
      <c r="I1035" s="10" t="s">
        <v>18</v>
      </c>
    </row>
    <row r="1036" spans="1:9" x14ac:dyDescent="0.2">
      <c r="A1036" s="10" t="s">
        <v>2085</v>
      </c>
      <c r="B1036" s="10">
        <v>1791.38012519469</v>
      </c>
      <c r="C1036" s="10">
        <v>1.36660590233988</v>
      </c>
      <c r="D1036" s="10">
        <v>0.19663543651887699</v>
      </c>
      <c r="E1036" s="10">
        <v>6.9499472044993897</v>
      </c>
      <c r="F1036" s="4">
        <v>3.65422941839285E-12</v>
      </c>
      <c r="G1036" s="4">
        <v>6.7434207724030995E-11</v>
      </c>
      <c r="H1036" s="10" t="s">
        <v>2086</v>
      </c>
      <c r="I1036" s="10" t="s">
        <v>18</v>
      </c>
    </row>
    <row r="1037" spans="1:9" x14ac:dyDescent="0.2">
      <c r="A1037" s="10" t="s">
        <v>2087</v>
      </c>
      <c r="B1037" s="10">
        <v>19.681873088377401</v>
      </c>
      <c r="C1037" s="10">
        <v>5.2074805754963904</v>
      </c>
      <c r="D1037" s="10">
        <v>1.25467715961624</v>
      </c>
      <c r="E1037" s="10">
        <v>4.1504545895209901</v>
      </c>
      <c r="F1037" s="4">
        <v>3.3181559732999601E-5</v>
      </c>
      <c r="G1037" s="10">
        <v>2.1056941474853499E-4</v>
      </c>
      <c r="H1037" s="10" t="s">
        <v>2088</v>
      </c>
      <c r="I1037" s="10" t="s">
        <v>18</v>
      </c>
    </row>
    <row r="1038" spans="1:9" x14ac:dyDescent="0.2">
      <c r="A1038" s="10" t="s">
        <v>2089</v>
      </c>
      <c r="B1038" s="10">
        <v>3203.25844861832</v>
      </c>
      <c r="C1038" s="10">
        <v>-1.1793431356014401</v>
      </c>
      <c r="D1038" s="10">
        <v>0.185793649080083</v>
      </c>
      <c r="E1038" s="10">
        <v>-6.3475966021481502</v>
      </c>
      <c r="F1038" s="4">
        <v>2.1870464836842699E-10</v>
      </c>
      <c r="G1038" s="4">
        <v>3.2228477847996402E-9</v>
      </c>
      <c r="H1038" s="10" t="s">
        <v>2090</v>
      </c>
      <c r="I1038" s="10" t="s">
        <v>18</v>
      </c>
    </row>
    <row r="1039" spans="1:9" x14ac:dyDescent="0.2">
      <c r="A1039" s="10" t="s">
        <v>2091</v>
      </c>
      <c r="B1039" s="10">
        <v>54530.924591942501</v>
      </c>
      <c r="C1039" s="10">
        <v>-1.5245233756941501</v>
      </c>
      <c r="D1039" s="10">
        <v>0.233908923816461</v>
      </c>
      <c r="E1039" s="10">
        <v>-6.5175939028746903</v>
      </c>
      <c r="F1039" s="4">
        <v>7.1444096370975499E-11</v>
      </c>
      <c r="G1039" s="4">
        <v>1.13705449405372E-9</v>
      </c>
      <c r="H1039" s="10" t="s">
        <v>2092</v>
      </c>
      <c r="I1039" s="10" t="s">
        <v>18</v>
      </c>
    </row>
    <row r="1040" spans="1:9" x14ac:dyDescent="0.2">
      <c r="A1040" s="10" t="s">
        <v>2093</v>
      </c>
      <c r="B1040" s="10">
        <v>29.212237851659399</v>
      </c>
      <c r="C1040" s="10">
        <v>8.2636408835306394</v>
      </c>
      <c r="D1040" s="10">
        <v>1.5667901092334799</v>
      </c>
      <c r="E1040" s="10">
        <v>5.2742488191819499</v>
      </c>
      <c r="F1040" s="4">
        <v>1.3330095090838001E-7</v>
      </c>
      <c r="G1040" s="4">
        <v>1.3284751314559701E-6</v>
      </c>
      <c r="H1040" s="10" t="s">
        <v>2094</v>
      </c>
      <c r="I1040" s="10" t="s">
        <v>18</v>
      </c>
    </row>
    <row r="1041" spans="1:9" x14ac:dyDescent="0.2">
      <c r="A1041" s="10" t="s">
        <v>2095</v>
      </c>
      <c r="B1041" s="10">
        <v>4.2939624891008599</v>
      </c>
      <c r="C1041" s="10">
        <v>5.4978614945687996</v>
      </c>
      <c r="D1041" s="10">
        <v>2.1119244238519399</v>
      </c>
      <c r="E1041" s="10">
        <v>2.6032472717661199</v>
      </c>
      <c r="F1041" s="10">
        <v>9.2345323669644607E-3</v>
      </c>
      <c r="G1041" s="10">
        <v>2.9695893237658502E-2</v>
      </c>
      <c r="H1041" s="10" t="s">
        <v>2096</v>
      </c>
      <c r="I1041" s="10" t="s">
        <v>18</v>
      </c>
    </row>
    <row r="1042" spans="1:9" x14ac:dyDescent="0.2">
      <c r="A1042" s="10" t="s">
        <v>2097</v>
      </c>
      <c r="B1042" s="10">
        <v>12.108864104869401</v>
      </c>
      <c r="C1042" s="10">
        <v>6.9916721574748903</v>
      </c>
      <c r="D1042" s="10">
        <v>1.7218903827983201</v>
      </c>
      <c r="E1042" s="10">
        <v>4.0604629814543802</v>
      </c>
      <c r="F1042" s="4">
        <v>4.8975502277984502E-5</v>
      </c>
      <c r="G1042" s="10">
        <v>3.0102312442324502E-4</v>
      </c>
      <c r="H1042" s="10" t="s">
        <v>2098</v>
      </c>
      <c r="I1042" s="10" t="s">
        <v>18</v>
      </c>
    </row>
    <row r="1043" spans="1:9" x14ac:dyDescent="0.2">
      <c r="A1043" s="10" t="s">
        <v>2099</v>
      </c>
      <c r="B1043" s="10">
        <v>24.694835152972299</v>
      </c>
      <c r="C1043" s="10">
        <v>8.0200053447276503</v>
      </c>
      <c r="D1043" s="10">
        <v>1.5943851354673999</v>
      </c>
      <c r="E1043" s="10">
        <v>5.0301556169341302</v>
      </c>
      <c r="F1043" s="4">
        <v>4.9008190645831098E-7</v>
      </c>
      <c r="G1043" s="4">
        <v>4.4362995698570099E-6</v>
      </c>
      <c r="H1043" s="10" t="s">
        <v>2100</v>
      </c>
      <c r="I1043" s="10" t="s">
        <v>18</v>
      </c>
    </row>
    <row r="1044" spans="1:9" x14ac:dyDescent="0.2">
      <c r="A1044" s="10" t="s">
        <v>2101</v>
      </c>
      <c r="B1044" s="10">
        <v>28.490275854702499</v>
      </c>
      <c r="C1044" s="10">
        <v>4.7273084301717097</v>
      </c>
      <c r="D1044" s="10">
        <v>0.95021922051256003</v>
      </c>
      <c r="E1044" s="10">
        <v>4.97496612163006</v>
      </c>
      <c r="F1044" s="4">
        <v>6.5259052108061004E-7</v>
      </c>
      <c r="G1044" s="4">
        <v>5.7693491005461997E-6</v>
      </c>
      <c r="H1044" s="10" t="s">
        <v>2102</v>
      </c>
      <c r="I1044" s="10" t="s">
        <v>18</v>
      </c>
    </row>
    <row r="1045" spans="1:9" x14ac:dyDescent="0.2">
      <c r="A1045" s="10" t="s">
        <v>2103</v>
      </c>
      <c r="B1045" s="10">
        <v>4.9915038515476402</v>
      </c>
      <c r="C1045" s="10">
        <v>5.7155107172183204</v>
      </c>
      <c r="D1045" s="10">
        <v>2.03125899621197</v>
      </c>
      <c r="E1045" s="10">
        <v>2.81377742960253</v>
      </c>
      <c r="F1045" s="10">
        <v>4.8963116077231396E-3</v>
      </c>
      <c r="G1045" s="10">
        <v>1.7423247012620099E-2</v>
      </c>
      <c r="H1045" s="10" t="s">
        <v>2104</v>
      </c>
      <c r="I1045" s="10" t="s">
        <v>18</v>
      </c>
    </row>
    <row r="1046" spans="1:9" x14ac:dyDescent="0.2">
      <c r="A1046" s="10" t="s">
        <v>2105</v>
      </c>
      <c r="B1046" s="10">
        <v>1140.3238231068899</v>
      </c>
      <c r="C1046" s="10">
        <v>-3.2048551663912401</v>
      </c>
      <c r="D1046" s="10">
        <v>0.26172370877087803</v>
      </c>
      <c r="E1046" s="10">
        <v>-12.2451847463192</v>
      </c>
      <c r="F1046" s="4">
        <v>1.7827067637381301E-34</v>
      </c>
      <c r="G1046" s="4">
        <v>1.80570301827408E-32</v>
      </c>
      <c r="H1046" s="10" t="s">
        <v>2106</v>
      </c>
      <c r="I1046" s="10" t="s">
        <v>18</v>
      </c>
    </row>
    <row r="1047" spans="1:9" x14ac:dyDescent="0.2">
      <c r="A1047" s="10" t="s">
        <v>2107</v>
      </c>
      <c r="B1047" s="10">
        <v>8.81424644810836</v>
      </c>
      <c r="C1047" s="10">
        <v>5.0469594737061598</v>
      </c>
      <c r="D1047" s="10">
        <v>1.78094244553593</v>
      </c>
      <c r="E1047" s="10">
        <v>2.8338700592805601</v>
      </c>
      <c r="F1047" s="10">
        <v>4.5988027410419499E-3</v>
      </c>
      <c r="G1047" s="10">
        <v>1.6517740348690999E-2</v>
      </c>
      <c r="H1047" s="10" t="s">
        <v>2108</v>
      </c>
      <c r="I1047" s="10" t="s">
        <v>18</v>
      </c>
    </row>
    <row r="1048" spans="1:9" x14ac:dyDescent="0.2">
      <c r="A1048" s="10" t="s">
        <v>2109</v>
      </c>
      <c r="B1048" s="10">
        <v>546.86445516607796</v>
      </c>
      <c r="C1048" s="10">
        <v>2.4224277895367199</v>
      </c>
      <c r="D1048" s="10">
        <v>0.24943499193567301</v>
      </c>
      <c r="E1048" s="10">
        <v>9.7116598226180102</v>
      </c>
      <c r="F1048" s="4">
        <v>2.6892167220614699E-22</v>
      </c>
      <c r="G1048" s="4">
        <v>1.23772108152042E-20</v>
      </c>
      <c r="H1048" s="10" t="s">
        <v>2110</v>
      </c>
      <c r="I1048" s="10" t="s">
        <v>18</v>
      </c>
    </row>
    <row r="1049" spans="1:9" x14ac:dyDescent="0.2">
      <c r="A1049" s="10" t="s">
        <v>2111</v>
      </c>
      <c r="B1049" s="10">
        <v>23.193171472294502</v>
      </c>
      <c r="C1049" s="10">
        <v>3.3427450491361701</v>
      </c>
      <c r="D1049" s="10">
        <v>0.87395309462500104</v>
      </c>
      <c r="E1049" s="10">
        <v>3.8248563563591298</v>
      </c>
      <c r="F1049" s="10">
        <v>1.3084835511210799E-4</v>
      </c>
      <c r="G1049" s="10">
        <v>7.2953245994262497E-4</v>
      </c>
      <c r="H1049" s="10" t="s">
        <v>2112</v>
      </c>
      <c r="I1049" s="10" t="s">
        <v>18</v>
      </c>
    </row>
    <row r="1050" spans="1:9" x14ac:dyDescent="0.2">
      <c r="A1050" s="10" t="s">
        <v>2113</v>
      </c>
      <c r="B1050" s="10">
        <v>11.716175371598601</v>
      </c>
      <c r="C1050" s="10">
        <v>3.8166423924636299</v>
      </c>
      <c r="D1050" s="10">
        <v>1.2292260840707201</v>
      </c>
      <c r="E1050" s="10">
        <v>3.1049149069668101</v>
      </c>
      <c r="F1050" s="10">
        <v>1.90333772737664E-3</v>
      </c>
      <c r="G1050" s="10">
        <v>7.7150019425515004E-3</v>
      </c>
      <c r="H1050" s="10" t="s">
        <v>2114</v>
      </c>
      <c r="I1050" s="10" t="s">
        <v>18</v>
      </c>
    </row>
    <row r="1051" spans="1:9" x14ac:dyDescent="0.2">
      <c r="A1051" s="10" t="s">
        <v>2115</v>
      </c>
      <c r="B1051" s="10">
        <v>32.455316886705603</v>
      </c>
      <c r="C1051" s="10">
        <v>1.73317494554364</v>
      </c>
      <c r="D1051" s="10">
        <v>0.62528907172045201</v>
      </c>
      <c r="E1051" s="10">
        <v>2.7717979154423702</v>
      </c>
      <c r="F1051" s="10">
        <v>5.5747633593451699E-3</v>
      </c>
      <c r="G1051" s="10">
        <v>1.9497164232688099E-2</v>
      </c>
      <c r="H1051" s="10" t="s">
        <v>2116</v>
      </c>
      <c r="I1051" s="10" t="s">
        <v>18</v>
      </c>
    </row>
    <row r="1052" spans="1:9" x14ac:dyDescent="0.2">
      <c r="A1052" s="10" t="s">
        <v>2117</v>
      </c>
      <c r="B1052" s="10">
        <v>681.39519168269101</v>
      </c>
      <c r="C1052" s="10">
        <v>-1.1604370762535301</v>
      </c>
      <c r="D1052" s="10">
        <v>0.22210302251348099</v>
      </c>
      <c r="E1052" s="10">
        <v>-5.2247694026005398</v>
      </c>
      <c r="F1052" s="4">
        <v>1.7437228004230199E-7</v>
      </c>
      <c r="G1052" s="4">
        <v>1.7047439950888499E-6</v>
      </c>
      <c r="H1052" s="10" t="s">
        <v>2118</v>
      </c>
      <c r="I1052" s="10" t="s">
        <v>18</v>
      </c>
    </row>
    <row r="1053" spans="1:9" x14ac:dyDescent="0.2">
      <c r="A1053" s="10" t="s">
        <v>2119</v>
      </c>
      <c r="B1053" s="10">
        <v>819.64687748821598</v>
      </c>
      <c r="C1053" s="10">
        <v>1.58680153522922</v>
      </c>
      <c r="D1053" s="10">
        <v>0.215399060377549</v>
      </c>
      <c r="E1053" s="10">
        <v>7.3667987801241601</v>
      </c>
      <c r="F1053" s="4">
        <v>1.74773977358264E-13</v>
      </c>
      <c r="G1053" s="4">
        <v>3.8066079624945099E-12</v>
      </c>
      <c r="H1053" s="10" t="s">
        <v>2120</v>
      </c>
      <c r="I1053" s="10" t="s">
        <v>18</v>
      </c>
    </row>
    <row r="1054" spans="1:9" x14ac:dyDescent="0.2">
      <c r="A1054" s="10" t="s">
        <v>2121</v>
      </c>
      <c r="B1054" s="10">
        <v>170.279277669186</v>
      </c>
      <c r="C1054" s="10">
        <v>1.10583035221771</v>
      </c>
      <c r="D1054" s="10">
        <v>0.30728963252164099</v>
      </c>
      <c r="E1054" s="10">
        <v>3.5986581881828799</v>
      </c>
      <c r="F1054" s="10">
        <v>3.1986326683140499E-4</v>
      </c>
      <c r="G1054" s="10">
        <v>1.6142460513716001E-3</v>
      </c>
      <c r="H1054" s="10" t="s">
        <v>2122</v>
      </c>
      <c r="I1054" s="10" t="s">
        <v>18</v>
      </c>
    </row>
    <row r="1055" spans="1:9" x14ac:dyDescent="0.2">
      <c r="A1055" s="10" t="s">
        <v>2123</v>
      </c>
      <c r="B1055" s="10">
        <v>866.40896375343505</v>
      </c>
      <c r="C1055" s="10">
        <v>-1.1290448264930999</v>
      </c>
      <c r="D1055" s="10">
        <v>0.26568195347968399</v>
      </c>
      <c r="E1055" s="10">
        <v>-4.2496105275717699</v>
      </c>
      <c r="F1055" s="4">
        <v>2.1414252515520899E-5</v>
      </c>
      <c r="G1055" s="10">
        <v>1.41516890198981E-4</v>
      </c>
      <c r="H1055" s="10" t="s">
        <v>2124</v>
      </c>
      <c r="I1055" s="10" t="s">
        <v>18</v>
      </c>
    </row>
    <row r="1056" spans="1:9" x14ac:dyDescent="0.2">
      <c r="A1056" s="10" t="s">
        <v>2125</v>
      </c>
      <c r="B1056" s="10">
        <v>30.030499563528601</v>
      </c>
      <c r="C1056" s="10">
        <v>-1.86359015823788</v>
      </c>
      <c r="D1056" s="10">
        <v>0.64856357211027704</v>
      </c>
      <c r="E1056" s="10">
        <v>-2.8734117029949502</v>
      </c>
      <c r="F1056" s="10">
        <v>4.0606456765000304E-3</v>
      </c>
      <c r="G1056" s="10">
        <v>1.4835131770930101E-2</v>
      </c>
      <c r="H1056" s="10" t="s">
        <v>2126</v>
      </c>
      <c r="I1056" s="10" t="s">
        <v>18</v>
      </c>
    </row>
    <row r="1057" spans="1:9" x14ac:dyDescent="0.2">
      <c r="A1057" s="10" t="s">
        <v>2127</v>
      </c>
      <c r="B1057" s="10">
        <v>266.79493511678902</v>
      </c>
      <c r="C1057" s="10">
        <v>1.2488162841272299</v>
      </c>
      <c r="D1057" s="10">
        <v>0.30517561348526601</v>
      </c>
      <c r="E1057" s="10">
        <v>4.0921234493971896</v>
      </c>
      <c r="F1057" s="4">
        <v>4.2744098214853902E-5</v>
      </c>
      <c r="G1057" s="10">
        <v>2.6505426583070698E-4</v>
      </c>
      <c r="H1057" s="10" t="s">
        <v>2128</v>
      </c>
      <c r="I1057" s="10" t="s">
        <v>18</v>
      </c>
    </row>
    <row r="1058" spans="1:9" x14ac:dyDescent="0.2">
      <c r="A1058" s="10" t="s">
        <v>2129</v>
      </c>
      <c r="B1058" s="10">
        <v>650.05840274301204</v>
      </c>
      <c r="C1058" s="10">
        <v>-3.2795257565892801</v>
      </c>
      <c r="D1058" s="10">
        <v>0.30206498161492401</v>
      </c>
      <c r="E1058" s="10">
        <v>-10.8570206948717</v>
      </c>
      <c r="F1058" s="4">
        <v>1.8467628311257099E-27</v>
      </c>
      <c r="G1058" s="4">
        <v>1.21249992432969E-25</v>
      </c>
      <c r="H1058" s="10" t="s">
        <v>2130</v>
      </c>
      <c r="I1058" s="10" t="s">
        <v>18</v>
      </c>
    </row>
    <row r="1059" spans="1:9" x14ac:dyDescent="0.2">
      <c r="A1059" s="10" t="s">
        <v>2131</v>
      </c>
      <c r="B1059" s="10">
        <v>105.710171445773</v>
      </c>
      <c r="C1059" s="10">
        <v>1.5074270736302999</v>
      </c>
      <c r="D1059" s="10">
        <v>0.39397059719442001</v>
      </c>
      <c r="E1059" s="10">
        <v>3.8262425784185998</v>
      </c>
      <c r="F1059" s="10">
        <v>1.3011407686700299E-4</v>
      </c>
      <c r="G1059" s="10">
        <v>7.2618153469791605E-4</v>
      </c>
      <c r="H1059" s="10" t="s">
        <v>2132</v>
      </c>
      <c r="I1059" s="10" t="s">
        <v>18</v>
      </c>
    </row>
    <row r="1060" spans="1:9" x14ac:dyDescent="0.2">
      <c r="A1060" s="10" t="s">
        <v>2133</v>
      </c>
      <c r="B1060" s="10">
        <v>2194.1152880785598</v>
      </c>
      <c r="C1060" s="10">
        <v>-2.71526473008455</v>
      </c>
      <c r="D1060" s="10">
        <v>0.218425791812562</v>
      </c>
      <c r="E1060" s="10">
        <v>-12.4310627767558</v>
      </c>
      <c r="F1060" s="4">
        <v>1.77261868070936E-35</v>
      </c>
      <c r="G1060" s="4">
        <v>1.9166087775114299E-33</v>
      </c>
      <c r="H1060" s="10" t="s">
        <v>2134</v>
      </c>
      <c r="I1060" s="10" t="s">
        <v>18</v>
      </c>
    </row>
    <row r="1061" spans="1:9" x14ac:dyDescent="0.2">
      <c r="A1061" s="10" t="s">
        <v>2135</v>
      </c>
      <c r="B1061" s="10">
        <v>831.40683009121597</v>
      </c>
      <c r="C1061" s="10">
        <v>-1.9732382424935799</v>
      </c>
      <c r="D1061" s="10">
        <v>0.248205378036538</v>
      </c>
      <c r="E1061" s="10">
        <v>-7.9500221071080004</v>
      </c>
      <c r="F1061" s="4">
        <v>1.8647823527905898E-15</v>
      </c>
      <c r="G1061" s="4">
        <v>4.8575262683064202E-14</v>
      </c>
      <c r="H1061" s="10" t="s">
        <v>2136</v>
      </c>
      <c r="I1061" s="10" t="s">
        <v>18</v>
      </c>
    </row>
    <row r="1062" spans="1:9" x14ac:dyDescent="0.2">
      <c r="A1062" s="10" t="s">
        <v>2137</v>
      </c>
      <c r="B1062" s="10">
        <v>1655.8901857411199</v>
      </c>
      <c r="C1062" s="10">
        <v>-1.2475327436622701</v>
      </c>
      <c r="D1062" s="10">
        <v>0.18580096659742701</v>
      </c>
      <c r="E1062" s="10">
        <v>-6.7143501269575596</v>
      </c>
      <c r="F1062" s="4">
        <v>1.8890622421378101E-11</v>
      </c>
      <c r="G1062" s="4">
        <v>3.2270394301899102E-10</v>
      </c>
      <c r="H1062" s="10" t="s">
        <v>2138</v>
      </c>
      <c r="I1062" s="10" t="s">
        <v>18</v>
      </c>
    </row>
    <row r="1063" spans="1:9" x14ac:dyDescent="0.2">
      <c r="A1063" s="10" t="s">
        <v>2139</v>
      </c>
      <c r="B1063" s="10">
        <v>7497.7327049184996</v>
      </c>
      <c r="C1063" s="10">
        <v>-1.35656055057469</v>
      </c>
      <c r="D1063" s="10">
        <v>0.21120686655220799</v>
      </c>
      <c r="E1063" s="10">
        <v>-6.42289984563243</v>
      </c>
      <c r="F1063" s="4">
        <v>1.33702466753479E-10</v>
      </c>
      <c r="G1063" s="4">
        <v>2.04318065711276E-9</v>
      </c>
      <c r="H1063" s="10" t="s">
        <v>2140</v>
      </c>
      <c r="I1063" s="10" t="s">
        <v>18</v>
      </c>
    </row>
    <row r="1064" spans="1:9" x14ac:dyDescent="0.2">
      <c r="A1064" s="10" t="s">
        <v>2141</v>
      </c>
      <c r="B1064" s="10">
        <v>3000.7241321188899</v>
      </c>
      <c r="C1064" s="10">
        <v>-1.27339561962502</v>
      </c>
      <c r="D1064" s="10">
        <v>0.21767447285698199</v>
      </c>
      <c r="E1064" s="10">
        <v>-5.8499997859724902</v>
      </c>
      <c r="F1064" s="4">
        <v>4.91573644902322E-9</v>
      </c>
      <c r="G1064" s="4">
        <v>6.1075727782278006E-8</v>
      </c>
      <c r="H1064" s="10" t="s">
        <v>2142</v>
      </c>
      <c r="I1064" s="10" t="s">
        <v>18</v>
      </c>
    </row>
    <row r="1065" spans="1:9" x14ac:dyDescent="0.2">
      <c r="A1065" s="10" t="s">
        <v>2143</v>
      </c>
      <c r="B1065" s="10">
        <v>1368.0772082537301</v>
      </c>
      <c r="C1065" s="10">
        <v>-1.1106183887941199</v>
      </c>
      <c r="D1065" s="10">
        <v>0.221752042709049</v>
      </c>
      <c r="E1065" s="10">
        <v>-5.00837951806969</v>
      </c>
      <c r="F1065" s="4">
        <v>5.4890218624031705E-7</v>
      </c>
      <c r="G1065" s="4">
        <v>4.91809860851362E-6</v>
      </c>
      <c r="H1065" s="10" t="s">
        <v>2144</v>
      </c>
      <c r="I1065" s="10" t="s">
        <v>18</v>
      </c>
    </row>
    <row r="1066" spans="1:9" x14ac:dyDescent="0.2">
      <c r="A1066" s="10" t="s">
        <v>2145</v>
      </c>
      <c r="B1066" s="10">
        <v>2738.14691078536</v>
      </c>
      <c r="C1066" s="10">
        <v>-1.0387628231759101</v>
      </c>
      <c r="D1066" s="10">
        <v>0.18909995377112199</v>
      </c>
      <c r="E1066" s="10">
        <v>-5.4931944850350298</v>
      </c>
      <c r="F1066" s="4">
        <v>3.9472768172206501E-8</v>
      </c>
      <c r="G1066" s="4">
        <v>4.3020580575524498E-7</v>
      </c>
      <c r="H1066" s="10" t="s">
        <v>2146</v>
      </c>
      <c r="I1066" s="10" t="s">
        <v>18</v>
      </c>
    </row>
    <row r="1067" spans="1:9" x14ac:dyDescent="0.2">
      <c r="A1067" s="10" t="s">
        <v>2147</v>
      </c>
      <c r="B1067" s="10">
        <v>44.5016105934805</v>
      </c>
      <c r="C1067" s="10">
        <v>1.5910444296755899</v>
      </c>
      <c r="D1067" s="10">
        <v>0.53369649659612795</v>
      </c>
      <c r="E1067" s="10">
        <v>2.9811783285503002</v>
      </c>
      <c r="F1067" s="10">
        <v>2.8714153101668501E-3</v>
      </c>
      <c r="G1067" s="10">
        <v>1.10085061145513E-2</v>
      </c>
      <c r="H1067" s="10" t="s">
        <v>2148</v>
      </c>
      <c r="I1067" s="10" t="s">
        <v>18</v>
      </c>
    </row>
    <row r="1068" spans="1:9" x14ac:dyDescent="0.2">
      <c r="A1068" s="10" t="s">
        <v>2149</v>
      </c>
      <c r="B1068" s="10">
        <v>8438.8509831165793</v>
      </c>
      <c r="C1068" s="10">
        <v>1.0525746193484</v>
      </c>
      <c r="D1068" s="10">
        <v>0.215773853946232</v>
      </c>
      <c r="E1068" s="10">
        <v>4.8781379212454699</v>
      </c>
      <c r="F1068" s="4">
        <v>1.0709203361237399E-6</v>
      </c>
      <c r="G1068" s="4">
        <v>9.1356814021176102E-6</v>
      </c>
      <c r="H1068" s="10" t="s">
        <v>2150</v>
      </c>
      <c r="I1068" s="10" t="s">
        <v>18</v>
      </c>
    </row>
    <row r="1069" spans="1:9" x14ac:dyDescent="0.2">
      <c r="A1069" s="10" t="s">
        <v>2151</v>
      </c>
      <c r="B1069" s="10">
        <v>2007.5165941708999</v>
      </c>
      <c r="C1069" s="10">
        <v>-1.30071170115384</v>
      </c>
      <c r="D1069" s="10">
        <v>0.21357025382327899</v>
      </c>
      <c r="E1069" s="10">
        <v>-6.0903224014994404</v>
      </c>
      <c r="F1069" s="4">
        <v>1.12683527521866E-9</v>
      </c>
      <c r="G1069" s="4">
        <v>1.5214509783886399E-8</v>
      </c>
      <c r="H1069" s="10" t="s">
        <v>2152</v>
      </c>
      <c r="I1069" s="10" t="s">
        <v>18</v>
      </c>
    </row>
    <row r="1070" spans="1:9" x14ac:dyDescent="0.2">
      <c r="A1070" s="10" t="s">
        <v>2153</v>
      </c>
      <c r="B1070" s="10">
        <v>1251.6159485476901</v>
      </c>
      <c r="C1070" s="10">
        <v>-1.2777777621647799</v>
      </c>
      <c r="D1070" s="10">
        <v>0.19619113952963199</v>
      </c>
      <c r="E1070" s="10">
        <v>-6.5129228834097903</v>
      </c>
      <c r="F1070" s="4">
        <v>7.37023539855124E-11</v>
      </c>
      <c r="G1070" s="4">
        <v>1.1709434629989799E-9</v>
      </c>
      <c r="H1070" s="10" t="s">
        <v>2154</v>
      </c>
      <c r="I1070" s="10" t="s">
        <v>18</v>
      </c>
    </row>
    <row r="1071" spans="1:9" x14ac:dyDescent="0.2">
      <c r="A1071" s="10" t="s">
        <v>2155</v>
      </c>
      <c r="B1071" s="10">
        <v>176.71927804994201</v>
      </c>
      <c r="C1071" s="10">
        <v>7.0855852496685596</v>
      </c>
      <c r="D1071" s="10">
        <v>0.70978485098855204</v>
      </c>
      <c r="E1071" s="10">
        <v>9.9827225669864905</v>
      </c>
      <c r="F1071" s="4">
        <v>1.8141924812194199E-23</v>
      </c>
      <c r="G1071" s="4">
        <v>8.9875095519610096E-22</v>
      </c>
      <c r="H1071" s="10" t="s">
        <v>2156</v>
      </c>
      <c r="I1071" s="10" t="s">
        <v>18</v>
      </c>
    </row>
    <row r="1072" spans="1:9" x14ac:dyDescent="0.2">
      <c r="A1072" s="10" t="s">
        <v>2157</v>
      </c>
      <c r="B1072" s="10">
        <v>4.2939624891008599</v>
      </c>
      <c r="C1072" s="10">
        <v>5.4978614945687996</v>
      </c>
      <c r="D1072" s="10">
        <v>2.1119244238519399</v>
      </c>
      <c r="E1072" s="10">
        <v>2.6032472717661199</v>
      </c>
      <c r="F1072" s="10">
        <v>9.2345323669644607E-3</v>
      </c>
      <c r="G1072" s="10">
        <v>2.9695893237658502E-2</v>
      </c>
      <c r="H1072" s="10" t="s">
        <v>2158</v>
      </c>
      <c r="I1072" s="10" t="s">
        <v>18</v>
      </c>
    </row>
    <row r="1073" spans="1:9" x14ac:dyDescent="0.2">
      <c r="A1073" s="10" t="s">
        <v>2159</v>
      </c>
      <c r="B1073" s="10">
        <v>845.73094591524296</v>
      </c>
      <c r="C1073" s="10">
        <v>-1.82266603431262</v>
      </c>
      <c r="D1073" s="10">
        <v>0.21560219948151599</v>
      </c>
      <c r="E1073" s="10">
        <v>-8.4538378490377308</v>
      </c>
      <c r="F1073" s="4">
        <v>2.8188071613146199E-17</v>
      </c>
      <c r="G1073" s="4">
        <v>8.6103182426389602E-16</v>
      </c>
      <c r="H1073" s="10" t="s">
        <v>2160</v>
      </c>
      <c r="I1073" s="10" t="s">
        <v>18</v>
      </c>
    </row>
    <row r="1074" spans="1:9" x14ac:dyDescent="0.2">
      <c r="A1074" s="10" t="s">
        <v>2161</v>
      </c>
      <c r="B1074" s="10">
        <v>6.6070209956545298</v>
      </c>
      <c r="C1074" s="10">
        <v>6.1210130461908303</v>
      </c>
      <c r="D1074" s="10">
        <v>1.90507111739157</v>
      </c>
      <c r="E1074" s="10">
        <v>3.2130102599905701</v>
      </c>
      <c r="F1074" s="10">
        <v>1.3135159723961501E-3</v>
      </c>
      <c r="G1074" s="10">
        <v>5.59646125095822E-3</v>
      </c>
      <c r="H1074" s="10" t="s">
        <v>2162</v>
      </c>
      <c r="I1074" s="10" t="s">
        <v>18</v>
      </c>
    </row>
    <row r="1075" spans="1:9" x14ac:dyDescent="0.2">
      <c r="A1075" s="10" t="s">
        <v>2163</v>
      </c>
      <c r="B1075" s="10">
        <v>3580.88385860483</v>
      </c>
      <c r="C1075" s="10">
        <v>-1.30679480577954</v>
      </c>
      <c r="D1075" s="10">
        <v>0.201597567191977</v>
      </c>
      <c r="E1075" s="10">
        <v>-6.48219531605314</v>
      </c>
      <c r="F1075" s="4">
        <v>9.0397508564134504E-11</v>
      </c>
      <c r="G1075" s="4">
        <v>1.4163662540810701E-9</v>
      </c>
      <c r="H1075" s="10" t="s">
        <v>2164</v>
      </c>
      <c r="I1075" s="10" t="s">
        <v>18</v>
      </c>
    </row>
    <row r="1076" spans="1:9" x14ac:dyDescent="0.2">
      <c r="A1076" s="10" t="s">
        <v>2165</v>
      </c>
      <c r="B1076" s="10">
        <v>3783.7369308852299</v>
      </c>
      <c r="C1076" s="10">
        <v>1.02353313762345</v>
      </c>
      <c r="D1076" s="10">
        <v>0.201917701242812</v>
      </c>
      <c r="E1076" s="10">
        <v>5.0690609655496299</v>
      </c>
      <c r="F1076" s="4">
        <v>3.9978317002241599E-7</v>
      </c>
      <c r="G1076" s="4">
        <v>3.6713488485341301E-6</v>
      </c>
      <c r="H1076" s="10" t="s">
        <v>2166</v>
      </c>
      <c r="I1076" s="10" t="s">
        <v>18</v>
      </c>
    </row>
    <row r="1077" spans="1:9" x14ac:dyDescent="0.2">
      <c r="A1077" s="10" t="s">
        <v>2167</v>
      </c>
      <c r="B1077" s="10">
        <v>47.318319604427998</v>
      </c>
      <c r="C1077" s="10">
        <v>2.2382977403636399</v>
      </c>
      <c r="D1077" s="10">
        <v>0.54150769832692103</v>
      </c>
      <c r="E1077" s="10">
        <v>4.1334550686522702</v>
      </c>
      <c r="F1077" s="4">
        <v>3.5735018205269197E-5</v>
      </c>
      <c r="G1077" s="10">
        <v>2.25282748967832E-4</v>
      </c>
      <c r="H1077" s="10" t="s">
        <v>2168</v>
      </c>
      <c r="I1077" s="10" t="s">
        <v>18</v>
      </c>
    </row>
    <row r="1078" spans="1:9" x14ac:dyDescent="0.2">
      <c r="A1078" s="10" t="s">
        <v>2169</v>
      </c>
      <c r="B1078" s="10">
        <v>1102.0343782636301</v>
      </c>
      <c r="C1078" s="10">
        <v>8.5955867915165491</v>
      </c>
      <c r="D1078" s="10">
        <v>0.47892200551307501</v>
      </c>
      <c r="E1078" s="10">
        <v>17.947779998766201</v>
      </c>
      <c r="F1078" s="4">
        <v>4.9947371933666396E-72</v>
      </c>
      <c r="G1078" s="4">
        <v>2.6171462366857898E-69</v>
      </c>
      <c r="H1078" s="10" t="s">
        <v>2170</v>
      </c>
      <c r="I1078" s="10" t="s">
        <v>18</v>
      </c>
    </row>
    <row r="1079" spans="1:9" x14ac:dyDescent="0.2">
      <c r="A1079" s="10" t="s">
        <v>2171</v>
      </c>
      <c r="B1079" s="10">
        <v>989.35661983448404</v>
      </c>
      <c r="C1079" s="10">
        <v>-1.3869164041787101</v>
      </c>
      <c r="D1079" s="10">
        <v>0.20812831076363</v>
      </c>
      <c r="E1079" s="10">
        <v>-6.6637565984659703</v>
      </c>
      <c r="F1079" s="4">
        <v>2.6691538661909099E-11</v>
      </c>
      <c r="G1079" s="4">
        <v>4.4920590112479102E-10</v>
      </c>
      <c r="H1079" s="10" t="s">
        <v>2172</v>
      </c>
      <c r="I1079" s="10" t="s">
        <v>18</v>
      </c>
    </row>
    <row r="1080" spans="1:9" x14ac:dyDescent="0.2">
      <c r="A1080" s="10" t="s">
        <v>2173</v>
      </c>
      <c r="B1080" s="10">
        <v>18.281325848535701</v>
      </c>
      <c r="C1080" s="10">
        <v>3.1893504748101602</v>
      </c>
      <c r="D1080" s="10">
        <v>0.91094515514359897</v>
      </c>
      <c r="E1080" s="10">
        <v>3.50114434090974</v>
      </c>
      <c r="F1080" s="10">
        <v>4.6326485992490398E-4</v>
      </c>
      <c r="G1080" s="10">
        <v>2.23804568056274E-3</v>
      </c>
      <c r="H1080" s="10" t="s">
        <v>2174</v>
      </c>
      <c r="I1080" s="10" t="s">
        <v>18</v>
      </c>
    </row>
    <row r="1081" spans="1:9" x14ac:dyDescent="0.2">
      <c r="A1081" s="10" t="s">
        <v>2175</v>
      </c>
      <c r="B1081" s="10">
        <v>1415.4352806944901</v>
      </c>
      <c r="C1081" s="10">
        <v>-1.5928950897382801</v>
      </c>
      <c r="D1081" s="10">
        <v>0.23279414774954199</v>
      </c>
      <c r="E1081" s="10">
        <v>-6.8425048702342997</v>
      </c>
      <c r="F1081" s="4">
        <v>7.7820258884443896E-12</v>
      </c>
      <c r="G1081" s="4">
        <v>1.38495662562015E-10</v>
      </c>
      <c r="H1081" s="10" t="s">
        <v>2176</v>
      </c>
      <c r="I1081" s="10" t="s">
        <v>18</v>
      </c>
    </row>
    <row r="1082" spans="1:9" x14ac:dyDescent="0.2">
      <c r="A1082" s="10" t="s">
        <v>2177</v>
      </c>
      <c r="B1082" s="10">
        <v>31.860456672592399</v>
      </c>
      <c r="C1082" s="10">
        <v>8.3906533756858597</v>
      </c>
      <c r="D1082" s="10">
        <v>1.55621806667285</v>
      </c>
      <c r="E1082" s="10">
        <v>5.3916951328195601</v>
      </c>
      <c r="F1082" s="4">
        <v>6.9796110807972195E-8</v>
      </c>
      <c r="G1082" s="4">
        <v>7.2891323541004904E-7</v>
      </c>
      <c r="H1082" s="10" t="s">
        <v>2178</v>
      </c>
      <c r="I1082" s="10" t="s">
        <v>18</v>
      </c>
    </row>
    <row r="1083" spans="1:9" x14ac:dyDescent="0.2">
      <c r="A1083" s="10" t="s">
        <v>2179</v>
      </c>
      <c r="B1083" s="10">
        <v>451.06340662392</v>
      </c>
      <c r="C1083" s="10">
        <v>1.25465049100113</v>
      </c>
      <c r="D1083" s="10">
        <v>0.27050146119733998</v>
      </c>
      <c r="E1083" s="10">
        <v>4.6382392370362</v>
      </c>
      <c r="F1083" s="4">
        <v>3.51389909040968E-6</v>
      </c>
      <c r="G1083" s="4">
        <v>2.73352077804725E-5</v>
      </c>
      <c r="H1083" s="10" t="s">
        <v>2180</v>
      </c>
      <c r="I1083" s="10" t="s">
        <v>18</v>
      </c>
    </row>
    <row r="1084" spans="1:9" x14ac:dyDescent="0.2">
      <c r="A1084" s="10" t="s">
        <v>2181</v>
      </c>
      <c r="B1084" s="10">
        <v>408.17561618375697</v>
      </c>
      <c r="C1084" s="10">
        <v>-1.05993873700279</v>
      </c>
      <c r="D1084" s="10">
        <v>0.23186661457987701</v>
      </c>
      <c r="E1084" s="10">
        <v>-4.5713296798821403</v>
      </c>
      <c r="F1084" s="4">
        <v>4.8463911108605999E-6</v>
      </c>
      <c r="G1084" s="4">
        <v>3.6660082897728698E-5</v>
      </c>
      <c r="H1084" s="10" t="s">
        <v>2182</v>
      </c>
      <c r="I1084" s="10" t="s">
        <v>18</v>
      </c>
    </row>
    <row r="1085" spans="1:9" x14ac:dyDescent="0.2">
      <c r="A1085" s="10" t="s">
        <v>2183</v>
      </c>
      <c r="B1085" s="10">
        <v>9.2492282358417608</v>
      </c>
      <c r="C1085" s="10">
        <v>6.6056718306533204</v>
      </c>
      <c r="D1085" s="10">
        <v>1.78563747247767</v>
      </c>
      <c r="E1085" s="10">
        <v>3.6993353536021001</v>
      </c>
      <c r="F1085" s="10">
        <v>2.1616481913639101E-4</v>
      </c>
      <c r="G1085" s="10">
        <v>1.14077916463476E-3</v>
      </c>
      <c r="H1085" s="10" t="s">
        <v>2184</v>
      </c>
      <c r="I1085" s="10" t="s">
        <v>18</v>
      </c>
    </row>
    <row r="1086" spans="1:9" x14ac:dyDescent="0.2">
      <c r="A1086" s="10" t="s">
        <v>2185</v>
      </c>
      <c r="B1086" s="10">
        <v>14.135110301162101</v>
      </c>
      <c r="C1086" s="10">
        <v>3.6647850331113698</v>
      </c>
      <c r="D1086" s="10">
        <v>1.0942205071419999</v>
      </c>
      <c r="E1086" s="10">
        <v>3.3492198411483201</v>
      </c>
      <c r="F1086" s="10">
        <v>8.1039466389720802E-4</v>
      </c>
      <c r="G1086" s="10">
        <v>3.67157023731414E-3</v>
      </c>
      <c r="H1086" s="10" t="s">
        <v>2186</v>
      </c>
      <c r="I1086" s="10" t="s">
        <v>18</v>
      </c>
    </row>
    <row r="1087" spans="1:9" x14ac:dyDescent="0.2">
      <c r="A1087" s="10" t="s">
        <v>2187</v>
      </c>
      <c r="B1087" s="10">
        <v>42.028018073360201</v>
      </c>
      <c r="C1087" s="10">
        <v>2.0856117868785899</v>
      </c>
      <c r="D1087" s="10">
        <v>0.56437956908785802</v>
      </c>
      <c r="E1087" s="10">
        <v>3.69540624982106</v>
      </c>
      <c r="F1087" s="10">
        <v>2.1953547723989201E-4</v>
      </c>
      <c r="G1087" s="10">
        <v>1.15632769154366E-3</v>
      </c>
      <c r="H1087" s="10" t="s">
        <v>2188</v>
      </c>
      <c r="I1087" s="10" t="s">
        <v>18</v>
      </c>
    </row>
    <row r="1088" spans="1:9" x14ac:dyDescent="0.2">
      <c r="A1088" s="10" t="s">
        <v>2189</v>
      </c>
      <c r="B1088" s="10">
        <v>594.30884278640497</v>
      </c>
      <c r="C1088" s="10">
        <v>-1.0766189833534701</v>
      </c>
      <c r="D1088" s="10">
        <v>0.22957400786690199</v>
      </c>
      <c r="E1088" s="10">
        <v>-4.6896379662355097</v>
      </c>
      <c r="F1088" s="4">
        <v>2.73688848467009E-6</v>
      </c>
      <c r="G1088" s="4">
        <v>2.16401626644823E-5</v>
      </c>
      <c r="H1088" s="10" t="s">
        <v>2190</v>
      </c>
      <c r="I1088" s="10" t="s">
        <v>18</v>
      </c>
    </row>
    <row r="1089" spans="1:9" x14ac:dyDescent="0.2">
      <c r="A1089" s="10" t="s">
        <v>2191</v>
      </c>
      <c r="B1089" s="10">
        <v>2029.28608523721</v>
      </c>
      <c r="C1089" s="10">
        <v>1.13913393339071</v>
      </c>
      <c r="D1089" s="10">
        <v>0.18190674274777299</v>
      </c>
      <c r="E1089" s="10">
        <v>6.2621864158724501</v>
      </c>
      <c r="F1089" s="4">
        <v>3.7961673453533197E-10</v>
      </c>
      <c r="G1089" s="4">
        <v>5.4267666137902403E-9</v>
      </c>
      <c r="H1089" s="10" t="s">
        <v>2192</v>
      </c>
      <c r="I1089" s="10" t="s">
        <v>18</v>
      </c>
    </row>
    <row r="1090" spans="1:9" x14ac:dyDescent="0.2">
      <c r="A1090" s="10" t="s">
        <v>2193</v>
      </c>
      <c r="B1090" s="10">
        <v>1553.99759049263</v>
      </c>
      <c r="C1090" s="10">
        <v>-3.3540990257018302</v>
      </c>
      <c r="D1090" s="10">
        <v>0.217545721103511</v>
      </c>
      <c r="E1090" s="10">
        <v>-15.417903917797201</v>
      </c>
      <c r="F1090" s="4">
        <v>1.2406620097854101E-53</v>
      </c>
      <c r="G1090" s="4">
        <v>2.84069897316161E-51</v>
      </c>
      <c r="H1090" s="10" t="s">
        <v>2194</v>
      </c>
      <c r="I1090" s="10" t="s">
        <v>18</v>
      </c>
    </row>
    <row r="1091" spans="1:9" x14ac:dyDescent="0.2">
      <c r="A1091" s="10" t="s">
        <v>2195</v>
      </c>
      <c r="B1091" s="10">
        <v>13715.169881428201</v>
      </c>
      <c r="C1091" s="10">
        <v>-1.31410996764372</v>
      </c>
      <c r="D1091" s="10">
        <v>0.169654073120209</v>
      </c>
      <c r="E1091" s="10">
        <v>-7.7458203241168304</v>
      </c>
      <c r="F1091" s="4">
        <v>9.4966720689010002E-15</v>
      </c>
      <c r="G1091" s="4">
        <v>2.3041480308223099E-13</v>
      </c>
      <c r="H1091" s="10" t="s">
        <v>2196</v>
      </c>
      <c r="I1091" s="10" t="s">
        <v>18</v>
      </c>
    </row>
    <row r="1092" spans="1:9" x14ac:dyDescent="0.2">
      <c r="A1092" s="10" t="s">
        <v>2197</v>
      </c>
      <c r="B1092" s="10">
        <v>1271.39018566965</v>
      </c>
      <c r="C1092" s="10">
        <v>1.8986688765870801</v>
      </c>
      <c r="D1092" s="10">
        <v>0.19351153130849399</v>
      </c>
      <c r="E1092" s="10">
        <v>9.8116575469615999</v>
      </c>
      <c r="F1092" s="4">
        <v>1.0030715373503099E-22</v>
      </c>
      <c r="G1092" s="4">
        <v>4.7121879617558498E-21</v>
      </c>
      <c r="H1092" s="10" t="s">
        <v>2198</v>
      </c>
      <c r="I1092" s="10" t="s">
        <v>18</v>
      </c>
    </row>
    <row r="1093" spans="1:9" x14ac:dyDescent="0.2">
      <c r="A1093" s="10" t="s">
        <v>2199</v>
      </c>
      <c r="B1093" s="10">
        <v>1647.4112008446</v>
      </c>
      <c r="C1093" s="10">
        <v>3.3777915369446201</v>
      </c>
      <c r="D1093" s="10">
        <v>0.19352285270810701</v>
      </c>
      <c r="E1093" s="10">
        <v>17.454225636283802</v>
      </c>
      <c r="F1093" s="4">
        <v>3.1968340744402902E-68</v>
      </c>
      <c r="G1093" s="4">
        <v>1.27268431557876E-65</v>
      </c>
      <c r="H1093" s="10" t="s">
        <v>2200</v>
      </c>
      <c r="I1093" s="10" t="s">
        <v>18</v>
      </c>
    </row>
    <row r="1094" spans="1:9" x14ac:dyDescent="0.2">
      <c r="A1094" s="10" t="s">
        <v>2201</v>
      </c>
      <c r="B1094" s="10">
        <v>22.3544747515881</v>
      </c>
      <c r="C1094" s="10">
        <v>4.7952558442204802</v>
      </c>
      <c r="D1094" s="10">
        <v>1.0856174626869499</v>
      </c>
      <c r="E1094" s="10">
        <v>4.4170769253766702</v>
      </c>
      <c r="F1094" s="4">
        <v>1.0004463289979899E-5</v>
      </c>
      <c r="G1094" s="4">
        <v>7.11355979285184E-5</v>
      </c>
      <c r="H1094" s="10" t="s">
        <v>2202</v>
      </c>
      <c r="I1094" s="10" t="s">
        <v>18</v>
      </c>
    </row>
    <row r="1095" spans="1:9" x14ac:dyDescent="0.2">
      <c r="A1095" s="10" t="s">
        <v>2203</v>
      </c>
      <c r="B1095" s="10">
        <v>4.3694444890872397</v>
      </c>
      <c r="C1095" s="10">
        <v>5.5278073040699196</v>
      </c>
      <c r="D1095" s="10">
        <v>2.1223585767351398</v>
      </c>
      <c r="E1095" s="10">
        <v>2.6045586097771598</v>
      </c>
      <c r="F1095" s="10">
        <v>9.1992685622235906E-3</v>
      </c>
      <c r="G1095" s="10">
        <v>2.9634957497624299E-2</v>
      </c>
      <c r="H1095" s="10" t="s">
        <v>2204</v>
      </c>
      <c r="I1095" s="10" t="s">
        <v>18</v>
      </c>
    </row>
    <row r="1096" spans="1:9" x14ac:dyDescent="0.2">
      <c r="A1096" s="10" t="s">
        <v>2205</v>
      </c>
      <c r="B1096" s="10">
        <v>176.37791068321201</v>
      </c>
      <c r="C1096" s="10">
        <v>1.3951648869961599</v>
      </c>
      <c r="D1096" s="10">
        <v>0.31493422846853503</v>
      </c>
      <c r="E1096" s="10">
        <v>4.4300198609105799</v>
      </c>
      <c r="F1096" s="4">
        <v>9.4224410086531195E-6</v>
      </c>
      <c r="G1096" s="4">
        <v>6.7454873926109195E-5</v>
      </c>
      <c r="H1096" s="10" t="s">
        <v>2206</v>
      </c>
      <c r="I1096" s="10" t="s">
        <v>18</v>
      </c>
    </row>
    <row r="1097" spans="1:9" x14ac:dyDescent="0.2">
      <c r="A1097" s="10" t="s">
        <v>2207</v>
      </c>
      <c r="B1097" s="10">
        <v>608.63013871351097</v>
      </c>
      <c r="C1097" s="10">
        <v>1.9445146569833101</v>
      </c>
      <c r="D1097" s="10">
        <v>0.22837545735220799</v>
      </c>
      <c r="E1097" s="10">
        <v>8.5145517803360793</v>
      </c>
      <c r="F1097" s="4">
        <v>1.67235884510115E-17</v>
      </c>
      <c r="G1097" s="4">
        <v>5.2255460381274101E-16</v>
      </c>
      <c r="H1097" s="10" t="s">
        <v>2208</v>
      </c>
      <c r="I1097" s="10" t="s">
        <v>18</v>
      </c>
    </row>
    <row r="1098" spans="1:9" x14ac:dyDescent="0.2">
      <c r="A1098" s="10" t="s">
        <v>2209</v>
      </c>
      <c r="B1098" s="10">
        <v>3.8893317554809199</v>
      </c>
      <c r="C1098" s="10">
        <v>5.35263968609567</v>
      </c>
      <c r="D1098" s="10">
        <v>2.1805139762792298</v>
      </c>
      <c r="E1098" s="10">
        <v>2.4547605492670499</v>
      </c>
      <c r="F1098" s="10">
        <v>1.40978459500909E-2</v>
      </c>
      <c r="G1098" s="10">
        <v>4.2402473628670397E-2</v>
      </c>
      <c r="H1098" s="10" t="s">
        <v>2210</v>
      </c>
      <c r="I1098" s="10" t="s">
        <v>18</v>
      </c>
    </row>
    <row r="1099" spans="1:9" x14ac:dyDescent="0.2">
      <c r="A1099" s="10" t="s">
        <v>2211</v>
      </c>
      <c r="B1099" s="10">
        <v>777.22054902457296</v>
      </c>
      <c r="C1099" s="10">
        <v>1.24024139298202</v>
      </c>
      <c r="D1099" s="10">
        <v>0.20565026143665999</v>
      </c>
      <c r="E1099" s="10">
        <v>6.0308281852781302</v>
      </c>
      <c r="F1099" s="4">
        <v>1.63121543251055E-9</v>
      </c>
      <c r="G1099" s="4">
        <v>2.15442204990863E-8</v>
      </c>
      <c r="H1099" s="10" t="s">
        <v>2212</v>
      </c>
      <c r="I1099" s="10" t="s">
        <v>18</v>
      </c>
    </row>
    <row r="1100" spans="1:9" x14ac:dyDescent="0.2">
      <c r="A1100" s="10" t="s">
        <v>2213</v>
      </c>
      <c r="B1100" s="10">
        <v>1434.0875334751499</v>
      </c>
      <c r="C1100" s="10">
        <v>2.2863448602741099</v>
      </c>
      <c r="D1100" s="10">
        <v>0.18986994120067399</v>
      </c>
      <c r="E1100" s="10">
        <v>12.041636742583</v>
      </c>
      <c r="F1100" s="4">
        <v>2.1465398349458001E-33</v>
      </c>
      <c r="G1100" s="4">
        <v>2.0739989674740502E-31</v>
      </c>
      <c r="H1100" s="10" t="s">
        <v>2214</v>
      </c>
      <c r="I1100" s="10" t="s">
        <v>18</v>
      </c>
    </row>
    <row r="1101" spans="1:9" x14ac:dyDescent="0.2">
      <c r="A1101" s="10" t="s">
        <v>2215</v>
      </c>
      <c r="B1101" s="10">
        <v>13.6335393545085</v>
      </c>
      <c r="C1101" s="10">
        <v>2.95900871044164</v>
      </c>
      <c r="D1101" s="10">
        <v>1.02707656392271</v>
      </c>
      <c r="E1101" s="10">
        <v>2.8810010999962001</v>
      </c>
      <c r="F1101" s="10">
        <v>3.9641425702220904E-3</v>
      </c>
      <c r="G1101" s="10">
        <v>1.45368733114257E-2</v>
      </c>
      <c r="H1101" s="10" t="s">
        <v>2216</v>
      </c>
      <c r="I1101" s="10" t="s">
        <v>18</v>
      </c>
    </row>
    <row r="1102" spans="1:9" x14ac:dyDescent="0.2">
      <c r="A1102" s="10" t="s">
        <v>2217</v>
      </c>
      <c r="B1102" s="10">
        <v>436.17826494553799</v>
      </c>
      <c r="C1102" s="10">
        <v>-1.3905478880613</v>
      </c>
      <c r="D1102" s="10">
        <v>0.23450137354952499</v>
      </c>
      <c r="E1102" s="10">
        <v>-5.9298070071543796</v>
      </c>
      <c r="F1102" s="4">
        <v>3.0329094180280601E-9</v>
      </c>
      <c r="G1102" s="4">
        <v>3.8669949889101899E-8</v>
      </c>
      <c r="H1102" s="10" t="s">
        <v>2218</v>
      </c>
      <c r="I1102" s="10" t="s">
        <v>18</v>
      </c>
    </row>
    <row r="1103" spans="1:9" x14ac:dyDescent="0.2">
      <c r="A1103" s="10" t="s">
        <v>2219</v>
      </c>
      <c r="B1103" s="10">
        <v>787.07753024066199</v>
      </c>
      <c r="C1103" s="10">
        <v>1.1358114680970699</v>
      </c>
      <c r="D1103" s="10">
        <v>0.219153533128288</v>
      </c>
      <c r="E1103" s="10">
        <v>5.1827203143112799</v>
      </c>
      <c r="F1103" s="4">
        <v>2.1867282640169899E-7</v>
      </c>
      <c r="G1103" s="4">
        <v>2.1038765893245398E-6</v>
      </c>
      <c r="H1103" s="10" t="s">
        <v>2220</v>
      </c>
      <c r="I1103" s="10" t="s">
        <v>18</v>
      </c>
    </row>
    <row r="1104" spans="1:9" x14ac:dyDescent="0.2">
      <c r="A1104" s="10" t="s">
        <v>2221</v>
      </c>
      <c r="B1104" s="10">
        <v>220.416278183841</v>
      </c>
      <c r="C1104" s="10">
        <v>-1.4018465467465799</v>
      </c>
      <c r="D1104" s="10">
        <v>0.29738307423261401</v>
      </c>
      <c r="E1104" s="10">
        <v>-4.7139419429434302</v>
      </c>
      <c r="F1104" s="4">
        <v>2.4296991718319399E-6</v>
      </c>
      <c r="G1104" s="4">
        <v>1.9379980484456899E-5</v>
      </c>
      <c r="H1104" s="10" t="s">
        <v>2222</v>
      </c>
      <c r="I1104" s="10" t="s">
        <v>18</v>
      </c>
    </row>
    <row r="1105" spans="1:9" x14ac:dyDescent="0.2">
      <c r="A1105" s="10" t="s">
        <v>2223</v>
      </c>
      <c r="B1105" s="10">
        <v>1067.3062328839101</v>
      </c>
      <c r="C1105" s="10">
        <v>1.09784349094592</v>
      </c>
      <c r="D1105" s="10">
        <v>0.20452880162495199</v>
      </c>
      <c r="E1105" s="10">
        <v>5.36767184975277</v>
      </c>
      <c r="F1105" s="4">
        <v>7.9759499417605405E-8</v>
      </c>
      <c r="G1105" s="4">
        <v>8.2349643070537897E-7</v>
      </c>
      <c r="H1105" s="10" t="s">
        <v>2224</v>
      </c>
      <c r="I1105" s="10" t="s">
        <v>18</v>
      </c>
    </row>
    <row r="1106" spans="1:9" x14ac:dyDescent="0.2">
      <c r="A1106" s="10" t="s">
        <v>2225</v>
      </c>
      <c r="B1106" s="10">
        <v>340.54054997710199</v>
      </c>
      <c r="C1106" s="10">
        <v>-1.7034766419321099</v>
      </c>
      <c r="D1106" s="10">
        <v>0.25377472242636501</v>
      </c>
      <c r="E1106" s="10">
        <v>-6.7125544484691</v>
      </c>
      <c r="F1106" s="4">
        <v>1.9124640369331701E-11</v>
      </c>
      <c r="G1106" s="4">
        <v>3.2629247097256097E-10</v>
      </c>
      <c r="H1106" s="10" t="s">
        <v>2226</v>
      </c>
      <c r="I1106" s="10" t="s">
        <v>18</v>
      </c>
    </row>
    <row r="1107" spans="1:9" x14ac:dyDescent="0.2">
      <c r="A1107" s="10" t="s">
        <v>2227</v>
      </c>
      <c r="B1107" s="10">
        <v>2064.96761499165</v>
      </c>
      <c r="C1107" s="10">
        <v>-1.30242388853158</v>
      </c>
      <c r="D1107" s="10">
        <v>0.181831494825689</v>
      </c>
      <c r="E1107" s="10">
        <v>-7.1628069151614202</v>
      </c>
      <c r="F1107" s="4">
        <v>7.9041644482182902E-13</v>
      </c>
      <c r="G1107" s="4">
        <v>1.5858966768822101E-11</v>
      </c>
      <c r="H1107" s="10" t="s">
        <v>2228</v>
      </c>
      <c r="I1107" s="10" t="s">
        <v>18</v>
      </c>
    </row>
    <row r="1108" spans="1:9" x14ac:dyDescent="0.2">
      <c r="A1108" s="10" t="s">
        <v>2229</v>
      </c>
      <c r="B1108" s="10">
        <v>7552.13461479538</v>
      </c>
      <c r="C1108" s="10">
        <v>-1.4591959805916701</v>
      </c>
      <c r="D1108" s="10">
        <v>0.179735698611733</v>
      </c>
      <c r="E1108" s="10">
        <v>-8.1185651590774892</v>
      </c>
      <c r="F1108" s="4">
        <v>4.7172742336239304E-16</v>
      </c>
      <c r="G1108" s="4">
        <v>1.2956811597132199E-14</v>
      </c>
      <c r="H1108" s="10" t="s">
        <v>2230</v>
      </c>
      <c r="I1108" s="10" t="s">
        <v>18</v>
      </c>
    </row>
    <row r="1109" spans="1:9" x14ac:dyDescent="0.2">
      <c r="A1109" s="10" t="s">
        <v>2231</v>
      </c>
      <c r="B1109" s="10">
        <v>563.35185443504304</v>
      </c>
      <c r="C1109" s="10">
        <v>4.50495221401858</v>
      </c>
      <c r="D1109" s="10">
        <v>0.26196882424190998</v>
      </c>
      <c r="E1109" s="10">
        <v>17.196520338078699</v>
      </c>
      <c r="F1109" s="4">
        <v>2.8196377149905799E-66</v>
      </c>
      <c r="G1109" s="4">
        <v>9.9774894571880994E-64</v>
      </c>
      <c r="H1109" s="10" t="s">
        <v>2232</v>
      </c>
      <c r="I1109" s="10" t="s">
        <v>18</v>
      </c>
    </row>
    <row r="1110" spans="1:9" x14ac:dyDescent="0.2">
      <c r="A1110" s="10" t="s">
        <v>2233</v>
      </c>
      <c r="B1110" s="10">
        <v>14.065471982959</v>
      </c>
      <c r="C1110" s="10">
        <v>4.0980047229557597</v>
      </c>
      <c r="D1110" s="10">
        <v>1.17622002463125</v>
      </c>
      <c r="E1110" s="10">
        <v>3.4840460433756899</v>
      </c>
      <c r="F1110" s="10">
        <v>4.9389451441742699E-4</v>
      </c>
      <c r="G1110" s="10">
        <v>2.3721388743754E-3</v>
      </c>
      <c r="H1110" s="10" t="s">
        <v>2234</v>
      </c>
      <c r="I1110" s="10" t="s">
        <v>18</v>
      </c>
    </row>
    <row r="1111" spans="1:9" x14ac:dyDescent="0.2">
      <c r="A1111" s="10" t="s">
        <v>2235</v>
      </c>
      <c r="B1111" s="10">
        <v>5.4293668996014297</v>
      </c>
      <c r="C1111" s="10">
        <v>5.8322105786942098</v>
      </c>
      <c r="D1111" s="10">
        <v>2.0243950943545901</v>
      </c>
      <c r="E1111" s="10">
        <v>2.8809645878704302</v>
      </c>
      <c r="F1111" s="10">
        <v>3.9646018122070003E-3</v>
      </c>
      <c r="G1111" s="10">
        <v>1.45368733114257E-2</v>
      </c>
      <c r="H1111" s="10" t="s">
        <v>2236</v>
      </c>
      <c r="I1111" s="10" t="s">
        <v>18</v>
      </c>
    </row>
    <row r="1112" spans="1:9" x14ac:dyDescent="0.2">
      <c r="A1112" s="10" t="s">
        <v>2237</v>
      </c>
      <c r="B1112" s="10">
        <v>7.9021577171415398</v>
      </c>
      <c r="C1112" s="10">
        <v>3.8273019091312199</v>
      </c>
      <c r="D1112" s="10">
        <v>1.5200946104453701</v>
      </c>
      <c r="E1112" s="10">
        <v>2.5178050647846599</v>
      </c>
      <c r="F1112" s="10">
        <v>1.18088657148681E-2</v>
      </c>
      <c r="G1112" s="10">
        <v>3.6525844492338498E-2</v>
      </c>
      <c r="H1112" s="10" t="s">
        <v>2238</v>
      </c>
      <c r="I1112" s="10" t="s">
        <v>18</v>
      </c>
    </row>
    <row r="1113" spans="1:9" x14ac:dyDescent="0.2">
      <c r="A1113" s="10" t="s">
        <v>2239</v>
      </c>
      <c r="B1113" s="10">
        <v>4.6261170131073301</v>
      </c>
      <c r="C1113" s="10">
        <v>5.6094325569646601</v>
      </c>
      <c r="D1113" s="10">
        <v>2.08410562928304</v>
      </c>
      <c r="E1113" s="10">
        <v>2.6915298716862002</v>
      </c>
      <c r="F1113" s="10">
        <v>7.1125128459038501E-3</v>
      </c>
      <c r="G1113" s="10">
        <v>2.39370846729672E-2</v>
      </c>
      <c r="H1113" s="10" t="s">
        <v>2240</v>
      </c>
      <c r="I1113" s="10" t="s">
        <v>18</v>
      </c>
    </row>
    <row r="1114" spans="1:9" x14ac:dyDescent="0.2">
      <c r="A1114" s="10" t="s">
        <v>2241</v>
      </c>
      <c r="B1114" s="10">
        <v>28.215069746865598</v>
      </c>
      <c r="C1114" s="10">
        <v>3.4682536743005601</v>
      </c>
      <c r="D1114" s="10">
        <v>0.80339402012741701</v>
      </c>
      <c r="E1114" s="10">
        <v>4.3170021028417596</v>
      </c>
      <c r="F1114" s="4">
        <v>1.5816265219348801E-5</v>
      </c>
      <c r="G1114" s="10">
        <v>1.07601942180174E-4</v>
      </c>
      <c r="H1114" s="10" t="s">
        <v>2242</v>
      </c>
      <c r="I1114" s="10" t="s">
        <v>18</v>
      </c>
    </row>
    <row r="1115" spans="1:9" x14ac:dyDescent="0.2">
      <c r="A1115" s="10" t="s">
        <v>2243</v>
      </c>
      <c r="B1115" s="10">
        <v>300.74275592268901</v>
      </c>
      <c r="C1115" s="10">
        <v>-2.5358448106121001</v>
      </c>
      <c r="D1115" s="10">
        <v>0.27194133893850803</v>
      </c>
      <c r="E1115" s="10">
        <v>-9.3249699384083495</v>
      </c>
      <c r="F1115" s="4">
        <v>1.11015058938894E-20</v>
      </c>
      <c r="G1115" s="4">
        <v>4.6039989511537996E-19</v>
      </c>
      <c r="H1115" s="10" t="s">
        <v>2244</v>
      </c>
      <c r="I1115" s="10" t="s">
        <v>18</v>
      </c>
    </row>
    <row r="1116" spans="1:9" x14ac:dyDescent="0.2">
      <c r="A1116" s="10" t="s">
        <v>2245</v>
      </c>
      <c r="B1116" s="10">
        <v>5.5440927947674403</v>
      </c>
      <c r="C1116" s="10">
        <v>5.8707314515162397</v>
      </c>
      <c r="D1116" s="10">
        <v>1.99598276452515</v>
      </c>
      <c r="E1116" s="10">
        <v>2.9412736201221201</v>
      </c>
      <c r="F1116" s="10">
        <v>3.2686566384676498E-3</v>
      </c>
      <c r="G1116" s="10">
        <v>1.2329528071362599E-2</v>
      </c>
      <c r="H1116" s="10" t="s">
        <v>2246</v>
      </c>
      <c r="I1116" s="10" t="s">
        <v>18</v>
      </c>
    </row>
    <row r="1117" spans="1:9" x14ac:dyDescent="0.2">
      <c r="A1117" s="10" t="s">
        <v>2247</v>
      </c>
      <c r="B1117" s="10">
        <v>4.5868731179276896</v>
      </c>
      <c r="C1117" s="10">
        <v>5.5915059184507401</v>
      </c>
      <c r="D1117" s="10">
        <v>2.0812331718906201</v>
      </c>
      <c r="E1117" s="10">
        <v>2.6866311732727901</v>
      </c>
      <c r="F1117" s="10">
        <v>7.2176601926175997E-3</v>
      </c>
      <c r="G1117" s="10">
        <v>2.4195323236743602E-2</v>
      </c>
      <c r="H1117" s="10" t="s">
        <v>2248</v>
      </c>
      <c r="I1117" s="10" t="s">
        <v>18</v>
      </c>
    </row>
    <row r="1118" spans="1:9" x14ac:dyDescent="0.2">
      <c r="A1118" s="10" t="s">
        <v>2249</v>
      </c>
      <c r="B1118" s="10">
        <v>2304.9463414800898</v>
      </c>
      <c r="C1118" s="10">
        <v>1.22941364055257</v>
      </c>
      <c r="D1118" s="10">
        <v>0.19203060475436601</v>
      </c>
      <c r="E1118" s="10">
        <v>6.4021755392853299</v>
      </c>
      <c r="F1118" s="4">
        <v>1.53178404758283E-10</v>
      </c>
      <c r="G1118" s="4">
        <v>2.3264503870952798E-9</v>
      </c>
      <c r="H1118" s="10" t="s">
        <v>2250</v>
      </c>
      <c r="I1118" s="10" t="s">
        <v>18</v>
      </c>
    </row>
    <row r="1119" spans="1:9" x14ac:dyDescent="0.2">
      <c r="A1119" s="10" t="s">
        <v>2251</v>
      </c>
      <c r="B1119" s="10">
        <v>11.286912735595999</v>
      </c>
      <c r="C1119" s="10">
        <v>3.2939772998178198</v>
      </c>
      <c r="D1119" s="10">
        <v>1.24690127067166</v>
      </c>
      <c r="E1119" s="10">
        <v>2.64173064643962</v>
      </c>
      <c r="F1119" s="10">
        <v>8.2483624176033395E-3</v>
      </c>
      <c r="G1119" s="10">
        <v>2.7054668447386299E-2</v>
      </c>
      <c r="H1119" s="10" t="s">
        <v>2252</v>
      </c>
      <c r="I1119" s="10" t="s">
        <v>18</v>
      </c>
    </row>
    <row r="1120" spans="1:9" x14ac:dyDescent="0.2">
      <c r="A1120" s="10" t="s">
        <v>2253</v>
      </c>
      <c r="B1120" s="10">
        <v>7.7424254061550899</v>
      </c>
      <c r="C1120" s="10">
        <v>6.34652924121397</v>
      </c>
      <c r="D1120" s="10">
        <v>1.8529723132035201</v>
      </c>
      <c r="E1120" s="10">
        <v>3.4250534646369002</v>
      </c>
      <c r="F1120" s="10">
        <v>6.1467844604531897E-4</v>
      </c>
      <c r="G1120" s="10">
        <v>2.8747242738408501E-3</v>
      </c>
      <c r="H1120" s="10" t="s">
        <v>2254</v>
      </c>
      <c r="I1120" s="10" t="s">
        <v>18</v>
      </c>
    </row>
    <row r="1121" spans="1:9" x14ac:dyDescent="0.2">
      <c r="A1121" s="10" t="s">
        <v>2255</v>
      </c>
      <c r="B1121" s="10">
        <v>209.215924334367</v>
      </c>
      <c r="C1121" s="10">
        <v>2.31434629345903</v>
      </c>
      <c r="D1121" s="10">
        <v>0.351313170255933</v>
      </c>
      <c r="E1121" s="10">
        <v>6.5877014851820599</v>
      </c>
      <c r="F1121" s="4">
        <v>4.4668758871008699E-11</v>
      </c>
      <c r="G1121" s="4">
        <v>7.2836006759926705E-10</v>
      </c>
      <c r="H1121" s="10" t="s">
        <v>2256</v>
      </c>
      <c r="I1121" s="10" t="s">
        <v>18</v>
      </c>
    </row>
    <row r="1122" spans="1:9" x14ac:dyDescent="0.2">
      <c r="A1122" s="10" t="s">
        <v>2257</v>
      </c>
      <c r="B1122" s="10">
        <v>293.61102663189899</v>
      </c>
      <c r="C1122" s="10">
        <v>-1.37237699578485</v>
      </c>
      <c r="D1122" s="10">
        <v>0.257092379802903</v>
      </c>
      <c r="E1122" s="10">
        <v>-5.3380695174122597</v>
      </c>
      <c r="F1122" s="4">
        <v>9.3941442174844405E-8</v>
      </c>
      <c r="G1122" s="4">
        <v>9.5615333393275508E-7</v>
      </c>
      <c r="H1122" s="10" t="s">
        <v>2258</v>
      </c>
      <c r="I1122" s="10" t="s">
        <v>18</v>
      </c>
    </row>
    <row r="1123" spans="1:9" x14ac:dyDescent="0.2">
      <c r="A1123" s="10" t="s">
        <v>2259</v>
      </c>
      <c r="B1123" s="10">
        <v>14.699262077896</v>
      </c>
      <c r="C1123" s="10">
        <v>4.1596303987223902</v>
      </c>
      <c r="D1123" s="10">
        <v>1.1914669317414599</v>
      </c>
      <c r="E1123" s="10">
        <v>3.4911840924050099</v>
      </c>
      <c r="F1123" s="10">
        <v>4.8088478246654799E-4</v>
      </c>
      <c r="G1123" s="10">
        <v>2.31618661266856E-3</v>
      </c>
      <c r="H1123" s="10" t="s">
        <v>2260</v>
      </c>
      <c r="I1123" s="10" t="s">
        <v>18</v>
      </c>
    </row>
    <row r="1124" spans="1:9" x14ac:dyDescent="0.2">
      <c r="A1124" s="10" t="s">
        <v>2261</v>
      </c>
      <c r="B1124" s="10">
        <v>8.5545681337153798</v>
      </c>
      <c r="C1124" s="10">
        <v>4.9987064851425798</v>
      </c>
      <c r="D1124" s="10">
        <v>1.80626378708446</v>
      </c>
      <c r="E1124" s="10">
        <v>2.7674288334214698</v>
      </c>
      <c r="F1124" s="10">
        <v>5.6500379798800999E-3</v>
      </c>
      <c r="G1124" s="10">
        <v>1.9701380194240201E-2</v>
      </c>
      <c r="H1124" s="10" t="s">
        <v>2262</v>
      </c>
      <c r="I1124" s="10" t="s">
        <v>18</v>
      </c>
    </row>
    <row r="1125" spans="1:9" x14ac:dyDescent="0.2">
      <c r="A1125" s="10" t="s">
        <v>2263</v>
      </c>
      <c r="B1125" s="10">
        <v>340.28417316898901</v>
      </c>
      <c r="C1125" s="10">
        <v>-1.66048144970443</v>
      </c>
      <c r="D1125" s="10">
        <v>0.250201503774092</v>
      </c>
      <c r="E1125" s="10">
        <v>-6.6365766178754999</v>
      </c>
      <c r="F1125" s="4">
        <v>3.2105209171384501E-11</v>
      </c>
      <c r="G1125" s="4">
        <v>5.3568318082836095E-10</v>
      </c>
      <c r="H1125" s="10" t="s">
        <v>2264</v>
      </c>
      <c r="I1125" s="10" t="s">
        <v>18</v>
      </c>
    </row>
    <row r="1126" spans="1:9" x14ac:dyDescent="0.2">
      <c r="A1126" s="10" t="s">
        <v>2265</v>
      </c>
      <c r="B1126" s="10">
        <v>11.631757161635999</v>
      </c>
      <c r="C1126" s="10">
        <v>6.9335990458982</v>
      </c>
      <c r="D1126" s="10">
        <v>1.73238224433627</v>
      </c>
      <c r="E1126" s="10">
        <v>4.0023494056040096</v>
      </c>
      <c r="F1126" s="4">
        <v>6.2716586855885204E-5</v>
      </c>
      <c r="G1126" s="10">
        <v>3.7565153705480402E-4</v>
      </c>
      <c r="H1126" s="10" t="s">
        <v>2266</v>
      </c>
      <c r="I1126" s="10" t="s">
        <v>18</v>
      </c>
    </row>
    <row r="1127" spans="1:9" x14ac:dyDescent="0.2">
      <c r="A1127" s="10" t="s">
        <v>2267</v>
      </c>
      <c r="B1127" s="10">
        <v>13.2080304105633</v>
      </c>
      <c r="C1127" s="10">
        <v>7.11597363483423</v>
      </c>
      <c r="D1127" s="10">
        <v>1.7134959002502299</v>
      </c>
      <c r="E1127" s="10">
        <v>4.1528979636280798</v>
      </c>
      <c r="F1127" s="4">
        <v>3.28291145128701E-5</v>
      </c>
      <c r="G1127" s="10">
        <v>2.0860421714836099E-4</v>
      </c>
      <c r="H1127" s="10" t="s">
        <v>2268</v>
      </c>
      <c r="I1127" s="10" t="s">
        <v>18</v>
      </c>
    </row>
    <row r="1128" spans="1:9" x14ac:dyDescent="0.2">
      <c r="A1128" s="10" t="s">
        <v>2269</v>
      </c>
      <c r="B1128" s="10">
        <v>119.73518463772101</v>
      </c>
      <c r="C1128" s="10">
        <v>6.2501669340106698</v>
      </c>
      <c r="D1128" s="10">
        <v>0.684996638068745</v>
      </c>
      <c r="E1128" s="10">
        <v>9.1243760723149894</v>
      </c>
      <c r="F1128" s="4">
        <v>7.2150649847615996E-20</v>
      </c>
      <c r="G1128" s="4">
        <v>2.7266140865436799E-18</v>
      </c>
      <c r="H1128" s="10" t="s">
        <v>2270</v>
      </c>
      <c r="I1128" s="10" t="s">
        <v>18</v>
      </c>
    </row>
    <row r="1129" spans="1:9" x14ac:dyDescent="0.2">
      <c r="A1129" s="10" t="s">
        <v>2271</v>
      </c>
      <c r="B1129" s="10">
        <v>3340.3544357123001</v>
      </c>
      <c r="C1129" s="10">
        <v>-1.06315436426929</v>
      </c>
      <c r="D1129" s="10">
        <v>0.18965004706354899</v>
      </c>
      <c r="E1129" s="10">
        <v>-5.6058745079722501</v>
      </c>
      <c r="F1129" s="4">
        <v>2.0720605804732999E-8</v>
      </c>
      <c r="G1129" s="4">
        <v>2.3612477890487701E-7</v>
      </c>
      <c r="H1129" s="10" t="s">
        <v>2272</v>
      </c>
      <c r="I1129" s="10" t="s">
        <v>18</v>
      </c>
    </row>
    <row r="1130" spans="1:9" x14ac:dyDescent="0.2">
      <c r="A1130" s="10" t="s">
        <v>2273</v>
      </c>
      <c r="B1130" s="10">
        <v>762.411913128484</v>
      </c>
      <c r="C1130" s="10">
        <v>1.31861686045135</v>
      </c>
      <c r="D1130" s="10">
        <v>0.21512436564272699</v>
      </c>
      <c r="E1130" s="10">
        <v>6.12955606637916</v>
      </c>
      <c r="F1130" s="4">
        <v>8.8124616750168597E-10</v>
      </c>
      <c r="G1130" s="4">
        <v>1.2096380013057101E-8</v>
      </c>
      <c r="H1130" s="10" t="s">
        <v>2274</v>
      </c>
      <c r="I1130" s="10" t="s">
        <v>18</v>
      </c>
    </row>
    <row r="1131" spans="1:9" x14ac:dyDescent="0.2">
      <c r="A1131" s="10" t="s">
        <v>2275</v>
      </c>
      <c r="B1131" s="10">
        <v>15691.397505438101</v>
      </c>
      <c r="C1131" s="10">
        <v>-1.87891264984796</v>
      </c>
      <c r="D1131" s="10">
        <v>0.18707605440501901</v>
      </c>
      <c r="E1131" s="10">
        <v>-10.0435764257681</v>
      </c>
      <c r="F1131" s="4">
        <v>9.8053185008026306E-24</v>
      </c>
      <c r="G1131" s="4">
        <v>4.9659017321815801E-22</v>
      </c>
      <c r="H1131" s="10" t="s">
        <v>2276</v>
      </c>
      <c r="I1131" s="10" t="s">
        <v>18</v>
      </c>
    </row>
    <row r="1132" spans="1:9" x14ac:dyDescent="0.2">
      <c r="A1132" s="10" t="s">
        <v>2277</v>
      </c>
      <c r="B1132" s="10">
        <v>555.20872670736105</v>
      </c>
      <c r="C1132" s="10">
        <v>-1.5428410937219199</v>
      </c>
      <c r="D1132" s="10">
        <v>0.224318719290381</v>
      </c>
      <c r="E1132" s="10">
        <v>-6.87789721073037</v>
      </c>
      <c r="F1132" s="4">
        <v>6.0742471351800099E-12</v>
      </c>
      <c r="G1132" s="4">
        <v>1.0931638817189499E-10</v>
      </c>
      <c r="H1132" s="10" t="s">
        <v>2278</v>
      </c>
      <c r="I1132" s="10" t="s">
        <v>18</v>
      </c>
    </row>
    <row r="1133" spans="1:9" x14ac:dyDescent="0.2">
      <c r="A1133" s="10" t="s">
        <v>2279</v>
      </c>
      <c r="B1133" s="10">
        <v>16.847210496334998</v>
      </c>
      <c r="C1133" s="10">
        <v>2.4666808230975201</v>
      </c>
      <c r="D1133" s="10">
        <v>0.89710565959293698</v>
      </c>
      <c r="E1133" s="10">
        <v>2.7495989984243101</v>
      </c>
      <c r="F1133" s="10">
        <v>5.9668235584054603E-3</v>
      </c>
      <c r="G1133" s="10">
        <v>2.05942059513348E-2</v>
      </c>
      <c r="H1133" s="10" t="s">
        <v>2280</v>
      </c>
      <c r="I1133" s="10" t="s">
        <v>18</v>
      </c>
    </row>
    <row r="1134" spans="1:9" x14ac:dyDescent="0.2">
      <c r="A1134" s="10" t="s">
        <v>2281</v>
      </c>
      <c r="B1134" s="10">
        <v>8222.9741448080495</v>
      </c>
      <c r="C1134" s="10">
        <v>-1.31513320198154</v>
      </c>
      <c r="D1134" s="10">
        <v>0.18587197560277799</v>
      </c>
      <c r="E1134" s="10">
        <v>-7.0754786875030398</v>
      </c>
      <c r="F1134" s="4">
        <v>1.4893375031835699E-12</v>
      </c>
      <c r="G1134" s="4">
        <v>2.90064181195445E-11</v>
      </c>
      <c r="H1134" s="10" t="s">
        <v>2282</v>
      </c>
      <c r="I1134" s="10" t="s">
        <v>18</v>
      </c>
    </row>
    <row r="1135" spans="1:9" x14ac:dyDescent="0.2">
      <c r="A1135" s="10" t="s">
        <v>2283</v>
      </c>
      <c r="B1135" s="10">
        <v>24.890930098818</v>
      </c>
      <c r="C1135" s="10">
        <v>6.5750746156358</v>
      </c>
      <c r="D1135" s="10">
        <v>1.57496374316823</v>
      </c>
      <c r="E1135" s="10">
        <v>4.1747466531573796</v>
      </c>
      <c r="F1135" s="4">
        <v>2.9831785125373301E-5</v>
      </c>
      <c r="G1135" s="10">
        <v>1.9152371567178299E-4</v>
      </c>
      <c r="H1135" s="10" t="s">
        <v>2284</v>
      </c>
      <c r="I1135" s="10" t="s">
        <v>18</v>
      </c>
    </row>
    <row r="1136" spans="1:9" x14ac:dyDescent="0.2">
      <c r="A1136" s="10" t="s">
        <v>2285</v>
      </c>
      <c r="B1136" s="10">
        <v>253.373063523078</v>
      </c>
      <c r="C1136" s="10">
        <v>-2.1935021375775698</v>
      </c>
      <c r="D1136" s="10">
        <v>0.28215705960897303</v>
      </c>
      <c r="E1136" s="10">
        <v>-7.7740466271424404</v>
      </c>
      <c r="F1136" s="4">
        <v>7.6017736797320995E-15</v>
      </c>
      <c r="G1136" s="4">
        <v>1.8509877341524601E-13</v>
      </c>
      <c r="H1136" s="10" t="s">
        <v>2286</v>
      </c>
      <c r="I1136" s="10" t="s">
        <v>18</v>
      </c>
    </row>
    <row r="1137" spans="1:9" x14ac:dyDescent="0.2">
      <c r="A1137" s="10" t="s">
        <v>2287</v>
      </c>
      <c r="B1137" s="10">
        <v>18.540457097131</v>
      </c>
      <c r="C1137" s="10">
        <v>5.1163576621429998</v>
      </c>
      <c r="D1137" s="10">
        <v>1.2841529372387701</v>
      </c>
      <c r="E1137" s="10">
        <v>3.9842276677296402</v>
      </c>
      <c r="F1137" s="4">
        <v>6.7699944878207906E-5</v>
      </c>
      <c r="G1137" s="10">
        <v>4.0222860839435901E-4</v>
      </c>
      <c r="H1137" s="10" t="s">
        <v>2288</v>
      </c>
      <c r="I1137" s="10" t="s">
        <v>18</v>
      </c>
    </row>
    <row r="1138" spans="1:9" x14ac:dyDescent="0.2">
      <c r="A1138" s="10" t="s">
        <v>2289</v>
      </c>
      <c r="B1138" s="10">
        <v>15.451493967823801</v>
      </c>
      <c r="C1138" s="10">
        <v>5.8728278657270998</v>
      </c>
      <c r="D1138" s="10">
        <v>1.6709986768032099</v>
      </c>
      <c r="E1138" s="10">
        <v>3.51456164942178</v>
      </c>
      <c r="F1138" s="10">
        <v>4.40480417373003E-4</v>
      </c>
      <c r="G1138" s="10">
        <v>2.1418716072630099E-3</v>
      </c>
      <c r="H1138" s="10" t="s">
        <v>2290</v>
      </c>
      <c r="I1138" s="10" t="s">
        <v>18</v>
      </c>
    </row>
    <row r="1139" spans="1:9" x14ac:dyDescent="0.2">
      <c r="A1139" s="10" t="s">
        <v>2291</v>
      </c>
      <c r="B1139" s="10">
        <v>2328.9723489388498</v>
      </c>
      <c r="C1139" s="10">
        <v>-1.04345627681327</v>
      </c>
      <c r="D1139" s="10">
        <v>0.19249452479030801</v>
      </c>
      <c r="E1139" s="10">
        <v>-5.4207062665805603</v>
      </c>
      <c r="F1139" s="4">
        <v>5.9364032367151498E-8</v>
      </c>
      <c r="G1139" s="4">
        <v>6.2717789449700502E-7</v>
      </c>
      <c r="H1139" s="10" t="s">
        <v>2292</v>
      </c>
      <c r="I1139" s="10" t="s">
        <v>18</v>
      </c>
    </row>
    <row r="1140" spans="1:9" x14ac:dyDescent="0.2">
      <c r="A1140" s="10" t="s">
        <v>2293</v>
      </c>
      <c r="B1140" s="10">
        <v>8233.9329972845499</v>
      </c>
      <c r="C1140" s="10">
        <v>-2.5168348302041501</v>
      </c>
      <c r="D1140" s="10">
        <v>0.17704745301823699</v>
      </c>
      <c r="E1140" s="10">
        <v>-14.2155946741855</v>
      </c>
      <c r="F1140" s="4">
        <v>7.3325892374541203E-46</v>
      </c>
      <c r="G1140" s="4">
        <v>1.22571201811603E-43</v>
      </c>
      <c r="H1140" s="10" t="s">
        <v>2294</v>
      </c>
      <c r="I1140" s="10" t="s">
        <v>18</v>
      </c>
    </row>
    <row r="1141" spans="1:9" x14ac:dyDescent="0.2">
      <c r="A1141" s="10" t="s">
        <v>2295</v>
      </c>
      <c r="B1141" s="10">
        <v>763.28734845059898</v>
      </c>
      <c r="C1141" s="10">
        <v>-1.1051232898077099</v>
      </c>
      <c r="D1141" s="10">
        <v>0.26485718932680302</v>
      </c>
      <c r="E1141" s="10">
        <v>-4.1725251733458304</v>
      </c>
      <c r="F1141" s="4">
        <v>3.0124230462885099E-5</v>
      </c>
      <c r="G1141" s="10">
        <v>1.93219140165309E-4</v>
      </c>
      <c r="H1141" s="10" t="s">
        <v>2296</v>
      </c>
      <c r="I1141" s="10" t="s">
        <v>18</v>
      </c>
    </row>
    <row r="1142" spans="1:9" x14ac:dyDescent="0.2">
      <c r="A1142" s="10" t="s">
        <v>2297</v>
      </c>
      <c r="B1142" s="10">
        <v>404.024320584252</v>
      </c>
      <c r="C1142" s="10">
        <v>-1.29504124548866</v>
      </c>
      <c r="D1142" s="10">
        <v>0.23641214199656299</v>
      </c>
      <c r="E1142" s="10">
        <v>-5.4778965012190097</v>
      </c>
      <c r="F1142" s="4">
        <v>4.3041174980007701E-8</v>
      </c>
      <c r="G1142" s="4">
        <v>4.6629936170189703E-7</v>
      </c>
      <c r="H1142" s="10" t="s">
        <v>2298</v>
      </c>
      <c r="I1142" s="10" t="s">
        <v>18</v>
      </c>
    </row>
    <row r="1143" spans="1:9" x14ac:dyDescent="0.2">
      <c r="A1143" s="10" t="s">
        <v>2299</v>
      </c>
      <c r="B1143" s="10">
        <v>75.797190092593297</v>
      </c>
      <c r="C1143" s="10">
        <v>3.55470199347323</v>
      </c>
      <c r="D1143" s="10">
        <v>0.52504278802711402</v>
      </c>
      <c r="E1143" s="10">
        <v>6.7703091529554804</v>
      </c>
      <c r="F1143" s="4">
        <v>1.28507497921079E-11</v>
      </c>
      <c r="G1143" s="4">
        <v>2.2316404052617201E-10</v>
      </c>
      <c r="H1143" s="10" t="s">
        <v>2300</v>
      </c>
      <c r="I1143" s="10" t="s">
        <v>18</v>
      </c>
    </row>
    <row r="1144" spans="1:9" x14ac:dyDescent="0.2">
      <c r="A1144" s="10" t="s">
        <v>2301</v>
      </c>
      <c r="B1144" s="10">
        <v>47.2439806816244</v>
      </c>
      <c r="C1144" s="10">
        <v>1.3703445022657399</v>
      </c>
      <c r="D1144" s="10">
        <v>0.53426563823101403</v>
      </c>
      <c r="E1144" s="10">
        <v>2.5649122912022499</v>
      </c>
      <c r="F1144" s="10">
        <v>1.03201888855473E-2</v>
      </c>
      <c r="G1144" s="10">
        <v>3.2662816420549003E-2</v>
      </c>
      <c r="H1144" s="10" t="s">
        <v>2302</v>
      </c>
      <c r="I1144" s="10" t="s">
        <v>18</v>
      </c>
    </row>
    <row r="1145" spans="1:9" x14ac:dyDescent="0.2">
      <c r="A1145" s="10" t="s">
        <v>2303</v>
      </c>
      <c r="B1145" s="10">
        <v>599.80409809467199</v>
      </c>
      <c r="C1145" s="10">
        <v>1.23185083643361</v>
      </c>
      <c r="D1145" s="10">
        <v>0.229169246136738</v>
      </c>
      <c r="E1145" s="10">
        <v>5.3752886008910803</v>
      </c>
      <c r="F1145" s="4">
        <v>7.6460112905046598E-8</v>
      </c>
      <c r="G1145" s="4">
        <v>7.9243388981506501E-7</v>
      </c>
      <c r="H1145" s="10" t="s">
        <v>2304</v>
      </c>
      <c r="I1145" s="10" t="s">
        <v>18</v>
      </c>
    </row>
    <row r="1146" spans="1:9" x14ac:dyDescent="0.2">
      <c r="A1146" s="10" t="s">
        <v>2305</v>
      </c>
      <c r="B1146" s="10">
        <v>10.4601146463287</v>
      </c>
      <c r="C1146" s="10">
        <v>6.7828465291881397</v>
      </c>
      <c r="D1146" s="10">
        <v>1.74998173513134</v>
      </c>
      <c r="E1146" s="10">
        <v>3.8759527559749398</v>
      </c>
      <c r="F1146" s="10">
        <v>1.0620829186007101E-4</v>
      </c>
      <c r="G1146" s="10">
        <v>6.0451428415447502E-4</v>
      </c>
      <c r="H1146" s="10" t="s">
        <v>2306</v>
      </c>
      <c r="I1146" s="10" t="s">
        <v>18</v>
      </c>
    </row>
    <row r="1147" spans="1:9" x14ac:dyDescent="0.2">
      <c r="A1147" s="10" t="s">
        <v>2307</v>
      </c>
      <c r="B1147" s="10">
        <v>4.6955874323479101</v>
      </c>
      <c r="C1147" s="10">
        <v>5.6225407729551202</v>
      </c>
      <c r="D1147" s="10">
        <v>2.0985373131596199</v>
      </c>
      <c r="E1147" s="10">
        <v>2.6792665242104601</v>
      </c>
      <c r="F1147" s="10">
        <v>7.3783638562813E-3</v>
      </c>
      <c r="G1147" s="10">
        <v>2.4615927512195001E-2</v>
      </c>
      <c r="H1147" s="10" t="s">
        <v>2308</v>
      </c>
      <c r="I1147" s="10" t="s">
        <v>18</v>
      </c>
    </row>
    <row r="1148" spans="1:9" x14ac:dyDescent="0.2">
      <c r="A1148" s="10" t="s">
        <v>2309</v>
      </c>
      <c r="B1148" s="10">
        <v>10.281805382615399</v>
      </c>
      <c r="C1148" s="10">
        <v>5.2751931995721097</v>
      </c>
      <c r="D1148" s="10">
        <v>1.7385620206128101</v>
      </c>
      <c r="E1148" s="10">
        <v>3.03422779114472</v>
      </c>
      <c r="F1148" s="10">
        <v>2.41152270162895E-3</v>
      </c>
      <c r="G1148" s="10">
        <v>9.4582926516890899E-3</v>
      </c>
      <c r="H1148" s="10" t="s">
        <v>2310</v>
      </c>
      <c r="I1148" s="10" t="s">
        <v>18</v>
      </c>
    </row>
    <row r="1149" spans="1:9" x14ac:dyDescent="0.2">
      <c r="A1149" s="10" t="s">
        <v>2311</v>
      </c>
      <c r="B1149" s="10">
        <v>6.1661521572278399</v>
      </c>
      <c r="C1149" s="10">
        <v>6.0207072949405402</v>
      </c>
      <c r="D1149" s="10">
        <v>1.93317068918253</v>
      </c>
      <c r="E1149" s="10">
        <v>3.11442095032307</v>
      </c>
      <c r="F1149" s="10">
        <v>1.84306335590704E-3</v>
      </c>
      <c r="G1149" s="10">
        <v>7.5120339952728498E-3</v>
      </c>
      <c r="H1149" s="10" t="s">
        <v>2312</v>
      </c>
      <c r="I1149" s="10" t="s">
        <v>18</v>
      </c>
    </row>
    <row r="1150" spans="1:9" x14ac:dyDescent="0.2">
      <c r="A1150" s="10" t="s">
        <v>2313</v>
      </c>
      <c r="B1150" s="10">
        <v>264.176528268109</v>
      </c>
      <c r="C1150" s="10">
        <v>-1.1501321141460901</v>
      </c>
      <c r="D1150" s="10">
        <v>0.27622190545438702</v>
      </c>
      <c r="E1150" s="10">
        <v>-4.1637976258765903</v>
      </c>
      <c r="F1150" s="4">
        <v>3.1299756294416599E-5</v>
      </c>
      <c r="G1150" s="10">
        <v>1.99631193762633E-4</v>
      </c>
      <c r="H1150" s="10" t="s">
        <v>2314</v>
      </c>
      <c r="I1150" s="10" t="s">
        <v>18</v>
      </c>
    </row>
    <row r="1151" spans="1:9" x14ac:dyDescent="0.2">
      <c r="A1151" s="10" t="s">
        <v>2315</v>
      </c>
      <c r="B1151" s="10">
        <v>687.72665695878504</v>
      </c>
      <c r="C1151" s="10">
        <v>-3.0007276761759898</v>
      </c>
      <c r="D1151" s="10">
        <v>0.24623768767163501</v>
      </c>
      <c r="E1151" s="10">
        <v>-12.186305453686501</v>
      </c>
      <c r="F1151" s="4">
        <v>3.6771747145136701E-34</v>
      </c>
      <c r="G1151" s="4">
        <v>3.6433447071401499E-32</v>
      </c>
      <c r="H1151" s="10" t="s">
        <v>2316</v>
      </c>
      <c r="I1151" s="10" t="s">
        <v>18</v>
      </c>
    </row>
    <row r="1152" spans="1:9" x14ac:dyDescent="0.2">
      <c r="A1152" s="10" t="s">
        <v>2317</v>
      </c>
      <c r="B1152" s="10">
        <v>5727.4756116199896</v>
      </c>
      <c r="C1152" s="10">
        <v>-1.0120151686208401</v>
      </c>
      <c r="D1152" s="10">
        <v>0.195619440438658</v>
      </c>
      <c r="E1152" s="10">
        <v>-5.17338750357065</v>
      </c>
      <c r="F1152" s="4">
        <v>2.2988755499614899E-7</v>
      </c>
      <c r="G1152" s="4">
        <v>2.1962644498527599E-6</v>
      </c>
      <c r="H1152" s="10" t="s">
        <v>2318</v>
      </c>
      <c r="I1152" s="10" t="s">
        <v>18</v>
      </c>
    </row>
    <row r="1153" spans="1:9" x14ac:dyDescent="0.2">
      <c r="A1153" s="10" t="s">
        <v>2319</v>
      </c>
      <c r="B1153" s="10">
        <v>14.2320505141958</v>
      </c>
      <c r="C1153" s="10">
        <v>4.7365322680137796</v>
      </c>
      <c r="D1153" s="10">
        <v>1.3348448372956001</v>
      </c>
      <c r="E1153" s="10">
        <v>3.5483766619721901</v>
      </c>
      <c r="F1153" s="10">
        <v>3.8761348564327899E-4</v>
      </c>
      <c r="G1153" s="10">
        <v>1.91536174162539E-3</v>
      </c>
      <c r="H1153" s="10" t="s">
        <v>2320</v>
      </c>
      <c r="I1153" s="10" t="s">
        <v>18</v>
      </c>
    </row>
    <row r="1154" spans="1:9" x14ac:dyDescent="0.2">
      <c r="A1154" s="10" t="s">
        <v>2321</v>
      </c>
      <c r="B1154" s="10">
        <v>1008.1911845892899</v>
      </c>
      <c r="C1154" s="10">
        <v>-1.66836508122994</v>
      </c>
      <c r="D1154" s="10">
        <v>0.201674064547959</v>
      </c>
      <c r="E1154" s="10">
        <v>-8.2725812313521097</v>
      </c>
      <c r="F1154" s="4">
        <v>1.31089490065895E-16</v>
      </c>
      <c r="G1154" s="4">
        <v>3.7836814998150797E-15</v>
      </c>
      <c r="H1154" s="10" t="s">
        <v>2322</v>
      </c>
      <c r="I1154" s="10" t="s">
        <v>18</v>
      </c>
    </row>
    <row r="1155" spans="1:9" x14ac:dyDescent="0.2">
      <c r="A1155" s="10" t="s">
        <v>2323</v>
      </c>
      <c r="B1155" s="10">
        <v>5.1757001659542397</v>
      </c>
      <c r="C1155" s="10">
        <v>5.7691669903209899</v>
      </c>
      <c r="D1155" s="10">
        <v>2.0146158333858399</v>
      </c>
      <c r="E1155" s="10">
        <v>2.8636561346909999</v>
      </c>
      <c r="F1155" s="10">
        <v>4.1878236407200901E-3</v>
      </c>
      <c r="G1155" s="10">
        <v>1.5236430863760199E-2</v>
      </c>
      <c r="H1155" s="10" t="s">
        <v>2324</v>
      </c>
      <c r="I1155" s="10" t="s">
        <v>18</v>
      </c>
    </row>
    <row r="1156" spans="1:9" x14ac:dyDescent="0.2">
      <c r="A1156" s="10" t="s">
        <v>2325</v>
      </c>
      <c r="B1156" s="10">
        <v>1641.07868021793</v>
      </c>
      <c r="C1156" s="10">
        <v>1.47473029240868</v>
      </c>
      <c r="D1156" s="10">
        <v>0.208385553467614</v>
      </c>
      <c r="E1156" s="10">
        <v>7.0769315236522798</v>
      </c>
      <c r="F1156" s="4">
        <v>1.47381311308394E-12</v>
      </c>
      <c r="G1156" s="4">
        <v>2.8724596489412E-11</v>
      </c>
      <c r="H1156" s="10" t="s">
        <v>2326</v>
      </c>
      <c r="I1156" s="10" t="s">
        <v>18</v>
      </c>
    </row>
    <row r="1157" spans="1:9" x14ac:dyDescent="0.2">
      <c r="A1157" s="10" t="s">
        <v>2327</v>
      </c>
      <c r="B1157" s="10">
        <v>716.91034566762596</v>
      </c>
      <c r="C1157" s="10">
        <v>-1.39483741432056</v>
      </c>
      <c r="D1157" s="10">
        <v>0.216023431781211</v>
      </c>
      <c r="E1157" s="10">
        <v>-6.4568801764673998</v>
      </c>
      <c r="F1157" s="4">
        <v>1.0688345731743701E-10</v>
      </c>
      <c r="G1157" s="4">
        <v>1.65468952359557E-9</v>
      </c>
      <c r="H1157" s="10" t="s">
        <v>2328</v>
      </c>
      <c r="I1157" s="10" t="s">
        <v>18</v>
      </c>
    </row>
    <row r="1158" spans="1:9" x14ac:dyDescent="0.2">
      <c r="A1158" s="10" t="s">
        <v>2329</v>
      </c>
      <c r="B1158" s="10">
        <v>11.5564430606122</v>
      </c>
      <c r="C1158" s="10">
        <v>5.4522483067648597</v>
      </c>
      <c r="D1158" s="10">
        <v>1.7134197965053</v>
      </c>
      <c r="E1158" s="10">
        <v>3.1820855098588701</v>
      </c>
      <c r="F1158" s="10">
        <v>1.4621864127967101E-3</v>
      </c>
      <c r="G1158" s="10">
        <v>6.1502307097628496E-3</v>
      </c>
      <c r="H1158" s="10" t="s">
        <v>2330</v>
      </c>
      <c r="I1158" s="10" t="s">
        <v>18</v>
      </c>
    </row>
    <row r="1159" spans="1:9" x14ac:dyDescent="0.2">
      <c r="A1159" s="10" t="s">
        <v>2331</v>
      </c>
      <c r="B1159" s="10">
        <v>2339.2030686943199</v>
      </c>
      <c r="C1159" s="10">
        <v>-1.2310520705194901</v>
      </c>
      <c r="D1159" s="10">
        <v>0.192549555138222</v>
      </c>
      <c r="E1159" s="10">
        <v>-6.3934298349106999</v>
      </c>
      <c r="F1159" s="4">
        <v>1.6220544714696101E-10</v>
      </c>
      <c r="G1159" s="4">
        <v>2.4498956864818499E-9</v>
      </c>
      <c r="H1159" s="10" t="s">
        <v>2332</v>
      </c>
      <c r="I1159" s="10" t="s">
        <v>18</v>
      </c>
    </row>
    <row r="1160" spans="1:9" x14ac:dyDescent="0.2">
      <c r="A1160" s="10" t="s">
        <v>2333</v>
      </c>
      <c r="B1160" s="10">
        <v>1150.30038770081</v>
      </c>
      <c r="C1160" s="10">
        <v>-1.0906414409082901</v>
      </c>
      <c r="D1160" s="10">
        <v>0.22730585609986401</v>
      </c>
      <c r="E1160" s="10">
        <v>-4.7981229327815003</v>
      </c>
      <c r="F1160" s="4">
        <v>1.60159474055396E-6</v>
      </c>
      <c r="G1160" s="4">
        <v>1.32398822499617E-5</v>
      </c>
      <c r="H1160" s="10" t="s">
        <v>2334</v>
      </c>
      <c r="I1160" s="10" t="s">
        <v>18</v>
      </c>
    </row>
    <row r="1161" spans="1:9" x14ac:dyDescent="0.2">
      <c r="A1161" s="10" t="s">
        <v>2335</v>
      </c>
      <c r="B1161" s="10">
        <v>24.720144227882699</v>
      </c>
      <c r="C1161" s="10">
        <v>3.1073369938029001</v>
      </c>
      <c r="D1161" s="10">
        <v>0.81943875755388895</v>
      </c>
      <c r="E1161" s="10">
        <v>3.7920307834579599</v>
      </c>
      <c r="F1161" s="10">
        <v>1.4942038675769501E-4</v>
      </c>
      <c r="G1161" s="10">
        <v>8.2231009452371799E-4</v>
      </c>
      <c r="H1161" s="10" t="s">
        <v>2336</v>
      </c>
      <c r="I1161" s="10" t="s">
        <v>18</v>
      </c>
    </row>
    <row r="1162" spans="1:9" x14ac:dyDescent="0.2">
      <c r="A1162" s="10" t="s">
        <v>2337</v>
      </c>
      <c r="B1162" s="10">
        <v>3706.95313864643</v>
      </c>
      <c r="C1162" s="10">
        <v>-1.31562873120544</v>
      </c>
      <c r="D1162" s="10">
        <v>0.18264024002296</v>
      </c>
      <c r="E1162" s="10">
        <v>-7.2033891930937601</v>
      </c>
      <c r="F1162" s="4">
        <v>5.8734014836882496E-13</v>
      </c>
      <c r="G1162" s="4">
        <v>1.1987458443899201E-11</v>
      </c>
      <c r="H1162" s="10" t="s">
        <v>2338</v>
      </c>
      <c r="I1162" s="10" t="s">
        <v>18</v>
      </c>
    </row>
    <row r="1163" spans="1:9" x14ac:dyDescent="0.2">
      <c r="A1163" s="10" t="s">
        <v>2339</v>
      </c>
      <c r="B1163" s="10">
        <v>16.804619436179902</v>
      </c>
      <c r="C1163" s="10">
        <v>6.0024322278627498</v>
      </c>
      <c r="D1163" s="10">
        <v>1.63561601044016</v>
      </c>
      <c r="E1163" s="10">
        <v>3.6698297091427001</v>
      </c>
      <c r="F1163" s="10">
        <v>2.4271210253869099E-4</v>
      </c>
      <c r="G1163" s="10">
        <v>1.26205661409765E-3</v>
      </c>
      <c r="H1163" s="10" t="s">
        <v>2340</v>
      </c>
      <c r="I1163" s="10" t="s">
        <v>18</v>
      </c>
    </row>
    <row r="1164" spans="1:9" x14ac:dyDescent="0.2">
      <c r="A1164" s="10" t="s">
        <v>2341</v>
      </c>
      <c r="B1164" s="10">
        <v>125.838020277696</v>
      </c>
      <c r="C1164" s="10">
        <v>-1.2695670596653299</v>
      </c>
      <c r="D1164" s="10">
        <v>0.34365352394378801</v>
      </c>
      <c r="E1164" s="10">
        <v>-3.6943228315999899</v>
      </c>
      <c r="F1164" s="10">
        <v>2.20473551298391E-4</v>
      </c>
      <c r="G1164" s="10">
        <v>1.1608103697240599E-3</v>
      </c>
      <c r="H1164" s="10" t="s">
        <v>2342</v>
      </c>
      <c r="I1164" s="10" t="s">
        <v>18</v>
      </c>
    </row>
    <row r="1165" spans="1:9" x14ac:dyDescent="0.2">
      <c r="A1165" s="10" t="s">
        <v>2343</v>
      </c>
      <c r="B1165" s="10">
        <v>870.65924421270904</v>
      </c>
      <c r="C1165" s="10">
        <v>-1.4290176147655</v>
      </c>
      <c r="D1165" s="10">
        <v>0.20985336076497399</v>
      </c>
      <c r="E1165" s="10">
        <v>-6.8096008067554399</v>
      </c>
      <c r="F1165" s="4">
        <v>9.7869934281343695E-12</v>
      </c>
      <c r="G1165" s="4">
        <v>1.73272391121753E-10</v>
      </c>
      <c r="H1165" s="10" t="s">
        <v>2344</v>
      </c>
      <c r="I1165" s="10" t="s">
        <v>18</v>
      </c>
    </row>
    <row r="1166" spans="1:9" x14ac:dyDescent="0.2">
      <c r="A1166" s="10" t="s">
        <v>2345</v>
      </c>
      <c r="B1166" s="10">
        <v>634.69023080945999</v>
      </c>
      <c r="C1166" s="10">
        <v>-1.67884534867772</v>
      </c>
      <c r="D1166" s="10">
        <v>0.21624476766022799</v>
      </c>
      <c r="E1166" s="10">
        <v>-7.7636345463655001</v>
      </c>
      <c r="F1166" s="4">
        <v>8.2529483095966101E-15</v>
      </c>
      <c r="G1166" s="4">
        <v>2.0059597019766199E-13</v>
      </c>
      <c r="H1166" s="10" t="s">
        <v>2346</v>
      </c>
      <c r="I1166" s="10" t="s">
        <v>18</v>
      </c>
    </row>
    <row r="1167" spans="1:9" x14ac:dyDescent="0.2">
      <c r="A1167" s="10" t="s">
        <v>2347</v>
      </c>
      <c r="B1167" s="10">
        <v>5.9064738428348598</v>
      </c>
      <c r="C1167" s="10">
        <v>5.9540388634799601</v>
      </c>
      <c r="D1167" s="10">
        <v>1.9811948510458599</v>
      </c>
      <c r="E1167" s="10">
        <v>3.00527677039786</v>
      </c>
      <c r="F1167" s="10">
        <v>2.65339284418335E-3</v>
      </c>
      <c r="G1167" s="10">
        <v>1.02782193382803E-2</v>
      </c>
      <c r="H1167" s="10" t="s">
        <v>2348</v>
      </c>
      <c r="I1167" s="10" t="s">
        <v>18</v>
      </c>
    </row>
    <row r="1168" spans="1:9" x14ac:dyDescent="0.2">
      <c r="A1168" s="10" t="s">
        <v>2349</v>
      </c>
      <c r="B1168" s="10">
        <v>129.73885986550101</v>
      </c>
      <c r="C1168" s="10">
        <v>-2.2151989485497698</v>
      </c>
      <c r="D1168" s="10">
        <v>0.36765982530774</v>
      </c>
      <c r="E1168" s="10">
        <v>-6.0251319183312804</v>
      </c>
      <c r="F1168" s="4">
        <v>1.68971746775743E-9</v>
      </c>
      <c r="G1168" s="4">
        <v>2.2219947801151902E-8</v>
      </c>
      <c r="H1168" s="10" t="s">
        <v>2350</v>
      </c>
      <c r="I1168" s="10" t="s">
        <v>18</v>
      </c>
    </row>
    <row r="1169" spans="1:9" x14ac:dyDescent="0.2">
      <c r="A1169" s="10" t="s">
        <v>2351</v>
      </c>
      <c r="B1169" s="10">
        <v>198.764869805047</v>
      </c>
      <c r="C1169" s="10">
        <v>-1.07279855007658</v>
      </c>
      <c r="D1169" s="10">
        <v>0.285505585710986</v>
      </c>
      <c r="E1169" s="10">
        <v>-3.75753962012694</v>
      </c>
      <c r="F1169" s="10">
        <v>1.7159220484354499E-4</v>
      </c>
      <c r="G1169" s="10">
        <v>9.2857453929931705E-4</v>
      </c>
      <c r="H1169" s="10" t="s">
        <v>2352</v>
      </c>
      <c r="I1169" s="10" t="s">
        <v>18</v>
      </c>
    </row>
    <row r="1170" spans="1:9" x14ac:dyDescent="0.2">
      <c r="A1170" s="10" t="s">
        <v>2353</v>
      </c>
      <c r="B1170" s="10">
        <v>1613.40656499444</v>
      </c>
      <c r="C1170" s="10">
        <v>-1.79376632203268</v>
      </c>
      <c r="D1170" s="10">
        <v>0.187469776373238</v>
      </c>
      <c r="E1170" s="10">
        <v>-9.5682960567544306</v>
      </c>
      <c r="F1170" s="4">
        <v>1.08682039211621E-21</v>
      </c>
      <c r="G1170" s="4">
        <v>4.8386593503252199E-20</v>
      </c>
      <c r="H1170" s="10" t="s">
        <v>2354</v>
      </c>
      <c r="I1170" s="10" t="s">
        <v>18</v>
      </c>
    </row>
    <row r="1171" spans="1:9" x14ac:dyDescent="0.2">
      <c r="A1171" s="10" t="s">
        <v>2355</v>
      </c>
      <c r="B1171" s="10">
        <v>3.9285756506605498</v>
      </c>
      <c r="C1171" s="10">
        <v>5.37376557133706</v>
      </c>
      <c r="D1171" s="10">
        <v>2.1769892180050601</v>
      </c>
      <c r="E1171" s="10">
        <v>2.46843922188161</v>
      </c>
      <c r="F1171" s="10">
        <v>1.35703694853358E-2</v>
      </c>
      <c r="G1171" s="10">
        <v>4.1065669334892897E-2</v>
      </c>
      <c r="H1171" s="10" t="s">
        <v>2356</v>
      </c>
      <c r="I1171" s="10" t="s">
        <v>18</v>
      </c>
    </row>
    <row r="1172" spans="1:9" x14ac:dyDescent="0.2">
      <c r="A1172" s="10" t="s">
        <v>2357</v>
      </c>
      <c r="B1172" s="10">
        <v>2679.54863881029</v>
      </c>
      <c r="C1172" s="10">
        <v>-1.66127039870189</v>
      </c>
      <c r="D1172" s="10">
        <v>0.17750597306374</v>
      </c>
      <c r="E1172" s="10">
        <v>-9.3589549130572003</v>
      </c>
      <c r="F1172" s="4">
        <v>8.0529258069701404E-21</v>
      </c>
      <c r="G1172" s="4">
        <v>3.3808639362483101E-19</v>
      </c>
      <c r="H1172" s="10" t="s">
        <v>2358</v>
      </c>
      <c r="I1172" s="10" t="s">
        <v>18</v>
      </c>
    </row>
    <row r="1173" spans="1:9" x14ac:dyDescent="0.2">
      <c r="A1173" s="10" t="s">
        <v>2359</v>
      </c>
      <c r="B1173" s="10">
        <v>18.8788778386659</v>
      </c>
      <c r="C1173" s="10">
        <v>3.2379957660657199</v>
      </c>
      <c r="D1173" s="10">
        <v>0.90094900758451701</v>
      </c>
      <c r="E1173" s="10">
        <v>3.5939833873028202</v>
      </c>
      <c r="F1173" s="10">
        <v>3.25660610113536E-4</v>
      </c>
      <c r="G1173" s="10">
        <v>1.63894987878897E-3</v>
      </c>
      <c r="H1173" s="10" t="s">
        <v>2360</v>
      </c>
      <c r="I1173" s="10" t="s">
        <v>18</v>
      </c>
    </row>
    <row r="1174" spans="1:9" x14ac:dyDescent="0.2">
      <c r="A1174" s="10" t="s">
        <v>2361</v>
      </c>
      <c r="B1174" s="10">
        <v>41.186933343067999</v>
      </c>
      <c r="C1174" s="10">
        <v>-1.64009890467788</v>
      </c>
      <c r="D1174" s="10">
        <v>0.55323149933420102</v>
      </c>
      <c r="E1174" s="10">
        <v>-2.96457975847669</v>
      </c>
      <c r="F1174" s="10">
        <v>3.0309666179102498E-3</v>
      </c>
      <c r="G1174" s="10">
        <v>1.1561633408679901E-2</v>
      </c>
      <c r="H1174" s="10" t="s">
        <v>2362</v>
      </c>
      <c r="I1174" s="10" t="s">
        <v>18</v>
      </c>
    </row>
    <row r="1175" spans="1:9" x14ac:dyDescent="0.2">
      <c r="A1175" s="10" t="s">
        <v>2363</v>
      </c>
      <c r="B1175" s="10">
        <v>36.8612919096146</v>
      </c>
      <c r="C1175" s="10">
        <v>1.9740250979998</v>
      </c>
      <c r="D1175" s="10">
        <v>0.605869530581296</v>
      </c>
      <c r="E1175" s="10">
        <v>3.2581686293183298</v>
      </c>
      <c r="F1175" s="10">
        <v>1.12133751674957E-3</v>
      </c>
      <c r="G1175" s="10">
        <v>4.8744549009054599E-3</v>
      </c>
      <c r="H1175" s="10" t="s">
        <v>2364</v>
      </c>
      <c r="I1175" s="10" t="s">
        <v>18</v>
      </c>
    </row>
    <row r="1176" spans="1:9" x14ac:dyDescent="0.2">
      <c r="A1176" s="10" t="s">
        <v>2365</v>
      </c>
      <c r="B1176" s="10">
        <v>7.1928422533081804</v>
      </c>
      <c r="C1176" s="10">
        <v>6.2414551952811497</v>
      </c>
      <c r="D1176" s="10">
        <v>1.87374509142644</v>
      </c>
      <c r="E1176" s="10">
        <v>3.3310054947387</v>
      </c>
      <c r="F1176" s="10">
        <v>8.6532894304605201E-4</v>
      </c>
      <c r="G1176" s="10">
        <v>3.88837573048573E-3</v>
      </c>
      <c r="H1176" s="10" t="s">
        <v>2366</v>
      </c>
      <c r="I1176" s="10" t="s">
        <v>18</v>
      </c>
    </row>
    <row r="1177" spans="1:9" x14ac:dyDescent="0.2">
      <c r="A1177" s="10" t="s">
        <v>2367</v>
      </c>
      <c r="B1177" s="10">
        <v>746.92624228185298</v>
      </c>
      <c r="C1177" s="10">
        <v>1.1328826231224101</v>
      </c>
      <c r="D1177" s="10">
        <v>0.22703949549312399</v>
      </c>
      <c r="E1177" s="10">
        <v>4.9898041777348796</v>
      </c>
      <c r="F1177" s="4">
        <v>6.0440531254195199E-7</v>
      </c>
      <c r="G1177" s="4">
        <v>5.36774170496433E-6</v>
      </c>
      <c r="H1177" s="10" t="s">
        <v>2368</v>
      </c>
      <c r="I1177" s="10" t="s">
        <v>18</v>
      </c>
    </row>
    <row r="1178" spans="1:9" x14ac:dyDescent="0.2">
      <c r="A1178" s="10" t="s">
        <v>2369</v>
      </c>
      <c r="B1178" s="10">
        <v>7.1566041485014402</v>
      </c>
      <c r="C1178" s="10">
        <v>6.2348322409822696</v>
      </c>
      <c r="D1178" s="10">
        <v>1.8739066662439701</v>
      </c>
      <c r="E1178" s="10">
        <v>3.32718398055506</v>
      </c>
      <c r="F1178" s="10">
        <v>8.7728431726666605E-4</v>
      </c>
      <c r="G1178" s="10">
        <v>3.9334154669351399E-3</v>
      </c>
      <c r="H1178" s="10" t="s">
        <v>2370</v>
      </c>
      <c r="I1178" s="10" t="s">
        <v>18</v>
      </c>
    </row>
    <row r="1179" spans="1:9" x14ac:dyDescent="0.2">
      <c r="A1179" s="10" t="s">
        <v>2371</v>
      </c>
      <c r="B1179" s="10">
        <v>1196.8274634238201</v>
      </c>
      <c r="C1179" s="10">
        <v>1.3034806774196099</v>
      </c>
      <c r="D1179" s="10">
        <v>0.20897302391158901</v>
      </c>
      <c r="E1179" s="10">
        <v>6.2375547475978204</v>
      </c>
      <c r="F1179" s="4">
        <v>4.44463578725945E-10</v>
      </c>
      <c r="G1179" s="4">
        <v>6.2845350957684604E-9</v>
      </c>
      <c r="H1179" s="10" t="s">
        <v>2372</v>
      </c>
      <c r="I1179" s="10" t="s">
        <v>18</v>
      </c>
    </row>
    <row r="1180" spans="1:9" x14ac:dyDescent="0.2">
      <c r="A1180" s="10" t="s">
        <v>2373</v>
      </c>
      <c r="B1180" s="10">
        <v>4204.5226979966301</v>
      </c>
      <c r="C1180" s="10">
        <v>1.8435805070837801</v>
      </c>
      <c r="D1180" s="10">
        <v>0.18724560402832999</v>
      </c>
      <c r="E1180" s="10">
        <v>9.84578792463852</v>
      </c>
      <c r="F1180" s="4">
        <v>7.1476942156209701E-23</v>
      </c>
      <c r="G1180" s="4">
        <v>3.4047766484794497E-21</v>
      </c>
      <c r="H1180" s="10" t="s">
        <v>2374</v>
      </c>
      <c r="I1180" s="10" t="s">
        <v>18</v>
      </c>
    </row>
    <row r="1181" spans="1:9" x14ac:dyDescent="0.2">
      <c r="A1181" s="10" t="s">
        <v>2375</v>
      </c>
      <c r="B1181" s="10">
        <v>1257.3218295076699</v>
      </c>
      <c r="C1181" s="10">
        <v>-2.21338651042065</v>
      </c>
      <c r="D1181" s="10">
        <v>0.197224779912511</v>
      </c>
      <c r="E1181" s="10">
        <v>-11.2226592997214</v>
      </c>
      <c r="F1181" s="4">
        <v>3.1563381859730202E-29</v>
      </c>
      <c r="G1181" s="4">
        <v>2.3056500416409301E-27</v>
      </c>
      <c r="H1181" s="10" t="s">
        <v>2376</v>
      </c>
      <c r="I1181" s="10" t="s">
        <v>18</v>
      </c>
    </row>
    <row r="1182" spans="1:9" x14ac:dyDescent="0.2">
      <c r="A1182" s="10" t="s">
        <v>2377</v>
      </c>
      <c r="B1182" s="10">
        <v>3150.9055115516198</v>
      </c>
      <c r="C1182" s="10">
        <v>-3.8723648928803498</v>
      </c>
      <c r="D1182" s="10">
        <v>0.23388547419223499</v>
      </c>
      <c r="E1182" s="10">
        <v>-16.556671192404099</v>
      </c>
      <c r="F1182" s="4">
        <v>1.4330634317570199E-61</v>
      </c>
      <c r="G1182" s="4">
        <v>4.4881240603544202E-59</v>
      </c>
      <c r="H1182" s="10" t="s">
        <v>2378</v>
      </c>
      <c r="I1182" s="10" t="s">
        <v>18</v>
      </c>
    </row>
    <row r="1183" spans="1:9" x14ac:dyDescent="0.2">
      <c r="A1183" s="10" t="s">
        <v>2379</v>
      </c>
      <c r="B1183" s="10">
        <v>63.318752673556297</v>
      </c>
      <c r="C1183" s="10">
        <v>1.5995369670536099</v>
      </c>
      <c r="D1183" s="10">
        <v>0.46110057693370299</v>
      </c>
      <c r="E1183" s="10">
        <v>3.4689545992122901</v>
      </c>
      <c r="F1183" s="10">
        <v>5.2248774095001096E-4</v>
      </c>
      <c r="G1183" s="10">
        <v>2.4918997860432202E-3</v>
      </c>
      <c r="H1183" s="10" t="s">
        <v>2380</v>
      </c>
      <c r="I1183" s="10" t="s">
        <v>18</v>
      </c>
    </row>
    <row r="1184" spans="1:9" x14ac:dyDescent="0.2">
      <c r="A1184" s="10" t="s">
        <v>2381</v>
      </c>
      <c r="B1184" s="10">
        <v>17.994258901492099</v>
      </c>
      <c r="C1184" s="10">
        <v>3.4097630521692301</v>
      </c>
      <c r="D1184" s="10">
        <v>0.94338192691092504</v>
      </c>
      <c r="E1184" s="10">
        <v>3.6144036205297998</v>
      </c>
      <c r="F1184" s="10">
        <v>3.0103977443274202E-4</v>
      </c>
      <c r="G1184" s="10">
        <v>1.5280236091596399E-3</v>
      </c>
      <c r="H1184" s="10" t="s">
        <v>2382</v>
      </c>
      <c r="I1184" s="10" t="s">
        <v>18</v>
      </c>
    </row>
    <row r="1185" spans="1:9" x14ac:dyDescent="0.2">
      <c r="A1185" s="10" t="s">
        <v>2383</v>
      </c>
      <c r="B1185" s="10">
        <v>120.338383904265</v>
      </c>
      <c r="C1185" s="10">
        <v>-1.64930692796981</v>
      </c>
      <c r="D1185" s="10">
        <v>0.36623624882516098</v>
      </c>
      <c r="E1185" s="10">
        <v>-4.5033961910121398</v>
      </c>
      <c r="F1185" s="4">
        <v>6.6876041820981697E-6</v>
      </c>
      <c r="G1185" s="4">
        <v>4.9141626523632402E-5</v>
      </c>
      <c r="H1185" s="10" t="s">
        <v>2384</v>
      </c>
      <c r="I1185" s="10" t="s">
        <v>18</v>
      </c>
    </row>
    <row r="1186" spans="1:9" x14ac:dyDescent="0.2">
      <c r="A1186" s="10" t="s">
        <v>2385</v>
      </c>
      <c r="B1186" s="10">
        <v>30.426005522466699</v>
      </c>
      <c r="C1186" s="10">
        <v>6.8653575195111598</v>
      </c>
      <c r="D1186" s="10">
        <v>1.5595608573329001</v>
      </c>
      <c r="E1186" s="10">
        <v>4.4021094061388704</v>
      </c>
      <c r="F1186" s="4">
        <v>1.0720347110555099E-5</v>
      </c>
      <c r="G1186" s="4">
        <v>7.5667073141658304E-5</v>
      </c>
      <c r="H1186" s="10" t="s">
        <v>2386</v>
      </c>
      <c r="I1186" s="10" t="s">
        <v>18</v>
      </c>
    </row>
    <row r="1187" spans="1:9" x14ac:dyDescent="0.2">
      <c r="A1187" s="10" t="s">
        <v>2387</v>
      </c>
      <c r="B1187" s="10">
        <v>8.1922304545579898</v>
      </c>
      <c r="C1187" s="10">
        <v>3.2539689947930901</v>
      </c>
      <c r="D1187" s="10">
        <v>1.3549840735269301</v>
      </c>
      <c r="E1187" s="10">
        <v>2.4014813593515099</v>
      </c>
      <c r="F1187" s="10">
        <v>1.6328840983504098E-2</v>
      </c>
      <c r="G1187" s="10">
        <v>4.7783474414943197E-2</v>
      </c>
      <c r="H1187" s="10" t="s">
        <v>2388</v>
      </c>
      <c r="I1187" s="10" t="s">
        <v>18</v>
      </c>
    </row>
    <row r="1188" spans="1:9" x14ac:dyDescent="0.2">
      <c r="A1188" s="10" t="s">
        <v>2389</v>
      </c>
      <c r="B1188" s="10">
        <v>488.839392266868</v>
      </c>
      <c r="C1188" s="10">
        <v>-1.5320982121128</v>
      </c>
      <c r="D1188" s="10">
        <v>0.235353771581719</v>
      </c>
      <c r="E1188" s="10">
        <v>-6.5097669853182296</v>
      </c>
      <c r="F1188" s="4">
        <v>7.5267467490737998E-11</v>
      </c>
      <c r="G1188" s="4">
        <v>1.19372100507575E-9</v>
      </c>
      <c r="H1188" s="10" t="s">
        <v>2390</v>
      </c>
      <c r="I1188" s="10" t="s">
        <v>18</v>
      </c>
    </row>
    <row r="1189" spans="1:9" x14ac:dyDescent="0.2">
      <c r="A1189" s="10" t="s">
        <v>2391</v>
      </c>
      <c r="B1189" s="10">
        <v>325.658347868786</v>
      </c>
      <c r="C1189" s="10">
        <v>-1.05036537318475</v>
      </c>
      <c r="D1189" s="10">
        <v>0.25698244756469701</v>
      </c>
      <c r="E1189" s="10">
        <v>-4.0873039506728004</v>
      </c>
      <c r="F1189" s="4">
        <v>4.3641519376495497E-5</v>
      </c>
      <c r="G1189" s="10">
        <v>2.70004649966252E-4</v>
      </c>
      <c r="H1189" s="10" t="s">
        <v>2392</v>
      </c>
      <c r="I1189" s="10" t="s">
        <v>18</v>
      </c>
    </row>
    <row r="1190" spans="1:9" x14ac:dyDescent="0.2">
      <c r="A1190" s="10" t="s">
        <v>2393</v>
      </c>
      <c r="B1190" s="10">
        <v>148.08578776092199</v>
      </c>
      <c r="C1190" s="10">
        <v>3.7719343891525798</v>
      </c>
      <c r="D1190" s="10">
        <v>0.40007295301386803</v>
      </c>
      <c r="E1190" s="10">
        <v>9.4281164491063194</v>
      </c>
      <c r="F1190" s="4">
        <v>4.1751887307417198E-21</v>
      </c>
      <c r="G1190" s="4">
        <v>1.77752136478937E-19</v>
      </c>
      <c r="H1190" s="10" t="s">
        <v>2394</v>
      </c>
      <c r="I1190" s="10" t="s">
        <v>18</v>
      </c>
    </row>
    <row r="1191" spans="1:9" x14ac:dyDescent="0.2">
      <c r="A1191" s="10" t="s">
        <v>2395</v>
      </c>
      <c r="B1191" s="10">
        <v>4.6593493275411699</v>
      </c>
      <c r="C1191" s="10">
        <v>5.6122139252814298</v>
      </c>
      <c r="D1191" s="10">
        <v>2.0896389950956702</v>
      </c>
      <c r="E1191" s="10">
        <v>2.6857337264729302</v>
      </c>
      <c r="F1191" s="10">
        <v>7.2370738075707101E-3</v>
      </c>
      <c r="G1191" s="10">
        <v>2.4230591058599101E-2</v>
      </c>
      <c r="H1191" s="10" t="s">
        <v>2396</v>
      </c>
      <c r="I1191" s="10" t="s">
        <v>18</v>
      </c>
    </row>
    <row r="1192" spans="1:9" x14ac:dyDescent="0.2">
      <c r="A1192" s="10" t="s">
        <v>2397</v>
      </c>
      <c r="B1192" s="10">
        <v>4629.1532330944701</v>
      </c>
      <c r="C1192" s="10">
        <v>-1.02756091741</v>
      </c>
      <c r="D1192" s="10">
        <v>0.17397912699406901</v>
      </c>
      <c r="E1192" s="10">
        <v>-5.9062310241678304</v>
      </c>
      <c r="F1192" s="4">
        <v>3.5002303676558299E-9</v>
      </c>
      <c r="G1192" s="4">
        <v>4.4337878580901102E-8</v>
      </c>
      <c r="H1192" s="10" t="s">
        <v>2398</v>
      </c>
      <c r="I1192" s="10" t="s">
        <v>18</v>
      </c>
    </row>
    <row r="1193" spans="1:9" x14ac:dyDescent="0.2">
      <c r="A1193" s="10" t="s">
        <v>2399</v>
      </c>
      <c r="B1193" s="10">
        <v>247.290676568316</v>
      </c>
      <c r="C1193" s="10">
        <v>-1.5278446167775701</v>
      </c>
      <c r="D1193" s="10">
        <v>0.27539975860411497</v>
      </c>
      <c r="E1193" s="10">
        <v>-5.5477340449445798</v>
      </c>
      <c r="F1193" s="4">
        <v>2.89395631825889E-8</v>
      </c>
      <c r="G1193" s="4">
        <v>3.2236969666230502E-7</v>
      </c>
      <c r="H1193" s="10" t="s">
        <v>2400</v>
      </c>
      <c r="I1193" s="10" t="s">
        <v>18</v>
      </c>
    </row>
    <row r="1194" spans="1:9" x14ac:dyDescent="0.2">
      <c r="A1194" s="10" t="s">
        <v>2401</v>
      </c>
      <c r="B1194" s="10">
        <v>55.335935109756697</v>
      </c>
      <c r="C1194" s="10">
        <v>5.3901567690433501</v>
      </c>
      <c r="D1194" s="10">
        <v>0.79363965740203002</v>
      </c>
      <c r="E1194" s="10">
        <v>6.7916928278104898</v>
      </c>
      <c r="F1194" s="4">
        <v>1.1082532432703801E-11</v>
      </c>
      <c r="G1194" s="4">
        <v>1.9494238940857299E-10</v>
      </c>
      <c r="H1194" s="10" t="s">
        <v>2402</v>
      </c>
      <c r="I1194" s="10" t="s">
        <v>18</v>
      </c>
    </row>
    <row r="1195" spans="1:9" x14ac:dyDescent="0.2">
      <c r="A1195" s="10" t="s">
        <v>2403</v>
      </c>
      <c r="B1195" s="10">
        <v>284.57185863770297</v>
      </c>
      <c r="C1195" s="10">
        <v>2.5764522318188501</v>
      </c>
      <c r="D1195" s="10">
        <v>0.28185553046587303</v>
      </c>
      <c r="E1195" s="10">
        <v>9.1410384162421607</v>
      </c>
      <c r="F1195" s="4">
        <v>6.1855489428713301E-20</v>
      </c>
      <c r="G1195" s="4">
        <v>2.35716995869112E-18</v>
      </c>
      <c r="H1195" s="10" t="s">
        <v>2404</v>
      </c>
      <c r="I1195" s="10" t="s">
        <v>18</v>
      </c>
    </row>
    <row r="1196" spans="1:9" x14ac:dyDescent="0.2">
      <c r="A1196" s="10" t="s">
        <v>2405</v>
      </c>
      <c r="B1196" s="10">
        <v>457.32956086773999</v>
      </c>
      <c r="C1196" s="10">
        <v>-1.1721714171093001</v>
      </c>
      <c r="D1196" s="10">
        <v>0.22716042378300999</v>
      </c>
      <c r="E1196" s="10">
        <v>-5.1601040251139398</v>
      </c>
      <c r="F1196" s="4">
        <v>2.4681266394787597E-7</v>
      </c>
      <c r="G1196" s="4">
        <v>2.33991115330124E-6</v>
      </c>
      <c r="H1196" s="10" t="s">
        <v>2406</v>
      </c>
      <c r="I1196" s="10" t="s">
        <v>18</v>
      </c>
    </row>
    <row r="1197" spans="1:9" x14ac:dyDescent="0.2">
      <c r="A1197" s="10" t="s">
        <v>2407</v>
      </c>
      <c r="B1197" s="10">
        <v>826.32365978372695</v>
      </c>
      <c r="C1197" s="10">
        <v>-1.5369325594113099</v>
      </c>
      <c r="D1197" s="10">
        <v>0.21189659269250699</v>
      </c>
      <c r="E1197" s="10">
        <v>-7.2532197893413901</v>
      </c>
      <c r="F1197" s="4">
        <v>4.06978855945439E-13</v>
      </c>
      <c r="G1197" s="4">
        <v>8.4842791797592808E-12</v>
      </c>
      <c r="H1197" s="10" t="s">
        <v>2408</v>
      </c>
      <c r="I1197" s="10" t="s">
        <v>18</v>
      </c>
    </row>
    <row r="1198" spans="1:9" x14ac:dyDescent="0.2">
      <c r="A1198" s="10" t="s">
        <v>2409</v>
      </c>
      <c r="B1198" s="10">
        <v>3208.0186923303499</v>
      </c>
      <c r="C1198" s="10">
        <v>-1.48973778345198</v>
      </c>
      <c r="D1198" s="10">
        <v>0.204881744459217</v>
      </c>
      <c r="E1198" s="10">
        <v>-7.2712080199440301</v>
      </c>
      <c r="F1198" s="4">
        <v>3.5628678441231502E-13</v>
      </c>
      <c r="G1198" s="4">
        <v>7.4674969345248794E-12</v>
      </c>
      <c r="H1198" s="10" t="s">
        <v>2410</v>
      </c>
      <c r="I1198" s="10" t="s">
        <v>18</v>
      </c>
    </row>
    <row r="1199" spans="1:9" x14ac:dyDescent="0.2">
      <c r="A1199" s="10" t="s">
        <v>2411</v>
      </c>
      <c r="B1199" s="10">
        <v>2873.6625327789802</v>
      </c>
      <c r="C1199" s="10">
        <v>-2.1294315436621898</v>
      </c>
      <c r="D1199" s="10">
        <v>0.17722032094703599</v>
      </c>
      <c r="E1199" s="10">
        <v>-12.015730093946701</v>
      </c>
      <c r="F1199" s="4">
        <v>2.9376354539835999E-33</v>
      </c>
      <c r="G1199" s="4">
        <v>2.8183715920665898E-31</v>
      </c>
      <c r="H1199" s="10" t="s">
        <v>2412</v>
      </c>
      <c r="I1199" s="10" t="s">
        <v>18</v>
      </c>
    </row>
    <row r="1200" spans="1:9" x14ac:dyDescent="0.2">
      <c r="A1200" s="10" t="s">
        <v>2413</v>
      </c>
      <c r="B1200" s="10">
        <v>4.1822423843077399</v>
      </c>
      <c r="C1200" s="10">
        <v>5.4559790170220399</v>
      </c>
      <c r="D1200" s="10">
        <v>2.1535693190750198</v>
      </c>
      <c r="E1200" s="10">
        <v>2.5334587415860099</v>
      </c>
      <c r="F1200" s="10">
        <v>1.12943035283908E-2</v>
      </c>
      <c r="G1200" s="10">
        <v>3.5206027712854998E-2</v>
      </c>
      <c r="H1200" s="10" t="s">
        <v>2414</v>
      </c>
      <c r="I1200" s="10" t="s">
        <v>18</v>
      </c>
    </row>
    <row r="1201" spans="1:9" x14ac:dyDescent="0.2">
      <c r="A1201" s="10" t="s">
        <v>2415</v>
      </c>
      <c r="B1201" s="10">
        <v>5.0277419563543804</v>
      </c>
      <c r="C1201" s="10">
        <v>5.7249864720364698</v>
      </c>
      <c r="D1201" s="10">
        <v>2.0292551541625601</v>
      </c>
      <c r="E1201" s="10">
        <v>2.82122554193983</v>
      </c>
      <c r="F1201" s="10">
        <v>4.7840554620197E-3</v>
      </c>
      <c r="G1201" s="10">
        <v>1.7077316805142299E-2</v>
      </c>
      <c r="H1201" s="10" t="s">
        <v>2416</v>
      </c>
      <c r="I1201" s="10" t="s">
        <v>18</v>
      </c>
    </row>
    <row r="1202" spans="1:9" x14ac:dyDescent="0.2">
      <c r="A1202" s="10" t="s">
        <v>2417</v>
      </c>
      <c r="B1202" s="10">
        <v>12227.252155926501</v>
      </c>
      <c r="C1202" s="10">
        <v>1.6303336163891899</v>
      </c>
      <c r="D1202" s="10">
        <v>0.172878315840546</v>
      </c>
      <c r="E1202" s="10">
        <v>9.4305269487523393</v>
      </c>
      <c r="F1202" s="4">
        <v>4.08033869424938E-21</v>
      </c>
      <c r="G1202" s="4">
        <v>1.7398589734305599E-19</v>
      </c>
      <c r="H1202" s="10" t="s">
        <v>2418</v>
      </c>
      <c r="I1202" s="10" t="s">
        <v>18</v>
      </c>
    </row>
    <row r="1203" spans="1:9" x14ac:dyDescent="0.2">
      <c r="A1203" s="10" t="s">
        <v>2419</v>
      </c>
      <c r="B1203" s="10">
        <v>658.553862557966</v>
      </c>
      <c r="C1203" s="10">
        <v>-1.1105157418053699</v>
      </c>
      <c r="D1203" s="10">
        <v>0.21449959799267099</v>
      </c>
      <c r="E1203" s="10">
        <v>-5.1772392685011699</v>
      </c>
      <c r="F1203" s="4">
        <v>2.25193333473634E-7</v>
      </c>
      <c r="G1203" s="4">
        <v>2.15898759928083E-6</v>
      </c>
      <c r="H1203" s="10" t="s">
        <v>2420</v>
      </c>
      <c r="I1203" s="10" t="s">
        <v>18</v>
      </c>
    </row>
    <row r="1204" spans="1:9" x14ac:dyDescent="0.2">
      <c r="A1204" s="10" t="s">
        <v>2421</v>
      </c>
      <c r="B1204" s="10">
        <v>1683.4409920845001</v>
      </c>
      <c r="C1204" s="10">
        <v>-1.31079268641685</v>
      </c>
      <c r="D1204" s="10">
        <v>0.18386147395085001</v>
      </c>
      <c r="E1204" s="10">
        <v>-7.1292406084335402</v>
      </c>
      <c r="F1204" s="4">
        <v>1.0092417852324599E-12</v>
      </c>
      <c r="G1204" s="4">
        <v>1.9984600960921999E-11</v>
      </c>
      <c r="H1204" s="10" t="s">
        <v>2422</v>
      </c>
      <c r="I1204" s="10" t="s">
        <v>18</v>
      </c>
    </row>
    <row r="1205" spans="1:9" x14ac:dyDescent="0.2">
      <c r="A1205" s="10" t="s">
        <v>2423</v>
      </c>
      <c r="B1205" s="10">
        <v>717.22027250572796</v>
      </c>
      <c r="C1205" s="10">
        <v>-1.0743791877683799</v>
      </c>
      <c r="D1205" s="10">
        <v>0.20661000418008699</v>
      </c>
      <c r="E1205" s="10">
        <v>-5.2000346838574396</v>
      </c>
      <c r="F1205" s="4">
        <v>1.9925134141491499E-7</v>
      </c>
      <c r="G1205" s="4">
        <v>1.92722800835364E-6</v>
      </c>
      <c r="H1205" s="10" t="s">
        <v>2424</v>
      </c>
      <c r="I1205" s="10" t="s">
        <v>18</v>
      </c>
    </row>
    <row r="1206" spans="1:9" x14ac:dyDescent="0.2">
      <c r="A1206" s="10" t="s">
        <v>2425</v>
      </c>
      <c r="B1206" s="10">
        <v>9.3275914961485302</v>
      </c>
      <c r="C1206" s="10">
        <v>5.1305870949110197</v>
      </c>
      <c r="D1206" s="10">
        <v>1.7651361821460301</v>
      </c>
      <c r="E1206" s="10">
        <v>2.9066239459627998</v>
      </c>
      <c r="F1206" s="10">
        <v>3.6535212503824698E-3</v>
      </c>
      <c r="G1206" s="10">
        <v>1.35882464522483E-2</v>
      </c>
      <c r="H1206" s="10" t="s">
        <v>2426</v>
      </c>
      <c r="I1206" s="10" t="s">
        <v>18</v>
      </c>
    </row>
    <row r="1207" spans="1:9" x14ac:dyDescent="0.2">
      <c r="A1207" s="10" t="s">
        <v>2427</v>
      </c>
      <c r="B1207" s="10">
        <v>2674.3870691829002</v>
      </c>
      <c r="C1207" s="10">
        <v>-1.5239158076958801</v>
      </c>
      <c r="D1207" s="10">
        <v>0.18659508177703699</v>
      </c>
      <c r="E1207" s="10">
        <v>-8.1669666380425507</v>
      </c>
      <c r="F1207" s="4">
        <v>3.1624030722080598E-16</v>
      </c>
      <c r="G1207" s="4">
        <v>8.7924486233115392E-15</v>
      </c>
      <c r="H1207" s="10" t="s">
        <v>2428</v>
      </c>
      <c r="I1207" s="10" t="s">
        <v>18</v>
      </c>
    </row>
    <row r="1208" spans="1:9" x14ac:dyDescent="0.2">
      <c r="A1208" s="10" t="s">
        <v>2429</v>
      </c>
      <c r="B1208" s="10">
        <v>9528.2897097833902</v>
      </c>
      <c r="C1208" s="10">
        <v>1.47664707877821</v>
      </c>
      <c r="D1208" s="10">
        <v>0.174323675573054</v>
      </c>
      <c r="E1208" s="10">
        <v>8.4707201929056701</v>
      </c>
      <c r="F1208" s="4">
        <v>2.43880428153417E-17</v>
      </c>
      <c r="G1208" s="4">
        <v>7.5169796673033498E-16</v>
      </c>
      <c r="H1208" s="10" t="s">
        <v>2430</v>
      </c>
      <c r="I1208" s="10" t="s">
        <v>18</v>
      </c>
    </row>
    <row r="1209" spans="1:9" x14ac:dyDescent="0.2">
      <c r="A1209" s="10" t="s">
        <v>2431</v>
      </c>
      <c r="B1209" s="10">
        <v>5.35989648036084</v>
      </c>
      <c r="C1209" s="10">
        <v>5.82087034832609</v>
      </c>
      <c r="D1209" s="10">
        <v>2.0030830883710302</v>
      </c>
      <c r="E1209" s="10">
        <v>2.9059555153350201</v>
      </c>
      <c r="F1209" s="10">
        <v>3.66133497227402E-3</v>
      </c>
      <c r="G1209" s="10">
        <v>1.3608019914002199E-2</v>
      </c>
      <c r="H1209" s="10" t="s">
        <v>2432</v>
      </c>
      <c r="I1209" s="10" t="s">
        <v>18</v>
      </c>
    </row>
    <row r="1210" spans="1:9" x14ac:dyDescent="0.2">
      <c r="A1210" s="10" t="s">
        <v>2433</v>
      </c>
      <c r="B1210" s="10">
        <v>743.07775576844904</v>
      </c>
      <c r="C1210" s="10">
        <v>1.83201590058339</v>
      </c>
      <c r="D1210" s="10">
        <v>0.247608920993482</v>
      </c>
      <c r="E1210" s="10">
        <v>7.3988283347497497</v>
      </c>
      <c r="F1210" s="4">
        <v>1.3739132391224401E-13</v>
      </c>
      <c r="G1210" s="4">
        <v>3.0287228176673901E-12</v>
      </c>
      <c r="H1210" s="10" t="s">
        <v>2434</v>
      </c>
      <c r="I1210" s="10" t="s">
        <v>18</v>
      </c>
    </row>
    <row r="1211" spans="1:9" x14ac:dyDescent="0.2">
      <c r="A1211" s="10" t="s">
        <v>2435</v>
      </c>
      <c r="B1211" s="10">
        <v>870.67852985127695</v>
      </c>
      <c r="C1211" s="10">
        <v>-1.17960285865168</v>
      </c>
      <c r="D1211" s="10">
        <v>0.21677464205090299</v>
      </c>
      <c r="E1211" s="10">
        <v>-5.4416090714830299</v>
      </c>
      <c r="F1211" s="4">
        <v>5.2801447972497199E-8</v>
      </c>
      <c r="G1211" s="4">
        <v>5.6308456082451305E-7</v>
      </c>
      <c r="H1211" s="10" t="s">
        <v>2436</v>
      </c>
      <c r="I1211" s="10" t="s">
        <v>18</v>
      </c>
    </row>
    <row r="1212" spans="1:9" x14ac:dyDescent="0.2">
      <c r="A1212" s="10" t="s">
        <v>2437</v>
      </c>
      <c r="B1212" s="10">
        <v>171.48854649087801</v>
      </c>
      <c r="C1212" s="10">
        <v>1.6412976066862399</v>
      </c>
      <c r="D1212" s="10">
        <v>0.34645991502084</v>
      </c>
      <c r="E1212" s="10">
        <v>4.7373376703262098</v>
      </c>
      <c r="F1212" s="4">
        <v>2.1654418656991399E-6</v>
      </c>
      <c r="G1212" s="4">
        <v>1.7502757198073098E-5</v>
      </c>
      <c r="H1212" s="10" t="s">
        <v>2438</v>
      </c>
      <c r="I1212" s="10" t="s">
        <v>18</v>
      </c>
    </row>
    <row r="1213" spans="1:9" x14ac:dyDescent="0.2">
      <c r="A1213" s="10" t="s">
        <v>2439</v>
      </c>
      <c r="B1213" s="10">
        <v>95.446454422229806</v>
      </c>
      <c r="C1213" s="10">
        <v>2.0783875578161002</v>
      </c>
      <c r="D1213" s="10">
        <v>0.405449252237854</v>
      </c>
      <c r="E1213" s="10">
        <v>5.1261348894949501</v>
      </c>
      <c r="F1213" s="4">
        <v>2.9575075210297201E-7</v>
      </c>
      <c r="G1213" s="4">
        <v>2.7710869128437702E-6</v>
      </c>
      <c r="H1213" s="10" t="s">
        <v>2440</v>
      </c>
      <c r="I1213" s="10" t="s">
        <v>18</v>
      </c>
    </row>
    <row r="1214" spans="1:9" x14ac:dyDescent="0.2">
      <c r="A1214" s="10" t="s">
        <v>2441</v>
      </c>
      <c r="B1214" s="10">
        <v>161.387508148618</v>
      </c>
      <c r="C1214" s="10">
        <v>-1.1095744382533199</v>
      </c>
      <c r="D1214" s="10">
        <v>0.31255221622621099</v>
      </c>
      <c r="E1214" s="10">
        <v>-3.5500450185586199</v>
      </c>
      <c r="F1214" s="10">
        <v>3.85165279576086E-4</v>
      </c>
      <c r="G1214" s="10">
        <v>1.9039547120119E-3</v>
      </c>
      <c r="H1214" s="10" t="s">
        <v>2442</v>
      </c>
      <c r="I1214" s="10" t="s">
        <v>18</v>
      </c>
    </row>
    <row r="1215" spans="1:9" x14ac:dyDescent="0.2">
      <c r="A1215" s="10" t="s">
        <v>2443</v>
      </c>
      <c r="B1215" s="10">
        <v>13.2533292553987</v>
      </c>
      <c r="C1215" s="10">
        <v>4.6255122168669098</v>
      </c>
      <c r="D1215" s="10">
        <v>1.3309662096219601</v>
      </c>
      <c r="E1215" s="10">
        <v>3.4753040185601098</v>
      </c>
      <c r="F1215" s="10">
        <v>5.1027469285556298E-4</v>
      </c>
      <c r="G1215" s="10">
        <v>2.4417728409264999E-3</v>
      </c>
      <c r="H1215" s="10" t="s">
        <v>2444</v>
      </c>
      <c r="I1215" s="10" t="s">
        <v>18</v>
      </c>
    </row>
    <row r="1216" spans="1:9" x14ac:dyDescent="0.2">
      <c r="A1216" s="10" t="s">
        <v>2445</v>
      </c>
      <c r="B1216" s="10">
        <v>4268.1501345421902</v>
      </c>
      <c r="C1216" s="10">
        <v>-1.01861976605393</v>
      </c>
      <c r="D1216" s="10">
        <v>0.17527307002747899</v>
      </c>
      <c r="E1216" s="10">
        <v>-5.81161593103967</v>
      </c>
      <c r="F1216" s="4">
        <v>6.1872662351576302E-9</v>
      </c>
      <c r="G1216" s="4">
        <v>7.5564519546992295E-8</v>
      </c>
      <c r="H1216" s="10" t="s">
        <v>2446</v>
      </c>
      <c r="I1216" s="10" t="s">
        <v>18</v>
      </c>
    </row>
    <row r="1217" spans="1:9" x14ac:dyDescent="0.2">
      <c r="A1217" s="10" t="s">
        <v>2447</v>
      </c>
      <c r="B1217" s="10">
        <v>19.1268254205823</v>
      </c>
      <c r="C1217" s="10">
        <v>3.2624768814720801</v>
      </c>
      <c r="D1217" s="10">
        <v>0.89735285978056401</v>
      </c>
      <c r="E1217" s="10">
        <v>3.6356677820917298</v>
      </c>
      <c r="F1217" s="10">
        <v>2.7726146423296701E-4</v>
      </c>
      <c r="G1217" s="10">
        <v>1.4205609469642099E-3</v>
      </c>
      <c r="H1217" s="10" t="s">
        <v>2448</v>
      </c>
      <c r="I1217" s="10" t="s">
        <v>18</v>
      </c>
    </row>
    <row r="1218" spans="1:9" x14ac:dyDescent="0.2">
      <c r="A1218" s="10" t="s">
        <v>2449</v>
      </c>
      <c r="B1218" s="10">
        <v>4139.72542632147</v>
      </c>
      <c r="C1218" s="10">
        <v>-1.2617982389305999</v>
      </c>
      <c r="D1218" s="10">
        <v>0.18297704877454901</v>
      </c>
      <c r="E1218" s="10">
        <v>-6.8959372084161901</v>
      </c>
      <c r="F1218" s="4">
        <v>5.3510829226481796E-12</v>
      </c>
      <c r="G1218" s="4">
        <v>9.6942125261565802E-11</v>
      </c>
      <c r="H1218" s="10" t="s">
        <v>2450</v>
      </c>
      <c r="I1218" s="10" t="s">
        <v>18</v>
      </c>
    </row>
    <row r="1219" spans="1:9" x14ac:dyDescent="0.2">
      <c r="A1219" s="10" t="s">
        <v>2451</v>
      </c>
      <c r="B1219" s="10">
        <v>19.7359836131366</v>
      </c>
      <c r="C1219" s="10">
        <v>3.0886890712241502</v>
      </c>
      <c r="D1219" s="10">
        <v>0.88688288730113896</v>
      </c>
      <c r="E1219" s="10">
        <v>3.4826346470877301</v>
      </c>
      <c r="F1219" s="10">
        <v>4.9650546499143701E-4</v>
      </c>
      <c r="G1219" s="10">
        <v>2.3834186759375802E-3</v>
      </c>
      <c r="H1219" s="10" t="s">
        <v>2452</v>
      </c>
      <c r="I1219" s="10" t="s">
        <v>18</v>
      </c>
    </row>
    <row r="1220" spans="1:9" x14ac:dyDescent="0.2">
      <c r="A1220" s="10" t="s">
        <v>2453</v>
      </c>
      <c r="B1220" s="10">
        <v>66.968861789224505</v>
      </c>
      <c r="C1220" s="10">
        <v>1.70415549058503</v>
      </c>
      <c r="D1220" s="10">
        <v>0.44732434932223297</v>
      </c>
      <c r="E1220" s="10">
        <v>3.8096640461604401</v>
      </c>
      <c r="F1220" s="10">
        <v>1.3915575032055099E-4</v>
      </c>
      <c r="G1220" s="10">
        <v>7.7095907462058704E-4</v>
      </c>
      <c r="H1220" s="10" t="s">
        <v>2454</v>
      </c>
      <c r="I1220" s="10" t="s">
        <v>18</v>
      </c>
    </row>
    <row r="1221" spans="1:9" x14ac:dyDescent="0.2">
      <c r="A1221" s="10" t="s">
        <v>2455</v>
      </c>
      <c r="B1221" s="10">
        <v>26.727011768868302</v>
      </c>
      <c r="C1221" s="10">
        <v>3.7812834803568101</v>
      </c>
      <c r="D1221" s="10">
        <v>0.83665572674906497</v>
      </c>
      <c r="E1221" s="10">
        <v>4.5195214225682596</v>
      </c>
      <c r="F1221" s="4">
        <v>6.1979576280106199E-6</v>
      </c>
      <c r="G1221" s="4">
        <v>4.5915103722241797E-5</v>
      </c>
      <c r="H1221" s="10" t="s">
        <v>2456</v>
      </c>
      <c r="I1221" s="10" t="s">
        <v>18</v>
      </c>
    </row>
    <row r="1222" spans="1:9" x14ac:dyDescent="0.2">
      <c r="A1222" s="10" t="s">
        <v>2457</v>
      </c>
      <c r="B1222" s="10">
        <v>464.80449665151599</v>
      </c>
      <c r="C1222" s="10">
        <v>1.6171083060407401</v>
      </c>
      <c r="D1222" s="10">
        <v>0.22933533188775701</v>
      </c>
      <c r="E1222" s="10">
        <v>7.0512829084364403</v>
      </c>
      <c r="F1222" s="4">
        <v>1.77275642964884E-12</v>
      </c>
      <c r="G1222" s="4">
        <v>3.4039671908838503E-11</v>
      </c>
      <c r="H1222" s="10" t="s">
        <v>2458</v>
      </c>
      <c r="I1222" s="10" t="s">
        <v>18</v>
      </c>
    </row>
    <row r="1223" spans="1:9" x14ac:dyDescent="0.2">
      <c r="A1223" s="10" t="s">
        <v>2459</v>
      </c>
      <c r="B1223" s="10">
        <v>1749.64495081835</v>
      </c>
      <c r="C1223" s="10">
        <v>-2.0434575983750398</v>
      </c>
      <c r="D1223" s="10">
        <v>0.184579963302793</v>
      </c>
      <c r="E1223" s="10">
        <v>-11.070852771938499</v>
      </c>
      <c r="F1223" s="4">
        <v>1.7373934901077299E-28</v>
      </c>
      <c r="G1223" s="4">
        <v>1.20762143941238E-26</v>
      </c>
      <c r="H1223" s="10" t="s">
        <v>2460</v>
      </c>
      <c r="I1223" s="10" t="s">
        <v>18</v>
      </c>
    </row>
    <row r="1224" spans="1:9" x14ac:dyDescent="0.2">
      <c r="A1224" s="10" t="s">
        <v>2461</v>
      </c>
      <c r="B1224" s="10">
        <v>7.4161579328419203</v>
      </c>
      <c r="C1224" s="10">
        <v>4.7837747265366799</v>
      </c>
      <c r="D1224" s="10">
        <v>1.86885021293964</v>
      </c>
      <c r="E1224" s="10">
        <v>2.5597421844803501</v>
      </c>
      <c r="F1224" s="10">
        <v>1.04749840957555E-2</v>
      </c>
      <c r="G1224" s="10">
        <v>3.3087397595299099E-2</v>
      </c>
      <c r="H1224" s="10" t="s">
        <v>2462</v>
      </c>
      <c r="I1224" s="10" t="s">
        <v>18</v>
      </c>
    </row>
    <row r="1225" spans="1:9" x14ac:dyDescent="0.2">
      <c r="A1225" s="10" t="s">
        <v>2463</v>
      </c>
      <c r="B1225" s="10">
        <v>11.523086216125799</v>
      </c>
      <c r="C1225" s="10">
        <v>4.40984119744952</v>
      </c>
      <c r="D1225" s="10">
        <v>1.39196754894228</v>
      </c>
      <c r="E1225" s="10">
        <v>3.16806322158908</v>
      </c>
      <c r="F1225" s="10">
        <v>1.5345814530390201E-3</v>
      </c>
      <c r="G1225" s="10">
        <v>6.4031762405749202E-3</v>
      </c>
      <c r="H1225" s="10" t="s">
        <v>2464</v>
      </c>
      <c r="I1225" s="10" t="s">
        <v>18</v>
      </c>
    </row>
    <row r="1226" spans="1:9" x14ac:dyDescent="0.2">
      <c r="A1226" s="10" t="s">
        <v>2465</v>
      </c>
      <c r="B1226" s="10">
        <v>45.692003537154797</v>
      </c>
      <c r="C1226" s="10">
        <v>1.42449522435191</v>
      </c>
      <c r="D1226" s="10">
        <v>0.55854481801599198</v>
      </c>
      <c r="E1226" s="10">
        <v>2.5503687052578199</v>
      </c>
      <c r="F1226" s="10">
        <v>1.07609047512871E-2</v>
      </c>
      <c r="G1226" s="10">
        <v>3.3871099772502598E-2</v>
      </c>
      <c r="H1226" s="10" t="s">
        <v>2466</v>
      </c>
      <c r="I1226" s="10" t="s">
        <v>18</v>
      </c>
    </row>
    <row r="1227" spans="1:9" x14ac:dyDescent="0.2">
      <c r="A1227" s="10" t="s">
        <v>2467</v>
      </c>
      <c r="B1227" s="10">
        <v>14.823926721505201</v>
      </c>
      <c r="C1227" s="10">
        <v>3.7444240460815998</v>
      </c>
      <c r="D1227" s="10">
        <v>1.0905080480718701</v>
      </c>
      <c r="E1227" s="10">
        <v>3.4336509966177</v>
      </c>
      <c r="F1227" s="10">
        <v>5.9551041408438001E-4</v>
      </c>
      <c r="G1227" s="10">
        <v>2.79659983670408E-3</v>
      </c>
      <c r="H1227" s="10" t="s">
        <v>2468</v>
      </c>
      <c r="I1227" s="10" t="s">
        <v>18</v>
      </c>
    </row>
    <row r="1228" spans="1:9" x14ac:dyDescent="0.2">
      <c r="A1228" s="10" t="s">
        <v>2469</v>
      </c>
      <c r="B1228" s="10">
        <v>1045.3775592003799</v>
      </c>
      <c r="C1228" s="10">
        <v>-1.18304381735585</v>
      </c>
      <c r="D1228" s="10">
        <v>0.19914796210316699</v>
      </c>
      <c r="E1228" s="10">
        <v>-5.9405268568250902</v>
      </c>
      <c r="F1228" s="4">
        <v>2.84107506891792E-9</v>
      </c>
      <c r="G1228" s="4">
        <v>3.6291970184156903E-8</v>
      </c>
      <c r="H1228" s="10" t="s">
        <v>2470</v>
      </c>
      <c r="I1228" s="10" t="s">
        <v>18</v>
      </c>
    </row>
    <row r="1229" spans="1:9" x14ac:dyDescent="0.2">
      <c r="A1229" s="10" t="s">
        <v>2471</v>
      </c>
      <c r="B1229" s="10">
        <v>352.35238435391801</v>
      </c>
      <c r="C1229" s="10">
        <v>2.2992118170021998</v>
      </c>
      <c r="D1229" s="10">
        <v>0.27025606942004199</v>
      </c>
      <c r="E1229" s="10">
        <v>8.5075307353363403</v>
      </c>
      <c r="F1229" s="4">
        <v>1.7767664352248101E-17</v>
      </c>
      <c r="G1229" s="4">
        <v>5.5264332260925204E-16</v>
      </c>
      <c r="H1229" s="10" t="s">
        <v>2472</v>
      </c>
      <c r="I1229" s="10" t="s">
        <v>18</v>
      </c>
    </row>
    <row r="1230" spans="1:9" x14ac:dyDescent="0.2">
      <c r="A1230" s="10" t="s">
        <v>2473</v>
      </c>
      <c r="B1230" s="10">
        <v>14.081665597347101</v>
      </c>
      <c r="C1230" s="10">
        <v>-3.8124562849845298</v>
      </c>
      <c r="D1230" s="10">
        <v>1.1073135184970599</v>
      </c>
      <c r="E1230" s="10">
        <v>-3.4429781821494698</v>
      </c>
      <c r="F1230" s="10">
        <v>5.7534572806431099E-4</v>
      </c>
      <c r="G1230" s="10">
        <v>2.71359616627459E-3</v>
      </c>
      <c r="H1230" s="10" t="s">
        <v>2474</v>
      </c>
      <c r="I1230" s="10" t="s">
        <v>18</v>
      </c>
    </row>
    <row r="1231" spans="1:9" x14ac:dyDescent="0.2">
      <c r="A1231" s="10" t="s">
        <v>2475</v>
      </c>
      <c r="B1231" s="10">
        <v>378.62930636023998</v>
      </c>
      <c r="C1231" s="10">
        <v>-2.4135697467922701</v>
      </c>
      <c r="D1231" s="10">
        <v>0.262675473584912</v>
      </c>
      <c r="E1231" s="10">
        <v>-9.1884092330838101</v>
      </c>
      <c r="F1231" s="4">
        <v>3.9869351535987402E-20</v>
      </c>
      <c r="G1231" s="4">
        <v>1.56080491566242E-18</v>
      </c>
      <c r="H1231" s="10" t="s">
        <v>2476</v>
      </c>
      <c r="I1231" s="10" t="s">
        <v>18</v>
      </c>
    </row>
    <row r="1232" spans="1:9" x14ac:dyDescent="0.2">
      <c r="A1232" s="10" t="s">
        <v>2477</v>
      </c>
      <c r="B1232" s="10">
        <v>426.76615156921099</v>
      </c>
      <c r="C1232" s="10">
        <v>8.6873805197777703</v>
      </c>
      <c r="D1232" s="10">
        <v>0.75833174503417999</v>
      </c>
      <c r="E1232" s="10">
        <v>11.4559103936579</v>
      </c>
      <c r="F1232" s="4">
        <v>2.19643237701299E-30</v>
      </c>
      <c r="G1232" s="4">
        <v>1.7601821463668499E-28</v>
      </c>
      <c r="H1232" s="10" t="s">
        <v>2478</v>
      </c>
      <c r="I1232" s="10" t="s">
        <v>18</v>
      </c>
    </row>
    <row r="1233" spans="1:9" x14ac:dyDescent="0.2">
      <c r="A1233" s="10" t="s">
        <v>2479</v>
      </c>
      <c r="B1233" s="10">
        <v>8.5183300289086397</v>
      </c>
      <c r="C1233" s="10">
        <v>4.9929605455950599</v>
      </c>
      <c r="D1233" s="10">
        <v>1.80272417078161</v>
      </c>
      <c r="E1233" s="10">
        <v>2.7696752650907399</v>
      </c>
      <c r="F1233" s="10">
        <v>5.61122059789674E-3</v>
      </c>
      <c r="G1233" s="10">
        <v>1.9601144568063101E-2</v>
      </c>
      <c r="H1233" s="10" t="s">
        <v>2480</v>
      </c>
      <c r="I1233" s="10" t="s">
        <v>18</v>
      </c>
    </row>
    <row r="1234" spans="1:9" x14ac:dyDescent="0.2">
      <c r="A1234" s="10" t="s">
        <v>2481</v>
      </c>
      <c r="B1234" s="10">
        <v>3964.1182039149899</v>
      </c>
      <c r="C1234" s="10">
        <v>2.3071464635625101</v>
      </c>
      <c r="D1234" s="10">
        <v>0.174382208859026</v>
      </c>
      <c r="E1234" s="10">
        <v>13.230400501622601</v>
      </c>
      <c r="F1234" s="4">
        <v>5.8574415733560302E-40</v>
      </c>
      <c r="G1234" s="4">
        <v>8.0199854547352598E-38</v>
      </c>
      <c r="H1234" s="10" t="s">
        <v>2482</v>
      </c>
      <c r="I1234" s="10" t="s">
        <v>18</v>
      </c>
    </row>
    <row r="1235" spans="1:9" x14ac:dyDescent="0.2">
      <c r="A1235" s="10" t="s">
        <v>2483</v>
      </c>
      <c r="B1235" s="10">
        <v>3011.6623500012902</v>
      </c>
      <c r="C1235" s="10">
        <v>-1.0545646511518401</v>
      </c>
      <c r="D1235" s="10">
        <v>0.19837219153369201</v>
      </c>
      <c r="E1235" s="10">
        <v>-5.31609114664003</v>
      </c>
      <c r="F1235" s="4">
        <v>1.06020057441966E-7</v>
      </c>
      <c r="G1235" s="4">
        <v>1.07268046978137E-6</v>
      </c>
      <c r="H1235" s="10" t="s">
        <v>2484</v>
      </c>
      <c r="I1235" s="10" t="s">
        <v>18</v>
      </c>
    </row>
    <row r="1236" spans="1:9" x14ac:dyDescent="0.2">
      <c r="A1236" s="10" t="s">
        <v>2485</v>
      </c>
      <c r="B1236" s="10">
        <v>9.8889487503820295</v>
      </c>
      <c r="C1236" s="10">
        <v>3.54308829608616</v>
      </c>
      <c r="D1236" s="10">
        <v>1.3287581310563199</v>
      </c>
      <c r="E1236" s="10">
        <v>2.66646593783741</v>
      </c>
      <c r="F1236" s="10">
        <v>7.6653373656802096E-3</v>
      </c>
      <c r="G1236" s="10">
        <v>2.54270084249682E-2</v>
      </c>
      <c r="H1236" s="10" t="s">
        <v>2486</v>
      </c>
      <c r="I1236" s="10" t="s">
        <v>18</v>
      </c>
    </row>
    <row r="1237" spans="1:9" x14ac:dyDescent="0.2">
      <c r="A1237" s="10" t="s">
        <v>2487</v>
      </c>
      <c r="B1237" s="10">
        <v>15.6085129174524</v>
      </c>
      <c r="C1237" s="10">
        <v>4.2578311656937604</v>
      </c>
      <c r="D1237" s="10">
        <v>1.1508539626183001</v>
      </c>
      <c r="E1237" s="10">
        <v>3.6997145632681301</v>
      </c>
      <c r="F1237" s="10">
        <v>2.15842090832774E-4</v>
      </c>
      <c r="G1237" s="10">
        <v>1.13973826529469E-3</v>
      </c>
      <c r="H1237" s="10" t="s">
        <v>2488</v>
      </c>
      <c r="I1237" s="10" t="s">
        <v>18</v>
      </c>
    </row>
    <row r="1238" spans="1:9" x14ac:dyDescent="0.2">
      <c r="A1238" s="10" t="s">
        <v>2489</v>
      </c>
      <c r="B1238" s="10">
        <v>226.64497676073</v>
      </c>
      <c r="C1238" s="10">
        <v>3.5325505999132201</v>
      </c>
      <c r="D1238" s="10">
        <v>0.329188952439257</v>
      </c>
      <c r="E1238" s="10">
        <v>10.731072758479201</v>
      </c>
      <c r="F1238" s="4">
        <v>7.2746695546105506E-27</v>
      </c>
      <c r="G1238" s="4">
        <v>4.60960282219706E-25</v>
      </c>
      <c r="H1238" s="10" t="s">
        <v>2490</v>
      </c>
      <c r="I1238" s="10" t="s">
        <v>18</v>
      </c>
    </row>
    <row r="1239" spans="1:9" x14ac:dyDescent="0.2">
      <c r="A1239" s="10" t="s">
        <v>2491</v>
      </c>
      <c r="B1239" s="10">
        <v>4.5868731179276896</v>
      </c>
      <c r="C1239" s="10">
        <v>5.5915059184507401</v>
      </c>
      <c r="D1239" s="10">
        <v>2.0812331718906201</v>
      </c>
      <c r="E1239" s="10">
        <v>2.6866311732727901</v>
      </c>
      <c r="F1239" s="10">
        <v>7.2176601926175997E-3</v>
      </c>
      <c r="G1239" s="10">
        <v>2.4195323236743602E-2</v>
      </c>
      <c r="H1239" s="10" t="s">
        <v>2492</v>
      </c>
      <c r="I1239" s="10" t="s">
        <v>18</v>
      </c>
    </row>
    <row r="1240" spans="1:9" x14ac:dyDescent="0.2">
      <c r="A1240" s="10" t="s">
        <v>2493</v>
      </c>
      <c r="B1240" s="10">
        <v>15.0047380787039</v>
      </c>
      <c r="C1240" s="10">
        <v>7.2995299165462804</v>
      </c>
      <c r="D1240" s="10">
        <v>1.69581976354455</v>
      </c>
      <c r="E1240" s="10">
        <v>4.3044255489091698</v>
      </c>
      <c r="F1240" s="4">
        <v>1.6741958096120399E-5</v>
      </c>
      <c r="G1240" s="10">
        <v>1.1316500427809299E-4</v>
      </c>
      <c r="H1240" s="10" t="s">
        <v>2494</v>
      </c>
      <c r="I1240" s="10" t="s">
        <v>18</v>
      </c>
    </row>
    <row r="1241" spans="1:9" x14ac:dyDescent="0.2">
      <c r="A1241" s="10" t="s">
        <v>2495</v>
      </c>
      <c r="B1241" s="10">
        <v>18.1665132155496</v>
      </c>
      <c r="C1241" s="10">
        <v>4.4910248684595802</v>
      </c>
      <c r="D1241" s="10">
        <v>1.1141576346300499</v>
      </c>
      <c r="E1241" s="10">
        <v>4.0308702546842099</v>
      </c>
      <c r="F1241" s="4">
        <v>5.5570714713869303E-5</v>
      </c>
      <c r="G1241" s="10">
        <v>3.3677385760871799E-4</v>
      </c>
      <c r="H1241" s="10" t="s">
        <v>2496</v>
      </c>
      <c r="I1241" s="10" t="s">
        <v>18</v>
      </c>
    </row>
    <row r="1242" spans="1:9" x14ac:dyDescent="0.2">
      <c r="A1242" s="10" t="s">
        <v>2497</v>
      </c>
      <c r="B1242" s="10">
        <v>12.3628666364417</v>
      </c>
      <c r="C1242" s="10">
        <v>4.5278888942710402</v>
      </c>
      <c r="D1242" s="10">
        <v>1.36728399866735</v>
      </c>
      <c r="E1242" s="10">
        <v>3.3115935670162302</v>
      </c>
      <c r="F1242" s="10">
        <v>9.27662121053138E-4</v>
      </c>
      <c r="G1242" s="10">
        <v>4.1316345200394502E-3</v>
      </c>
      <c r="H1242" s="10" t="s">
        <v>2498</v>
      </c>
      <c r="I1242" s="10" t="s">
        <v>18</v>
      </c>
    </row>
    <row r="1243" spans="1:9" x14ac:dyDescent="0.2">
      <c r="A1243" s="10" t="s">
        <v>2499</v>
      </c>
      <c r="B1243" s="10">
        <v>95.273523546211194</v>
      </c>
      <c r="C1243" s="10">
        <v>-1.0962027072071101</v>
      </c>
      <c r="D1243" s="10">
        <v>0.41172872969723101</v>
      </c>
      <c r="E1243" s="10">
        <v>-2.66243919391589</v>
      </c>
      <c r="F1243" s="10">
        <v>7.75765843621896E-3</v>
      </c>
      <c r="G1243" s="10">
        <v>2.5711339181566501E-2</v>
      </c>
      <c r="H1243" s="10" t="s">
        <v>2500</v>
      </c>
      <c r="I1243" s="10" t="s">
        <v>18</v>
      </c>
    </row>
    <row r="1244" spans="1:9" x14ac:dyDescent="0.2">
      <c r="A1244" s="10" t="s">
        <v>2501</v>
      </c>
      <c r="B1244" s="10">
        <v>90.144872665243895</v>
      </c>
      <c r="C1244" s="10">
        <v>-1.22395727129142</v>
      </c>
      <c r="D1244" s="10">
        <v>0.39390248331026601</v>
      </c>
      <c r="E1244" s="10">
        <v>-3.1072595963487299</v>
      </c>
      <c r="F1244" s="10">
        <v>1.88830499723869E-3</v>
      </c>
      <c r="G1244" s="10">
        <v>7.6680033616227999E-3</v>
      </c>
      <c r="H1244" s="10" t="s">
        <v>2502</v>
      </c>
      <c r="I1244" s="10" t="s">
        <v>18</v>
      </c>
    </row>
    <row r="1245" spans="1:9" x14ac:dyDescent="0.2">
      <c r="A1245" s="10" t="s">
        <v>2503</v>
      </c>
      <c r="B1245" s="10">
        <v>546.40813162983704</v>
      </c>
      <c r="C1245" s="10">
        <v>-1.3054655708582901</v>
      </c>
      <c r="D1245" s="10">
        <v>0.236816546575951</v>
      </c>
      <c r="E1245" s="10">
        <v>-5.5125606286113298</v>
      </c>
      <c r="F1245" s="4">
        <v>3.5365030628487603E-8</v>
      </c>
      <c r="G1245" s="4">
        <v>3.8760699498567997E-7</v>
      </c>
      <c r="H1245" s="10" t="s">
        <v>2504</v>
      </c>
      <c r="I1245" s="10" t="s">
        <v>18</v>
      </c>
    </row>
    <row r="1246" spans="1:9" x14ac:dyDescent="0.2">
      <c r="A1246" s="10" t="s">
        <v>2505</v>
      </c>
      <c r="B1246" s="10">
        <v>465.50500086193102</v>
      </c>
      <c r="C1246" s="10">
        <v>1.0844847376365401</v>
      </c>
      <c r="D1246" s="10">
        <v>0.23765721607818799</v>
      </c>
      <c r="E1246" s="10">
        <v>4.5632308394951</v>
      </c>
      <c r="F1246" s="4">
        <v>5.0372376958759996E-6</v>
      </c>
      <c r="G1246" s="4">
        <v>3.8008755330804101E-5</v>
      </c>
      <c r="H1246" s="10" t="s">
        <v>2506</v>
      </c>
      <c r="I1246" s="10" t="s">
        <v>18</v>
      </c>
    </row>
    <row r="1247" spans="1:9" x14ac:dyDescent="0.2">
      <c r="A1247" s="10" t="s">
        <v>2507</v>
      </c>
      <c r="B1247" s="10">
        <v>1739.6741652652299</v>
      </c>
      <c r="C1247" s="10">
        <v>-3.1049889892195202</v>
      </c>
      <c r="D1247" s="10">
        <v>0.20058122129140099</v>
      </c>
      <c r="E1247" s="10">
        <v>-15.4799585386343</v>
      </c>
      <c r="F1247" s="4">
        <v>4.7377808522611802E-54</v>
      </c>
      <c r="G1247" s="4">
        <v>1.11284754208242E-51</v>
      </c>
      <c r="H1247" s="10" t="s">
        <v>2508</v>
      </c>
      <c r="I1247" s="10" t="s">
        <v>18</v>
      </c>
    </row>
    <row r="1248" spans="1:9" x14ac:dyDescent="0.2">
      <c r="A1248" s="10" t="s">
        <v>2509</v>
      </c>
      <c r="B1248" s="10">
        <v>3211.7349345341299</v>
      </c>
      <c r="C1248" s="10">
        <v>3.1761946018072398</v>
      </c>
      <c r="D1248" s="10">
        <v>0.18879528393686601</v>
      </c>
      <c r="E1248" s="10">
        <v>16.823484864533899</v>
      </c>
      <c r="F1248" s="4">
        <v>1.6420897570581401E-63</v>
      </c>
      <c r="G1248" s="4">
        <v>5.4563438549467202E-61</v>
      </c>
      <c r="H1248" s="10" t="s">
        <v>2510</v>
      </c>
      <c r="I1248" s="10" t="s">
        <v>18</v>
      </c>
    </row>
    <row r="1249" spans="1:9" x14ac:dyDescent="0.2">
      <c r="A1249" s="10" t="s">
        <v>2511</v>
      </c>
      <c r="B1249" s="10">
        <v>10.3457245490877</v>
      </c>
      <c r="C1249" s="10">
        <v>4.26143253551533</v>
      </c>
      <c r="D1249" s="10">
        <v>1.42709628226083</v>
      </c>
      <c r="E1249" s="10">
        <v>2.9860862147046698</v>
      </c>
      <c r="F1249" s="10">
        <v>2.82572965206122E-3</v>
      </c>
      <c r="G1249" s="10">
        <v>1.0862395009835201E-2</v>
      </c>
      <c r="H1249" s="10" t="s">
        <v>2512</v>
      </c>
      <c r="I1249" s="10" t="s">
        <v>18</v>
      </c>
    </row>
    <row r="1250" spans="1:9" x14ac:dyDescent="0.2">
      <c r="A1250" s="10" t="s">
        <v>2513</v>
      </c>
      <c r="B1250" s="10">
        <v>5039.38540877989</v>
      </c>
      <c r="C1250" s="10">
        <v>1.2553038202628199</v>
      </c>
      <c r="D1250" s="10">
        <v>0.198698495722892</v>
      </c>
      <c r="E1250" s="10">
        <v>6.3176312215945902</v>
      </c>
      <c r="F1250" s="4">
        <v>2.6560289024354203E-10</v>
      </c>
      <c r="G1250" s="4">
        <v>3.8720609686815303E-9</v>
      </c>
      <c r="H1250" s="10" t="s">
        <v>2514</v>
      </c>
      <c r="I1250" s="10" t="s">
        <v>18</v>
      </c>
    </row>
    <row r="1251" spans="1:9" x14ac:dyDescent="0.2">
      <c r="A1251" s="10" t="s">
        <v>2515</v>
      </c>
      <c r="B1251" s="10">
        <v>19.778813301410999</v>
      </c>
      <c r="C1251" s="10">
        <v>7.70010863145637</v>
      </c>
      <c r="D1251" s="10">
        <v>1.62229930251313</v>
      </c>
      <c r="E1251" s="10">
        <v>4.7464167798925798</v>
      </c>
      <c r="F1251" s="4">
        <v>2.0705185548911101E-6</v>
      </c>
      <c r="G1251" s="4">
        <v>1.67853076659083E-5</v>
      </c>
      <c r="H1251" s="10" t="s">
        <v>2516</v>
      </c>
      <c r="I1251" s="10" t="s">
        <v>18</v>
      </c>
    </row>
    <row r="1252" spans="1:9" x14ac:dyDescent="0.2">
      <c r="A1252" s="10" t="s">
        <v>2517</v>
      </c>
      <c r="B1252" s="10">
        <v>8.1863000349546802</v>
      </c>
      <c r="C1252" s="10">
        <v>6.4313884884880004</v>
      </c>
      <c r="D1252" s="10">
        <v>1.8294373850624901</v>
      </c>
      <c r="E1252" s="10">
        <v>3.515500744109</v>
      </c>
      <c r="F1252" s="10">
        <v>4.38925529835306E-4</v>
      </c>
      <c r="G1252" s="10">
        <v>2.1356078413254601E-3</v>
      </c>
      <c r="H1252" s="10" t="s">
        <v>2518</v>
      </c>
      <c r="I1252" s="10" t="s">
        <v>18</v>
      </c>
    </row>
    <row r="1253" spans="1:9" x14ac:dyDescent="0.2">
      <c r="A1253" s="10" t="s">
        <v>2519</v>
      </c>
      <c r="B1253" s="10">
        <v>12.8428548399955</v>
      </c>
      <c r="C1253" s="10">
        <v>3.9626399697162098</v>
      </c>
      <c r="D1253" s="10">
        <v>1.21147858238224</v>
      </c>
      <c r="E1253" s="10">
        <v>3.2709121129687002</v>
      </c>
      <c r="F1253" s="10">
        <v>1.0720122032354101E-3</v>
      </c>
      <c r="G1253" s="10">
        <v>4.6831996956157203E-3</v>
      </c>
      <c r="H1253" s="10" t="s">
        <v>2520</v>
      </c>
      <c r="I1253" s="10" t="s">
        <v>18</v>
      </c>
    </row>
    <row r="1254" spans="1:9" x14ac:dyDescent="0.2">
      <c r="A1254" s="10" t="s">
        <v>2521</v>
      </c>
      <c r="B1254" s="10">
        <v>3443.6708160384601</v>
      </c>
      <c r="C1254" s="10">
        <v>-1.97001986157692</v>
      </c>
      <c r="D1254" s="10">
        <v>0.191970757537029</v>
      </c>
      <c r="E1254" s="10">
        <v>-10.262083073756299</v>
      </c>
      <c r="F1254" s="4">
        <v>1.04429321306092E-24</v>
      </c>
      <c r="G1254" s="4">
        <v>5.6907714352541997E-23</v>
      </c>
      <c r="H1254" s="10" t="s">
        <v>2522</v>
      </c>
      <c r="I1254" s="10" t="s">
        <v>18</v>
      </c>
    </row>
    <row r="1255" spans="1:9" x14ac:dyDescent="0.2">
      <c r="A1255" s="10" t="s">
        <v>2523</v>
      </c>
      <c r="B1255" s="10">
        <v>10.2396802271154</v>
      </c>
      <c r="C1255" s="10">
        <v>6.7518941120968901</v>
      </c>
      <c r="D1255" s="10">
        <v>1.75613794611751</v>
      </c>
      <c r="E1255" s="10">
        <v>3.8447401737568798</v>
      </c>
      <c r="F1255" s="10">
        <v>1.20680238206546E-4</v>
      </c>
      <c r="G1255" s="10">
        <v>6.7867377717518496E-4</v>
      </c>
      <c r="H1255" s="10" t="s">
        <v>2524</v>
      </c>
      <c r="I1255" s="10" t="s">
        <v>18</v>
      </c>
    </row>
    <row r="1256" spans="1:9" x14ac:dyDescent="0.2">
      <c r="A1256" s="10" t="s">
        <v>2525</v>
      </c>
      <c r="B1256" s="10">
        <v>14.2047919882753</v>
      </c>
      <c r="C1256" s="10">
        <v>2.7767942831082602</v>
      </c>
      <c r="D1256" s="10">
        <v>1.00333336729447</v>
      </c>
      <c r="E1256" s="10">
        <v>2.76756895925429</v>
      </c>
      <c r="F1256" s="10">
        <v>5.6476095997862897E-3</v>
      </c>
      <c r="G1256" s="10">
        <v>1.9697954271041599E-2</v>
      </c>
      <c r="H1256" s="10" t="s">
        <v>2526</v>
      </c>
      <c r="I1256" s="10" t="s">
        <v>18</v>
      </c>
    </row>
    <row r="1257" spans="1:9" x14ac:dyDescent="0.2">
      <c r="A1257" s="10" t="s">
        <v>2527</v>
      </c>
      <c r="B1257" s="10">
        <v>1042.6296735951601</v>
      </c>
      <c r="C1257" s="10">
        <v>-1.4750844024810901</v>
      </c>
      <c r="D1257" s="10">
        <v>0.20900559490228901</v>
      </c>
      <c r="E1257" s="10">
        <v>-7.0576311757142101</v>
      </c>
      <c r="F1257" s="4">
        <v>1.6936486300067001E-12</v>
      </c>
      <c r="G1257" s="4">
        <v>3.2705063233021001E-11</v>
      </c>
      <c r="H1257" s="10" t="s">
        <v>2528</v>
      </c>
      <c r="I1257" s="10" t="s">
        <v>18</v>
      </c>
    </row>
    <row r="1258" spans="1:9" x14ac:dyDescent="0.2">
      <c r="A1258" s="10" t="s">
        <v>2529</v>
      </c>
      <c r="B1258" s="10">
        <v>8.2587762445681605</v>
      </c>
      <c r="C1258" s="10">
        <v>6.4429411301088502</v>
      </c>
      <c r="D1258" s="10">
        <v>1.8226190975501899</v>
      </c>
      <c r="E1258" s="10">
        <v>3.5349904644195398</v>
      </c>
      <c r="F1258" s="10">
        <v>4.0778987390595399E-4</v>
      </c>
      <c r="G1258" s="10">
        <v>2.00307385871922E-3</v>
      </c>
      <c r="H1258" s="10" t="s">
        <v>2530</v>
      </c>
      <c r="I1258" s="10" t="s">
        <v>18</v>
      </c>
    </row>
    <row r="1259" spans="1:9" x14ac:dyDescent="0.2">
      <c r="A1259" s="10" t="s">
        <v>2531</v>
      </c>
      <c r="B1259" s="10">
        <v>16.704673432773301</v>
      </c>
      <c r="C1259" s="10">
        <v>4.3572706633853402</v>
      </c>
      <c r="D1259" s="10">
        <v>1.1416385589748199</v>
      </c>
      <c r="E1259" s="10">
        <v>3.8166814086045999</v>
      </c>
      <c r="F1259" s="10">
        <v>1.3525863736585299E-4</v>
      </c>
      <c r="G1259" s="10">
        <v>7.5212083516477501E-4</v>
      </c>
      <c r="H1259" s="10" t="s">
        <v>2532</v>
      </c>
      <c r="I1259" s="10" t="s">
        <v>18</v>
      </c>
    </row>
    <row r="1260" spans="1:9" x14ac:dyDescent="0.2">
      <c r="A1260" s="10" t="s">
        <v>2533</v>
      </c>
      <c r="B1260" s="10">
        <v>9938.44484225206</v>
      </c>
      <c r="C1260" s="10">
        <v>-1.1213330275695701</v>
      </c>
      <c r="D1260" s="10">
        <v>0.186064781317102</v>
      </c>
      <c r="E1260" s="10">
        <v>-6.02657321623124</v>
      </c>
      <c r="F1260" s="4">
        <v>1.67472463926275E-9</v>
      </c>
      <c r="G1260" s="4">
        <v>2.2044068717870601E-8</v>
      </c>
      <c r="H1260" s="10" t="s">
        <v>2534</v>
      </c>
      <c r="I1260" s="10" t="s">
        <v>18</v>
      </c>
    </row>
    <row r="1261" spans="1:9" x14ac:dyDescent="0.2">
      <c r="A1261" s="10" t="s">
        <v>2535</v>
      </c>
      <c r="B1261" s="10">
        <v>1815.57423899127</v>
      </c>
      <c r="C1261" s="10">
        <v>2.1622582549114702</v>
      </c>
      <c r="D1261" s="10">
        <v>0.18513356976415199</v>
      </c>
      <c r="E1261" s="10">
        <v>11.6794499110347</v>
      </c>
      <c r="F1261" s="4">
        <v>1.62342709778219E-31</v>
      </c>
      <c r="G1261" s="4">
        <v>1.4042386708975001E-29</v>
      </c>
      <c r="H1261" s="10" t="s">
        <v>2536</v>
      </c>
      <c r="I1261" s="10" t="s">
        <v>18</v>
      </c>
    </row>
    <row r="1262" spans="1:9" x14ac:dyDescent="0.2">
      <c r="A1262" s="10" t="s">
        <v>2537</v>
      </c>
      <c r="B1262" s="10">
        <v>1472.29249649191</v>
      </c>
      <c r="C1262" s="10">
        <v>-1.14553917838167</v>
      </c>
      <c r="D1262" s="10">
        <v>0.19363746607958299</v>
      </c>
      <c r="E1262" s="10">
        <v>-5.9158963478217998</v>
      </c>
      <c r="F1262" s="4">
        <v>3.3007303666271101E-9</v>
      </c>
      <c r="G1262" s="4">
        <v>4.1927739067360801E-8</v>
      </c>
      <c r="H1262" s="10" t="s">
        <v>2538</v>
      </c>
      <c r="I1262" s="10" t="s">
        <v>18</v>
      </c>
    </row>
    <row r="1263" spans="1:9" x14ac:dyDescent="0.2">
      <c r="A1263" s="10" t="s">
        <v>2539</v>
      </c>
      <c r="B1263" s="10">
        <v>462.65589254925402</v>
      </c>
      <c r="C1263" s="10">
        <v>1.2301931959872501</v>
      </c>
      <c r="D1263" s="10">
        <v>0.23806995893642199</v>
      </c>
      <c r="E1263" s="10">
        <v>5.1673600545114304</v>
      </c>
      <c r="F1263" s="4">
        <v>2.3742361523118301E-7</v>
      </c>
      <c r="G1263" s="4">
        <v>2.2642916500539201E-6</v>
      </c>
      <c r="H1263" s="10" t="s">
        <v>2540</v>
      </c>
      <c r="I1263" s="10" t="s">
        <v>18</v>
      </c>
    </row>
    <row r="1264" spans="1:9" x14ac:dyDescent="0.2">
      <c r="A1264" s="10" t="s">
        <v>2541</v>
      </c>
      <c r="B1264" s="10">
        <v>418.03171388063402</v>
      </c>
      <c r="C1264" s="10">
        <v>1.27298823050225</v>
      </c>
      <c r="D1264" s="10">
        <v>0.24171715186599199</v>
      </c>
      <c r="E1264" s="10">
        <v>5.2664373242656604</v>
      </c>
      <c r="F1264" s="4">
        <v>1.3909670497565699E-7</v>
      </c>
      <c r="G1264" s="4">
        <v>1.3786714879853501E-6</v>
      </c>
      <c r="H1264" s="10" t="s">
        <v>2542</v>
      </c>
      <c r="I1264" s="10" t="s">
        <v>18</v>
      </c>
    </row>
    <row r="1265" spans="1:9" x14ac:dyDescent="0.2">
      <c r="A1265" s="10" t="s">
        <v>2543</v>
      </c>
      <c r="B1265" s="10">
        <v>1703.8810441349401</v>
      </c>
      <c r="C1265" s="10">
        <v>-1.2414971043193801</v>
      </c>
      <c r="D1265" s="10">
        <v>0.194195832818989</v>
      </c>
      <c r="E1265" s="10">
        <v>-6.3930161955462204</v>
      </c>
      <c r="F1265" s="4">
        <v>1.6264502682856199E-10</v>
      </c>
      <c r="G1265" s="4">
        <v>2.4551739867023999E-9</v>
      </c>
      <c r="H1265" s="10" t="s">
        <v>2544</v>
      </c>
      <c r="I1265" s="10" t="s">
        <v>18</v>
      </c>
    </row>
    <row r="1266" spans="1:9" x14ac:dyDescent="0.2">
      <c r="A1266" s="10" t="s">
        <v>2545</v>
      </c>
      <c r="B1266" s="10">
        <v>3633.1399703000602</v>
      </c>
      <c r="C1266" s="10">
        <v>2.83113307522546</v>
      </c>
      <c r="D1266" s="10">
        <v>0.17841617276275401</v>
      </c>
      <c r="E1266" s="10">
        <v>15.868141499650401</v>
      </c>
      <c r="F1266" s="4">
        <v>1.0531338618456901E-56</v>
      </c>
      <c r="G1266" s="4">
        <v>2.7591094551643802E-54</v>
      </c>
      <c r="H1266" s="10" t="s">
        <v>2546</v>
      </c>
      <c r="I1266" s="10" t="s">
        <v>18</v>
      </c>
    </row>
    <row r="1267" spans="1:9" x14ac:dyDescent="0.2">
      <c r="A1267" s="10" t="s">
        <v>2547</v>
      </c>
      <c r="B1267" s="10">
        <v>2348.3512102551699</v>
      </c>
      <c r="C1267" s="10">
        <v>1.86503375705656</v>
      </c>
      <c r="D1267" s="10">
        <v>0.18008437766572599</v>
      </c>
      <c r="E1267" s="10">
        <v>10.3564439138549</v>
      </c>
      <c r="F1267" s="4">
        <v>3.9123813106870998E-25</v>
      </c>
      <c r="G1267" s="4">
        <v>2.2024928424027101E-23</v>
      </c>
      <c r="H1267" s="10" t="s">
        <v>2548</v>
      </c>
      <c r="I1267" s="10" t="s">
        <v>18</v>
      </c>
    </row>
    <row r="1268" spans="1:9" x14ac:dyDescent="0.2">
      <c r="A1268" s="10" t="s">
        <v>2549</v>
      </c>
      <c r="B1268" s="10">
        <v>1178.1959902794299</v>
      </c>
      <c r="C1268" s="10">
        <v>1.0660416721938299</v>
      </c>
      <c r="D1268" s="10">
        <v>0.22212299399334701</v>
      </c>
      <c r="E1268" s="10">
        <v>4.7993305556909798</v>
      </c>
      <c r="F1268" s="4">
        <v>1.5919685722921199E-6</v>
      </c>
      <c r="G1268" s="4">
        <v>1.31682962019561E-5</v>
      </c>
      <c r="H1268" s="10" t="s">
        <v>2550</v>
      </c>
      <c r="I1268" s="10" t="s">
        <v>18</v>
      </c>
    </row>
    <row r="1269" spans="1:9" x14ac:dyDescent="0.2">
      <c r="A1269" s="10" t="s">
        <v>2551</v>
      </c>
      <c r="B1269" s="10">
        <v>1520.1870120410299</v>
      </c>
      <c r="C1269" s="10">
        <v>1.3537966320286099</v>
      </c>
      <c r="D1269" s="10">
        <v>0.19921137777706799</v>
      </c>
      <c r="E1269" s="10">
        <v>6.79577967451036</v>
      </c>
      <c r="F1269" s="4">
        <v>1.0772830986341E-11</v>
      </c>
      <c r="G1269" s="4">
        <v>1.90108371687067E-10</v>
      </c>
      <c r="H1269" s="10" t="s">
        <v>2552</v>
      </c>
      <c r="I1269" s="10" t="s">
        <v>18</v>
      </c>
    </row>
    <row r="1270" spans="1:9" x14ac:dyDescent="0.2">
      <c r="A1270" s="10" t="s">
        <v>2553</v>
      </c>
      <c r="B1270" s="10">
        <v>10.4445868528848</v>
      </c>
      <c r="C1270" s="10">
        <v>2.8182191479334699</v>
      </c>
      <c r="D1270" s="10">
        <v>1.1723764493395401</v>
      </c>
      <c r="E1270" s="10">
        <v>2.4038517231569401</v>
      </c>
      <c r="F1270" s="10">
        <v>1.6223352135919401E-2</v>
      </c>
      <c r="G1270" s="10">
        <v>4.7520713357062601E-2</v>
      </c>
      <c r="H1270" s="10" t="s">
        <v>2554</v>
      </c>
      <c r="I1270" s="10" t="s">
        <v>18</v>
      </c>
    </row>
    <row r="1271" spans="1:9" x14ac:dyDescent="0.2">
      <c r="A1271" s="10" t="s">
        <v>2555</v>
      </c>
      <c r="B1271" s="10">
        <v>2278.5771720930902</v>
      </c>
      <c r="C1271" s="10">
        <v>3.4056757448169601</v>
      </c>
      <c r="D1271" s="10">
        <v>0.205184756374581</v>
      </c>
      <c r="E1271" s="10">
        <v>16.5980933720029</v>
      </c>
      <c r="F1271" s="4">
        <v>7.1939999959750099E-62</v>
      </c>
      <c r="G1271" s="4">
        <v>2.3060578575333101E-59</v>
      </c>
      <c r="H1271" s="10" t="s">
        <v>2556</v>
      </c>
      <c r="I1271" s="10" t="s">
        <v>18</v>
      </c>
    </row>
    <row r="1272" spans="1:9" x14ac:dyDescent="0.2">
      <c r="A1272" s="10" t="s">
        <v>2557</v>
      </c>
      <c r="B1272" s="10">
        <v>34.049446546921999</v>
      </c>
      <c r="C1272" s="10">
        <v>3.1882524695140702</v>
      </c>
      <c r="D1272" s="10">
        <v>0.68738806945606501</v>
      </c>
      <c r="E1272" s="10">
        <v>4.63821327599846</v>
      </c>
      <c r="F1272" s="4">
        <v>3.51434039912633E-6</v>
      </c>
      <c r="G1272" s="4">
        <v>2.73352077804725E-5</v>
      </c>
      <c r="H1272" s="10" t="s">
        <v>2558</v>
      </c>
      <c r="I1272" s="10" t="s">
        <v>18</v>
      </c>
    </row>
    <row r="1273" spans="1:9" x14ac:dyDescent="0.2">
      <c r="A1273" s="10" t="s">
        <v>2559</v>
      </c>
      <c r="B1273" s="10">
        <v>4061.81916819449</v>
      </c>
      <c r="C1273" s="10">
        <v>-1.4836553249843301</v>
      </c>
      <c r="D1273" s="10">
        <v>0.19020939806256101</v>
      </c>
      <c r="E1273" s="10">
        <v>-7.8001157676569903</v>
      </c>
      <c r="F1273" s="4">
        <v>6.1850408811068104E-15</v>
      </c>
      <c r="G1273" s="4">
        <v>1.5155018784848699E-13</v>
      </c>
      <c r="H1273" s="10" t="s">
        <v>2560</v>
      </c>
      <c r="I1273" s="10" t="s">
        <v>18</v>
      </c>
    </row>
    <row r="1274" spans="1:9" x14ac:dyDescent="0.2">
      <c r="A1274" s="10" t="s">
        <v>2561</v>
      </c>
      <c r="B1274" s="10">
        <v>629.51187511125397</v>
      </c>
      <c r="C1274" s="10">
        <v>1.53000248405904</v>
      </c>
      <c r="D1274" s="10">
        <v>0.222928279199402</v>
      </c>
      <c r="E1274" s="10">
        <v>6.8632050162218396</v>
      </c>
      <c r="F1274" s="4">
        <v>6.7332483392140302E-12</v>
      </c>
      <c r="G1274" s="4">
        <v>1.20539301904445E-10</v>
      </c>
      <c r="H1274" s="10" t="s">
        <v>2562</v>
      </c>
      <c r="I1274" s="10" t="s">
        <v>18</v>
      </c>
    </row>
    <row r="1275" spans="1:9" x14ac:dyDescent="0.2">
      <c r="A1275" s="10" t="s">
        <v>2563</v>
      </c>
      <c r="B1275" s="10">
        <v>20.733027187877902</v>
      </c>
      <c r="C1275" s="10">
        <v>7.7681502675285499</v>
      </c>
      <c r="D1275" s="10">
        <v>1.6147318701484801</v>
      </c>
      <c r="E1275" s="10">
        <v>4.8107988769765502</v>
      </c>
      <c r="F1275" s="4">
        <v>1.5032822789636901E-6</v>
      </c>
      <c r="G1275" s="4">
        <v>1.2491592636451201E-5</v>
      </c>
      <c r="H1275" s="10" t="s">
        <v>2564</v>
      </c>
      <c r="I1275" s="10" t="s">
        <v>18</v>
      </c>
    </row>
    <row r="1276" spans="1:9" x14ac:dyDescent="0.2">
      <c r="A1276" s="10" t="s">
        <v>2565</v>
      </c>
      <c r="B1276" s="10">
        <v>5.5048488995878104</v>
      </c>
      <c r="C1276" s="10">
        <v>5.8558213573745297</v>
      </c>
      <c r="D1276" s="10">
        <v>1.98540828848636</v>
      </c>
      <c r="E1276" s="10">
        <v>2.9494292893472802</v>
      </c>
      <c r="F1276" s="10">
        <v>3.1836141583888402E-3</v>
      </c>
      <c r="G1276" s="10">
        <v>1.20544656717094E-2</v>
      </c>
      <c r="H1276" s="10" t="s">
        <v>2566</v>
      </c>
      <c r="I1276" s="10" t="s">
        <v>18</v>
      </c>
    </row>
    <row r="1277" spans="1:9" x14ac:dyDescent="0.2">
      <c r="A1277" s="10" t="s">
        <v>2567</v>
      </c>
      <c r="B1277" s="10">
        <v>8.9172416107978201</v>
      </c>
      <c r="C1277" s="10">
        <v>5.0726990358738204</v>
      </c>
      <c r="D1277" s="10">
        <v>1.7817893321702201</v>
      </c>
      <c r="E1277" s="10">
        <v>2.8469690239391401</v>
      </c>
      <c r="F1277" s="10">
        <v>4.4137656932049501E-3</v>
      </c>
      <c r="G1277" s="10">
        <v>1.5938620293552901E-2</v>
      </c>
      <c r="H1277" s="10" t="s">
        <v>2568</v>
      </c>
      <c r="I1277" s="10" t="s">
        <v>18</v>
      </c>
    </row>
    <row r="1278" spans="1:9" x14ac:dyDescent="0.2">
      <c r="A1278" s="10" t="s">
        <v>2569</v>
      </c>
      <c r="B1278" s="10">
        <v>747.66549751393097</v>
      </c>
      <c r="C1278" s="10">
        <v>-1.9095552986222699</v>
      </c>
      <c r="D1278" s="10">
        <v>0.208622201596951</v>
      </c>
      <c r="E1278" s="10">
        <v>-9.1531739383684805</v>
      </c>
      <c r="F1278" s="4">
        <v>5.5284866083893395E-20</v>
      </c>
      <c r="G1278" s="4">
        <v>2.1276083985704001E-18</v>
      </c>
      <c r="H1278" s="10" t="s">
        <v>2570</v>
      </c>
      <c r="I1278" s="10" t="s">
        <v>18</v>
      </c>
    </row>
    <row r="1279" spans="1:9" x14ac:dyDescent="0.2">
      <c r="A1279" s="10" t="s">
        <v>2571</v>
      </c>
      <c r="B1279" s="10">
        <v>134.76104441017799</v>
      </c>
      <c r="C1279" s="10">
        <v>7.4333788874152704</v>
      </c>
      <c r="D1279" s="10">
        <v>0.89349299170443197</v>
      </c>
      <c r="E1279" s="10">
        <v>8.3194596448208404</v>
      </c>
      <c r="F1279" s="4">
        <v>8.8365235463473705E-17</v>
      </c>
      <c r="G1279" s="4">
        <v>2.6057224790836201E-15</v>
      </c>
      <c r="H1279" s="10" t="s">
        <v>2572</v>
      </c>
      <c r="I1279" s="10" t="s">
        <v>18</v>
      </c>
    </row>
    <row r="1280" spans="1:9" x14ac:dyDescent="0.2">
      <c r="A1280" s="10" t="s">
        <v>2573</v>
      </c>
      <c r="B1280" s="10">
        <v>1912.046669526</v>
      </c>
      <c r="C1280" s="10">
        <v>-1.2038564306336501</v>
      </c>
      <c r="D1280" s="10">
        <v>0.182586280720936</v>
      </c>
      <c r="E1280" s="10">
        <v>-6.5933564443082302</v>
      </c>
      <c r="F1280" s="4">
        <v>4.2999252678120503E-11</v>
      </c>
      <c r="G1280" s="4">
        <v>7.03241679304171E-10</v>
      </c>
      <c r="H1280" s="10" t="s">
        <v>2574</v>
      </c>
      <c r="I1280" s="10" t="s">
        <v>18</v>
      </c>
    </row>
    <row r="1281" spans="1:9" x14ac:dyDescent="0.2">
      <c r="A1281" s="10" t="s">
        <v>2575</v>
      </c>
      <c r="B1281" s="10">
        <v>3380.89161150788</v>
      </c>
      <c r="C1281" s="10">
        <v>-1.65640823260534</v>
      </c>
      <c r="D1281" s="10">
        <v>0.18745252154824399</v>
      </c>
      <c r="E1281" s="10">
        <v>-8.8364147834577693</v>
      </c>
      <c r="F1281" s="4">
        <v>9.8839312459234396E-19</v>
      </c>
      <c r="G1281" s="4">
        <v>3.4132759779173102E-17</v>
      </c>
      <c r="H1281" s="10" t="s">
        <v>2576</v>
      </c>
      <c r="I1281" s="10" t="s">
        <v>18</v>
      </c>
    </row>
    <row r="1282" spans="1:9" x14ac:dyDescent="0.2">
      <c r="A1282" s="10" t="s">
        <v>2577</v>
      </c>
      <c r="B1282" s="10">
        <v>835.10191282987796</v>
      </c>
      <c r="C1282" s="10">
        <v>-1.02638979252263</v>
      </c>
      <c r="D1282" s="10">
        <v>0.215087567628367</v>
      </c>
      <c r="E1282" s="10">
        <v>-4.7719624329754504</v>
      </c>
      <c r="F1282" s="4">
        <v>1.8243953831875599E-6</v>
      </c>
      <c r="G1282" s="4">
        <v>1.4905337632897E-5</v>
      </c>
      <c r="H1282" s="10" t="s">
        <v>2578</v>
      </c>
      <c r="I1282" s="10" t="s">
        <v>18</v>
      </c>
    </row>
    <row r="1283" spans="1:9" x14ac:dyDescent="0.2">
      <c r="A1283" s="10" t="s">
        <v>2579</v>
      </c>
      <c r="B1283" s="10">
        <v>26.4354932773293</v>
      </c>
      <c r="C1283" s="10">
        <v>1.71671615937469</v>
      </c>
      <c r="D1283" s="10">
        <v>0.70148967246120697</v>
      </c>
      <c r="E1283" s="10">
        <v>2.4472436683943202</v>
      </c>
      <c r="F1283" s="10">
        <v>1.4395348061130801E-2</v>
      </c>
      <c r="G1283" s="10">
        <v>4.3078533621266499E-2</v>
      </c>
      <c r="H1283" s="10" t="s">
        <v>2580</v>
      </c>
      <c r="I1283" s="10" t="s">
        <v>18</v>
      </c>
    </row>
    <row r="1284" spans="1:9" x14ac:dyDescent="0.2">
      <c r="A1284" s="10" t="s">
        <v>2581</v>
      </c>
      <c r="B1284" s="10">
        <v>6.5649392090645202</v>
      </c>
      <c r="C1284" s="10">
        <v>4.6110617650707404</v>
      </c>
      <c r="D1284" s="10">
        <v>1.89090208214216</v>
      </c>
      <c r="E1284" s="10">
        <v>2.4385513182401102</v>
      </c>
      <c r="F1284" s="10">
        <v>1.4746264746099099E-2</v>
      </c>
      <c r="G1284" s="10">
        <v>4.3940450080595203E-2</v>
      </c>
      <c r="H1284" s="10" t="s">
        <v>2582</v>
      </c>
      <c r="I1284" s="10" t="s">
        <v>18</v>
      </c>
    </row>
    <row r="1285" spans="1:9" x14ac:dyDescent="0.2">
      <c r="A1285" s="10" t="s">
        <v>2583</v>
      </c>
      <c r="B1285" s="10">
        <v>1004.28689477939</v>
      </c>
      <c r="C1285" s="10">
        <v>1.1772701216697099</v>
      </c>
      <c r="D1285" s="10">
        <v>0.20484197883594599</v>
      </c>
      <c r="E1285" s="10">
        <v>5.7472112325792697</v>
      </c>
      <c r="F1285" s="4">
        <v>9.0727360019848098E-9</v>
      </c>
      <c r="G1285" s="4">
        <v>1.08328149801087E-7</v>
      </c>
      <c r="H1285" s="10" t="s">
        <v>2584</v>
      </c>
      <c r="I1285" s="10" t="s">
        <v>18</v>
      </c>
    </row>
    <row r="1286" spans="1:9" x14ac:dyDescent="0.2">
      <c r="A1286" s="10" t="s">
        <v>2585</v>
      </c>
      <c r="B1286" s="10">
        <v>15.339941761993201</v>
      </c>
      <c r="C1286" s="10">
        <v>4.8403122289197702</v>
      </c>
      <c r="D1286" s="10">
        <v>1.31117481739167</v>
      </c>
      <c r="E1286" s="10">
        <v>3.6915841920672601</v>
      </c>
      <c r="F1286" s="10">
        <v>2.22861599383966E-4</v>
      </c>
      <c r="G1286" s="10">
        <v>1.17135609537325E-3</v>
      </c>
      <c r="H1286" s="10" t="s">
        <v>2586</v>
      </c>
      <c r="I1286" s="10" t="s">
        <v>18</v>
      </c>
    </row>
    <row r="1287" spans="1:9" x14ac:dyDescent="0.2">
      <c r="A1287" s="10" t="s">
        <v>2587</v>
      </c>
      <c r="B1287" s="10">
        <v>252.72077653289799</v>
      </c>
      <c r="C1287" s="10">
        <v>-2.2735147979055101</v>
      </c>
      <c r="D1287" s="10">
        <v>0.289818374323005</v>
      </c>
      <c r="E1287" s="10">
        <v>-7.8446192489219504</v>
      </c>
      <c r="F1287" s="4">
        <v>4.34269061422959E-15</v>
      </c>
      <c r="G1287" s="4">
        <v>1.09357940079403E-13</v>
      </c>
      <c r="H1287" s="10" t="s">
        <v>2588</v>
      </c>
      <c r="I1287" s="10" t="s">
        <v>18</v>
      </c>
    </row>
    <row r="1288" spans="1:9" x14ac:dyDescent="0.2">
      <c r="A1288" s="10" t="s">
        <v>2589</v>
      </c>
      <c r="B1288" s="10">
        <v>68.311684247306701</v>
      </c>
      <c r="C1288" s="10">
        <v>1.1200471206691001</v>
      </c>
      <c r="D1288" s="10">
        <v>0.464576338840893</v>
      </c>
      <c r="E1288" s="10">
        <v>2.4109000545821901</v>
      </c>
      <c r="F1288" s="10">
        <v>1.59132085318744E-2</v>
      </c>
      <c r="G1288" s="10">
        <v>4.6768114860099401E-2</v>
      </c>
      <c r="H1288" s="10" t="s">
        <v>2590</v>
      </c>
      <c r="I1288" s="10" t="s">
        <v>18</v>
      </c>
    </row>
    <row r="1289" spans="1:9" x14ac:dyDescent="0.2">
      <c r="A1289" s="10" t="s">
        <v>2591</v>
      </c>
      <c r="B1289" s="10">
        <v>830.75993489686505</v>
      </c>
      <c r="C1289" s="10">
        <v>-1.6122563225144699</v>
      </c>
      <c r="D1289" s="10">
        <v>0.20238887069747299</v>
      </c>
      <c r="E1289" s="10">
        <v>-7.9661313241103899</v>
      </c>
      <c r="F1289" s="4">
        <v>1.6371895678134801E-15</v>
      </c>
      <c r="G1289" s="4">
        <v>4.2892792455974998E-14</v>
      </c>
      <c r="H1289" s="10" t="s">
        <v>2592</v>
      </c>
      <c r="I1289" s="10" t="s">
        <v>18</v>
      </c>
    </row>
    <row r="1290" spans="1:9" x14ac:dyDescent="0.2">
      <c r="A1290" s="10" t="s">
        <v>2593</v>
      </c>
      <c r="B1290" s="10">
        <v>13.075274628468</v>
      </c>
      <c r="C1290" s="10">
        <v>2.41279736513959</v>
      </c>
      <c r="D1290" s="10">
        <v>0.99030553309990799</v>
      </c>
      <c r="E1290" s="10">
        <v>2.4364171303647302</v>
      </c>
      <c r="F1290" s="10">
        <v>1.4833567881751599E-2</v>
      </c>
      <c r="G1290" s="10">
        <v>4.4147484879747199E-2</v>
      </c>
      <c r="H1290" s="10" t="s">
        <v>2594</v>
      </c>
      <c r="I1290" s="10" t="s">
        <v>18</v>
      </c>
    </row>
    <row r="1291" spans="1:9" x14ac:dyDescent="0.2">
      <c r="A1291" s="10" t="s">
        <v>2595</v>
      </c>
      <c r="B1291" s="10">
        <v>3180.5112433131799</v>
      </c>
      <c r="C1291" s="10">
        <v>1.05946992262305</v>
      </c>
      <c r="D1291" s="10">
        <v>0.18863749458359899</v>
      </c>
      <c r="E1291" s="10">
        <v>5.6164333870195904</v>
      </c>
      <c r="F1291" s="4">
        <v>1.9493935257834601E-8</v>
      </c>
      <c r="G1291" s="4">
        <v>2.2279834478616599E-7</v>
      </c>
      <c r="H1291" s="10" t="s">
        <v>2596</v>
      </c>
      <c r="I1291" s="10" t="s">
        <v>18</v>
      </c>
    </row>
    <row r="1292" spans="1:9" x14ac:dyDescent="0.2">
      <c r="A1292" s="10" t="s">
        <v>2597</v>
      </c>
      <c r="B1292" s="10">
        <v>1883.4856951013201</v>
      </c>
      <c r="C1292" s="10">
        <v>1.3910579022681799</v>
      </c>
      <c r="D1292" s="10">
        <v>0.18278992245098399</v>
      </c>
      <c r="E1292" s="10">
        <v>7.6101454807564899</v>
      </c>
      <c r="F1292" s="4">
        <v>2.7378756659264399E-14</v>
      </c>
      <c r="G1292" s="4">
        <v>6.37052931421842E-13</v>
      </c>
      <c r="H1292" s="10" t="s">
        <v>2598</v>
      </c>
      <c r="I1292" s="10" t="s">
        <v>18</v>
      </c>
    </row>
    <row r="1293" spans="1:9" x14ac:dyDescent="0.2">
      <c r="A1293" s="10" t="s">
        <v>2599</v>
      </c>
      <c r="B1293" s="10">
        <v>30.730378872147501</v>
      </c>
      <c r="C1293" s="10">
        <v>-2.4461143152936402</v>
      </c>
      <c r="D1293" s="10">
        <v>0.68847650743566802</v>
      </c>
      <c r="E1293" s="10">
        <v>-3.5529379563066699</v>
      </c>
      <c r="F1293" s="10">
        <v>3.8095430298177099E-4</v>
      </c>
      <c r="G1293" s="10">
        <v>1.8869045434183401E-3</v>
      </c>
      <c r="H1293" s="10" t="s">
        <v>2600</v>
      </c>
      <c r="I1293" s="10" t="s">
        <v>18</v>
      </c>
    </row>
    <row r="1294" spans="1:9" x14ac:dyDescent="0.2">
      <c r="A1294" s="10" t="s">
        <v>2601</v>
      </c>
      <c r="B1294" s="10">
        <v>144.01746172853501</v>
      </c>
      <c r="C1294" s="10">
        <v>-2.3079210595763202</v>
      </c>
      <c r="D1294" s="10">
        <v>0.34699502229039803</v>
      </c>
      <c r="E1294" s="10">
        <v>-6.6511647468096404</v>
      </c>
      <c r="F1294" s="4">
        <v>2.90782568413739E-11</v>
      </c>
      <c r="G1294" s="4">
        <v>4.8786654196854302E-10</v>
      </c>
      <c r="H1294" s="10" t="s">
        <v>2602</v>
      </c>
      <c r="I1294" s="10" t="s">
        <v>18</v>
      </c>
    </row>
    <row r="1295" spans="1:9" x14ac:dyDescent="0.2">
      <c r="A1295" s="10" t="s">
        <v>2603</v>
      </c>
      <c r="B1295" s="10">
        <v>336.77573537964901</v>
      </c>
      <c r="C1295" s="10">
        <v>-1.2069488019536001</v>
      </c>
      <c r="D1295" s="10">
        <v>0.25250792985694698</v>
      </c>
      <c r="E1295" s="10">
        <v>-4.7798451424371704</v>
      </c>
      <c r="F1295" s="4">
        <v>1.75430266858155E-6</v>
      </c>
      <c r="G1295" s="4">
        <v>1.43803911843435E-5</v>
      </c>
      <c r="H1295" s="10" t="s">
        <v>2604</v>
      </c>
      <c r="I1295" s="10" t="s">
        <v>18</v>
      </c>
    </row>
    <row r="1296" spans="1:9" x14ac:dyDescent="0.2">
      <c r="A1296" s="10" t="s">
        <v>2605</v>
      </c>
      <c r="B1296" s="10">
        <v>4474.57628919543</v>
      </c>
      <c r="C1296" s="10">
        <v>-1.12561043196527</v>
      </c>
      <c r="D1296" s="10">
        <v>0.186761036827154</v>
      </c>
      <c r="E1296" s="10">
        <v>-6.0270089044698301</v>
      </c>
      <c r="F1296" s="4">
        <v>1.6702180474121599E-9</v>
      </c>
      <c r="G1296" s="4">
        <v>2.19953751270368E-8</v>
      </c>
      <c r="H1296" s="10" t="s">
        <v>2606</v>
      </c>
      <c r="I1296" s="10" t="s">
        <v>18</v>
      </c>
    </row>
    <row r="1297" spans="1:9" x14ac:dyDescent="0.2">
      <c r="A1297" s="10" t="s">
        <v>2607</v>
      </c>
      <c r="B1297" s="10">
        <v>8.8751598242078096</v>
      </c>
      <c r="C1297" s="10">
        <v>4.0257008783214898</v>
      </c>
      <c r="D1297" s="10">
        <v>1.4785356186804</v>
      </c>
      <c r="E1297" s="10">
        <v>2.7227621894658598</v>
      </c>
      <c r="F1297" s="10">
        <v>6.4738640482823098E-3</v>
      </c>
      <c r="G1297" s="10">
        <v>2.2078310037708201E-2</v>
      </c>
      <c r="H1297" s="10" t="s">
        <v>2608</v>
      </c>
      <c r="I1297" s="10" t="s">
        <v>18</v>
      </c>
    </row>
    <row r="1298" spans="1:9" x14ac:dyDescent="0.2">
      <c r="A1298" s="10" t="s">
        <v>2609</v>
      </c>
      <c r="B1298" s="10">
        <v>1543.79994877641</v>
      </c>
      <c r="C1298" s="10">
        <v>-1.41955390115552</v>
      </c>
      <c r="D1298" s="10">
        <v>0.185966152912203</v>
      </c>
      <c r="E1298" s="10">
        <v>-7.6333992983428001</v>
      </c>
      <c r="F1298" s="4">
        <v>2.28643315420779E-14</v>
      </c>
      <c r="G1298" s="4">
        <v>5.3521000131185302E-13</v>
      </c>
      <c r="H1298" s="10" t="s">
        <v>2610</v>
      </c>
      <c r="I1298" s="10" t="s">
        <v>18</v>
      </c>
    </row>
    <row r="1299" spans="1:9" x14ac:dyDescent="0.2">
      <c r="A1299" s="10" t="s">
        <v>2611</v>
      </c>
      <c r="B1299" s="10">
        <v>9.8656118154814205</v>
      </c>
      <c r="C1299" s="10">
        <v>4.1860932979751801</v>
      </c>
      <c r="D1299" s="10">
        <v>1.4424490277623501</v>
      </c>
      <c r="E1299" s="10">
        <v>2.9020736382407999</v>
      </c>
      <c r="F1299" s="10">
        <v>3.7070138997602202E-3</v>
      </c>
      <c r="G1299" s="10">
        <v>1.3742177922009101E-2</v>
      </c>
      <c r="H1299" s="10" t="s">
        <v>2612</v>
      </c>
      <c r="I1299" s="10" t="s">
        <v>18</v>
      </c>
    </row>
    <row r="1300" spans="1:9" x14ac:dyDescent="0.2">
      <c r="A1300" s="10" t="s">
        <v>2613</v>
      </c>
      <c r="B1300" s="10">
        <v>28.5543629201374</v>
      </c>
      <c r="C1300" s="10">
        <v>4.1272038990658704</v>
      </c>
      <c r="D1300" s="10">
        <v>0.84121026024957501</v>
      </c>
      <c r="E1300" s="10">
        <v>4.9062690912036597</v>
      </c>
      <c r="F1300" s="4">
        <v>9.2825153018760404E-7</v>
      </c>
      <c r="G1300" s="4">
        <v>8.0190454797151704E-6</v>
      </c>
      <c r="H1300" s="10" t="s">
        <v>2614</v>
      </c>
      <c r="I1300" s="10" t="s">
        <v>18</v>
      </c>
    </row>
    <row r="1301" spans="1:9" x14ac:dyDescent="0.2">
      <c r="A1301" s="10" t="s">
        <v>2615</v>
      </c>
      <c r="B1301" s="10">
        <v>105.807932909304</v>
      </c>
      <c r="C1301" s="10">
        <v>-1.70545296391805</v>
      </c>
      <c r="D1301" s="10">
        <v>0.36794612183817499</v>
      </c>
      <c r="E1301" s="10">
        <v>-4.6350616644578002</v>
      </c>
      <c r="F1301" s="4">
        <v>3.5683109258337099E-6</v>
      </c>
      <c r="G1301" s="4">
        <v>2.7707542831630399E-5</v>
      </c>
      <c r="H1301" s="10" t="s">
        <v>2616</v>
      </c>
      <c r="I1301" s="10" t="s">
        <v>18</v>
      </c>
    </row>
    <row r="1302" spans="1:9" x14ac:dyDescent="0.2">
      <c r="A1302" s="10" t="s">
        <v>2617</v>
      </c>
      <c r="B1302" s="10">
        <v>5084.4329176929696</v>
      </c>
      <c r="C1302" s="10">
        <v>-1.2631068799345699</v>
      </c>
      <c r="D1302" s="10">
        <v>0.18219203990421201</v>
      </c>
      <c r="E1302" s="10">
        <v>-6.9328324146250004</v>
      </c>
      <c r="F1302" s="4">
        <v>4.1249677113638099E-12</v>
      </c>
      <c r="G1302" s="4">
        <v>7.5736519697796396E-11</v>
      </c>
      <c r="H1302" s="10" t="s">
        <v>2618</v>
      </c>
      <c r="I1302" s="10" t="s">
        <v>18</v>
      </c>
    </row>
    <row r="1303" spans="1:9" x14ac:dyDescent="0.2">
      <c r="A1303" s="10" t="s">
        <v>2619</v>
      </c>
      <c r="B1303" s="10">
        <v>212.05322426434299</v>
      </c>
      <c r="C1303" s="10">
        <v>-1.2126710007956101</v>
      </c>
      <c r="D1303" s="10">
        <v>0.280923012854156</v>
      </c>
      <c r="E1303" s="10">
        <v>-4.3167378438490003</v>
      </c>
      <c r="F1303" s="4">
        <v>1.58352039762046E-5</v>
      </c>
      <c r="G1303" s="10">
        <v>1.0767701590707501E-4</v>
      </c>
      <c r="H1303" s="10" t="s">
        <v>2620</v>
      </c>
      <c r="I1303" s="10" t="s">
        <v>18</v>
      </c>
    </row>
    <row r="1304" spans="1:9" x14ac:dyDescent="0.2">
      <c r="A1304" s="10" t="s">
        <v>2621</v>
      </c>
      <c r="B1304" s="10">
        <v>1085.29406679729</v>
      </c>
      <c r="C1304" s="10">
        <v>1.82017572591357</v>
      </c>
      <c r="D1304" s="10">
        <v>0.20368308911837599</v>
      </c>
      <c r="E1304" s="10">
        <v>8.9363124537831506</v>
      </c>
      <c r="F1304" s="4">
        <v>4.0237315751060602E-19</v>
      </c>
      <c r="G1304" s="4">
        <v>1.4256776882563701E-17</v>
      </c>
      <c r="H1304" s="10" t="s">
        <v>2622</v>
      </c>
      <c r="I1304" s="10" t="s">
        <v>18</v>
      </c>
    </row>
    <row r="1305" spans="1:9" x14ac:dyDescent="0.2">
      <c r="A1305" s="10" t="s">
        <v>2623</v>
      </c>
      <c r="B1305" s="10">
        <v>3419.4439997866498</v>
      </c>
      <c r="C1305" s="10">
        <v>-1.1645173964875899</v>
      </c>
      <c r="D1305" s="10">
        <v>0.18311847428087499</v>
      </c>
      <c r="E1305" s="10">
        <v>-6.3593659845669199</v>
      </c>
      <c r="F1305" s="4">
        <v>2.02588192431288E-10</v>
      </c>
      <c r="G1305" s="4">
        <v>3.0048560039059901E-9</v>
      </c>
      <c r="H1305" s="10" t="s">
        <v>2624</v>
      </c>
      <c r="I1305" s="10" t="s">
        <v>18</v>
      </c>
    </row>
    <row r="1306" spans="1:9" x14ac:dyDescent="0.2">
      <c r="A1306" s="10" t="s">
        <v>2625</v>
      </c>
      <c r="B1306" s="10">
        <v>1654.86390546386</v>
      </c>
      <c r="C1306" s="10">
        <v>-3.3026324280143902</v>
      </c>
      <c r="D1306" s="10">
        <v>0.21554153025957401</v>
      </c>
      <c r="E1306" s="10">
        <v>-15.322487615435699</v>
      </c>
      <c r="F1306" s="4">
        <v>5.4106475652441604E-53</v>
      </c>
      <c r="G1306" s="4">
        <v>1.1985684082130701E-50</v>
      </c>
      <c r="H1306" s="10" t="s">
        <v>2626</v>
      </c>
      <c r="I1306" s="10" t="s">
        <v>18</v>
      </c>
    </row>
    <row r="1307" spans="1:9" x14ac:dyDescent="0.2">
      <c r="A1307" s="10" t="s">
        <v>2627</v>
      </c>
      <c r="B1307" s="10">
        <v>5.1757001659542397</v>
      </c>
      <c r="C1307" s="10">
        <v>5.7691669903209899</v>
      </c>
      <c r="D1307" s="10">
        <v>2.0146158333858399</v>
      </c>
      <c r="E1307" s="10">
        <v>2.8636561346909999</v>
      </c>
      <c r="F1307" s="10">
        <v>4.1878236407200901E-3</v>
      </c>
      <c r="G1307" s="10">
        <v>1.5236430863760199E-2</v>
      </c>
      <c r="H1307" s="10" t="s">
        <v>2628</v>
      </c>
      <c r="I1307" s="10" t="s">
        <v>18</v>
      </c>
    </row>
    <row r="1308" spans="1:9" x14ac:dyDescent="0.2">
      <c r="A1308" s="10" t="s">
        <v>2629</v>
      </c>
      <c r="B1308" s="10">
        <v>2034.97117962674</v>
      </c>
      <c r="C1308" s="10">
        <v>1.20301031246533</v>
      </c>
      <c r="D1308" s="10">
        <v>0.201658452912993</v>
      </c>
      <c r="E1308" s="10">
        <v>5.9655833667650704</v>
      </c>
      <c r="F1308" s="4">
        <v>2.4376154977105699E-9</v>
      </c>
      <c r="G1308" s="4">
        <v>3.1373504707661697E-8</v>
      </c>
      <c r="H1308" s="10" t="s">
        <v>2630</v>
      </c>
      <c r="I1308" s="10" t="s">
        <v>18</v>
      </c>
    </row>
    <row r="1309" spans="1:9" x14ac:dyDescent="0.2">
      <c r="A1309" s="10" t="s">
        <v>2631</v>
      </c>
      <c r="B1309" s="10">
        <v>9903.3325185113408</v>
      </c>
      <c r="C1309" s="10">
        <v>1.8452899667887299</v>
      </c>
      <c r="D1309" s="10">
        <v>0.172611600183359</v>
      </c>
      <c r="E1309" s="10">
        <v>10.6904168945108</v>
      </c>
      <c r="F1309" s="4">
        <v>1.1286251659952E-26</v>
      </c>
      <c r="G1309" s="4">
        <v>7.03699082331152E-25</v>
      </c>
      <c r="H1309" s="10" t="s">
        <v>2632</v>
      </c>
      <c r="I1309" s="10" t="s">
        <v>18</v>
      </c>
    </row>
    <row r="1310" spans="1:9" x14ac:dyDescent="0.2">
      <c r="A1310" s="10" t="s">
        <v>2633</v>
      </c>
      <c r="B1310" s="10">
        <v>1549.1230201558501</v>
      </c>
      <c r="C1310" s="10">
        <v>1.10419265901694</v>
      </c>
      <c r="D1310" s="10">
        <v>0.207771843813879</v>
      </c>
      <c r="E1310" s="10">
        <v>5.3144479961686502</v>
      </c>
      <c r="F1310" s="4">
        <v>1.06981127838708E-7</v>
      </c>
      <c r="G1310" s="4">
        <v>1.0816010353325699E-6</v>
      </c>
      <c r="H1310" s="10" t="s">
        <v>2634</v>
      </c>
      <c r="I1310" s="10" t="s">
        <v>18</v>
      </c>
    </row>
    <row r="1311" spans="1:9" x14ac:dyDescent="0.2">
      <c r="A1311" s="10" t="s">
        <v>2635</v>
      </c>
      <c r="B1311" s="10">
        <v>3101.8345899646802</v>
      </c>
      <c r="C1311" s="10">
        <v>-1.7185501899389699</v>
      </c>
      <c r="D1311" s="10">
        <v>0.18802158168321001</v>
      </c>
      <c r="E1311" s="10">
        <v>-9.1401751573097894</v>
      </c>
      <c r="F1311" s="4">
        <v>6.2351259053594798E-20</v>
      </c>
      <c r="G1311" s="4">
        <v>2.3713238918494899E-18</v>
      </c>
      <c r="H1311" s="10" t="s">
        <v>2636</v>
      </c>
      <c r="I1311" s="10" t="s">
        <v>18</v>
      </c>
    </row>
    <row r="1312" spans="1:9" x14ac:dyDescent="0.2">
      <c r="A1312" s="10" t="s">
        <v>2637</v>
      </c>
      <c r="B1312" s="10">
        <v>266.77850999529102</v>
      </c>
      <c r="C1312" s="10">
        <v>1.24774870853897</v>
      </c>
      <c r="D1312" s="10">
        <v>0.30936721459108901</v>
      </c>
      <c r="E1312" s="10">
        <v>4.0332286347414197</v>
      </c>
      <c r="F1312" s="4">
        <v>5.5015704594986402E-5</v>
      </c>
      <c r="G1312" s="10">
        <v>3.3363296307580502E-4</v>
      </c>
      <c r="H1312" s="10" t="s">
        <v>2638</v>
      </c>
      <c r="I1312" s="10" t="s">
        <v>18</v>
      </c>
    </row>
    <row r="1313" spans="1:9" x14ac:dyDescent="0.2">
      <c r="A1313" s="10" t="s">
        <v>2639</v>
      </c>
      <c r="B1313" s="10">
        <v>11.818959266415501</v>
      </c>
      <c r="C1313" s="10">
        <v>6.9598089590064802</v>
      </c>
      <c r="D1313" s="10">
        <v>1.7181883654136201</v>
      </c>
      <c r="E1313" s="10">
        <v>4.0506670276113903</v>
      </c>
      <c r="F1313" s="4">
        <v>5.1071838918868902E-5</v>
      </c>
      <c r="G1313" s="10">
        <v>3.1179798230392602E-4</v>
      </c>
      <c r="H1313" s="10" t="s">
        <v>2640</v>
      </c>
      <c r="I1313" s="10" t="s">
        <v>18</v>
      </c>
    </row>
    <row r="1314" spans="1:9" x14ac:dyDescent="0.2">
      <c r="A1314" s="10" t="s">
        <v>2641</v>
      </c>
      <c r="B1314" s="10">
        <v>949.08574159168904</v>
      </c>
      <c r="C1314" s="10">
        <v>8.3798677839928501</v>
      </c>
      <c r="D1314" s="10">
        <v>0.47990415764465399</v>
      </c>
      <c r="E1314" s="10">
        <v>17.461544457378402</v>
      </c>
      <c r="F1314" s="4">
        <v>2.8122174793618399E-68</v>
      </c>
      <c r="G1314" s="4">
        <v>1.14364909940555E-65</v>
      </c>
      <c r="H1314" s="10" t="s">
        <v>2642</v>
      </c>
      <c r="I1314" s="10" t="s">
        <v>18</v>
      </c>
    </row>
    <row r="1315" spans="1:9" x14ac:dyDescent="0.2">
      <c r="A1315" s="10" t="s">
        <v>2643</v>
      </c>
      <c r="B1315" s="10">
        <v>3.8893317554809199</v>
      </c>
      <c r="C1315" s="10">
        <v>5.35263968609567</v>
      </c>
      <c r="D1315" s="10">
        <v>2.1805139762792298</v>
      </c>
      <c r="E1315" s="10">
        <v>2.4547605492670499</v>
      </c>
      <c r="F1315" s="10">
        <v>1.40978459500909E-2</v>
      </c>
      <c r="G1315" s="10">
        <v>4.2402473628670397E-2</v>
      </c>
      <c r="H1315" s="10" t="s">
        <v>2644</v>
      </c>
      <c r="I1315" s="10" t="s">
        <v>18</v>
      </c>
    </row>
    <row r="1316" spans="1:9" x14ac:dyDescent="0.2">
      <c r="A1316" s="10" t="s">
        <v>2645</v>
      </c>
      <c r="B1316" s="10">
        <v>4505.2251048869302</v>
      </c>
      <c r="C1316" s="10">
        <v>1.5924058179215901</v>
      </c>
      <c r="D1316" s="10">
        <v>0.19516257088758701</v>
      </c>
      <c r="E1316" s="10">
        <v>8.1593812311419498</v>
      </c>
      <c r="F1316" s="4">
        <v>3.36745216033401E-16</v>
      </c>
      <c r="G1316" s="4">
        <v>9.3434795328534403E-15</v>
      </c>
      <c r="H1316" s="10" t="s">
        <v>2646</v>
      </c>
      <c r="I1316" s="10" t="s">
        <v>18</v>
      </c>
    </row>
    <row r="1317" spans="1:9" x14ac:dyDescent="0.2">
      <c r="A1317" s="10" t="s">
        <v>2647</v>
      </c>
      <c r="B1317" s="10">
        <v>6.4228246812479304</v>
      </c>
      <c r="C1317" s="10">
        <v>6.0791384959959602</v>
      </c>
      <c r="D1317" s="10">
        <v>1.91621201727102</v>
      </c>
      <c r="E1317" s="10">
        <v>3.1724769708174501</v>
      </c>
      <c r="F1317" s="10">
        <v>1.5114454604688099E-3</v>
      </c>
      <c r="G1317" s="10">
        <v>6.3231006389365303E-3</v>
      </c>
      <c r="H1317" s="10" t="s">
        <v>2648</v>
      </c>
      <c r="I1317" s="10" t="s">
        <v>18</v>
      </c>
    </row>
    <row r="1318" spans="1:9" x14ac:dyDescent="0.2">
      <c r="A1318" s="10" t="s">
        <v>2649</v>
      </c>
      <c r="B1318" s="10">
        <v>904.17361226927699</v>
      </c>
      <c r="C1318" s="10">
        <v>-1.5779397238013599</v>
      </c>
      <c r="D1318" s="10">
        <v>0.241781405242884</v>
      </c>
      <c r="E1318" s="10">
        <v>-6.5263071914741504</v>
      </c>
      <c r="F1318" s="4">
        <v>6.7410994841984297E-11</v>
      </c>
      <c r="G1318" s="4">
        <v>1.07663972828813E-9</v>
      </c>
      <c r="H1318" s="10" t="s">
        <v>2650</v>
      </c>
      <c r="I1318" s="10" t="s">
        <v>18</v>
      </c>
    </row>
    <row r="1319" spans="1:9" x14ac:dyDescent="0.2">
      <c r="A1319" s="10" t="s">
        <v>2651</v>
      </c>
      <c r="B1319" s="10">
        <v>186.77396731024299</v>
      </c>
      <c r="C1319" s="10">
        <v>-1.83575362333923</v>
      </c>
      <c r="D1319" s="10">
        <v>0.31186495049950502</v>
      </c>
      <c r="E1319" s="10">
        <v>-5.8863736383295198</v>
      </c>
      <c r="F1319" s="4">
        <v>3.9476131735182196E-9</v>
      </c>
      <c r="G1319" s="4">
        <v>4.9689152166714902E-8</v>
      </c>
      <c r="H1319" s="10" t="s">
        <v>2652</v>
      </c>
      <c r="I1319" s="10" t="s">
        <v>18</v>
      </c>
    </row>
    <row r="1320" spans="1:9" x14ac:dyDescent="0.2">
      <c r="A1320" s="10" t="s">
        <v>2653</v>
      </c>
      <c r="B1320" s="10">
        <v>831.770137947477</v>
      </c>
      <c r="C1320" s="10">
        <v>-1.56367165819841</v>
      </c>
      <c r="D1320" s="10">
        <v>0.22273438720800501</v>
      </c>
      <c r="E1320" s="10">
        <v>-7.0203423808921999</v>
      </c>
      <c r="F1320" s="4">
        <v>2.2132521432598502E-12</v>
      </c>
      <c r="G1320" s="4">
        <v>4.20163260687919E-11</v>
      </c>
      <c r="H1320" s="10" t="s">
        <v>2654</v>
      </c>
      <c r="I1320" s="10" t="s">
        <v>18</v>
      </c>
    </row>
    <row r="1321" spans="1:9" x14ac:dyDescent="0.2">
      <c r="A1321" s="10" t="s">
        <v>2655</v>
      </c>
      <c r="B1321" s="10">
        <v>4.9552657467409</v>
      </c>
      <c r="C1321" s="10">
        <v>5.7059742842858201</v>
      </c>
      <c r="D1321" s="10">
        <v>2.0354097879191899</v>
      </c>
      <c r="E1321" s="10">
        <v>2.8033540558528398</v>
      </c>
      <c r="F1321" s="10">
        <v>5.0574115774759702E-3</v>
      </c>
      <c r="G1321" s="10">
        <v>1.7900661633084899E-2</v>
      </c>
      <c r="H1321" s="10" t="s">
        <v>2656</v>
      </c>
      <c r="I1321" s="10" t="s">
        <v>18</v>
      </c>
    </row>
    <row r="1322" spans="1:9" x14ac:dyDescent="0.2">
      <c r="A1322" s="10" t="s">
        <v>2657</v>
      </c>
      <c r="B1322" s="10">
        <v>19384.4655940987</v>
      </c>
      <c r="C1322" s="10">
        <v>-1.01881181873822</v>
      </c>
      <c r="D1322" s="10">
        <v>0.19795474131006799</v>
      </c>
      <c r="E1322" s="10">
        <v>-5.1466906627025004</v>
      </c>
      <c r="F1322" s="4">
        <v>2.6512198181560302E-7</v>
      </c>
      <c r="G1322" s="4">
        <v>2.50217479685824E-6</v>
      </c>
      <c r="H1322" s="10" t="s">
        <v>2658</v>
      </c>
      <c r="I1322" s="10" t="s">
        <v>18</v>
      </c>
    </row>
    <row r="1323" spans="1:9" x14ac:dyDescent="0.2">
      <c r="A1323" s="10" t="s">
        <v>2659</v>
      </c>
      <c r="B1323" s="10">
        <v>21.372915601380701</v>
      </c>
      <c r="C1323" s="10">
        <v>4.2944754900398401</v>
      </c>
      <c r="D1323" s="10">
        <v>1.00074205119086</v>
      </c>
      <c r="E1323" s="10">
        <v>4.2912911323447398</v>
      </c>
      <c r="F1323" s="4">
        <v>1.7763723944336E-5</v>
      </c>
      <c r="G1323" s="10">
        <v>1.19243209241518E-4</v>
      </c>
      <c r="H1323" s="10" t="s">
        <v>2660</v>
      </c>
      <c r="I1323" s="10" t="s">
        <v>18</v>
      </c>
    </row>
    <row r="1324" spans="1:9" x14ac:dyDescent="0.2">
      <c r="A1324" s="10" t="s">
        <v>2661</v>
      </c>
      <c r="B1324" s="10">
        <v>30.389653319593201</v>
      </c>
      <c r="C1324" s="10">
        <v>2.5640928225334401</v>
      </c>
      <c r="D1324" s="10">
        <v>0.67595363096098104</v>
      </c>
      <c r="E1324" s="10">
        <v>3.7932969142989199</v>
      </c>
      <c r="F1324" s="10">
        <v>1.48660221212411E-4</v>
      </c>
      <c r="G1324" s="10">
        <v>8.1862268540310501E-4</v>
      </c>
      <c r="H1324" s="10" t="s">
        <v>2662</v>
      </c>
      <c r="I1324" s="10" t="s">
        <v>18</v>
      </c>
    </row>
    <row r="1325" spans="1:9" x14ac:dyDescent="0.2">
      <c r="A1325" s="10" t="s">
        <v>2663</v>
      </c>
      <c r="B1325" s="10">
        <v>4937.50442721954</v>
      </c>
      <c r="C1325" s="10">
        <v>-1.2464607513975701</v>
      </c>
      <c r="D1325" s="10">
        <v>0.205212549161776</v>
      </c>
      <c r="E1325" s="10">
        <v>-6.0739986735164901</v>
      </c>
      <c r="F1325" s="4">
        <v>1.2476375859121401E-9</v>
      </c>
      <c r="G1325" s="4">
        <v>1.6779062834821301E-8</v>
      </c>
      <c r="H1325" s="10" t="s">
        <v>2664</v>
      </c>
      <c r="I1325" s="10" t="s">
        <v>18</v>
      </c>
    </row>
    <row r="1326" spans="1:9" x14ac:dyDescent="0.2">
      <c r="A1326" s="10" t="s">
        <v>2665</v>
      </c>
      <c r="B1326" s="10">
        <v>3.8923375458538101</v>
      </c>
      <c r="C1326" s="10">
        <v>5.3615434764946199</v>
      </c>
      <c r="D1326" s="10">
        <v>2.1957923110067701</v>
      </c>
      <c r="E1326" s="10">
        <v>2.44173524500428</v>
      </c>
      <c r="F1326" s="10">
        <v>1.4616861732854E-2</v>
      </c>
      <c r="G1326" s="10">
        <v>4.3592998208742503E-2</v>
      </c>
      <c r="H1326" s="10" t="s">
        <v>2666</v>
      </c>
      <c r="I1326" s="10" t="s">
        <v>18</v>
      </c>
    </row>
    <row r="1327" spans="1:9" x14ac:dyDescent="0.2">
      <c r="A1327" s="10" t="s">
        <v>2667</v>
      </c>
      <c r="B1327" s="10">
        <v>1826.7930773963201</v>
      </c>
      <c r="C1327" s="10">
        <v>3.9147547234391502</v>
      </c>
      <c r="D1327" s="10">
        <v>0.21572456098654799</v>
      </c>
      <c r="E1327" s="10">
        <v>18.1470051696305</v>
      </c>
      <c r="F1327" s="4">
        <v>1.3559504901175299E-73</v>
      </c>
      <c r="G1327" s="4">
        <v>7.5399148988229192E-71</v>
      </c>
      <c r="H1327" s="10" t="s">
        <v>2668</v>
      </c>
      <c r="I1327" s="10" t="s">
        <v>18</v>
      </c>
    </row>
    <row r="1328" spans="1:9" x14ac:dyDescent="0.2">
      <c r="A1328" s="10" t="s">
        <v>2669</v>
      </c>
      <c r="B1328" s="10">
        <v>933.59824588814797</v>
      </c>
      <c r="C1328" s="10">
        <v>2.5013553398822599</v>
      </c>
      <c r="D1328" s="10">
        <v>0.26153083620869699</v>
      </c>
      <c r="E1328" s="10">
        <v>9.5642845644642307</v>
      </c>
      <c r="F1328" s="4">
        <v>1.12980166257772E-21</v>
      </c>
      <c r="G1328" s="4">
        <v>5.0136328827777203E-20</v>
      </c>
      <c r="H1328" s="10" t="s">
        <v>2670</v>
      </c>
      <c r="I1328" s="10" t="s">
        <v>18</v>
      </c>
    </row>
    <row r="1329" spans="1:9" x14ac:dyDescent="0.2">
      <c r="A1329" s="10" t="s">
        <v>2671</v>
      </c>
      <c r="B1329" s="10">
        <v>6.1299140524210998</v>
      </c>
      <c r="C1329" s="10">
        <v>6.0129926677642098</v>
      </c>
      <c r="D1329" s="10">
        <v>1.93646501795776</v>
      </c>
      <c r="E1329" s="10">
        <v>3.1051388029233098</v>
      </c>
      <c r="F1329" s="10">
        <v>1.9018975097317601E-3</v>
      </c>
      <c r="G1329" s="10">
        <v>7.7114585487591302E-3</v>
      </c>
      <c r="H1329" s="10" t="s">
        <v>2672</v>
      </c>
      <c r="I1329" s="10" t="s">
        <v>18</v>
      </c>
    </row>
    <row r="1330" spans="1:9" x14ac:dyDescent="0.2">
      <c r="A1330" s="10" t="s">
        <v>2673</v>
      </c>
      <c r="B1330" s="10">
        <v>45.1879511627589</v>
      </c>
      <c r="C1330" s="10">
        <v>-1.9527543206762501</v>
      </c>
      <c r="D1330" s="10">
        <v>0.53323128578453405</v>
      </c>
      <c r="E1330" s="10">
        <v>-3.6621150572648702</v>
      </c>
      <c r="F1330" s="10">
        <v>2.50141460017037E-4</v>
      </c>
      <c r="G1330" s="10">
        <v>1.2957422739703799E-3</v>
      </c>
      <c r="H1330" s="10" t="s">
        <v>2674</v>
      </c>
      <c r="I1330" s="10" t="s">
        <v>18</v>
      </c>
    </row>
    <row r="1331" spans="1:9" x14ac:dyDescent="0.2">
      <c r="A1331" s="10" t="s">
        <v>2675</v>
      </c>
      <c r="B1331" s="10">
        <v>251.08043624791401</v>
      </c>
      <c r="C1331" s="10">
        <v>1.54059727317073</v>
      </c>
      <c r="D1331" s="10">
        <v>0.27465389617416902</v>
      </c>
      <c r="E1331" s="10">
        <v>5.6092314532242202</v>
      </c>
      <c r="F1331" s="4">
        <v>2.03227080902271E-8</v>
      </c>
      <c r="G1331" s="4">
        <v>2.31978561933145E-7</v>
      </c>
      <c r="H1331" s="10" t="s">
        <v>2676</v>
      </c>
      <c r="I1331" s="10" t="s">
        <v>18</v>
      </c>
    </row>
    <row r="1332" spans="1:9" x14ac:dyDescent="0.2">
      <c r="A1332" s="10" t="s">
        <v>2677</v>
      </c>
      <c r="B1332" s="10">
        <v>320.46904330457397</v>
      </c>
      <c r="C1332" s="10">
        <v>3.1457613851185999</v>
      </c>
      <c r="D1332" s="10">
        <v>0.27492159450663001</v>
      </c>
      <c r="E1332" s="10">
        <v>11.4423946607902</v>
      </c>
      <c r="F1332" s="4">
        <v>2.56700852936344E-30</v>
      </c>
      <c r="G1332" s="4">
        <v>2.0511226216881399E-28</v>
      </c>
      <c r="H1332" s="10" t="s">
        <v>2678</v>
      </c>
      <c r="I1332" s="10" t="s">
        <v>18</v>
      </c>
    </row>
    <row r="1333" spans="1:9" x14ac:dyDescent="0.2">
      <c r="A1333" s="10" t="s">
        <v>2679</v>
      </c>
      <c r="B1333" s="10">
        <v>11.6740502160986</v>
      </c>
      <c r="C1333" s="10">
        <v>4.4335717707955098</v>
      </c>
      <c r="D1333" s="10">
        <v>1.36377210258168</v>
      </c>
      <c r="E1333" s="10">
        <v>3.2509623583020599</v>
      </c>
      <c r="F1333" s="10">
        <v>1.1501508438347601E-3</v>
      </c>
      <c r="G1333" s="10">
        <v>4.9877701801632401E-3</v>
      </c>
      <c r="H1333" s="10" t="s">
        <v>2680</v>
      </c>
      <c r="I1333" s="10" t="s">
        <v>18</v>
      </c>
    </row>
    <row r="1334" spans="1:9" x14ac:dyDescent="0.2">
      <c r="A1334" s="10" t="s">
        <v>2681</v>
      </c>
      <c r="B1334" s="10">
        <v>1350.78708178333</v>
      </c>
      <c r="C1334" s="10">
        <v>1.01277085057431</v>
      </c>
      <c r="D1334" s="10">
        <v>0.220197709699402</v>
      </c>
      <c r="E1334" s="10">
        <v>4.5993705018861197</v>
      </c>
      <c r="F1334" s="4">
        <v>4.2376952015845899E-6</v>
      </c>
      <c r="G1334" s="4">
        <v>3.2461197963895202E-5</v>
      </c>
      <c r="H1334" s="10" t="s">
        <v>2682</v>
      </c>
      <c r="I1334" s="10" t="s">
        <v>18</v>
      </c>
    </row>
    <row r="1335" spans="1:9" x14ac:dyDescent="0.2">
      <c r="A1335" s="10" t="s">
        <v>2683</v>
      </c>
      <c r="B1335" s="10">
        <v>27.499834295414601</v>
      </c>
      <c r="C1335" s="10">
        <v>2.2043877219355301</v>
      </c>
      <c r="D1335" s="10">
        <v>0.72955749165601003</v>
      </c>
      <c r="E1335" s="10">
        <v>3.02154079307968</v>
      </c>
      <c r="F1335" s="10">
        <v>2.51491751058425E-3</v>
      </c>
      <c r="G1335" s="10">
        <v>9.8143737340144806E-3</v>
      </c>
      <c r="H1335" s="10" t="s">
        <v>2684</v>
      </c>
      <c r="I1335" s="10" t="s">
        <v>18</v>
      </c>
    </row>
    <row r="1336" spans="1:9" x14ac:dyDescent="0.2">
      <c r="A1336" s="10" t="s">
        <v>2685</v>
      </c>
      <c r="B1336" s="10">
        <v>6.2778722620209599</v>
      </c>
      <c r="C1336" s="10">
        <v>6.0492269185259904</v>
      </c>
      <c r="D1336" s="10">
        <v>1.9343156000628401</v>
      </c>
      <c r="E1336" s="10">
        <v>3.1273215799580401</v>
      </c>
      <c r="F1336" s="10">
        <v>1.76406856415278E-3</v>
      </c>
      <c r="G1336" s="10">
        <v>7.2420636081770304E-3</v>
      </c>
      <c r="H1336" s="10" t="s">
        <v>2686</v>
      </c>
      <c r="I1336" s="10" t="s">
        <v>18</v>
      </c>
    </row>
    <row r="1337" spans="1:9" x14ac:dyDescent="0.2">
      <c r="A1337" s="10" t="s">
        <v>2687</v>
      </c>
      <c r="B1337" s="10">
        <v>58.805344928869097</v>
      </c>
      <c r="C1337" s="10">
        <v>-1.33970668140222</v>
      </c>
      <c r="D1337" s="10">
        <v>0.466058803156291</v>
      </c>
      <c r="E1337" s="10">
        <v>-2.8745443114245002</v>
      </c>
      <c r="F1337" s="10">
        <v>4.0461099016952402E-3</v>
      </c>
      <c r="G1337" s="10">
        <v>1.47899592824645E-2</v>
      </c>
      <c r="H1337" s="10" t="s">
        <v>2688</v>
      </c>
      <c r="I1337" s="10" t="s">
        <v>18</v>
      </c>
    </row>
    <row r="1338" spans="1:9" x14ac:dyDescent="0.2">
      <c r="A1338" s="10" t="s">
        <v>2689</v>
      </c>
      <c r="B1338" s="10">
        <v>24.734079048151902</v>
      </c>
      <c r="C1338" s="10">
        <v>8.0232044839272803</v>
      </c>
      <c r="D1338" s="10">
        <v>1.5878321512124201</v>
      </c>
      <c r="E1338" s="10">
        <v>5.0529298564719296</v>
      </c>
      <c r="F1338" s="4">
        <v>4.3508371587704399E-7</v>
      </c>
      <c r="G1338" s="4">
        <v>3.9727634070046301E-6</v>
      </c>
      <c r="H1338" s="10" t="s">
        <v>2690</v>
      </c>
      <c r="I1338" s="10" t="s">
        <v>18</v>
      </c>
    </row>
    <row r="1339" spans="1:9" x14ac:dyDescent="0.2">
      <c r="A1339" s="10" t="s">
        <v>2691</v>
      </c>
      <c r="B1339" s="10">
        <v>2034.3561176308599</v>
      </c>
      <c r="C1339" s="10">
        <v>-1.4281218550824699</v>
      </c>
      <c r="D1339" s="10">
        <v>0.18222259710452299</v>
      </c>
      <c r="E1339" s="10">
        <v>-7.8372379593695403</v>
      </c>
      <c r="F1339" s="4">
        <v>4.6056474795488503E-15</v>
      </c>
      <c r="G1339" s="4">
        <v>1.1523423037214599E-13</v>
      </c>
      <c r="H1339" s="10" t="s">
        <v>2692</v>
      </c>
      <c r="I1339" s="10" t="s">
        <v>18</v>
      </c>
    </row>
    <row r="1340" spans="1:9" x14ac:dyDescent="0.2">
      <c r="A1340" s="10" t="s">
        <v>2693</v>
      </c>
      <c r="B1340" s="10">
        <v>3515.0924945052898</v>
      </c>
      <c r="C1340" s="10">
        <v>1.2896710589690099</v>
      </c>
      <c r="D1340" s="10">
        <v>0.19442703173152201</v>
      </c>
      <c r="E1340" s="10">
        <v>6.6331880268062502</v>
      </c>
      <c r="F1340" s="4">
        <v>3.28512891855204E-11</v>
      </c>
      <c r="G1340" s="4">
        <v>5.4712657483977697E-10</v>
      </c>
      <c r="H1340" s="10" t="s">
        <v>2694</v>
      </c>
      <c r="I1340" s="10" t="s">
        <v>18</v>
      </c>
    </row>
    <row r="1341" spans="1:9" x14ac:dyDescent="0.2">
      <c r="A1341" s="10" t="s">
        <v>2695</v>
      </c>
      <c r="B1341" s="10">
        <v>294.93770552484</v>
      </c>
      <c r="C1341" s="10">
        <v>-1.21736212228322</v>
      </c>
      <c r="D1341" s="10">
        <v>0.27023346629104</v>
      </c>
      <c r="E1341" s="10">
        <v>-4.5048532995988397</v>
      </c>
      <c r="F1341" s="4">
        <v>6.6418810152373896E-6</v>
      </c>
      <c r="G1341" s="4">
        <v>4.8884746629436298E-5</v>
      </c>
      <c r="H1341" s="10" t="s">
        <v>2696</v>
      </c>
      <c r="I1341" s="10" t="s">
        <v>18</v>
      </c>
    </row>
    <row r="1342" spans="1:9" x14ac:dyDescent="0.2">
      <c r="A1342" s="10" t="s">
        <v>2697</v>
      </c>
      <c r="B1342" s="10">
        <v>385.412821651711</v>
      </c>
      <c r="C1342" s="10">
        <v>-3.2282292086264701</v>
      </c>
      <c r="D1342" s="10">
        <v>0.28589689931029599</v>
      </c>
      <c r="E1342" s="10">
        <v>-11.291585240743499</v>
      </c>
      <c r="F1342" s="4">
        <v>1.44408361687242E-29</v>
      </c>
      <c r="G1342" s="4">
        <v>1.08994311105049E-27</v>
      </c>
      <c r="H1342" s="10" t="s">
        <v>2698</v>
      </c>
      <c r="I1342" s="10" t="s">
        <v>18</v>
      </c>
    </row>
    <row r="1343" spans="1:9" x14ac:dyDescent="0.2">
      <c r="A1343" s="10" t="s">
        <v>2699</v>
      </c>
      <c r="B1343" s="10">
        <v>4.9915038515476402</v>
      </c>
      <c r="C1343" s="10">
        <v>5.7155107172183204</v>
      </c>
      <c r="D1343" s="10">
        <v>2.03125899621197</v>
      </c>
      <c r="E1343" s="10">
        <v>2.81377742960253</v>
      </c>
      <c r="F1343" s="10">
        <v>4.8963116077231396E-3</v>
      </c>
      <c r="G1343" s="10">
        <v>1.7423247012620099E-2</v>
      </c>
      <c r="H1343" s="10" t="s">
        <v>2700</v>
      </c>
      <c r="I1343" s="10" t="s">
        <v>18</v>
      </c>
    </row>
    <row r="1344" spans="1:9" x14ac:dyDescent="0.2">
      <c r="A1344" s="10" t="s">
        <v>2701</v>
      </c>
      <c r="B1344" s="10">
        <v>22.188275387186401</v>
      </c>
      <c r="C1344" s="10">
        <v>3.28141357023636</v>
      </c>
      <c r="D1344" s="10">
        <v>0.84181803054242899</v>
      </c>
      <c r="E1344" s="10">
        <v>3.8980081813191401</v>
      </c>
      <c r="F1344" s="4">
        <v>9.6987140564388496E-5</v>
      </c>
      <c r="G1344" s="10">
        <v>5.5715973412563604E-4</v>
      </c>
      <c r="H1344" s="10" t="s">
        <v>2702</v>
      </c>
      <c r="I1344" s="10" t="s">
        <v>18</v>
      </c>
    </row>
    <row r="1345" spans="1:9" x14ac:dyDescent="0.2">
      <c r="A1345" s="10" t="s">
        <v>2703</v>
      </c>
      <c r="B1345" s="10">
        <v>14.1624555649027</v>
      </c>
      <c r="C1345" s="10">
        <v>4.1111898167673502</v>
      </c>
      <c r="D1345" s="10">
        <v>1.19549885776459</v>
      </c>
      <c r="E1345" s="10">
        <v>3.4388906271769</v>
      </c>
      <c r="F1345" s="10">
        <v>5.8410316845421302E-4</v>
      </c>
      <c r="G1345" s="10">
        <v>2.75109058442039E-3</v>
      </c>
      <c r="H1345" s="10" t="s">
        <v>2704</v>
      </c>
      <c r="I1345" s="10" t="s">
        <v>18</v>
      </c>
    </row>
    <row r="1346" spans="1:9" x14ac:dyDescent="0.2">
      <c r="A1346" s="10" t="s">
        <v>2705</v>
      </c>
      <c r="B1346" s="10">
        <v>29.187941747201801</v>
      </c>
      <c r="C1346" s="10">
        <v>5.1957532087069804</v>
      </c>
      <c r="D1346" s="10">
        <v>1.0237364409371199</v>
      </c>
      <c r="E1346" s="10">
        <v>5.0752840291108896</v>
      </c>
      <c r="F1346" s="4">
        <v>3.8691760321899101E-7</v>
      </c>
      <c r="G1346" s="4">
        <v>3.56039984292734E-6</v>
      </c>
      <c r="H1346" s="10" t="s">
        <v>2706</v>
      </c>
      <c r="I1346" s="10" t="s">
        <v>18</v>
      </c>
    </row>
    <row r="1347" spans="1:9" x14ac:dyDescent="0.2">
      <c r="A1347" s="10" t="s">
        <v>2707</v>
      </c>
      <c r="B1347" s="10">
        <v>1377.59204255645</v>
      </c>
      <c r="C1347" s="10">
        <v>-1.0608004323907401</v>
      </c>
      <c r="D1347" s="10">
        <v>0.189843299168688</v>
      </c>
      <c r="E1347" s="10">
        <v>-5.58776863358319</v>
      </c>
      <c r="F1347" s="4">
        <v>2.30005796320124E-8</v>
      </c>
      <c r="G1347" s="4">
        <v>2.6068918187747201E-7</v>
      </c>
      <c r="H1347" s="10" t="s">
        <v>2708</v>
      </c>
      <c r="I1347" s="10" t="s">
        <v>18</v>
      </c>
    </row>
    <row r="1348" spans="1:9" x14ac:dyDescent="0.2">
      <c r="A1348" s="10" t="s">
        <v>2709</v>
      </c>
      <c r="B1348" s="10">
        <v>94.815886056785402</v>
      </c>
      <c r="C1348" s="10">
        <v>3.4935480534404699</v>
      </c>
      <c r="D1348" s="10">
        <v>0.446389592915371</v>
      </c>
      <c r="E1348" s="10">
        <v>7.8262309625636597</v>
      </c>
      <c r="F1348" s="4">
        <v>5.0271342598919199E-15</v>
      </c>
      <c r="G1348" s="4">
        <v>1.24635420545291E-13</v>
      </c>
      <c r="H1348" s="10" t="s">
        <v>2710</v>
      </c>
      <c r="I1348" s="10" t="s">
        <v>18</v>
      </c>
    </row>
    <row r="1349" spans="1:9" x14ac:dyDescent="0.2">
      <c r="A1349" s="10" t="s">
        <v>2711</v>
      </c>
      <c r="B1349" s="10">
        <v>66.545329656536097</v>
      </c>
      <c r="C1349" s="10">
        <v>3.5731371040351698</v>
      </c>
      <c r="D1349" s="10">
        <v>0.528050550910798</v>
      </c>
      <c r="E1349" s="10">
        <v>6.7666572790656296</v>
      </c>
      <c r="F1349" s="4">
        <v>1.31791761289614E-11</v>
      </c>
      <c r="G1349" s="4">
        <v>2.28576073829287E-10</v>
      </c>
      <c r="H1349" s="10" t="s">
        <v>2712</v>
      </c>
      <c r="I1349" s="10" t="s">
        <v>18</v>
      </c>
    </row>
    <row r="1350" spans="1:9" x14ac:dyDescent="0.2">
      <c r="A1350" s="10" t="s">
        <v>2713</v>
      </c>
      <c r="B1350" s="10">
        <v>8.1108180349683003</v>
      </c>
      <c r="C1350" s="10">
        <v>6.4154059471143903</v>
      </c>
      <c r="D1350" s="10">
        <v>1.82885429345814</v>
      </c>
      <c r="E1350" s="10">
        <v>3.50788248690038</v>
      </c>
      <c r="F1350" s="10">
        <v>4.5168852471916E-4</v>
      </c>
      <c r="G1350" s="10">
        <v>2.1898856286517699E-3</v>
      </c>
      <c r="H1350" s="10" t="s">
        <v>2714</v>
      </c>
      <c r="I1350" s="10" t="s">
        <v>18</v>
      </c>
    </row>
    <row r="1351" spans="1:9" x14ac:dyDescent="0.2">
      <c r="A1351" s="10" t="s">
        <v>2715</v>
      </c>
      <c r="B1351" s="10">
        <v>115.151209878269</v>
      </c>
      <c r="C1351" s="10">
        <v>1.25543057209322</v>
      </c>
      <c r="D1351" s="10">
        <v>0.36039699714335899</v>
      </c>
      <c r="E1351" s="10">
        <v>3.4834656837993401</v>
      </c>
      <c r="F1351" s="10">
        <v>4.9496657139909796E-4</v>
      </c>
      <c r="G1351" s="10">
        <v>2.3767953136892401E-3</v>
      </c>
      <c r="H1351" s="10" t="s">
        <v>2716</v>
      </c>
      <c r="I1351" s="10" t="s">
        <v>18</v>
      </c>
    </row>
    <row r="1352" spans="1:9" x14ac:dyDescent="0.2">
      <c r="A1352" s="10" t="s">
        <v>2717</v>
      </c>
      <c r="B1352" s="10">
        <v>112.18050282546599</v>
      </c>
      <c r="C1352" s="10">
        <v>6.7509046187837196</v>
      </c>
      <c r="D1352" s="10">
        <v>0.799907795376543</v>
      </c>
      <c r="E1352" s="10">
        <v>8.4396034865566598</v>
      </c>
      <c r="F1352" s="4">
        <v>3.1841597789418601E-17</v>
      </c>
      <c r="G1352" s="4">
        <v>9.6829019527710807E-16</v>
      </c>
      <c r="H1352" s="10" t="s">
        <v>2718</v>
      </c>
      <c r="I1352" s="10" t="s">
        <v>18</v>
      </c>
    </row>
    <row r="1353" spans="1:9" x14ac:dyDescent="0.2">
      <c r="A1353" s="10" t="s">
        <v>2719</v>
      </c>
      <c r="B1353" s="10">
        <v>585.68534694370203</v>
      </c>
      <c r="C1353" s="10">
        <v>-2.5383897801121602</v>
      </c>
      <c r="D1353" s="10">
        <v>0.228836124619611</v>
      </c>
      <c r="E1353" s="10">
        <v>-11.0926095446323</v>
      </c>
      <c r="F1353" s="4">
        <v>1.3625401758246801E-28</v>
      </c>
      <c r="G1353" s="4">
        <v>9.59305740844832E-27</v>
      </c>
      <c r="H1353" s="10" t="s">
        <v>2720</v>
      </c>
      <c r="I1353" s="10" t="s">
        <v>18</v>
      </c>
    </row>
    <row r="1354" spans="1:9" x14ac:dyDescent="0.2">
      <c r="A1354" s="10" t="s">
        <v>2721</v>
      </c>
      <c r="B1354" s="10">
        <v>335.41408396588099</v>
      </c>
      <c r="C1354" s="10">
        <v>-1.81582871434062</v>
      </c>
      <c r="D1354" s="10">
        <v>0.25026111629657199</v>
      </c>
      <c r="E1354" s="10">
        <v>-7.2557364931944601</v>
      </c>
      <c r="F1354" s="4">
        <v>3.9948212622913298E-13</v>
      </c>
      <c r="G1354" s="4">
        <v>8.3407582324637406E-12</v>
      </c>
      <c r="H1354" s="10" t="s">
        <v>2722</v>
      </c>
      <c r="I1354" s="10" t="s">
        <v>18</v>
      </c>
    </row>
    <row r="1355" spans="1:9" x14ac:dyDescent="0.2">
      <c r="A1355" s="10" t="s">
        <v>2723</v>
      </c>
      <c r="B1355" s="10">
        <v>4485.41505815856</v>
      </c>
      <c r="C1355" s="10">
        <v>-1.13434195093377</v>
      </c>
      <c r="D1355" s="10">
        <v>0.210055444056753</v>
      </c>
      <c r="E1355" s="10">
        <v>-5.4002025799783198</v>
      </c>
      <c r="F1355" s="4">
        <v>6.6565685252678595E-8</v>
      </c>
      <c r="G1355" s="4">
        <v>6.9675628808227504E-7</v>
      </c>
      <c r="H1355" s="10" t="s">
        <v>2724</v>
      </c>
      <c r="I1355" s="10" t="s">
        <v>18</v>
      </c>
    </row>
    <row r="1356" spans="1:9" x14ac:dyDescent="0.2">
      <c r="A1356" s="10" t="s">
        <v>2725</v>
      </c>
      <c r="B1356" s="10">
        <v>146.89505342847701</v>
      </c>
      <c r="C1356" s="10">
        <v>1.71261262617295</v>
      </c>
      <c r="D1356" s="10">
        <v>0.34724315596222299</v>
      </c>
      <c r="E1356" s="10">
        <v>4.9320270155569803</v>
      </c>
      <c r="F1356" s="4">
        <v>8.1380657832338403E-7</v>
      </c>
      <c r="G1356" s="4">
        <v>7.0865413357549498E-6</v>
      </c>
      <c r="H1356" s="10" t="s">
        <v>2726</v>
      </c>
      <c r="I1356" s="10" t="s">
        <v>18</v>
      </c>
    </row>
    <row r="1357" spans="1:9" x14ac:dyDescent="0.2">
      <c r="A1357" s="10" t="s">
        <v>2727</v>
      </c>
      <c r="B1357" s="10">
        <v>496.114422119229</v>
      </c>
      <c r="C1357" s="10">
        <v>-1.26419837519512</v>
      </c>
      <c r="D1357" s="10">
        <v>0.26494895929999701</v>
      </c>
      <c r="E1357" s="10">
        <v>-4.7714789238469404</v>
      </c>
      <c r="F1357" s="4">
        <v>1.82878119707942E-6</v>
      </c>
      <c r="G1357" s="4">
        <v>1.4936691030222701E-5</v>
      </c>
      <c r="H1357" s="10" t="s">
        <v>2728</v>
      </c>
      <c r="I1357" s="10" t="s">
        <v>18</v>
      </c>
    </row>
    <row r="1358" spans="1:9" x14ac:dyDescent="0.2">
      <c r="A1358" s="10" t="s">
        <v>2729</v>
      </c>
      <c r="B1358" s="10">
        <v>4380.4173415305104</v>
      </c>
      <c r="C1358" s="10">
        <v>-1.26814786312306</v>
      </c>
      <c r="D1358" s="10">
        <v>0.21919637452274601</v>
      </c>
      <c r="E1358" s="10">
        <v>-5.7854417797018201</v>
      </c>
      <c r="F1358" s="4">
        <v>7.2322006474149598E-9</v>
      </c>
      <c r="G1358" s="4">
        <v>8.7736318361583001E-8</v>
      </c>
      <c r="H1358" s="10" t="s">
        <v>2730</v>
      </c>
      <c r="I1358" s="10" t="s">
        <v>18</v>
      </c>
    </row>
    <row r="1359" spans="1:9" x14ac:dyDescent="0.2">
      <c r="A1359" s="10" t="s">
        <v>2731</v>
      </c>
      <c r="B1359" s="10">
        <v>2613.9562291473499</v>
      </c>
      <c r="C1359" s="10">
        <v>-1.9068683702782101</v>
      </c>
      <c r="D1359" s="10">
        <v>0.21088302487758601</v>
      </c>
      <c r="E1359" s="10">
        <v>-9.0423037671482192</v>
      </c>
      <c r="F1359" s="4">
        <v>1.5340410499743799E-19</v>
      </c>
      <c r="G1359" s="4">
        <v>5.6255742245830197E-18</v>
      </c>
      <c r="H1359" s="10" t="s">
        <v>2732</v>
      </c>
      <c r="I1359" s="10" t="s">
        <v>18</v>
      </c>
    </row>
    <row r="1360" spans="1:9" x14ac:dyDescent="0.2">
      <c r="A1360" s="10" t="s">
        <v>2733</v>
      </c>
      <c r="B1360" s="10">
        <v>624.558260335863</v>
      </c>
      <c r="C1360" s="10">
        <v>1.0195639605729701</v>
      </c>
      <c r="D1360" s="10">
        <v>0.250695115668784</v>
      </c>
      <c r="E1360" s="10">
        <v>4.06694784560547</v>
      </c>
      <c r="F1360" s="4">
        <v>4.7632898112502303E-5</v>
      </c>
      <c r="G1360" s="10">
        <v>2.9323397534372999E-4</v>
      </c>
      <c r="H1360" s="10" t="s">
        <v>2734</v>
      </c>
      <c r="I1360" s="10" t="s">
        <v>18</v>
      </c>
    </row>
    <row r="1361" spans="1:9" x14ac:dyDescent="0.2">
      <c r="A1361" s="10" t="s">
        <v>2735</v>
      </c>
      <c r="B1361" s="10">
        <v>9736.3636133970303</v>
      </c>
      <c r="C1361" s="10">
        <v>3.2341285399755799</v>
      </c>
      <c r="D1361" s="10">
        <v>0.20456594084614499</v>
      </c>
      <c r="E1361" s="10">
        <v>15.809711658735999</v>
      </c>
      <c r="F1361" s="4">
        <v>2.66684593445941E-56</v>
      </c>
      <c r="G1361" s="4">
        <v>6.8550519977561801E-54</v>
      </c>
      <c r="H1361" s="10" t="s">
        <v>2736</v>
      </c>
      <c r="I1361" s="10" t="s">
        <v>18</v>
      </c>
    </row>
    <row r="1362" spans="1:9" x14ac:dyDescent="0.2">
      <c r="A1362" s="10" t="s">
        <v>2737</v>
      </c>
      <c r="B1362" s="10">
        <v>36.3053831616661</v>
      </c>
      <c r="C1362" s="10">
        <v>8.5799617940484598</v>
      </c>
      <c r="D1362" s="10">
        <v>1.5472639143626701</v>
      </c>
      <c r="E1362" s="10">
        <v>5.5452477850765396</v>
      </c>
      <c r="F1362" s="4">
        <v>2.93538178549481E-8</v>
      </c>
      <c r="G1362" s="4">
        <v>3.2685062325041701E-7</v>
      </c>
      <c r="H1362" s="10" t="s">
        <v>2738</v>
      </c>
      <c r="I1362" s="10" t="s">
        <v>18</v>
      </c>
    </row>
    <row r="1363" spans="1:9" x14ac:dyDescent="0.2">
      <c r="A1363" s="10" t="s">
        <v>2739</v>
      </c>
      <c r="B1363" s="10">
        <v>6.2023902620345801</v>
      </c>
      <c r="C1363" s="10">
        <v>6.0283798576101697</v>
      </c>
      <c r="D1363" s="10">
        <v>1.9313346894476899</v>
      </c>
      <c r="E1363" s="10">
        <v>3.1213543103366201</v>
      </c>
      <c r="F1363" s="10">
        <v>1.8002129849072001E-3</v>
      </c>
      <c r="G1363" s="10">
        <v>7.3648740103651996E-3</v>
      </c>
      <c r="H1363" s="10" t="s">
        <v>2740</v>
      </c>
      <c r="I1363" s="10" t="s">
        <v>18</v>
      </c>
    </row>
    <row r="1364" spans="1:9" x14ac:dyDescent="0.2">
      <c r="A1364" s="10" t="s">
        <v>2741</v>
      </c>
      <c r="B1364" s="10">
        <v>2927.6164972726201</v>
      </c>
      <c r="C1364" s="10">
        <v>1.1552993894176899</v>
      </c>
      <c r="D1364" s="10">
        <v>0.177008986208845</v>
      </c>
      <c r="E1364" s="10">
        <v>6.5267838326275998</v>
      </c>
      <c r="F1364" s="4">
        <v>6.7196916800894598E-11</v>
      </c>
      <c r="G1364" s="4">
        <v>1.0738500833278501E-9</v>
      </c>
      <c r="H1364" s="10" t="s">
        <v>2742</v>
      </c>
      <c r="I1364" s="10" t="s">
        <v>18</v>
      </c>
    </row>
    <row r="1365" spans="1:9" x14ac:dyDescent="0.2">
      <c r="A1365" s="10" t="s">
        <v>2743</v>
      </c>
      <c r="B1365" s="10">
        <v>2248.8439865700402</v>
      </c>
      <c r="C1365" s="10">
        <v>3.4411572124114498</v>
      </c>
      <c r="D1365" s="10">
        <v>0.19084380271660301</v>
      </c>
      <c r="E1365" s="10">
        <v>18.031275647559099</v>
      </c>
      <c r="F1365" s="4">
        <v>1.10707831288711E-72</v>
      </c>
      <c r="G1365" s="4">
        <v>5.9146201551441496E-70</v>
      </c>
      <c r="H1365" s="10" t="s">
        <v>2744</v>
      </c>
      <c r="I1365" s="10" t="s">
        <v>18</v>
      </c>
    </row>
    <row r="1366" spans="1:9" x14ac:dyDescent="0.2">
      <c r="A1366" s="10" t="s">
        <v>2745</v>
      </c>
      <c r="B1366" s="10">
        <v>3.9648137554673002</v>
      </c>
      <c r="C1366" s="10">
        <v>5.38581965917892</v>
      </c>
      <c r="D1366" s="10">
        <v>2.16320773319238</v>
      </c>
      <c r="E1366" s="10">
        <v>2.4897376135165499</v>
      </c>
      <c r="F1366" s="10">
        <v>1.2783743375967001E-2</v>
      </c>
      <c r="G1366" s="10">
        <v>3.9066695352733702E-2</v>
      </c>
      <c r="H1366" s="10" t="s">
        <v>2746</v>
      </c>
      <c r="I1366" s="10" t="s">
        <v>18</v>
      </c>
    </row>
    <row r="1367" spans="1:9" x14ac:dyDescent="0.2">
      <c r="A1367" s="10" t="s">
        <v>2747</v>
      </c>
      <c r="B1367" s="10">
        <v>136.71103693794001</v>
      </c>
      <c r="C1367" s="10">
        <v>-2.57401384144331</v>
      </c>
      <c r="D1367" s="10">
        <v>0.36544686516407399</v>
      </c>
      <c r="E1367" s="10">
        <v>-7.0434694802694802</v>
      </c>
      <c r="F1367" s="4">
        <v>1.8751108759261202E-12</v>
      </c>
      <c r="G1367" s="4">
        <v>3.59038271513415E-11</v>
      </c>
      <c r="H1367" s="10" t="s">
        <v>2748</v>
      </c>
      <c r="I1367" s="10" t="s">
        <v>18</v>
      </c>
    </row>
    <row r="1368" spans="1:9" x14ac:dyDescent="0.2">
      <c r="A1368" s="10" t="s">
        <v>2749</v>
      </c>
      <c r="B1368" s="10">
        <v>5270.34200570144</v>
      </c>
      <c r="C1368" s="10">
        <v>1.5986667468889499</v>
      </c>
      <c r="D1368" s="10">
        <v>0.192336238764864</v>
      </c>
      <c r="E1368" s="10">
        <v>8.3118332621829207</v>
      </c>
      <c r="F1368" s="4">
        <v>9.4234773062207001E-17</v>
      </c>
      <c r="G1368" s="4">
        <v>2.75791069992047E-15</v>
      </c>
      <c r="H1368" s="10" t="s">
        <v>2750</v>
      </c>
      <c r="I1368" s="10" t="s">
        <v>18</v>
      </c>
    </row>
    <row r="1369" spans="1:9" x14ac:dyDescent="0.2">
      <c r="A1369" s="10" t="s">
        <v>2751</v>
      </c>
      <c r="B1369" s="10">
        <v>4.5506350131209503</v>
      </c>
      <c r="C1369" s="10">
        <v>5.5810926405007502</v>
      </c>
      <c r="D1369" s="10">
        <v>2.0811975347712699</v>
      </c>
      <c r="E1369" s="10">
        <v>2.6816736745337999</v>
      </c>
      <c r="F1369" s="10">
        <v>7.3254878825888504E-3</v>
      </c>
      <c r="G1369" s="10">
        <v>2.4457489074488199E-2</v>
      </c>
      <c r="H1369" s="10" t="s">
        <v>2752</v>
      </c>
      <c r="I1369" s="10" t="s">
        <v>18</v>
      </c>
    </row>
    <row r="1370" spans="1:9" x14ac:dyDescent="0.2">
      <c r="A1370" s="10" t="s">
        <v>2753</v>
      </c>
      <c r="B1370" s="10">
        <v>512.15954821951505</v>
      </c>
      <c r="C1370" s="10">
        <v>-1.3759799917775799</v>
      </c>
      <c r="D1370" s="10">
        <v>0.232712443986375</v>
      </c>
      <c r="E1370" s="10">
        <v>-5.9127907739138497</v>
      </c>
      <c r="F1370" s="4">
        <v>3.3635933061298399E-9</v>
      </c>
      <c r="G1370" s="4">
        <v>4.2666586039161901E-8</v>
      </c>
      <c r="H1370" s="10" t="s">
        <v>2754</v>
      </c>
      <c r="I1370" s="10" t="s">
        <v>18</v>
      </c>
    </row>
    <row r="1371" spans="1:9" x14ac:dyDescent="0.2">
      <c r="A1371" s="10" t="s">
        <v>2755</v>
      </c>
      <c r="B1371" s="10">
        <v>2157.3805622167802</v>
      </c>
      <c r="C1371" s="10">
        <v>1.2357746358463599</v>
      </c>
      <c r="D1371" s="10">
        <v>0.18319386954445999</v>
      </c>
      <c r="E1371" s="10">
        <v>6.7457204704464404</v>
      </c>
      <c r="F1371" s="4">
        <v>1.52269525004E-11</v>
      </c>
      <c r="G1371" s="4">
        <v>2.6258783213822799E-10</v>
      </c>
      <c r="H1371" s="10" t="s">
        <v>2756</v>
      </c>
      <c r="I1371" s="10" t="s">
        <v>18</v>
      </c>
    </row>
    <row r="1372" spans="1:9" x14ac:dyDescent="0.2">
      <c r="A1372" s="10" t="s">
        <v>2757</v>
      </c>
      <c r="B1372" s="10">
        <v>4.3302005939076098</v>
      </c>
      <c r="C1372" s="10">
        <v>5.5088803257156904</v>
      </c>
      <c r="D1372" s="10">
        <v>2.1104502212244198</v>
      </c>
      <c r="E1372" s="10">
        <v>2.6102867863519599</v>
      </c>
      <c r="F1372" s="10">
        <v>9.0466346159683401E-3</v>
      </c>
      <c r="G1372" s="10">
        <v>2.9246992570157698E-2</v>
      </c>
      <c r="H1372" s="10" t="s">
        <v>2758</v>
      </c>
      <c r="I1372" s="10" t="s">
        <v>18</v>
      </c>
    </row>
    <row r="1373" spans="1:9" x14ac:dyDescent="0.2">
      <c r="A1373" s="10" t="s">
        <v>2759</v>
      </c>
      <c r="B1373" s="10">
        <v>1676.25977949239</v>
      </c>
      <c r="C1373" s="10">
        <v>1.4411646928911599</v>
      </c>
      <c r="D1373" s="10">
        <v>0.20766767952819901</v>
      </c>
      <c r="E1373" s="10">
        <v>6.9397640314821896</v>
      </c>
      <c r="F1373" s="4">
        <v>3.9275541829277698E-12</v>
      </c>
      <c r="G1373" s="4">
        <v>7.2209223226877896E-11</v>
      </c>
      <c r="H1373" s="10" t="s">
        <v>2760</v>
      </c>
      <c r="I1373" s="10" t="s">
        <v>18</v>
      </c>
    </row>
    <row r="1374" spans="1:9" x14ac:dyDescent="0.2">
      <c r="A1374" s="10" t="s">
        <v>2761</v>
      </c>
      <c r="B1374" s="10">
        <v>1799.1665969183</v>
      </c>
      <c r="C1374" s="10">
        <v>1.0991898466730099</v>
      </c>
      <c r="D1374" s="10">
        <v>0.183663251237663</v>
      </c>
      <c r="E1374" s="10">
        <v>5.9848110020149701</v>
      </c>
      <c r="F1374" s="4">
        <v>2.1664126993582201E-9</v>
      </c>
      <c r="G1374" s="4">
        <v>2.80685909745189E-8</v>
      </c>
      <c r="H1374" s="10" t="s">
        <v>2762</v>
      </c>
      <c r="I1374" s="10" t="s">
        <v>18</v>
      </c>
    </row>
    <row r="1375" spans="1:9" x14ac:dyDescent="0.2">
      <c r="A1375" s="10" t="s">
        <v>2763</v>
      </c>
      <c r="B1375" s="10">
        <v>17.363052061183001</v>
      </c>
      <c r="C1375" s="10">
        <v>7.5156803743868998</v>
      </c>
      <c r="D1375" s="10">
        <v>1.6399883627067799</v>
      </c>
      <c r="E1375" s="10">
        <v>4.5827644544881698</v>
      </c>
      <c r="F1375" s="4">
        <v>4.5886882866630496E-6</v>
      </c>
      <c r="G1375" s="4">
        <v>3.48947780482021E-5</v>
      </c>
      <c r="H1375" s="10" t="s">
        <v>2764</v>
      </c>
      <c r="I1375" s="10" t="s">
        <v>18</v>
      </c>
    </row>
    <row r="1376" spans="1:9" x14ac:dyDescent="0.2">
      <c r="A1376" s="10" t="s">
        <v>2765</v>
      </c>
      <c r="B1376" s="10">
        <v>1257.23152673756</v>
      </c>
      <c r="C1376" s="10">
        <v>-1.05590494547721</v>
      </c>
      <c r="D1376" s="10">
        <v>0.196747819377246</v>
      </c>
      <c r="E1376" s="10">
        <v>-5.3667936387778301</v>
      </c>
      <c r="F1376" s="4">
        <v>8.0148668258791897E-8</v>
      </c>
      <c r="G1376" s="4">
        <v>8.2657485391646604E-7</v>
      </c>
      <c r="H1376" s="10" t="s">
        <v>2766</v>
      </c>
      <c r="I1376" s="10" t="s">
        <v>18</v>
      </c>
    </row>
    <row r="1377" spans="1:9" x14ac:dyDescent="0.2">
      <c r="A1377" s="10" t="s">
        <v>2767</v>
      </c>
      <c r="B1377" s="10">
        <v>22.9738207526906</v>
      </c>
      <c r="C1377" s="10">
        <v>4.8425010578577599</v>
      </c>
      <c r="D1377" s="10">
        <v>1.0665727921403401</v>
      </c>
      <c r="E1377" s="10">
        <v>4.5402443166959996</v>
      </c>
      <c r="F1377" s="4">
        <v>5.6189080353368804E-6</v>
      </c>
      <c r="G1377" s="4">
        <v>4.20368992967666E-5</v>
      </c>
      <c r="H1377" s="10" t="s">
        <v>2768</v>
      </c>
      <c r="I1377" s="10" t="s">
        <v>18</v>
      </c>
    </row>
    <row r="1378" spans="1:9" x14ac:dyDescent="0.2">
      <c r="A1378" s="10" t="s">
        <v>2769</v>
      </c>
      <c r="B1378" s="10">
        <v>4.6261170131073301</v>
      </c>
      <c r="C1378" s="10">
        <v>5.6094325569646601</v>
      </c>
      <c r="D1378" s="10">
        <v>2.08410562928304</v>
      </c>
      <c r="E1378" s="10">
        <v>2.6915298716862002</v>
      </c>
      <c r="F1378" s="10">
        <v>7.1125128459038501E-3</v>
      </c>
      <c r="G1378" s="10">
        <v>2.39370846729672E-2</v>
      </c>
      <c r="H1378" s="10" t="s">
        <v>2770</v>
      </c>
      <c r="I1378" s="10" t="s">
        <v>18</v>
      </c>
    </row>
    <row r="1379" spans="1:9" x14ac:dyDescent="0.2">
      <c r="A1379" s="10" t="s">
        <v>2771</v>
      </c>
      <c r="B1379" s="10">
        <v>13.591246300046</v>
      </c>
      <c r="C1379" s="10">
        <v>3.5958372301610599</v>
      </c>
      <c r="D1379" s="10">
        <v>1.1249125227119301</v>
      </c>
      <c r="E1379" s="10">
        <v>3.1965483160346002</v>
      </c>
      <c r="F1379" s="10">
        <v>1.3908253103098801E-3</v>
      </c>
      <c r="G1379" s="10">
        <v>5.8890158865599696E-3</v>
      </c>
      <c r="H1379" s="10" t="s">
        <v>2772</v>
      </c>
      <c r="I1379" s="10" t="s">
        <v>18</v>
      </c>
    </row>
    <row r="1380" spans="1:9" x14ac:dyDescent="0.2">
      <c r="A1380" s="10" t="s">
        <v>2773</v>
      </c>
      <c r="B1380" s="10">
        <v>573.36505120893196</v>
      </c>
      <c r="C1380" s="10">
        <v>-1.22166317888007</v>
      </c>
      <c r="D1380" s="10">
        <v>0.220941879705321</v>
      </c>
      <c r="E1380" s="10">
        <v>-5.5293418364569602</v>
      </c>
      <c r="F1380" s="4">
        <v>3.2143445480607101E-8</v>
      </c>
      <c r="G1380" s="4">
        <v>3.5529917201221202E-7</v>
      </c>
      <c r="H1380" s="10" t="s">
        <v>2774</v>
      </c>
      <c r="I1380" s="10" t="s">
        <v>18</v>
      </c>
    </row>
    <row r="1381" spans="1:9" x14ac:dyDescent="0.2">
      <c r="A1381" s="10" t="s">
        <v>2775</v>
      </c>
      <c r="B1381" s="10">
        <v>374.16760786751098</v>
      </c>
      <c r="C1381" s="10">
        <v>2.5221236453855398</v>
      </c>
      <c r="D1381" s="10">
        <v>0.25208660275886102</v>
      </c>
      <c r="E1381" s="10">
        <v>10.0049888323424</v>
      </c>
      <c r="F1381" s="4">
        <v>1.44908039960302E-23</v>
      </c>
      <c r="G1381" s="4">
        <v>7.2446043390795403E-22</v>
      </c>
      <c r="H1381" s="10" t="s">
        <v>2776</v>
      </c>
      <c r="I1381" s="10" t="s">
        <v>18</v>
      </c>
    </row>
    <row r="1382" spans="1:9" x14ac:dyDescent="0.2">
      <c r="A1382" s="10" t="s">
        <v>2777</v>
      </c>
      <c r="B1382" s="10">
        <v>788.58968259101005</v>
      </c>
      <c r="C1382" s="10">
        <v>1.7544512523595801</v>
      </c>
      <c r="D1382" s="10">
        <v>0.20937139327536899</v>
      </c>
      <c r="E1382" s="10">
        <v>8.3796130164358207</v>
      </c>
      <c r="F1382" s="4">
        <v>5.3102005196762E-17</v>
      </c>
      <c r="G1382" s="4">
        <v>1.57783024601546E-15</v>
      </c>
      <c r="H1382" s="10" t="s">
        <v>2778</v>
      </c>
      <c r="I1382" s="10" t="s">
        <v>18</v>
      </c>
    </row>
    <row r="1383" spans="1:9" x14ac:dyDescent="0.2">
      <c r="A1383" s="10" t="s">
        <v>2779</v>
      </c>
      <c r="B1383" s="10">
        <v>132.30232316255001</v>
      </c>
      <c r="C1383" s="10">
        <v>1.0229821284472</v>
      </c>
      <c r="D1383" s="10">
        <v>0.33484775743216399</v>
      </c>
      <c r="E1383" s="10">
        <v>3.0550663868622299</v>
      </c>
      <c r="F1383" s="10">
        <v>2.2501070972122698E-3</v>
      </c>
      <c r="G1383" s="10">
        <v>8.91479573518387E-3</v>
      </c>
      <c r="H1383" s="10" t="s">
        <v>2780</v>
      </c>
      <c r="I1383" s="10" t="s">
        <v>18</v>
      </c>
    </row>
    <row r="1384" spans="1:9" x14ac:dyDescent="0.2">
      <c r="A1384" s="10" t="s">
        <v>2781</v>
      </c>
      <c r="B1384" s="10">
        <v>3777.3136704243602</v>
      </c>
      <c r="C1384" s="10">
        <v>-2.07702909363084</v>
      </c>
      <c r="D1384" s="10">
        <v>0.17413907318017799</v>
      </c>
      <c r="E1384" s="10">
        <v>-11.927415574802</v>
      </c>
      <c r="F1384" s="4">
        <v>8.5176987977020696E-33</v>
      </c>
      <c r="G1384" s="4">
        <v>7.8939367054757899E-31</v>
      </c>
      <c r="H1384" s="10" t="s">
        <v>2782</v>
      </c>
      <c r="I1384" s="10" t="s">
        <v>18</v>
      </c>
    </row>
    <row r="1385" spans="1:9" x14ac:dyDescent="0.2">
      <c r="A1385" s="10" t="s">
        <v>2783</v>
      </c>
      <c r="B1385" s="10">
        <v>4064.2717281590599</v>
      </c>
      <c r="C1385" s="10">
        <v>2.1707768377326802</v>
      </c>
      <c r="D1385" s="10">
        <v>0.17772662570002001</v>
      </c>
      <c r="E1385" s="10">
        <v>12.214134090390401</v>
      </c>
      <c r="F1385" s="4">
        <v>2.6126836333351899E-34</v>
      </c>
      <c r="G1385" s="4">
        <v>2.6268557548887E-32</v>
      </c>
      <c r="H1385" s="10" t="s">
        <v>2784</v>
      </c>
      <c r="I1385" s="10" t="s">
        <v>18</v>
      </c>
    </row>
    <row r="1386" spans="1:9" x14ac:dyDescent="0.2">
      <c r="A1386" s="10" t="s">
        <v>2785</v>
      </c>
      <c r="B1386" s="10">
        <v>11106.053664891801</v>
      </c>
      <c r="C1386" s="10">
        <v>-2.5227767876790801</v>
      </c>
      <c r="D1386" s="10">
        <v>0.19847867369528899</v>
      </c>
      <c r="E1386" s="10">
        <v>-12.7105685498087</v>
      </c>
      <c r="F1386" s="4">
        <v>5.1657490404770097E-37</v>
      </c>
      <c r="G1386" s="4">
        <v>6.14633904392477E-35</v>
      </c>
      <c r="H1386" s="10" t="s">
        <v>2786</v>
      </c>
      <c r="I1386" s="10" t="s">
        <v>18</v>
      </c>
    </row>
    <row r="1387" spans="1:9" x14ac:dyDescent="0.2">
      <c r="A1387" s="10" t="s">
        <v>2787</v>
      </c>
      <c r="B1387" s="10">
        <v>1086.80612703468</v>
      </c>
      <c r="C1387" s="10">
        <v>-1.49021030000635</v>
      </c>
      <c r="D1387" s="10">
        <v>0.21775039464645601</v>
      </c>
      <c r="E1387" s="10">
        <v>-6.8436629124180399</v>
      </c>
      <c r="F1387" s="4">
        <v>7.7193445006142897E-12</v>
      </c>
      <c r="G1387" s="4">
        <v>1.3746992131257399E-10</v>
      </c>
      <c r="H1387" s="10" t="s">
        <v>2788</v>
      </c>
      <c r="I1387" s="10" t="s">
        <v>18</v>
      </c>
    </row>
    <row r="1388" spans="1:9" x14ac:dyDescent="0.2">
      <c r="A1388" s="10" t="s">
        <v>2789</v>
      </c>
      <c r="B1388" s="10">
        <v>662.51981875171498</v>
      </c>
      <c r="C1388" s="10">
        <v>-1.2025506619294299</v>
      </c>
      <c r="D1388" s="10">
        <v>0.21848828897539299</v>
      </c>
      <c r="E1388" s="10">
        <v>-5.5039593543838103</v>
      </c>
      <c r="F1388" s="4">
        <v>3.7135519913166598E-8</v>
      </c>
      <c r="G1388" s="4">
        <v>4.0554369181324699E-7</v>
      </c>
      <c r="H1388" s="10" t="s">
        <v>2790</v>
      </c>
      <c r="I1388" s="10" t="s">
        <v>18</v>
      </c>
    </row>
    <row r="1389" spans="1:9" x14ac:dyDescent="0.2">
      <c r="A1389" s="10" t="s">
        <v>2791</v>
      </c>
      <c r="B1389" s="10">
        <v>155.510258291377</v>
      </c>
      <c r="C1389" s="10">
        <v>-1.30894088717683</v>
      </c>
      <c r="D1389" s="10">
        <v>0.31361424631579898</v>
      </c>
      <c r="E1389" s="10">
        <v>-4.1737290399070996</v>
      </c>
      <c r="F1389" s="4">
        <v>2.9965411686062399E-5</v>
      </c>
      <c r="G1389" s="10">
        <v>1.92245719851694E-4</v>
      </c>
      <c r="H1389" s="10" t="s">
        <v>2792</v>
      </c>
      <c r="I1389" s="10" t="s">
        <v>18</v>
      </c>
    </row>
    <row r="1390" spans="1:9" x14ac:dyDescent="0.2">
      <c r="A1390" s="10" t="s">
        <v>2793</v>
      </c>
      <c r="B1390" s="10">
        <v>7980.2392911243796</v>
      </c>
      <c r="C1390" s="10">
        <v>-2.51806641180562</v>
      </c>
      <c r="D1390" s="10">
        <v>0.224865032937447</v>
      </c>
      <c r="E1390" s="10">
        <v>-11.198123509519201</v>
      </c>
      <c r="F1390" s="4">
        <v>4.1646136481773398E-29</v>
      </c>
      <c r="G1390" s="4">
        <v>3.0098999488564401E-27</v>
      </c>
      <c r="H1390" s="10" t="s">
        <v>2794</v>
      </c>
      <c r="I1390" s="10" t="s">
        <v>18</v>
      </c>
    </row>
    <row r="1391" spans="1:9" x14ac:dyDescent="0.2">
      <c r="A1391" s="10" t="s">
        <v>2795</v>
      </c>
      <c r="B1391" s="10">
        <v>17.668034797089</v>
      </c>
      <c r="C1391" s="10">
        <v>2.71983003852089</v>
      </c>
      <c r="D1391" s="10">
        <v>0.88425684073635802</v>
      </c>
      <c r="E1391" s="10">
        <v>3.0758371473337802</v>
      </c>
      <c r="F1391" s="10">
        <v>2.0991246108348701E-3</v>
      </c>
      <c r="G1391" s="10">
        <v>8.4072979966805603E-3</v>
      </c>
      <c r="H1391" s="10" t="s">
        <v>2796</v>
      </c>
      <c r="I1391" s="10" t="s">
        <v>18</v>
      </c>
    </row>
    <row r="1392" spans="1:9" x14ac:dyDescent="0.2">
      <c r="A1392" s="10" t="s">
        <v>2797</v>
      </c>
      <c r="B1392" s="10">
        <v>3880.9642472332298</v>
      </c>
      <c r="C1392" s="10">
        <v>-1.40363793545214</v>
      </c>
      <c r="D1392" s="10">
        <v>0.24080068006760799</v>
      </c>
      <c r="E1392" s="10">
        <v>-5.8290447313439602</v>
      </c>
      <c r="F1392" s="4">
        <v>5.5745560782619303E-9</v>
      </c>
      <c r="G1392" s="4">
        <v>6.8542386942420004E-8</v>
      </c>
      <c r="H1392" s="10" t="s">
        <v>2798</v>
      </c>
      <c r="I1392" s="10" t="s">
        <v>18</v>
      </c>
    </row>
    <row r="1393" spans="1:9" x14ac:dyDescent="0.2">
      <c r="A1393" s="10" t="s">
        <v>2799</v>
      </c>
      <c r="B1393" s="10">
        <v>11.7969926852335</v>
      </c>
      <c r="C1393" s="10">
        <v>-3.94291066206342</v>
      </c>
      <c r="D1393" s="10">
        <v>1.2342387576042699</v>
      </c>
      <c r="E1393" s="10">
        <v>-3.1946093393767998</v>
      </c>
      <c r="F1393" s="10">
        <v>1.4002023459688999E-3</v>
      </c>
      <c r="G1393" s="10">
        <v>5.9241169752506997E-3</v>
      </c>
      <c r="H1393" s="10" t="s">
        <v>2800</v>
      </c>
      <c r="I1393" s="10" t="s">
        <v>18</v>
      </c>
    </row>
    <row r="1394" spans="1:9" x14ac:dyDescent="0.2">
      <c r="A1394" s="10" t="s">
        <v>2801</v>
      </c>
      <c r="B1394" s="10">
        <v>1041.9945903861001</v>
      </c>
      <c r="C1394" s="10">
        <v>-1.2905286494466099</v>
      </c>
      <c r="D1394" s="10">
        <v>0.23015915982445601</v>
      </c>
      <c r="E1394" s="10">
        <v>-5.6071140094137801</v>
      </c>
      <c r="F1394" s="4">
        <v>2.0572815156770399E-8</v>
      </c>
      <c r="G1394" s="4">
        <v>2.34538700659633E-7</v>
      </c>
      <c r="H1394" s="10" t="s">
        <v>2802</v>
      </c>
      <c r="I1394" s="10" t="s">
        <v>18</v>
      </c>
    </row>
    <row r="1395" spans="1:9" x14ac:dyDescent="0.2">
      <c r="A1395" s="10" t="s">
        <v>2803</v>
      </c>
      <c r="B1395" s="10">
        <v>2450.3843595929402</v>
      </c>
      <c r="C1395" s="10">
        <v>-1.2316268802291499</v>
      </c>
      <c r="D1395" s="10">
        <v>0.21875815745392699</v>
      </c>
      <c r="E1395" s="10">
        <v>-5.6300843569161501</v>
      </c>
      <c r="F1395" s="4">
        <v>1.8012150389458798E-8</v>
      </c>
      <c r="G1395" s="4">
        <v>2.0681713512919601E-7</v>
      </c>
      <c r="H1395" s="10" t="s">
        <v>2804</v>
      </c>
      <c r="I1395" s="10" t="s">
        <v>18</v>
      </c>
    </row>
    <row r="1396" spans="1:9" x14ac:dyDescent="0.2">
      <c r="A1396" s="10" t="s">
        <v>2805</v>
      </c>
      <c r="B1396" s="10">
        <v>31.658615214769199</v>
      </c>
      <c r="C1396" s="10">
        <v>2.4485601245058701</v>
      </c>
      <c r="D1396" s="10">
        <v>0.65206189520714897</v>
      </c>
      <c r="E1396" s="10">
        <v>3.7551038367730398</v>
      </c>
      <c r="F1396" s="10">
        <v>1.7326962855976E-4</v>
      </c>
      <c r="G1396" s="10">
        <v>9.3672173995392502E-4</v>
      </c>
      <c r="H1396" s="10" t="s">
        <v>2806</v>
      </c>
      <c r="I1396" s="10" t="s">
        <v>18</v>
      </c>
    </row>
    <row r="1397" spans="1:9" x14ac:dyDescent="0.2">
      <c r="A1397" s="10" t="s">
        <v>2807</v>
      </c>
      <c r="B1397" s="10">
        <v>1619.5604451566301</v>
      </c>
      <c r="C1397" s="10">
        <v>-1.57330879572455</v>
      </c>
      <c r="D1397" s="10">
        <v>0.238852437872347</v>
      </c>
      <c r="E1397" s="10">
        <v>-6.5869488699353003</v>
      </c>
      <c r="F1397" s="4">
        <v>4.4895680139870499E-11</v>
      </c>
      <c r="G1397" s="4">
        <v>7.3162236648986301E-10</v>
      </c>
      <c r="H1397" s="10" t="s">
        <v>2808</v>
      </c>
      <c r="I1397" s="10" t="s">
        <v>18</v>
      </c>
    </row>
    <row r="1398" spans="1:9" x14ac:dyDescent="0.2">
      <c r="A1398" s="10" t="s">
        <v>2809</v>
      </c>
      <c r="B1398" s="10">
        <v>6.4953008908614098</v>
      </c>
      <c r="C1398" s="10">
        <v>6.0938533645281696</v>
      </c>
      <c r="D1398" s="10">
        <v>1.91564597028766</v>
      </c>
      <c r="E1398" s="10">
        <v>3.1810958073913298</v>
      </c>
      <c r="F1398" s="10">
        <v>1.4671909944337601E-3</v>
      </c>
      <c r="G1398" s="10">
        <v>6.16731765278258E-3</v>
      </c>
      <c r="H1398" s="10" t="s">
        <v>2810</v>
      </c>
      <c r="I1398" s="10" t="s">
        <v>18</v>
      </c>
    </row>
    <row r="1399" spans="1:9" x14ac:dyDescent="0.2">
      <c r="A1399" s="10" t="s">
        <v>2811</v>
      </c>
      <c r="B1399" s="10">
        <v>718.21976957818595</v>
      </c>
      <c r="C1399" s="10">
        <v>1.23686307823848</v>
      </c>
      <c r="D1399" s="10">
        <v>0.21503894930985701</v>
      </c>
      <c r="E1399" s="10">
        <v>5.7518095312874804</v>
      </c>
      <c r="F1399" s="4">
        <v>8.8293242894916398E-9</v>
      </c>
      <c r="G1399" s="4">
        <v>1.05606935432739E-7</v>
      </c>
      <c r="H1399" s="10" t="s">
        <v>2812</v>
      </c>
      <c r="I1399" s="10" t="s">
        <v>18</v>
      </c>
    </row>
    <row r="1400" spans="1:9" x14ac:dyDescent="0.2">
      <c r="A1400" s="10" t="s">
        <v>2813</v>
      </c>
      <c r="B1400" s="10">
        <v>9.5814261287582507</v>
      </c>
      <c r="C1400" s="10">
        <v>4.1331666218384404</v>
      </c>
      <c r="D1400" s="10">
        <v>1.4234826548452799</v>
      </c>
      <c r="E1400" s="10">
        <v>2.9035595254848299</v>
      </c>
      <c r="F1400" s="10">
        <v>3.6894682749526201E-3</v>
      </c>
      <c r="G1400" s="10">
        <v>1.3694863616615E-2</v>
      </c>
      <c r="H1400" s="10" t="s">
        <v>2814</v>
      </c>
      <c r="I1400" s="10" t="s">
        <v>18</v>
      </c>
    </row>
    <row r="1401" spans="1:9" x14ac:dyDescent="0.2">
      <c r="A1401" s="10" t="s">
        <v>2815</v>
      </c>
      <c r="B1401" s="10">
        <v>4249.7678172083697</v>
      </c>
      <c r="C1401" s="10">
        <v>-1.03048570817174</v>
      </c>
      <c r="D1401" s="10">
        <v>0.192238091724101</v>
      </c>
      <c r="E1401" s="10">
        <v>-5.3604657585276199</v>
      </c>
      <c r="F1401" s="4">
        <v>8.3007660125971106E-8</v>
      </c>
      <c r="G1401" s="4">
        <v>8.5315341963498095E-7</v>
      </c>
      <c r="H1401" s="10" t="s">
        <v>2816</v>
      </c>
      <c r="I1401" s="10" t="s">
        <v>18</v>
      </c>
    </row>
    <row r="1402" spans="1:9" x14ac:dyDescent="0.2">
      <c r="A1402" s="10" t="s">
        <v>2817</v>
      </c>
      <c r="B1402" s="10">
        <v>2988.9547884737499</v>
      </c>
      <c r="C1402" s="10">
        <v>-1.2966080848545201</v>
      </c>
      <c r="D1402" s="10">
        <v>0.19847820300480901</v>
      </c>
      <c r="E1402" s="10">
        <v>-6.5327480056996396</v>
      </c>
      <c r="F1402" s="4">
        <v>6.45737425438113E-11</v>
      </c>
      <c r="G1402" s="4">
        <v>1.0355743161219701E-9</v>
      </c>
      <c r="H1402" s="10" t="s">
        <v>2818</v>
      </c>
      <c r="I1402" s="10" t="s">
        <v>18</v>
      </c>
    </row>
    <row r="1403" spans="1:9" x14ac:dyDescent="0.2">
      <c r="A1403" s="10" t="s">
        <v>2819</v>
      </c>
      <c r="B1403" s="10">
        <v>2921.6080329505398</v>
      </c>
      <c r="C1403" s="10">
        <v>1.1538470170349</v>
      </c>
      <c r="D1403" s="10">
        <v>0.186534682295002</v>
      </c>
      <c r="E1403" s="10">
        <v>6.1856969590786601</v>
      </c>
      <c r="F1403" s="4">
        <v>6.1828683303955497E-10</v>
      </c>
      <c r="G1403" s="4">
        <v>8.6215257624507503E-9</v>
      </c>
      <c r="H1403" s="10" t="s">
        <v>2820</v>
      </c>
      <c r="I1403" s="10" t="s">
        <v>18</v>
      </c>
    </row>
    <row r="1404" spans="1:9" x14ac:dyDescent="0.2">
      <c r="A1404" s="10" t="s">
        <v>2821</v>
      </c>
      <c r="B1404" s="10">
        <v>13.485705674961199</v>
      </c>
      <c r="C1404" s="10">
        <v>3.2415819458753101</v>
      </c>
      <c r="D1404" s="10">
        <v>1.0921436764248</v>
      </c>
      <c r="E1404" s="10">
        <v>2.9680911182737701</v>
      </c>
      <c r="F1404" s="10">
        <v>2.99655485897169E-3</v>
      </c>
      <c r="G1404" s="10">
        <v>1.1441582152802899E-2</v>
      </c>
      <c r="H1404" s="10" t="s">
        <v>2822</v>
      </c>
      <c r="I1404" s="10" t="s">
        <v>18</v>
      </c>
    </row>
    <row r="1405" spans="1:9" x14ac:dyDescent="0.2">
      <c r="A1405" s="10" t="s">
        <v>2823</v>
      </c>
      <c r="B1405" s="10">
        <v>6.2357904754309503</v>
      </c>
      <c r="C1405" s="10">
        <v>4.5358228902289399</v>
      </c>
      <c r="D1405" s="10">
        <v>1.9013029086312601</v>
      </c>
      <c r="E1405" s="10">
        <v>2.3856392738042298</v>
      </c>
      <c r="F1405" s="10">
        <v>1.7049465287305401E-2</v>
      </c>
      <c r="G1405" s="10">
        <v>4.95939767997449E-2</v>
      </c>
      <c r="H1405" s="10" t="s">
        <v>2824</v>
      </c>
      <c r="I1405" s="10" t="s">
        <v>18</v>
      </c>
    </row>
    <row r="1406" spans="1:9" x14ac:dyDescent="0.2">
      <c r="A1406" s="10" t="s">
        <v>2825</v>
      </c>
      <c r="B1406" s="10">
        <v>5648.7332163996298</v>
      </c>
      <c r="C1406" s="10">
        <v>-1.09844041724608</v>
      </c>
      <c r="D1406" s="10">
        <v>0.17254960620634199</v>
      </c>
      <c r="E1406" s="10">
        <v>-6.3659398673592102</v>
      </c>
      <c r="F1406" s="4">
        <v>1.94097469926746E-10</v>
      </c>
      <c r="G1406" s="4">
        <v>2.89249758290758E-9</v>
      </c>
      <c r="H1406" s="10" t="s">
        <v>2826</v>
      </c>
      <c r="I1406" s="10" t="s">
        <v>18</v>
      </c>
    </row>
    <row r="1407" spans="1:9" x14ac:dyDescent="0.2">
      <c r="A1407" s="10" t="s">
        <v>2827</v>
      </c>
      <c r="B1407" s="10">
        <v>2912.18152551105</v>
      </c>
      <c r="C1407" s="10">
        <v>-1.45080353448787</v>
      </c>
      <c r="D1407" s="10">
        <v>0.18386444365878399</v>
      </c>
      <c r="E1407" s="10">
        <v>-7.8906149857896297</v>
      </c>
      <c r="F1407" s="4">
        <v>3.0070101070557998E-15</v>
      </c>
      <c r="G1407" s="4">
        <v>7.6859291169746201E-14</v>
      </c>
      <c r="H1407" s="10" t="s">
        <v>2828</v>
      </c>
      <c r="I1407" s="10" t="s">
        <v>18</v>
      </c>
    </row>
    <row r="1408" spans="1:9" x14ac:dyDescent="0.2">
      <c r="A1408" s="10" t="s">
        <v>2829</v>
      </c>
      <c r="B1408" s="10">
        <v>2330.95169711572</v>
      </c>
      <c r="C1408" s="10">
        <v>-1.0571270516349101</v>
      </c>
      <c r="D1408" s="10">
        <v>0.18779129494396299</v>
      </c>
      <c r="E1408" s="10">
        <v>-5.6292654670194002</v>
      </c>
      <c r="F1408" s="4">
        <v>1.80978672799113E-8</v>
      </c>
      <c r="G1408" s="4">
        <v>2.0771381203696E-7</v>
      </c>
      <c r="H1408" s="10" t="s">
        <v>2830</v>
      </c>
      <c r="I1408" s="10" t="s">
        <v>18</v>
      </c>
    </row>
    <row r="1409" spans="1:9" x14ac:dyDescent="0.2">
      <c r="A1409" s="10" t="s">
        <v>2831</v>
      </c>
      <c r="B1409" s="10">
        <v>1742.27178109447</v>
      </c>
      <c r="C1409" s="10">
        <v>1.01484645929491</v>
      </c>
      <c r="D1409" s="10">
        <v>0.19650571473525999</v>
      </c>
      <c r="E1409" s="10">
        <v>5.1644628282803202</v>
      </c>
      <c r="F1409" s="4">
        <v>2.4113038748761603E-7</v>
      </c>
      <c r="G1409" s="4">
        <v>2.2964277063526999E-6</v>
      </c>
      <c r="H1409" s="10" t="s">
        <v>2832</v>
      </c>
      <c r="I1409" s="10" t="s">
        <v>18</v>
      </c>
    </row>
    <row r="1410" spans="1:9" x14ac:dyDescent="0.2">
      <c r="A1410" s="10" t="s">
        <v>2833</v>
      </c>
      <c r="B1410" s="10">
        <v>1158.7547718927301</v>
      </c>
      <c r="C1410" s="10">
        <v>2.2775607715047399</v>
      </c>
      <c r="D1410" s="10">
        <v>0.218758216558123</v>
      </c>
      <c r="E1410" s="10">
        <v>10.4113153203532</v>
      </c>
      <c r="F1410" s="4">
        <v>2.2015850960882099E-25</v>
      </c>
      <c r="G1410" s="4">
        <v>1.27090231171855E-23</v>
      </c>
      <c r="H1410" s="10" t="s">
        <v>2834</v>
      </c>
      <c r="I1410" s="10" t="s">
        <v>18</v>
      </c>
    </row>
    <row r="1411" spans="1:9" x14ac:dyDescent="0.2">
      <c r="A1411" s="10" t="s">
        <v>2835</v>
      </c>
      <c r="B1411" s="10">
        <v>770.17661472545899</v>
      </c>
      <c r="C1411" s="10">
        <v>1.09163792634554</v>
      </c>
      <c r="D1411" s="10">
        <v>0.20526805306475601</v>
      </c>
      <c r="E1411" s="10">
        <v>5.3181092237532104</v>
      </c>
      <c r="F1411" s="4">
        <v>1.04851123962264E-7</v>
      </c>
      <c r="G1411" s="4">
        <v>1.0620366448326401E-6</v>
      </c>
      <c r="H1411" s="10" t="s">
        <v>2836</v>
      </c>
      <c r="I1411" s="10" t="s">
        <v>18</v>
      </c>
    </row>
    <row r="1412" spans="1:9" x14ac:dyDescent="0.2">
      <c r="A1412" s="10" t="s">
        <v>2837</v>
      </c>
      <c r="B1412" s="10">
        <v>330.44825785579201</v>
      </c>
      <c r="C1412" s="10">
        <v>-1.1202085614905199</v>
      </c>
      <c r="D1412" s="10">
        <v>0.26970537710421399</v>
      </c>
      <c r="E1412" s="10">
        <v>-4.1534528288535899</v>
      </c>
      <c r="F1412" s="4">
        <v>3.27495747987063E-5</v>
      </c>
      <c r="G1412" s="10">
        <v>2.0814734418949201E-4</v>
      </c>
      <c r="H1412" s="10" t="s">
        <v>2838</v>
      </c>
      <c r="I1412" s="10" t="s">
        <v>18</v>
      </c>
    </row>
    <row r="1413" spans="1:9" x14ac:dyDescent="0.2">
      <c r="A1413" s="10" t="s">
        <v>2839</v>
      </c>
      <c r="B1413" s="10">
        <v>1332.5469700399999</v>
      </c>
      <c r="C1413" s="10">
        <v>-1.1095026276451501</v>
      </c>
      <c r="D1413" s="10">
        <v>0.225218180796358</v>
      </c>
      <c r="E1413" s="10">
        <v>-4.9263457493618503</v>
      </c>
      <c r="F1413" s="4">
        <v>8.3781693989451601E-7</v>
      </c>
      <c r="G1413" s="4">
        <v>7.2863064670622E-6</v>
      </c>
      <c r="H1413" s="10" t="s">
        <v>2840</v>
      </c>
      <c r="I1413" s="10" t="s">
        <v>18</v>
      </c>
    </row>
    <row r="1414" spans="1:9" x14ac:dyDescent="0.2">
      <c r="A1414" s="10" t="s">
        <v>2841</v>
      </c>
      <c r="B1414" s="10">
        <v>4.9552657467409</v>
      </c>
      <c r="C1414" s="10">
        <v>5.7059742842858201</v>
      </c>
      <c r="D1414" s="10">
        <v>2.0354097879191899</v>
      </c>
      <c r="E1414" s="10">
        <v>2.8033540558528398</v>
      </c>
      <c r="F1414" s="10">
        <v>5.0574115774759702E-3</v>
      </c>
      <c r="G1414" s="10">
        <v>1.7900661633084899E-2</v>
      </c>
      <c r="H1414" s="10" t="s">
        <v>2842</v>
      </c>
      <c r="I1414" s="10" t="s">
        <v>18</v>
      </c>
    </row>
    <row r="1415" spans="1:9" x14ac:dyDescent="0.2">
      <c r="A1415" s="10" t="s">
        <v>2843</v>
      </c>
      <c r="B1415" s="10">
        <v>568.66565745063099</v>
      </c>
      <c r="C1415" s="10">
        <v>-1.68579115273113</v>
      </c>
      <c r="D1415" s="10">
        <v>0.243892718603648</v>
      </c>
      <c r="E1415" s="10">
        <v>-6.9120191959101502</v>
      </c>
      <c r="F1415" s="4">
        <v>4.7780318022592797E-12</v>
      </c>
      <c r="G1415" s="4">
        <v>8.7023417457325299E-11</v>
      </c>
      <c r="H1415" s="10" t="s">
        <v>2844</v>
      </c>
      <c r="I1415" s="10" t="s">
        <v>18</v>
      </c>
    </row>
    <row r="1416" spans="1:9" x14ac:dyDescent="0.2">
      <c r="A1416" s="10" t="s">
        <v>2845</v>
      </c>
      <c r="B1416" s="10">
        <v>1678.84490143176</v>
      </c>
      <c r="C1416" s="10">
        <v>-1.1930226980952101</v>
      </c>
      <c r="D1416" s="10">
        <v>0.20821304735510299</v>
      </c>
      <c r="E1416" s="10">
        <v>-5.7298171908532698</v>
      </c>
      <c r="F1416" s="4">
        <v>1.0053892536130701E-8</v>
      </c>
      <c r="G1416" s="4">
        <v>1.1915546321529E-7</v>
      </c>
      <c r="H1416" s="10" t="s">
        <v>2846</v>
      </c>
      <c r="I1416" s="10" t="s">
        <v>18</v>
      </c>
    </row>
    <row r="1417" spans="1:9" x14ac:dyDescent="0.2">
      <c r="A1417" s="10" t="s">
        <v>2847</v>
      </c>
      <c r="B1417" s="10">
        <v>6.7128974186643804</v>
      </c>
      <c r="C1417" s="10">
        <v>4.6464461447700902</v>
      </c>
      <c r="D1417" s="10">
        <v>1.8733722380712901</v>
      </c>
      <c r="E1417" s="10">
        <v>2.4802578208128998</v>
      </c>
      <c r="F1417" s="10">
        <v>1.31287414817705E-2</v>
      </c>
      <c r="G1417" s="10">
        <v>3.9955190344443399E-2</v>
      </c>
      <c r="H1417" s="10" t="s">
        <v>2848</v>
      </c>
      <c r="I1417" s="10" t="s">
        <v>18</v>
      </c>
    </row>
    <row r="1418" spans="1:9" x14ac:dyDescent="0.2">
      <c r="A1418" s="10" t="s">
        <v>2849</v>
      </c>
      <c r="B1418" s="10">
        <v>7185.8100123549702</v>
      </c>
      <c r="C1418" s="10">
        <v>-1.4488569621054701</v>
      </c>
      <c r="D1418" s="10">
        <v>0.18109293585670699</v>
      </c>
      <c r="E1418" s="10">
        <v>-8.0006266133534201</v>
      </c>
      <c r="F1418" s="4">
        <v>1.23787631769338E-15</v>
      </c>
      <c r="G1418" s="4">
        <v>3.2746034978826702E-14</v>
      </c>
      <c r="H1418" s="10" t="s">
        <v>2850</v>
      </c>
      <c r="I1418" s="10" t="s">
        <v>18</v>
      </c>
    </row>
    <row r="1419" spans="1:9" x14ac:dyDescent="0.2">
      <c r="A1419" s="10" t="s">
        <v>2851</v>
      </c>
      <c r="B1419" s="10">
        <v>210.56836440724101</v>
      </c>
      <c r="C1419" s="10">
        <v>-1.16333167082905</v>
      </c>
      <c r="D1419" s="10">
        <v>0.29648147643428402</v>
      </c>
      <c r="E1419" s="10">
        <v>-3.9237920858334099</v>
      </c>
      <c r="F1419" s="4">
        <v>8.7165969420521095E-5</v>
      </c>
      <c r="G1419" s="10">
        <v>5.0693941703328495E-4</v>
      </c>
      <c r="H1419" s="10" t="s">
        <v>2852</v>
      </c>
      <c r="I1419" s="10" t="s">
        <v>18</v>
      </c>
    </row>
    <row r="1420" spans="1:9" x14ac:dyDescent="0.2">
      <c r="A1420" s="10" t="s">
        <v>2853</v>
      </c>
      <c r="B1420" s="10">
        <v>1254.60379777507</v>
      </c>
      <c r="C1420" s="10">
        <v>-2.4562273688208802</v>
      </c>
      <c r="D1420" s="10">
        <v>0.19798073878196901</v>
      </c>
      <c r="E1420" s="10">
        <v>-12.4063956116754</v>
      </c>
      <c r="F1420" s="4">
        <v>2.4127184611198098E-35</v>
      </c>
      <c r="G1420" s="4">
        <v>2.55795096926582E-33</v>
      </c>
      <c r="H1420" s="10" t="s">
        <v>2854</v>
      </c>
      <c r="I1420" s="10" t="s">
        <v>18</v>
      </c>
    </row>
    <row r="1421" spans="1:9" x14ac:dyDescent="0.2">
      <c r="A1421" s="10" t="s">
        <v>2855</v>
      </c>
      <c r="B1421" s="10">
        <v>18.812586685438301</v>
      </c>
      <c r="C1421" s="10">
        <v>1.9436666599071399</v>
      </c>
      <c r="D1421" s="10">
        <v>0.81420558335653304</v>
      </c>
      <c r="E1421" s="10">
        <v>2.3871939712012802</v>
      </c>
      <c r="F1421" s="10">
        <v>1.69775309890755E-2</v>
      </c>
      <c r="G1421" s="10">
        <v>4.9426945919365403E-2</v>
      </c>
      <c r="H1421" s="10" t="s">
        <v>2856</v>
      </c>
      <c r="I1421" s="10" t="s">
        <v>18</v>
      </c>
    </row>
    <row r="1422" spans="1:9" x14ac:dyDescent="0.2">
      <c r="A1422" s="10" t="s">
        <v>2857</v>
      </c>
      <c r="B1422" s="10">
        <v>65.460060378879106</v>
      </c>
      <c r="C1422" s="10">
        <v>3.9870633886298901</v>
      </c>
      <c r="D1422" s="10">
        <v>0.57909664613603895</v>
      </c>
      <c r="E1422" s="10">
        <v>6.8849706093674499</v>
      </c>
      <c r="F1422" s="4">
        <v>5.7799466971453003E-12</v>
      </c>
      <c r="G1422" s="4">
        <v>1.0436461740034299E-10</v>
      </c>
      <c r="H1422" s="10" t="s">
        <v>2858</v>
      </c>
      <c r="I1422" s="10" t="s">
        <v>18</v>
      </c>
    </row>
    <row r="1423" spans="1:9" x14ac:dyDescent="0.2">
      <c r="A1423" s="10" t="s">
        <v>2859</v>
      </c>
      <c r="B1423" s="10">
        <v>9.8106288589852806</v>
      </c>
      <c r="C1423" s="10">
        <v>3.0762338179981801</v>
      </c>
      <c r="D1423" s="10">
        <v>1.2451286120524101</v>
      </c>
      <c r="E1423" s="10">
        <v>2.47061531493318</v>
      </c>
      <c r="F1423" s="10">
        <v>1.34880824506232E-2</v>
      </c>
      <c r="G1423" s="10">
        <v>4.0866205107542498E-2</v>
      </c>
      <c r="H1423" s="10" t="s">
        <v>2860</v>
      </c>
      <c r="I1423" s="10" t="s">
        <v>18</v>
      </c>
    </row>
    <row r="1424" spans="1:9" x14ac:dyDescent="0.2">
      <c r="A1424" s="10" t="s">
        <v>2861</v>
      </c>
      <c r="B1424" s="10">
        <v>2819.7346169416101</v>
      </c>
      <c r="C1424" s="10">
        <v>-1.37188489630816</v>
      </c>
      <c r="D1424" s="10">
        <v>0.188607607846425</v>
      </c>
      <c r="E1424" s="10">
        <v>-7.2737516369182202</v>
      </c>
      <c r="F1424" s="4">
        <v>3.4963856276248999E-13</v>
      </c>
      <c r="G1424" s="4">
        <v>7.3451055663759202E-12</v>
      </c>
      <c r="H1424" s="10" t="s">
        <v>2862</v>
      </c>
      <c r="I1424" s="10" t="s">
        <v>18</v>
      </c>
    </row>
    <row r="1425" spans="1:9" x14ac:dyDescent="0.2">
      <c r="A1425" s="10" t="s">
        <v>2863</v>
      </c>
      <c r="B1425" s="10">
        <v>12985.797089438</v>
      </c>
      <c r="C1425" s="10">
        <v>-1.29892251009489</v>
      </c>
      <c r="D1425" s="10">
        <v>0.18515810687100301</v>
      </c>
      <c r="E1425" s="10">
        <v>-7.0152073384495397</v>
      </c>
      <c r="F1425" s="4">
        <v>2.2960820254191499E-12</v>
      </c>
      <c r="G1425" s="4">
        <v>4.3475571192908701E-11</v>
      </c>
      <c r="H1425" s="10" t="s">
        <v>2864</v>
      </c>
      <c r="I1425" s="10" t="s">
        <v>18</v>
      </c>
    </row>
    <row r="1426" spans="1:9" x14ac:dyDescent="0.2">
      <c r="A1426" s="10" t="s">
        <v>2865</v>
      </c>
      <c r="B1426" s="10">
        <v>24.0995844204406</v>
      </c>
      <c r="C1426" s="10">
        <v>3.2225368135823902</v>
      </c>
      <c r="D1426" s="10">
        <v>0.81100058826810095</v>
      </c>
      <c r="E1426" s="10">
        <v>3.97353202969204</v>
      </c>
      <c r="F1426" s="4">
        <v>7.0814630405067398E-5</v>
      </c>
      <c r="G1426" s="10">
        <v>4.1899809655740998E-4</v>
      </c>
      <c r="H1426" s="10" t="s">
        <v>2866</v>
      </c>
      <c r="I1426" s="10" t="s">
        <v>18</v>
      </c>
    </row>
    <row r="1427" spans="1:9" x14ac:dyDescent="0.2">
      <c r="A1427" s="10" t="s">
        <v>2867</v>
      </c>
      <c r="B1427" s="10">
        <v>1021.74371276452</v>
      </c>
      <c r="C1427" s="10">
        <v>-1.30907849539313</v>
      </c>
      <c r="D1427" s="10">
        <v>0.201284748620494</v>
      </c>
      <c r="E1427" s="10">
        <v>-6.5036149254471898</v>
      </c>
      <c r="F1427" s="4">
        <v>7.8412464820889198E-11</v>
      </c>
      <c r="G1427" s="4">
        <v>1.2399909628408401E-9</v>
      </c>
      <c r="H1427" s="10" t="s">
        <v>2868</v>
      </c>
      <c r="I1427" s="10" t="s">
        <v>18</v>
      </c>
    </row>
    <row r="1428" spans="1:9" x14ac:dyDescent="0.2">
      <c r="A1428" s="10" t="s">
        <v>2869</v>
      </c>
      <c r="B1428" s="10">
        <v>3.8168555458674298</v>
      </c>
      <c r="C1428" s="10">
        <v>5.3279350919035302</v>
      </c>
      <c r="D1428" s="10">
        <v>2.1809774924298599</v>
      </c>
      <c r="E1428" s="10">
        <v>2.4429115432858599</v>
      </c>
      <c r="F1428" s="10">
        <v>1.4569307781241599E-2</v>
      </c>
      <c r="G1428" s="10">
        <v>4.3474967595607303E-2</v>
      </c>
      <c r="H1428" s="10" t="s">
        <v>2870</v>
      </c>
      <c r="I1428" s="10" t="s">
        <v>18</v>
      </c>
    </row>
    <row r="1429" spans="1:9" x14ac:dyDescent="0.2">
      <c r="A1429" s="10" t="s">
        <v>2871</v>
      </c>
      <c r="B1429" s="10">
        <v>2583.30298397865</v>
      </c>
      <c r="C1429" s="10">
        <v>-1.08143920526154</v>
      </c>
      <c r="D1429" s="10">
        <v>0.17720799349189501</v>
      </c>
      <c r="E1429" s="10">
        <v>-6.1026547615133397</v>
      </c>
      <c r="F1429" s="4">
        <v>1.04321016362458E-9</v>
      </c>
      <c r="G1429" s="4">
        <v>1.4141466332477001E-8</v>
      </c>
      <c r="H1429" s="10" t="s">
        <v>2872</v>
      </c>
      <c r="I1429" s="10" t="s">
        <v>18</v>
      </c>
    </row>
    <row r="1430" spans="1:9" x14ac:dyDescent="0.2">
      <c r="A1430" s="10" t="s">
        <v>2873</v>
      </c>
      <c r="B1430" s="10">
        <v>620.37774739527197</v>
      </c>
      <c r="C1430" s="10">
        <v>-1.0585169874732101</v>
      </c>
      <c r="D1430" s="10">
        <v>0.21936882212344999</v>
      </c>
      <c r="E1430" s="10">
        <v>-4.8252845469422496</v>
      </c>
      <c r="F1430" s="4">
        <v>1.39803524151315E-6</v>
      </c>
      <c r="G1430" s="4">
        <v>1.16919171962888E-5</v>
      </c>
      <c r="H1430" s="10" t="s">
        <v>2874</v>
      </c>
      <c r="I1430" s="10" t="s">
        <v>18</v>
      </c>
    </row>
    <row r="1431" spans="1:9" x14ac:dyDescent="0.2">
      <c r="A1431" s="10" t="s">
        <v>2875</v>
      </c>
      <c r="B1431" s="10">
        <v>1123.69212649117</v>
      </c>
      <c r="C1431" s="10">
        <v>2.2307615091309998</v>
      </c>
      <c r="D1431" s="10">
        <v>0.200569324288213</v>
      </c>
      <c r="E1431" s="10">
        <v>11.1221470035241</v>
      </c>
      <c r="F1431" s="4">
        <v>9.7887551284927205E-29</v>
      </c>
      <c r="G1431" s="4">
        <v>6.9456825777614901E-27</v>
      </c>
      <c r="H1431" s="10" t="s">
        <v>2876</v>
      </c>
      <c r="I1431" s="10" t="s">
        <v>18</v>
      </c>
    </row>
    <row r="1432" spans="1:9" x14ac:dyDescent="0.2">
      <c r="A1432" s="10" t="s">
        <v>2877</v>
      </c>
      <c r="B1432" s="10">
        <v>10427.7351126792</v>
      </c>
      <c r="C1432" s="10">
        <v>-1.14980174209746</v>
      </c>
      <c r="D1432" s="10">
        <v>0.16943208570113399</v>
      </c>
      <c r="E1432" s="10">
        <v>-6.7862101640277803</v>
      </c>
      <c r="F1432" s="4">
        <v>1.15117423446465E-11</v>
      </c>
      <c r="G1432" s="4">
        <v>2.01840697338857E-10</v>
      </c>
      <c r="H1432" s="10" t="s">
        <v>2878</v>
      </c>
      <c r="I1432" s="10" t="s">
        <v>18</v>
      </c>
    </row>
    <row r="1433" spans="1:9" x14ac:dyDescent="0.2">
      <c r="A1433" s="10" t="s">
        <v>2879</v>
      </c>
      <c r="B1433" s="10">
        <v>416.83192760089298</v>
      </c>
      <c r="C1433" s="10">
        <v>-1.1123953146338501</v>
      </c>
      <c r="D1433" s="10">
        <v>0.234238007573839</v>
      </c>
      <c r="E1433" s="10">
        <v>-4.7489958019865304</v>
      </c>
      <c r="F1433" s="4">
        <v>2.04429185540275E-6</v>
      </c>
      <c r="G1433" s="4">
        <v>1.6587498565860199E-5</v>
      </c>
      <c r="H1433" s="10" t="s">
        <v>2880</v>
      </c>
      <c r="I1433" s="10" t="s">
        <v>18</v>
      </c>
    </row>
    <row r="1434" spans="1:9" x14ac:dyDescent="0.2">
      <c r="A1434" s="10" t="s">
        <v>2881</v>
      </c>
      <c r="B1434" s="10">
        <v>2241.8792582288902</v>
      </c>
      <c r="C1434" s="10">
        <v>-1.0818985403902399</v>
      </c>
      <c r="D1434" s="10">
        <v>0.192548681141334</v>
      </c>
      <c r="E1434" s="10">
        <v>-5.6188312170058703</v>
      </c>
      <c r="F1434" s="4">
        <v>1.92253550431314E-8</v>
      </c>
      <c r="G1434" s="4">
        <v>2.1982091853134799E-7</v>
      </c>
      <c r="H1434" s="10" t="s">
        <v>2882</v>
      </c>
      <c r="I1434" s="10" t="s">
        <v>18</v>
      </c>
    </row>
    <row r="1435" spans="1:9" x14ac:dyDescent="0.2">
      <c r="A1435" s="10" t="s">
        <v>2883</v>
      </c>
      <c r="B1435" s="10">
        <v>4271.17854375976</v>
      </c>
      <c r="C1435" s="10">
        <v>1.16381320034934</v>
      </c>
      <c r="D1435" s="10">
        <v>0.198253364833747</v>
      </c>
      <c r="E1435" s="10">
        <v>5.8703326489580796</v>
      </c>
      <c r="F1435" s="4">
        <v>4.3492160181801998E-9</v>
      </c>
      <c r="G1435" s="4">
        <v>5.43841619308655E-8</v>
      </c>
      <c r="H1435" s="10" t="s">
        <v>2884</v>
      </c>
      <c r="I1435" s="10" t="s">
        <v>18</v>
      </c>
    </row>
    <row r="1436" spans="1:9" x14ac:dyDescent="0.2">
      <c r="A1436" s="10" t="s">
        <v>2885</v>
      </c>
      <c r="B1436" s="10">
        <v>36.069919790588202</v>
      </c>
      <c r="C1436" s="10">
        <v>8.5667330995483795</v>
      </c>
      <c r="D1436" s="10">
        <v>1.55399608536095</v>
      </c>
      <c r="E1436" s="10">
        <v>5.5127121491805902</v>
      </c>
      <c r="F1436" s="4">
        <v>3.5334587489693698E-8</v>
      </c>
      <c r="G1436" s="4">
        <v>3.8742917719584799E-7</v>
      </c>
      <c r="H1436" s="10" t="s">
        <v>2886</v>
      </c>
      <c r="I1436" s="10" t="s">
        <v>18</v>
      </c>
    </row>
    <row r="1437" spans="1:9" x14ac:dyDescent="0.2">
      <c r="A1437" s="10" t="s">
        <v>2887</v>
      </c>
      <c r="B1437" s="10">
        <v>502.79760884783798</v>
      </c>
      <c r="C1437" s="10">
        <v>3.0801769629421898</v>
      </c>
      <c r="D1437" s="10">
        <v>0.25619651033088903</v>
      </c>
      <c r="E1437" s="10">
        <v>12.0227124052705</v>
      </c>
      <c r="F1437" s="4">
        <v>2.6996169556788901E-33</v>
      </c>
      <c r="G1437" s="4">
        <v>2.5991683106495599E-31</v>
      </c>
      <c r="H1437" s="10" t="s">
        <v>2888</v>
      </c>
      <c r="I1437" s="10" t="s">
        <v>18</v>
      </c>
    </row>
    <row r="1438" spans="1:9" x14ac:dyDescent="0.2">
      <c r="A1438" s="10" t="s">
        <v>2889</v>
      </c>
      <c r="B1438" s="10">
        <v>71.3685334129392</v>
      </c>
      <c r="C1438" s="10">
        <v>-3.2304732107521099</v>
      </c>
      <c r="D1438" s="10">
        <v>0.49792174727209498</v>
      </c>
      <c r="E1438" s="10">
        <v>-6.4879134692359202</v>
      </c>
      <c r="F1438" s="4">
        <v>8.7033238353935802E-11</v>
      </c>
      <c r="G1438" s="4">
        <v>1.3660107404548901E-9</v>
      </c>
      <c r="H1438" s="10" t="s">
        <v>2890</v>
      </c>
      <c r="I1438" s="10" t="s">
        <v>18</v>
      </c>
    </row>
    <row r="1439" spans="1:9" x14ac:dyDescent="0.2">
      <c r="A1439" s="10" t="s">
        <v>2891</v>
      </c>
      <c r="B1439" s="10">
        <v>118.91922796089899</v>
      </c>
      <c r="C1439" s="10">
        <v>-2.5798448251468602</v>
      </c>
      <c r="D1439" s="10">
        <v>0.38595558752051501</v>
      </c>
      <c r="E1439" s="10">
        <v>-6.6843049007801598</v>
      </c>
      <c r="F1439" s="4">
        <v>2.3202328136824302E-11</v>
      </c>
      <c r="G1439" s="4">
        <v>3.9266697810189599E-10</v>
      </c>
      <c r="H1439" s="10" t="s">
        <v>2892</v>
      </c>
      <c r="I1439" s="10" t="s">
        <v>18</v>
      </c>
    </row>
    <row r="1440" spans="1:9" x14ac:dyDescent="0.2">
      <c r="A1440" s="10" t="s">
        <v>2893</v>
      </c>
      <c r="B1440" s="10">
        <v>1943.33851726743</v>
      </c>
      <c r="C1440" s="10">
        <v>2.5652859800307199</v>
      </c>
      <c r="D1440" s="10">
        <v>0.18543046004682101</v>
      </c>
      <c r="E1440" s="10">
        <v>13.834221084189601</v>
      </c>
      <c r="F1440" s="4">
        <v>1.58443414381725E-43</v>
      </c>
      <c r="G1440" s="4">
        <v>2.4954379836178302E-41</v>
      </c>
      <c r="H1440" s="10" t="s">
        <v>2894</v>
      </c>
      <c r="I1440" s="10" t="s">
        <v>18</v>
      </c>
    </row>
    <row r="1441" spans="1:9" x14ac:dyDescent="0.2">
      <c r="A1441" s="10" t="s">
        <v>2895</v>
      </c>
      <c r="B1441" s="10">
        <v>276.24022528079797</v>
      </c>
      <c r="C1441" s="10">
        <v>-1.28738712229472</v>
      </c>
      <c r="D1441" s="10">
        <v>0.36423069741946201</v>
      </c>
      <c r="E1441" s="10">
        <v>-3.5345376746543602</v>
      </c>
      <c r="F1441" s="10">
        <v>4.0848919740241603E-4</v>
      </c>
      <c r="G1441" s="10">
        <v>2.0061472894058398E-3</v>
      </c>
      <c r="H1441" s="10" t="s">
        <v>2896</v>
      </c>
      <c r="I1441" s="10" t="s">
        <v>18</v>
      </c>
    </row>
    <row r="1442" spans="1:9" x14ac:dyDescent="0.2">
      <c r="A1442" s="10" t="s">
        <v>2897</v>
      </c>
      <c r="B1442" s="10">
        <v>8769.7046021623391</v>
      </c>
      <c r="C1442" s="10">
        <v>-2.0953466444748599</v>
      </c>
      <c r="D1442" s="10">
        <v>0.56159990863995402</v>
      </c>
      <c r="E1442" s="10">
        <v>-3.7310309568055899</v>
      </c>
      <c r="F1442" s="10">
        <v>1.9069778658585399E-4</v>
      </c>
      <c r="G1442" s="10">
        <v>1.0208138685864E-3</v>
      </c>
      <c r="H1442" s="10" t="s">
        <v>2898</v>
      </c>
      <c r="I1442" s="10" t="s">
        <v>18</v>
      </c>
    </row>
    <row r="1443" spans="1:9" x14ac:dyDescent="0.2">
      <c r="A1443" s="10" t="s">
        <v>2899</v>
      </c>
      <c r="B1443" s="10">
        <v>17370.365293927101</v>
      </c>
      <c r="C1443" s="10">
        <v>-2.9088051907069201</v>
      </c>
      <c r="D1443" s="10">
        <v>0.530041277839856</v>
      </c>
      <c r="E1443" s="10">
        <v>-5.4878842692432199</v>
      </c>
      <c r="F1443" s="4">
        <v>4.0677641689931301E-8</v>
      </c>
      <c r="G1443" s="4">
        <v>4.4227601880509102E-7</v>
      </c>
      <c r="H1443" s="10" t="s">
        <v>2900</v>
      </c>
      <c r="I1443" s="10" t="s">
        <v>18</v>
      </c>
    </row>
    <row r="1444" spans="1:9" x14ac:dyDescent="0.2">
      <c r="A1444" s="10" t="s">
        <v>2901</v>
      </c>
      <c r="B1444" s="10">
        <v>4060.0105033222399</v>
      </c>
      <c r="C1444" s="10">
        <v>-4.4952466075847397</v>
      </c>
      <c r="D1444" s="10">
        <v>0.57747702511296695</v>
      </c>
      <c r="E1444" s="10">
        <v>-7.7842864946971204</v>
      </c>
      <c r="F1444" s="4">
        <v>7.0107727788832597E-15</v>
      </c>
      <c r="G1444" s="4">
        <v>1.7116713790880999E-13</v>
      </c>
      <c r="H1444" s="10" t="s">
        <v>2902</v>
      </c>
      <c r="I1444" s="10" t="s">
        <v>18</v>
      </c>
    </row>
    <row r="1445" spans="1:9" x14ac:dyDescent="0.2">
      <c r="A1445" s="10" t="s">
        <v>2903</v>
      </c>
      <c r="B1445" s="10">
        <v>2527.7933027091999</v>
      </c>
      <c r="C1445" s="10">
        <v>-4.0589727785657299</v>
      </c>
      <c r="D1445" s="10">
        <v>0.25465697628130601</v>
      </c>
      <c r="E1445" s="10">
        <v>-15.938981283128101</v>
      </c>
      <c r="F1445" s="4">
        <v>3.3984885931435001E-57</v>
      </c>
      <c r="G1445" s="4">
        <v>8.9901571550855293E-55</v>
      </c>
      <c r="H1445" s="10" t="s">
        <v>2904</v>
      </c>
      <c r="I1445" s="10" t="s">
        <v>18</v>
      </c>
    </row>
    <row r="1446" spans="1:9" x14ac:dyDescent="0.2">
      <c r="A1446" s="10" t="s">
        <v>2905</v>
      </c>
      <c r="B1446" s="10">
        <v>12828.760175363799</v>
      </c>
      <c r="C1446" s="10">
        <v>-2.4832544963224001</v>
      </c>
      <c r="D1446" s="10">
        <v>0.54939861638807996</v>
      </c>
      <c r="E1446" s="10">
        <v>-4.5199504007638396</v>
      </c>
      <c r="F1446" s="4">
        <v>6.1854121057342101E-6</v>
      </c>
      <c r="G1446" s="4">
        <v>4.5847095659668097E-5</v>
      </c>
      <c r="H1446" s="10" t="s">
        <v>2906</v>
      </c>
      <c r="I1446" s="10" t="s">
        <v>18</v>
      </c>
    </row>
    <row r="1447" spans="1:9" x14ac:dyDescent="0.2">
      <c r="A1447" s="10" t="s">
        <v>2907</v>
      </c>
      <c r="B1447" s="10">
        <v>30873.726248001502</v>
      </c>
      <c r="C1447" s="10">
        <v>-1.4474098828409101</v>
      </c>
      <c r="D1447" s="10">
        <v>0.24054988462839599</v>
      </c>
      <c r="E1447" s="10">
        <v>-6.0170882437831104</v>
      </c>
      <c r="F1447" s="4">
        <v>1.7758228765649199E-9</v>
      </c>
      <c r="G1447" s="4">
        <v>2.3258500152039601E-8</v>
      </c>
      <c r="H1447" s="10" t="s">
        <v>2908</v>
      </c>
      <c r="I1447" s="10" t="s">
        <v>18</v>
      </c>
    </row>
    <row r="1448" spans="1:9" x14ac:dyDescent="0.2">
      <c r="A1448" s="10" t="s">
        <v>2909</v>
      </c>
      <c r="B1448" s="10">
        <v>13577.111708233801</v>
      </c>
      <c r="C1448" s="10">
        <v>-2.5118897945468199</v>
      </c>
      <c r="D1448" s="10">
        <v>0.51285647226091802</v>
      </c>
      <c r="E1448" s="10">
        <v>-4.8978416582581099</v>
      </c>
      <c r="F1448" s="4">
        <v>9.689506358680179E-7</v>
      </c>
      <c r="G1448" s="4">
        <v>8.3415475436006004E-6</v>
      </c>
      <c r="H1448" s="10" t="s">
        <v>2910</v>
      </c>
      <c r="I1448" s="10" t="s">
        <v>18</v>
      </c>
    </row>
    <row r="1449" spans="1:9" x14ac:dyDescent="0.2">
      <c r="A1449" s="10" t="s">
        <v>2911</v>
      </c>
      <c r="B1449" s="10">
        <v>13335.305712580601</v>
      </c>
      <c r="C1449" s="10">
        <v>-2.8208619426122001</v>
      </c>
      <c r="D1449" s="10">
        <v>0.25392095129083198</v>
      </c>
      <c r="E1449" s="10">
        <v>-11.1092130376484</v>
      </c>
      <c r="F1449" s="4">
        <v>1.1315229717648901E-28</v>
      </c>
      <c r="G1449" s="4">
        <v>8.00794971731897E-27</v>
      </c>
      <c r="H1449" s="10" t="s">
        <v>2912</v>
      </c>
      <c r="I1449" s="10" t="s">
        <v>18</v>
      </c>
    </row>
    <row r="1450" spans="1:9" x14ac:dyDescent="0.2">
      <c r="A1450" s="10" t="s">
        <v>2913</v>
      </c>
      <c r="B1450" s="10">
        <v>8715.3852273939592</v>
      </c>
      <c r="C1450" s="10">
        <v>-1.9354864466566499</v>
      </c>
      <c r="D1450" s="10">
        <v>0.25658429274460398</v>
      </c>
      <c r="E1450" s="10">
        <v>-7.5432772051373203</v>
      </c>
      <c r="F1450" s="4">
        <v>4.58305506579623E-14</v>
      </c>
      <c r="G1450" s="4">
        <v>1.0520177032666399E-12</v>
      </c>
      <c r="H1450" s="10" t="s">
        <v>2914</v>
      </c>
      <c r="I1450" s="10" t="s">
        <v>18</v>
      </c>
    </row>
    <row r="1451" spans="1:9" x14ac:dyDescent="0.2">
      <c r="A1451" s="10" t="s">
        <v>2915</v>
      </c>
      <c r="B1451" s="10">
        <v>19227.5934735302</v>
      </c>
      <c r="C1451" s="10">
        <v>-1.8832075656721099</v>
      </c>
      <c r="D1451" s="10">
        <v>0.240474038559297</v>
      </c>
      <c r="E1451" s="10">
        <v>-7.8312302523573196</v>
      </c>
      <c r="F1451" s="4">
        <v>4.83118960945744E-15</v>
      </c>
      <c r="G1451" s="4">
        <v>1.20324884176313E-13</v>
      </c>
      <c r="H1451" s="10" t="s">
        <v>2916</v>
      </c>
      <c r="I1451" s="10" t="s">
        <v>18</v>
      </c>
    </row>
    <row r="1452" spans="1:9" x14ac:dyDescent="0.2">
      <c r="A1452" s="10" t="s">
        <v>2917</v>
      </c>
      <c r="B1452" s="10">
        <v>9921.5358120211604</v>
      </c>
      <c r="C1452" s="10">
        <v>-2.0907997564174701</v>
      </c>
      <c r="D1452" s="10">
        <v>0.249409795399641</v>
      </c>
      <c r="E1452" s="10">
        <v>-8.3829897421121</v>
      </c>
      <c r="F1452" s="4">
        <v>5.15999744246182E-17</v>
      </c>
      <c r="G1452" s="4">
        <v>1.5348739117331601E-15</v>
      </c>
      <c r="H1452" s="10" t="s">
        <v>2918</v>
      </c>
      <c r="I1452" s="10" t="s">
        <v>18</v>
      </c>
    </row>
    <row r="1453" spans="1:9" x14ac:dyDescent="0.2">
      <c r="A1453" s="10" t="s">
        <v>2919</v>
      </c>
      <c r="B1453" s="10">
        <v>38.849414598910897</v>
      </c>
      <c r="C1453" s="10">
        <v>2.1206405585797499</v>
      </c>
      <c r="D1453" s="10">
        <v>0.61798400890316996</v>
      </c>
      <c r="E1453" s="10">
        <v>3.4315460077091302</v>
      </c>
      <c r="F1453" s="10">
        <v>6.0015132134112401E-4</v>
      </c>
      <c r="G1453" s="10">
        <v>2.81499794329172E-3</v>
      </c>
      <c r="H1453" s="10" t="s">
        <v>2920</v>
      </c>
      <c r="I1453" s="10" t="s">
        <v>18</v>
      </c>
    </row>
    <row r="1454" spans="1:9" x14ac:dyDescent="0.2">
      <c r="A1454" s="10" t="s">
        <v>2921</v>
      </c>
      <c r="B1454" s="10">
        <v>7267.1349627151303</v>
      </c>
      <c r="C1454" s="10">
        <v>-2.9871318753932599</v>
      </c>
      <c r="D1454" s="10">
        <v>0.574620552013137</v>
      </c>
      <c r="E1454" s="10">
        <v>-5.1984424589898204</v>
      </c>
      <c r="F1454" s="4">
        <v>2.0096531330493101E-7</v>
      </c>
      <c r="G1454" s="4">
        <v>1.9427547189078301E-6</v>
      </c>
      <c r="H1454" s="10" t="s">
        <v>2922</v>
      </c>
      <c r="I1454" s="10" t="s">
        <v>18</v>
      </c>
    </row>
    <row r="1455" spans="1:9" x14ac:dyDescent="0.2">
      <c r="A1455" s="10" t="s">
        <v>2923</v>
      </c>
      <c r="B1455" s="10">
        <v>4136.7915538832603</v>
      </c>
      <c r="C1455" s="10">
        <v>-3.1333706024612802</v>
      </c>
      <c r="D1455" s="10">
        <v>0.25894741453951298</v>
      </c>
      <c r="E1455" s="10">
        <v>-12.100412773123701</v>
      </c>
      <c r="F1455" s="4">
        <v>1.0508146334924099E-33</v>
      </c>
      <c r="G1455" s="4">
        <v>1.0225552256702801E-31</v>
      </c>
      <c r="H1455" s="10" t="s">
        <v>2924</v>
      </c>
      <c r="I1455" s="10" t="s">
        <v>18</v>
      </c>
    </row>
    <row r="1456" spans="1:9" x14ac:dyDescent="0.2">
      <c r="A1456" s="10" t="s">
        <v>2925</v>
      </c>
      <c r="B1456" s="10">
        <v>14278.166489674401</v>
      </c>
      <c r="C1456" s="10">
        <v>-1.74589461735928</v>
      </c>
      <c r="D1456" s="10">
        <v>0.54608328199330203</v>
      </c>
      <c r="E1456" s="10">
        <v>-3.1971215287647201</v>
      </c>
      <c r="F1456" s="10">
        <v>1.3880643213961901E-3</v>
      </c>
      <c r="G1456" s="10">
        <v>5.8791525827890396E-3</v>
      </c>
      <c r="H1456" s="10" t="s">
        <v>2926</v>
      </c>
      <c r="I1456" s="10" t="s">
        <v>18</v>
      </c>
    </row>
    <row r="1457" spans="1:9" x14ac:dyDescent="0.2">
      <c r="A1457" s="10" t="s">
        <v>2927</v>
      </c>
      <c r="B1457" s="10">
        <v>6486.1082692360496</v>
      </c>
      <c r="C1457" s="10">
        <v>-1.8586749071586099</v>
      </c>
      <c r="D1457" s="10">
        <v>0.25398355459980498</v>
      </c>
      <c r="E1457" s="10">
        <v>-7.3180915594604903</v>
      </c>
      <c r="F1457" s="4">
        <v>2.5152223753250102E-13</v>
      </c>
      <c r="G1457" s="4">
        <v>5.3582692775981597E-12</v>
      </c>
      <c r="H1457" s="10" t="s">
        <v>2928</v>
      </c>
      <c r="I1457" s="10" t="s">
        <v>18</v>
      </c>
    </row>
    <row r="1458" spans="1:9" x14ac:dyDescent="0.2">
      <c r="A1458" s="10" t="s">
        <v>2929</v>
      </c>
      <c r="B1458" s="10">
        <v>8925.1498650076392</v>
      </c>
      <c r="C1458" s="10">
        <v>-2.37498329141722</v>
      </c>
      <c r="D1458" s="10">
        <v>0.50159183848371602</v>
      </c>
      <c r="E1458" s="10">
        <v>-4.7348922155445496</v>
      </c>
      <c r="F1458" s="4">
        <v>2.1917154301422799E-6</v>
      </c>
      <c r="G1458" s="4">
        <v>1.7678410398190301E-5</v>
      </c>
      <c r="H1458" s="10" t="s">
        <v>2930</v>
      </c>
      <c r="I1458" s="10" t="s">
        <v>18</v>
      </c>
    </row>
    <row r="1459" spans="1:9" x14ac:dyDescent="0.2">
      <c r="A1459" s="10" t="s">
        <v>2931</v>
      </c>
      <c r="B1459" s="10">
        <v>255.30291603907699</v>
      </c>
      <c r="C1459" s="10">
        <v>-1.0116097339775001</v>
      </c>
      <c r="D1459" s="10">
        <v>0.27502314822473201</v>
      </c>
      <c r="E1459" s="10">
        <v>-3.6782712310124199</v>
      </c>
      <c r="F1459" s="10">
        <v>2.34820176499859E-4</v>
      </c>
      <c r="G1459" s="10">
        <v>1.22593319584052E-3</v>
      </c>
      <c r="H1459" s="10" t="s">
        <v>2932</v>
      </c>
      <c r="I1459" s="10" t="s">
        <v>18</v>
      </c>
    </row>
    <row r="1460" spans="1:9" x14ac:dyDescent="0.2">
      <c r="A1460" s="10" t="s">
        <v>2933</v>
      </c>
      <c r="B1460" s="10">
        <v>972.47301857350203</v>
      </c>
      <c r="C1460" s="10">
        <v>-1.77605965107109</v>
      </c>
      <c r="D1460" s="10">
        <v>0.29462389329970901</v>
      </c>
      <c r="E1460" s="10">
        <v>-6.0282268052997798</v>
      </c>
      <c r="F1460" s="4">
        <v>1.6576831454399199E-9</v>
      </c>
      <c r="G1460" s="4">
        <v>2.1851423639962099E-8</v>
      </c>
      <c r="H1460" s="10" t="s">
        <v>2934</v>
      </c>
      <c r="I1460" s="10" t="s">
        <v>18</v>
      </c>
    </row>
    <row r="1461" spans="1:9" x14ac:dyDescent="0.2">
      <c r="A1461" s="10" t="s">
        <v>2935</v>
      </c>
      <c r="B1461" s="10">
        <v>994.37146657169399</v>
      </c>
      <c r="C1461" s="10">
        <v>-2.4537072771876902</v>
      </c>
      <c r="D1461" s="10">
        <v>0.55409914833195995</v>
      </c>
      <c r="E1461" s="10">
        <v>-4.42828198630919</v>
      </c>
      <c r="F1461" s="4">
        <v>9.49866646420354E-6</v>
      </c>
      <c r="G1461" s="4">
        <v>6.7929177204764798E-5</v>
      </c>
      <c r="H1461" s="10" t="s">
        <v>2936</v>
      </c>
      <c r="I1461" s="10" t="s">
        <v>18</v>
      </c>
    </row>
    <row r="1462" spans="1:9" x14ac:dyDescent="0.2">
      <c r="A1462" s="10" t="s">
        <v>2937</v>
      </c>
      <c r="B1462" s="10">
        <v>2337.9532532112798</v>
      </c>
      <c r="C1462" s="10">
        <v>-2.8472124975756499</v>
      </c>
      <c r="D1462" s="10">
        <v>0.57322997975077605</v>
      </c>
      <c r="E1462" s="10">
        <v>-4.9669636937229598</v>
      </c>
      <c r="F1462" s="4">
        <v>6.8009314452287796E-7</v>
      </c>
      <c r="G1462" s="4">
        <v>5.9969248895840996E-6</v>
      </c>
      <c r="H1462" s="10" t="s">
        <v>2938</v>
      </c>
      <c r="I1462" s="10" t="s">
        <v>18</v>
      </c>
    </row>
    <row r="1463" spans="1:9" x14ac:dyDescent="0.2">
      <c r="A1463" s="10" t="s">
        <v>2939</v>
      </c>
      <c r="B1463" s="10">
        <v>452.11931448251897</v>
      </c>
      <c r="C1463" s="10">
        <v>-1.1932765756591599</v>
      </c>
      <c r="D1463" s="10">
        <v>0.228308547308545</v>
      </c>
      <c r="E1463" s="10">
        <v>-5.2265961556249598</v>
      </c>
      <c r="F1463" s="4">
        <v>1.7265904624084399E-7</v>
      </c>
      <c r="G1463" s="4">
        <v>1.68860051433032E-6</v>
      </c>
      <c r="H1463" s="10" t="s">
        <v>2940</v>
      </c>
      <c r="I1463" s="10" t="s">
        <v>18</v>
      </c>
    </row>
    <row r="1464" spans="1:9" x14ac:dyDescent="0.2">
      <c r="A1464" s="10" t="s">
        <v>2941</v>
      </c>
      <c r="B1464" s="10">
        <v>3513.5082319672601</v>
      </c>
      <c r="C1464" s="10">
        <v>-1.3364759726051401</v>
      </c>
      <c r="D1464" s="10">
        <v>0.25270765393518602</v>
      </c>
      <c r="E1464" s="10">
        <v>-5.2886248271210796</v>
      </c>
      <c r="F1464" s="4">
        <v>1.2323937279717699E-7</v>
      </c>
      <c r="G1464" s="4">
        <v>1.23406952980694E-6</v>
      </c>
      <c r="H1464" s="10" t="s">
        <v>2942</v>
      </c>
      <c r="I1464" s="10" t="s">
        <v>18</v>
      </c>
    </row>
    <row r="1465" spans="1:9" x14ac:dyDescent="0.2">
      <c r="A1465" s="10" t="s">
        <v>2943</v>
      </c>
      <c r="B1465" s="10">
        <v>7355.2205539309698</v>
      </c>
      <c r="C1465" s="10">
        <v>-1.5825771347254201</v>
      </c>
      <c r="D1465" s="10">
        <v>0.49499196355909297</v>
      </c>
      <c r="E1465" s="10">
        <v>-3.19717743162205</v>
      </c>
      <c r="F1465" s="10">
        <v>1.3877953252583201E-3</v>
      </c>
      <c r="G1465" s="10">
        <v>5.8789271186743602E-3</v>
      </c>
      <c r="H1465" s="10" t="s">
        <v>2944</v>
      </c>
      <c r="I1465" s="10" t="s">
        <v>18</v>
      </c>
    </row>
    <row r="1466" spans="1:9" x14ac:dyDescent="0.2">
      <c r="A1466" s="10" t="s">
        <v>2945</v>
      </c>
      <c r="B1466" s="10">
        <v>15.228600824035199</v>
      </c>
      <c r="C1466" s="10">
        <v>3.1454804888365002</v>
      </c>
      <c r="D1466" s="10">
        <v>0.99795367037618399</v>
      </c>
      <c r="E1466" s="10">
        <v>3.1519303773398502</v>
      </c>
      <c r="F1466" s="10">
        <v>1.6219494187666801E-3</v>
      </c>
      <c r="G1466" s="10">
        <v>6.7295958296232101E-3</v>
      </c>
      <c r="H1466" s="10" t="s">
        <v>2946</v>
      </c>
      <c r="I1466" s="10" t="s">
        <v>18</v>
      </c>
    </row>
    <row r="1467" spans="1:9" x14ac:dyDescent="0.2">
      <c r="A1467" s="10" t="s">
        <v>2947</v>
      </c>
      <c r="B1467" s="10">
        <v>1245.8622440537799</v>
      </c>
      <c r="C1467" s="10">
        <v>-1.1721563328815701</v>
      </c>
      <c r="D1467" s="10">
        <v>0.25699171800033699</v>
      </c>
      <c r="E1467" s="10">
        <v>-4.5610665666666899</v>
      </c>
      <c r="F1467" s="4">
        <v>5.0894442010208502E-6</v>
      </c>
      <c r="G1467" s="4">
        <v>3.8392050427800398E-5</v>
      </c>
      <c r="H1467" s="10" t="s">
        <v>2948</v>
      </c>
      <c r="I1467" s="10" t="s">
        <v>18</v>
      </c>
    </row>
    <row r="1468" spans="1:9" x14ac:dyDescent="0.2">
      <c r="A1468" s="10" t="s">
        <v>2949</v>
      </c>
      <c r="B1468" s="10">
        <v>1093.64309471408</v>
      </c>
      <c r="C1468" s="10">
        <v>-2.8609837622841998</v>
      </c>
      <c r="D1468" s="10">
        <v>0.564752355530452</v>
      </c>
      <c r="E1468" s="10">
        <v>-5.0659085070959602</v>
      </c>
      <c r="F1468" s="4">
        <v>4.0645711581490299E-7</v>
      </c>
      <c r="G1468" s="4">
        <v>3.7288676884204198E-6</v>
      </c>
      <c r="H1468" s="10" t="s">
        <v>2950</v>
      </c>
      <c r="I1468" s="10" t="s">
        <v>18</v>
      </c>
    </row>
    <row r="1469" spans="1:9" x14ac:dyDescent="0.2">
      <c r="A1469" s="10" t="s">
        <v>2951</v>
      </c>
      <c r="B1469" s="10">
        <v>184.32040445800499</v>
      </c>
      <c r="C1469" s="10">
        <v>-1.26825988181625</v>
      </c>
      <c r="D1469" s="10">
        <v>0.33494511641137797</v>
      </c>
      <c r="E1469" s="10">
        <v>-3.7864707370701902</v>
      </c>
      <c r="F1469" s="10">
        <v>1.5280208128175501E-4</v>
      </c>
      <c r="G1469" s="10">
        <v>8.3905649106892101E-4</v>
      </c>
      <c r="H1469" s="10" t="s">
        <v>2952</v>
      </c>
      <c r="I1469" s="10" t="s">
        <v>18</v>
      </c>
    </row>
    <row r="1470" spans="1:9" x14ac:dyDescent="0.2">
      <c r="A1470" s="10" t="s">
        <v>2953</v>
      </c>
      <c r="B1470" s="10">
        <v>2939.8585633800299</v>
      </c>
      <c r="C1470" s="10">
        <v>-3.3903429040296</v>
      </c>
      <c r="D1470" s="10">
        <v>0.26804765898181399</v>
      </c>
      <c r="E1470" s="10">
        <v>-12.648283954084601</v>
      </c>
      <c r="F1470" s="4">
        <v>1.1434510579630901E-36</v>
      </c>
      <c r="G1470" s="4">
        <v>1.3257706798434199E-34</v>
      </c>
      <c r="H1470" s="10" t="s">
        <v>2954</v>
      </c>
      <c r="I1470" s="10" t="s">
        <v>18</v>
      </c>
    </row>
    <row r="1471" spans="1:9" x14ac:dyDescent="0.2">
      <c r="A1471" s="10" t="s">
        <v>2955</v>
      </c>
      <c r="B1471" s="10">
        <v>8664.8065582094296</v>
      </c>
      <c r="C1471" s="10">
        <v>-2.5195114842678299</v>
      </c>
      <c r="D1471" s="10">
        <v>0.52236078273026898</v>
      </c>
      <c r="E1471" s="10">
        <v>-4.8233166952137596</v>
      </c>
      <c r="F1471" s="4">
        <v>1.41190522456716E-6</v>
      </c>
      <c r="G1471" s="4">
        <v>1.18006692189514E-5</v>
      </c>
      <c r="H1471" s="10" t="s">
        <v>2956</v>
      </c>
      <c r="I1471" s="10" t="s">
        <v>18</v>
      </c>
    </row>
    <row r="1472" spans="1:9" x14ac:dyDescent="0.2">
      <c r="A1472" s="10" t="s">
        <v>2957</v>
      </c>
      <c r="B1472" s="10">
        <v>7881.8984476062897</v>
      </c>
      <c r="C1472" s="10">
        <v>-2.3084040517192799</v>
      </c>
      <c r="D1472" s="10">
        <v>0.58243668325153297</v>
      </c>
      <c r="E1472" s="10">
        <v>-3.96335622068358</v>
      </c>
      <c r="F1472" s="4">
        <v>7.3903380186229897E-5</v>
      </c>
      <c r="G1472" s="10">
        <v>4.3566538293686799E-4</v>
      </c>
      <c r="H1472" s="10" t="s">
        <v>2958</v>
      </c>
      <c r="I1472" s="10" t="s">
        <v>18</v>
      </c>
    </row>
    <row r="1473" spans="1:9" x14ac:dyDescent="0.2">
      <c r="A1473" s="10" t="s">
        <v>2959</v>
      </c>
      <c r="B1473" s="10">
        <v>6560.8903912124897</v>
      </c>
      <c r="C1473" s="10">
        <v>-3.2914768200808302</v>
      </c>
      <c r="D1473" s="10">
        <v>0.61491893893717797</v>
      </c>
      <c r="E1473" s="10">
        <v>-5.3527003506670203</v>
      </c>
      <c r="F1473" s="4">
        <v>8.6651276708025306E-8</v>
      </c>
      <c r="G1473" s="4">
        <v>8.8559164908610898E-7</v>
      </c>
      <c r="H1473" s="10" t="s">
        <v>2960</v>
      </c>
      <c r="I1473" s="10" t="s">
        <v>18</v>
      </c>
    </row>
    <row r="1474" spans="1:9" x14ac:dyDescent="0.2">
      <c r="A1474" s="10" t="s">
        <v>2961</v>
      </c>
      <c r="B1474" s="10">
        <v>1474.62470639654</v>
      </c>
      <c r="C1474" s="10">
        <v>-4.25880714807474</v>
      </c>
      <c r="D1474" s="10">
        <v>0.63241171647722305</v>
      </c>
      <c r="E1474" s="10">
        <v>-6.7342318889946204</v>
      </c>
      <c r="F1474" s="4">
        <v>1.64798175532874E-11</v>
      </c>
      <c r="G1474" s="4">
        <v>2.8329690149805799E-10</v>
      </c>
      <c r="H1474" s="10" t="s">
        <v>2962</v>
      </c>
      <c r="I1474" s="10" t="s">
        <v>18</v>
      </c>
    </row>
    <row r="1475" spans="1:9" x14ac:dyDescent="0.2">
      <c r="A1475" s="10" t="s">
        <v>2963</v>
      </c>
      <c r="B1475" s="10">
        <v>592.17572665713794</v>
      </c>
      <c r="C1475" s="10">
        <v>-1.59836780663804</v>
      </c>
      <c r="D1475" s="10">
        <v>0.24478817930598901</v>
      </c>
      <c r="E1475" s="10">
        <v>-6.5295955514259303</v>
      </c>
      <c r="F1475" s="4">
        <v>6.5947528797573101E-11</v>
      </c>
      <c r="G1475" s="4">
        <v>1.0557416669491599E-9</v>
      </c>
      <c r="H1475" s="10" t="s">
        <v>2964</v>
      </c>
      <c r="I1475" s="10" t="s">
        <v>18</v>
      </c>
    </row>
    <row r="1476" spans="1:9" x14ac:dyDescent="0.2">
      <c r="A1476" s="10" t="s">
        <v>2965</v>
      </c>
      <c r="B1476" s="10">
        <v>4045.9348695738499</v>
      </c>
      <c r="C1476" s="10">
        <v>-1.7513765549564799</v>
      </c>
      <c r="D1476" s="10">
        <v>0.244202264436226</v>
      </c>
      <c r="E1476" s="10">
        <v>-7.1718276609750697</v>
      </c>
      <c r="F1476" s="4">
        <v>7.4003066429908795E-13</v>
      </c>
      <c r="G1476" s="4">
        <v>1.4947083402637001E-11</v>
      </c>
      <c r="H1476" s="10" t="s">
        <v>2966</v>
      </c>
      <c r="I1476" s="10" t="s">
        <v>18</v>
      </c>
    </row>
    <row r="1477" spans="1:9" x14ac:dyDescent="0.2">
      <c r="A1477" s="10" t="s">
        <v>2967</v>
      </c>
      <c r="B1477" s="10">
        <v>4079.18861520053</v>
      </c>
      <c r="C1477" s="10">
        <v>-1.6459450657385</v>
      </c>
      <c r="D1477" s="10">
        <v>0.26008306675493698</v>
      </c>
      <c r="E1477" s="10">
        <v>-6.3285360568644604</v>
      </c>
      <c r="F1477" s="4">
        <v>2.4749802753179199E-10</v>
      </c>
      <c r="G1477" s="4">
        <v>3.6236317872964699E-9</v>
      </c>
      <c r="H1477" s="10" t="s">
        <v>2968</v>
      </c>
      <c r="I1477" s="10" t="s">
        <v>18</v>
      </c>
    </row>
    <row r="1478" spans="1:9" x14ac:dyDescent="0.2">
      <c r="A1478" s="10" t="s">
        <v>2969</v>
      </c>
      <c r="B1478" s="10">
        <v>639.88219695992404</v>
      </c>
      <c r="C1478" s="10">
        <v>-1.9206050153893099</v>
      </c>
      <c r="D1478" s="10">
        <v>0.62940265860676103</v>
      </c>
      <c r="E1478" s="10">
        <v>-3.0514726767134102</v>
      </c>
      <c r="F1478" s="10">
        <v>2.2772177332436899E-3</v>
      </c>
      <c r="G1478" s="10">
        <v>9.0015017521675508E-3</v>
      </c>
      <c r="H1478" s="10" t="s">
        <v>2970</v>
      </c>
      <c r="I1478" s="10" t="s">
        <v>18</v>
      </c>
    </row>
    <row r="1479" spans="1:9" x14ac:dyDescent="0.2">
      <c r="A1479" s="10" t="s">
        <v>2971</v>
      </c>
      <c r="B1479" s="10">
        <v>393.49660176616601</v>
      </c>
      <c r="C1479" s="10">
        <v>-2.37174557155421</v>
      </c>
      <c r="D1479" s="10">
        <v>0.33584458042027698</v>
      </c>
      <c r="E1479" s="10">
        <v>-7.0620331838798798</v>
      </c>
      <c r="F1479" s="4">
        <v>1.6408378766442801E-12</v>
      </c>
      <c r="G1479" s="4">
        <v>3.1730241039692501E-11</v>
      </c>
      <c r="H1479" s="10" t="s">
        <v>2972</v>
      </c>
      <c r="I1479" s="10" t="s">
        <v>18</v>
      </c>
    </row>
    <row r="1480" spans="1:9" x14ac:dyDescent="0.2">
      <c r="A1480" s="10" t="s">
        <v>2973</v>
      </c>
      <c r="B1480" s="10">
        <v>2546.2796428660499</v>
      </c>
      <c r="C1480" s="10">
        <v>-3.1182833158530898</v>
      </c>
      <c r="D1480" s="10">
        <v>0.56955973292213502</v>
      </c>
      <c r="E1480" s="10">
        <v>-5.4749012888511102</v>
      </c>
      <c r="F1480" s="4">
        <v>4.3775556025139698E-8</v>
      </c>
      <c r="G1480" s="4">
        <v>4.73690458704123E-7</v>
      </c>
      <c r="H1480" s="10" t="s">
        <v>2974</v>
      </c>
      <c r="I1480" s="10" t="s">
        <v>18</v>
      </c>
    </row>
    <row r="1481" spans="1:9" x14ac:dyDescent="0.2">
      <c r="A1481" s="10" t="s">
        <v>2975</v>
      </c>
      <c r="B1481" s="10">
        <v>28.554842810199201</v>
      </c>
      <c r="C1481" s="10">
        <v>-3.02368515396594</v>
      </c>
      <c r="D1481" s="10">
        <v>0.73778887046951203</v>
      </c>
      <c r="E1481" s="10">
        <v>-4.0983068124106303</v>
      </c>
      <c r="F1481" s="4">
        <v>4.1618338773910299E-5</v>
      </c>
      <c r="G1481" s="10">
        <v>2.5872116736772401E-4</v>
      </c>
      <c r="H1481" s="10" t="s">
        <v>2976</v>
      </c>
      <c r="I1481" s="10" t="s">
        <v>18</v>
      </c>
    </row>
    <row r="1482" spans="1:9" x14ac:dyDescent="0.2">
      <c r="A1482" s="10" t="s">
        <v>2977</v>
      </c>
      <c r="B1482" s="10">
        <v>5143.3365398599199</v>
      </c>
      <c r="C1482" s="10">
        <v>-2.1713232023087499</v>
      </c>
      <c r="D1482" s="10">
        <v>0.49570146453024699</v>
      </c>
      <c r="E1482" s="10">
        <v>-4.3803041904796798</v>
      </c>
      <c r="F1482" s="4">
        <v>1.18513748363342E-5</v>
      </c>
      <c r="G1482" s="4">
        <v>8.2841049298511605E-5</v>
      </c>
      <c r="H1482" s="10" t="s">
        <v>2978</v>
      </c>
      <c r="I1482" s="10" t="s">
        <v>18</v>
      </c>
    </row>
    <row r="1483" spans="1:9" x14ac:dyDescent="0.2">
      <c r="A1483" s="10" t="s">
        <v>2979</v>
      </c>
      <c r="B1483" s="10">
        <v>8.4039399316676793</v>
      </c>
      <c r="C1483" s="10">
        <v>3.3036818090961502</v>
      </c>
      <c r="D1483" s="10">
        <v>1.3446065110143599</v>
      </c>
      <c r="E1483" s="10">
        <v>2.45698781170104</v>
      </c>
      <c r="F1483" s="10">
        <v>1.40107440068234E-2</v>
      </c>
      <c r="G1483" s="10">
        <v>4.22290643754335E-2</v>
      </c>
      <c r="H1483" s="10" t="s">
        <v>2980</v>
      </c>
      <c r="I1483" s="10" t="s">
        <v>18</v>
      </c>
    </row>
    <row r="1484" spans="1:9" x14ac:dyDescent="0.2">
      <c r="A1484" s="10" t="s">
        <v>2981</v>
      </c>
      <c r="B1484" s="10">
        <v>179.336494688426</v>
      </c>
      <c r="C1484" s="10">
        <v>1.9301338264812899</v>
      </c>
      <c r="D1484" s="10">
        <v>0.32778359265123203</v>
      </c>
      <c r="E1484" s="10">
        <v>5.8884394147665402</v>
      </c>
      <c r="F1484" s="4">
        <v>3.8985941322703501E-9</v>
      </c>
      <c r="G1484" s="4">
        <v>4.9155480944919198E-8</v>
      </c>
      <c r="H1484" s="10" t="s">
        <v>2982</v>
      </c>
      <c r="I1484" s="10" t="s">
        <v>18</v>
      </c>
    </row>
    <row r="1485" spans="1:9" x14ac:dyDescent="0.2">
      <c r="A1485" s="10" t="s">
        <v>2983</v>
      </c>
      <c r="B1485" s="10">
        <v>35.059180009529598</v>
      </c>
      <c r="C1485" s="10">
        <v>-2.01707597039033</v>
      </c>
      <c r="D1485" s="10">
        <v>0.60853213964820796</v>
      </c>
      <c r="E1485" s="10">
        <v>-3.3146580746850902</v>
      </c>
      <c r="F1485" s="10">
        <v>9.1755284519379101E-4</v>
      </c>
      <c r="G1485" s="10">
        <v>4.0937344173774303E-3</v>
      </c>
      <c r="H1485" s="10" t="s">
        <v>2984</v>
      </c>
      <c r="I1485" s="10" t="s">
        <v>18</v>
      </c>
    </row>
    <row r="1486" spans="1:9" x14ac:dyDescent="0.2">
      <c r="A1486" s="10" t="s">
        <v>2985</v>
      </c>
      <c r="B1486" s="10">
        <v>146.79586202125901</v>
      </c>
      <c r="C1486" s="10">
        <v>4.6371730386727297</v>
      </c>
      <c r="D1486" s="10">
        <v>0.43716393655847302</v>
      </c>
      <c r="E1486" s="10">
        <v>10.607400681717699</v>
      </c>
      <c r="F1486" s="4">
        <v>2.7530139452424098E-26</v>
      </c>
      <c r="G1486" s="4">
        <v>1.68186930417085E-24</v>
      </c>
      <c r="H1486" s="10" t="s">
        <v>2986</v>
      </c>
      <c r="I1486" s="10" t="s">
        <v>18</v>
      </c>
    </row>
    <row r="1487" spans="1:9" x14ac:dyDescent="0.2">
      <c r="A1487" s="10" t="s">
        <v>2987</v>
      </c>
      <c r="B1487" s="10">
        <v>531.06613509986801</v>
      </c>
      <c r="C1487" s="10">
        <v>-1.46002561019914</v>
      </c>
      <c r="D1487" s="10">
        <v>0.27586416549326098</v>
      </c>
      <c r="E1487" s="10">
        <v>-5.29255261403208</v>
      </c>
      <c r="F1487" s="4">
        <v>1.2062075088905801E-7</v>
      </c>
      <c r="G1487" s="4">
        <v>1.21051697954849E-6</v>
      </c>
      <c r="H1487" s="10" t="s">
        <v>2988</v>
      </c>
      <c r="I1487" s="10" t="s">
        <v>18</v>
      </c>
    </row>
    <row r="1488" spans="1:9" x14ac:dyDescent="0.2">
      <c r="A1488" s="10" t="s">
        <v>2989</v>
      </c>
      <c r="B1488" s="10">
        <v>48392.021662369101</v>
      </c>
      <c r="C1488" s="10">
        <v>-1.8643417983686801</v>
      </c>
      <c r="D1488" s="10">
        <v>0.21924967647356999</v>
      </c>
      <c r="E1488" s="10">
        <v>-8.5032818672980692</v>
      </c>
      <c r="F1488" s="4">
        <v>1.8430467750427901E-17</v>
      </c>
      <c r="G1488" s="4">
        <v>5.7260542166010205E-16</v>
      </c>
      <c r="H1488" s="10" t="s">
        <v>2990</v>
      </c>
      <c r="I1488" s="10" t="s">
        <v>18</v>
      </c>
    </row>
    <row r="1489" spans="1:9" x14ac:dyDescent="0.2">
      <c r="A1489" s="10" t="s">
        <v>2991</v>
      </c>
      <c r="B1489" s="10">
        <v>4080.62079517252</v>
      </c>
      <c r="C1489" s="10">
        <v>1.3787630368105801</v>
      </c>
      <c r="D1489" s="10">
        <v>0.19877684711468599</v>
      </c>
      <c r="E1489" s="10">
        <v>6.93623556678659</v>
      </c>
      <c r="F1489" s="4">
        <v>4.0268592357834698E-12</v>
      </c>
      <c r="G1489" s="4">
        <v>7.3985052998915904E-11</v>
      </c>
      <c r="H1489" s="10" t="s">
        <v>2992</v>
      </c>
      <c r="I1489" s="10" t="s">
        <v>18</v>
      </c>
    </row>
    <row r="1490" spans="1:9" x14ac:dyDescent="0.2">
      <c r="A1490" s="10" t="s">
        <v>2993</v>
      </c>
      <c r="B1490" s="10">
        <v>2622.4314196550299</v>
      </c>
      <c r="C1490" s="10">
        <v>-1.6096818257937799</v>
      </c>
      <c r="D1490" s="10">
        <v>0.21263063838214</v>
      </c>
      <c r="E1490" s="10">
        <v>-7.57031930130813</v>
      </c>
      <c r="F1490" s="4">
        <v>3.7230797681573801E-14</v>
      </c>
      <c r="G1490" s="4">
        <v>8.5968435968630599E-13</v>
      </c>
      <c r="H1490" s="10" t="s">
        <v>2994</v>
      </c>
      <c r="I1490" s="10" t="s">
        <v>18</v>
      </c>
    </row>
    <row r="1491" spans="1:9" x14ac:dyDescent="0.2">
      <c r="A1491" s="10" t="s">
        <v>2995</v>
      </c>
      <c r="B1491" s="10">
        <v>541.38982179635104</v>
      </c>
      <c r="C1491" s="10">
        <v>-1.3854551812521001</v>
      </c>
      <c r="D1491" s="10">
        <v>0.23266217813057499</v>
      </c>
      <c r="E1491" s="10">
        <v>-5.9547933075506299</v>
      </c>
      <c r="F1491" s="4">
        <v>2.6040072089388598E-9</v>
      </c>
      <c r="G1491" s="4">
        <v>3.3373181760092703E-8</v>
      </c>
      <c r="H1491" s="10" t="s">
        <v>2996</v>
      </c>
      <c r="I1491" s="10" t="s">
        <v>18</v>
      </c>
    </row>
    <row r="1492" spans="1:9" x14ac:dyDescent="0.2">
      <c r="A1492" s="10" t="s">
        <v>2997</v>
      </c>
      <c r="B1492" s="10">
        <v>1107.8826929325401</v>
      </c>
      <c r="C1492" s="10">
        <v>1.4369929756565001</v>
      </c>
      <c r="D1492" s="10">
        <v>0.22351205528291801</v>
      </c>
      <c r="E1492" s="10">
        <v>6.4291519928872498</v>
      </c>
      <c r="F1492" s="4">
        <v>1.28317772568847E-10</v>
      </c>
      <c r="G1492" s="4">
        <v>1.9664085203506002E-9</v>
      </c>
      <c r="H1492" s="10" t="s">
        <v>2998</v>
      </c>
      <c r="I1492" s="10" t="s">
        <v>18</v>
      </c>
    </row>
    <row r="1493" spans="1:9" x14ac:dyDescent="0.2">
      <c r="A1493" s="10" t="s">
        <v>2999</v>
      </c>
      <c r="B1493" s="10">
        <v>566.30343293385101</v>
      </c>
      <c r="C1493" s="10">
        <v>-2.1165581691999602</v>
      </c>
      <c r="D1493" s="10">
        <v>0.254947652982699</v>
      </c>
      <c r="E1493" s="10">
        <v>-8.3019323552807602</v>
      </c>
      <c r="F1493" s="4">
        <v>1.02431526463002E-16</v>
      </c>
      <c r="G1493" s="4">
        <v>2.9849751888100802E-15</v>
      </c>
      <c r="H1493" s="10" t="s">
        <v>3000</v>
      </c>
      <c r="I1493" s="10" t="s">
        <v>18</v>
      </c>
    </row>
    <row r="1494" spans="1:9" x14ac:dyDescent="0.2">
      <c r="A1494" s="10" t="s">
        <v>3001</v>
      </c>
      <c r="B1494" s="10">
        <v>162.230847228345</v>
      </c>
      <c r="C1494" s="10">
        <v>1.46634554723082</v>
      </c>
      <c r="D1494" s="10">
        <v>0.31192553385342098</v>
      </c>
      <c r="E1494" s="10">
        <v>4.7009474636977897</v>
      </c>
      <c r="F1494" s="4">
        <v>2.5895713886772199E-6</v>
      </c>
      <c r="G1494" s="4">
        <v>2.0558872851774001E-5</v>
      </c>
      <c r="H1494" s="10" t="s">
        <v>3002</v>
      </c>
      <c r="I1494" s="10" t="s">
        <v>18</v>
      </c>
    </row>
    <row r="1495" spans="1:9" x14ac:dyDescent="0.2">
      <c r="A1495" s="10" t="s">
        <v>3003</v>
      </c>
      <c r="B1495" s="10">
        <v>6477.9624700586601</v>
      </c>
      <c r="C1495" s="10">
        <v>-1.35638718470913</v>
      </c>
      <c r="D1495" s="10">
        <v>0.20984393777362301</v>
      </c>
      <c r="E1495" s="10">
        <v>-6.4637901818845398</v>
      </c>
      <c r="F1495" s="4">
        <v>1.02112434851817E-10</v>
      </c>
      <c r="G1495" s="4">
        <v>1.58623575393812E-9</v>
      </c>
      <c r="H1495" s="10" t="s">
        <v>3004</v>
      </c>
      <c r="I1495" s="10" t="s">
        <v>18</v>
      </c>
    </row>
    <row r="1496" spans="1:9" x14ac:dyDescent="0.2">
      <c r="A1496" s="10" t="s">
        <v>3005</v>
      </c>
      <c r="B1496" s="10">
        <v>2882.1363380647699</v>
      </c>
      <c r="C1496" s="10">
        <v>-1.4986681806297499</v>
      </c>
      <c r="D1496" s="10">
        <v>0.205507244892914</v>
      </c>
      <c r="E1496" s="10">
        <v>-7.2925321022656497</v>
      </c>
      <c r="F1496" s="4">
        <v>3.0418305556491302E-13</v>
      </c>
      <c r="G1496" s="4">
        <v>6.4348413936158302E-12</v>
      </c>
      <c r="H1496" s="10" t="s">
        <v>3006</v>
      </c>
      <c r="I1496" s="10" t="s">
        <v>18</v>
      </c>
    </row>
    <row r="1497" spans="1:9" x14ac:dyDescent="0.2">
      <c r="A1497" s="10" t="s">
        <v>3007</v>
      </c>
      <c r="B1497" s="10">
        <v>1051.37278887871</v>
      </c>
      <c r="C1497" s="10">
        <v>-1.2576459274087299</v>
      </c>
      <c r="D1497" s="10">
        <v>0.252786338799738</v>
      </c>
      <c r="E1497" s="10">
        <v>-4.9751340732264104</v>
      </c>
      <c r="F1497" s="4">
        <v>6.5202495150703302E-7</v>
      </c>
      <c r="G1497" s="4">
        <v>5.7662200109419501E-6</v>
      </c>
      <c r="H1497" s="10" t="s">
        <v>3008</v>
      </c>
      <c r="I1497" s="10" t="s">
        <v>18</v>
      </c>
    </row>
    <row r="1498" spans="1:9" x14ac:dyDescent="0.2">
      <c r="A1498" s="10" t="s">
        <v>3009</v>
      </c>
      <c r="B1498" s="10">
        <v>325.25550916837301</v>
      </c>
      <c r="C1498" s="10">
        <v>-2.7665089364072002</v>
      </c>
      <c r="D1498" s="10">
        <v>0.29314389954972497</v>
      </c>
      <c r="E1498" s="10">
        <v>-9.4373750934493597</v>
      </c>
      <c r="F1498" s="4">
        <v>3.8223464862390997E-21</v>
      </c>
      <c r="G1498" s="4">
        <v>1.6324055597266001E-19</v>
      </c>
      <c r="H1498" s="10" t="s">
        <v>3010</v>
      </c>
      <c r="I1498" s="10" t="s">
        <v>18</v>
      </c>
    </row>
    <row r="1499" spans="1:9" x14ac:dyDescent="0.2">
      <c r="A1499" s="10" t="s">
        <v>3011</v>
      </c>
      <c r="B1499" s="10">
        <v>253.04870471155499</v>
      </c>
      <c r="C1499" s="10">
        <v>-1.1381886402145001</v>
      </c>
      <c r="D1499" s="10">
        <v>0.29227337945123799</v>
      </c>
      <c r="E1499" s="10">
        <v>-3.8942603748296198</v>
      </c>
      <c r="F1499" s="4">
        <v>9.8498805729266596E-5</v>
      </c>
      <c r="G1499" s="10">
        <v>5.6441576439649399E-4</v>
      </c>
      <c r="H1499" s="10" t="s">
        <v>3012</v>
      </c>
      <c r="I1499" s="10" t="s">
        <v>18</v>
      </c>
    </row>
    <row r="1500" spans="1:9" x14ac:dyDescent="0.2">
      <c r="A1500" s="10" t="s">
        <v>3013</v>
      </c>
      <c r="B1500" s="10">
        <v>154.11050164326301</v>
      </c>
      <c r="C1500" s="10">
        <v>2.2086531179302802</v>
      </c>
      <c r="D1500" s="10">
        <v>0.33963787278751201</v>
      </c>
      <c r="E1500" s="10">
        <v>6.5029647600934197</v>
      </c>
      <c r="F1500" s="4">
        <v>7.8752249643643903E-11</v>
      </c>
      <c r="G1500" s="4">
        <v>1.2439203165451399E-9</v>
      </c>
      <c r="H1500" s="10" t="s">
        <v>3014</v>
      </c>
      <c r="I1500" s="10" t="s">
        <v>18</v>
      </c>
    </row>
    <row r="1501" spans="1:9" x14ac:dyDescent="0.2">
      <c r="A1501" s="10" t="s">
        <v>3015</v>
      </c>
      <c r="B1501" s="10">
        <v>53.505192505004302</v>
      </c>
      <c r="C1501" s="10">
        <v>1.57769957475784</v>
      </c>
      <c r="D1501" s="10">
        <v>0.51464960402860205</v>
      </c>
      <c r="E1501" s="10">
        <v>3.0655800809091001</v>
      </c>
      <c r="F1501" s="10">
        <v>2.1724819132648999E-3</v>
      </c>
      <c r="G1501" s="10">
        <v>8.6565683958362994E-3</v>
      </c>
      <c r="H1501" s="10" t="s">
        <v>3016</v>
      </c>
      <c r="I1501" s="10" t="s">
        <v>18</v>
      </c>
    </row>
    <row r="1502" spans="1:9" x14ac:dyDescent="0.2">
      <c r="A1502" s="10" t="s">
        <v>3017</v>
      </c>
      <c r="B1502" s="10">
        <v>2764.7423618501298</v>
      </c>
      <c r="C1502" s="10">
        <v>2.2601458566065098</v>
      </c>
      <c r="D1502" s="10">
        <v>0.20957722740881399</v>
      </c>
      <c r="E1502" s="10">
        <v>10.784310321071899</v>
      </c>
      <c r="F1502" s="4">
        <v>4.0829442643385198E-27</v>
      </c>
      <c r="G1502" s="4">
        <v>2.6237731691139502E-25</v>
      </c>
      <c r="H1502" s="10" t="s">
        <v>3018</v>
      </c>
      <c r="I1502" s="10" t="s">
        <v>18</v>
      </c>
    </row>
    <row r="1503" spans="1:9" x14ac:dyDescent="0.2">
      <c r="A1503" s="10" t="s">
        <v>3019</v>
      </c>
      <c r="B1503" s="10">
        <v>323.09742426004902</v>
      </c>
      <c r="C1503" s="10">
        <v>7.9611719653014603</v>
      </c>
      <c r="D1503" s="10">
        <v>0.691600599468852</v>
      </c>
      <c r="E1503" s="10">
        <v>11.511227681722101</v>
      </c>
      <c r="F1503" s="4">
        <v>1.1581777242921E-30</v>
      </c>
      <c r="G1503" s="4">
        <v>9.5050808595743796E-29</v>
      </c>
      <c r="H1503" s="10" t="s">
        <v>3020</v>
      </c>
      <c r="I1503" s="10" t="s">
        <v>18</v>
      </c>
    </row>
    <row r="1504" spans="1:9" x14ac:dyDescent="0.2">
      <c r="A1504" s="10" t="s">
        <v>3021</v>
      </c>
      <c r="B1504" s="10">
        <v>6857.86217057671</v>
      </c>
      <c r="C1504" s="10">
        <v>-1.03388776626378</v>
      </c>
      <c r="D1504" s="10">
        <v>0.207160701368648</v>
      </c>
      <c r="E1504" s="10">
        <v>-4.9907523938334002</v>
      </c>
      <c r="F1504" s="4">
        <v>6.0144555141321003E-7</v>
      </c>
      <c r="G1504" s="4">
        <v>5.3433945516217804E-6</v>
      </c>
      <c r="H1504" s="10" t="s">
        <v>3022</v>
      </c>
      <c r="I1504" s="10" t="s">
        <v>18</v>
      </c>
    </row>
    <row r="1505" spans="1:9" x14ac:dyDescent="0.2">
      <c r="A1505" s="10" t="s">
        <v>3023</v>
      </c>
      <c r="B1505" s="10">
        <v>2376.7171842704302</v>
      </c>
      <c r="C1505" s="10">
        <v>-1.01565264887249</v>
      </c>
      <c r="D1505" s="10">
        <v>0.23405743239475599</v>
      </c>
      <c r="E1505" s="10">
        <v>-4.3393309004583003</v>
      </c>
      <c r="F1505" s="4">
        <v>1.42917189151771E-5</v>
      </c>
      <c r="G1505" s="4">
        <v>9.8136710000460995E-5</v>
      </c>
      <c r="H1505" s="10" t="s">
        <v>3024</v>
      </c>
      <c r="I1505" s="10" t="s">
        <v>18</v>
      </c>
    </row>
    <row r="1506" spans="1:9" x14ac:dyDescent="0.2">
      <c r="A1506" s="10" t="s">
        <v>3025</v>
      </c>
      <c r="B1506" s="10">
        <v>1525.8428048445101</v>
      </c>
      <c r="C1506" s="10">
        <v>-1.19847107598795</v>
      </c>
      <c r="D1506" s="10">
        <v>0.23152551655148601</v>
      </c>
      <c r="E1506" s="10">
        <v>-5.1764103319533596</v>
      </c>
      <c r="F1506" s="4">
        <v>2.2619568700929301E-7</v>
      </c>
      <c r="G1506" s="4">
        <v>2.16554950243929E-6</v>
      </c>
      <c r="H1506" s="10" t="s">
        <v>3026</v>
      </c>
      <c r="I1506" s="10" t="s">
        <v>18</v>
      </c>
    </row>
    <row r="1507" spans="1:9" x14ac:dyDescent="0.2">
      <c r="A1507" s="10" t="s">
        <v>3027</v>
      </c>
      <c r="B1507" s="10">
        <v>1583.3267192246799</v>
      </c>
      <c r="C1507" s="10">
        <v>1.3128618754777599</v>
      </c>
      <c r="D1507" s="10">
        <v>0.22862732217675399</v>
      </c>
      <c r="E1507" s="10">
        <v>5.7423664983609504</v>
      </c>
      <c r="F1507" s="4">
        <v>9.3362479246862405E-9</v>
      </c>
      <c r="G1507" s="4">
        <v>1.1113357239140499E-7</v>
      </c>
      <c r="H1507" s="10" t="s">
        <v>3028</v>
      </c>
      <c r="I1507" s="10" t="s">
        <v>18</v>
      </c>
    </row>
    <row r="1508" spans="1:9" x14ac:dyDescent="0.2">
      <c r="A1508" s="10" t="s">
        <v>3029</v>
      </c>
      <c r="B1508" s="10">
        <v>816.23496516269597</v>
      </c>
      <c r="C1508" s="10">
        <v>7.5299586250413197</v>
      </c>
      <c r="D1508" s="10">
        <v>0.41012006599616102</v>
      </c>
      <c r="E1508" s="10">
        <v>18.360376020011199</v>
      </c>
      <c r="F1508" s="4">
        <v>2.7271229632359199E-75</v>
      </c>
      <c r="G1508" s="4">
        <v>1.5809770080699801E-72</v>
      </c>
      <c r="H1508" s="10" t="s">
        <v>3030</v>
      </c>
      <c r="I1508" s="10" t="s">
        <v>18</v>
      </c>
    </row>
    <row r="1509" spans="1:9" x14ac:dyDescent="0.2">
      <c r="A1509" s="10" t="s">
        <v>3031</v>
      </c>
      <c r="B1509" s="10">
        <v>13277.7282815037</v>
      </c>
      <c r="C1509" s="10">
        <v>-1.2347579557923101</v>
      </c>
      <c r="D1509" s="10">
        <v>0.17601628312471901</v>
      </c>
      <c r="E1509" s="10">
        <v>-7.0150211893601098</v>
      </c>
      <c r="F1509" s="4">
        <v>2.29914108760808E-12</v>
      </c>
      <c r="G1509" s="4">
        <v>4.3503261954206397E-11</v>
      </c>
      <c r="H1509" s="10" t="s">
        <v>3032</v>
      </c>
      <c r="I1509" s="10" t="s">
        <v>18</v>
      </c>
    </row>
    <row r="1510" spans="1:9" x14ac:dyDescent="0.2">
      <c r="A1510" s="10" t="s">
        <v>3033</v>
      </c>
      <c r="B1510" s="10">
        <v>1783.79731231304</v>
      </c>
      <c r="C1510" s="10">
        <v>-1.11971416273003</v>
      </c>
      <c r="D1510" s="10">
        <v>0.18461571051179801</v>
      </c>
      <c r="E1510" s="10">
        <v>-6.0651076748881296</v>
      </c>
      <c r="F1510" s="4">
        <v>1.31865279273647E-9</v>
      </c>
      <c r="G1510" s="4">
        <v>1.76817581907927E-8</v>
      </c>
      <c r="H1510" s="10" t="s">
        <v>3034</v>
      </c>
      <c r="I1510" s="10" t="s">
        <v>18</v>
      </c>
    </row>
    <row r="1511" spans="1:9" x14ac:dyDescent="0.2">
      <c r="A1511" s="10" t="s">
        <v>3035</v>
      </c>
      <c r="B1511" s="10">
        <v>5738.4603629226203</v>
      </c>
      <c r="C1511" s="10">
        <v>-1.0722312301482499</v>
      </c>
      <c r="D1511" s="10">
        <v>0.18785884687437901</v>
      </c>
      <c r="E1511" s="10">
        <v>-5.7076429882764499</v>
      </c>
      <c r="F1511" s="4">
        <v>1.14551377503678E-8</v>
      </c>
      <c r="G1511" s="4">
        <v>1.3488251438386799E-7</v>
      </c>
      <c r="H1511" s="10" t="s">
        <v>3036</v>
      </c>
      <c r="I1511" s="10" t="s">
        <v>18</v>
      </c>
    </row>
    <row r="1512" spans="1:9" x14ac:dyDescent="0.2">
      <c r="A1512" s="10" t="s">
        <v>3037</v>
      </c>
      <c r="B1512" s="10">
        <v>3780.1733849557099</v>
      </c>
      <c r="C1512" s="10">
        <v>-1.18166564163915</v>
      </c>
      <c r="D1512" s="10">
        <v>0.17390781194559601</v>
      </c>
      <c r="E1512" s="10">
        <v>-6.7947818353830796</v>
      </c>
      <c r="F1512" s="4">
        <v>1.0847655694800901E-11</v>
      </c>
      <c r="G1512" s="4">
        <v>1.91181160877258E-10</v>
      </c>
      <c r="H1512" s="10" t="s">
        <v>3038</v>
      </c>
      <c r="I1512" s="10" t="s">
        <v>18</v>
      </c>
    </row>
    <row r="1513" spans="1:9" x14ac:dyDescent="0.2">
      <c r="A1513" s="10" t="s">
        <v>3039</v>
      </c>
      <c r="B1513" s="10">
        <v>22.496670440547199</v>
      </c>
      <c r="C1513" s="10">
        <v>6.4304071076716101</v>
      </c>
      <c r="D1513" s="10">
        <v>1.5883733206350801</v>
      </c>
      <c r="E1513" s="10">
        <v>4.0484230150003704</v>
      </c>
      <c r="F1513" s="4">
        <v>5.1563889050066097E-5</v>
      </c>
      <c r="G1513" s="10">
        <v>3.1466098207103102E-4</v>
      </c>
      <c r="H1513" s="10" t="s">
        <v>3040</v>
      </c>
      <c r="I1513" s="10" t="s">
        <v>18</v>
      </c>
    </row>
    <row r="1514" spans="1:9" x14ac:dyDescent="0.2">
      <c r="A1514" s="10" t="s">
        <v>3041</v>
      </c>
      <c r="B1514" s="10">
        <v>630.73906101448495</v>
      </c>
      <c r="C1514" s="10">
        <v>1.1999790537618</v>
      </c>
      <c r="D1514" s="10">
        <v>0.239860059844762</v>
      </c>
      <c r="E1514" s="10">
        <v>5.0028297939157902</v>
      </c>
      <c r="F1514" s="4">
        <v>5.6494818170936199E-7</v>
      </c>
      <c r="G1514" s="4">
        <v>5.0419728486848998E-6</v>
      </c>
      <c r="H1514" s="10" t="s">
        <v>3042</v>
      </c>
      <c r="I1514" s="10" t="s">
        <v>18</v>
      </c>
    </row>
    <row r="1515" spans="1:9" x14ac:dyDescent="0.2">
      <c r="A1515" s="10" t="s">
        <v>3043</v>
      </c>
      <c r="B1515" s="10">
        <v>19.5707867872019</v>
      </c>
      <c r="C1515" s="10">
        <v>2.5589342815443801</v>
      </c>
      <c r="D1515" s="10">
        <v>0.827872554480092</v>
      </c>
      <c r="E1515" s="10">
        <v>3.0909761021748099</v>
      </c>
      <c r="F1515" s="10">
        <v>1.99499689617837E-3</v>
      </c>
      <c r="G1515" s="10">
        <v>8.0363217667315297E-3</v>
      </c>
      <c r="H1515" s="10" t="s">
        <v>3044</v>
      </c>
      <c r="I1515" s="10" t="s">
        <v>18</v>
      </c>
    </row>
    <row r="1516" spans="1:9" x14ac:dyDescent="0.2">
      <c r="A1516" s="10" t="s">
        <v>3045</v>
      </c>
      <c r="B1516" s="10">
        <v>1913.6396519800501</v>
      </c>
      <c r="C1516" s="10">
        <v>-1.2591011581288301</v>
      </c>
      <c r="D1516" s="10">
        <v>0.18348879050400699</v>
      </c>
      <c r="E1516" s="10">
        <v>-6.8620058733306104</v>
      </c>
      <c r="F1516" s="4">
        <v>6.7900271282774304E-12</v>
      </c>
      <c r="G1516" s="4">
        <v>1.2147594823649101E-10</v>
      </c>
      <c r="H1516" s="10" t="s">
        <v>3046</v>
      </c>
      <c r="I1516" s="10" t="s">
        <v>18</v>
      </c>
    </row>
    <row r="1517" spans="1:9" x14ac:dyDescent="0.2">
      <c r="A1517" s="10" t="s">
        <v>3047</v>
      </c>
      <c r="B1517" s="10">
        <v>3028.9239345113801</v>
      </c>
      <c r="C1517" s="10">
        <v>1.2931941127756099</v>
      </c>
      <c r="D1517" s="10">
        <v>0.18538404691951799</v>
      </c>
      <c r="E1517" s="10">
        <v>6.9757572685692297</v>
      </c>
      <c r="F1517" s="4">
        <v>3.0422760062326702E-12</v>
      </c>
      <c r="G1517" s="4">
        <v>5.67759550286448E-11</v>
      </c>
      <c r="H1517" s="10" t="s">
        <v>3048</v>
      </c>
      <c r="I1517" s="10" t="s">
        <v>18</v>
      </c>
    </row>
    <row r="1518" spans="1:9" x14ac:dyDescent="0.2">
      <c r="A1518" s="10" t="s">
        <v>3049</v>
      </c>
      <c r="B1518" s="10">
        <v>6.6041831042441599</v>
      </c>
      <c r="C1518" s="10">
        <v>4.6244618539203399</v>
      </c>
      <c r="D1518" s="10">
        <v>1.87943426926155</v>
      </c>
      <c r="E1518" s="10">
        <v>2.4605605684402798</v>
      </c>
      <c r="F1518" s="10">
        <v>1.38720154986405E-2</v>
      </c>
      <c r="G1518" s="10">
        <v>4.1857232147448298E-2</v>
      </c>
      <c r="H1518" s="10" t="s">
        <v>3050</v>
      </c>
      <c r="I1518" s="10" t="s">
        <v>18</v>
      </c>
    </row>
    <row r="1519" spans="1:9" x14ac:dyDescent="0.2">
      <c r="A1519" s="10" t="s">
        <v>3051</v>
      </c>
      <c r="B1519" s="10">
        <v>39.497260292520302</v>
      </c>
      <c r="C1519" s="10">
        <v>5.2190934418674502</v>
      </c>
      <c r="D1519" s="10">
        <v>0.88819496003770204</v>
      </c>
      <c r="E1519" s="10">
        <v>5.8760673913820796</v>
      </c>
      <c r="F1519" s="4">
        <v>4.2012734745748E-9</v>
      </c>
      <c r="G1519" s="4">
        <v>5.2630849821489502E-8</v>
      </c>
      <c r="H1519" s="10" t="s">
        <v>3052</v>
      </c>
      <c r="I1519" s="10" t="s">
        <v>18</v>
      </c>
    </row>
    <row r="1520" spans="1:9" x14ac:dyDescent="0.2">
      <c r="A1520" s="10" t="s">
        <v>3053</v>
      </c>
      <c r="B1520" s="10">
        <v>34.962125712596503</v>
      </c>
      <c r="C1520" s="10">
        <v>2.6165463469348298</v>
      </c>
      <c r="D1520" s="10">
        <v>0.63150161503907198</v>
      </c>
      <c r="E1520" s="10">
        <v>4.1433723756556597</v>
      </c>
      <c r="F1520" s="4">
        <v>3.42235562613847E-5</v>
      </c>
      <c r="G1520" s="10">
        <v>2.1670730755541E-4</v>
      </c>
      <c r="H1520" s="10" t="s">
        <v>3054</v>
      </c>
      <c r="I1520" s="10" t="s">
        <v>18</v>
      </c>
    </row>
    <row r="1521" spans="1:9" x14ac:dyDescent="0.2">
      <c r="A1521" s="10" t="s">
        <v>3055</v>
      </c>
      <c r="B1521" s="10">
        <v>2889.2496566499099</v>
      </c>
      <c r="C1521" s="10">
        <v>-1.2539364903822099</v>
      </c>
      <c r="D1521" s="10">
        <v>0.17767431608391601</v>
      </c>
      <c r="E1521" s="10">
        <v>-7.0575000260025096</v>
      </c>
      <c r="F1521" s="4">
        <v>1.69524734139459E-12</v>
      </c>
      <c r="G1521" s="4">
        <v>3.2712750928454901E-11</v>
      </c>
      <c r="H1521" s="10" t="s">
        <v>3056</v>
      </c>
      <c r="I1521" s="10" t="s">
        <v>18</v>
      </c>
    </row>
    <row r="1522" spans="1:9" x14ac:dyDescent="0.2">
      <c r="A1522" s="10" t="s">
        <v>3057</v>
      </c>
      <c r="B1522" s="10">
        <v>18644.932567289401</v>
      </c>
      <c r="C1522" s="10">
        <v>2.9114144949798999</v>
      </c>
      <c r="D1522" s="10">
        <v>0.21038936914454101</v>
      </c>
      <c r="E1522" s="10">
        <v>13.838220566076799</v>
      </c>
      <c r="F1522" s="4">
        <v>1.49870815490479E-43</v>
      </c>
      <c r="G1522" s="4">
        <v>2.3741454125983001E-41</v>
      </c>
      <c r="H1522" s="10" t="s">
        <v>3058</v>
      </c>
      <c r="I1522" s="10" t="s">
        <v>18</v>
      </c>
    </row>
    <row r="1523" spans="1:9" x14ac:dyDescent="0.2">
      <c r="A1523" s="10" t="s">
        <v>3059</v>
      </c>
      <c r="B1523" s="10">
        <v>8.04139098463774</v>
      </c>
      <c r="C1523" s="10">
        <v>3.86673954215274</v>
      </c>
      <c r="D1523" s="10">
        <v>1.4837861533032699</v>
      </c>
      <c r="E1523" s="10">
        <v>2.6059951655057798</v>
      </c>
      <c r="F1523" s="10">
        <v>9.1607754629048702E-3</v>
      </c>
      <c r="G1523" s="10">
        <v>2.9552882907621199E-2</v>
      </c>
      <c r="H1523" s="10" t="s">
        <v>3060</v>
      </c>
      <c r="I1523" s="10" t="s">
        <v>18</v>
      </c>
    </row>
    <row r="1524" spans="1:9" x14ac:dyDescent="0.2">
      <c r="A1524" s="10" t="s">
        <v>3061</v>
      </c>
      <c r="B1524" s="10">
        <v>1664.3367243544301</v>
      </c>
      <c r="C1524" s="10">
        <v>-1.96777268544239</v>
      </c>
      <c r="D1524" s="10">
        <v>0.224999823191675</v>
      </c>
      <c r="E1524" s="10">
        <v>-8.7456632522153903</v>
      </c>
      <c r="F1524" s="4">
        <v>2.21709417665745E-18</v>
      </c>
      <c r="G1524" s="4">
        <v>7.4487256512189402E-17</v>
      </c>
      <c r="H1524" s="10" t="s">
        <v>3062</v>
      </c>
      <c r="I1524" s="10" t="s">
        <v>18</v>
      </c>
    </row>
    <row r="1525" spans="1:9" x14ac:dyDescent="0.2">
      <c r="A1525" s="10" t="s">
        <v>3063</v>
      </c>
      <c r="B1525" s="10">
        <v>11.749364317122399</v>
      </c>
      <c r="C1525" s="10">
        <v>5.4722237331479002</v>
      </c>
      <c r="D1525" s="10">
        <v>1.7064331899788101</v>
      </c>
      <c r="E1525" s="10">
        <v>3.2068197953978199</v>
      </c>
      <c r="F1525" s="10">
        <v>1.34211039481251E-3</v>
      </c>
      <c r="G1525" s="10">
        <v>5.7066919362447699E-3</v>
      </c>
      <c r="H1525" s="10" t="s">
        <v>3064</v>
      </c>
      <c r="I1525" s="10" t="s">
        <v>18</v>
      </c>
    </row>
    <row r="1526" spans="1:9" x14ac:dyDescent="0.2">
      <c r="A1526" s="10" t="s">
        <v>3065</v>
      </c>
      <c r="B1526" s="10">
        <v>36.078812631654401</v>
      </c>
      <c r="C1526" s="10">
        <v>7.1137942881458498</v>
      </c>
      <c r="D1526" s="10">
        <v>1.5408853013974699</v>
      </c>
      <c r="E1526" s="10">
        <v>4.6166929372966097</v>
      </c>
      <c r="F1526" s="4">
        <v>3.8990352501400696E-6</v>
      </c>
      <c r="G1526" s="4">
        <v>3.00699160658269E-5</v>
      </c>
      <c r="H1526" s="10" t="s">
        <v>3066</v>
      </c>
      <c r="I1526" s="10" t="s">
        <v>18</v>
      </c>
    </row>
    <row r="1527" spans="1:9" x14ac:dyDescent="0.2">
      <c r="A1527" s="10" t="s">
        <v>3067</v>
      </c>
      <c r="B1527" s="10">
        <v>8.5879683471117492</v>
      </c>
      <c r="C1527" s="10">
        <v>3.9621252235484699</v>
      </c>
      <c r="D1527" s="10">
        <v>1.48194306262793</v>
      </c>
      <c r="E1527" s="10">
        <v>2.6736015191585198</v>
      </c>
      <c r="F1527" s="10">
        <v>7.5041559403789797E-3</v>
      </c>
      <c r="G1527" s="10">
        <v>2.4963250303194202E-2</v>
      </c>
      <c r="H1527" s="10" t="s">
        <v>3068</v>
      </c>
      <c r="I1527" s="10" t="s">
        <v>18</v>
      </c>
    </row>
    <row r="1528" spans="1:9" x14ac:dyDescent="0.2">
      <c r="A1528" s="10" t="s">
        <v>3069</v>
      </c>
      <c r="B1528" s="10">
        <v>1444.7146034622399</v>
      </c>
      <c r="C1528" s="10">
        <v>-1.1483561832738201</v>
      </c>
      <c r="D1528" s="10">
        <v>0.189489101177539</v>
      </c>
      <c r="E1528" s="10">
        <v>-6.0602756366334898</v>
      </c>
      <c r="F1528" s="4">
        <v>1.35888478839175E-9</v>
      </c>
      <c r="G1528" s="4">
        <v>1.81854291892485E-8</v>
      </c>
      <c r="H1528" s="10" t="s">
        <v>3070</v>
      </c>
      <c r="I1528" s="10" t="s">
        <v>18</v>
      </c>
    </row>
    <row r="1529" spans="1:9" x14ac:dyDescent="0.2">
      <c r="A1529" s="10" t="s">
        <v>3071</v>
      </c>
      <c r="B1529" s="10">
        <v>18.567926890924099</v>
      </c>
      <c r="C1529" s="10">
        <v>7.6089855850295098</v>
      </c>
      <c r="D1529" s="10">
        <v>1.6322111832850501</v>
      </c>
      <c r="E1529" s="10">
        <v>4.66176537873939</v>
      </c>
      <c r="F1529" s="4">
        <v>3.1350847493187799E-6</v>
      </c>
      <c r="G1529" s="4">
        <v>2.4581770982644301E-5</v>
      </c>
      <c r="H1529" s="10" t="s">
        <v>3072</v>
      </c>
      <c r="I1529" s="10" t="s">
        <v>18</v>
      </c>
    </row>
    <row r="1530" spans="1:9" x14ac:dyDescent="0.2">
      <c r="A1530" s="10" t="s">
        <v>3073</v>
      </c>
      <c r="B1530" s="10">
        <v>2930.7261553308199</v>
      </c>
      <c r="C1530" s="10">
        <v>9.5619585055852596</v>
      </c>
      <c r="D1530" s="10">
        <v>0.427039236577617</v>
      </c>
      <c r="E1530" s="10">
        <v>22.391287934609501</v>
      </c>
      <c r="F1530" s="4">
        <v>4.7855915623535397E-111</v>
      </c>
      <c r="G1530" s="4">
        <v>8.1495633312154395E-108</v>
      </c>
      <c r="H1530" s="10" t="s">
        <v>3074</v>
      </c>
      <c r="I1530" s="10" t="s">
        <v>18</v>
      </c>
    </row>
    <row r="1531" spans="1:9" x14ac:dyDescent="0.2">
      <c r="A1531" s="10" t="s">
        <v>3075</v>
      </c>
      <c r="B1531" s="10">
        <v>403.57981241918498</v>
      </c>
      <c r="C1531" s="10">
        <v>5.1769118515740304</v>
      </c>
      <c r="D1531" s="10">
        <v>0.333542033971925</v>
      </c>
      <c r="E1531" s="10">
        <v>15.5210178157329</v>
      </c>
      <c r="F1531" s="4">
        <v>2.50053000926871E-54</v>
      </c>
      <c r="G1531" s="4">
        <v>5.9476232854607899E-52</v>
      </c>
      <c r="H1531" s="10" t="s">
        <v>3076</v>
      </c>
      <c r="I1531" s="10" t="s">
        <v>18</v>
      </c>
    </row>
    <row r="1532" spans="1:9" x14ac:dyDescent="0.2">
      <c r="A1532" s="10" t="s">
        <v>3077</v>
      </c>
      <c r="B1532" s="10">
        <v>538.43681178786005</v>
      </c>
      <c r="C1532" s="10">
        <v>1.02716143353206</v>
      </c>
      <c r="D1532" s="10">
        <v>0.236993016437888</v>
      </c>
      <c r="E1532" s="10">
        <v>4.3341421995076397</v>
      </c>
      <c r="F1532" s="4">
        <v>1.46329570568895E-5</v>
      </c>
      <c r="G1532" s="10">
        <v>1.00202106290291E-4</v>
      </c>
      <c r="H1532" s="10" t="s">
        <v>3078</v>
      </c>
      <c r="I1532" s="10" t="s">
        <v>18</v>
      </c>
    </row>
    <row r="1533" spans="1:9" x14ac:dyDescent="0.2">
      <c r="A1533" s="10" t="s">
        <v>3079</v>
      </c>
      <c r="B1533" s="10">
        <v>96.299334839249397</v>
      </c>
      <c r="C1533" s="10">
        <v>4.9058462127123397</v>
      </c>
      <c r="D1533" s="10">
        <v>0.56761886391189598</v>
      </c>
      <c r="E1533" s="10">
        <v>8.6428526686065403</v>
      </c>
      <c r="F1533" s="4">
        <v>5.4826600480380303E-18</v>
      </c>
      <c r="G1533" s="4">
        <v>1.7741809777778199E-16</v>
      </c>
      <c r="H1533" s="10" t="s">
        <v>3080</v>
      </c>
      <c r="I1533" s="10" t="s">
        <v>18</v>
      </c>
    </row>
    <row r="1534" spans="1:9" x14ac:dyDescent="0.2">
      <c r="A1534" s="10" t="s">
        <v>3081</v>
      </c>
      <c r="B1534" s="10">
        <v>232.062817404588</v>
      </c>
      <c r="C1534" s="10">
        <v>1.29214519794924</v>
      </c>
      <c r="D1534" s="10">
        <v>0.31400311467521902</v>
      </c>
      <c r="E1534" s="10">
        <v>4.1150712765564199</v>
      </c>
      <c r="F1534" s="4">
        <v>3.8705979027033098E-5</v>
      </c>
      <c r="G1534" s="10">
        <v>2.4221431757980599E-4</v>
      </c>
      <c r="H1534" s="10" t="s">
        <v>3082</v>
      </c>
      <c r="I1534" s="10" t="s">
        <v>18</v>
      </c>
    </row>
    <row r="1535" spans="1:9" x14ac:dyDescent="0.2">
      <c r="A1535" s="10" t="s">
        <v>3083</v>
      </c>
      <c r="B1535" s="10">
        <v>1911.9066349807099</v>
      </c>
      <c r="C1535" s="10">
        <v>-1.00371358793287</v>
      </c>
      <c r="D1535" s="10">
        <v>0.22797274566328701</v>
      </c>
      <c r="E1535" s="10">
        <v>-4.4027788717136396</v>
      </c>
      <c r="F1535" s="4">
        <v>1.0687308172204001E-5</v>
      </c>
      <c r="G1535" s="4">
        <v>7.5498336989380995E-5</v>
      </c>
      <c r="H1535" s="10" t="s">
        <v>3084</v>
      </c>
      <c r="I1535" s="10" t="s">
        <v>18</v>
      </c>
    </row>
    <row r="1536" spans="1:9" x14ac:dyDescent="0.2">
      <c r="A1536" s="10" t="s">
        <v>3085</v>
      </c>
      <c r="B1536" s="10">
        <v>75.660658113501995</v>
      </c>
      <c r="C1536" s="10">
        <v>1.78284921967544</v>
      </c>
      <c r="D1536" s="10">
        <v>0.45770508402428101</v>
      </c>
      <c r="E1536" s="10">
        <v>3.89519208307693</v>
      </c>
      <c r="F1536" s="4">
        <v>9.8120940360122794E-5</v>
      </c>
      <c r="G1536" s="10">
        <v>5.6296088902764105E-4</v>
      </c>
      <c r="H1536" s="10" t="s">
        <v>3086</v>
      </c>
      <c r="I1536" s="10" t="s">
        <v>18</v>
      </c>
    </row>
    <row r="1537" spans="1:9" x14ac:dyDescent="0.2">
      <c r="A1537" s="10" t="s">
        <v>3087</v>
      </c>
      <c r="B1537" s="10">
        <v>7094.8166227038801</v>
      </c>
      <c r="C1537" s="10">
        <v>1.7566042322725499</v>
      </c>
      <c r="D1537" s="10">
        <v>0.209022251788853</v>
      </c>
      <c r="E1537" s="10">
        <v>8.4039101925234903</v>
      </c>
      <c r="F1537" s="4">
        <v>4.3185299640055503E-17</v>
      </c>
      <c r="G1537" s="4">
        <v>1.2958919155204801E-15</v>
      </c>
      <c r="H1537" s="10" t="s">
        <v>3088</v>
      </c>
      <c r="I1537" s="10" t="s">
        <v>18</v>
      </c>
    </row>
    <row r="1538" spans="1:9" x14ac:dyDescent="0.2">
      <c r="A1538" s="10" t="s">
        <v>3089</v>
      </c>
      <c r="B1538" s="10">
        <v>3001.1854263079599</v>
      </c>
      <c r="C1538" s="10">
        <v>-1.08253407878629</v>
      </c>
      <c r="D1538" s="10">
        <v>0.21059213788476899</v>
      </c>
      <c r="E1538" s="10">
        <v>-5.1404296934324503</v>
      </c>
      <c r="F1538" s="4">
        <v>2.7411087872490897E-7</v>
      </c>
      <c r="G1538" s="4">
        <v>2.5771908601164899E-6</v>
      </c>
      <c r="H1538" s="10" t="s">
        <v>3090</v>
      </c>
      <c r="I1538" s="10" t="s">
        <v>18</v>
      </c>
    </row>
    <row r="1539" spans="1:9" x14ac:dyDescent="0.2">
      <c r="A1539" s="10" t="s">
        <v>3091</v>
      </c>
      <c r="B1539" s="10">
        <v>28.082579938969001</v>
      </c>
      <c r="C1539" s="10">
        <v>-2.0664896052277402</v>
      </c>
      <c r="D1539" s="10">
        <v>0.67079746538819196</v>
      </c>
      <c r="E1539" s="10">
        <v>-3.080646114296</v>
      </c>
      <c r="F1539" s="10">
        <v>2.0655198208213701E-3</v>
      </c>
      <c r="G1539" s="10">
        <v>8.2861040279622808E-3</v>
      </c>
      <c r="H1539" s="10" t="s">
        <v>3092</v>
      </c>
      <c r="I1539" s="10" t="s">
        <v>18</v>
      </c>
    </row>
    <row r="1540" spans="1:9" x14ac:dyDescent="0.2">
      <c r="A1540" s="10" t="s">
        <v>3093</v>
      </c>
      <c r="B1540" s="10">
        <v>146.00929231955101</v>
      </c>
      <c r="C1540" s="10">
        <v>1.29327454303798</v>
      </c>
      <c r="D1540" s="10">
        <v>0.33401054218225601</v>
      </c>
      <c r="E1540" s="10">
        <v>3.8719572579607102</v>
      </c>
      <c r="F1540" s="10">
        <v>1.0796488773905901E-4</v>
      </c>
      <c r="G1540" s="10">
        <v>6.1336932782029804E-4</v>
      </c>
      <c r="H1540" s="10" t="s">
        <v>3094</v>
      </c>
      <c r="I1540" s="10" t="s">
        <v>18</v>
      </c>
    </row>
    <row r="1541" spans="1:9" x14ac:dyDescent="0.2">
      <c r="A1541" s="10" t="s">
        <v>3095</v>
      </c>
      <c r="B1541" s="10">
        <v>40.482301569741402</v>
      </c>
      <c r="C1541" s="10">
        <v>2.3357838177585299</v>
      </c>
      <c r="D1541" s="10">
        <v>0.61390313079079795</v>
      </c>
      <c r="E1541" s="10">
        <v>3.8048084471400201</v>
      </c>
      <c r="F1541" s="10">
        <v>1.41913970862967E-4</v>
      </c>
      <c r="G1541" s="10">
        <v>7.8416750438111099E-4</v>
      </c>
      <c r="H1541" s="10" t="s">
        <v>3096</v>
      </c>
      <c r="I1541" s="10" t="s">
        <v>18</v>
      </c>
    </row>
    <row r="1542" spans="1:9" x14ac:dyDescent="0.2">
      <c r="A1542" s="10" t="s">
        <v>3097</v>
      </c>
      <c r="B1542" s="10">
        <v>3853.7603321183301</v>
      </c>
      <c r="C1542" s="10">
        <v>2.21461333329521</v>
      </c>
      <c r="D1542" s="10">
        <v>0.17702032876267901</v>
      </c>
      <c r="E1542" s="10">
        <v>12.510502882774601</v>
      </c>
      <c r="F1542" s="4">
        <v>6.5408818977105105E-36</v>
      </c>
      <c r="G1542" s="4">
        <v>7.3040741420868098E-34</v>
      </c>
      <c r="H1542" s="10" t="s">
        <v>3098</v>
      </c>
      <c r="I1542" s="10" t="s">
        <v>18</v>
      </c>
    </row>
    <row r="1543" spans="1:9" x14ac:dyDescent="0.2">
      <c r="A1543" s="10" t="s">
        <v>3099</v>
      </c>
      <c r="B1543" s="10">
        <v>1378.0649722938999</v>
      </c>
      <c r="C1543" s="10">
        <v>-1.0885708326021299</v>
      </c>
      <c r="D1543" s="10">
        <v>0.23604551043661401</v>
      </c>
      <c r="E1543" s="10">
        <v>-4.6116989498702798</v>
      </c>
      <c r="F1543" s="4">
        <v>3.9939114480535401E-6</v>
      </c>
      <c r="G1543" s="4">
        <v>3.0758085139941998E-5</v>
      </c>
      <c r="H1543" s="10" t="s">
        <v>3100</v>
      </c>
      <c r="I1543" s="10" t="s">
        <v>18</v>
      </c>
    </row>
    <row r="1544" spans="1:9" x14ac:dyDescent="0.2">
      <c r="A1544" s="10" t="s">
        <v>3101</v>
      </c>
      <c r="B1544" s="10">
        <v>4713.4052114835704</v>
      </c>
      <c r="C1544" s="10">
        <v>-1.56372681559267</v>
      </c>
      <c r="D1544" s="10">
        <v>0.18565488450364201</v>
      </c>
      <c r="E1544" s="10">
        <v>-8.4227615113568408</v>
      </c>
      <c r="F1544" s="4">
        <v>3.6771249523517198E-17</v>
      </c>
      <c r="G1544" s="4">
        <v>1.10830335814964E-15</v>
      </c>
      <c r="H1544" s="10" t="s">
        <v>3102</v>
      </c>
      <c r="I1544" s="10" t="s">
        <v>18</v>
      </c>
    </row>
    <row r="1545" spans="1:9" x14ac:dyDescent="0.2">
      <c r="A1545" s="10" t="s">
        <v>3103</v>
      </c>
      <c r="B1545" s="10">
        <v>2030.51626850303</v>
      </c>
      <c r="C1545" s="10">
        <v>-1.1861153959694</v>
      </c>
      <c r="D1545" s="10">
        <v>0.233095139314522</v>
      </c>
      <c r="E1545" s="10">
        <v>-5.0885462453549204</v>
      </c>
      <c r="F1545" s="4">
        <v>3.6081879860140102E-7</v>
      </c>
      <c r="G1545" s="4">
        <v>3.3405469947306799E-6</v>
      </c>
      <c r="H1545" s="10" t="s">
        <v>3104</v>
      </c>
      <c r="I1545" s="10" t="s">
        <v>18</v>
      </c>
    </row>
    <row r="1546" spans="1:9" x14ac:dyDescent="0.2">
      <c r="A1546" s="10" t="s">
        <v>3105</v>
      </c>
      <c r="B1546" s="10">
        <v>3826.62774622897</v>
      </c>
      <c r="C1546" s="10">
        <v>1.0521040621275899</v>
      </c>
      <c r="D1546" s="10">
        <v>0.19795131094353399</v>
      </c>
      <c r="E1546" s="10">
        <v>5.3149638520338502</v>
      </c>
      <c r="F1546" s="4">
        <v>1.0667850194360801E-7</v>
      </c>
      <c r="G1546" s="4">
        <v>1.0789417752255001E-6</v>
      </c>
      <c r="H1546" s="10" t="s">
        <v>3106</v>
      </c>
      <c r="I1546" s="10" t="s">
        <v>18</v>
      </c>
    </row>
    <row r="1547" spans="1:9" x14ac:dyDescent="0.2">
      <c r="A1547" s="10" t="s">
        <v>3107</v>
      </c>
      <c r="B1547" s="10">
        <v>179.34081834767599</v>
      </c>
      <c r="C1547" s="10">
        <v>8.4364881784850798</v>
      </c>
      <c r="D1547" s="10">
        <v>1.06091864435234</v>
      </c>
      <c r="E1547" s="10">
        <v>7.9520594942841401</v>
      </c>
      <c r="F1547" s="4">
        <v>1.8343611724614699E-15</v>
      </c>
      <c r="G1547" s="4">
        <v>4.7874366729940302E-14</v>
      </c>
      <c r="H1547" s="10" t="s">
        <v>3108</v>
      </c>
      <c r="I1547" s="10" t="s">
        <v>18</v>
      </c>
    </row>
    <row r="1548" spans="1:9" x14ac:dyDescent="0.2">
      <c r="A1548" s="10" t="s">
        <v>3109</v>
      </c>
      <c r="B1548" s="10">
        <v>9.4638189732718399</v>
      </c>
      <c r="C1548" s="10">
        <v>5.1561076504179697</v>
      </c>
      <c r="D1548" s="10">
        <v>1.7709655820716499</v>
      </c>
      <c r="E1548" s="10">
        <v>2.91146688711274</v>
      </c>
      <c r="F1548" s="10">
        <v>3.5973603488143398E-3</v>
      </c>
      <c r="G1548" s="10">
        <v>1.34104908228409E-2</v>
      </c>
      <c r="H1548" s="10" t="s">
        <v>3110</v>
      </c>
      <c r="I1548" s="10" t="s">
        <v>18</v>
      </c>
    </row>
    <row r="1549" spans="1:9" x14ac:dyDescent="0.2">
      <c r="A1549" s="10" t="s">
        <v>3111</v>
      </c>
      <c r="B1549" s="10">
        <v>10.4268823318949</v>
      </c>
      <c r="C1549" s="10">
        <v>6.7815675811534302</v>
      </c>
      <c r="D1549" s="10">
        <v>1.7636466754370601</v>
      </c>
      <c r="E1549" s="10">
        <v>3.8451962491142599</v>
      </c>
      <c r="F1549" s="10">
        <v>1.20455994861143E-4</v>
      </c>
      <c r="G1549" s="10">
        <v>6.7769244104513198E-4</v>
      </c>
      <c r="H1549" s="10" t="s">
        <v>3112</v>
      </c>
      <c r="I1549" s="10" t="s">
        <v>18</v>
      </c>
    </row>
    <row r="1550" spans="1:9" x14ac:dyDescent="0.2">
      <c r="A1550" s="10" t="s">
        <v>3113</v>
      </c>
      <c r="B1550" s="10">
        <v>13.5794288297494</v>
      </c>
      <c r="C1550" s="10">
        <v>7.1590930774611596</v>
      </c>
      <c r="D1550" s="10">
        <v>1.6859589263452699</v>
      </c>
      <c r="E1550" s="10">
        <v>4.2463033740568301</v>
      </c>
      <c r="F1550" s="4">
        <v>2.1732632535043801E-5</v>
      </c>
      <c r="G1550" s="10">
        <v>1.4334278351061199E-4</v>
      </c>
      <c r="H1550" s="10" t="s">
        <v>3114</v>
      </c>
      <c r="I1550" s="10" t="s">
        <v>18</v>
      </c>
    </row>
    <row r="1551" spans="1:9" x14ac:dyDescent="0.2">
      <c r="A1551" s="10" t="s">
        <v>3115</v>
      </c>
      <c r="B1551" s="10">
        <v>65.430581756502605</v>
      </c>
      <c r="C1551" s="10">
        <v>4.9393975704216802</v>
      </c>
      <c r="D1551" s="10">
        <v>0.67340731798615705</v>
      </c>
      <c r="E1551" s="10">
        <v>7.33493301675587</v>
      </c>
      <c r="F1551" s="4">
        <v>2.2183240590622999E-13</v>
      </c>
      <c r="G1551" s="4">
        <v>4.7630162046706401E-12</v>
      </c>
      <c r="H1551" s="10" t="s">
        <v>3116</v>
      </c>
      <c r="I1551" s="10" t="s">
        <v>18</v>
      </c>
    </row>
    <row r="1552" spans="1:9" x14ac:dyDescent="0.2">
      <c r="A1552" s="10" t="s">
        <v>3117</v>
      </c>
      <c r="B1552" s="10">
        <v>44.814115816734102</v>
      </c>
      <c r="C1552" s="10">
        <v>4.1880443600881199</v>
      </c>
      <c r="D1552" s="10">
        <v>0.70006201215098995</v>
      </c>
      <c r="E1552" s="10">
        <v>5.9823905416893801</v>
      </c>
      <c r="F1552" s="4">
        <v>2.1988627375779099E-9</v>
      </c>
      <c r="G1552" s="4">
        <v>2.8434937356803599E-8</v>
      </c>
      <c r="H1552" s="10" t="s">
        <v>3118</v>
      </c>
      <c r="I1552" s="10" t="s">
        <v>18</v>
      </c>
    </row>
    <row r="1553" spans="1:9" x14ac:dyDescent="0.2">
      <c r="A1553" s="10" t="s">
        <v>3119</v>
      </c>
      <c r="B1553" s="10">
        <v>11.294094753771301</v>
      </c>
      <c r="C1553" s="10">
        <v>3.7737949672701401</v>
      </c>
      <c r="D1553" s="10">
        <v>1.279867833598</v>
      </c>
      <c r="E1553" s="10">
        <v>2.9485817739954698</v>
      </c>
      <c r="F1553" s="10">
        <v>3.1923567005990102E-3</v>
      </c>
      <c r="G1553" s="10">
        <v>1.20808531973918E-2</v>
      </c>
      <c r="H1553" s="10" t="s">
        <v>3120</v>
      </c>
      <c r="I1553" s="10" t="s">
        <v>18</v>
      </c>
    </row>
    <row r="1554" spans="1:9" x14ac:dyDescent="0.2">
      <c r="A1554" s="10" t="s">
        <v>3121</v>
      </c>
      <c r="B1554" s="10">
        <v>6.6041831042441599</v>
      </c>
      <c r="C1554" s="10">
        <v>4.6244618539203399</v>
      </c>
      <c r="D1554" s="10">
        <v>1.87943426926155</v>
      </c>
      <c r="E1554" s="10">
        <v>2.4605605684402798</v>
      </c>
      <c r="F1554" s="10">
        <v>1.38720154986405E-2</v>
      </c>
      <c r="G1554" s="10">
        <v>4.1857232147448298E-2</v>
      </c>
      <c r="H1554" s="10" t="s">
        <v>3122</v>
      </c>
      <c r="I1554" s="10" t="s">
        <v>18</v>
      </c>
    </row>
    <row r="1555" spans="1:9" x14ac:dyDescent="0.2">
      <c r="A1555" s="10" t="s">
        <v>3123</v>
      </c>
      <c r="B1555" s="10">
        <v>6.6461403607816596</v>
      </c>
      <c r="C1555" s="10">
        <v>4.6196872663277597</v>
      </c>
      <c r="D1555" s="10">
        <v>1.89956431842963</v>
      </c>
      <c r="E1555" s="10">
        <v>2.4319720166921499</v>
      </c>
      <c r="F1555" s="10">
        <v>1.501686745234E-2</v>
      </c>
      <c r="G1555" s="10">
        <v>4.4600456450175303E-2</v>
      </c>
      <c r="H1555" s="10" t="s">
        <v>3124</v>
      </c>
      <c r="I1555" s="10" t="s">
        <v>18</v>
      </c>
    </row>
    <row r="1556" spans="1:9" x14ac:dyDescent="0.2">
      <c r="A1556" s="10" t="s">
        <v>3125</v>
      </c>
      <c r="B1556" s="10">
        <v>35.357229801532597</v>
      </c>
      <c r="C1556" s="10">
        <v>3.8271667848692998</v>
      </c>
      <c r="D1556" s="10">
        <v>0.72709383994945098</v>
      </c>
      <c r="E1556" s="10">
        <v>5.2636490293128899</v>
      </c>
      <c r="F1556" s="4">
        <v>1.41223929980051E-7</v>
      </c>
      <c r="G1556" s="4">
        <v>1.3959241939460399E-6</v>
      </c>
      <c r="H1556" s="10" t="s">
        <v>3126</v>
      </c>
      <c r="I1556" s="10" t="s">
        <v>18</v>
      </c>
    </row>
    <row r="1557" spans="1:9" x14ac:dyDescent="0.2">
      <c r="A1557" s="10" t="s">
        <v>3127</v>
      </c>
      <c r="B1557" s="10">
        <v>11267.0315459385</v>
      </c>
      <c r="C1557" s="10">
        <v>-2.2792918330057401</v>
      </c>
      <c r="D1557" s="10">
        <v>0.20284429314514499</v>
      </c>
      <c r="E1557" s="10">
        <v>-11.236657426565101</v>
      </c>
      <c r="F1557" s="4">
        <v>2.69390245270725E-29</v>
      </c>
      <c r="G1557" s="4">
        <v>1.9784571463319198E-27</v>
      </c>
      <c r="H1557" s="10" t="s">
        <v>3128</v>
      </c>
      <c r="I1557" s="10" t="s">
        <v>18</v>
      </c>
    </row>
    <row r="1558" spans="1:9" x14ac:dyDescent="0.2">
      <c r="A1558" s="10" t="s">
        <v>3129</v>
      </c>
      <c r="B1558" s="10">
        <v>811.95027432671998</v>
      </c>
      <c r="C1558" s="10">
        <v>1.21014986875339</v>
      </c>
      <c r="D1558" s="10">
        <v>0.214196979985356</v>
      </c>
      <c r="E1558" s="10">
        <v>5.6497055599762698</v>
      </c>
      <c r="F1558" s="4">
        <v>1.60722889384405E-8</v>
      </c>
      <c r="G1558" s="4">
        <v>1.8563868448736201E-7</v>
      </c>
      <c r="H1558" s="10" t="s">
        <v>3130</v>
      </c>
      <c r="I1558" s="10" t="s">
        <v>18</v>
      </c>
    </row>
    <row r="1559" spans="1:9" x14ac:dyDescent="0.2">
      <c r="A1559" s="10" t="s">
        <v>3131</v>
      </c>
      <c r="B1559" s="10">
        <v>398.16017265033503</v>
      </c>
      <c r="C1559" s="10">
        <v>-1.19992539679097</v>
      </c>
      <c r="D1559" s="10">
        <v>0.25368057123117399</v>
      </c>
      <c r="E1559" s="10">
        <v>-4.7300642338017402</v>
      </c>
      <c r="F1559" s="4">
        <v>2.2444880996683501E-6</v>
      </c>
      <c r="G1559" s="4">
        <v>1.8071976138198399E-5</v>
      </c>
      <c r="H1559" s="10" t="s">
        <v>3132</v>
      </c>
      <c r="I1559" s="10" t="s">
        <v>18</v>
      </c>
    </row>
    <row r="1560" spans="1:9" x14ac:dyDescent="0.2">
      <c r="A1560" s="10" t="s">
        <v>3133</v>
      </c>
      <c r="B1560" s="10">
        <v>3345.6807594823199</v>
      </c>
      <c r="C1560" s="10">
        <v>-1.1421498959229901</v>
      </c>
      <c r="D1560" s="10">
        <v>0.204656539568771</v>
      </c>
      <c r="E1560" s="10">
        <v>-5.5808130946100896</v>
      </c>
      <c r="F1560" s="4">
        <v>2.3939679114399401E-8</v>
      </c>
      <c r="G1560" s="4">
        <v>2.7054518325592798E-7</v>
      </c>
      <c r="H1560" s="10" t="s">
        <v>3134</v>
      </c>
      <c r="I1560" s="10" t="s">
        <v>18</v>
      </c>
    </row>
    <row r="1561" spans="1:9" x14ac:dyDescent="0.2">
      <c r="A1561" s="10" t="s">
        <v>3135</v>
      </c>
      <c r="B1561" s="10">
        <v>8.3341337145020393</v>
      </c>
      <c r="C1561" s="10">
        <v>4.9593822497563602</v>
      </c>
      <c r="D1561" s="10">
        <v>1.81794526571486</v>
      </c>
      <c r="E1561" s="10">
        <v>2.7280151626601401</v>
      </c>
      <c r="F1561" s="10">
        <v>6.3716679154583898E-3</v>
      </c>
      <c r="G1561" s="10">
        <v>2.17773250994098E-2</v>
      </c>
      <c r="H1561" s="10" t="s">
        <v>3136</v>
      </c>
      <c r="I1561" s="10" t="s">
        <v>18</v>
      </c>
    </row>
    <row r="1562" spans="1:9" x14ac:dyDescent="0.2">
      <c r="A1562" s="10" t="s">
        <v>3137</v>
      </c>
      <c r="B1562" s="10">
        <v>23.2333745370311</v>
      </c>
      <c r="C1562" s="10">
        <v>4.4239274718356096</v>
      </c>
      <c r="D1562" s="10">
        <v>0.98542776657733999</v>
      </c>
      <c r="E1562" s="10">
        <v>4.48934728843812</v>
      </c>
      <c r="F1562" s="4">
        <v>7.1441742200462999E-6</v>
      </c>
      <c r="G1562" s="4">
        <v>5.2158980432369098E-5</v>
      </c>
      <c r="H1562" s="10" t="s">
        <v>3138</v>
      </c>
      <c r="I1562" s="10" t="s">
        <v>18</v>
      </c>
    </row>
    <row r="1563" spans="1:9" x14ac:dyDescent="0.2">
      <c r="A1563" s="10" t="s">
        <v>3139</v>
      </c>
      <c r="B1563" s="10">
        <v>20629.9579743955</v>
      </c>
      <c r="C1563" s="10">
        <v>1.59422318428905</v>
      </c>
      <c r="D1563" s="10">
        <v>0.21425243602840599</v>
      </c>
      <c r="E1563" s="10">
        <v>7.4408637485815596</v>
      </c>
      <c r="F1563" s="4">
        <v>1.00029077694169E-13</v>
      </c>
      <c r="G1563" s="4">
        <v>2.2321804094455501E-12</v>
      </c>
      <c r="H1563" s="10" t="s">
        <v>3140</v>
      </c>
      <c r="I1563" s="10" t="s">
        <v>18</v>
      </c>
    </row>
    <row r="1564" spans="1:9" x14ac:dyDescent="0.2">
      <c r="A1564" s="10" t="s">
        <v>3141</v>
      </c>
      <c r="B1564" s="10">
        <v>1576.8303159684101</v>
      </c>
      <c r="C1564" s="10">
        <v>-1.5672037778301899</v>
      </c>
      <c r="D1564" s="10">
        <v>0.18578423091863</v>
      </c>
      <c r="E1564" s="10">
        <v>-8.4356124848755307</v>
      </c>
      <c r="F1564" s="4">
        <v>3.2947276776229297E-17</v>
      </c>
      <c r="G1564" s="4">
        <v>1.0007964886531999E-15</v>
      </c>
      <c r="H1564" s="10" t="s">
        <v>3142</v>
      </c>
      <c r="I1564" s="10" t="s">
        <v>18</v>
      </c>
    </row>
    <row r="1565" spans="1:9" x14ac:dyDescent="0.2">
      <c r="A1565" s="10" t="s">
        <v>3143</v>
      </c>
      <c r="B1565" s="10">
        <v>21.523966339173501</v>
      </c>
      <c r="C1565" s="10">
        <v>3.2307170244754602</v>
      </c>
      <c r="D1565" s="10">
        <v>0.85517146176885594</v>
      </c>
      <c r="E1565" s="10">
        <v>3.7778587907891201</v>
      </c>
      <c r="F1565" s="10">
        <v>1.58182521693486E-4</v>
      </c>
      <c r="G1565" s="10">
        <v>8.6494063186482297E-4</v>
      </c>
      <c r="H1565" s="10" t="s">
        <v>3144</v>
      </c>
      <c r="I1565" s="10" t="s">
        <v>18</v>
      </c>
    </row>
    <row r="1566" spans="1:9" x14ac:dyDescent="0.2">
      <c r="A1566" s="10" t="s">
        <v>3145</v>
      </c>
      <c r="B1566" s="10">
        <v>307.73319879388498</v>
      </c>
      <c r="C1566" s="10">
        <v>-1.3440345846736701</v>
      </c>
      <c r="D1566" s="10">
        <v>0.25384051750803199</v>
      </c>
      <c r="E1566" s="10">
        <v>-5.2947992616314599</v>
      </c>
      <c r="F1566" s="4">
        <v>1.1914721987566E-7</v>
      </c>
      <c r="G1566" s="4">
        <v>1.1966105049583899E-6</v>
      </c>
      <c r="H1566" s="10" t="s">
        <v>3146</v>
      </c>
      <c r="I1566" s="10" t="s">
        <v>18</v>
      </c>
    </row>
    <row r="1567" spans="1:9" x14ac:dyDescent="0.2">
      <c r="A1567" s="10" t="s">
        <v>3147</v>
      </c>
      <c r="B1567" s="10">
        <v>67.224196896450295</v>
      </c>
      <c r="C1567" s="10">
        <v>6.0027643962837196</v>
      </c>
      <c r="D1567" s="10">
        <v>0.84324559877876404</v>
      </c>
      <c r="E1567" s="10">
        <v>7.1186430204643401</v>
      </c>
      <c r="F1567" s="4">
        <v>1.08994799312992E-12</v>
      </c>
      <c r="G1567" s="4">
        <v>2.1473472862480799E-11</v>
      </c>
      <c r="H1567" s="10" t="s">
        <v>3148</v>
      </c>
      <c r="I1567" s="10" t="s">
        <v>18</v>
      </c>
    </row>
    <row r="1568" spans="1:9" x14ac:dyDescent="0.2">
      <c r="A1568" s="10" t="s">
        <v>3149</v>
      </c>
      <c r="B1568" s="10">
        <v>21.726528338434399</v>
      </c>
      <c r="C1568" s="10">
        <v>5.3583260912482498</v>
      </c>
      <c r="D1568" s="10">
        <v>1.2336882081092999</v>
      </c>
      <c r="E1568" s="10">
        <v>4.3433389863231397</v>
      </c>
      <c r="F1568" s="4">
        <v>1.4033333999814899E-5</v>
      </c>
      <c r="G1568" s="4">
        <v>9.6532757256489993E-5</v>
      </c>
      <c r="H1568" s="10" t="s">
        <v>3150</v>
      </c>
      <c r="I1568" s="10" t="s">
        <v>18</v>
      </c>
    </row>
    <row r="1569" spans="1:9" x14ac:dyDescent="0.2">
      <c r="A1569" s="10" t="s">
        <v>3151</v>
      </c>
      <c r="B1569" s="10">
        <v>9.7625732838819292</v>
      </c>
      <c r="C1569" s="10">
        <v>6.6830677175002897</v>
      </c>
      <c r="D1569" s="10">
        <v>1.7697950602905701</v>
      </c>
      <c r="E1569" s="10">
        <v>3.7761816989154799</v>
      </c>
      <c r="F1569" s="10">
        <v>1.59250840049056E-4</v>
      </c>
      <c r="G1569" s="10">
        <v>8.6973494464153605E-4</v>
      </c>
      <c r="H1569" s="10" t="s">
        <v>3152</v>
      </c>
      <c r="I1569" s="10" t="s">
        <v>18</v>
      </c>
    </row>
    <row r="1570" spans="1:9" x14ac:dyDescent="0.2">
      <c r="A1570" s="10" t="s">
        <v>3153</v>
      </c>
      <c r="B1570" s="10">
        <v>213.413184842097</v>
      </c>
      <c r="C1570" s="10">
        <v>1.3498963568769899</v>
      </c>
      <c r="D1570" s="10">
        <v>0.28157581637287499</v>
      </c>
      <c r="E1570" s="10">
        <v>4.7940777523642204</v>
      </c>
      <c r="F1570" s="4">
        <v>1.63424886304651E-6</v>
      </c>
      <c r="G1570" s="4">
        <v>1.34689590960158E-5</v>
      </c>
      <c r="H1570" s="10" t="s">
        <v>3154</v>
      </c>
      <c r="I1570" s="10" t="s">
        <v>18</v>
      </c>
    </row>
    <row r="1571" spans="1:9" x14ac:dyDescent="0.2">
      <c r="A1571" s="10" t="s">
        <v>3155</v>
      </c>
      <c r="B1571" s="10">
        <v>10.897977694382501</v>
      </c>
      <c r="C1571" s="10">
        <v>6.8396543352162</v>
      </c>
      <c r="D1571" s="10">
        <v>1.74857763249908</v>
      </c>
      <c r="E1571" s="10">
        <v>3.9115531435918598</v>
      </c>
      <c r="F1571" s="4">
        <v>9.1704471288849799E-5</v>
      </c>
      <c r="G1571" s="10">
        <v>5.3016586658334195E-4</v>
      </c>
      <c r="H1571" s="10" t="s">
        <v>3156</v>
      </c>
      <c r="I1571" s="10" t="s">
        <v>18</v>
      </c>
    </row>
    <row r="1572" spans="1:9" x14ac:dyDescent="0.2">
      <c r="A1572" s="10" t="s">
        <v>3157</v>
      </c>
      <c r="B1572" s="10">
        <v>691.13947273637496</v>
      </c>
      <c r="C1572" s="10">
        <v>-1.19726890246454</v>
      </c>
      <c r="D1572" s="10">
        <v>0.20972775445049399</v>
      </c>
      <c r="E1572" s="10">
        <v>-5.7086812644396696</v>
      </c>
      <c r="F1572" s="4">
        <v>1.13854879192777E-8</v>
      </c>
      <c r="G1572" s="4">
        <v>1.34120358554501E-7</v>
      </c>
      <c r="H1572" s="10" t="s">
        <v>3158</v>
      </c>
      <c r="I1572" s="10" t="s">
        <v>18</v>
      </c>
    </row>
    <row r="1573" spans="1:9" x14ac:dyDescent="0.2">
      <c r="A1573" s="10" t="s">
        <v>3159</v>
      </c>
      <c r="B1573" s="10">
        <v>1164.2470516145499</v>
      </c>
      <c r="C1573" s="10">
        <v>2.9539397239505298</v>
      </c>
      <c r="D1573" s="10">
        <v>0.20929128611918801</v>
      </c>
      <c r="E1573" s="10">
        <v>14.1140120008069</v>
      </c>
      <c r="F1573" s="4">
        <v>3.1134889209037599E-45</v>
      </c>
      <c r="G1573" s="4">
        <v>5.0798342890937E-43</v>
      </c>
      <c r="H1573" s="10" t="s">
        <v>3160</v>
      </c>
      <c r="I1573" s="10" t="s">
        <v>18</v>
      </c>
    </row>
    <row r="1574" spans="1:9" x14ac:dyDescent="0.2">
      <c r="A1574" s="10" t="s">
        <v>3161</v>
      </c>
      <c r="B1574" s="10">
        <v>22.880016436759998</v>
      </c>
      <c r="C1574" s="10">
        <v>2.8148873161902701</v>
      </c>
      <c r="D1574" s="10">
        <v>0.79842327244471201</v>
      </c>
      <c r="E1574" s="10">
        <v>3.5255577002049199</v>
      </c>
      <c r="F1574" s="10">
        <v>4.2259210706125798E-4</v>
      </c>
      <c r="G1574" s="10">
        <v>2.0657278688729999E-3</v>
      </c>
      <c r="H1574" s="10" t="s">
        <v>3162</v>
      </c>
      <c r="I1574" s="10" t="s">
        <v>18</v>
      </c>
    </row>
    <row r="1575" spans="1:9" x14ac:dyDescent="0.2">
      <c r="A1575" s="10" t="s">
        <v>3163</v>
      </c>
      <c r="B1575" s="10">
        <v>13.3256375660497</v>
      </c>
      <c r="C1575" s="10">
        <v>5.6565157226724896</v>
      </c>
      <c r="D1575" s="10">
        <v>1.6852608749923399</v>
      </c>
      <c r="E1575" s="10">
        <v>3.3564629705761102</v>
      </c>
      <c r="F1575" s="10">
        <v>7.89462918570945E-4</v>
      </c>
      <c r="G1575" s="10">
        <v>3.5916674139760399E-3</v>
      </c>
      <c r="H1575" s="10" t="s">
        <v>3164</v>
      </c>
      <c r="I1575" s="10" t="s">
        <v>18</v>
      </c>
    </row>
    <row r="1576" spans="1:9" x14ac:dyDescent="0.2">
      <c r="A1576" s="10" t="s">
        <v>3165</v>
      </c>
      <c r="B1576" s="10">
        <v>3524.7796103631299</v>
      </c>
      <c r="C1576" s="10">
        <v>1.7188676117978801</v>
      </c>
      <c r="D1576" s="10">
        <v>0.18316303306370099</v>
      </c>
      <c r="E1576" s="10">
        <v>9.3843587488534403</v>
      </c>
      <c r="F1576" s="4">
        <v>6.3300442015020499E-21</v>
      </c>
      <c r="G1576" s="4">
        <v>2.6740265791988601E-19</v>
      </c>
      <c r="H1576" s="10" t="s">
        <v>3166</v>
      </c>
      <c r="I1576" s="10" t="s">
        <v>18</v>
      </c>
    </row>
    <row r="1577" spans="1:9" x14ac:dyDescent="0.2">
      <c r="A1577" s="10" t="s">
        <v>3167</v>
      </c>
      <c r="B1577" s="10">
        <v>1682.97235830202</v>
      </c>
      <c r="C1577" s="10">
        <v>-1.16110019992188</v>
      </c>
      <c r="D1577" s="10">
        <v>0.197585452143927</v>
      </c>
      <c r="E1577" s="10">
        <v>-5.8764457976192297</v>
      </c>
      <c r="F1577" s="4">
        <v>4.1916856699129996E-9</v>
      </c>
      <c r="G1577" s="4">
        <v>5.2534893950376899E-8</v>
      </c>
      <c r="H1577" s="10" t="s">
        <v>3168</v>
      </c>
      <c r="I1577" s="10" t="s">
        <v>18</v>
      </c>
    </row>
    <row r="1578" spans="1:9" x14ac:dyDescent="0.2">
      <c r="A1578" s="10" t="s">
        <v>3169</v>
      </c>
      <c r="B1578" s="10">
        <v>18.1860964583928</v>
      </c>
      <c r="C1578" s="10">
        <v>2.4185820149241599</v>
      </c>
      <c r="D1578" s="10">
        <v>0.934409513858939</v>
      </c>
      <c r="E1578" s="10">
        <v>2.5883533708211699</v>
      </c>
      <c r="F1578" s="10">
        <v>9.6435994275125992E-3</v>
      </c>
      <c r="G1578" s="10">
        <v>3.0814958789895101E-2</v>
      </c>
      <c r="H1578" s="10" t="s">
        <v>3170</v>
      </c>
      <c r="I1578" s="10" t="s">
        <v>18</v>
      </c>
    </row>
    <row r="1579" spans="1:9" x14ac:dyDescent="0.2">
      <c r="A1579" s="10" t="s">
        <v>3171</v>
      </c>
      <c r="B1579" s="10">
        <v>2101.23167545358</v>
      </c>
      <c r="C1579" s="10">
        <v>1.5219328990133401</v>
      </c>
      <c r="D1579" s="10">
        <v>0.213231380947555</v>
      </c>
      <c r="E1579" s="10">
        <v>7.1374714746497299</v>
      </c>
      <c r="F1579" s="4">
        <v>9.5063340897106304E-13</v>
      </c>
      <c r="G1579" s="4">
        <v>1.89166277260959E-11</v>
      </c>
      <c r="H1579" s="10" t="s">
        <v>3172</v>
      </c>
      <c r="I1579" s="10" t="s">
        <v>18</v>
      </c>
    </row>
    <row r="1580" spans="1:9" x14ac:dyDescent="0.2">
      <c r="A1580" s="10" t="s">
        <v>3173</v>
      </c>
      <c r="B1580" s="10">
        <v>7.4916399328283001</v>
      </c>
      <c r="C1580" s="10">
        <v>4.80208079489881</v>
      </c>
      <c r="D1580" s="10">
        <v>1.83758299373621</v>
      </c>
      <c r="E1580" s="10">
        <v>2.6132592711555001</v>
      </c>
      <c r="F1580" s="10">
        <v>8.9683238468760799E-3</v>
      </c>
      <c r="G1580" s="10">
        <v>2.9077123863978999E-2</v>
      </c>
      <c r="H1580" s="10" t="s">
        <v>3174</v>
      </c>
      <c r="I1580" s="10" t="s">
        <v>18</v>
      </c>
    </row>
    <row r="1581" spans="1:9" x14ac:dyDescent="0.2">
      <c r="A1581" s="10" t="s">
        <v>3175</v>
      </c>
      <c r="B1581" s="10">
        <v>91.1739396858558</v>
      </c>
      <c r="C1581" s="10">
        <v>-1.68688998436001</v>
      </c>
      <c r="D1581" s="10">
        <v>0.39550170832798198</v>
      </c>
      <c r="E1581" s="10">
        <v>-4.2651901340489298</v>
      </c>
      <c r="F1581" s="4">
        <v>1.9973203818843801E-5</v>
      </c>
      <c r="G1581" s="10">
        <v>1.3273411815903401E-4</v>
      </c>
      <c r="H1581" s="10" t="s">
        <v>3176</v>
      </c>
      <c r="I1581" s="10" t="s">
        <v>18</v>
      </c>
    </row>
    <row r="1582" spans="1:9" x14ac:dyDescent="0.2">
      <c r="A1582" s="10" t="s">
        <v>3177</v>
      </c>
      <c r="B1582" s="10">
        <v>84.274593853169605</v>
      </c>
      <c r="C1582" s="10">
        <v>1.08635875026284</v>
      </c>
      <c r="D1582" s="10">
        <v>0.43964540693493298</v>
      </c>
      <c r="E1582" s="10">
        <v>2.47098851284853</v>
      </c>
      <c r="F1582" s="10">
        <v>1.34740146785705E-2</v>
      </c>
      <c r="G1582" s="10">
        <v>4.0832663546547798E-2</v>
      </c>
      <c r="H1582" s="10" t="s">
        <v>3178</v>
      </c>
      <c r="I1582" s="10" t="s">
        <v>18</v>
      </c>
    </row>
    <row r="1583" spans="1:9" x14ac:dyDescent="0.2">
      <c r="A1583" s="10" t="s">
        <v>3179</v>
      </c>
      <c r="B1583" s="10">
        <v>5.7615214236078902</v>
      </c>
      <c r="C1583" s="10">
        <v>5.9211747952185396</v>
      </c>
      <c r="D1583" s="10">
        <v>1.9659340584970799</v>
      </c>
      <c r="E1583" s="10">
        <v>3.01188881164467</v>
      </c>
      <c r="F1583" s="10">
        <v>2.59627675744899E-3</v>
      </c>
      <c r="G1583" s="10">
        <v>1.0090311611256401E-2</v>
      </c>
      <c r="H1583" s="10" t="s">
        <v>3180</v>
      </c>
      <c r="I1583" s="10" t="s">
        <v>18</v>
      </c>
    </row>
    <row r="1584" spans="1:9" x14ac:dyDescent="0.2">
      <c r="A1584" s="10" t="s">
        <v>3181</v>
      </c>
      <c r="B1584" s="10">
        <v>3398.4907607581999</v>
      </c>
      <c r="C1584" s="10">
        <v>1.7787335508492199</v>
      </c>
      <c r="D1584" s="10">
        <v>0.18968273219069801</v>
      </c>
      <c r="E1584" s="10">
        <v>9.3774142237732292</v>
      </c>
      <c r="F1584" s="4">
        <v>6.7610443233918903E-21</v>
      </c>
      <c r="G1584" s="4">
        <v>2.8472669965913302E-19</v>
      </c>
      <c r="H1584" s="10" t="s">
        <v>3182</v>
      </c>
      <c r="I1584" s="10" t="s">
        <v>18</v>
      </c>
    </row>
    <row r="1585" spans="1:9" x14ac:dyDescent="0.2">
      <c r="A1585" s="10" t="s">
        <v>3183</v>
      </c>
      <c r="B1585" s="10">
        <v>1425.86217220395</v>
      </c>
      <c r="C1585" s="10">
        <v>-1.2189265725663001</v>
      </c>
      <c r="D1585" s="10">
        <v>0.189913087394563</v>
      </c>
      <c r="E1585" s="10">
        <v>-6.4183389848950201</v>
      </c>
      <c r="F1585" s="4">
        <v>1.3776921561065301E-10</v>
      </c>
      <c r="G1585" s="4">
        <v>2.1006143356147001E-9</v>
      </c>
      <c r="H1585" s="10" t="s">
        <v>3184</v>
      </c>
      <c r="I1585" s="10" t="s">
        <v>18</v>
      </c>
    </row>
    <row r="1586" spans="1:9" x14ac:dyDescent="0.2">
      <c r="A1586" s="10" t="s">
        <v>3185</v>
      </c>
      <c r="B1586" s="10">
        <v>1728.92860326136</v>
      </c>
      <c r="C1586" s="10">
        <v>-1.5318854673711</v>
      </c>
      <c r="D1586" s="10">
        <v>0.189199605954149</v>
      </c>
      <c r="E1586" s="10">
        <v>-8.0966630963403805</v>
      </c>
      <c r="F1586" s="4">
        <v>5.6487228522172704E-16</v>
      </c>
      <c r="G1586" s="4">
        <v>1.5391075155436399E-14</v>
      </c>
      <c r="H1586" s="10" t="s">
        <v>3186</v>
      </c>
      <c r="I1586" s="10" t="s">
        <v>18</v>
      </c>
    </row>
    <row r="1587" spans="1:9" x14ac:dyDescent="0.2">
      <c r="A1587" s="10" t="s">
        <v>3187</v>
      </c>
      <c r="B1587" s="10">
        <v>24.3206960121816</v>
      </c>
      <c r="C1587" s="10">
        <v>1.88980029869688</v>
      </c>
      <c r="D1587" s="10">
        <v>0.71398654564077602</v>
      </c>
      <c r="E1587" s="10">
        <v>2.6468290057214698</v>
      </c>
      <c r="F1587" s="10">
        <v>8.1250425788551694E-3</v>
      </c>
      <c r="G1587" s="10">
        <v>2.6729030700712999E-2</v>
      </c>
      <c r="H1587" s="10" t="s">
        <v>3188</v>
      </c>
      <c r="I1587" s="10" t="s">
        <v>18</v>
      </c>
    </row>
    <row r="1588" spans="1:9" x14ac:dyDescent="0.2">
      <c r="A1588" s="10" t="s">
        <v>3189</v>
      </c>
      <c r="B1588" s="10">
        <v>8903.7359272659505</v>
      </c>
      <c r="C1588" s="10">
        <v>-1.22108517534559</v>
      </c>
      <c r="D1588" s="10">
        <v>0.16965778975132301</v>
      </c>
      <c r="E1588" s="10">
        <v>-7.1973422330645898</v>
      </c>
      <c r="F1588" s="4">
        <v>6.1397524314139899E-13</v>
      </c>
      <c r="G1588" s="4">
        <v>1.2493639619024401E-11</v>
      </c>
      <c r="H1588" s="10" t="s">
        <v>3190</v>
      </c>
      <c r="I1588" s="10" t="s">
        <v>18</v>
      </c>
    </row>
    <row r="1589" spans="1:9" x14ac:dyDescent="0.2">
      <c r="A1589" s="10" t="s">
        <v>3191</v>
      </c>
      <c r="B1589" s="10">
        <v>13.574132213763701</v>
      </c>
      <c r="C1589" s="10">
        <v>2.9706358202965202</v>
      </c>
      <c r="D1589" s="10">
        <v>1.07286552142527</v>
      </c>
      <c r="E1589" s="10">
        <v>2.7688799397245201</v>
      </c>
      <c r="F1589" s="10">
        <v>5.6249358828391596E-3</v>
      </c>
      <c r="G1589" s="10">
        <v>1.96339518318881E-2</v>
      </c>
      <c r="H1589" s="10" t="s">
        <v>3192</v>
      </c>
      <c r="I1589" s="10" t="s">
        <v>18</v>
      </c>
    </row>
    <row r="1590" spans="1:9" x14ac:dyDescent="0.2">
      <c r="A1590" s="10" t="s">
        <v>3193</v>
      </c>
      <c r="B1590" s="10">
        <v>748.40438102845303</v>
      </c>
      <c r="C1590" s="10">
        <v>-1.14419060273439</v>
      </c>
      <c r="D1590" s="10">
        <v>0.22629733731839499</v>
      </c>
      <c r="E1590" s="10">
        <v>-5.0561381600550899</v>
      </c>
      <c r="F1590" s="4">
        <v>4.2783144218787601E-7</v>
      </c>
      <c r="G1590" s="4">
        <v>3.9091627449004199E-6</v>
      </c>
      <c r="H1590" s="10" t="s">
        <v>3194</v>
      </c>
      <c r="I1590" s="10" t="s">
        <v>18</v>
      </c>
    </row>
    <row r="1591" spans="1:9" x14ac:dyDescent="0.2">
      <c r="A1591" s="10" t="s">
        <v>3195</v>
      </c>
      <c r="B1591" s="10">
        <v>13.902945149472201</v>
      </c>
      <c r="C1591" s="10">
        <v>3.6421831064661001</v>
      </c>
      <c r="D1591" s="10">
        <v>1.1275802106736199</v>
      </c>
      <c r="E1591" s="10">
        <v>3.2300878216816402</v>
      </c>
      <c r="F1591" s="10">
        <v>1.23752198720658E-3</v>
      </c>
      <c r="G1591" s="10">
        <v>5.3150633016106202E-3</v>
      </c>
      <c r="H1591" s="10" t="s">
        <v>3196</v>
      </c>
      <c r="I1591" s="10" t="s">
        <v>18</v>
      </c>
    </row>
    <row r="1592" spans="1:9" x14ac:dyDescent="0.2">
      <c r="A1592" s="10" t="s">
        <v>3197</v>
      </c>
      <c r="B1592" s="10">
        <v>4.2939624891008599</v>
      </c>
      <c r="C1592" s="10">
        <v>5.4978614945687996</v>
      </c>
      <c r="D1592" s="10">
        <v>2.1119244238519399</v>
      </c>
      <c r="E1592" s="10">
        <v>2.6032472717661199</v>
      </c>
      <c r="F1592" s="10">
        <v>9.2345323669644607E-3</v>
      </c>
      <c r="G1592" s="10">
        <v>2.9695893237658502E-2</v>
      </c>
      <c r="H1592" s="10" t="s">
        <v>3198</v>
      </c>
      <c r="I1592" s="10" t="s">
        <v>18</v>
      </c>
    </row>
    <row r="1593" spans="1:9" x14ac:dyDescent="0.2">
      <c r="A1593" s="10" t="s">
        <v>3199</v>
      </c>
      <c r="B1593" s="10">
        <v>9.7931356058679295</v>
      </c>
      <c r="C1593" s="10">
        <v>4.1759496989584397</v>
      </c>
      <c r="D1593" s="10">
        <v>1.44189929839652</v>
      </c>
      <c r="E1593" s="10">
        <v>2.8961451771301601</v>
      </c>
      <c r="F1593" s="10">
        <v>3.77777587344451E-3</v>
      </c>
      <c r="G1593" s="10">
        <v>1.3972181243890699E-2</v>
      </c>
      <c r="H1593" s="10" t="s">
        <v>3200</v>
      </c>
      <c r="I1593" s="10" t="s">
        <v>18</v>
      </c>
    </row>
    <row r="1594" spans="1:9" x14ac:dyDescent="0.2">
      <c r="A1594" s="10" t="s">
        <v>3201</v>
      </c>
      <c r="B1594" s="10">
        <v>1932.7864190804</v>
      </c>
      <c r="C1594" s="10">
        <v>-2.2131622266925199</v>
      </c>
      <c r="D1594" s="10">
        <v>0.19286970177598201</v>
      </c>
      <c r="E1594" s="10">
        <v>-11.474908740529401</v>
      </c>
      <c r="F1594" s="4">
        <v>1.7636364750223001E-30</v>
      </c>
      <c r="G1594" s="4">
        <v>1.43017270937299E-28</v>
      </c>
      <c r="H1594" s="10" t="s">
        <v>3202</v>
      </c>
      <c r="I1594" s="10" t="s">
        <v>18</v>
      </c>
    </row>
    <row r="1595" spans="1:9" x14ac:dyDescent="0.2">
      <c r="A1595" s="10" t="s">
        <v>3203</v>
      </c>
      <c r="B1595" s="10">
        <v>14.2709586114503</v>
      </c>
      <c r="C1595" s="10">
        <v>7.2271401416654699</v>
      </c>
      <c r="D1595" s="10">
        <v>1.7065455510626799</v>
      </c>
      <c r="E1595" s="10">
        <v>4.2349529651670101</v>
      </c>
      <c r="F1595" s="4">
        <v>2.2859954886876498E-5</v>
      </c>
      <c r="G1595" s="10">
        <v>1.5026904482574801E-4</v>
      </c>
      <c r="H1595" s="10" t="s">
        <v>3204</v>
      </c>
      <c r="I1595" s="10" t="s">
        <v>18</v>
      </c>
    </row>
    <row r="1596" spans="1:9" x14ac:dyDescent="0.2">
      <c r="A1596" s="10" t="s">
        <v>3205</v>
      </c>
      <c r="B1596" s="10">
        <v>6323.5780328651599</v>
      </c>
      <c r="C1596" s="10">
        <v>-1.13057454531834</v>
      </c>
      <c r="D1596" s="10">
        <v>0.173016927309463</v>
      </c>
      <c r="E1596" s="10">
        <v>-6.5344736084473398</v>
      </c>
      <c r="F1596" s="4">
        <v>6.3833649247158395E-11</v>
      </c>
      <c r="G1596" s="4">
        <v>1.0255161798569101E-9</v>
      </c>
      <c r="H1596" s="10" t="s">
        <v>3206</v>
      </c>
      <c r="I1596" s="10" t="s">
        <v>18</v>
      </c>
    </row>
    <row r="1597" spans="1:9" x14ac:dyDescent="0.2">
      <c r="A1597" s="10" t="s">
        <v>3207</v>
      </c>
      <c r="B1597" s="10">
        <v>227.11246433415701</v>
      </c>
      <c r="C1597" s="10">
        <v>1.1824653511376499</v>
      </c>
      <c r="D1597" s="10">
        <v>0.31255599968509801</v>
      </c>
      <c r="E1597" s="10">
        <v>3.78321117601002</v>
      </c>
      <c r="F1597" s="10">
        <v>1.5481795323779701E-4</v>
      </c>
      <c r="G1597" s="10">
        <v>8.48757499370273E-4</v>
      </c>
      <c r="H1597" s="10" t="s">
        <v>3208</v>
      </c>
      <c r="I1597" s="10" t="s">
        <v>18</v>
      </c>
    </row>
    <row r="1598" spans="1:9" x14ac:dyDescent="0.2">
      <c r="A1598" s="10" t="s">
        <v>3209</v>
      </c>
      <c r="B1598" s="10">
        <v>821.05959499869095</v>
      </c>
      <c r="C1598" s="10">
        <v>-2.1751001361718001</v>
      </c>
      <c r="D1598" s="10">
        <v>0.20783227823960801</v>
      </c>
      <c r="E1598" s="10">
        <v>-10.465651219317101</v>
      </c>
      <c r="F1598" s="4">
        <v>1.2421941678798601E-25</v>
      </c>
      <c r="G1598" s="4">
        <v>7.3259879853295597E-24</v>
      </c>
      <c r="H1598" s="10" t="s">
        <v>3210</v>
      </c>
      <c r="I1598" s="10" t="s">
        <v>18</v>
      </c>
    </row>
    <row r="1599" spans="1:9" x14ac:dyDescent="0.2">
      <c r="A1599" s="10" t="s">
        <v>3211</v>
      </c>
      <c r="B1599" s="10">
        <v>1485.1617864898601</v>
      </c>
      <c r="C1599" s="10">
        <v>-1.8825541349052599</v>
      </c>
      <c r="D1599" s="10">
        <v>0.19326116803326601</v>
      </c>
      <c r="E1599" s="10">
        <v>-9.7409849793582008</v>
      </c>
      <c r="F1599" s="4">
        <v>2.0159078124610799E-22</v>
      </c>
      <c r="G1599" s="4">
        <v>9.3414013887970903E-21</v>
      </c>
      <c r="H1599" s="10" t="s">
        <v>3212</v>
      </c>
      <c r="I1599" s="10" t="s">
        <v>18</v>
      </c>
    </row>
    <row r="1600" spans="1:9" x14ac:dyDescent="0.2">
      <c r="A1600" s="10" t="s">
        <v>3213</v>
      </c>
      <c r="B1600" s="10">
        <v>1198.5489305521401</v>
      </c>
      <c r="C1600" s="10">
        <v>1.22650843136425</v>
      </c>
      <c r="D1600" s="10">
        <v>0.20293666590596399</v>
      </c>
      <c r="E1600" s="10">
        <v>6.0437990635590104</v>
      </c>
      <c r="F1600" s="4">
        <v>1.5052696160425201E-9</v>
      </c>
      <c r="G1600" s="4">
        <v>1.99484830876997E-8</v>
      </c>
      <c r="H1600" s="10" t="s">
        <v>3214</v>
      </c>
      <c r="I1600" s="10" t="s">
        <v>18</v>
      </c>
    </row>
    <row r="1601" spans="1:9" x14ac:dyDescent="0.2">
      <c r="A1601" s="10" t="s">
        <v>3215</v>
      </c>
      <c r="B1601" s="10">
        <v>3243.3559994370798</v>
      </c>
      <c r="C1601" s="10">
        <v>2.3603901169688601</v>
      </c>
      <c r="D1601" s="10">
        <v>0.186550538382487</v>
      </c>
      <c r="E1601" s="10">
        <v>12.652818573642101</v>
      </c>
      <c r="F1601" s="4">
        <v>1.0793201904277201E-36</v>
      </c>
      <c r="G1601" s="4">
        <v>1.2567622747258099E-34</v>
      </c>
      <c r="H1601" s="10" t="s">
        <v>3216</v>
      </c>
      <c r="I1601" s="10" t="s">
        <v>18</v>
      </c>
    </row>
    <row r="1602" spans="1:9" x14ac:dyDescent="0.2">
      <c r="A1602" s="10" t="s">
        <v>3217</v>
      </c>
      <c r="B1602" s="10">
        <v>202.35622708646099</v>
      </c>
      <c r="C1602" s="10">
        <v>-1.0912130251313099</v>
      </c>
      <c r="D1602" s="10">
        <v>0.33669617624140702</v>
      </c>
      <c r="E1602" s="10">
        <v>-3.2409427315530901</v>
      </c>
      <c r="F1602" s="10">
        <v>1.19135115045357E-3</v>
      </c>
      <c r="G1602" s="10">
        <v>5.14082888734758E-3</v>
      </c>
      <c r="H1602" s="10" t="s">
        <v>3218</v>
      </c>
      <c r="I1602" s="10" t="s">
        <v>18</v>
      </c>
    </row>
    <row r="1603" spans="1:9" x14ac:dyDescent="0.2">
      <c r="A1603" s="10" t="s">
        <v>3219</v>
      </c>
      <c r="B1603" s="10">
        <v>12.368542419262401</v>
      </c>
      <c r="C1603" s="10">
        <v>7.0245543069096996</v>
      </c>
      <c r="D1603" s="10">
        <v>1.7070511152450301</v>
      </c>
      <c r="E1603" s="10">
        <v>4.1150228274807104</v>
      </c>
      <c r="F1603" s="4">
        <v>3.87141099225623E-5</v>
      </c>
      <c r="G1603" s="10">
        <v>2.4221431757980599E-4</v>
      </c>
      <c r="H1603" s="10" t="s">
        <v>3220</v>
      </c>
      <c r="I1603" s="10" t="s">
        <v>18</v>
      </c>
    </row>
    <row r="1604" spans="1:9" x14ac:dyDescent="0.2">
      <c r="A1604" s="10" t="s">
        <v>3221</v>
      </c>
      <c r="B1604" s="10">
        <v>1214.3013741181401</v>
      </c>
      <c r="C1604" s="10">
        <v>1.0627737306235601</v>
      </c>
      <c r="D1604" s="10">
        <v>0.20212767047899399</v>
      </c>
      <c r="E1604" s="10">
        <v>5.2579329099526397</v>
      </c>
      <c r="F1604" s="4">
        <v>1.4568364492636301E-7</v>
      </c>
      <c r="G1604" s="4">
        <v>1.4371623002565599E-6</v>
      </c>
      <c r="H1604" s="10" t="s">
        <v>3222</v>
      </c>
      <c r="I1604" s="10" t="s">
        <v>18</v>
      </c>
    </row>
    <row r="1605" spans="1:9" x14ac:dyDescent="0.2">
      <c r="A1605" s="10" t="s">
        <v>3223</v>
      </c>
      <c r="B1605" s="10">
        <v>570.44343874587798</v>
      </c>
      <c r="C1605" s="10">
        <v>-1.37132678825499</v>
      </c>
      <c r="D1605" s="10">
        <v>0.224220698939951</v>
      </c>
      <c r="E1605" s="10">
        <v>-6.1159687519404597</v>
      </c>
      <c r="F1605" s="4">
        <v>9.5972131483639302E-10</v>
      </c>
      <c r="G1605" s="4">
        <v>1.31096241918883E-8</v>
      </c>
      <c r="H1605" s="10" t="s">
        <v>3224</v>
      </c>
      <c r="I1605" s="10" t="s">
        <v>18</v>
      </c>
    </row>
    <row r="1606" spans="1:9" x14ac:dyDescent="0.2">
      <c r="A1606" s="10" t="s">
        <v>3225</v>
      </c>
      <c r="B1606" s="10">
        <v>15.231227447573</v>
      </c>
      <c r="C1606" s="10">
        <v>4.8306055607815299</v>
      </c>
      <c r="D1606" s="10">
        <v>1.3045619248799101</v>
      </c>
      <c r="E1606" s="10">
        <v>3.7028564674890401</v>
      </c>
      <c r="F1606" s="10">
        <v>2.1318550713673301E-4</v>
      </c>
      <c r="G1606" s="10">
        <v>1.1289923251612401E-3</v>
      </c>
      <c r="H1606" s="10" t="s">
        <v>3226</v>
      </c>
      <c r="I1606" s="10" t="s">
        <v>18</v>
      </c>
    </row>
    <row r="1607" spans="1:9" x14ac:dyDescent="0.2">
      <c r="A1607" s="10" t="s">
        <v>3227</v>
      </c>
      <c r="B1607" s="10">
        <v>29.918839954134899</v>
      </c>
      <c r="C1607" s="10">
        <v>5.8327650810206002</v>
      </c>
      <c r="D1607" s="10">
        <v>1.1800177987237599</v>
      </c>
      <c r="E1607" s="10">
        <v>4.9429466973540599</v>
      </c>
      <c r="F1607" s="4">
        <v>7.6950528122353495E-7</v>
      </c>
      <c r="G1607" s="4">
        <v>6.71579448990956E-6</v>
      </c>
      <c r="H1607" s="10" t="s">
        <v>3228</v>
      </c>
      <c r="I1607" s="10" t="s">
        <v>18</v>
      </c>
    </row>
    <row r="1608" spans="1:9" x14ac:dyDescent="0.2">
      <c r="A1608" s="10" t="s">
        <v>3229</v>
      </c>
      <c r="B1608" s="10">
        <v>7.7003436195650901</v>
      </c>
      <c r="C1608" s="10">
        <v>4.8471806779224904</v>
      </c>
      <c r="D1608" s="10">
        <v>1.86974743243432</v>
      </c>
      <c r="E1608" s="10">
        <v>2.5924253692444998</v>
      </c>
      <c r="F1608" s="10">
        <v>9.5301856113853695E-3</v>
      </c>
      <c r="G1608" s="10">
        <v>3.0501420188744199E-2</v>
      </c>
      <c r="H1608" s="10" t="s">
        <v>3230</v>
      </c>
      <c r="I1608" s="10" t="s">
        <v>18</v>
      </c>
    </row>
    <row r="1609" spans="1:9" x14ac:dyDescent="0.2">
      <c r="A1609" s="10" t="s">
        <v>3231</v>
      </c>
      <c r="B1609" s="10">
        <v>20.747807079637401</v>
      </c>
      <c r="C1609" s="10">
        <v>5.2866927581719798</v>
      </c>
      <c r="D1609" s="10">
        <v>1.2419854312527101</v>
      </c>
      <c r="E1609" s="10">
        <v>4.2566463544098401</v>
      </c>
      <c r="F1609" s="4">
        <v>2.0751621100005101E-5</v>
      </c>
      <c r="G1609" s="10">
        <v>1.37504722789844E-4</v>
      </c>
      <c r="H1609" s="10" t="s">
        <v>3232</v>
      </c>
      <c r="I1609" s="10" t="s">
        <v>18</v>
      </c>
    </row>
    <row r="1610" spans="1:9" x14ac:dyDescent="0.2">
      <c r="A1610" s="10" t="s">
        <v>3233</v>
      </c>
      <c r="B1610" s="10">
        <v>11.5260920064987</v>
      </c>
      <c r="C1610" s="10">
        <v>4.4131095401039504</v>
      </c>
      <c r="D1610" s="10">
        <v>1.3694190581519901</v>
      </c>
      <c r="E1610" s="10">
        <v>3.2226143734697099</v>
      </c>
      <c r="F1610" s="10">
        <v>1.2702644116852899E-3</v>
      </c>
      <c r="G1610" s="10">
        <v>5.4334214168271899E-3</v>
      </c>
      <c r="H1610" s="10" t="s">
        <v>3234</v>
      </c>
      <c r="I1610" s="10" t="s">
        <v>18</v>
      </c>
    </row>
    <row r="1611" spans="1:9" x14ac:dyDescent="0.2">
      <c r="A1611" s="10" t="s">
        <v>3235</v>
      </c>
      <c r="B1611" s="10">
        <v>855.09627618248601</v>
      </c>
      <c r="C1611" s="10">
        <v>2.80648411471606</v>
      </c>
      <c r="D1611" s="10">
        <v>0.23851112238599101</v>
      </c>
      <c r="E1611" s="10">
        <v>11.7666802564211</v>
      </c>
      <c r="F1611" s="4">
        <v>5.7960756786134299E-32</v>
      </c>
      <c r="G1611" s="4">
        <v>5.0943765811348403E-30</v>
      </c>
      <c r="H1611" s="10" t="s">
        <v>3236</v>
      </c>
      <c r="I1611" s="10" t="s">
        <v>18</v>
      </c>
    </row>
    <row r="1612" spans="1:9" x14ac:dyDescent="0.2">
      <c r="A1612" s="10" t="s">
        <v>3237</v>
      </c>
      <c r="B1612" s="10">
        <v>477.30062255454499</v>
      </c>
      <c r="C1612" s="10">
        <v>1.0447725799515499</v>
      </c>
      <c r="D1612" s="10">
        <v>0.22698529502605699</v>
      </c>
      <c r="E1612" s="10">
        <v>4.6028205476112998</v>
      </c>
      <c r="F1612" s="4">
        <v>4.1680734751979003E-6</v>
      </c>
      <c r="G1612" s="4">
        <v>3.1990844501047099E-5</v>
      </c>
      <c r="H1612" s="10" t="s">
        <v>3238</v>
      </c>
      <c r="I1612" s="10" t="s">
        <v>18</v>
      </c>
    </row>
    <row r="1613" spans="1:9" x14ac:dyDescent="0.2">
      <c r="A1613" s="10" t="s">
        <v>3239</v>
      </c>
      <c r="B1613" s="10">
        <v>85.463592834527802</v>
      </c>
      <c r="C1613" s="10">
        <v>1.2319742241180101</v>
      </c>
      <c r="D1613" s="10">
        <v>0.40515200989814798</v>
      </c>
      <c r="E1613" s="10">
        <v>3.0407703627774501</v>
      </c>
      <c r="F1613" s="10">
        <v>2.35973728479135E-3</v>
      </c>
      <c r="G1613" s="10">
        <v>9.2872687850223904E-3</v>
      </c>
      <c r="H1613" s="10" t="s">
        <v>3240</v>
      </c>
      <c r="I1613" s="10" t="s">
        <v>18</v>
      </c>
    </row>
    <row r="1614" spans="1:9" x14ac:dyDescent="0.2">
      <c r="A1614" s="10" t="s">
        <v>3241</v>
      </c>
      <c r="B1614" s="10">
        <v>8.6604011878152107</v>
      </c>
      <c r="C1614" s="10">
        <v>6.5089015725930004</v>
      </c>
      <c r="D1614" s="10">
        <v>1.81074130854136</v>
      </c>
      <c r="E1614" s="10">
        <v>3.5946060002553599</v>
      </c>
      <c r="F1614" s="10">
        <v>3.2488285476885902E-4</v>
      </c>
      <c r="G1614" s="10">
        <v>1.6356399009399699E-3</v>
      </c>
      <c r="H1614" s="10" t="s">
        <v>3242</v>
      </c>
      <c r="I1614" s="10" t="s">
        <v>18</v>
      </c>
    </row>
    <row r="1615" spans="1:9" x14ac:dyDescent="0.2">
      <c r="A1615" s="10" t="s">
        <v>3243</v>
      </c>
      <c r="B1615" s="10">
        <v>8.9085600376041896</v>
      </c>
      <c r="C1615" s="10">
        <v>3.4044516425918898</v>
      </c>
      <c r="D1615" s="10">
        <v>1.3721314555953299</v>
      </c>
      <c r="E1615" s="10">
        <v>2.4811410223919101</v>
      </c>
      <c r="F1615" s="10">
        <v>1.30962548891963E-2</v>
      </c>
      <c r="G1615" s="10">
        <v>3.9874137553461898E-2</v>
      </c>
      <c r="H1615" s="10" t="s">
        <v>3244</v>
      </c>
      <c r="I1615" s="10" t="s">
        <v>18</v>
      </c>
    </row>
    <row r="1616" spans="1:9" x14ac:dyDescent="0.2">
      <c r="A1616" s="10" t="s">
        <v>3245</v>
      </c>
      <c r="B1616" s="10">
        <v>338.11531452289802</v>
      </c>
      <c r="C1616" s="10">
        <v>-1.3696068754068</v>
      </c>
      <c r="D1616" s="10">
        <v>0.24778500715778801</v>
      </c>
      <c r="E1616" s="10">
        <v>-5.5274001083311903</v>
      </c>
      <c r="F1616" s="4">
        <v>3.2501116880444703E-8</v>
      </c>
      <c r="G1616" s="4">
        <v>3.5896146398114102E-7</v>
      </c>
      <c r="H1616" s="10" t="s">
        <v>3246</v>
      </c>
      <c r="I1616" s="10" t="s">
        <v>18</v>
      </c>
    </row>
    <row r="1617" spans="1:9" x14ac:dyDescent="0.2">
      <c r="A1617" s="10" t="s">
        <v>3247</v>
      </c>
      <c r="B1617" s="10">
        <v>662.81972706629904</v>
      </c>
      <c r="C1617" s="10">
        <v>-2.1442392645381498</v>
      </c>
      <c r="D1617" s="10">
        <v>0.226869968475889</v>
      </c>
      <c r="E1617" s="10">
        <v>-9.4514019592065406</v>
      </c>
      <c r="F1617" s="4">
        <v>3.3432242851127501E-21</v>
      </c>
      <c r="G1617" s="4">
        <v>1.4345327889207401E-19</v>
      </c>
      <c r="H1617" s="10" t="s">
        <v>3248</v>
      </c>
      <c r="I1617" s="10" t="s">
        <v>18</v>
      </c>
    </row>
    <row r="1618" spans="1:9" x14ac:dyDescent="0.2">
      <c r="A1618" s="10" t="s">
        <v>3249</v>
      </c>
      <c r="B1618" s="10">
        <v>1375.4243193417899</v>
      </c>
      <c r="C1618" s="10">
        <v>1.2679032423171701</v>
      </c>
      <c r="D1618" s="10">
        <v>0.19271341221081401</v>
      </c>
      <c r="E1618" s="10">
        <v>6.5792164010369296</v>
      </c>
      <c r="F1618" s="4">
        <v>4.7293403449649299E-11</v>
      </c>
      <c r="G1618" s="4">
        <v>7.6839795097948402E-10</v>
      </c>
      <c r="H1618" s="10" t="s">
        <v>3250</v>
      </c>
      <c r="I1618" s="10" t="s">
        <v>18</v>
      </c>
    </row>
    <row r="1619" spans="1:9" x14ac:dyDescent="0.2">
      <c r="A1619" s="10" t="s">
        <v>3251</v>
      </c>
      <c r="B1619" s="10">
        <v>10.1338471730155</v>
      </c>
      <c r="C1619" s="10">
        <v>5.2523962769703196</v>
      </c>
      <c r="D1619" s="10">
        <v>1.746485165063</v>
      </c>
      <c r="E1619" s="10">
        <v>3.0074096144875302</v>
      </c>
      <c r="F1619" s="10">
        <v>2.63484465628319E-3</v>
      </c>
      <c r="G1619" s="10">
        <v>1.02238126388134E-2</v>
      </c>
      <c r="H1619" s="10" t="s">
        <v>3252</v>
      </c>
      <c r="I1619" s="10" t="s">
        <v>18</v>
      </c>
    </row>
    <row r="1620" spans="1:9" x14ac:dyDescent="0.2">
      <c r="A1620" s="10" t="s">
        <v>3253</v>
      </c>
      <c r="B1620" s="10">
        <v>7700.4490045195998</v>
      </c>
      <c r="C1620" s="10">
        <v>-1.61455754486786</v>
      </c>
      <c r="D1620" s="10">
        <v>0.170460771123744</v>
      </c>
      <c r="E1620" s="10">
        <v>-9.4717249853093293</v>
      </c>
      <c r="F1620" s="4">
        <v>2.7525992458987502E-21</v>
      </c>
      <c r="G1620" s="4">
        <v>1.1885906759588499E-19</v>
      </c>
      <c r="H1620" s="10" t="s">
        <v>3254</v>
      </c>
      <c r="I1620" s="10" t="s">
        <v>18</v>
      </c>
    </row>
    <row r="1621" spans="1:9" x14ac:dyDescent="0.2">
      <c r="A1621" s="10" t="s">
        <v>3255</v>
      </c>
      <c r="B1621" s="10">
        <v>70.735495280367303</v>
      </c>
      <c r="C1621" s="10">
        <v>4.7192305825516296</v>
      </c>
      <c r="D1621" s="10">
        <v>0.623090209691466</v>
      </c>
      <c r="E1621" s="10">
        <v>7.5739122668745402</v>
      </c>
      <c r="F1621" s="4">
        <v>3.6214903423566E-14</v>
      </c>
      <c r="G1621" s="4">
        <v>8.3693594027303005E-13</v>
      </c>
      <c r="H1621" s="10" t="s">
        <v>3256</v>
      </c>
      <c r="I1621" s="10" t="s">
        <v>18</v>
      </c>
    </row>
    <row r="1622" spans="1:9" x14ac:dyDescent="0.2">
      <c r="A1622" s="10" t="s">
        <v>3257</v>
      </c>
      <c r="B1622" s="10">
        <v>7201.5829626168097</v>
      </c>
      <c r="C1622" s="10">
        <v>-1.3400785647320801</v>
      </c>
      <c r="D1622" s="10">
        <v>0.16938359996873201</v>
      </c>
      <c r="E1622" s="10">
        <v>-7.9115012609216997</v>
      </c>
      <c r="F1622" s="4">
        <v>2.5430336512155601E-15</v>
      </c>
      <c r="G1622" s="4">
        <v>6.5677761037602194E-14</v>
      </c>
      <c r="H1622" s="10" t="s">
        <v>3258</v>
      </c>
      <c r="I1622" s="10" t="s">
        <v>18</v>
      </c>
    </row>
    <row r="1623" spans="1:9" x14ac:dyDescent="0.2">
      <c r="A1623" s="10" t="s">
        <v>3259</v>
      </c>
      <c r="B1623" s="10">
        <v>187.20420777245599</v>
      </c>
      <c r="C1623" s="10">
        <v>-2.27583174278401</v>
      </c>
      <c r="D1623" s="10">
        <v>0.31167412040131698</v>
      </c>
      <c r="E1623" s="10">
        <v>-7.3019593024073002</v>
      </c>
      <c r="F1623" s="4">
        <v>2.8360706357256599E-13</v>
      </c>
      <c r="G1623" s="4">
        <v>6.0135732771686503E-12</v>
      </c>
      <c r="H1623" s="10" t="s">
        <v>3260</v>
      </c>
      <c r="I1623" s="10" t="s">
        <v>18</v>
      </c>
    </row>
    <row r="1624" spans="1:9" x14ac:dyDescent="0.2">
      <c r="A1624" s="10" t="s">
        <v>3261</v>
      </c>
      <c r="B1624" s="10">
        <v>1012.71801359597</v>
      </c>
      <c r="C1624" s="10">
        <v>-1.1084333845542</v>
      </c>
      <c r="D1624" s="10">
        <v>0.20521014955439801</v>
      </c>
      <c r="E1624" s="10">
        <v>-5.4014549814475696</v>
      </c>
      <c r="F1624" s="4">
        <v>6.6102529475357899E-8</v>
      </c>
      <c r="G1624" s="4">
        <v>6.9272908485195198E-7</v>
      </c>
      <c r="H1624" s="10" t="s">
        <v>3262</v>
      </c>
      <c r="I1624" s="10" t="s">
        <v>18</v>
      </c>
    </row>
    <row r="1625" spans="1:9" x14ac:dyDescent="0.2">
      <c r="A1625" s="10" t="s">
        <v>3263</v>
      </c>
      <c r="B1625" s="10">
        <v>22.878266902038899</v>
      </c>
      <c r="C1625" s="10">
        <v>-2.0148516744186602</v>
      </c>
      <c r="D1625" s="10">
        <v>0.73313386785193502</v>
      </c>
      <c r="E1625" s="10">
        <v>-2.7482725362588001</v>
      </c>
      <c r="F1625" s="10">
        <v>5.9910187967864102E-3</v>
      </c>
      <c r="G1625" s="10">
        <v>2.06577181923614E-2</v>
      </c>
      <c r="H1625" s="10" t="s">
        <v>3264</v>
      </c>
      <c r="I1625" s="10" t="s">
        <v>18</v>
      </c>
    </row>
    <row r="1626" spans="1:9" x14ac:dyDescent="0.2">
      <c r="A1626" s="10" t="s">
        <v>3265</v>
      </c>
      <c r="B1626" s="10">
        <v>847.85139518968003</v>
      </c>
      <c r="C1626" s="10">
        <v>-1.49172069738766</v>
      </c>
      <c r="D1626" s="10">
        <v>0.21168297670351899</v>
      </c>
      <c r="E1626" s="10">
        <v>-7.0469563524560197</v>
      </c>
      <c r="F1626" s="4">
        <v>1.8287365031540798E-12</v>
      </c>
      <c r="G1626" s="4">
        <v>3.5065153765967E-11</v>
      </c>
      <c r="H1626" s="10" t="s">
        <v>3266</v>
      </c>
      <c r="I1626" s="10" t="s">
        <v>18</v>
      </c>
    </row>
    <row r="1627" spans="1:9" x14ac:dyDescent="0.2">
      <c r="A1627" s="10" t="s">
        <v>3267</v>
      </c>
      <c r="B1627" s="10">
        <v>5486.7683755319704</v>
      </c>
      <c r="C1627" s="10">
        <v>-1.23143543748596</v>
      </c>
      <c r="D1627" s="10">
        <v>0.20486781335726301</v>
      </c>
      <c r="E1627" s="10">
        <v>-6.0108780257174699</v>
      </c>
      <c r="F1627" s="4">
        <v>1.8452120209844799E-9</v>
      </c>
      <c r="G1627" s="4">
        <v>2.40557377683081E-8</v>
      </c>
      <c r="H1627" s="10" t="s">
        <v>3268</v>
      </c>
      <c r="I1627" s="10" t="s">
        <v>18</v>
      </c>
    </row>
    <row r="1628" spans="1:9" x14ac:dyDescent="0.2">
      <c r="A1628" s="10" t="s">
        <v>3269</v>
      </c>
      <c r="B1628" s="10">
        <v>13.5711697923008</v>
      </c>
      <c r="C1628" s="10">
        <v>2.4851791630506299</v>
      </c>
      <c r="D1628" s="10">
        <v>1.0030292299152299</v>
      </c>
      <c r="E1628" s="10">
        <v>2.4776737196987302</v>
      </c>
      <c r="F1628" s="10">
        <v>1.32242014929693E-2</v>
      </c>
      <c r="G1628" s="10">
        <v>4.0173912150622597E-2</v>
      </c>
      <c r="H1628" s="10" t="s">
        <v>3270</v>
      </c>
      <c r="I1628" s="10" t="s">
        <v>18</v>
      </c>
    </row>
    <row r="1629" spans="1:9" x14ac:dyDescent="0.2">
      <c r="A1629" s="10" t="s">
        <v>3271</v>
      </c>
      <c r="B1629" s="10">
        <v>342.53375975707098</v>
      </c>
      <c r="C1629" s="10">
        <v>-1.42936339121129</v>
      </c>
      <c r="D1629" s="10">
        <v>0.245769679948631</v>
      </c>
      <c r="E1629" s="10">
        <v>-5.8158654538267003</v>
      </c>
      <c r="F1629" s="4">
        <v>6.0320971436102996E-9</v>
      </c>
      <c r="G1629" s="4">
        <v>7.3702489180246501E-8</v>
      </c>
      <c r="H1629" s="10" t="s">
        <v>3272</v>
      </c>
      <c r="I1629" s="10" t="s">
        <v>18</v>
      </c>
    </row>
    <row r="1630" spans="1:9" x14ac:dyDescent="0.2">
      <c r="A1630" s="10" t="s">
        <v>3273</v>
      </c>
      <c r="B1630" s="10">
        <v>10.574716011442201</v>
      </c>
      <c r="C1630" s="10">
        <v>5.3160771289564597</v>
      </c>
      <c r="D1630" s="10">
        <v>1.73315779635337</v>
      </c>
      <c r="E1630" s="10">
        <v>3.06727820175501</v>
      </c>
      <c r="F1630" s="10">
        <v>2.1601770650137701E-3</v>
      </c>
      <c r="G1630" s="10">
        <v>8.6138364540363204E-3</v>
      </c>
      <c r="H1630" s="10" t="s">
        <v>3274</v>
      </c>
      <c r="I1630" s="10" t="s">
        <v>18</v>
      </c>
    </row>
    <row r="1631" spans="1:9" x14ac:dyDescent="0.2">
      <c r="A1631" s="10" t="s">
        <v>3275</v>
      </c>
      <c r="B1631" s="10">
        <v>580.44601842270094</v>
      </c>
      <c r="C1631" s="10">
        <v>-1.5300969861364</v>
      </c>
      <c r="D1631" s="10">
        <v>0.26556127401076302</v>
      </c>
      <c r="E1631" s="10">
        <v>-5.76174742283541</v>
      </c>
      <c r="F1631" s="4">
        <v>8.3247513516646805E-9</v>
      </c>
      <c r="G1631" s="4">
        <v>1.00050765052922E-7</v>
      </c>
      <c r="H1631" s="10" t="s">
        <v>3276</v>
      </c>
      <c r="I1631" s="10" t="s">
        <v>18</v>
      </c>
    </row>
    <row r="1632" spans="1:9" x14ac:dyDescent="0.2">
      <c r="A1632" s="10" t="s">
        <v>3277</v>
      </c>
      <c r="B1632" s="10">
        <v>5.24817637556772</v>
      </c>
      <c r="C1632" s="10">
        <v>5.7873700827091596</v>
      </c>
      <c r="D1632" s="10">
        <v>2.00710138519183</v>
      </c>
      <c r="E1632" s="10">
        <v>2.88344680812226</v>
      </c>
      <c r="F1632" s="10">
        <v>3.9334907211268401E-3</v>
      </c>
      <c r="G1632" s="10">
        <v>1.44441808192106E-2</v>
      </c>
      <c r="H1632" s="10" t="s">
        <v>3278</v>
      </c>
      <c r="I1632" s="10" t="s">
        <v>18</v>
      </c>
    </row>
    <row r="1633" spans="1:9" x14ac:dyDescent="0.2">
      <c r="A1633" s="10" t="s">
        <v>3279</v>
      </c>
      <c r="B1633" s="10">
        <v>23.990994636072799</v>
      </c>
      <c r="C1633" s="10">
        <v>3.4073656736143101</v>
      </c>
      <c r="D1633" s="10">
        <v>0.83597396058209905</v>
      </c>
      <c r="E1633" s="10">
        <v>4.07592321564863</v>
      </c>
      <c r="F1633" s="4">
        <v>4.5832141830831799E-5</v>
      </c>
      <c r="G1633" s="10">
        <v>2.8285127258543001E-4</v>
      </c>
      <c r="H1633" s="10" t="s">
        <v>3280</v>
      </c>
      <c r="I1633" s="10" t="s">
        <v>18</v>
      </c>
    </row>
    <row r="1634" spans="1:9" x14ac:dyDescent="0.2">
      <c r="A1634" s="10" t="s">
        <v>3281</v>
      </c>
      <c r="B1634" s="10">
        <v>9.6814155010748095</v>
      </c>
      <c r="C1634" s="10">
        <v>4.1567546721333803</v>
      </c>
      <c r="D1634" s="10">
        <v>1.4537007901630701</v>
      </c>
      <c r="E1634" s="10">
        <v>2.8594293270399098</v>
      </c>
      <c r="F1634" s="10">
        <v>4.2440397238651603E-3</v>
      </c>
      <c r="G1634" s="10">
        <v>1.5401884703803201E-2</v>
      </c>
      <c r="H1634" s="10" t="s">
        <v>3282</v>
      </c>
      <c r="I1634" s="10" t="s">
        <v>18</v>
      </c>
    </row>
    <row r="1635" spans="1:9" x14ac:dyDescent="0.2">
      <c r="A1635" s="10" t="s">
        <v>3283</v>
      </c>
      <c r="B1635" s="10">
        <v>11360.8225507772</v>
      </c>
      <c r="C1635" s="10">
        <v>1.7704982368988</v>
      </c>
      <c r="D1635" s="10">
        <v>0.16935615737992199</v>
      </c>
      <c r="E1635" s="10">
        <v>10.454289140057501</v>
      </c>
      <c r="F1635" s="4">
        <v>1.4004499181318699E-25</v>
      </c>
      <c r="G1635" s="4">
        <v>8.2060341762019296E-24</v>
      </c>
      <c r="H1635" s="10" t="s">
        <v>3284</v>
      </c>
      <c r="I1635" s="10" t="s">
        <v>18</v>
      </c>
    </row>
    <row r="1636" spans="1:9" x14ac:dyDescent="0.2">
      <c r="A1636" s="10" t="s">
        <v>3285</v>
      </c>
      <c r="B1636" s="10">
        <v>6875.5163275347204</v>
      </c>
      <c r="C1636" s="10">
        <v>-2.2240608453361701</v>
      </c>
      <c r="D1636" s="10">
        <v>0.19968197859178299</v>
      </c>
      <c r="E1636" s="10">
        <v>-11.138014862537499</v>
      </c>
      <c r="F1636" s="4">
        <v>8.1925090171548195E-29</v>
      </c>
      <c r="G1636" s="4">
        <v>5.8282321981832197E-27</v>
      </c>
      <c r="H1636" s="10" t="s">
        <v>3286</v>
      </c>
      <c r="I1636" s="10" t="s">
        <v>18</v>
      </c>
    </row>
    <row r="1637" spans="1:9" x14ac:dyDescent="0.2">
      <c r="A1637" s="10" t="s">
        <v>3287</v>
      </c>
      <c r="B1637" s="10">
        <v>421.93768996945698</v>
      </c>
      <c r="C1637" s="10">
        <v>1.0485939849864401</v>
      </c>
      <c r="D1637" s="10">
        <v>0.23682579473770901</v>
      </c>
      <c r="E1637" s="10">
        <v>4.4277017465423896</v>
      </c>
      <c r="F1637" s="4">
        <v>9.5242474571312993E-6</v>
      </c>
      <c r="G1637" s="4">
        <v>6.8076382598231E-5</v>
      </c>
      <c r="H1637" s="10" t="s">
        <v>3288</v>
      </c>
      <c r="I1637" s="10" t="s">
        <v>18</v>
      </c>
    </row>
    <row r="1638" spans="1:9" x14ac:dyDescent="0.2">
      <c r="A1638" s="10" t="s">
        <v>3289</v>
      </c>
      <c r="B1638" s="10">
        <v>17.951965847029602</v>
      </c>
      <c r="C1638" s="10">
        <v>4.0336201883508203</v>
      </c>
      <c r="D1638" s="10">
        <v>1.03189050127487</v>
      </c>
      <c r="E1638" s="10">
        <v>3.9089614483003601</v>
      </c>
      <c r="F1638" s="4">
        <v>9.2693753220834095E-5</v>
      </c>
      <c r="G1638" s="10">
        <v>5.3531723060789899E-4</v>
      </c>
      <c r="H1638" s="10" t="s">
        <v>3290</v>
      </c>
      <c r="I1638" s="10" t="s">
        <v>18</v>
      </c>
    </row>
    <row r="1639" spans="1:9" x14ac:dyDescent="0.2">
      <c r="A1639" s="10" t="s">
        <v>3291</v>
      </c>
      <c r="B1639" s="10">
        <v>178.97488150058399</v>
      </c>
      <c r="C1639" s="10">
        <v>2.3094206308454499</v>
      </c>
      <c r="D1639" s="10">
        <v>0.34971559566482302</v>
      </c>
      <c r="E1639" s="10">
        <v>6.6037107280135796</v>
      </c>
      <c r="F1639" s="4">
        <v>4.0099161765784698E-11</v>
      </c>
      <c r="G1639" s="4">
        <v>6.6096906269348898E-10</v>
      </c>
      <c r="H1639" s="10" t="s">
        <v>3292</v>
      </c>
      <c r="I1639" s="10" t="s">
        <v>18</v>
      </c>
    </row>
    <row r="1640" spans="1:9" x14ac:dyDescent="0.2">
      <c r="A1640" s="10" t="s">
        <v>3293</v>
      </c>
      <c r="B1640" s="10">
        <v>48.037064543139401</v>
      </c>
      <c r="C1640" s="10">
        <v>2.6850950658269901</v>
      </c>
      <c r="D1640" s="10">
        <v>0.56024510670280403</v>
      </c>
      <c r="E1640" s="10">
        <v>4.7927148915757796</v>
      </c>
      <c r="F1640" s="4">
        <v>1.6453937716679301E-6</v>
      </c>
      <c r="G1640" s="4">
        <v>1.35526130884631E-5</v>
      </c>
      <c r="H1640" s="10" t="s">
        <v>3294</v>
      </c>
      <c r="I1640" s="10" t="s">
        <v>18</v>
      </c>
    </row>
    <row r="1641" spans="1:9" x14ac:dyDescent="0.2">
      <c r="A1641" s="10" t="s">
        <v>3295</v>
      </c>
      <c r="B1641" s="10">
        <v>12.1847686406009</v>
      </c>
      <c r="C1641" s="10">
        <v>2.7853238901416</v>
      </c>
      <c r="D1641" s="10">
        <v>1.06368570302912</v>
      </c>
      <c r="E1641" s="10">
        <v>2.61855911216036</v>
      </c>
      <c r="F1641" s="10">
        <v>8.8301991143021098E-3</v>
      </c>
      <c r="G1641" s="10">
        <v>2.8703941215388901E-2</v>
      </c>
      <c r="H1641" s="10" t="s">
        <v>3296</v>
      </c>
      <c r="I1641" s="10" t="s">
        <v>18</v>
      </c>
    </row>
    <row r="1642" spans="1:9" x14ac:dyDescent="0.2">
      <c r="A1642" s="10" t="s">
        <v>3297</v>
      </c>
      <c r="B1642" s="10">
        <v>567.09959854753595</v>
      </c>
      <c r="C1642" s="10">
        <v>-1.5403691606791501</v>
      </c>
      <c r="D1642" s="10">
        <v>0.221078468854882</v>
      </c>
      <c r="E1642" s="10">
        <v>-6.9675222949470603</v>
      </c>
      <c r="F1642" s="4">
        <v>3.2257134688729601E-12</v>
      </c>
      <c r="G1642" s="4">
        <v>5.9993866816642603E-11</v>
      </c>
      <c r="H1642" s="10" t="s">
        <v>3298</v>
      </c>
      <c r="I1642" s="10" t="s">
        <v>18</v>
      </c>
    </row>
    <row r="1643" spans="1:9" x14ac:dyDescent="0.2">
      <c r="A1643" s="10" t="s">
        <v>3299</v>
      </c>
      <c r="B1643" s="10">
        <v>6.7489676245085999</v>
      </c>
      <c r="C1643" s="10">
        <v>6.1450646006902003</v>
      </c>
      <c r="D1643" s="10">
        <v>1.9622127640039699</v>
      </c>
      <c r="E1643" s="10">
        <v>3.1317014716339799</v>
      </c>
      <c r="F1643" s="10">
        <v>1.7379649506572799E-3</v>
      </c>
      <c r="G1643" s="10">
        <v>7.15538395445135E-3</v>
      </c>
      <c r="H1643" s="10" t="s">
        <v>3300</v>
      </c>
      <c r="I1643" s="10" t="s">
        <v>18</v>
      </c>
    </row>
    <row r="1644" spans="1:9" x14ac:dyDescent="0.2">
      <c r="A1644" s="10" t="s">
        <v>3301</v>
      </c>
      <c r="B1644" s="10">
        <v>24.497499040540301</v>
      </c>
      <c r="C1644" s="10">
        <v>2.0823640702532802</v>
      </c>
      <c r="D1644" s="10">
        <v>0.76248095701888696</v>
      </c>
      <c r="E1644" s="10">
        <v>2.7310374784897098</v>
      </c>
      <c r="F1644" s="10">
        <v>6.31352914293526E-3</v>
      </c>
      <c r="G1644" s="10">
        <v>2.1611146803713201E-2</v>
      </c>
      <c r="H1644" s="10" t="s">
        <v>3302</v>
      </c>
      <c r="I1644" s="10" t="s">
        <v>18</v>
      </c>
    </row>
    <row r="1645" spans="1:9" x14ac:dyDescent="0.2">
      <c r="A1645" s="10" t="s">
        <v>3303</v>
      </c>
      <c r="B1645" s="10">
        <v>9.1318323482278991</v>
      </c>
      <c r="C1645" s="10">
        <v>4.0688745819318397</v>
      </c>
      <c r="D1645" s="10">
        <v>1.4689534963337001</v>
      </c>
      <c r="E1645" s="10">
        <v>2.7699138142134401</v>
      </c>
      <c r="F1645" s="10">
        <v>5.6071127345698303E-3</v>
      </c>
      <c r="G1645" s="10">
        <v>1.95943312400698E-2</v>
      </c>
      <c r="H1645" s="10" t="s">
        <v>3304</v>
      </c>
      <c r="I1645" s="10" t="s">
        <v>18</v>
      </c>
    </row>
    <row r="1646" spans="1:9" x14ac:dyDescent="0.2">
      <c r="A1646" s="10" t="s">
        <v>3305</v>
      </c>
      <c r="B1646" s="10">
        <v>42.685833627308902</v>
      </c>
      <c r="C1646" s="10">
        <v>7.3585231963312498</v>
      </c>
      <c r="D1646" s="10">
        <v>1.52582867831133</v>
      </c>
      <c r="E1646" s="10">
        <v>4.82264051064704</v>
      </c>
      <c r="F1646" s="4">
        <v>1.4167016412501001E-6</v>
      </c>
      <c r="G1646" s="4">
        <v>1.18263284425249E-5</v>
      </c>
      <c r="H1646" s="10" t="s">
        <v>3306</v>
      </c>
      <c r="I1646" s="10" t="s">
        <v>18</v>
      </c>
    </row>
    <row r="1647" spans="1:9" x14ac:dyDescent="0.2">
      <c r="A1647" s="10" t="s">
        <v>3307</v>
      </c>
      <c r="B1647" s="10">
        <v>4.36643869871435</v>
      </c>
      <c r="C1647" s="10">
        <v>5.51984028109222</v>
      </c>
      <c r="D1647" s="10">
        <v>2.1118253273681198</v>
      </c>
      <c r="E1647" s="10">
        <v>2.6137769111668798</v>
      </c>
      <c r="F1647" s="10">
        <v>8.9547485688279607E-3</v>
      </c>
      <c r="G1647" s="10">
        <v>2.9049890969741098E-2</v>
      </c>
      <c r="H1647" s="10" t="s">
        <v>3308</v>
      </c>
      <c r="I1647" s="10" t="s">
        <v>18</v>
      </c>
    </row>
    <row r="1648" spans="1:9" x14ac:dyDescent="0.2">
      <c r="A1648" s="10" t="s">
        <v>3309</v>
      </c>
      <c r="B1648" s="10">
        <v>287.17592372840699</v>
      </c>
      <c r="C1648" s="10">
        <v>7.7908146512157401</v>
      </c>
      <c r="D1648" s="10">
        <v>0.69297618359838697</v>
      </c>
      <c r="E1648" s="10">
        <v>11.242543157487299</v>
      </c>
      <c r="F1648" s="4">
        <v>2.52015882486789E-29</v>
      </c>
      <c r="G1648" s="4">
        <v>1.8558585811128502E-27</v>
      </c>
      <c r="H1648" s="10" t="s">
        <v>3310</v>
      </c>
      <c r="I1648" s="10" t="s">
        <v>18</v>
      </c>
    </row>
    <row r="1649" spans="1:9" x14ac:dyDescent="0.2">
      <c r="A1649" s="10" t="s">
        <v>3311</v>
      </c>
      <c r="B1649" s="10">
        <v>3219.4320855577898</v>
      </c>
      <c r="C1649" s="10">
        <v>-1.2234060214353799</v>
      </c>
      <c r="D1649" s="10">
        <v>0.17873150131054</v>
      </c>
      <c r="E1649" s="10">
        <v>-6.8449378674985502</v>
      </c>
      <c r="F1649" s="4">
        <v>7.65090707033016E-12</v>
      </c>
      <c r="G1649" s="4">
        <v>1.3634026484322201E-10</v>
      </c>
      <c r="H1649" s="10" t="s">
        <v>3312</v>
      </c>
      <c r="I1649" s="10" t="s">
        <v>18</v>
      </c>
    </row>
    <row r="1650" spans="1:9" x14ac:dyDescent="0.2">
      <c r="A1650" s="10" t="s">
        <v>3313</v>
      </c>
      <c r="B1650" s="10">
        <v>10.608072855928601</v>
      </c>
      <c r="C1650" s="10">
        <v>6.8042318673040301</v>
      </c>
      <c r="D1650" s="10">
        <v>1.74687561460354</v>
      </c>
      <c r="E1650" s="10">
        <v>3.89508663949624</v>
      </c>
      <c r="F1650" s="4">
        <v>9.8163635480665094E-5</v>
      </c>
      <c r="G1650" s="10">
        <v>5.62968759406795E-4</v>
      </c>
      <c r="H1650" s="10" t="s">
        <v>3314</v>
      </c>
      <c r="I1650" s="10" t="s">
        <v>18</v>
      </c>
    </row>
    <row r="1651" spans="1:9" x14ac:dyDescent="0.2">
      <c r="A1651" s="10" t="s">
        <v>3315</v>
      </c>
      <c r="B1651" s="10">
        <v>1489.66824152206</v>
      </c>
      <c r="C1651" s="10">
        <v>1.02351733139377</v>
      </c>
      <c r="D1651" s="10">
        <v>0.197741705796836</v>
      </c>
      <c r="E1651" s="10">
        <v>5.1760316685310199</v>
      </c>
      <c r="F1651" s="4">
        <v>2.2665500151845099E-7</v>
      </c>
      <c r="G1651" s="4">
        <v>2.1684230429681301E-6</v>
      </c>
      <c r="H1651" s="10" t="s">
        <v>3316</v>
      </c>
      <c r="I1651" s="10" t="s">
        <v>18</v>
      </c>
    </row>
    <row r="1652" spans="1:9" x14ac:dyDescent="0.2">
      <c r="A1652" s="10" t="s">
        <v>3317</v>
      </c>
      <c r="B1652" s="10">
        <v>5.3931287947946904</v>
      </c>
      <c r="C1652" s="10">
        <v>5.8232739963666802</v>
      </c>
      <c r="D1652" s="10">
        <v>2.0163845420733102</v>
      </c>
      <c r="E1652" s="10">
        <v>2.8879779004747701</v>
      </c>
      <c r="F1652" s="10">
        <v>3.8772711269785E-3</v>
      </c>
      <c r="G1652" s="10">
        <v>1.42685043755785E-2</v>
      </c>
      <c r="H1652" s="10" t="s">
        <v>3318</v>
      </c>
      <c r="I1652" s="10" t="s">
        <v>18</v>
      </c>
    </row>
    <row r="1653" spans="1:9" x14ac:dyDescent="0.2">
      <c r="A1653" s="10" t="s">
        <v>3319</v>
      </c>
      <c r="B1653" s="10">
        <v>1076.5593528099701</v>
      </c>
      <c r="C1653" s="10">
        <v>-1.443669938187</v>
      </c>
      <c r="D1653" s="10">
        <v>0.19966938802318299</v>
      </c>
      <c r="E1653" s="10">
        <v>-7.2303018128115797</v>
      </c>
      <c r="F1653" s="4">
        <v>4.8192180558367195E-13</v>
      </c>
      <c r="G1653" s="4">
        <v>9.9703291091406995E-12</v>
      </c>
      <c r="H1653" s="10" t="s">
        <v>3320</v>
      </c>
      <c r="I1653" s="10" t="s">
        <v>18</v>
      </c>
    </row>
    <row r="1654" spans="1:9" x14ac:dyDescent="0.2">
      <c r="A1654" s="10" t="s">
        <v>3321</v>
      </c>
      <c r="B1654" s="10">
        <v>7.8149016157685702</v>
      </c>
      <c r="C1654" s="10">
        <v>6.3588755385260898</v>
      </c>
      <c r="D1654" s="10">
        <v>1.85980141905403</v>
      </c>
      <c r="E1654" s="10">
        <v>3.4191153277861699</v>
      </c>
      <c r="F1654" s="10">
        <v>6.2825092692367205E-4</v>
      </c>
      <c r="G1654" s="10">
        <v>2.9316583329147602E-3</v>
      </c>
      <c r="H1654" s="10" t="s">
        <v>3322</v>
      </c>
      <c r="I1654" s="10" t="s">
        <v>18</v>
      </c>
    </row>
    <row r="1655" spans="1:9" x14ac:dyDescent="0.2">
      <c r="A1655" s="10" t="s">
        <v>3323</v>
      </c>
      <c r="B1655" s="10">
        <v>3582.7573167291098</v>
      </c>
      <c r="C1655" s="10">
        <v>1.06062138035357</v>
      </c>
      <c r="D1655" s="10">
        <v>0.18178361700724499</v>
      </c>
      <c r="E1655" s="10">
        <v>5.8345267731761599</v>
      </c>
      <c r="F1655" s="4">
        <v>5.3943446222189597E-9</v>
      </c>
      <c r="G1655" s="4">
        <v>6.6597058414861805E-8</v>
      </c>
      <c r="H1655" s="10" t="s">
        <v>3324</v>
      </c>
      <c r="I1655" s="10" t="s">
        <v>18</v>
      </c>
    </row>
    <row r="1656" spans="1:9" x14ac:dyDescent="0.2">
      <c r="A1656" s="10" t="s">
        <v>3325</v>
      </c>
      <c r="B1656" s="10">
        <v>290.18030512263698</v>
      </c>
      <c r="C1656" s="10">
        <v>-1.1156078035876</v>
      </c>
      <c r="D1656" s="10">
        <v>0.27484695909201301</v>
      </c>
      <c r="E1656" s="10">
        <v>-4.0590145413037604</v>
      </c>
      <c r="F1656" s="4">
        <v>4.9280245148183799E-5</v>
      </c>
      <c r="G1656" s="10">
        <v>3.0262313264651001E-4</v>
      </c>
      <c r="H1656" s="10" t="s">
        <v>3326</v>
      </c>
      <c r="I1656" s="10" t="s">
        <v>18</v>
      </c>
    </row>
    <row r="1657" spans="1:9" x14ac:dyDescent="0.2">
      <c r="A1657" s="10" t="s">
        <v>3327</v>
      </c>
      <c r="B1657" s="10">
        <v>1736.7859001924801</v>
      </c>
      <c r="C1657" s="10">
        <v>-1.1449441767992501</v>
      </c>
      <c r="D1657" s="10">
        <v>0.188883875685947</v>
      </c>
      <c r="E1657" s="10">
        <v>-6.0616300498986098</v>
      </c>
      <c r="F1657" s="4">
        <v>1.3474886919719899E-9</v>
      </c>
      <c r="G1657" s="4">
        <v>1.80417810271061E-8</v>
      </c>
      <c r="H1657" s="10" t="s">
        <v>3328</v>
      </c>
      <c r="I1657" s="10" t="s">
        <v>18</v>
      </c>
    </row>
    <row r="1658" spans="1:9" x14ac:dyDescent="0.2">
      <c r="A1658" s="10" t="s">
        <v>3329</v>
      </c>
      <c r="B1658" s="10">
        <v>1080.02254464409</v>
      </c>
      <c r="C1658" s="10">
        <v>1.00259101335884</v>
      </c>
      <c r="D1658" s="10">
        <v>0.193628441322579</v>
      </c>
      <c r="E1658" s="10">
        <v>5.1779119147509496</v>
      </c>
      <c r="F1658" s="4">
        <v>2.2438312244090299E-7</v>
      </c>
      <c r="G1658" s="4">
        <v>2.15273483702369E-6</v>
      </c>
      <c r="H1658" s="10" t="s">
        <v>3330</v>
      </c>
      <c r="I1658" s="10" t="s">
        <v>18</v>
      </c>
    </row>
    <row r="1659" spans="1:9" x14ac:dyDescent="0.2">
      <c r="A1659" s="10" t="s">
        <v>3331</v>
      </c>
      <c r="B1659" s="10">
        <v>11.9248356894254</v>
      </c>
      <c r="C1659" s="10">
        <v>5.4997725517018097</v>
      </c>
      <c r="D1659" s="10">
        <v>1.7022665656203999</v>
      </c>
      <c r="E1659" s="10">
        <v>3.2308527129517999</v>
      </c>
      <c r="F1659" s="10">
        <v>1.2342152118679801E-3</v>
      </c>
      <c r="G1659" s="10">
        <v>5.3025326202723001E-3</v>
      </c>
      <c r="H1659" s="10" t="s">
        <v>3332</v>
      </c>
      <c r="I1659" s="10" t="s">
        <v>18</v>
      </c>
    </row>
    <row r="1660" spans="1:9" x14ac:dyDescent="0.2">
      <c r="A1660" s="10" t="s">
        <v>3333</v>
      </c>
      <c r="B1660" s="10">
        <v>7629.5638835060699</v>
      </c>
      <c r="C1660" s="10">
        <v>1.18994943823861</v>
      </c>
      <c r="D1660" s="10">
        <v>0.175645179525003</v>
      </c>
      <c r="E1660" s="10">
        <v>6.7747343904147801</v>
      </c>
      <c r="F1660" s="4">
        <v>1.2463502015311201E-11</v>
      </c>
      <c r="G1660" s="4">
        <v>2.17270018817137E-10</v>
      </c>
      <c r="H1660" s="10" t="s">
        <v>3334</v>
      </c>
      <c r="I1660" s="10" t="s">
        <v>18</v>
      </c>
    </row>
    <row r="1661" spans="1:9" x14ac:dyDescent="0.2">
      <c r="A1661" s="10" t="s">
        <v>3335</v>
      </c>
      <c r="B1661" s="10">
        <v>3587.7677080818798</v>
      </c>
      <c r="C1661" s="10">
        <v>-1.6469195477021501</v>
      </c>
      <c r="D1661" s="10">
        <v>0.20313120900322701</v>
      </c>
      <c r="E1661" s="10">
        <v>-8.1076637892505694</v>
      </c>
      <c r="F1661" s="4">
        <v>5.1602284034143501E-16</v>
      </c>
      <c r="G1661" s="4">
        <v>1.41165404927541E-14</v>
      </c>
      <c r="H1661" s="10" t="s">
        <v>3336</v>
      </c>
      <c r="I1661" s="10" t="s">
        <v>18</v>
      </c>
    </row>
    <row r="1662" spans="1:9" x14ac:dyDescent="0.2">
      <c r="A1662" s="10" t="s">
        <v>3337</v>
      </c>
      <c r="B1662" s="10">
        <v>457.38287696665401</v>
      </c>
      <c r="C1662" s="10">
        <v>-2.6032742748156701</v>
      </c>
      <c r="D1662" s="10">
        <v>0.23657091620759599</v>
      </c>
      <c r="E1662" s="10">
        <v>-11.0042025306747</v>
      </c>
      <c r="F1662" s="4">
        <v>3.64728520703139E-28</v>
      </c>
      <c r="G1662" s="4">
        <v>2.4906661663154E-26</v>
      </c>
      <c r="H1662" s="10" t="s">
        <v>3338</v>
      </c>
      <c r="I1662" s="10" t="s">
        <v>18</v>
      </c>
    </row>
    <row r="1663" spans="1:9" x14ac:dyDescent="0.2">
      <c r="A1663" s="10" t="s">
        <v>3339</v>
      </c>
      <c r="B1663" s="10">
        <v>11.6494183137159</v>
      </c>
      <c r="C1663" s="10">
        <v>3.79804787559394</v>
      </c>
      <c r="D1663" s="10">
        <v>1.2745250502680301</v>
      </c>
      <c r="E1663" s="10">
        <v>2.9799711467383099</v>
      </c>
      <c r="F1663" s="10">
        <v>2.8827553530943201E-3</v>
      </c>
      <c r="G1663" s="10">
        <v>1.10457650268262E-2</v>
      </c>
      <c r="H1663" s="10" t="s">
        <v>3340</v>
      </c>
      <c r="I1663" s="10" t="s">
        <v>18</v>
      </c>
    </row>
    <row r="1664" spans="1:9" x14ac:dyDescent="0.2">
      <c r="A1664" s="10" t="s">
        <v>3341</v>
      </c>
      <c r="B1664" s="10">
        <v>1722.8979563256</v>
      </c>
      <c r="C1664" s="10">
        <v>-1.33548647503749</v>
      </c>
      <c r="D1664" s="10">
        <v>0.19483599815602401</v>
      </c>
      <c r="E1664" s="10">
        <v>-6.8544133921701498</v>
      </c>
      <c r="F1664" s="4">
        <v>7.1605736811520897E-12</v>
      </c>
      <c r="G1664" s="4">
        <v>1.28021096515978E-10</v>
      </c>
      <c r="H1664" s="10" t="s">
        <v>3342</v>
      </c>
      <c r="I1664" s="10" t="s">
        <v>18</v>
      </c>
    </row>
    <row r="1665" spans="1:9" x14ac:dyDescent="0.2">
      <c r="A1665" s="10" t="s">
        <v>3343</v>
      </c>
      <c r="B1665" s="10">
        <v>24.6707069474772</v>
      </c>
      <c r="C1665" s="10">
        <v>4.5172600173039497</v>
      </c>
      <c r="D1665" s="10">
        <v>0.96346642155321205</v>
      </c>
      <c r="E1665" s="10">
        <v>4.6885495085772</v>
      </c>
      <c r="F1665" s="4">
        <v>2.7514835269923402E-6</v>
      </c>
      <c r="G1665" s="4">
        <v>2.1749252004630201E-5</v>
      </c>
      <c r="H1665" s="10" t="s">
        <v>3344</v>
      </c>
      <c r="I1665" s="10" t="s">
        <v>18</v>
      </c>
    </row>
    <row r="1666" spans="1:9" x14ac:dyDescent="0.2">
      <c r="A1666" s="10" t="s">
        <v>3345</v>
      </c>
      <c r="B1666" s="10">
        <v>5.4323726899743301</v>
      </c>
      <c r="C1666" s="10">
        <v>5.8384671515102298</v>
      </c>
      <c r="D1666" s="10">
        <v>1.9903824247200499</v>
      </c>
      <c r="E1666" s="10">
        <v>2.9333393819187399</v>
      </c>
      <c r="F1666" s="10">
        <v>3.3533711180266999E-3</v>
      </c>
      <c r="G1666" s="10">
        <v>1.26061400183324E-2</v>
      </c>
      <c r="H1666" s="10" t="s">
        <v>3346</v>
      </c>
      <c r="I1666" s="10" t="s">
        <v>18</v>
      </c>
    </row>
    <row r="1667" spans="1:9" x14ac:dyDescent="0.2">
      <c r="A1667" s="10" t="s">
        <v>3347</v>
      </c>
      <c r="B1667" s="10">
        <v>18.604164995730802</v>
      </c>
      <c r="C1667" s="10">
        <v>7.6115749821176797</v>
      </c>
      <c r="D1667" s="10">
        <v>1.6334852962034101</v>
      </c>
      <c r="E1667" s="10">
        <v>4.6597144154334904</v>
      </c>
      <c r="F1667" s="4">
        <v>3.1664840063519501E-6</v>
      </c>
      <c r="G1667" s="4">
        <v>2.4813687006347899E-5</v>
      </c>
      <c r="H1667" s="10" t="s">
        <v>3348</v>
      </c>
      <c r="I1667" s="10" t="s">
        <v>18</v>
      </c>
    </row>
    <row r="1668" spans="1:9" x14ac:dyDescent="0.2">
      <c r="A1668" s="10" t="s">
        <v>3349</v>
      </c>
      <c r="B1668" s="10">
        <v>87.893672704772698</v>
      </c>
      <c r="C1668" s="10">
        <v>-1.80448425248338</v>
      </c>
      <c r="D1668" s="10">
        <v>0.40051131804043699</v>
      </c>
      <c r="E1668" s="10">
        <v>-4.5054513348389102</v>
      </c>
      <c r="F1668" s="4">
        <v>6.6232017294998301E-6</v>
      </c>
      <c r="G1668" s="4">
        <v>4.8760437050440998E-5</v>
      </c>
      <c r="H1668" s="10" t="s">
        <v>3350</v>
      </c>
      <c r="I1668" s="10" t="s">
        <v>18</v>
      </c>
    </row>
    <row r="1669" spans="1:9" x14ac:dyDescent="0.2">
      <c r="A1669" s="10" t="s">
        <v>3351</v>
      </c>
      <c r="B1669" s="10">
        <v>4122.6343286625697</v>
      </c>
      <c r="C1669" s="10">
        <v>-1.6958029754484101</v>
      </c>
      <c r="D1669" s="10">
        <v>0.19254397463419601</v>
      </c>
      <c r="E1669" s="10">
        <v>-8.8073541572524991</v>
      </c>
      <c r="F1669" s="4">
        <v>1.28134358431465E-18</v>
      </c>
      <c r="G1669" s="4">
        <v>4.3750336643886197E-17</v>
      </c>
      <c r="H1669" s="10" t="s">
        <v>3352</v>
      </c>
      <c r="I1669" s="10" t="s">
        <v>18</v>
      </c>
    </row>
    <row r="1670" spans="1:9" x14ac:dyDescent="0.2">
      <c r="A1670" s="10" t="s">
        <v>3353</v>
      </c>
      <c r="B1670" s="10">
        <v>21.4368761135065</v>
      </c>
      <c r="C1670" s="10">
        <v>-2.37300733388739</v>
      </c>
      <c r="D1670" s="10">
        <v>0.884675687224034</v>
      </c>
      <c r="E1670" s="10">
        <v>-2.68234717892327</v>
      </c>
      <c r="F1670" s="10">
        <v>7.3107545372819204E-3</v>
      </c>
      <c r="G1670" s="10">
        <v>2.44486396300219E-2</v>
      </c>
      <c r="H1670" s="10" t="s">
        <v>3354</v>
      </c>
      <c r="I1670" s="10" t="s">
        <v>18</v>
      </c>
    </row>
    <row r="1671" spans="1:9" x14ac:dyDescent="0.2">
      <c r="A1671" s="10" t="s">
        <v>3355</v>
      </c>
      <c r="B1671" s="10">
        <v>394.913923998266</v>
      </c>
      <c r="C1671" s="10">
        <v>-3.1691753267899498</v>
      </c>
      <c r="D1671" s="10">
        <v>0.281446909655308</v>
      </c>
      <c r="E1671" s="10">
        <v>-11.2602953454749</v>
      </c>
      <c r="F1671" s="4">
        <v>2.0606693095388299E-29</v>
      </c>
      <c r="G1671" s="4">
        <v>1.5382755253973799E-27</v>
      </c>
      <c r="H1671" s="10" t="s">
        <v>3356</v>
      </c>
      <c r="I1671" s="10" t="s">
        <v>18</v>
      </c>
    </row>
    <row r="1672" spans="1:9" x14ac:dyDescent="0.2">
      <c r="A1672" s="10" t="s">
        <v>3357</v>
      </c>
      <c r="B1672" s="10">
        <v>19.8122135148074</v>
      </c>
      <c r="C1672" s="10">
        <v>6.2423943327602602</v>
      </c>
      <c r="D1672" s="10">
        <v>1.61357074203926</v>
      </c>
      <c r="E1672" s="10">
        <v>3.86868339275353</v>
      </c>
      <c r="F1672" s="10">
        <v>1.0942461814670999E-4</v>
      </c>
      <c r="G1672" s="10">
        <v>6.2075631285517805E-4</v>
      </c>
      <c r="H1672" s="10" t="s">
        <v>3358</v>
      </c>
      <c r="I1672" s="10" t="s">
        <v>18</v>
      </c>
    </row>
    <row r="1673" spans="1:9" x14ac:dyDescent="0.2">
      <c r="A1673" s="10" t="s">
        <v>3359</v>
      </c>
      <c r="B1673" s="10">
        <v>4.8073075371410301</v>
      </c>
      <c r="C1673" s="10">
        <v>5.6597867282439296</v>
      </c>
      <c r="D1673" s="10">
        <v>2.0539032196280198</v>
      </c>
      <c r="E1673" s="10">
        <v>2.7556248386761699</v>
      </c>
      <c r="F1673" s="10">
        <v>5.8580144965317896E-3</v>
      </c>
      <c r="G1673" s="10">
        <v>2.0291548561785101E-2</v>
      </c>
      <c r="H1673" s="10" t="s">
        <v>3360</v>
      </c>
      <c r="I1673" s="10" t="s">
        <v>18</v>
      </c>
    </row>
    <row r="1674" spans="1:9" x14ac:dyDescent="0.2">
      <c r="A1674" s="10" t="s">
        <v>3361</v>
      </c>
      <c r="B1674" s="10">
        <v>441.51789343225698</v>
      </c>
      <c r="C1674" s="10">
        <v>1.3962791143912301</v>
      </c>
      <c r="D1674" s="10">
        <v>0.255662862778753</v>
      </c>
      <c r="E1674" s="10">
        <v>5.4614076491803498</v>
      </c>
      <c r="F1674" s="4">
        <v>4.7237396033835898E-8</v>
      </c>
      <c r="G1674" s="4">
        <v>5.0812369906590101E-7</v>
      </c>
      <c r="H1674" s="10" t="s">
        <v>3362</v>
      </c>
      <c r="I1674" s="10" t="s">
        <v>18</v>
      </c>
    </row>
    <row r="1675" spans="1:9" x14ac:dyDescent="0.2">
      <c r="A1675" s="10" t="s">
        <v>3363</v>
      </c>
      <c r="B1675" s="10">
        <v>806.81678364346601</v>
      </c>
      <c r="C1675" s="10">
        <v>-1.9484051071137001</v>
      </c>
      <c r="D1675" s="10">
        <v>0.23542806563829599</v>
      </c>
      <c r="E1675" s="10">
        <v>-8.2760103466473094</v>
      </c>
      <c r="F1675" s="4">
        <v>1.2737093566579199E-16</v>
      </c>
      <c r="G1675" s="4">
        <v>3.6802501421906902E-15</v>
      </c>
      <c r="H1675" s="10" t="s">
        <v>3364</v>
      </c>
      <c r="I1675" s="10" t="s">
        <v>18</v>
      </c>
    </row>
    <row r="1676" spans="1:9" x14ac:dyDescent="0.2">
      <c r="A1676" s="10" t="s">
        <v>3365</v>
      </c>
      <c r="B1676" s="10">
        <v>1938.6108491647799</v>
      </c>
      <c r="C1676" s="10">
        <v>-1.0729106536180399</v>
      </c>
      <c r="D1676" s="10">
        <v>0.209887424978695</v>
      </c>
      <c r="E1676" s="10">
        <v>-5.11183866173476</v>
      </c>
      <c r="F1676" s="4">
        <v>3.1903825206738098E-7</v>
      </c>
      <c r="G1676" s="4">
        <v>2.9712340760779401E-6</v>
      </c>
      <c r="H1676" s="10" t="s">
        <v>3366</v>
      </c>
      <c r="I1676" s="10" t="s">
        <v>18</v>
      </c>
    </row>
    <row r="1677" spans="1:9" x14ac:dyDescent="0.2">
      <c r="A1677" s="10" t="s">
        <v>3367</v>
      </c>
      <c r="B1677" s="10">
        <v>1271.3412063549499</v>
      </c>
      <c r="C1677" s="10">
        <v>-2.02322876611739</v>
      </c>
      <c r="D1677" s="10">
        <v>0.21980865836740501</v>
      </c>
      <c r="E1677" s="10">
        <v>-9.2044998643120408</v>
      </c>
      <c r="F1677" s="4">
        <v>3.4326601370300397E-20</v>
      </c>
      <c r="G1677" s="4">
        <v>1.3515851264979399E-18</v>
      </c>
      <c r="H1677" s="10" t="s">
        <v>3368</v>
      </c>
      <c r="I1677" s="10" t="s">
        <v>18</v>
      </c>
    </row>
    <row r="1678" spans="1:9" x14ac:dyDescent="0.2">
      <c r="A1678" s="10" t="s">
        <v>3369</v>
      </c>
      <c r="B1678" s="10">
        <v>67.700744488537396</v>
      </c>
      <c r="C1678" s="10">
        <v>-1.86361290820047</v>
      </c>
      <c r="D1678" s="10">
        <v>0.48762526258838801</v>
      </c>
      <c r="E1678" s="10">
        <v>-3.8218136983062299</v>
      </c>
      <c r="F1678" s="10">
        <v>1.3247375733442399E-4</v>
      </c>
      <c r="G1678" s="10">
        <v>7.3783983362449897E-4</v>
      </c>
      <c r="H1678" s="10" t="s">
        <v>3370</v>
      </c>
      <c r="I1678" s="10" t="s">
        <v>18</v>
      </c>
    </row>
    <row r="1679" spans="1:9" x14ac:dyDescent="0.2">
      <c r="A1679" s="10" t="s">
        <v>3371</v>
      </c>
      <c r="B1679" s="10">
        <v>628.83554295505803</v>
      </c>
      <c r="C1679" s="10">
        <v>-2.75850538800927</v>
      </c>
      <c r="D1679" s="10">
        <v>0.24144263514800801</v>
      </c>
      <c r="E1679" s="10">
        <v>-11.4250964263965</v>
      </c>
      <c r="F1679" s="4">
        <v>3.1330765302800901E-30</v>
      </c>
      <c r="G1679" s="4">
        <v>2.4961092462146702E-28</v>
      </c>
      <c r="H1679" s="10" t="s">
        <v>3372</v>
      </c>
      <c r="I1679" s="10" t="s">
        <v>18</v>
      </c>
    </row>
    <row r="1680" spans="1:9" x14ac:dyDescent="0.2">
      <c r="A1680" s="10" t="s">
        <v>3373</v>
      </c>
      <c r="B1680" s="10">
        <v>738.68605022081704</v>
      </c>
      <c r="C1680" s="10">
        <v>1.93033405693064</v>
      </c>
      <c r="D1680" s="10">
        <v>0.24135181803324501</v>
      </c>
      <c r="E1680" s="10">
        <v>7.9980091828632904</v>
      </c>
      <c r="F1680" s="4">
        <v>1.26446944240504E-15</v>
      </c>
      <c r="G1680" s="4">
        <v>3.33846888538857E-14</v>
      </c>
      <c r="H1680" s="10" t="s">
        <v>3374</v>
      </c>
      <c r="I1680" s="10" t="s">
        <v>18</v>
      </c>
    </row>
    <row r="1681" spans="1:9" x14ac:dyDescent="0.2">
      <c r="A1681" s="10" t="s">
        <v>3375</v>
      </c>
      <c r="B1681" s="10">
        <v>919.89132233406497</v>
      </c>
      <c r="C1681" s="10">
        <v>-1.4319505273531901</v>
      </c>
      <c r="D1681" s="10">
        <v>0.216262865502619</v>
      </c>
      <c r="E1681" s="10">
        <v>-6.62134261480894</v>
      </c>
      <c r="F1681" s="4">
        <v>3.5595087494823397E-11</v>
      </c>
      <c r="G1681" s="4">
        <v>5.9101727542440802E-10</v>
      </c>
      <c r="H1681" s="10" t="s">
        <v>3376</v>
      </c>
      <c r="I1681" s="10" t="s">
        <v>18</v>
      </c>
    </row>
    <row r="1682" spans="1:9" x14ac:dyDescent="0.2">
      <c r="A1682" s="10" t="s">
        <v>3377</v>
      </c>
      <c r="B1682" s="10">
        <v>219.97530705205699</v>
      </c>
      <c r="C1682" s="10">
        <v>4.0321723130595197</v>
      </c>
      <c r="D1682" s="10">
        <v>0.34824281518372102</v>
      </c>
      <c r="E1682" s="10">
        <v>11.5786231251671</v>
      </c>
      <c r="F1682" s="4">
        <v>5.2888686966537504E-31</v>
      </c>
      <c r="G1682" s="4">
        <v>4.4892774260973403E-29</v>
      </c>
      <c r="H1682" s="10" t="s">
        <v>3378</v>
      </c>
      <c r="I1682" s="10" t="s">
        <v>18</v>
      </c>
    </row>
    <row r="1683" spans="1:9" x14ac:dyDescent="0.2">
      <c r="A1683" s="10" t="s">
        <v>3379</v>
      </c>
      <c r="B1683" s="10">
        <v>87.996163477539895</v>
      </c>
      <c r="C1683" s="10">
        <v>2.6452768214513198</v>
      </c>
      <c r="D1683" s="10">
        <v>0.45095418722135799</v>
      </c>
      <c r="E1683" s="10">
        <v>5.8659546721380096</v>
      </c>
      <c r="F1683" s="4">
        <v>4.4655578728118899E-9</v>
      </c>
      <c r="G1683" s="4">
        <v>5.5736626367615897E-8</v>
      </c>
      <c r="H1683" s="10" t="s">
        <v>3380</v>
      </c>
      <c r="I1683" s="10" t="s">
        <v>18</v>
      </c>
    </row>
    <row r="1684" spans="1:9" x14ac:dyDescent="0.2">
      <c r="A1684" s="10" t="s">
        <v>3381</v>
      </c>
      <c r="B1684" s="10">
        <v>839.97824070620402</v>
      </c>
      <c r="C1684" s="10">
        <v>-1.1576551664186401</v>
      </c>
      <c r="D1684" s="10">
        <v>0.24675725673110499</v>
      </c>
      <c r="E1684" s="10">
        <v>-4.6914736439956304</v>
      </c>
      <c r="F1684" s="4">
        <v>2.7124421806804501E-6</v>
      </c>
      <c r="G1684" s="4">
        <v>2.1465556810049401E-5</v>
      </c>
      <c r="H1684" s="10" t="s">
        <v>3382</v>
      </c>
      <c r="I1684" s="10" t="s">
        <v>18</v>
      </c>
    </row>
    <row r="1685" spans="1:9" x14ac:dyDescent="0.2">
      <c r="A1685" s="10" t="s">
        <v>3383</v>
      </c>
      <c r="B1685" s="10">
        <v>6940.8850414999297</v>
      </c>
      <c r="C1685" s="10">
        <v>-1.34011587061733</v>
      </c>
      <c r="D1685" s="10">
        <v>0.18950649068659101</v>
      </c>
      <c r="E1685" s="10">
        <v>-7.0716093457381302</v>
      </c>
      <c r="F1685" s="4">
        <v>1.5314705452826399E-12</v>
      </c>
      <c r="G1685" s="4">
        <v>2.9741965750047102E-11</v>
      </c>
      <c r="H1685" s="10" t="s">
        <v>3384</v>
      </c>
      <c r="I1685" s="10" t="s">
        <v>18</v>
      </c>
    </row>
    <row r="1686" spans="1:9" x14ac:dyDescent="0.2">
      <c r="A1686" s="10" t="s">
        <v>3385</v>
      </c>
      <c r="B1686" s="10">
        <v>85702.251461057793</v>
      </c>
      <c r="C1686" s="10">
        <v>-1.6653572087144399</v>
      </c>
      <c r="D1686" s="10">
        <v>0.20318982136109801</v>
      </c>
      <c r="E1686" s="10">
        <v>-8.1960661098021195</v>
      </c>
      <c r="F1686" s="4">
        <v>2.48381768711225E-16</v>
      </c>
      <c r="G1686" s="4">
        <v>6.9986122565405798E-15</v>
      </c>
      <c r="H1686" s="10" t="s">
        <v>3386</v>
      </c>
      <c r="I1686" s="10" t="s">
        <v>18</v>
      </c>
    </row>
    <row r="1687" spans="1:9" x14ac:dyDescent="0.2">
      <c r="A1687" s="10" t="s">
        <v>3387</v>
      </c>
      <c r="B1687" s="10">
        <v>5933.5113371277002</v>
      </c>
      <c r="C1687" s="10">
        <v>-1.00410478432018</v>
      </c>
      <c r="D1687" s="10">
        <v>0.173828823428753</v>
      </c>
      <c r="E1687" s="10">
        <v>-5.77639981974409</v>
      </c>
      <c r="F1687" s="4">
        <v>7.6315905871980204E-9</v>
      </c>
      <c r="G1687" s="4">
        <v>9.2293807691693094E-8</v>
      </c>
      <c r="H1687" s="10" t="s">
        <v>3388</v>
      </c>
      <c r="I1687" s="10" t="s">
        <v>18</v>
      </c>
    </row>
    <row r="1688" spans="1:9" x14ac:dyDescent="0.2">
      <c r="A1688" s="10" t="s">
        <v>3389</v>
      </c>
      <c r="B1688" s="10">
        <v>406.46539136414799</v>
      </c>
      <c r="C1688" s="10">
        <v>-1.40380108717665</v>
      </c>
      <c r="D1688" s="10">
        <v>0.258304189815033</v>
      </c>
      <c r="E1688" s="10">
        <v>-5.4346818306814404</v>
      </c>
      <c r="F1688" s="4">
        <v>5.4894294141949801E-8</v>
      </c>
      <c r="G1688" s="4">
        <v>5.8312079239208902E-7</v>
      </c>
      <c r="H1688" s="10" t="s">
        <v>3390</v>
      </c>
      <c r="I1688" s="10" t="s">
        <v>18</v>
      </c>
    </row>
    <row r="1689" spans="1:9" x14ac:dyDescent="0.2">
      <c r="A1689" s="10" t="s">
        <v>3391</v>
      </c>
      <c r="B1689" s="10">
        <v>5865.2951308517204</v>
      </c>
      <c r="C1689" s="10">
        <v>-1.0206109223726301</v>
      </c>
      <c r="D1689" s="10">
        <v>0.18809849827648001</v>
      </c>
      <c r="E1689" s="10">
        <v>-5.4259387061797204</v>
      </c>
      <c r="F1689" s="4">
        <v>5.7650741759574398E-8</v>
      </c>
      <c r="G1689" s="4">
        <v>6.1088250564446905E-7</v>
      </c>
      <c r="H1689" s="10" t="s">
        <v>3392</v>
      </c>
      <c r="I1689" s="10" t="s">
        <v>18</v>
      </c>
    </row>
    <row r="1690" spans="1:9" x14ac:dyDescent="0.2">
      <c r="A1690" s="10" t="s">
        <v>3393</v>
      </c>
      <c r="B1690" s="10">
        <v>25.674146846477001</v>
      </c>
      <c r="C1690" s="10">
        <v>3.7297683688207401</v>
      </c>
      <c r="D1690" s="10">
        <v>0.86802306318574995</v>
      </c>
      <c r="E1690" s="10">
        <v>4.2968539973258704</v>
      </c>
      <c r="F1690" s="4">
        <v>1.7323921623603199E-5</v>
      </c>
      <c r="G1690" s="10">
        <v>1.16693422120721E-4</v>
      </c>
      <c r="H1690" s="10" t="s">
        <v>3394</v>
      </c>
      <c r="I1690" s="10" t="s">
        <v>18</v>
      </c>
    </row>
    <row r="1691" spans="1:9" x14ac:dyDescent="0.2">
      <c r="A1691" s="10" t="s">
        <v>3395</v>
      </c>
      <c r="B1691" s="10">
        <v>522.98301094993201</v>
      </c>
      <c r="C1691" s="10">
        <v>-1.3349299370110901</v>
      </c>
      <c r="D1691" s="10">
        <v>0.235990641147797</v>
      </c>
      <c r="E1691" s="10">
        <v>-5.6567071071901003</v>
      </c>
      <c r="F1691" s="4">
        <v>1.5430475319177201E-8</v>
      </c>
      <c r="G1691" s="4">
        <v>1.7878823772177701E-7</v>
      </c>
      <c r="H1691" s="10" t="s">
        <v>3396</v>
      </c>
      <c r="I1691" s="10" t="s">
        <v>18</v>
      </c>
    </row>
    <row r="1692" spans="1:9" x14ac:dyDescent="0.2">
      <c r="A1692" s="10" t="s">
        <v>3397</v>
      </c>
      <c r="B1692" s="10">
        <v>10.103664017864601</v>
      </c>
      <c r="C1692" s="10">
        <v>3.5892170970571402</v>
      </c>
      <c r="D1692" s="10">
        <v>1.2853345500103801</v>
      </c>
      <c r="E1692" s="10">
        <v>2.7924380442649501</v>
      </c>
      <c r="F1692" s="10">
        <v>5.2312484488706203E-3</v>
      </c>
      <c r="G1692" s="10">
        <v>1.8429768100126399E-2</v>
      </c>
      <c r="H1692" s="10" t="s">
        <v>3398</v>
      </c>
      <c r="I1692" s="10" t="s">
        <v>18</v>
      </c>
    </row>
    <row r="1693" spans="1:9" x14ac:dyDescent="0.2">
      <c r="A1693" s="10" t="s">
        <v>3399</v>
      </c>
      <c r="B1693" s="10">
        <v>4.0010518602740399</v>
      </c>
      <c r="C1693" s="10">
        <v>5.39773571786733</v>
      </c>
      <c r="D1693" s="10">
        <v>2.1532629357120299</v>
      </c>
      <c r="E1693" s="10">
        <v>2.5067703661942402</v>
      </c>
      <c r="F1693" s="10">
        <v>1.2183983780147E-2</v>
      </c>
      <c r="G1693" s="10">
        <v>3.74945794056546E-2</v>
      </c>
      <c r="H1693" s="10" t="s">
        <v>3400</v>
      </c>
      <c r="I1693" s="10" t="s">
        <v>18</v>
      </c>
    </row>
    <row r="1694" spans="1:9" x14ac:dyDescent="0.2">
      <c r="A1694" s="10" t="s">
        <v>3401</v>
      </c>
      <c r="B1694" s="10">
        <v>99.874497669145299</v>
      </c>
      <c r="C1694" s="10">
        <v>2.4695927506126401</v>
      </c>
      <c r="D1694" s="10">
        <v>0.40830689928832298</v>
      </c>
      <c r="E1694" s="10">
        <v>6.0483737965660902</v>
      </c>
      <c r="F1694" s="4">
        <v>1.46315169759501E-9</v>
      </c>
      <c r="G1694" s="4">
        <v>1.9447070392376301E-8</v>
      </c>
      <c r="H1694" s="10" t="s">
        <v>3402</v>
      </c>
      <c r="I1694" s="10" t="s">
        <v>18</v>
      </c>
    </row>
    <row r="1695" spans="1:9" x14ac:dyDescent="0.2">
      <c r="A1695" s="10" t="s">
        <v>3403</v>
      </c>
      <c r="B1695" s="10">
        <v>14.3885657669368</v>
      </c>
      <c r="C1695" s="10">
        <v>5.7686788330118901</v>
      </c>
      <c r="D1695" s="10">
        <v>1.67667332637914</v>
      </c>
      <c r="E1695" s="10">
        <v>3.4405502504591201</v>
      </c>
      <c r="F1695" s="10">
        <v>5.8053262626134002E-4</v>
      </c>
      <c r="G1695" s="10">
        <v>2.73474627727225E-3</v>
      </c>
      <c r="H1695" s="10" t="s">
        <v>3404</v>
      </c>
      <c r="I1695" s="10" t="s">
        <v>18</v>
      </c>
    </row>
    <row r="1696" spans="1:9" x14ac:dyDescent="0.2">
      <c r="A1696" s="10" t="s">
        <v>3405</v>
      </c>
      <c r="B1696" s="10">
        <v>18.724777941590201</v>
      </c>
      <c r="C1696" s="10">
        <v>6.1590819797757401</v>
      </c>
      <c r="D1696" s="10">
        <v>1.61450855336062</v>
      </c>
      <c r="E1696" s="10">
        <v>3.8148339115054699</v>
      </c>
      <c r="F1696" s="10">
        <v>1.3627455715501801E-4</v>
      </c>
      <c r="G1696" s="10">
        <v>7.5668898691721596E-4</v>
      </c>
      <c r="H1696" s="10" t="s">
        <v>3406</v>
      </c>
      <c r="I1696" s="10" t="s">
        <v>18</v>
      </c>
    </row>
    <row r="1697" spans="1:9" x14ac:dyDescent="0.2">
      <c r="A1697" s="10" t="s">
        <v>3407</v>
      </c>
      <c r="B1697" s="10">
        <v>398.27699765115898</v>
      </c>
      <c r="C1697" s="10">
        <v>-2.1883750494538798</v>
      </c>
      <c r="D1697" s="10">
        <v>0.25326712738131402</v>
      </c>
      <c r="E1697" s="10">
        <v>-8.6405806868062403</v>
      </c>
      <c r="F1697" s="4">
        <v>5.5928025598931598E-18</v>
      </c>
      <c r="G1697" s="4">
        <v>1.80767605396689E-16</v>
      </c>
      <c r="H1697" s="10" t="s">
        <v>3408</v>
      </c>
      <c r="I1697" s="10" t="s">
        <v>18</v>
      </c>
    </row>
    <row r="1698" spans="1:9" x14ac:dyDescent="0.2">
      <c r="A1698" s="10" t="s">
        <v>3409</v>
      </c>
      <c r="B1698" s="10">
        <v>1056.9459273422899</v>
      </c>
      <c r="C1698" s="10">
        <v>-1.03275658619623</v>
      </c>
      <c r="D1698" s="10">
        <v>0.232594905780897</v>
      </c>
      <c r="E1698" s="10">
        <v>-4.4401513555463401</v>
      </c>
      <c r="F1698" s="4">
        <v>8.9895630960468598E-6</v>
      </c>
      <c r="G1698" s="4">
        <v>6.4644662358930805E-5</v>
      </c>
      <c r="H1698" s="10" t="s">
        <v>3410</v>
      </c>
      <c r="I1698" s="10" t="s">
        <v>18</v>
      </c>
    </row>
    <row r="1699" spans="1:9" x14ac:dyDescent="0.2">
      <c r="A1699" s="10" t="s">
        <v>3411</v>
      </c>
      <c r="B1699" s="10">
        <v>1026.98673338188</v>
      </c>
      <c r="C1699" s="10">
        <v>1.1312184401513301</v>
      </c>
      <c r="D1699" s="10">
        <v>0.20380195428417999</v>
      </c>
      <c r="E1699" s="10">
        <v>5.5505770007188602</v>
      </c>
      <c r="F1699" s="4">
        <v>2.8472826483166999E-8</v>
      </c>
      <c r="G1699" s="4">
        <v>3.17560009491139E-7</v>
      </c>
      <c r="H1699" s="10" t="s">
        <v>3412</v>
      </c>
      <c r="I1699" s="10" t="s">
        <v>18</v>
      </c>
    </row>
    <row r="1700" spans="1:9" x14ac:dyDescent="0.2">
      <c r="A1700" s="10" t="s">
        <v>3413</v>
      </c>
      <c r="B1700" s="10">
        <v>9.3609483406348808</v>
      </c>
      <c r="C1700" s="10">
        <v>6.62475514511467</v>
      </c>
      <c r="D1700" s="10">
        <v>1.78612402187537</v>
      </c>
      <c r="E1700" s="10">
        <v>3.70901184015145</v>
      </c>
      <c r="F1700" s="10">
        <v>2.0806969911946901E-4</v>
      </c>
      <c r="G1700" s="10">
        <v>1.1055528650366999E-3</v>
      </c>
      <c r="H1700" s="10" t="s">
        <v>3414</v>
      </c>
      <c r="I1700" s="10" t="s">
        <v>18</v>
      </c>
    </row>
    <row r="1701" spans="1:9" x14ac:dyDescent="0.2">
      <c r="A1701" s="10" t="s">
        <v>3415</v>
      </c>
      <c r="B1701" s="10">
        <v>860.69534956805501</v>
      </c>
      <c r="C1701" s="10">
        <v>-1.1198195210725299</v>
      </c>
      <c r="D1701" s="10">
        <v>0.244605961031403</v>
      </c>
      <c r="E1701" s="10">
        <v>-4.5780549106436803</v>
      </c>
      <c r="F1701" s="4">
        <v>4.6931951027531796E-6</v>
      </c>
      <c r="G1701" s="4">
        <v>3.56392834202913E-5</v>
      </c>
      <c r="H1701" s="10" t="s">
        <v>3416</v>
      </c>
      <c r="I1701" s="10" t="s">
        <v>18</v>
      </c>
    </row>
    <row r="1702" spans="1:9" x14ac:dyDescent="0.2">
      <c r="A1702" s="10" t="s">
        <v>3417</v>
      </c>
      <c r="B1702" s="10">
        <v>3601.5221891223</v>
      </c>
      <c r="C1702" s="10">
        <v>2.60840369130959</v>
      </c>
      <c r="D1702" s="10">
        <v>0.17809615397196599</v>
      </c>
      <c r="E1702" s="10">
        <v>14.646041664213501</v>
      </c>
      <c r="F1702" s="4">
        <v>1.4279588556907901E-48</v>
      </c>
      <c r="G1702" s="4">
        <v>2.6467751660548901E-46</v>
      </c>
      <c r="H1702" s="10" t="s">
        <v>3418</v>
      </c>
      <c r="I1702" s="10" t="s">
        <v>18</v>
      </c>
    </row>
    <row r="1703" spans="1:9" x14ac:dyDescent="0.2">
      <c r="A1703" s="10" t="s">
        <v>3419</v>
      </c>
      <c r="B1703" s="10">
        <v>4439.0544862711504</v>
      </c>
      <c r="C1703" s="10">
        <v>1.04258280060018</v>
      </c>
      <c r="D1703" s="10">
        <v>0.17225461221403501</v>
      </c>
      <c r="E1703" s="10">
        <v>6.0525682720455203</v>
      </c>
      <c r="F1703" s="4">
        <v>1.4255454943662101E-9</v>
      </c>
      <c r="G1703" s="4">
        <v>1.8975006392279601E-8</v>
      </c>
      <c r="H1703" s="10" t="s">
        <v>3420</v>
      </c>
      <c r="I1703" s="10" t="s">
        <v>18</v>
      </c>
    </row>
    <row r="1704" spans="1:9" x14ac:dyDescent="0.2">
      <c r="A1704" s="10" t="s">
        <v>3421</v>
      </c>
      <c r="B1704" s="10">
        <v>795.73017533243296</v>
      </c>
      <c r="C1704" s="10">
        <v>-1.3459651708845799</v>
      </c>
      <c r="D1704" s="10">
        <v>0.211469126033514</v>
      </c>
      <c r="E1704" s="10">
        <v>-6.3648306309795597</v>
      </c>
      <c r="F1704" s="4">
        <v>1.95505347998774E-10</v>
      </c>
      <c r="G1704" s="4">
        <v>2.9061288690248801E-9</v>
      </c>
      <c r="H1704" s="10" t="s">
        <v>3422</v>
      </c>
      <c r="I1704" s="10" t="s">
        <v>18</v>
      </c>
    </row>
    <row r="1705" spans="1:9" x14ac:dyDescent="0.2">
      <c r="A1705" s="10" t="s">
        <v>3423</v>
      </c>
      <c r="B1705" s="10">
        <v>62.362929805251497</v>
      </c>
      <c r="C1705" s="10">
        <v>2.61224048900637</v>
      </c>
      <c r="D1705" s="10">
        <v>0.49176086611784198</v>
      </c>
      <c r="E1705" s="10">
        <v>5.3120137631699897</v>
      </c>
      <c r="F1705" s="4">
        <v>1.08420412827442E-7</v>
      </c>
      <c r="G1705" s="4">
        <v>1.095745915545E-6</v>
      </c>
      <c r="H1705" s="10" t="s">
        <v>3424</v>
      </c>
      <c r="I1705" s="10" t="s">
        <v>18</v>
      </c>
    </row>
    <row r="1706" spans="1:9" x14ac:dyDescent="0.2">
      <c r="A1706" s="10" t="s">
        <v>3425</v>
      </c>
      <c r="B1706" s="10">
        <v>6.3562355223277303</v>
      </c>
      <c r="C1706" s="10">
        <v>4.5591433939742698</v>
      </c>
      <c r="D1706" s="10">
        <v>1.8946246447728401</v>
      </c>
      <c r="E1706" s="10">
        <v>2.4063570620981301</v>
      </c>
      <c r="F1706" s="10">
        <v>1.6112507932879199E-2</v>
      </c>
      <c r="G1706" s="10">
        <v>4.7241741487911298E-2</v>
      </c>
      <c r="H1706" s="10" t="s">
        <v>3426</v>
      </c>
      <c r="I1706" s="10" t="s">
        <v>18</v>
      </c>
    </row>
    <row r="1707" spans="1:9" x14ac:dyDescent="0.2">
      <c r="A1707" s="10" t="s">
        <v>3427</v>
      </c>
      <c r="B1707" s="10">
        <v>25.382074608804</v>
      </c>
      <c r="C1707" s="10">
        <v>2.24483208623603</v>
      </c>
      <c r="D1707" s="10">
        <v>0.76470674391580695</v>
      </c>
      <c r="E1707" s="10">
        <v>2.9355463438716298</v>
      </c>
      <c r="F1707" s="10">
        <v>3.3296087084864799E-3</v>
      </c>
      <c r="G1707" s="10">
        <v>1.2534104515077501E-2</v>
      </c>
      <c r="H1707" s="10" t="s">
        <v>3428</v>
      </c>
      <c r="I1707" s="10" t="s">
        <v>18</v>
      </c>
    </row>
    <row r="1708" spans="1:9" x14ac:dyDescent="0.2">
      <c r="A1708" s="10" t="s">
        <v>3429</v>
      </c>
      <c r="B1708" s="10">
        <v>10.466001697022</v>
      </c>
      <c r="C1708" s="10">
        <v>5.3022680170635104</v>
      </c>
      <c r="D1708" s="10">
        <v>1.73325181959335</v>
      </c>
      <c r="E1708" s="10">
        <v>3.0591446419525501</v>
      </c>
      <c r="F1708" s="10">
        <v>2.2196995187163801E-3</v>
      </c>
      <c r="G1708" s="10">
        <v>8.8060793224323097E-3</v>
      </c>
      <c r="H1708" s="10" t="s">
        <v>3430</v>
      </c>
      <c r="I1708" s="10" t="s">
        <v>18</v>
      </c>
    </row>
    <row r="1709" spans="1:9" x14ac:dyDescent="0.2">
      <c r="A1709" s="10" t="s">
        <v>3431</v>
      </c>
      <c r="B1709" s="10">
        <v>7.2653184629216598</v>
      </c>
      <c r="C1709" s="10">
        <v>6.2546498169165003</v>
      </c>
      <c r="D1709" s="10">
        <v>1.87690904629221</v>
      </c>
      <c r="E1709" s="10">
        <v>3.3324203052206598</v>
      </c>
      <c r="F1709" s="10">
        <v>8.6094124409860596E-4</v>
      </c>
      <c r="G1709" s="10">
        <v>3.8716068786853802E-3</v>
      </c>
      <c r="H1709" s="10" t="s">
        <v>3432</v>
      </c>
      <c r="I1709" s="10" t="s">
        <v>18</v>
      </c>
    </row>
    <row r="1710" spans="1:9" x14ac:dyDescent="0.2">
      <c r="A1710" s="10" t="s">
        <v>3433</v>
      </c>
      <c r="B1710" s="10">
        <v>954.77241409755902</v>
      </c>
      <c r="C1710" s="10">
        <v>7.4526614579269896</v>
      </c>
      <c r="D1710" s="10">
        <v>0.37592334198042499</v>
      </c>
      <c r="E1710" s="10">
        <v>19.824949998223499</v>
      </c>
      <c r="F1710" s="4">
        <v>1.81361287132855E-87</v>
      </c>
      <c r="G1710" s="4">
        <v>1.54423468453403E-84</v>
      </c>
      <c r="H1710" s="10" t="s">
        <v>3434</v>
      </c>
      <c r="I1710" s="10" t="s">
        <v>18</v>
      </c>
    </row>
    <row r="1711" spans="1:9" x14ac:dyDescent="0.2">
      <c r="A1711" s="10" t="s">
        <v>3435</v>
      </c>
      <c r="B1711" s="10">
        <v>977.79008511889901</v>
      </c>
      <c r="C1711" s="10">
        <v>-1.53491303644593</v>
      </c>
      <c r="D1711" s="10">
        <v>0.21762890209462299</v>
      </c>
      <c r="E1711" s="10">
        <v>-7.0528915124451697</v>
      </c>
      <c r="F1711" s="4">
        <v>1.7523747848079999E-12</v>
      </c>
      <c r="G1711" s="4">
        <v>3.3672042145037798E-11</v>
      </c>
      <c r="H1711" s="10" t="s">
        <v>3436</v>
      </c>
      <c r="I1711" s="10" t="s">
        <v>18</v>
      </c>
    </row>
    <row r="1712" spans="1:9" x14ac:dyDescent="0.2">
      <c r="A1712" s="10" t="s">
        <v>3437</v>
      </c>
      <c r="B1712" s="10">
        <v>155.51079199650201</v>
      </c>
      <c r="C1712" s="10">
        <v>-1.32586534761552</v>
      </c>
      <c r="D1712" s="10">
        <v>0.31839568551449199</v>
      </c>
      <c r="E1712" s="10">
        <v>-4.1642063882651801</v>
      </c>
      <c r="F1712" s="4">
        <v>3.1243740050820699E-5</v>
      </c>
      <c r="G1712" s="10">
        <v>1.9934119384248399E-4</v>
      </c>
      <c r="H1712" s="10" t="s">
        <v>3438</v>
      </c>
      <c r="I1712" s="10" t="s">
        <v>18</v>
      </c>
    </row>
    <row r="1713" spans="1:9" x14ac:dyDescent="0.2">
      <c r="A1713" s="10" t="s">
        <v>3439</v>
      </c>
      <c r="B1713" s="10">
        <v>4270.5226410161404</v>
      </c>
      <c r="C1713" s="10">
        <v>-1.49454096507875</v>
      </c>
      <c r="D1713" s="10">
        <v>0.17970493070048399</v>
      </c>
      <c r="E1713" s="10">
        <v>-8.3166386100430394</v>
      </c>
      <c r="F1713" s="4">
        <v>9.04931465126729E-17</v>
      </c>
      <c r="G1713" s="4">
        <v>2.66270708750626E-15</v>
      </c>
      <c r="H1713" s="10" t="s">
        <v>3440</v>
      </c>
      <c r="I1713" s="10" t="s">
        <v>18</v>
      </c>
    </row>
    <row r="1714" spans="1:9" x14ac:dyDescent="0.2">
      <c r="A1714" s="10" t="s">
        <v>3441</v>
      </c>
      <c r="B1714" s="10">
        <v>4.1097661746942604</v>
      </c>
      <c r="C1714" s="10">
        <v>5.4328693169605202</v>
      </c>
      <c r="D1714" s="10">
        <v>2.14332345947187</v>
      </c>
      <c r="E1714" s="10">
        <v>2.5347874082893802</v>
      </c>
      <c r="F1714" s="10">
        <v>1.1251558606317101E-2</v>
      </c>
      <c r="G1714" s="10">
        <v>3.5125024902190903E-2</v>
      </c>
      <c r="H1714" s="10" t="s">
        <v>3442</v>
      </c>
      <c r="I1714" s="10" t="s">
        <v>18</v>
      </c>
    </row>
    <row r="1715" spans="1:9" x14ac:dyDescent="0.2">
      <c r="A1715" s="10" t="s">
        <v>3443</v>
      </c>
      <c r="B1715" s="10">
        <v>14.092773877789501</v>
      </c>
      <c r="C1715" s="10">
        <v>7.2122846348029999</v>
      </c>
      <c r="D1715" s="10">
        <v>1.67863821525521</v>
      </c>
      <c r="E1715" s="10">
        <v>4.29650925926674</v>
      </c>
      <c r="F1715" s="4">
        <v>1.73508724075293E-5</v>
      </c>
      <c r="G1715" s="10">
        <v>1.16817202986892E-4</v>
      </c>
      <c r="H1715" s="10" t="s">
        <v>3444</v>
      </c>
      <c r="I1715" s="10" t="s">
        <v>18</v>
      </c>
    </row>
    <row r="1716" spans="1:9" x14ac:dyDescent="0.2">
      <c r="A1716" s="10" t="s">
        <v>3445</v>
      </c>
      <c r="B1716" s="10">
        <v>15.056346509977701</v>
      </c>
      <c r="C1716" s="10">
        <v>2.4571076009833202</v>
      </c>
      <c r="D1716" s="10">
        <v>0.92834765454437296</v>
      </c>
      <c r="E1716" s="10">
        <v>2.6467537123140001</v>
      </c>
      <c r="F1716" s="10">
        <v>8.1268517141265106E-3</v>
      </c>
      <c r="G1716" s="10">
        <v>2.6730121759392201E-2</v>
      </c>
      <c r="H1716" s="10" t="s">
        <v>3446</v>
      </c>
      <c r="I1716" s="10" t="s">
        <v>18</v>
      </c>
    </row>
    <row r="1717" spans="1:9" x14ac:dyDescent="0.2">
      <c r="A1717" s="10" t="s">
        <v>3447</v>
      </c>
      <c r="B1717" s="10">
        <v>146.273209806908</v>
      </c>
      <c r="C1717" s="10">
        <v>1.49399714082293</v>
      </c>
      <c r="D1717" s="10">
        <v>0.34291014146875698</v>
      </c>
      <c r="E1717" s="10">
        <v>4.3568181868982396</v>
      </c>
      <c r="F1717" s="4">
        <v>1.3196679810779899E-5</v>
      </c>
      <c r="G1717" s="4">
        <v>9.1330946102189303E-5</v>
      </c>
      <c r="H1717" s="10" t="s">
        <v>3448</v>
      </c>
      <c r="I1717" s="10" t="s">
        <v>18</v>
      </c>
    </row>
    <row r="1718" spans="1:9" x14ac:dyDescent="0.2">
      <c r="A1718" s="10" t="s">
        <v>3449</v>
      </c>
      <c r="B1718" s="10">
        <v>9.4000677057620106</v>
      </c>
      <c r="C1718" s="10">
        <v>5.14095968639662</v>
      </c>
      <c r="D1718" s="10">
        <v>1.76625265914754</v>
      </c>
      <c r="E1718" s="10">
        <v>2.9106592761637202</v>
      </c>
      <c r="F1718" s="10">
        <v>3.6066708708441999E-3</v>
      </c>
      <c r="G1718" s="10">
        <v>1.3436007823064301E-2</v>
      </c>
      <c r="H1718" s="10" t="s">
        <v>3450</v>
      </c>
      <c r="I1718" s="10" t="s">
        <v>18</v>
      </c>
    </row>
    <row r="1719" spans="1:9" x14ac:dyDescent="0.2">
      <c r="A1719" s="10" t="s">
        <v>3451</v>
      </c>
      <c r="B1719" s="10">
        <v>7.9209459377409601</v>
      </c>
      <c r="C1719" s="10">
        <v>3.8515640559895501</v>
      </c>
      <c r="D1719" s="10">
        <v>1.5227867050085</v>
      </c>
      <c r="E1719" s="10">
        <v>2.5292866317532301</v>
      </c>
      <c r="F1719" s="10">
        <v>1.14294644218272E-2</v>
      </c>
      <c r="G1719" s="10">
        <v>3.5553095120189997E-2</v>
      </c>
      <c r="H1719" s="10" t="s">
        <v>3452</v>
      </c>
      <c r="I1719" s="10" t="s">
        <v>18</v>
      </c>
    </row>
    <row r="1720" spans="1:9" x14ac:dyDescent="0.2">
      <c r="A1720" s="10" t="s">
        <v>3453</v>
      </c>
      <c r="B1720" s="10">
        <v>727.29836154360601</v>
      </c>
      <c r="C1720" s="10">
        <v>1.3310115821180799</v>
      </c>
      <c r="D1720" s="10">
        <v>0.20950799705543999</v>
      </c>
      <c r="E1720" s="10">
        <v>6.3530347329217598</v>
      </c>
      <c r="F1720" s="4">
        <v>2.11108025432473E-10</v>
      </c>
      <c r="G1720" s="4">
        <v>3.1227254988917399E-9</v>
      </c>
      <c r="H1720" s="10" t="s">
        <v>3454</v>
      </c>
      <c r="I1720" s="10" t="s">
        <v>18</v>
      </c>
    </row>
    <row r="1721" spans="1:9" x14ac:dyDescent="0.2">
      <c r="A1721" s="10" t="s">
        <v>3455</v>
      </c>
      <c r="B1721" s="10">
        <v>5.6528071091876697</v>
      </c>
      <c r="C1721" s="10">
        <v>5.89622484767896</v>
      </c>
      <c r="D1721" s="10">
        <v>1.9725902771652399</v>
      </c>
      <c r="E1721" s="10">
        <v>2.9890773141963698</v>
      </c>
      <c r="F1721" s="10">
        <v>2.7982131603369298E-3</v>
      </c>
      <c r="G1721" s="10">
        <v>1.07733381347605E-2</v>
      </c>
      <c r="H1721" s="10" t="s">
        <v>3456</v>
      </c>
      <c r="I1721" s="10" t="s">
        <v>18</v>
      </c>
    </row>
    <row r="1722" spans="1:9" x14ac:dyDescent="0.2">
      <c r="A1722" s="10" t="s">
        <v>3457</v>
      </c>
      <c r="B1722" s="10">
        <v>13.1387278902852</v>
      </c>
      <c r="C1722" s="10">
        <v>5.6447176387394604</v>
      </c>
      <c r="D1722" s="10">
        <v>1.68370278897393</v>
      </c>
      <c r="E1722" s="10">
        <v>3.3525617916089701</v>
      </c>
      <c r="F1722" s="10">
        <v>8.0067366226834098E-4</v>
      </c>
      <c r="G1722" s="10">
        <v>3.6323601857851302E-3</v>
      </c>
      <c r="H1722" s="10" t="s">
        <v>3458</v>
      </c>
      <c r="I1722" s="10" t="s">
        <v>18</v>
      </c>
    </row>
    <row r="1723" spans="1:9" x14ac:dyDescent="0.2">
      <c r="A1723" s="10" t="s">
        <v>3459</v>
      </c>
      <c r="B1723" s="10">
        <v>337.56354439457999</v>
      </c>
      <c r="C1723" s="10">
        <v>-1.52422637645931</v>
      </c>
      <c r="D1723" s="10">
        <v>0.2617491249035</v>
      </c>
      <c r="E1723" s="10">
        <v>-5.8232338962785599</v>
      </c>
      <c r="F1723" s="4">
        <v>5.7719685826444101E-9</v>
      </c>
      <c r="G1723" s="4">
        <v>7.0714401066237599E-8</v>
      </c>
      <c r="H1723" s="10" t="s">
        <v>3460</v>
      </c>
      <c r="I1723" s="10" t="s">
        <v>18</v>
      </c>
    </row>
    <row r="1724" spans="1:9" x14ac:dyDescent="0.2">
      <c r="A1724" s="10" t="s">
        <v>3461</v>
      </c>
      <c r="B1724" s="10">
        <v>1974.41486508445</v>
      </c>
      <c r="C1724" s="10">
        <v>-1.8339722208826199</v>
      </c>
      <c r="D1724" s="10">
        <v>0.216589515643448</v>
      </c>
      <c r="E1724" s="10">
        <v>-8.4675022954561108</v>
      </c>
      <c r="F1724" s="4">
        <v>2.5071098498148599E-17</v>
      </c>
      <c r="G1724" s="4">
        <v>7.71878215569553E-16</v>
      </c>
      <c r="H1724" s="10" t="s">
        <v>3462</v>
      </c>
      <c r="I1724" s="10" t="s">
        <v>18</v>
      </c>
    </row>
    <row r="1725" spans="1:9" x14ac:dyDescent="0.2">
      <c r="A1725" s="10" t="s">
        <v>3463</v>
      </c>
      <c r="B1725" s="10">
        <v>41.917506198229098</v>
      </c>
      <c r="C1725" s="10">
        <v>2.4636423037925699</v>
      </c>
      <c r="D1725" s="10">
        <v>0.58461925780810498</v>
      </c>
      <c r="E1725" s="10">
        <v>4.21409707410157</v>
      </c>
      <c r="F1725" s="4">
        <v>2.5077941505996301E-5</v>
      </c>
      <c r="G1725" s="10">
        <v>1.6305838999475201E-4</v>
      </c>
      <c r="H1725" s="10" t="s">
        <v>3464</v>
      </c>
      <c r="I1725" s="10" t="s">
        <v>18</v>
      </c>
    </row>
    <row r="1726" spans="1:9" x14ac:dyDescent="0.2">
      <c r="A1726" s="10" t="s">
        <v>3465</v>
      </c>
      <c r="B1726" s="10">
        <v>3230.15811667766</v>
      </c>
      <c r="C1726" s="10">
        <v>1.6233468412457199</v>
      </c>
      <c r="D1726" s="10">
        <v>0.211553574237935</v>
      </c>
      <c r="E1726" s="10">
        <v>7.6734550436852302</v>
      </c>
      <c r="F1726" s="4">
        <v>1.6742422909076699E-14</v>
      </c>
      <c r="G1726" s="4">
        <v>3.9462006661212301E-13</v>
      </c>
      <c r="H1726" s="10" t="s">
        <v>3466</v>
      </c>
      <c r="I1726" s="10" t="s">
        <v>18</v>
      </c>
    </row>
    <row r="1727" spans="1:9" x14ac:dyDescent="0.2">
      <c r="A1727" s="10" t="s">
        <v>3467</v>
      </c>
      <c r="B1727" s="10">
        <v>44.657687301813098</v>
      </c>
      <c r="C1727" s="10">
        <v>3.5035781237286399</v>
      </c>
      <c r="D1727" s="10">
        <v>0.62138501397837798</v>
      </c>
      <c r="E1727" s="10">
        <v>5.6383370131461801</v>
      </c>
      <c r="F1727" s="4">
        <v>1.7170022557816199E-8</v>
      </c>
      <c r="G1727" s="4">
        <v>1.9764748822679301E-7</v>
      </c>
      <c r="H1727" s="10" t="s">
        <v>3468</v>
      </c>
      <c r="I1727" s="10" t="s">
        <v>18</v>
      </c>
    </row>
    <row r="1728" spans="1:9" x14ac:dyDescent="0.2">
      <c r="A1728" s="10" t="s">
        <v>3469</v>
      </c>
      <c r="B1728" s="10">
        <v>506.00727864098201</v>
      </c>
      <c r="C1728" s="10">
        <v>3.2774820065891799</v>
      </c>
      <c r="D1728" s="10">
        <v>0.249894119581031</v>
      </c>
      <c r="E1728" s="10">
        <v>13.1154827175772</v>
      </c>
      <c r="F1728" s="4">
        <v>2.6846735642572099E-39</v>
      </c>
      <c r="G1728" s="4">
        <v>3.5337826379379802E-37</v>
      </c>
      <c r="H1728" s="10" t="s">
        <v>3470</v>
      </c>
      <c r="I1728" s="10" t="s">
        <v>18</v>
      </c>
    </row>
    <row r="1729" spans="1:9" x14ac:dyDescent="0.2">
      <c r="A1729" s="10" t="s">
        <v>3471</v>
      </c>
      <c r="B1729" s="10">
        <v>359.16371577989503</v>
      </c>
      <c r="C1729" s="10">
        <v>2.8465663401974801</v>
      </c>
      <c r="D1729" s="10">
        <v>0.25978231696318999</v>
      </c>
      <c r="E1729" s="10">
        <v>10.9575061669837</v>
      </c>
      <c r="F1729" s="4">
        <v>6.1161562468601999E-28</v>
      </c>
      <c r="G1729" s="4">
        <v>4.1147385002024702E-26</v>
      </c>
      <c r="H1729" s="10" t="s">
        <v>3472</v>
      </c>
      <c r="I1729" s="10" t="s">
        <v>18</v>
      </c>
    </row>
    <row r="1730" spans="1:9" x14ac:dyDescent="0.2">
      <c r="A1730" s="10" t="s">
        <v>3473</v>
      </c>
      <c r="B1730" s="10">
        <v>29.4937969148448</v>
      </c>
      <c r="C1730" s="10">
        <v>4.7908694827861202</v>
      </c>
      <c r="D1730" s="10">
        <v>0.95531655146314198</v>
      </c>
      <c r="E1730" s="10">
        <v>5.0149549648737102</v>
      </c>
      <c r="F1730" s="4">
        <v>5.3045889081430899E-7</v>
      </c>
      <c r="G1730" s="4">
        <v>4.7701034316889297E-6</v>
      </c>
      <c r="H1730" s="10" t="s">
        <v>3474</v>
      </c>
      <c r="I1730" s="10" t="s">
        <v>18</v>
      </c>
    </row>
    <row r="1731" spans="1:9" x14ac:dyDescent="0.2">
      <c r="A1731" s="10" t="s">
        <v>3475</v>
      </c>
      <c r="B1731" s="10">
        <v>28351.870895769702</v>
      </c>
      <c r="C1731" s="10">
        <v>2.2608909454864601</v>
      </c>
      <c r="D1731" s="10">
        <v>0.25136302032781499</v>
      </c>
      <c r="E1731" s="10">
        <v>8.9945249008303492</v>
      </c>
      <c r="F1731" s="4">
        <v>2.3725612924298099E-19</v>
      </c>
      <c r="G1731" s="4">
        <v>8.5694313432225102E-18</v>
      </c>
      <c r="H1731" s="10" t="s">
        <v>3476</v>
      </c>
      <c r="I1731" s="10" t="s">
        <v>18</v>
      </c>
    </row>
    <row r="1732" spans="1:9" x14ac:dyDescent="0.2">
      <c r="A1732" s="10" t="s">
        <v>3477</v>
      </c>
      <c r="B1732" s="10">
        <v>1268.3090518793599</v>
      </c>
      <c r="C1732" s="10">
        <v>4.7073888768723604</v>
      </c>
      <c r="D1732" s="10">
        <v>0.27877452749626103</v>
      </c>
      <c r="E1732" s="10">
        <v>16.8860079116644</v>
      </c>
      <c r="F1732" s="4">
        <v>5.7033903996413803E-64</v>
      </c>
      <c r="G1732" s="4">
        <v>1.9185219533213398E-61</v>
      </c>
      <c r="H1732" s="10" t="s">
        <v>3478</v>
      </c>
      <c r="I1732" s="10" t="s">
        <v>18</v>
      </c>
    </row>
    <row r="1733" spans="1:9" x14ac:dyDescent="0.2">
      <c r="A1733" s="10" t="s">
        <v>3479</v>
      </c>
      <c r="B1733" s="10">
        <v>40.491649883477002</v>
      </c>
      <c r="C1733" s="10">
        <v>2.7777683746395101</v>
      </c>
      <c r="D1733" s="10">
        <v>0.60260192314980598</v>
      </c>
      <c r="E1733" s="10">
        <v>4.6096241447755197</v>
      </c>
      <c r="F1733" s="4">
        <v>4.0339759260419103E-6</v>
      </c>
      <c r="G1733" s="4">
        <v>3.1031547729210601E-5</v>
      </c>
      <c r="H1733" s="10" t="s">
        <v>3480</v>
      </c>
      <c r="I1733" s="10" t="s">
        <v>18</v>
      </c>
    </row>
    <row r="1734" spans="1:9" x14ac:dyDescent="0.2">
      <c r="A1734" s="10" t="s">
        <v>3481</v>
      </c>
      <c r="B1734" s="10">
        <v>4.84354564194778</v>
      </c>
      <c r="C1734" s="10">
        <v>5.66966161396478</v>
      </c>
      <c r="D1734" s="10">
        <v>2.0551998500533002</v>
      </c>
      <c r="E1734" s="10">
        <v>2.7586911383911099</v>
      </c>
      <c r="F1734" s="10">
        <v>5.8033355931816598E-3</v>
      </c>
      <c r="G1734" s="10">
        <v>2.01585268877385E-2</v>
      </c>
      <c r="H1734" s="10" t="s">
        <v>3482</v>
      </c>
      <c r="I1734" s="10" t="s">
        <v>18</v>
      </c>
    </row>
    <row r="1735" spans="1:9" x14ac:dyDescent="0.2">
      <c r="A1735" s="10" t="s">
        <v>3483</v>
      </c>
      <c r="B1735" s="10">
        <v>41.541536375742197</v>
      </c>
      <c r="C1735" s="10">
        <v>8.7713499909878898</v>
      </c>
      <c r="D1735" s="10">
        <v>1.5359499293910801</v>
      </c>
      <c r="E1735" s="10">
        <v>5.7107004747643497</v>
      </c>
      <c r="F1735" s="4">
        <v>1.1251211373720199E-8</v>
      </c>
      <c r="G1735" s="4">
        <v>1.3265329134563199E-7</v>
      </c>
      <c r="H1735" s="10" t="s">
        <v>3484</v>
      </c>
      <c r="I1735" s="10" t="s">
        <v>18</v>
      </c>
    </row>
    <row r="1736" spans="1:9" x14ac:dyDescent="0.2">
      <c r="A1736" s="10" t="s">
        <v>3485</v>
      </c>
      <c r="B1736" s="10">
        <v>299.745700715667</v>
      </c>
      <c r="C1736" s="10">
        <v>-3.61164441842203</v>
      </c>
      <c r="D1736" s="10">
        <v>0.32827165419529702</v>
      </c>
      <c r="E1736" s="10">
        <v>-11.001999022045799</v>
      </c>
      <c r="F1736" s="4">
        <v>3.7375324561479799E-28</v>
      </c>
      <c r="G1736" s="4">
        <v>2.5459136708166001E-26</v>
      </c>
      <c r="H1736" s="10" t="s">
        <v>3486</v>
      </c>
      <c r="I1736" s="10" t="s">
        <v>18</v>
      </c>
    </row>
    <row r="1737" spans="1:9" x14ac:dyDescent="0.2">
      <c r="A1737" s="10" t="s">
        <v>3487</v>
      </c>
      <c r="B1737" s="10">
        <v>153.90508084611801</v>
      </c>
      <c r="C1737" s="10">
        <v>-1.1017397634005099</v>
      </c>
      <c r="D1737" s="10">
        <v>0.32047204923910499</v>
      </c>
      <c r="E1737" s="10">
        <v>-3.4378653801988799</v>
      </c>
      <c r="F1737" s="10">
        <v>5.8631910756169205E-4</v>
      </c>
      <c r="G1737" s="10">
        <v>2.76057313352919E-3</v>
      </c>
      <c r="H1737" s="10" t="s">
        <v>3488</v>
      </c>
      <c r="I1737" s="10" t="s">
        <v>18</v>
      </c>
    </row>
    <row r="1738" spans="1:9" x14ac:dyDescent="0.2">
      <c r="A1738" s="10" t="s">
        <v>3489</v>
      </c>
      <c r="B1738" s="10">
        <v>4.5868731179276896</v>
      </c>
      <c r="C1738" s="10">
        <v>5.5915059184507401</v>
      </c>
      <c r="D1738" s="10">
        <v>2.0812331718906201</v>
      </c>
      <c r="E1738" s="10">
        <v>2.6866311732727901</v>
      </c>
      <c r="F1738" s="10">
        <v>7.2176601926175997E-3</v>
      </c>
      <c r="G1738" s="10">
        <v>2.4195323236743602E-2</v>
      </c>
      <c r="H1738" s="10" t="s">
        <v>3490</v>
      </c>
      <c r="I1738" s="10" t="s">
        <v>18</v>
      </c>
    </row>
    <row r="1739" spans="1:9" x14ac:dyDescent="0.2">
      <c r="A1739" s="10" t="s">
        <v>3491</v>
      </c>
      <c r="B1739" s="10">
        <v>997.28934941445198</v>
      </c>
      <c r="C1739" s="10">
        <v>1.3964740837834699</v>
      </c>
      <c r="D1739" s="10">
        <v>0.27597763410160697</v>
      </c>
      <c r="E1739" s="10">
        <v>5.0600987588339503</v>
      </c>
      <c r="F1739" s="4">
        <v>4.1903937974424698E-7</v>
      </c>
      <c r="G1739" s="4">
        <v>3.8352589788013097E-6</v>
      </c>
      <c r="H1739" s="10" t="s">
        <v>3492</v>
      </c>
      <c r="I1739" s="10" t="s">
        <v>18</v>
      </c>
    </row>
    <row r="1740" spans="1:9" x14ac:dyDescent="0.2">
      <c r="A1740" s="10" t="s">
        <v>3493</v>
      </c>
      <c r="B1740" s="10">
        <v>2314.8001172068298</v>
      </c>
      <c r="C1740" s="10">
        <v>-1.67006997411943</v>
      </c>
      <c r="D1740" s="10">
        <v>0.17984937990694</v>
      </c>
      <c r="E1740" s="10">
        <v>-9.2859367932409693</v>
      </c>
      <c r="F1740" s="4">
        <v>1.60290838771952E-20</v>
      </c>
      <c r="G1740" s="4">
        <v>6.5283176143787396E-19</v>
      </c>
      <c r="H1740" s="10" t="s">
        <v>3494</v>
      </c>
      <c r="I1740" s="10" t="s">
        <v>18</v>
      </c>
    </row>
    <row r="1741" spans="1:9" x14ac:dyDescent="0.2">
      <c r="A1741" s="10" t="s">
        <v>3495</v>
      </c>
      <c r="B1741" s="10">
        <v>42.9667419586156</v>
      </c>
      <c r="C1741" s="10">
        <v>2.1277085262380502</v>
      </c>
      <c r="D1741" s="10">
        <v>0.57527753141682503</v>
      </c>
      <c r="E1741" s="10">
        <v>3.6985774865877499</v>
      </c>
      <c r="F1741" s="10">
        <v>2.1681116377537301E-4</v>
      </c>
      <c r="G1741" s="10">
        <v>1.14317644392087E-3</v>
      </c>
      <c r="H1741" s="10" t="s">
        <v>3496</v>
      </c>
      <c r="I1741" s="10" t="s">
        <v>18</v>
      </c>
    </row>
    <row r="1742" spans="1:9" x14ac:dyDescent="0.2">
      <c r="A1742" s="10" t="s">
        <v>3497</v>
      </c>
      <c r="B1742" s="10">
        <v>800.22969264199196</v>
      </c>
      <c r="C1742" s="10">
        <v>-1.0649732970938099</v>
      </c>
      <c r="D1742" s="10">
        <v>0.23985736274188699</v>
      </c>
      <c r="E1742" s="10">
        <v>-4.44002754353569</v>
      </c>
      <c r="F1742" s="4">
        <v>8.9947365014162801E-6</v>
      </c>
      <c r="G1742" s="4">
        <v>6.4664798272846794E-5</v>
      </c>
      <c r="H1742" s="10" t="s">
        <v>3498</v>
      </c>
      <c r="I1742" s="10" t="s">
        <v>18</v>
      </c>
    </row>
    <row r="1743" spans="1:9" x14ac:dyDescent="0.2">
      <c r="A1743" s="10" t="s">
        <v>3499</v>
      </c>
      <c r="B1743" s="10">
        <v>3444.70451585705</v>
      </c>
      <c r="C1743" s="10">
        <v>-1.0395275171081799</v>
      </c>
      <c r="D1743" s="10">
        <v>0.23033091542232301</v>
      </c>
      <c r="E1743" s="10">
        <v>-4.5131914454564299</v>
      </c>
      <c r="F1743" s="4">
        <v>6.3859329128228401E-6</v>
      </c>
      <c r="G1743" s="4">
        <v>4.71665801235251E-5</v>
      </c>
      <c r="H1743" s="10" t="s">
        <v>3500</v>
      </c>
      <c r="I1743" s="10" t="s">
        <v>18</v>
      </c>
    </row>
    <row r="1744" spans="1:9" x14ac:dyDescent="0.2">
      <c r="A1744" s="10" t="s">
        <v>3501</v>
      </c>
      <c r="B1744" s="10">
        <v>159.611837207305</v>
      </c>
      <c r="C1744" s="10">
        <v>1.3774008275584999</v>
      </c>
      <c r="D1744" s="10">
        <v>0.38580819959472901</v>
      </c>
      <c r="E1744" s="10">
        <v>3.57016991604995</v>
      </c>
      <c r="F1744" s="10">
        <v>3.5674974279780201E-4</v>
      </c>
      <c r="G1744" s="10">
        <v>1.7773560508341001E-3</v>
      </c>
      <c r="H1744" s="10" t="s">
        <v>3502</v>
      </c>
      <c r="I1744" s="10" t="s">
        <v>18</v>
      </c>
    </row>
    <row r="1745" spans="1:9" x14ac:dyDescent="0.2">
      <c r="A1745" s="10" t="s">
        <v>3503</v>
      </c>
      <c r="B1745" s="10">
        <v>246.84364226220799</v>
      </c>
      <c r="C1745" s="10">
        <v>2.88582660766202</v>
      </c>
      <c r="D1745" s="10">
        <v>0.31769780894649302</v>
      </c>
      <c r="E1745" s="10">
        <v>9.0835584205998003</v>
      </c>
      <c r="F1745" s="4">
        <v>1.05081913840069E-19</v>
      </c>
      <c r="G1745" s="4">
        <v>3.9437560694219903E-18</v>
      </c>
      <c r="H1745" s="10" t="s">
        <v>3504</v>
      </c>
      <c r="I1745" s="10" t="s">
        <v>18</v>
      </c>
    </row>
    <row r="1746" spans="1:9" x14ac:dyDescent="0.2">
      <c r="A1746" s="10" t="s">
        <v>3505</v>
      </c>
      <c r="B1746" s="10">
        <v>799.51576532046704</v>
      </c>
      <c r="C1746" s="10">
        <v>-1.2150749204217799</v>
      </c>
      <c r="D1746" s="10">
        <v>0.23872215322273499</v>
      </c>
      <c r="E1746" s="10">
        <v>-5.0899127040299499</v>
      </c>
      <c r="F1746" s="4">
        <v>3.5822839083008798E-7</v>
      </c>
      <c r="G1746" s="4">
        <v>3.3176916944076801E-6</v>
      </c>
      <c r="H1746" s="10" t="s">
        <v>3506</v>
      </c>
      <c r="I1746" s="10" t="s">
        <v>18</v>
      </c>
    </row>
    <row r="1747" spans="1:9" x14ac:dyDescent="0.2">
      <c r="A1747" s="10" t="s">
        <v>3507</v>
      </c>
      <c r="B1747" s="10">
        <v>41.250993062423497</v>
      </c>
      <c r="C1747" s="10">
        <v>1.84125979060927</v>
      </c>
      <c r="D1747" s="10">
        <v>0.57301841909775397</v>
      </c>
      <c r="E1747" s="10">
        <v>3.2132645814569498</v>
      </c>
      <c r="F1747" s="10">
        <v>1.3123533458462E-3</v>
      </c>
      <c r="G1747" s="10">
        <v>5.5941319797045202E-3</v>
      </c>
      <c r="H1747" s="10" t="s">
        <v>3508</v>
      </c>
      <c r="I1747" s="10" t="s">
        <v>18</v>
      </c>
    </row>
    <row r="1748" spans="1:9" x14ac:dyDescent="0.2">
      <c r="A1748" s="10" t="s">
        <v>3509</v>
      </c>
      <c r="B1748" s="10">
        <v>721.30099238687501</v>
      </c>
      <c r="C1748" s="10">
        <v>-1.1447768364648401</v>
      </c>
      <c r="D1748" s="10">
        <v>0.21860483436135</v>
      </c>
      <c r="E1748" s="10">
        <v>-5.2367407144004297</v>
      </c>
      <c r="F1748" s="4">
        <v>1.6343704146290999E-7</v>
      </c>
      <c r="G1748" s="4">
        <v>1.60243579299745E-6</v>
      </c>
      <c r="H1748" s="10" t="s">
        <v>3510</v>
      </c>
      <c r="I1748" s="10" t="s">
        <v>18</v>
      </c>
    </row>
    <row r="1749" spans="1:9" x14ac:dyDescent="0.2">
      <c r="A1749" s="10" t="s">
        <v>3511</v>
      </c>
      <c r="B1749" s="10">
        <v>1286.91592075984</v>
      </c>
      <c r="C1749" s="10">
        <v>-1.26896597623086</v>
      </c>
      <c r="D1749" s="10">
        <v>0.21557778835633301</v>
      </c>
      <c r="E1749" s="10">
        <v>-5.8863484309123502</v>
      </c>
      <c r="F1749" s="4">
        <v>3.9482150123293503E-9</v>
      </c>
      <c r="G1749" s="4">
        <v>4.9689152166714902E-8</v>
      </c>
      <c r="H1749" s="10" t="s">
        <v>3512</v>
      </c>
      <c r="I1749" s="10" t="s">
        <v>18</v>
      </c>
    </row>
    <row r="1750" spans="1:9" x14ac:dyDescent="0.2">
      <c r="A1750" s="10" t="s">
        <v>3513</v>
      </c>
      <c r="B1750" s="10">
        <v>1639.4362305851</v>
      </c>
      <c r="C1750" s="10">
        <v>-1.0133807785934099</v>
      </c>
      <c r="D1750" s="10">
        <v>0.21934247214549901</v>
      </c>
      <c r="E1750" s="10">
        <v>-4.6200846041399304</v>
      </c>
      <c r="F1750" s="4">
        <v>3.8358359627636904E-6</v>
      </c>
      <c r="G1750" s="4">
        <v>2.9624439477727399E-5</v>
      </c>
      <c r="H1750" s="10" t="s">
        <v>3514</v>
      </c>
      <c r="I1750" s="10" t="s">
        <v>18</v>
      </c>
    </row>
    <row r="1751" spans="1:9" x14ac:dyDescent="0.2">
      <c r="A1751" s="10" t="s">
        <v>3515</v>
      </c>
      <c r="B1751" s="10">
        <v>36.415001925149802</v>
      </c>
      <c r="C1751" s="10">
        <v>1.54876275342523</v>
      </c>
      <c r="D1751" s="10">
        <v>0.59021168008138503</v>
      </c>
      <c r="E1751" s="10">
        <v>2.6240801490266499</v>
      </c>
      <c r="F1751" s="10">
        <v>8.6883337085609507E-3</v>
      </c>
      <c r="G1751" s="10">
        <v>2.8303566302864701E-2</v>
      </c>
      <c r="H1751" s="10" t="s">
        <v>3516</v>
      </c>
      <c r="I1751" s="10" t="s">
        <v>18</v>
      </c>
    </row>
    <row r="1752" spans="1:9" x14ac:dyDescent="0.2">
      <c r="A1752" s="10" t="s">
        <v>3517</v>
      </c>
      <c r="B1752" s="10">
        <v>545.86767919233603</v>
      </c>
      <c r="C1752" s="10">
        <v>1.8395529578801699</v>
      </c>
      <c r="D1752" s="10">
        <v>0.226184577271555</v>
      </c>
      <c r="E1752" s="10">
        <v>8.1329725486615096</v>
      </c>
      <c r="F1752" s="4">
        <v>4.18889514703096E-16</v>
      </c>
      <c r="G1752" s="4">
        <v>1.1540427307497699E-14</v>
      </c>
      <c r="H1752" s="10" t="s">
        <v>3518</v>
      </c>
      <c r="I1752" s="10" t="s">
        <v>18</v>
      </c>
    </row>
    <row r="1753" spans="1:9" x14ac:dyDescent="0.2">
      <c r="A1753" s="10" t="s">
        <v>3519</v>
      </c>
      <c r="B1753" s="10">
        <v>156.946227255004</v>
      </c>
      <c r="C1753" s="10">
        <v>2.1014167902433298</v>
      </c>
      <c r="D1753" s="10">
        <v>0.33338489691711098</v>
      </c>
      <c r="E1753" s="10">
        <v>6.3032753123360497</v>
      </c>
      <c r="F1753" s="4">
        <v>2.9142056339883202E-10</v>
      </c>
      <c r="G1753" s="4">
        <v>4.2325885346097903E-9</v>
      </c>
      <c r="H1753" s="10" t="s">
        <v>3520</v>
      </c>
      <c r="I1753" s="10" t="s">
        <v>18</v>
      </c>
    </row>
    <row r="1754" spans="1:9" x14ac:dyDescent="0.2">
      <c r="A1754" s="10" t="s">
        <v>3521</v>
      </c>
      <c r="B1754" s="10">
        <v>259.06835426305901</v>
      </c>
      <c r="C1754" s="10">
        <v>1.4644577879462399</v>
      </c>
      <c r="D1754" s="10">
        <v>0.26554761055936499</v>
      </c>
      <c r="E1754" s="10">
        <v>5.5148595947123198</v>
      </c>
      <c r="F1754" s="4">
        <v>3.4905851284321502E-8</v>
      </c>
      <c r="G1754" s="4">
        <v>3.83190866214306E-7</v>
      </c>
      <c r="H1754" s="10" t="s">
        <v>3522</v>
      </c>
      <c r="I1754" s="10" t="s">
        <v>18</v>
      </c>
    </row>
    <row r="1755" spans="1:9" x14ac:dyDescent="0.2">
      <c r="A1755" s="10" t="s">
        <v>3523</v>
      </c>
      <c r="B1755" s="10">
        <v>713.796238410309</v>
      </c>
      <c r="C1755" s="10">
        <v>-2.0315108305771901</v>
      </c>
      <c r="D1755" s="10">
        <v>0.228486678984683</v>
      </c>
      <c r="E1755" s="10">
        <v>-8.8911565418366294</v>
      </c>
      <c r="F1755" s="4">
        <v>6.0476106720799101E-19</v>
      </c>
      <c r="G1755" s="4">
        <v>2.1179851925727699E-17</v>
      </c>
      <c r="H1755" s="10" t="s">
        <v>3524</v>
      </c>
      <c r="I1755" s="10" t="s">
        <v>18</v>
      </c>
    </row>
    <row r="1756" spans="1:9" x14ac:dyDescent="0.2">
      <c r="A1756" s="10" t="s">
        <v>3525</v>
      </c>
      <c r="B1756" s="10">
        <v>1174.6472294540299</v>
      </c>
      <c r="C1756" s="10">
        <v>1.7017611328501701</v>
      </c>
      <c r="D1756" s="10">
        <v>0.198020611510517</v>
      </c>
      <c r="E1756" s="10">
        <v>8.5938585880984899</v>
      </c>
      <c r="F1756" s="4">
        <v>8.4096511032271195E-18</v>
      </c>
      <c r="G1756" s="4">
        <v>2.6643926001119702E-16</v>
      </c>
      <c r="H1756" s="10" t="s">
        <v>3526</v>
      </c>
      <c r="I1756" s="10" t="s">
        <v>18</v>
      </c>
    </row>
    <row r="1757" spans="1:9" x14ac:dyDescent="0.2">
      <c r="A1757" s="10" t="s">
        <v>3527</v>
      </c>
      <c r="B1757" s="10">
        <v>304.030332114158</v>
      </c>
      <c r="C1757" s="10">
        <v>-1.7449922127872599</v>
      </c>
      <c r="D1757" s="10">
        <v>0.27587514080717901</v>
      </c>
      <c r="E1757" s="10">
        <v>-6.3252970444586296</v>
      </c>
      <c r="F1757" s="4">
        <v>2.52745903914822E-10</v>
      </c>
      <c r="G1757" s="4">
        <v>3.6964936360532198E-9</v>
      </c>
      <c r="H1757" s="10" t="s">
        <v>3528</v>
      </c>
      <c r="I1757" s="10" t="s">
        <v>18</v>
      </c>
    </row>
    <row r="1758" spans="1:9" x14ac:dyDescent="0.2">
      <c r="A1758" s="10" t="s">
        <v>3529</v>
      </c>
      <c r="B1758" s="10">
        <v>9.2462224454688595</v>
      </c>
      <c r="C1758" s="10">
        <v>6.6019574585352601</v>
      </c>
      <c r="D1758" s="10">
        <v>1.8002706447725301</v>
      </c>
      <c r="E1758" s="10">
        <v>3.66720274960071</v>
      </c>
      <c r="F1758" s="10">
        <v>2.4521835590603702E-4</v>
      </c>
      <c r="G1758" s="10">
        <v>1.2726599130232E-3</v>
      </c>
      <c r="H1758" s="10" t="s">
        <v>3530</v>
      </c>
      <c r="I1758" s="10" t="s">
        <v>18</v>
      </c>
    </row>
    <row r="1759" spans="1:9" x14ac:dyDescent="0.2">
      <c r="A1759" s="10" t="s">
        <v>3531</v>
      </c>
      <c r="B1759" s="10">
        <v>94.969677516182898</v>
      </c>
      <c r="C1759" s="10">
        <v>4.6625794392281303</v>
      </c>
      <c r="D1759" s="10">
        <v>0.53922174580948801</v>
      </c>
      <c r="E1759" s="10">
        <v>8.6468683347118898</v>
      </c>
      <c r="F1759" s="4">
        <v>5.2931984124101703E-18</v>
      </c>
      <c r="G1759" s="4">
        <v>1.7189961518824801E-16</v>
      </c>
      <c r="H1759" s="10" t="s">
        <v>3532</v>
      </c>
      <c r="I1759" s="10" t="s">
        <v>18</v>
      </c>
    </row>
    <row r="1760" spans="1:9" x14ac:dyDescent="0.2">
      <c r="A1760" s="10" t="s">
        <v>3533</v>
      </c>
      <c r="B1760" s="10">
        <v>5.72528331880115</v>
      </c>
      <c r="C1760" s="10">
        <v>5.91290183596508</v>
      </c>
      <c r="D1760" s="10">
        <v>1.9664132806819701</v>
      </c>
      <c r="E1760" s="10">
        <v>3.0069476717093999</v>
      </c>
      <c r="F1760" s="10">
        <v>2.6388518374758801E-3</v>
      </c>
      <c r="G1760" s="10">
        <v>1.0232075710218501E-2</v>
      </c>
      <c r="H1760" s="10" t="s">
        <v>3534</v>
      </c>
      <c r="I1760" s="10" t="s">
        <v>18</v>
      </c>
    </row>
    <row r="1761" spans="1:9" x14ac:dyDescent="0.2">
      <c r="A1761" s="10" t="s">
        <v>3535</v>
      </c>
      <c r="B1761" s="10">
        <v>586.47685921502</v>
      </c>
      <c r="C1761" s="10">
        <v>1.0367228216501201</v>
      </c>
      <c r="D1761" s="10">
        <v>0.24821921825743301</v>
      </c>
      <c r="E1761" s="10">
        <v>4.1766420381475697</v>
      </c>
      <c r="F1761" s="4">
        <v>2.95844035435014E-5</v>
      </c>
      <c r="G1761" s="10">
        <v>1.90114680035326E-4</v>
      </c>
      <c r="H1761" s="10" t="s">
        <v>3536</v>
      </c>
      <c r="I1761" s="10" t="s">
        <v>18</v>
      </c>
    </row>
    <row r="1762" spans="1:9" x14ac:dyDescent="0.2">
      <c r="A1762" s="10" t="s">
        <v>3537</v>
      </c>
      <c r="B1762" s="10">
        <v>611.73557167932995</v>
      </c>
      <c r="C1762" s="10">
        <v>1.6610533180465401</v>
      </c>
      <c r="D1762" s="10">
        <v>0.23504439675574601</v>
      </c>
      <c r="E1762" s="10">
        <v>7.0669768817023604</v>
      </c>
      <c r="F1762" s="4">
        <v>1.58345318991774E-12</v>
      </c>
      <c r="G1762" s="4">
        <v>3.0707721754938502E-11</v>
      </c>
      <c r="H1762" s="10" t="s">
        <v>3538</v>
      </c>
      <c r="I1762" s="10" t="s">
        <v>18</v>
      </c>
    </row>
    <row r="1763" spans="1:9" x14ac:dyDescent="0.2">
      <c r="A1763" s="10" t="s">
        <v>3539</v>
      </c>
      <c r="B1763" s="10">
        <v>289.06591634842903</v>
      </c>
      <c r="C1763" s="10">
        <v>-1.0572138644118201</v>
      </c>
      <c r="D1763" s="10">
        <v>0.257525072739269</v>
      </c>
      <c r="E1763" s="10">
        <v>-4.1052851792889102</v>
      </c>
      <c r="F1763" s="4">
        <v>4.0381639743801701E-5</v>
      </c>
      <c r="G1763" s="10">
        <v>2.5166480743352398E-4</v>
      </c>
      <c r="H1763" s="10" t="s">
        <v>3540</v>
      </c>
      <c r="I1763" s="10" t="s">
        <v>18</v>
      </c>
    </row>
    <row r="1764" spans="1:9" x14ac:dyDescent="0.2">
      <c r="A1764" s="10" t="s">
        <v>3541</v>
      </c>
      <c r="B1764" s="10">
        <v>584.41197691544301</v>
      </c>
      <c r="C1764" s="10">
        <v>-1.36434776562759</v>
      </c>
      <c r="D1764" s="10">
        <v>0.21708068641935099</v>
      </c>
      <c r="E1764" s="10">
        <v>-6.28497996819475</v>
      </c>
      <c r="F1764" s="4">
        <v>3.2789596901112301E-10</v>
      </c>
      <c r="G1764" s="4">
        <v>4.7295825662499103E-9</v>
      </c>
      <c r="H1764" s="10" t="s">
        <v>3542</v>
      </c>
      <c r="I1764" s="10" t="s">
        <v>18</v>
      </c>
    </row>
    <row r="1765" spans="1:9" x14ac:dyDescent="0.2">
      <c r="A1765" s="10" t="s">
        <v>3543</v>
      </c>
      <c r="B1765" s="10">
        <v>868.08739282100805</v>
      </c>
      <c r="C1765" s="10">
        <v>-1.44273179859683</v>
      </c>
      <c r="D1765" s="10">
        <v>0.20370547505363401</v>
      </c>
      <c r="E1765" s="10">
        <v>-7.0824399698484903</v>
      </c>
      <c r="F1765" s="4">
        <v>1.4163812464672899E-12</v>
      </c>
      <c r="G1765" s="4">
        <v>2.7625010610232099E-11</v>
      </c>
      <c r="H1765" s="10" t="s">
        <v>3544</v>
      </c>
      <c r="I1765" s="10" t="s">
        <v>18</v>
      </c>
    </row>
    <row r="1766" spans="1:9" x14ac:dyDescent="0.2">
      <c r="A1766" s="10" t="s">
        <v>3545</v>
      </c>
      <c r="B1766" s="10">
        <v>254.06524515448399</v>
      </c>
      <c r="C1766" s="10">
        <v>-1.06888828806297</v>
      </c>
      <c r="D1766" s="10">
        <v>0.290193249323981</v>
      </c>
      <c r="E1766" s="10">
        <v>-3.6833671718862999</v>
      </c>
      <c r="F1766" s="10">
        <v>2.3017324633088201E-4</v>
      </c>
      <c r="G1766" s="10">
        <v>1.20490498420318E-3</v>
      </c>
      <c r="H1766" s="10" t="s">
        <v>3546</v>
      </c>
      <c r="I1766" s="10" t="s">
        <v>18</v>
      </c>
    </row>
    <row r="1767" spans="1:9" x14ac:dyDescent="0.2">
      <c r="A1767" s="10" t="s">
        <v>3547</v>
      </c>
      <c r="B1767" s="10">
        <v>110.494066154517</v>
      </c>
      <c r="C1767" s="10">
        <v>-2.4444619677234698</v>
      </c>
      <c r="D1767" s="10">
        <v>0.37947422074186998</v>
      </c>
      <c r="E1767" s="10">
        <v>-6.4417075893707798</v>
      </c>
      <c r="F1767" s="4">
        <v>1.1813672272802901E-10</v>
      </c>
      <c r="G1767" s="4">
        <v>1.8206285543951399E-9</v>
      </c>
      <c r="H1767" s="10" t="s">
        <v>3548</v>
      </c>
      <c r="I1767" s="10" t="s">
        <v>18</v>
      </c>
    </row>
    <row r="1768" spans="1:9" x14ac:dyDescent="0.2">
      <c r="A1768" s="10" t="s">
        <v>3549</v>
      </c>
      <c r="B1768" s="10">
        <v>1983.1604850302599</v>
      </c>
      <c r="C1768" s="10">
        <v>-1.03395309682716</v>
      </c>
      <c r="D1768" s="10">
        <v>0.18093283143372599</v>
      </c>
      <c r="E1768" s="10">
        <v>-5.7145687083656096</v>
      </c>
      <c r="F1768" s="4">
        <v>1.0998260527078501E-8</v>
      </c>
      <c r="G1768" s="4">
        <v>1.29783284790519E-7</v>
      </c>
      <c r="H1768" s="10" t="s">
        <v>3550</v>
      </c>
      <c r="I1768" s="10" t="s">
        <v>18</v>
      </c>
    </row>
    <row r="1769" spans="1:9" x14ac:dyDescent="0.2">
      <c r="A1769" s="10" t="s">
        <v>3551</v>
      </c>
      <c r="B1769" s="10">
        <v>102.784517702787</v>
      </c>
      <c r="C1769" s="10">
        <v>-1.0398351499763101</v>
      </c>
      <c r="D1769" s="10">
        <v>0.37022537448378201</v>
      </c>
      <c r="E1769" s="10">
        <v>-2.8086544619643701</v>
      </c>
      <c r="F1769" s="10">
        <v>4.9749010851860599E-3</v>
      </c>
      <c r="G1769" s="10">
        <v>1.7640698837593002E-2</v>
      </c>
      <c r="H1769" s="10" t="s">
        <v>3552</v>
      </c>
      <c r="I1769" s="10" t="s">
        <v>18</v>
      </c>
    </row>
    <row r="1770" spans="1:9" x14ac:dyDescent="0.2">
      <c r="A1770" s="10" t="s">
        <v>3553</v>
      </c>
      <c r="B1770" s="10">
        <v>6168.0356296727496</v>
      </c>
      <c r="C1770" s="10">
        <v>1.06698266828816</v>
      </c>
      <c r="D1770" s="10">
        <v>0.206520528419635</v>
      </c>
      <c r="E1770" s="10">
        <v>5.1664726816897</v>
      </c>
      <c r="F1770" s="4">
        <v>2.38553050339519E-7</v>
      </c>
      <c r="G1770" s="4">
        <v>2.2734714804480099E-6</v>
      </c>
      <c r="H1770" s="10" t="s">
        <v>3554</v>
      </c>
      <c r="I1770" s="10" t="s">
        <v>18</v>
      </c>
    </row>
    <row r="1771" spans="1:9" x14ac:dyDescent="0.2">
      <c r="A1771" s="10" t="s">
        <v>3555</v>
      </c>
      <c r="B1771" s="10">
        <v>360.652296318048</v>
      </c>
      <c r="C1771" s="10">
        <v>-2.5827225658333601</v>
      </c>
      <c r="D1771" s="10">
        <v>0.30546913282339799</v>
      </c>
      <c r="E1771" s="10">
        <v>-8.4549379571078394</v>
      </c>
      <c r="F1771" s="4">
        <v>2.7923578586183501E-17</v>
      </c>
      <c r="G1771" s="4">
        <v>8.5486937723341702E-16</v>
      </c>
      <c r="H1771" s="10" t="s">
        <v>3556</v>
      </c>
      <c r="I1771" s="10" t="s">
        <v>18</v>
      </c>
    </row>
    <row r="1772" spans="1:9" x14ac:dyDescent="0.2">
      <c r="A1772" s="10" t="s">
        <v>3557</v>
      </c>
      <c r="B1772" s="10">
        <v>1015.35150955963</v>
      </c>
      <c r="C1772" s="10">
        <v>1.20325447749032</v>
      </c>
      <c r="D1772" s="10">
        <v>0.21613036653043899</v>
      </c>
      <c r="E1772" s="10">
        <v>5.5672624666597299</v>
      </c>
      <c r="F1772" s="4">
        <v>2.5877247061756802E-8</v>
      </c>
      <c r="G1772" s="4">
        <v>2.9075354667698402E-7</v>
      </c>
      <c r="H1772" s="10" t="s">
        <v>3558</v>
      </c>
      <c r="I1772" s="10" t="s">
        <v>18</v>
      </c>
    </row>
    <row r="1773" spans="1:9" x14ac:dyDescent="0.2">
      <c r="A1773" s="10" t="s">
        <v>3559</v>
      </c>
      <c r="B1773" s="10">
        <v>3.9255698602876601</v>
      </c>
      <c r="C1773" s="10">
        <v>5.3649036796241196</v>
      </c>
      <c r="D1773" s="10">
        <v>2.1862776153234802</v>
      </c>
      <c r="E1773" s="10">
        <v>2.45389864581783</v>
      </c>
      <c r="F1773" s="10">
        <v>1.4131680591543599E-2</v>
      </c>
      <c r="G1773" s="10">
        <v>4.2476106020715901E-2</v>
      </c>
      <c r="H1773" s="10" t="s">
        <v>3560</v>
      </c>
      <c r="I1773" s="10" t="s">
        <v>18</v>
      </c>
    </row>
    <row r="1774" spans="1:9" x14ac:dyDescent="0.2">
      <c r="A1774" s="10" t="s">
        <v>3561</v>
      </c>
      <c r="B1774" s="10">
        <v>3.9648137554673002</v>
      </c>
      <c r="C1774" s="10">
        <v>5.38581965917892</v>
      </c>
      <c r="D1774" s="10">
        <v>2.16320773319238</v>
      </c>
      <c r="E1774" s="10">
        <v>2.4897376135165499</v>
      </c>
      <c r="F1774" s="10">
        <v>1.2783743375967001E-2</v>
      </c>
      <c r="G1774" s="10">
        <v>3.9066695352733702E-2</v>
      </c>
      <c r="H1774" s="10" t="s">
        <v>3562</v>
      </c>
      <c r="I1774" s="10" t="s">
        <v>18</v>
      </c>
    </row>
    <row r="1775" spans="1:9" x14ac:dyDescent="0.2">
      <c r="A1775" s="10" t="s">
        <v>3563</v>
      </c>
      <c r="B1775" s="10">
        <v>20.4743618439377</v>
      </c>
      <c r="C1775" s="10">
        <v>2.35742757397733</v>
      </c>
      <c r="D1775" s="10">
        <v>0.81059234969067395</v>
      </c>
      <c r="E1775" s="10">
        <v>2.90827760079025</v>
      </c>
      <c r="F1775" s="10">
        <v>3.6342557170632398E-3</v>
      </c>
      <c r="G1775" s="10">
        <v>1.35221310286525E-2</v>
      </c>
      <c r="H1775" s="10" t="s">
        <v>3564</v>
      </c>
      <c r="I1775" s="10" t="s">
        <v>18</v>
      </c>
    </row>
    <row r="1776" spans="1:9" x14ac:dyDescent="0.2">
      <c r="A1776" s="10" t="s">
        <v>3565</v>
      </c>
      <c r="B1776" s="10">
        <v>74.982279283181597</v>
      </c>
      <c r="C1776" s="10">
        <v>1.8798282664957899</v>
      </c>
      <c r="D1776" s="10">
        <v>0.43650266500220802</v>
      </c>
      <c r="E1776" s="10">
        <v>4.3065676735015703</v>
      </c>
      <c r="F1776" s="4">
        <v>1.6580721929991899E-5</v>
      </c>
      <c r="G1776" s="10">
        <v>1.12199108436088E-4</v>
      </c>
      <c r="H1776" s="10" t="s">
        <v>3566</v>
      </c>
      <c r="I1776" s="10" t="s">
        <v>18</v>
      </c>
    </row>
    <row r="1777" spans="1:9" x14ac:dyDescent="0.2">
      <c r="A1777" s="10" t="s">
        <v>3567</v>
      </c>
      <c r="B1777" s="10">
        <v>7.9266217205616902</v>
      </c>
      <c r="C1777" s="10">
        <v>6.3813652613408598</v>
      </c>
      <c r="D1777" s="10">
        <v>1.8395505172553801</v>
      </c>
      <c r="E1777" s="10">
        <v>3.4689807110390798</v>
      </c>
      <c r="F1777" s="10">
        <v>5.2243696189452501E-4</v>
      </c>
      <c r="G1777" s="10">
        <v>2.4918997860432202E-3</v>
      </c>
      <c r="H1777" s="10" t="s">
        <v>3568</v>
      </c>
      <c r="I1777" s="10" t="s">
        <v>18</v>
      </c>
    </row>
    <row r="1778" spans="1:9" x14ac:dyDescent="0.2">
      <c r="A1778" s="10" t="s">
        <v>3569</v>
      </c>
      <c r="B1778" s="10">
        <v>151.167515919919</v>
      </c>
      <c r="C1778" s="10">
        <v>-2.6821476368955</v>
      </c>
      <c r="D1778" s="10">
        <v>0.336933862720591</v>
      </c>
      <c r="E1778" s="10">
        <v>-7.9604573290388503</v>
      </c>
      <c r="F1778" s="4">
        <v>1.71404560050822E-15</v>
      </c>
      <c r="G1778" s="4">
        <v>4.4820154008682799E-14</v>
      </c>
      <c r="H1778" s="10" t="s">
        <v>3570</v>
      </c>
      <c r="I1778" s="10" t="s">
        <v>18</v>
      </c>
    </row>
    <row r="1779" spans="1:9" x14ac:dyDescent="0.2">
      <c r="A1779" s="10" t="s">
        <v>3571</v>
      </c>
      <c r="B1779" s="10">
        <v>30.582427342883999</v>
      </c>
      <c r="C1779" s="10">
        <v>-2.6445431782669302</v>
      </c>
      <c r="D1779" s="10">
        <v>0.68236189191891605</v>
      </c>
      <c r="E1779" s="10">
        <v>-3.8755727856226501</v>
      </c>
      <c r="F1779" s="10">
        <v>1.06374175854005E-4</v>
      </c>
      <c r="G1779" s="10">
        <v>6.0521552923242295E-4</v>
      </c>
      <c r="H1779" s="10" t="s">
        <v>3572</v>
      </c>
      <c r="I1779" s="10" t="s">
        <v>18</v>
      </c>
    </row>
    <row r="1780" spans="1:9" x14ac:dyDescent="0.2">
      <c r="A1780" s="10" t="s">
        <v>3573</v>
      </c>
      <c r="B1780" s="10">
        <v>3492.0383410740501</v>
      </c>
      <c r="C1780" s="10">
        <v>1.6065174927886501</v>
      </c>
      <c r="D1780" s="10">
        <v>0.199618724799867</v>
      </c>
      <c r="E1780" s="10">
        <v>8.0479298442533498</v>
      </c>
      <c r="F1780" s="4">
        <v>8.4206191492469797E-16</v>
      </c>
      <c r="G1780" s="4">
        <v>2.2626884611393701E-14</v>
      </c>
      <c r="H1780" s="10" t="s">
        <v>3574</v>
      </c>
      <c r="I1780" s="10" t="s">
        <v>18</v>
      </c>
    </row>
    <row r="1781" spans="1:9" x14ac:dyDescent="0.2">
      <c r="A1781" s="10" t="s">
        <v>3575</v>
      </c>
      <c r="B1781" s="10">
        <v>162.03403266065999</v>
      </c>
      <c r="C1781" s="10">
        <v>2.46877489198853</v>
      </c>
      <c r="D1781" s="10">
        <v>0.33269512172420601</v>
      </c>
      <c r="E1781" s="10">
        <v>7.4205322855171598</v>
      </c>
      <c r="F1781" s="4">
        <v>1.166505676987E-13</v>
      </c>
      <c r="G1781" s="4">
        <v>2.5879985299624502E-12</v>
      </c>
      <c r="H1781" s="10" t="s">
        <v>3576</v>
      </c>
      <c r="I1781" s="10" t="s">
        <v>18</v>
      </c>
    </row>
    <row r="1782" spans="1:9" x14ac:dyDescent="0.2">
      <c r="A1782" s="10" t="s">
        <v>3577</v>
      </c>
      <c r="B1782" s="10">
        <v>43.957096780083397</v>
      </c>
      <c r="C1782" s="10">
        <v>3.7191966413914899</v>
      </c>
      <c r="D1782" s="10">
        <v>0.64449168718364602</v>
      </c>
      <c r="E1782" s="10">
        <v>5.7707441621845303</v>
      </c>
      <c r="F1782" s="4">
        <v>7.8922219986393608E-9</v>
      </c>
      <c r="G1782" s="4">
        <v>9.5234443222731003E-8</v>
      </c>
      <c r="H1782" s="10" t="s">
        <v>3578</v>
      </c>
      <c r="I1782" s="10" t="s">
        <v>18</v>
      </c>
    </row>
    <row r="1783" spans="1:9" x14ac:dyDescent="0.2">
      <c r="A1783" s="10" t="s">
        <v>3579</v>
      </c>
      <c r="B1783" s="10">
        <v>11.9277169497458</v>
      </c>
      <c r="C1783" s="10">
        <v>4.4628465033734201</v>
      </c>
      <c r="D1783" s="10">
        <v>1.37194512603527</v>
      </c>
      <c r="E1783" s="10">
        <v>3.25293367692512</v>
      </c>
      <c r="F1783" s="10">
        <v>1.1422015333552599E-3</v>
      </c>
      <c r="G1783" s="10">
        <v>4.9572419846019003E-3</v>
      </c>
      <c r="H1783" s="10" t="s">
        <v>3580</v>
      </c>
      <c r="I1783" s="10" t="s">
        <v>18</v>
      </c>
    </row>
    <row r="1784" spans="1:9" x14ac:dyDescent="0.2">
      <c r="A1784" s="10" t="s">
        <v>3581</v>
      </c>
      <c r="B1784" s="10">
        <v>135.375934011477</v>
      </c>
      <c r="C1784" s="10">
        <v>5.3010515206243296</v>
      </c>
      <c r="D1784" s="10">
        <v>0.51977091026339395</v>
      </c>
      <c r="E1784" s="10">
        <v>10.198823012119</v>
      </c>
      <c r="F1784" s="4">
        <v>2.0068975776782401E-24</v>
      </c>
      <c r="G1784" s="4">
        <v>1.0680066074023201E-22</v>
      </c>
      <c r="H1784" s="10" t="s">
        <v>3582</v>
      </c>
      <c r="I1784" s="10" t="s">
        <v>18</v>
      </c>
    </row>
    <row r="1785" spans="1:9" x14ac:dyDescent="0.2">
      <c r="A1785" s="10" t="s">
        <v>3583</v>
      </c>
      <c r="B1785" s="10">
        <v>801.82685521209805</v>
      </c>
      <c r="C1785" s="10">
        <v>-1.8755682543680301</v>
      </c>
      <c r="D1785" s="10">
        <v>0.26301868816797802</v>
      </c>
      <c r="E1785" s="10">
        <v>-7.1309315221365202</v>
      </c>
      <c r="F1785" s="4">
        <v>9.9691910991484697E-13</v>
      </c>
      <c r="G1785" s="4">
        <v>1.9754949082072599E-11</v>
      </c>
      <c r="H1785" s="10" t="s">
        <v>3584</v>
      </c>
      <c r="I1785" s="10" t="s">
        <v>18</v>
      </c>
    </row>
    <row r="1786" spans="1:9" x14ac:dyDescent="0.2">
      <c r="A1786" s="10" t="s">
        <v>3585</v>
      </c>
      <c r="B1786" s="10">
        <v>6412.9681752629804</v>
      </c>
      <c r="C1786" s="10">
        <v>-1.98809233500128</v>
      </c>
      <c r="D1786" s="10">
        <v>0.228533821610862</v>
      </c>
      <c r="E1786" s="10">
        <v>-8.6993352711990308</v>
      </c>
      <c r="F1786" s="4">
        <v>3.3383386709909201E-18</v>
      </c>
      <c r="G1786" s="4">
        <v>1.09722212024716E-16</v>
      </c>
      <c r="H1786" s="10" t="s">
        <v>3586</v>
      </c>
      <c r="I1786" s="10" t="s">
        <v>18</v>
      </c>
    </row>
    <row r="1787" spans="1:9" x14ac:dyDescent="0.2">
      <c r="A1787" s="10" t="s">
        <v>3587</v>
      </c>
      <c r="B1787" s="10">
        <v>174.228514459059</v>
      </c>
      <c r="C1787" s="10">
        <v>-1.2671147970561401</v>
      </c>
      <c r="D1787" s="10">
        <v>0.32866313718390699</v>
      </c>
      <c r="E1787" s="10">
        <v>-3.85536025704981</v>
      </c>
      <c r="F1787" s="10">
        <v>1.15559326899042E-4</v>
      </c>
      <c r="G1787" s="10">
        <v>6.5267319810827695E-4</v>
      </c>
      <c r="H1787" s="10" t="s">
        <v>3588</v>
      </c>
      <c r="I1787" s="10" t="s">
        <v>18</v>
      </c>
    </row>
    <row r="1788" spans="1:9" x14ac:dyDescent="0.2">
      <c r="A1788" s="10" t="s">
        <v>3589</v>
      </c>
      <c r="B1788" s="10">
        <v>654.30848679684595</v>
      </c>
      <c r="C1788" s="10">
        <v>5.7883704391262603</v>
      </c>
      <c r="D1788" s="10">
        <v>0.318020843000832</v>
      </c>
      <c r="E1788" s="10">
        <v>18.201229782637601</v>
      </c>
      <c r="F1788" s="4">
        <v>5.0462099793034297E-74</v>
      </c>
      <c r="G1788" s="4">
        <v>2.8644600688766799E-71</v>
      </c>
      <c r="H1788" s="10" t="s">
        <v>3590</v>
      </c>
      <c r="I1788" s="10" t="s">
        <v>18</v>
      </c>
    </row>
    <row r="1789" spans="1:9" x14ac:dyDescent="0.2">
      <c r="A1789" s="10" t="s">
        <v>3591</v>
      </c>
      <c r="B1789" s="10">
        <v>1547.93407327604</v>
      </c>
      <c r="C1789" s="10">
        <v>1.05092561725151</v>
      </c>
      <c r="D1789" s="10">
        <v>0.18885787141888899</v>
      </c>
      <c r="E1789" s="10">
        <v>5.56463762593481</v>
      </c>
      <c r="F1789" s="4">
        <v>2.6269773286556299E-8</v>
      </c>
      <c r="G1789" s="4">
        <v>2.9492068922076602E-7</v>
      </c>
      <c r="H1789" s="10" t="s">
        <v>3592</v>
      </c>
      <c r="I1789" s="10" t="s">
        <v>18</v>
      </c>
    </row>
    <row r="1790" spans="1:9" x14ac:dyDescent="0.2">
      <c r="A1790" s="10" t="s">
        <v>3593</v>
      </c>
      <c r="B1790" s="10">
        <v>83.461413641128701</v>
      </c>
      <c r="C1790" s="10">
        <v>1.77903210733888</v>
      </c>
      <c r="D1790" s="10">
        <v>0.42115784029016101</v>
      </c>
      <c r="E1790" s="10">
        <v>4.2241457647166198</v>
      </c>
      <c r="F1790" s="4">
        <v>2.3984878146938899E-5</v>
      </c>
      <c r="G1790" s="10">
        <v>1.56868932997994E-4</v>
      </c>
      <c r="H1790" s="10" t="s">
        <v>3594</v>
      </c>
      <c r="I1790" s="10" t="s">
        <v>18</v>
      </c>
    </row>
    <row r="1791" spans="1:9" x14ac:dyDescent="0.2">
      <c r="A1791" s="10" t="s">
        <v>3595</v>
      </c>
      <c r="B1791" s="10">
        <v>4200.0985875954702</v>
      </c>
      <c r="C1791" s="10">
        <v>-2.4733965854662401</v>
      </c>
      <c r="D1791" s="10">
        <v>0.21738760244563701</v>
      </c>
      <c r="E1791" s="10">
        <v>-11.377818043164501</v>
      </c>
      <c r="F1791" s="4">
        <v>5.3932228110091202E-30</v>
      </c>
      <c r="G1791" s="4">
        <v>4.2105771327096103E-28</v>
      </c>
      <c r="H1791" s="10" t="s">
        <v>3596</v>
      </c>
      <c r="I1791" s="10" t="s">
        <v>18</v>
      </c>
    </row>
    <row r="1792" spans="1:9" x14ac:dyDescent="0.2">
      <c r="A1792" s="10" t="s">
        <v>3597</v>
      </c>
      <c r="B1792" s="10">
        <v>436.70044804585001</v>
      </c>
      <c r="C1792" s="10">
        <v>-1.0087314494276001</v>
      </c>
      <c r="D1792" s="10">
        <v>0.27807684731618698</v>
      </c>
      <c r="E1792" s="10">
        <v>-3.62752763907966</v>
      </c>
      <c r="F1792" s="10">
        <v>2.8614815164521202E-4</v>
      </c>
      <c r="G1792" s="10">
        <v>1.46083002515126E-3</v>
      </c>
      <c r="H1792" s="10" t="s">
        <v>3598</v>
      </c>
      <c r="I1792" s="10" t="s">
        <v>18</v>
      </c>
    </row>
    <row r="1793" spans="1:9" x14ac:dyDescent="0.2">
      <c r="A1793" s="10" t="s">
        <v>3599</v>
      </c>
      <c r="B1793" s="10">
        <v>383.37212197912402</v>
      </c>
      <c r="C1793" s="10">
        <v>-1.4299770931859701</v>
      </c>
      <c r="D1793" s="10">
        <v>0.28376590992533002</v>
      </c>
      <c r="E1793" s="10">
        <v>-5.0392842944462597</v>
      </c>
      <c r="F1793" s="4">
        <v>4.6727594285723999E-7</v>
      </c>
      <c r="G1793" s="4">
        <v>4.2439558716770699E-6</v>
      </c>
      <c r="H1793" s="10" t="s">
        <v>3600</v>
      </c>
      <c r="I1793" s="10" t="s">
        <v>18</v>
      </c>
    </row>
    <row r="1794" spans="1:9" x14ac:dyDescent="0.2">
      <c r="A1794" s="10" t="s">
        <v>3601</v>
      </c>
      <c r="B1794" s="10">
        <v>1034.84222001794</v>
      </c>
      <c r="C1794" s="10">
        <v>-1.3767161834475501</v>
      </c>
      <c r="D1794" s="10">
        <v>0.25079073048553702</v>
      </c>
      <c r="E1794" s="10">
        <v>-5.4895018678808096</v>
      </c>
      <c r="F1794" s="4">
        <v>4.0306885533445698E-8</v>
      </c>
      <c r="G1794" s="4">
        <v>4.38419844363192E-7</v>
      </c>
      <c r="H1794" s="10" t="s">
        <v>3602</v>
      </c>
      <c r="I1794" s="10" t="s">
        <v>18</v>
      </c>
    </row>
    <row r="1795" spans="1:9" x14ac:dyDescent="0.2">
      <c r="A1795" s="10" t="s">
        <v>3603</v>
      </c>
      <c r="B1795" s="10">
        <v>133.83669072018299</v>
      </c>
      <c r="C1795" s="10">
        <v>-1.95871557836348</v>
      </c>
      <c r="D1795" s="10">
        <v>0.34414608723127799</v>
      </c>
      <c r="E1795" s="10">
        <v>-5.6915236030190801</v>
      </c>
      <c r="F1795" s="4">
        <v>1.25910746580216E-8</v>
      </c>
      <c r="G1795" s="4">
        <v>1.4755656396004901E-7</v>
      </c>
      <c r="H1795" s="10" t="s">
        <v>3604</v>
      </c>
      <c r="I1795" s="10" t="s">
        <v>18</v>
      </c>
    </row>
    <row r="1796" spans="1:9" x14ac:dyDescent="0.2">
      <c r="A1796" s="10" t="s">
        <v>3605</v>
      </c>
      <c r="B1796" s="10">
        <v>4158.2942674304504</v>
      </c>
      <c r="C1796" s="10">
        <v>-1.43025709210778</v>
      </c>
      <c r="D1796" s="10">
        <v>0.215132327965807</v>
      </c>
      <c r="E1796" s="10">
        <v>-6.6482666999963804</v>
      </c>
      <c r="F1796" s="4">
        <v>2.9656458260389401E-11</v>
      </c>
      <c r="G1796" s="4">
        <v>4.9664998046762697E-10</v>
      </c>
      <c r="H1796" s="10" t="s">
        <v>3606</v>
      </c>
      <c r="I1796" s="10" t="s">
        <v>18</v>
      </c>
    </row>
    <row r="1797" spans="1:9" x14ac:dyDescent="0.2">
      <c r="A1797" s="10" t="s">
        <v>3607</v>
      </c>
      <c r="B1797" s="10">
        <v>692.38611847853997</v>
      </c>
      <c r="C1797" s="10">
        <v>5.5760929202004998</v>
      </c>
      <c r="D1797" s="10">
        <v>0.312564536367469</v>
      </c>
      <c r="E1797" s="10">
        <v>17.839813131087102</v>
      </c>
      <c r="F1797" s="4">
        <v>3.4685392279374599E-71</v>
      </c>
      <c r="G1797" s="4">
        <v>1.65802260251951E-68</v>
      </c>
      <c r="H1797" s="10" t="s">
        <v>3608</v>
      </c>
      <c r="I1797" s="10" t="s">
        <v>18</v>
      </c>
    </row>
    <row r="1798" spans="1:9" x14ac:dyDescent="0.2">
      <c r="A1798" s="10" t="s">
        <v>3609</v>
      </c>
      <c r="B1798" s="10">
        <v>11.490065169564501</v>
      </c>
      <c r="C1798" s="10">
        <v>2.9849874125199598</v>
      </c>
      <c r="D1798" s="10">
        <v>1.11110030214986</v>
      </c>
      <c r="E1798" s="10">
        <v>2.6865148058589599</v>
      </c>
      <c r="F1798" s="10">
        <v>7.2201748183616E-3</v>
      </c>
      <c r="G1798" s="10">
        <v>2.4197255275334398E-2</v>
      </c>
      <c r="H1798" s="10" t="s">
        <v>3610</v>
      </c>
      <c r="I1798" s="10" t="s">
        <v>18</v>
      </c>
    </row>
    <row r="1799" spans="1:9" x14ac:dyDescent="0.2">
      <c r="A1799" s="10" t="s">
        <v>3611</v>
      </c>
      <c r="B1799" s="10">
        <v>9.6508531790888092</v>
      </c>
      <c r="C1799" s="10">
        <v>6.6647636720749102</v>
      </c>
      <c r="D1799" s="10">
        <v>1.7793306056818099</v>
      </c>
      <c r="E1799" s="10">
        <v>3.7456578618907401</v>
      </c>
      <c r="F1799" s="10">
        <v>1.79921664435083E-4</v>
      </c>
      <c r="G1799" s="10">
        <v>9.6960553616746504E-4</v>
      </c>
      <c r="H1799" s="10" t="s">
        <v>3612</v>
      </c>
      <c r="I1799" s="10" t="s">
        <v>18</v>
      </c>
    </row>
    <row r="1800" spans="1:9" x14ac:dyDescent="0.2">
      <c r="A1800" s="10" t="s">
        <v>3613</v>
      </c>
      <c r="B1800" s="10">
        <v>25955.452606427199</v>
      </c>
      <c r="C1800" s="10">
        <v>2.4439714452902899</v>
      </c>
      <c r="D1800" s="10">
        <v>0.196687783748447</v>
      </c>
      <c r="E1800" s="10">
        <v>12.4256392477125</v>
      </c>
      <c r="F1800" s="4">
        <v>1.89703921816812E-35</v>
      </c>
      <c r="G1800" s="4">
        <v>2.0277629749103999E-33</v>
      </c>
      <c r="H1800" s="10" t="s">
        <v>3614</v>
      </c>
      <c r="I1800" s="10" t="s">
        <v>18</v>
      </c>
    </row>
    <row r="1801" spans="1:9" x14ac:dyDescent="0.2">
      <c r="A1801" s="10" t="s">
        <v>3615</v>
      </c>
      <c r="B1801" s="10">
        <v>845.36652574380798</v>
      </c>
      <c r="C1801" s="10">
        <v>1.4767963127193799</v>
      </c>
      <c r="D1801" s="10">
        <v>0.21040440957832501</v>
      </c>
      <c r="E1801" s="10">
        <v>7.0188467802507102</v>
      </c>
      <c r="F1801" s="4">
        <v>2.2370693458566199E-12</v>
      </c>
      <c r="G1801" s="4">
        <v>4.2387641492736702E-11</v>
      </c>
      <c r="H1801" s="10" t="s">
        <v>3616</v>
      </c>
      <c r="I1801" s="10" t="s">
        <v>18</v>
      </c>
    </row>
    <row r="1802" spans="1:9" x14ac:dyDescent="0.2">
      <c r="A1802" s="10" t="s">
        <v>3617</v>
      </c>
      <c r="B1802" s="10">
        <v>10.0674259130579</v>
      </c>
      <c r="C1802" s="10">
        <v>3.5841330022046498</v>
      </c>
      <c r="D1802" s="10">
        <v>1.2908965974904301</v>
      </c>
      <c r="E1802" s="10">
        <v>2.7764679287035099</v>
      </c>
      <c r="F1802" s="10">
        <v>5.4953056289175602E-3</v>
      </c>
      <c r="G1802" s="10">
        <v>1.92678667444495E-2</v>
      </c>
      <c r="H1802" s="10" t="s">
        <v>3618</v>
      </c>
      <c r="I1802" s="10" t="s">
        <v>18</v>
      </c>
    </row>
    <row r="1803" spans="1:9" x14ac:dyDescent="0.2">
      <c r="A1803" s="10" t="s">
        <v>3619</v>
      </c>
      <c r="B1803" s="10">
        <v>885.76850233105199</v>
      </c>
      <c r="C1803" s="10">
        <v>1.2724985196905101</v>
      </c>
      <c r="D1803" s="10">
        <v>0.219467898708673</v>
      </c>
      <c r="E1803" s="10">
        <v>5.7981077286371203</v>
      </c>
      <c r="F1803" s="4">
        <v>6.7067365745848001E-9</v>
      </c>
      <c r="G1803" s="4">
        <v>8.1579665824871504E-8</v>
      </c>
      <c r="H1803" s="10" t="s">
        <v>3620</v>
      </c>
      <c r="I1803" s="10" t="s">
        <v>18</v>
      </c>
    </row>
    <row r="1804" spans="1:9" x14ac:dyDescent="0.2">
      <c r="A1804" s="10" t="s">
        <v>3621</v>
      </c>
      <c r="B1804" s="10">
        <v>475.14371678146102</v>
      </c>
      <c r="C1804" s="10">
        <v>1.0697423618441699</v>
      </c>
      <c r="D1804" s="10">
        <v>0.240130981404131</v>
      </c>
      <c r="E1804" s="10">
        <v>4.4548285922499904</v>
      </c>
      <c r="F1804" s="4">
        <v>8.3960246428672592E-6</v>
      </c>
      <c r="G1804" s="4">
        <v>6.0648590520732803E-5</v>
      </c>
      <c r="H1804" s="10" t="s">
        <v>3622</v>
      </c>
      <c r="I1804" s="10" t="s">
        <v>18</v>
      </c>
    </row>
    <row r="1805" spans="1:9" x14ac:dyDescent="0.2">
      <c r="A1805" s="10" t="s">
        <v>3623</v>
      </c>
      <c r="B1805" s="10">
        <v>143.49710107362</v>
      </c>
      <c r="C1805" s="10">
        <v>5.6287604344223698</v>
      </c>
      <c r="D1805" s="10">
        <v>0.53560954982618503</v>
      </c>
      <c r="E1805" s="10">
        <v>10.509074075040299</v>
      </c>
      <c r="F1805" s="4">
        <v>7.84600705310755E-26</v>
      </c>
      <c r="G1805" s="4">
        <v>4.6881612757899397E-24</v>
      </c>
      <c r="H1805" s="10" t="s">
        <v>3624</v>
      </c>
      <c r="I1805" s="10" t="s">
        <v>18</v>
      </c>
    </row>
    <row r="1806" spans="1:9" x14ac:dyDescent="0.2">
      <c r="A1806" s="10" t="s">
        <v>3625</v>
      </c>
      <c r="B1806" s="10">
        <v>13.217091150591999</v>
      </c>
      <c r="C1806" s="10">
        <v>4.6218153510090003</v>
      </c>
      <c r="D1806" s="10">
        <v>1.33274451425642</v>
      </c>
      <c r="E1806" s="10">
        <v>3.4678929844161801</v>
      </c>
      <c r="F1806" s="10">
        <v>5.2455613769112404E-4</v>
      </c>
      <c r="G1806" s="10">
        <v>2.4995769646152599E-3</v>
      </c>
      <c r="H1806" s="10" t="s">
        <v>3626</v>
      </c>
      <c r="I1806" s="10" t="s">
        <v>18</v>
      </c>
    </row>
    <row r="1807" spans="1:9" x14ac:dyDescent="0.2">
      <c r="A1807" s="10" t="s">
        <v>3627</v>
      </c>
      <c r="B1807" s="10">
        <v>12.9519483212508</v>
      </c>
      <c r="C1807" s="10">
        <v>2.6317782082060499</v>
      </c>
      <c r="D1807" s="10">
        <v>1.0250310299426599</v>
      </c>
      <c r="E1807" s="10">
        <v>2.5675107692625301</v>
      </c>
      <c r="F1807" s="10">
        <v>1.02431607616193E-2</v>
      </c>
      <c r="G1807" s="10">
        <v>3.2468055057217601E-2</v>
      </c>
      <c r="H1807" s="10" t="s">
        <v>3628</v>
      </c>
      <c r="I1807" s="10" t="s">
        <v>18</v>
      </c>
    </row>
    <row r="1808" spans="1:9" x14ac:dyDescent="0.2">
      <c r="A1808" s="10" t="s">
        <v>3629</v>
      </c>
      <c r="B1808" s="10">
        <v>1066.7783070707301</v>
      </c>
      <c r="C1808" s="10">
        <v>1.2443056132588901</v>
      </c>
      <c r="D1808" s="10">
        <v>0.19519540969614199</v>
      </c>
      <c r="E1808" s="10">
        <v>6.37466636738987</v>
      </c>
      <c r="F1808" s="4">
        <v>1.8336167430768001E-10</v>
      </c>
      <c r="G1808" s="4">
        <v>2.74508546146229E-9</v>
      </c>
      <c r="H1808" s="10" t="s">
        <v>3630</v>
      </c>
      <c r="I1808" s="10" t="s">
        <v>18</v>
      </c>
    </row>
    <row r="1809" spans="1:9" x14ac:dyDescent="0.2">
      <c r="A1809" s="10" t="s">
        <v>3631</v>
      </c>
      <c r="B1809" s="10">
        <v>20.627194133778101</v>
      </c>
      <c r="C1809" s="10">
        <v>6.2975692922422901</v>
      </c>
      <c r="D1809" s="10">
        <v>1.6108530841543001</v>
      </c>
      <c r="E1809" s="10">
        <v>3.9094622310317702</v>
      </c>
      <c r="F1809" s="4">
        <v>9.2501816102624797E-5</v>
      </c>
      <c r="G1809" s="10">
        <v>5.3432202318172905E-4</v>
      </c>
      <c r="H1809" s="10" t="s">
        <v>3632</v>
      </c>
      <c r="I1809" s="10" t="s">
        <v>18</v>
      </c>
    </row>
    <row r="1810" spans="1:9" x14ac:dyDescent="0.2">
      <c r="A1810" s="10" t="s">
        <v>3633</v>
      </c>
      <c r="B1810" s="10">
        <v>86.944002889694602</v>
      </c>
      <c r="C1810" s="10">
        <v>1.3679821838375601</v>
      </c>
      <c r="D1810" s="10">
        <v>0.39959506419233898</v>
      </c>
      <c r="E1810" s="10">
        <v>3.42342112408851</v>
      </c>
      <c r="F1810" s="10">
        <v>6.1838195041064004E-4</v>
      </c>
      <c r="G1810" s="10">
        <v>2.89006054937199E-3</v>
      </c>
      <c r="H1810" s="10" t="s">
        <v>3634</v>
      </c>
      <c r="I1810" s="10" t="s">
        <v>18</v>
      </c>
    </row>
    <row r="1811" spans="1:9" x14ac:dyDescent="0.2">
      <c r="A1811" s="10" t="s">
        <v>3635</v>
      </c>
      <c r="B1811" s="10">
        <v>6.3473426812615497</v>
      </c>
      <c r="C1811" s="10">
        <v>6.0588050892948804</v>
      </c>
      <c r="D1811" s="10">
        <v>1.9387374818076699</v>
      </c>
      <c r="E1811" s="10">
        <v>3.1251291864670998</v>
      </c>
      <c r="F1811" s="10">
        <v>1.7772698861429101E-3</v>
      </c>
      <c r="G1811" s="10">
        <v>7.2830910795211199E-3</v>
      </c>
      <c r="H1811" s="10" t="s">
        <v>3636</v>
      </c>
      <c r="I1811" s="10" t="s">
        <v>18</v>
      </c>
    </row>
    <row r="1812" spans="1:9" x14ac:dyDescent="0.2">
      <c r="A1812" s="10" t="s">
        <v>3637</v>
      </c>
      <c r="B1812" s="10">
        <v>14.9981031263261</v>
      </c>
      <c r="C1812" s="10">
        <v>3.1066619967460798</v>
      </c>
      <c r="D1812" s="10">
        <v>1.0256223326152201</v>
      </c>
      <c r="E1812" s="10">
        <v>3.0290506533964101</v>
      </c>
      <c r="F1812" s="10">
        <v>2.45323546808561E-3</v>
      </c>
      <c r="G1812" s="10">
        <v>9.6025437148295496E-3</v>
      </c>
      <c r="H1812" s="10" t="s">
        <v>3638</v>
      </c>
      <c r="I1812" s="10" t="s">
        <v>18</v>
      </c>
    </row>
    <row r="1813" spans="1:9" x14ac:dyDescent="0.2">
      <c r="A1813" s="10" t="s">
        <v>3639</v>
      </c>
      <c r="B1813" s="10">
        <v>5.7977595284146304</v>
      </c>
      <c r="C1813" s="10">
        <v>5.9294163547480299</v>
      </c>
      <c r="D1813" s="10">
        <v>1.9670536146389099</v>
      </c>
      <c r="E1813" s="10">
        <v>3.0143643826589299</v>
      </c>
      <c r="F1813" s="10">
        <v>2.5751831268762998E-3</v>
      </c>
      <c r="G1813" s="10">
        <v>1.00280141000427E-2</v>
      </c>
      <c r="H1813" s="10" t="s">
        <v>3640</v>
      </c>
      <c r="I1813" s="10" t="s">
        <v>18</v>
      </c>
    </row>
    <row r="1814" spans="1:9" x14ac:dyDescent="0.2">
      <c r="A1814" s="10" t="s">
        <v>3641</v>
      </c>
      <c r="B1814" s="10">
        <v>44.915405733210299</v>
      </c>
      <c r="C1814" s="10">
        <v>3.5159199699620198</v>
      </c>
      <c r="D1814" s="10">
        <v>0.64365039470054197</v>
      </c>
      <c r="E1814" s="10">
        <v>5.4624684439101499</v>
      </c>
      <c r="F1814" s="4">
        <v>4.6955902184896402E-8</v>
      </c>
      <c r="G1814" s="4">
        <v>5.05494850585489E-7</v>
      </c>
      <c r="H1814" s="10" t="s">
        <v>3642</v>
      </c>
      <c r="I1814" s="10" t="s">
        <v>18</v>
      </c>
    </row>
    <row r="1815" spans="1:9" x14ac:dyDescent="0.2">
      <c r="A1815" s="10" t="s">
        <v>3643</v>
      </c>
      <c r="B1815" s="10">
        <v>3901.65037002603</v>
      </c>
      <c r="C1815" s="10">
        <v>-1.81395445918905</v>
      </c>
      <c r="D1815" s="10">
        <v>0.175929777401127</v>
      </c>
      <c r="E1815" s="10">
        <v>-10.310673303775999</v>
      </c>
      <c r="F1815" s="4">
        <v>6.3057978416595401E-25</v>
      </c>
      <c r="G1815" s="4">
        <v>3.4992683053298901E-23</v>
      </c>
      <c r="H1815" s="10" t="s">
        <v>3644</v>
      </c>
      <c r="I1815" s="10" t="s">
        <v>18</v>
      </c>
    </row>
    <row r="1816" spans="1:9" x14ac:dyDescent="0.2">
      <c r="A1816" s="10" t="s">
        <v>3645</v>
      </c>
      <c r="B1816" s="10">
        <v>560.276755271056</v>
      </c>
      <c r="C1816" s="10">
        <v>-1.27326938153036</v>
      </c>
      <c r="D1816" s="10">
        <v>0.217762078334475</v>
      </c>
      <c r="E1816" s="10">
        <v>-5.8470666300982996</v>
      </c>
      <c r="F1816" s="4">
        <v>5.0031713894095101E-9</v>
      </c>
      <c r="G1816" s="4">
        <v>6.2133733294093495E-8</v>
      </c>
      <c r="H1816" s="10" t="s">
        <v>3646</v>
      </c>
      <c r="I1816" s="10" t="s">
        <v>18</v>
      </c>
    </row>
    <row r="1817" spans="1:9" x14ac:dyDescent="0.2">
      <c r="A1817" s="10" t="s">
        <v>3647</v>
      </c>
      <c r="B1817" s="10">
        <v>10.194760549114999</v>
      </c>
      <c r="C1817" s="10">
        <v>4.2347095819912104</v>
      </c>
      <c r="D1817" s="10">
        <v>1.4392756876860899</v>
      </c>
      <c r="E1817" s="10">
        <v>2.9422504793361099</v>
      </c>
      <c r="F1817" s="10">
        <v>3.2583625528913502E-3</v>
      </c>
      <c r="G1817" s="10">
        <v>1.22992976762408E-2</v>
      </c>
      <c r="H1817" s="10" t="s">
        <v>3648</v>
      </c>
      <c r="I1817" s="10" t="s">
        <v>18</v>
      </c>
    </row>
    <row r="1818" spans="1:9" x14ac:dyDescent="0.2">
      <c r="A1818" s="10" t="s">
        <v>3649</v>
      </c>
      <c r="B1818" s="10">
        <v>6.0544320524347199</v>
      </c>
      <c r="C1818" s="10">
        <v>5.9916019353454102</v>
      </c>
      <c r="D1818" s="10">
        <v>1.95008244803396</v>
      </c>
      <c r="E1818" s="10">
        <v>3.07248646916752</v>
      </c>
      <c r="F1818" s="10">
        <v>2.1228345712561102E-3</v>
      </c>
      <c r="G1818" s="10">
        <v>8.4947677431363201E-3</v>
      </c>
      <c r="H1818" s="10" t="s">
        <v>3650</v>
      </c>
      <c r="I1818" s="10" t="s">
        <v>18</v>
      </c>
    </row>
    <row r="1819" spans="1:9" x14ac:dyDescent="0.2">
      <c r="A1819" s="10" t="s">
        <v>3651</v>
      </c>
      <c r="B1819" s="10">
        <v>3072.2308632538102</v>
      </c>
      <c r="C1819" s="10">
        <v>-1.5560110698308001</v>
      </c>
      <c r="D1819" s="10">
        <v>0.19510794501235401</v>
      </c>
      <c r="E1819" s="10">
        <v>-7.9751292021053999</v>
      </c>
      <c r="F1819" s="4">
        <v>1.52221495445791E-15</v>
      </c>
      <c r="G1819" s="4">
        <v>3.99574093103224E-14</v>
      </c>
      <c r="H1819" s="10" t="s">
        <v>3652</v>
      </c>
      <c r="I1819" s="10" t="s">
        <v>18</v>
      </c>
    </row>
    <row r="1820" spans="1:9" x14ac:dyDescent="0.2">
      <c r="A1820" s="10" t="s">
        <v>3653</v>
      </c>
      <c r="B1820" s="10">
        <v>15.0863183972561</v>
      </c>
      <c r="C1820" s="10">
        <v>3.7634934296946398</v>
      </c>
      <c r="D1820" s="10">
        <v>1.0901101234261501</v>
      </c>
      <c r="E1820" s="10">
        <v>3.4523974677587601</v>
      </c>
      <c r="F1820" s="10">
        <v>5.5562859907099199E-4</v>
      </c>
      <c r="G1820" s="10">
        <v>2.6301619942472802E-3</v>
      </c>
      <c r="H1820" s="10" t="s">
        <v>3654</v>
      </c>
      <c r="I1820" s="10" t="s">
        <v>18</v>
      </c>
    </row>
    <row r="1821" spans="1:9" x14ac:dyDescent="0.2">
      <c r="A1821" s="10" t="s">
        <v>3655</v>
      </c>
      <c r="B1821" s="10">
        <v>1140.93412611747</v>
      </c>
      <c r="C1821" s="10">
        <v>-1.7252190611951499</v>
      </c>
      <c r="D1821" s="10">
        <v>0.19958199104678401</v>
      </c>
      <c r="E1821" s="10">
        <v>-8.6441619915032408</v>
      </c>
      <c r="F1821" s="4">
        <v>5.4201613181424096E-18</v>
      </c>
      <c r="G1821" s="4">
        <v>1.7560420384711799E-16</v>
      </c>
      <c r="H1821" s="10" t="s">
        <v>3656</v>
      </c>
      <c r="I1821" s="10" t="s">
        <v>18</v>
      </c>
    </row>
    <row r="1822" spans="1:9" x14ac:dyDescent="0.2">
      <c r="A1822" s="10" t="s">
        <v>3657</v>
      </c>
      <c r="B1822" s="10">
        <v>14.9837457703117</v>
      </c>
      <c r="C1822" s="10">
        <v>2.2601401070516198</v>
      </c>
      <c r="D1822" s="10">
        <v>0.93727791969806995</v>
      </c>
      <c r="E1822" s="10">
        <v>2.4113873372581902</v>
      </c>
      <c r="F1822" s="10">
        <v>1.58919608854656E-2</v>
      </c>
      <c r="G1822" s="10">
        <v>4.6715746924833601E-2</v>
      </c>
      <c r="H1822" s="10" t="s">
        <v>3658</v>
      </c>
      <c r="I1822" s="10" t="s">
        <v>18</v>
      </c>
    </row>
    <row r="1823" spans="1:9" x14ac:dyDescent="0.2">
      <c r="A1823" s="10" t="s">
        <v>3659</v>
      </c>
      <c r="B1823" s="10">
        <v>6.1269082620482003</v>
      </c>
      <c r="C1823" s="10">
        <v>6.0073657383146903</v>
      </c>
      <c r="D1823" s="10">
        <v>1.9588820874050299</v>
      </c>
      <c r="E1823" s="10">
        <v>3.0667316715692401</v>
      </c>
      <c r="F1823" s="10">
        <v>2.1641303174908802E-3</v>
      </c>
      <c r="G1823" s="10">
        <v>8.6245515226962E-3</v>
      </c>
      <c r="H1823" s="10" t="s">
        <v>3660</v>
      </c>
      <c r="I1823" s="10" t="s">
        <v>18</v>
      </c>
    </row>
    <row r="1824" spans="1:9" x14ac:dyDescent="0.2">
      <c r="A1824" s="10" t="s">
        <v>3661</v>
      </c>
      <c r="B1824" s="10">
        <v>18.390040162955898</v>
      </c>
      <c r="C1824" s="10">
        <v>3.1978723507131699</v>
      </c>
      <c r="D1824" s="10">
        <v>0.91429789483458601</v>
      </c>
      <c r="E1824" s="10">
        <v>3.4976262865526202</v>
      </c>
      <c r="F1824" s="10">
        <v>4.6941840921721701E-4</v>
      </c>
      <c r="G1824" s="10">
        <v>2.2645615077800099E-3</v>
      </c>
      <c r="H1824" s="10" t="s">
        <v>3662</v>
      </c>
      <c r="I1824" s="10" t="s">
        <v>18</v>
      </c>
    </row>
    <row r="1825" spans="1:9" x14ac:dyDescent="0.2">
      <c r="A1825" s="10" t="s">
        <v>3663</v>
      </c>
      <c r="B1825" s="10">
        <v>9935.3223890336794</v>
      </c>
      <c r="C1825" s="10">
        <v>-1.2117759621630599</v>
      </c>
      <c r="D1825" s="10">
        <v>0.204664937568688</v>
      </c>
      <c r="E1825" s="10">
        <v>-5.9207794777079297</v>
      </c>
      <c r="F1825" s="4">
        <v>3.2041927395265E-9</v>
      </c>
      <c r="G1825" s="4">
        <v>4.0758468521885398E-8</v>
      </c>
      <c r="H1825" s="10" t="s">
        <v>3664</v>
      </c>
      <c r="I1825" s="10" t="s">
        <v>18</v>
      </c>
    </row>
    <row r="1826" spans="1:9" x14ac:dyDescent="0.2">
      <c r="A1826" s="10" t="s">
        <v>3665</v>
      </c>
      <c r="B1826" s="10">
        <v>3.7806174410606901</v>
      </c>
      <c r="C1826" s="10">
        <v>5.3154478000652503</v>
      </c>
      <c r="D1826" s="10">
        <v>2.1865395084011801</v>
      </c>
      <c r="E1826" s="10">
        <v>2.43098639637752</v>
      </c>
      <c r="F1826" s="10">
        <v>1.5057779905063901E-2</v>
      </c>
      <c r="G1826" s="10">
        <v>4.4683002512881202E-2</v>
      </c>
      <c r="H1826" s="10" t="s">
        <v>3666</v>
      </c>
      <c r="I1826" s="10" t="s">
        <v>18</v>
      </c>
    </row>
    <row r="1827" spans="1:9" x14ac:dyDescent="0.2">
      <c r="A1827" s="10" t="s">
        <v>3667</v>
      </c>
      <c r="B1827" s="10">
        <v>47.332049837161001</v>
      </c>
      <c r="C1827" s="10">
        <v>2.9569425544863099</v>
      </c>
      <c r="D1827" s="10">
        <v>0.59021127091214298</v>
      </c>
      <c r="E1827" s="10">
        <v>5.0099730388348904</v>
      </c>
      <c r="F1827" s="4">
        <v>5.4437661347994804E-7</v>
      </c>
      <c r="G1827" s="4">
        <v>4.88075998272068E-6</v>
      </c>
      <c r="H1827" s="10" t="s">
        <v>3668</v>
      </c>
      <c r="I1827" s="10" t="s">
        <v>18</v>
      </c>
    </row>
    <row r="1828" spans="1:9" x14ac:dyDescent="0.2">
      <c r="A1828" s="10" t="s">
        <v>3669</v>
      </c>
      <c r="B1828" s="10">
        <v>267.61707243111198</v>
      </c>
      <c r="C1828" s="10">
        <v>2.5090423817892198</v>
      </c>
      <c r="D1828" s="10">
        <v>0.29872689949793102</v>
      </c>
      <c r="E1828" s="10">
        <v>8.3991176757304409</v>
      </c>
      <c r="F1828" s="4">
        <v>4.4984584241916503E-17</v>
      </c>
      <c r="G1828" s="4">
        <v>1.3469175459774699E-15</v>
      </c>
      <c r="H1828" s="10" t="s">
        <v>3670</v>
      </c>
      <c r="I1828" s="10" t="s">
        <v>18</v>
      </c>
    </row>
    <row r="1829" spans="1:9" x14ac:dyDescent="0.2">
      <c r="A1829" s="10" t="s">
        <v>3671</v>
      </c>
      <c r="B1829" s="10">
        <v>671.76214208358897</v>
      </c>
      <c r="C1829" s="10">
        <v>1.05696499934098</v>
      </c>
      <c r="D1829" s="10">
        <v>0.22468586460691101</v>
      </c>
      <c r="E1829" s="10">
        <v>4.7041900085265702</v>
      </c>
      <c r="F1829" s="4">
        <v>2.5487579846024002E-6</v>
      </c>
      <c r="G1829" s="4">
        <v>2.0270288618348399E-5</v>
      </c>
      <c r="H1829" s="10" t="s">
        <v>3672</v>
      </c>
      <c r="I1829" s="10" t="s">
        <v>18</v>
      </c>
    </row>
    <row r="1830" spans="1:9" x14ac:dyDescent="0.2">
      <c r="A1830" s="10" t="s">
        <v>3673</v>
      </c>
      <c r="B1830" s="10">
        <v>1196.66991508046</v>
      </c>
      <c r="C1830" s="10">
        <v>-2.17152151831674</v>
      </c>
      <c r="D1830" s="10">
        <v>0.22651027351519101</v>
      </c>
      <c r="E1830" s="10">
        <v>-9.5868566339932499</v>
      </c>
      <c r="F1830" s="4">
        <v>9.0809454072963302E-22</v>
      </c>
      <c r="G1830" s="4">
        <v>4.0562052379115299E-20</v>
      </c>
      <c r="H1830" s="10" t="s">
        <v>3674</v>
      </c>
      <c r="I1830" s="10" t="s">
        <v>18</v>
      </c>
    </row>
    <row r="1831" spans="1:9" x14ac:dyDescent="0.2">
      <c r="A1831" s="10" t="s">
        <v>3675</v>
      </c>
      <c r="B1831" s="10">
        <v>658.09952325959296</v>
      </c>
      <c r="C1831" s="10">
        <v>-1.09687364725065</v>
      </c>
      <c r="D1831" s="10">
        <v>0.22448830839419301</v>
      </c>
      <c r="E1831" s="10">
        <v>-4.8861058961011699</v>
      </c>
      <c r="F1831" s="4">
        <v>1.0284989421209899E-6</v>
      </c>
      <c r="G1831" s="4">
        <v>8.8041189682596794E-6</v>
      </c>
      <c r="H1831" s="10" t="s">
        <v>3676</v>
      </c>
      <c r="I1831" s="10" t="s">
        <v>18</v>
      </c>
    </row>
    <row r="1832" spans="1:9" x14ac:dyDescent="0.2">
      <c r="A1832" s="10" t="s">
        <v>3677</v>
      </c>
      <c r="B1832" s="10">
        <v>2127.6726893988698</v>
      </c>
      <c r="C1832" s="10">
        <v>1.5065760907578101</v>
      </c>
      <c r="D1832" s="10">
        <v>0.18027307227307501</v>
      </c>
      <c r="E1832" s="10">
        <v>8.3571887457249492</v>
      </c>
      <c r="F1832" s="4">
        <v>6.4230491333537099E-17</v>
      </c>
      <c r="G1832" s="4">
        <v>1.9002043402441801E-15</v>
      </c>
      <c r="H1832" s="10" t="s">
        <v>3678</v>
      </c>
      <c r="I1832" s="10" t="s">
        <v>18</v>
      </c>
    </row>
    <row r="1833" spans="1:9" x14ac:dyDescent="0.2">
      <c r="A1833" s="10" t="s">
        <v>3679</v>
      </c>
      <c r="B1833" s="10">
        <v>5.2119382707609798</v>
      </c>
      <c r="C1833" s="10">
        <v>5.7782987852918604</v>
      </c>
      <c r="D1833" s="10">
        <v>2.0098581009298102</v>
      </c>
      <c r="E1833" s="10">
        <v>2.8749784786392101</v>
      </c>
      <c r="F1833" s="10">
        <v>4.0405503809231398E-3</v>
      </c>
      <c r="G1833" s="10">
        <v>1.47775672790621E-2</v>
      </c>
      <c r="H1833" s="10" t="s">
        <v>3680</v>
      </c>
      <c r="I1833" s="10" t="s">
        <v>18</v>
      </c>
    </row>
    <row r="1834" spans="1:9" x14ac:dyDescent="0.2">
      <c r="A1834" s="10" t="s">
        <v>3681</v>
      </c>
      <c r="B1834" s="10">
        <v>23.317917277046199</v>
      </c>
      <c r="C1834" s="10">
        <v>3.81482980244648</v>
      </c>
      <c r="D1834" s="10">
        <v>0.88528905210029896</v>
      </c>
      <c r="E1834" s="10">
        <v>4.30913473220527</v>
      </c>
      <c r="F1834" s="4">
        <v>1.63894504455315E-5</v>
      </c>
      <c r="G1834" s="10">
        <v>1.10974989137524E-4</v>
      </c>
      <c r="H1834" s="10" t="s">
        <v>3682</v>
      </c>
      <c r="I1834" s="10" t="s">
        <v>18</v>
      </c>
    </row>
    <row r="1835" spans="1:9" x14ac:dyDescent="0.2">
      <c r="A1835" s="10" t="s">
        <v>3683</v>
      </c>
      <c r="B1835" s="10">
        <v>8.7447760288677792</v>
      </c>
      <c r="C1835" s="10">
        <v>5.0397424964492696</v>
      </c>
      <c r="D1835" s="10">
        <v>1.8099089952572101</v>
      </c>
      <c r="E1835" s="10">
        <v>2.7845281224943901</v>
      </c>
      <c r="F1835" s="10">
        <v>5.3605672301345201E-3</v>
      </c>
      <c r="G1835" s="10">
        <v>1.8826936751672501E-2</v>
      </c>
      <c r="H1835" s="10" t="s">
        <v>3684</v>
      </c>
      <c r="I1835" s="10" t="s">
        <v>18</v>
      </c>
    </row>
    <row r="1836" spans="1:9" x14ac:dyDescent="0.2">
      <c r="A1836" s="10" t="s">
        <v>3685</v>
      </c>
      <c r="B1836" s="10">
        <v>241.72460477791199</v>
      </c>
      <c r="C1836" s="10">
        <v>6.1522914930114698</v>
      </c>
      <c r="D1836" s="10">
        <v>0.48753263597835</v>
      </c>
      <c r="E1836" s="10">
        <v>12.619240311298199</v>
      </c>
      <c r="F1836" s="4">
        <v>1.6540922297031499E-36</v>
      </c>
      <c r="G1836" s="4">
        <v>1.9016477207899399E-34</v>
      </c>
      <c r="H1836" s="10" t="s">
        <v>3686</v>
      </c>
      <c r="I1836" s="10" t="s">
        <v>18</v>
      </c>
    </row>
    <row r="1837" spans="1:9" x14ac:dyDescent="0.2">
      <c r="A1837" s="10" t="s">
        <v>3687</v>
      </c>
      <c r="B1837" s="10">
        <v>975.758204970257</v>
      </c>
      <c r="C1837" s="10">
        <v>3.5009745529199501</v>
      </c>
      <c r="D1837" s="10">
        <v>0.21151833696306999</v>
      </c>
      <c r="E1837" s="10">
        <v>16.551636152146902</v>
      </c>
      <c r="F1837" s="4">
        <v>1.5581001373564099E-61</v>
      </c>
      <c r="G1837" s="4">
        <v>4.8242675502897802E-59</v>
      </c>
      <c r="H1837" s="10" t="s">
        <v>3688</v>
      </c>
      <c r="I1837" s="10" t="s">
        <v>18</v>
      </c>
    </row>
    <row r="1838" spans="1:9" x14ac:dyDescent="0.2">
      <c r="A1838" s="10" t="s">
        <v>3689</v>
      </c>
      <c r="B1838" s="10">
        <v>19.685090146622901</v>
      </c>
      <c r="C1838" s="10">
        <v>3.8317221835585298</v>
      </c>
      <c r="D1838" s="10">
        <v>0.95835412985091495</v>
      </c>
      <c r="E1838" s="10">
        <v>3.99823203574508</v>
      </c>
      <c r="F1838" s="4">
        <v>6.3817374731747899E-5</v>
      </c>
      <c r="G1838" s="10">
        <v>3.81657596425798E-4</v>
      </c>
      <c r="H1838" s="10" t="s">
        <v>3690</v>
      </c>
      <c r="I1838" s="10" t="s">
        <v>18</v>
      </c>
    </row>
    <row r="1839" spans="1:9" x14ac:dyDescent="0.2">
      <c r="A1839" s="10" t="s">
        <v>3691</v>
      </c>
      <c r="B1839" s="10">
        <v>24.9300494639451</v>
      </c>
      <c r="C1839" s="10">
        <v>5.5577399173901698</v>
      </c>
      <c r="D1839" s="10">
        <v>1.21161560221249</v>
      </c>
      <c r="E1839" s="10">
        <v>4.5870488191480803</v>
      </c>
      <c r="F1839" s="4">
        <v>4.49555586639666E-6</v>
      </c>
      <c r="G1839" s="4">
        <v>3.42726386938192E-5</v>
      </c>
      <c r="H1839" s="10" t="s">
        <v>3692</v>
      </c>
      <c r="I1839" s="10" t="s">
        <v>18</v>
      </c>
    </row>
    <row r="1840" spans="1:9" x14ac:dyDescent="0.2">
      <c r="A1840" s="10" t="s">
        <v>3693</v>
      </c>
      <c r="B1840" s="10">
        <v>45.131409287838601</v>
      </c>
      <c r="C1840" s="10">
        <v>4.0370087187561099</v>
      </c>
      <c r="D1840" s="10">
        <v>0.68309708061570695</v>
      </c>
      <c r="E1840" s="10">
        <v>5.9098608870021296</v>
      </c>
      <c r="F1840" s="4">
        <v>3.4239676300464901E-9</v>
      </c>
      <c r="G1840" s="4">
        <v>4.34122131297705E-8</v>
      </c>
      <c r="H1840" s="10" t="s">
        <v>3694</v>
      </c>
      <c r="I1840" s="10" t="s">
        <v>18</v>
      </c>
    </row>
    <row r="1841" spans="1:9" x14ac:dyDescent="0.2">
      <c r="A1841" s="10" t="s">
        <v>3695</v>
      </c>
      <c r="B1841" s="10">
        <v>8139.6075917281196</v>
      </c>
      <c r="C1841" s="10">
        <v>-1.19582111382685</v>
      </c>
      <c r="D1841" s="10">
        <v>0.176815306418561</v>
      </c>
      <c r="E1841" s="10">
        <v>-6.7631085681918996</v>
      </c>
      <c r="F1841" s="4">
        <v>1.3506194768146899E-11</v>
      </c>
      <c r="G1841" s="4">
        <v>2.3394996112377602E-10</v>
      </c>
      <c r="H1841" s="10" t="s">
        <v>3696</v>
      </c>
      <c r="I1841" s="10" t="s">
        <v>18</v>
      </c>
    </row>
    <row r="1842" spans="1:9" x14ac:dyDescent="0.2">
      <c r="A1842" s="10" t="s">
        <v>3697</v>
      </c>
      <c r="B1842" s="10">
        <v>252.10504625066</v>
      </c>
      <c r="C1842" s="10">
        <v>-1.9457362199894399</v>
      </c>
      <c r="D1842" s="10">
        <v>0.27533519475358198</v>
      </c>
      <c r="E1842" s="10">
        <v>-7.0667907956003404</v>
      </c>
      <c r="F1842" s="4">
        <v>1.5855771035528699E-12</v>
      </c>
      <c r="G1842" s="4">
        <v>3.0727040782720602E-11</v>
      </c>
      <c r="H1842" s="10" t="s">
        <v>3698</v>
      </c>
      <c r="I1842" s="10" t="s">
        <v>18</v>
      </c>
    </row>
    <row r="1843" spans="1:9" x14ac:dyDescent="0.2">
      <c r="A1843" s="10" t="s">
        <v>3699</v>
      </c>
      <c r="B1843" s="10">
        <v>1010.91220073932</v>
      </c>
      <c r="C1843" s="10">
        <v>-1.1043807100273999</v>
      </c>
      <c r="D1843" s="10">
        <v>0.19891720305102301</v>
      </c>
      <c r="E1843" s="10">
        <v>-5.5519617865535604</v>
      </c>
      <c r="F1843" s="4">
        <v>2.8248135416426499E-8</v>
      </c>
      <c r="G1843" s="4">
        <v>3.1557070344049702E-7</v>
      </c>
      <c r="H1843" s="10" t="s">
        <v>3700</v>
      </c>
      <c r="I1843" s="10" t="s">
        <v>18</v>
      </c>
    </row>
    <row r="1844" spans="1:9" x14ac:dyDescent="0.2">
      <c r="A1844" s="10" t="s">
        <v>3701</v>
      </c>
      <c r="B1844" s="10">
        <v>615.55917409654398</v>
      </c>
      <c r="C1844" s="10">
        <v>-1.61002741657689</v>
      </c>
      <c r="D1844" s="10">
        <v>0.213970856462016</v>
      </c>
      <c r="E1844" s="10">
        <v>-7.5245173253895796</v>
      </c>
      <c r="F1844" s="4">
        <v>5.2915436773443797E-14</v>
      </c>
      <c r="G1844" s="4">
        <v>1.2065162391347501E-12</v>
      </c>
      <c r="H1844" s="10" t="s">
        <v>3702</v>
      </c>
      <c r="I1844" s="10" t="s">
        <v>18</v>
      </c>
    </row>
    <row r="1845" spans="1:9" x14ac:dyDescent="0.2">
      <c r="A1845" s="10" t="s">
        <v>3703</v>
      </c>
      <c r="B1845" s="10">
        <v>241.41715424317999</v>
      </c>
      <c r="C1845" s="10">
        <v>-1.11314920737277</v>
      </c>
      <c r="D1845" s="10">
        <v>0.28201905256221099</v>
      </c>
      <c r="E1845" s="10">
        <v>-3.9470709416954</v>
      </c>
      <c r="F1845" s="4">
        <v>7.9113120819225799E-5</v>
      </c>
      <c r="G1845" s="10">
        <v>4.6416778702873502E-4</v>
      </c>
      <c r="H1845" s="10" t="s">
        <v>3704</v>
      </c>
      <c r="I1845" s="10" t="s">
        <v>18</v>
      </c>
    </row>
    <row r="1846" spans="1:9" x14ac:dyDescent="0.2">
      <c r="A1846" s="10" t="s">
        <v>3705</v>
      </c>
      <c r="B1846" s="10">
        <v>10825.423656798201</v>
      </c>
      <c r="C1846" s="10">
        <v>-1.1377377910120201</v>
      </c>
      <c r="D1846" s="10">
        <v>0.177116246521582</v>
      </c>
      <c r="E1846" s="10">
        <v>-6.4236783093378298</v>
      </c>
      <c r="F1846" s="4">
        <v>1.33020161882147E-10</v>
      </c>
      <c r="G1846" s="4">
        <v>2.0338946974202302E-9</v>
      </c>
      <c r="H1846" s="10" t="s">
        <v>3706</v>
      </c>
      <c r="I1846" s="10" t="s">
        <v>18</v>
      </c>
    </row>
    <row r="1847" spans="1:9" x14ac:dyDescent="0.2">
      <c r="A1847" s="10" t="s">
        <v>3707</v>
      </c>
      <c r="B1847" s="10">
        <v>494.74544559721397</v>
      </c>
      <c r="C1847" s="10">
        <v>-1.21276600587258</v>
      </c>
      <c r="D1847" s="10">
        <v>0.22713747069691601</v>
      </c>
      <c r="E1847" s="10">
        <v>-5.3393480263362001</v>
      </c>
      <c r="F1847" s="4">
        <v>9.3281425448477694E-8</v>
      </c>
      <c r="G1847" s="4">
        <v>9.4979035844344998E-7</v>
      </c>
      <c r="H1847" s="10" t="s">
        <v>3708</v>
      </c>
      <c r="I1847" s="10" t="s">
        <v>18</v>
      </c>
    </row>
    <row r="1848" spans="1:9" x14ac:dyDescent="0.2">
      <c r="A1848" s="10" t="s">
        <v>3709</v>
      </c>
      <c r="B1848" s="10">
        <v>6.9088244655475402</v>
      </c>
      <c r="C1848" s="10">
        <v>4.6874297279135</v>
      </c>
      <c r="D1848" s="10">
        <v>1.8870614164122901</v>
      </c>
      <c r="E1848" s="10">
        <v>2.4839836621879998</v>
      </c>
      <c r="F1848" s="10">
        <v>1.2992176859937501E-2</v>
      </c>
      <c r="G1848" s="10">
        <v>3.9610366219393199E-2</v>
      </c>
      <c r="H1848" s="10" t="s">
        <v>3710</v>
      </c>
      <c r="I1848" s="10" t="s">
        <v>18</v>
      </c>
    </row>
    <row r="1849" spans="1:9" x14ac:dyDescent="0.2">
      <c r="A1849" s="10" t="s">
        <v>3711</v>
      </c>
      <c r="B1849" s="10">
        <v>370.17078152212798</v>
      </c>
      <c r="C1849" s="10">
        <v>-1.2372323971100001</v>
      </c>
      <c r="D1849" s="10">
        <v>0.25725573434348697</v>
      </c>
      <c r="E1849" s="10">
        <v>-4.8093481774755897</v>
      </c>
      <c r="F1849" s="4">
        <v>1.5142325404101699E-6</v>
      </c>
      <c r="G1849" s="4">
        <v>1.2578748179437801E-5</v>
      </c>
      <c r="H1849" s="10" t="s">
        <v>3712</v>
      </c>
      <c r="I1849" s="10" t="s">
        <v>18</v>
      </c>
    </row>
    <row r="1850" spans="1:9" x14ac:dyDescent="0.2">
      <c r="A1850" s="10" t="s">
        <v>3713</v>
      </c>
      <c r="B1850" s="10">
        <v>1075.42269705326</v>
      </c>
      <c r="C1850" s="10">
        <v>-1.8046583913654499</v>
      </c>
      <c r="D1850" s="10">
        <v>0.19593228072595101</v>
      </c>
      <c r="E1850" s="10">
        <v>-9.2106231024259397</v>
      </c>
      <c r="F1850" s="4">
        <v>3.2423722323760202E-20</v>
      </c>
      <c r="G1850" s="4">
        <v>1.2785081941468801E-18</v>
      </c>
      <c r="H1850" s="10" t="s">
        <v>3714</v>
      </c>
      <c r="I1850" s="10" t="s">
        <v>18</v>
      </c>
    </row>
    <row r="1851" spans="1:9" x14ac:dyDescent="0.2">
      <c r="A1851" s="10" t="s">
        <v>3715</v>
      </c>
      <c r="B1851" s="10">
        <v>50.422214515793897</v>
      </c>
      <c r="C1851" s="10">
        <v>3.69379108785837</v>
      </c>
      <c r="D1851" s="10">
        <v>0.60315548796443996</v>
      </c>
      <c r="E1851" s="10">
        <v>6.1241108827913804</v>
      </c>
      <c r="F1851" s="4">
        <v>9.11913772434834E-10</v>
      </c>
      <c r="G1851" s="4">
        <v>1.24984479665654E-8</v>
      </c>
      <c r="H1851" s="10" t="s">
        <v>3716</v>
      </c>
      <c r="I1851" s="10" t="s">
        <v>18</v>
      </c>
    </row>
    <row r="1852" spans="1:9" x14ac:dyDescent="0.2">
      <c r="A1852" s="10" t="s">
        <v>3717</v>
      </c>
      <c r="B1852" s="10">
        <v>2764.3456539271301</v>
      </c>
      <c r="C1852" s="10">
        <v>-1.54459352409575</v>
      </c>
      <c r="D1852" s="10">
        <v>0.20264287260439601</v>
      </c>
      <c r="E1852" s="10">
        <v>-7.6222445144229001</v>
      </c>
      <c r="F1852" s="4">
        <v>2.4930221600738E-14</v>
      </c>
      <c r="G1852" s="4">
        <v>5.8206833586573003E-13</v>
      </c>
      <c r="H1852" s="10" t="s">
        <v>3718</v>
      </c>
      <c r="I1852" s="10" t="s">
        <v>18</v>
      </c>
    </row>
    <row r="1853" spans="1:9" x14ac:dyDescent="0.2">
      <c r="A1853" s="10" t="s">
        <v>3719</v>
      </c>
      <c r="B1853" s="10">
        <v>165.68587670758001</v>
      </c>
      <c r="C1853" s="10">
        <v>-1.1582491848826699</v>
      </c>
      <c r="D1853" s="10">
        <v>0.381360620782357</v>
      </c>
      <c r="E1853" s="10">
        <v>-3.0371494112489499</v>
      </c>
      <c r="F1853" s="10">
        <v>2.3882704377332399E-3</v>
      </c>
      <c r="G1853" s="10">
        <v>9.3792454045715894E-3</v>
      </c>
      <c r="H1853" s="10" t="s">
        <v>3720</v>
      </c>
      <c r="I1853" s="10" t="s">
        <v>18</v>
      </c>
    </row>
    <row r="1854" spans="1:9" x14ac:dyDescent="0.2">
      <c r="A1854" s="10" t="s">
        <v>3721</v>
      </c>
      <c r="B1854" s="10">
        <v>20565.295724158299</v>
      </c>
      <c r="C1854" s="10">
        <v>-1.07423803343931</v>
      </c>
      <c r="D1854" s="10">
        <v>0.20352645750773499</v>
      </c>
      <c r="E1854" s="10">
        <v>-5.2781247538712801</v>
      </c>
      <c r="F1854" s="4">
        <v>1.30512602797947E-7</v>
      </c>
      <c r="G1854" s="4">
        <v>1.30306958169133E-6</v>
      </c>
      <c r="H1854" s="10" t="s">
        <v>3722</v>
      </c>
      <c r="I1854" s="10" t="s">
        <v>18</v>
      </c>
    </row>
    <row r="1855" spans="1:9" x14ac:dyDescent="0.2">
      <c r="A1855" s="10" t="s">
        <v>3723</v>
      </c>
      <c r="B1855" s="10">
        <v>107.17086614227701</v>
      </c>
      <c r="C1855" s="10">
        <v>3.14968858931609</v>
      </c>
      <c r="D1855" s="10">
        <v>0.40669808442223698</v>
      </c>
      <c r="E1855" s="10">
        <v>7.7445375573642004</v>
      </c>
      <c r="F1855" s="4">
        <v>9.5930338773533098E-15</v>
      </c>
      <c r="G1855" s="4">
        <v>2.3233901693888501E-13</v>
      </c>
      <c r="H1855" s="10" t="s">
        <v>3724</v>
      </c>
      <c r="I1855" s="10" t="s">
        <v>18</v>
      </c>
    </row>
    <row r="1856" spans="1:9" x14ac:dyDescent="0.2">
      <c r="A1856" s="10" t="s">
        <v>3725</v>
      </c>
      <c r="B1856" s="10">
        <v>958.18653681387605</v>
      </c>
      <c r="C1856" s="10">
        <v>1.6418787962105299</v>
      </c>
      <c r="D1856" s="10">
        <v>0.22529501356162801</v>
      </c>
      <c r="E1856" s="10">
        <v>7.2876836919491002</v>
      </c>
      <c r="F1856" s="4">
        <v>3.1532921666983598E-13</v>
      </c>
      <c r="G1856" s="4">
        <v>6.6551318099171503E-12</v>
      </c>
      <c r="H1856" s="10" t="s">
        <v>3726</v>
      </c>
      <c r="I1856" s="10" t="s">
        <v>18</v>
      </c>
    </row>
    <row r="1857" spans="1:9" x14ac:dyDescent="0.2">
      <c r="A1857" s="10" t="s">
        <v>3727</v>
      </c>
      <c r="B1857" s="10">
        <v>12.078724318628501</v>
      </c>
      <c r="C1857" s="10">
        <v>3.4172243623489602</v>
      </c>
      <c r="D1857" s="10">
        <v>1.14508453323579</v>
      </c>
      <c r="E1857" s="10">
        <v>2.98425510358833</v>
      </c>
      <c r="F1857" s="10">
        <v>2.8426965802640799E-3</v>
      </c>
      <c r="G1857" s="10">
        <v>1.0916836324518E-2</v>
      </c>
      <c r="H1857" s="10" t="s">
        <v>3728</v>
      </c>
      <c r="I1857" s="10" t="s">
        <v>18</v>
      </c>
    </row>
    <row r="1858" spans="1:9" x14ac:dyDescent="0.2">
      <c r="A1858" s="10" t="s">
        <v>3729</v>
      </c>
      <c r="B1858" s="10">
        <v>1224.47406661225</v>
      </c>
      <c r="C1858" s="10">
        <v>5.6571776165837404</v>
      </c>
      <c r="D1858" s="10">
        <v>0.262805258388212</v>
      </c>
      <c r="E1858" s="10">
        <v>21.526120334422799</v>
      </c>
      <c r="F1858" s="4">
        <v>8.8651799593625301E-103</v>
      </c>
      <c r="G1858" s="4">
        <v>1.15023599215596E-99</v>
      </c>
      <c r="H1858" s="10" t="s">
        <v>3730</v>
      </c>
      <c r="I1858" s="10" t="s">
        <v>18</v>
      </c>
    </row>
    <row r="1859" spans="1:9" x14ac:dyDescent="0.2">
      <c r="A1859" s="10" t="s">
        <v>3731</v>
      </c>
      <c r="B1859" s="10">
        <v>1922.67826655555</v>
      </c>
      <c r="C1859" s="10">
        <v>-1.5509958491437199</v>
      </c>
      <c r="D1859" s="10">
        <v>0.25678862797093599</v>
      </c>
      <c r="E1859" s="10">
        <v>-6.0399709340682701</v>
      </c>
      <c r="F1859" s="4">
        <v>1.5414199177389399E-9</v>
      </c>
      <c r="G1859" s="4">
        <v>2.0407710640735201E-8</v>
      </c>
      <c r="H1859" s="10" t="s">
        <v>3732</v>
      </c>
      <c r="I1859" s="10" t="s">
        <v>18</v>
      </c>
    </row>
    <row r="1860" spans="1:9" x14ac:dyDescent="0.2">
      <c r="A1860" s="10" t="s">
        <v>3733</v>
      </c>
      <c r="B1860" s="10">
        <v>1779.3959179594201</v>
      </c>
      <c r="C1860" s="10">
        <v>-1.5432594934791299</v>
      </c>
      <c r="D1860" s="10">
        <v>0.264091363929712</v>
      </c>
      <c r="E1860" s="10">
        <v>-5.8436575528833599</v>
      </c>
      <c r="F1860" s="4">
        <v>5.10669536132584E-9</v>
      </c>
      <c r="G1860" s="4">
        <v>6.32751834970646E-8</v>
      </c>
      <c r="H1860" s="10" t="s">
        <v>3734</v>
      </c>
      <c r="I1860" s="10" t="s">
        <v>18</v>
      </c>
    </row>
    <row r="1861" spans="1:9" x14ac:dyDescent="0.2">
      <c r="A1861" s="10" t="s">
        <v>3735</v>
      </c>
      <c r="B1861" s="10">
        <v>3855.8606988350998</v>
      </c>
      <c r="C1861" s="10">
        <v>-1.1021952588305699</v>
      </c>
      <c r="D1861" s="10">
        <v>0.200858239495915</v>
      </c>
      <c r="E1861" s="10">
        <v>-5.4874286541428399</v>
      </c>
      <c r="F1861" s="4">
        <v>4.0782664872412001E-8</v>
      </c>
      <c r="G1861" s="4">
        <v>4.4324103301898998E-7</v>
      </c>
      <c r="H1861" s="10" t="s">
        <v>3736</v>
      </c>
      <c r="I1861" s="10" t="s">
        <v>18</v>
      </c>
    </row>
    <row r="1862" spans="1:9" x14ac:dyDescent="0.2">
      <c r="A1862" s="10" t="s">
        <v>3737</v>
      </c>
      <c r="B1862" s="10">
        <v>391.37264937406201</v>
      </c>
      <c r="C1862" s="10">
        <v>-1.279275667534</v>
      </c>
      <c r="D1862" s="10">
        <v>0.27210667413092599</v>
      </c>
      <c r="E1862" s="10">
        <v>-4.7013755602277802</v>
      </c>
      <c r="F1862" s="4">
        <v>2.58414728310585E-6</v>
      </c>
      <c r="G1862" s="4">
        <v>2.0521789863825501E-5</v>
      </c>
      <c r="H1862" s="10" t="s">
        <v>3738</v>
      </c>
      <c r="I1862" s="10" t="s">
        <v>18</v>
      </c>
    </row>
    <row r="1863" spans="1:9" x14ac:dyDescent="0.2">
      <c r="A1863" s="10" t="s">
        <v>3739</v>
      </c>
      <c r="B1863" s="10">
        <v>1226.8132332883399</v>
      </c>
      <c r="C1863" s="10">
        <v>-1.1839890921143199</v>
      </c>
      <c r="D1863" s="10">
        <v>0.23386192849031701</v>
      </c>
      <c r="E1863" s="10">
        <v>-5.0627697280934099</v>
      </c>
      <c r="F1863" s="4">
        <v>4.1320883958509701E-7</v>
      </c>
      <c r="G1863" s="4">
        <v>3.7857099032196099E-6</v>
      </c>
      <c r="H1863" s="10" t="s">
        <v>3740</v>
      </c>
      <c r="I1863" s="10" t="s">
        <v>18</v>
      </c>
    </row>
    <row r="1864" spans="1:9" x14ac:dyDescent="0.2">
      <c r="A1864" s="10" t="s">
        <v>3741</v>
      </c>
      <c r="B1864" s="10">
        <v>16.626266803556501</v>
      </c>
      <c r="C1864" s="10">
        <v>7.4515337992355803</v>
      </c>
      <c r="D1864" s="10">
        <v>1.6449675356932201</v>
      </c>
      <c r="E1864" s="10">
        <v>4.5298971788494198</v>
      </c>
      <c r="F1864" s="4">
        <v>5.9012398682918898E-6</v>
      </c>
      <c r="G1864" s="4">
        <v>4.39079963657425E-5</v>
      </c>
      <c r="H1864" s="10" t="s">
        <v>3742</v>
      </c>
      <c r="I1864" s="10" t="s">
        <v>18</v>
      </c>
    </row>
    <row r="1865" spans="1:9" x14ac:dyDescent="0.2">
      <c r="A1865" s="10" t="s">
        <v>3743</v>
      </c>
      <c r="B1865" s="10">
        <v>88.272717250095795</v>
      </c>
      <c r="C1865" s="10">
        <v>2.1723687198983699</v>
      </c>
      <c r="D1865" s="10">
        <v>0.44353297523983098</v>
      </c>
      <c r="E1865" s="10">
        <v>4.8978742081661597</v>
      </c>
      <c r="F1865" s="4">
        <v>9.6879018503116405E-7</v>
      </c>
      <c r="G1865" s="4">
        <v>8.3415475436006004E-6</v>
      </c>
      <c r="H1865" s="10" t="s">
        <v>3744</v>
      </c>
      <c r="I1865" s="10" t="s">
        <v>18</v>
      </c>
    </row>
    <row r="1866" spans="1:9" x14ac:dyDescent="0.2">
      <c r="A1866" s="10" t="s">
        <v>3745</v>
      </c>
      <c r="B1866" s="10">
        <v>72.630188149320801</v>
      </c>
      <c r="C1866" s="10">
        <v>1.73285110638172</v>
      </c>
      <c r="D1866" s="10">
        <v>0.44708286355951399</v>
      </c>
      <c r="E1866" s="10">
        <v>3.8759058949058698</v>
      </c>
      <c r="F1866" s="10">
        <v>1.06228736834574E-4</v>
      </c>
      <c r="G1866" s="10">
        <v>6.0451428415447502E-4</v>
      </c>
      <c r="H1866" s="10" t="s">
        <v>3746</v>
      </c>
      <c r="I1866" s="10" t="s">
        <v>18</v>
      </c>
    </row>
    <row r="1867" spans="1:9" x14ac:dyDescent="0.2">
      <c r="A1867" s="10" t="s">
        <v>3747</v>
      </c>
      <c r="B1867" s="10">
        <v>2770.7578343476298</v>
      </c>
      <c r="C1867" s="10">
        <v>2.3348626710687999</v>
      </c>
      <c r="D1867" s="10">
        <v>0.18374261500678801</v>
      </c>
      <c r="E1867" s="10">
        <v>12.707246334676</v>
      </c>
      <c r="F1867" s="4">
        <v>5.3899176492734802E-37</v>
      </c>
      <c r="G1867" s="4">
        <v>6.3301330254204497E-35</v>
      </c>
      <c r="H1867" s="10" t="s">
        <v>3748</v>
      </c>
      <c r="I1867" s="10" t="s">
        <v>18</v>
      </c>
    </row>
    <row r="1868" spans="1:9" x14ac:dyDescent="0.2">
      <c r="A1868" s="10" t="s">
        <v>3749</v>
      </c>
      <c r="B1868" s="10">
        <v>344.99488206592702</v>
      </c>
      <c r="C1868" s="10">
        <v>-1.3275631652987201</v>
      </c>
      <c r="D1868" s="10">
        <v>0.25443597373480897</v>
      </c>
      <c r="E1868" s="10">
        <v>-5.2176708576688897</v>
      </c>
      <c r="F1868" s="4">
        <v>1.8118706384891599E-7</v>
      </c>
      <c r="G1868" s="4">
        <v>1.76693053997546E-6</v>
      </c>
      <c r="H1868" s="10" t="s">
        <v>3750</v>
      </c>
      <c r="I1868" s="10" t="s">
        <v>18</v>
      </c>
    </row>
    <row r="1869" spans="1:9" x14ac:dyDescent="0.2">
      <c r="A1869" s="10" t="s">
        <v>3751</v>
      </c>
      <c r="B1869" s="10">
        <v>6850.1961399383999</v>
      </c>
      <c r="C1869" s="10">
        <v>1.5075202905731999</v>
      </c>
      <c r="D1869" s="10">
        <v>0.17165655278583999</v>
      </c>
      <c r="E1869" s="10">
        <v>8.7821890053564893</v>
      </c>
      <c r="F1869" s="4">
        <v>1.6032338261228299E-18</v>
      </c>
      <c r="G1869" s="4">
        <v>5.4400139552140399E-17</v>
      </c>
      <c r="H1869" s="10" t="s">
        <v>3752</v>
      </c>
      <c r="I1869" s="10" t="s">
        <v>18</v>
      </c>
    </row>
    <row r="1870" spans="1:9" x14ac:dyDescent="0.2">
      <c r="A1870" s="10" t="s">
        <v>3753</v>
      </c>
      <c r="B1870" s="10">
        <v>118.18833152486</v>
      </c>
      <c r="C1870" s="10">
        <v>1.0666120157340999</v>
      </c>
      <c r="D1870" s="10">
        <v>0.36402346024940202</v>
      </c>
      <c r="E1870" s="10">
        <v>2.93006394423956</v>
      </c>
      <c r="F1870" s="10">
        <v>3.3889225879484499E-3</v>
      </c>
      <c r="G1870" s="10">
        <v>1.27204812996048E-2</v>
      </c>
      <c r="H1870" s="10" t="s">
        <v>3754</v>
      </c>
      <c r="I1870" s="10" t="s">
        <v>18</v>
      </c>
    </row>
    <row r="1871" spans="1:9" x14ac:dyDescent="0.2">
      <c r="A1871" s="10" t="s">
        <v>3755</v>
      </c>
      <c r="B1871" s="10">
        <v>3.7806174410606901</v>
      </c>
      <c r="C1871" s="10">
        <v>5.3154478000652503</v>
      </c>
      <c r="D1871" s="10">
        <v>2.1865395084011801</v>
      </c>
      <c r="E1871" s="10">
        <v>2.43098639637752</v>
      </c>
      <c r="F1871" s="10">
        <v>1.5057779905063901E-2</v>
      </c>
      <c r="G1871" s="10">
        <v>4.4683002512881202E-2</v>
      </c>
      <c r="H1871" s="10" t="s">
        <v>3756</v>
      </c>
      <c r="I1871" s="10" t="s">
        <v>18</v>
      </c>
    </row>
    <row r="1872" spans="1:9" x14ac:dyDescent="0.2">
      <c r="A1872" s="10" t="s">
        <v>3757</v>
      </c>
      <c r="B1872" s="10">
        <v>1927.45614422582</v>
      </c>
      <c r="C1872" s="10">
        <v>1.19220705708732</v>
      </c>
      <c r="D1872" s="10">
        <v>0.19460888866436099</v>
      </c>
      <c r="E1872" s="10">
        <v>6.12616959723512</v>
      </c>
      <c r="F1872" s="4">
        <v>9.0019852509580695E-10</v>
      </c>
      <c r="G1872" s="4">
        <v>1.2344091199439099E-8</v>
      </c>
      <c r="H1872" s="10" t="s">
        <v>3758</v>
      </c>
      <c r="I1872" s="10" t="s">
        <v>18</v>
      </c>
    </row>
    <row r="1873" spans="1:9" x14ac:dyDescent="0.2">
      <c r="A1873" s="10" t="s">
        <v>3759</v>
      </c>
      <c r="B1873" s="10">
        <v>11.6681631654053</v>
      </c>
      <c r="C1873" s="10">
        <v>5.4679427954778603</v>
      </c>
      <c r="D1873" s="10">
        <v>1.70712951687641</v>
      </c>
      <c r="E1873" s="10">
        <v>3.2030040728735898</v>
      </c>
      <c r="F1873" s="10">
        <v>1.36002057604871E-3</v>
      </c>
      <c r="G1873" s="10">
        <v>5.77473595692679E-3</v>
      </c>
      <c r="H1873" s="10" t="s">
        <v>3760</v>
      </c>
      <c r="I1873" s="10" t="s">
        <v>18</v>
      </c>
    </row>
    <row r="1874" spans="1:9" x14ac:dyDescent="0.2">
      <c r="A1874" s="10" t="s">
        <v>3761</v>
      </c>
      <c r="B1874" s="10">
        <v>212.74440754789001</v>
      </c>
      <c r="C1874" s="10">
        <v>5.8555921612555402</v>
      </c>
      <c r="D1874" s="10">
        <v>0.48289980103129798</v>
      </c>
      <c r="E1874" s="10">
        <v>12.1258947482482</v>
      </c>
      <c r="F1874" s="4">
        <v>7.70144363344755E-34</v>
      </c>
      <c r="G1874" s="4">
        <v>7.5482458518181797E-32</v>
      </c>
      <c r="H1874" s="10" t="s">
        <v>3762</v>
      </c>
      <c r="I1874" s="10" t="s">
        <v>18</v>
      </c>
    </row>
    <row r="1875" spans="1:9" x14ac:dyDescent="0.2">
      <c r="A1875" s="10" t="s">
        <v>3763</v>
      </c>
      <c r="B1875" s="10">
        <v>10.828382745089399</v>
      </c>
      <c r="C1875" s="10">
        <v>5.3480341025772002</v>
      </c>
      <c r="D1875" s="10">
        <v>1.7520667092412801</v>
      </c>
      <c r="E1875" s="10">
        <v>3.0524146565704302</v>
      </c>
      <c r="F1875" s="10">
        <v>2.2700827295135998E-3</v>
      </c>
      <c r="G1875" s="10">
        <v>8.9798118657167508E-3</v>
      </c>
      <c r="H1875" s="10" t="s">
        <v>3764</v>
      </c>
      <c r="I1875" s="10" t="s">
        <v>18</v>
      </c>
    </row>
    <row r="1876" spans="1:9" x14ac:dyDescent="0.2">
      <c r="A1876" s="10" t="s">
        <v>3765</v>
      </c>
      <c r="B1876" s="10">
        <v>85.130072628049902</v>
      </c>
      <c r="C1876" s="10">
        <v>4.8536419140168103</v>
      </c>
      <c r="D1876" s="10">
        <v>0.58422450798129799</v>
      </c>
      <c r="E1876" s="10">
        <v>8.3078368807016698</v>
      </c>
      <c r="F1876" s="4">
        <v>9.7462377472426206E-17</v>
      </c>
      <c r="G1876" s="4">
        <v>2.8462565905586201E-15</v>
      </c>
      <c r="H1876" s="10" t="s">
        <v>3766</v>
      </c>
      <c r="I1876" s="10" t="s">
        <v>18</v>
      </c>
    </row>
    <row r="1877" spans="1:9" x14ac:dyDescent="0.2">
      <c r="A1877" s="10" t="s">
        <v>3767</v>
      </c>
      <c r="B1877" s="10">
        <v>9.4696626550550995</v>
      </c>
      <c r="C1877" s="10">
        <v>6.6398874426185301</v>
      </c>
      <c r="D1877" s="10">
        <v>1.77857742695178</v>
      </c>
      <c r="E1877" s="10">
        <v>3.7332574573367299</v>
      </c>
      <c r="F1877" s="10">
        <v>1.8901920777412E-4</v>
      </c>
      <c r="G1877" s="10">
        <v>1.0132217891444899E-3</v>
      </c>
      <c r="H1877" s="10" t="s">
        <v>3768</v>
      </c>
      <c r="I1877" s="10" t="s">
        <v>18</v>
      </c>
    </row>
    <row r="1878" spans="1:9" x14ac:dyDescent="0.2">
      <c r="A1878" s="10" t="s">
        <v>3769</v>
      </c>
      <c r="B1878" s="10">
        <v>1332.34301318391</v>
      </c>
      <c r="C1878" s="10">
        <v>-1.5350518048762301</v>
      </c>
      <c r="D1878" s="10">
        <v>0.222645241277589</v>
      </c>
      <c r="E1878" s="10">
        <v>-6.89460864318389</v>
      </c>
      <c r="F1878" s="4">
        <v>5.4013292980497298E-12</v>
      </c>
      <c r="G1878" s="4">
        <v>9.7787388294990595E-11</v>
      </c>
      <c r="H1878" s="10" t="s">
        <v>3770</v>
      </c>
      <c r="I1878" s="10" t="s">
        <v>18</v>
      </c>
    </row>
    <row r="1879" spans="1:9" x14ac:dyDescent="0.2">
      <c r="A1879" s="10" t="s">
        <v>3771</v>
      </c>
      <c r="B1879" s="10">
        <v>418.95789599501001</v>
      </c>
      <c r="C1879" s="10">
        <v>-1.1724112678551899</v>
      </c>
      <c r="D1879" s="10">
        <v>0.25576418386056099</v>
      </c>
      <c r="E1879" s="10">
        <v>-4.5839540554840497</v>
      </c>
      <c r="F1879" s="4">
        <v>4.5626453311928901E-6</v>
      </c>
      <c r="G1879" s="4">
        <v>3.4764652499723897E-5</v>
      </c>
      <c r="H1879" s="10" t="s">
        <v>3772</v>
      </c>
      <c r="I1879" s="10" t="s">
        <v>18</v>
      </c>
    </row>
    <row r="1880" spans="1:9" x14ac:dyDescent="0.2">
      <c r="A1880" s="10" t="s">
        <v>3773</v>
      </c>
      <c r="B1880" s="10">
        <v>9.7263351790751909</v>
      </c>
      <c r="C1880" s="10">
        <v>6.6781971111289398</v>
      </c>
      <c r="D1880" s="10">
        <v>1.7705594020051501</v>
      </c>
      <c r="E1880" s="10">
        <v>3.7718006543953999</v>
      </c>
      <c r="F1880" s="10">
        <v>1.6207371820538299E-4</v>
      </c>
      <c r="G1880" s="10">
        <v>8.8408860859701198E-4</v>
      </c>
      <c r="H1880" s="10" t="s">
        <v>3774</v>
      </c>
      <c r="I1880" s="10" t="s">
        <v>18</v>
      </c>
    </row>
    <row r="1881" spans="1:9" x14ac:dyDescent="0.2">
      <c r="A1881" s="10" t="s">
        <v>3775</v>
      </c>
      <c r="B1881" s="10">
        <v>26.382996405655199</v>
      </c>
      <c r="C1881" s="10">
        <v>6.66092684526184</v>
      </c>
      <c r="D1881" s="10">
        <v>1.5710511890374601</v>
      </c>
      <c r="E1881" s="10">
        <v>4.2397898246350696</v>
      </c>
      <c r="F1881" s="4">
        <v>2.2372916372938901E-5</v>
      </c>
      <c r="G1881" s="10">
        <v>1.4717403486563601E-4</v>
      </c>
      <c r="H1881" s="10" t="s">
        <v>3776</v>
      </c>
      <c r="I1881" s="10" t="s">
        <v>18</v>
      </c>
    </row>
    <row r="1882" spans="1:9" x14ac:dyDescent="0.2">
      <c r="A1882" s="10" t="s">
        <v>3777</v>
      </c>
      <c r="B1882" s="10">
        <v>546.90079670958096</v>
      </c>
      <c r="C1882" s="10">
        <v>-2.0764197866270901</v>
      </c>
      <c r="D1882" s="10">
        <v>0.22231281126574101</v>
      </c>
      <c r="E1882" s="10">
        <v>-9.3400815490792404</v>
      </c>
      <c r="F1882" s="4">
        <v>9.6259948910760594E-21</v>
      </c>
      <c r="G1882" s="4">
        <v>4.0103896452163498E-19</v>
      </c>
      <c r="H1882" s="10" t="s">
        <v>3778</v>
      </c>
      <c r="I1882" s="10" t="s">
        <v>18</v>
      </c>
    </row>
    <row r="1883" spans="1:9" x14ac:dyDescent="0.2">
      <c r="A1883" s="10" t="s">
        <v>3779</v>
      </c>
      <c r="B1883" s="10">
        <v>1009.24219814422</v>
      </c>
      <c r="C1883" s="10">
        <v>1.11294143148737</v>
      </c>
      <c r="D1883" s="10">
        <v>0.215107331104126</v>
      </c>
      <c r="E1883" s="10">
        <v>5.1738888943242598</v>
      </c>
      <c r="F1883" s="4">
        <v>2.2927119012416801E-7</v>
      </c>
      <c r="G1883" s="4">
        <v>2.19191302361867E-6</v>
      </c>
      <c r="H1883" s="10" t="s">
        <v>3780</v>
      </c>
      <c r="I1883" s="10" t="s">
        <v>18</v>
      </c>
    </row>
    <row r="1884" spans="1:9" x14ac:dyDescent="0.2">
      <c r="A1884" s="10" t="s">
        <v>3781</v>
      </c>
      <c r="B1884" s="10">
        <v>168.892811563235</v>
      </c>
      <c r="C1884" s="10">
        <v>1.44081573111757</v>
      </c>
      <c r="D1884" s="10">
        <v>0.329363363021623</v>
      </c>
      <c r="E1884" s="10">
        <v>4.3745476664414999</v>
      </c>
      <c r="F1884" s="4">
        <v>1.2168453289373199E-5</v>
      </c>
      <c r="G1884" s="4">
        <v>8.4834793852586499E-5</v>
      </c>
      <c r="H1884" s="10" t="s">
        <v>3782</v>
      </c>
      <c r="I1884" s="10" t="s">
        <v>18</v>
      </c>
    </row>
    <row r="1885" spans="1:9" x14ac:dyDescent="0.2">
      <c r="A1885" s="10" t="s">
        <v>3783</v>
      </c>
      <c r="B1885" s="10">
        <v>1324.1897522864599</v>
      </c>
      <c r="C1885" s="10">
        <v>1.5793518445063099</v>
      </c>
      <c r="D1885" s="10">
        <v>0.221736791541296</v>
      </c>
      <c r="E1885" s="10">
        <v>7.1226422711730004</v>
      </c>
      <c r="F1885" s="4">
        <v>1.05877369235324E-12</v>
      </c>
      <c r="G1885" s="4">
        <v>2.0904642605470098E-11</v>
      </c>
      <c r="H1885" s="10" t="s">
        <v>3784</v>
      </c>
      <c r="I1885" s="10" t="s">
        <v>18</v>
      </c>
    </row>
    <row r="1886" spans="1:9" x14ac:dyDescent="0.2">
      <c r="A1886" s="10" t="s">
        <v>3785</v>
      </c>
      <c r="B1886" s="10">
        <v>29.0074717646058</v>
      </c>
      <c r="C1886" s="10">
        <v>2.5926531508251101</v>
      </c>
      <c r="D1886" s="10">
        <v>0.68837050829899205</v>
      </c>
      <c r="E1886" s="10">
        <v>3.7663629100434899</v>
      </c>
      <c r="F1886" s="10">
        <v>1.65642969276439E-4</v>
      </c>
      <c r="G1886" s="10">
        <v>9.0103293748755001E-4</v>
      </c>
      <c r="H1886" s="10" t="s">
        <v>3786</v>
      </c>
      <c r="I1886" s="10" t="s">
        <v>18</v>
      </c>
    </row>
    <row r="1887" spans="1:9" x14ac:dyDescent="0.2">
      <c r="A1887" s="10" t="s">
        <v>3787</v>
      </c>
      <c r="B1887" s="10">
        <v>15364.065274348201</v>
      </c>
      <c r="C1887" s="10">
        <v>-2.4584497830278198</v>
      </c>
      <c r="D1887" s="10">
        <v>0.19326926278001999</v>
      </c>
      <c r="E1887" s="10">
        <v>-12.720335078972401</v>
      </c>
      <c r="F1887" s="4">
        <v>4.5590096589250704E-37</v>
      </c>
      <c r="G1887" s="4">
        <v>5.5208593856325105E-35</v>
      </c>
      <c r="H1887" s="10" t="s">
        <v>3788</v>
      </c>
      <c r="I1887" s="10" t="s">
        <v>18</v>
      </c>
    </row>
    <row r="1888" spans="1:9" x14ac:dyDescent="0.2">
      <c r="A1888" s="10" t="s">
        <v>3789</v>
      </c>
      <c r="B1888" s="10">
        <v>307.06504987738799</v>
      </c>
      <c r="C1888" s="10">
        <v>-1.0268825417501499</v>
      </c>
      <c r="D1888" s="10">
        <v>0.26729632977900702</v>
      </c>
      <c r="E1888" s="10">
        <v>-3.8417382782589802</v>
      </c>
      <c r="F1888" s="10">
        <v>1.22166061677428E-4</v>
      </c>
      <c r="G1888" s="10">
        <v>6.8646291658587197E-4</v>
      </c>
      <c r="H1888" s="10" t="s">
        <v>3790</v>
      </c>
      <c r="I1888" s="10" t="s">
        <v>18</v>
      </c>
    </row>
    <row r="1889" spans="1:9" x14ac:dyDescent="0.2">
      <c r="A1889" s="10" t="s">
        <v>3791</v>
      </c>
      <c r="B1889" s="10">
        <v>1822.24059460177</v>
      </c>
      <c r="C1889" s="10">
        <v>-1.7074353944015199</v>
      </c>
      <c r="D1889" s="10">
        <v>0.21593417767695999</v>
      </c>
      <c r="E1889" s="10">
        <v>-7.9072030781336604</v>
      </c>
      <c r="F1889" s="4">
        <v>2.6323602124622798E-15</v>
      </c>
      <c r="G1889" s="4">
        <v>6.7727968563701302E-14</v>
      </c>
      <c r="H1889" s="10" t="s">
        <v>3792</v>
      </c>
      <c r="I1889" s="10" t="s">
        <v>18</v>
      </c>
    </row>
    <row r="1890" spans="1:9" x14ac:dyDescent="0.2">
      <c r="A1890" s="10" t="s">
        <v>3793</v>
      </c>
      <c r="B1890" s="10">
        <v>261.492583530454</v>
      </c>
      <c r="C1890" s="10">
        <v>-2.0145253641878802</v>
      </c>
      <c r="D1890" s="10">
        <v>0.26891340358723798</v>
      </c>
      <c r="E1890" s="10">
        <v>-7.4913534889470403</v>
      </c>
      <c r="F1890" s="4">
        <v>6.8166949552597495E-14</v>
      </c>
      <c r="G1890" s="4">
        <v>1.5388109978953001E-12</v>
      </c>
      <c r="H1890" s="10" t="s">
        <v>3794</v>
      </c>
      <c r="I1890" s="10" t="s">
        <v>18</v>
      </c>
    </row>
    <row r="1891" spans="1:9" x14ac:dyDescent="0.2">
      <c r="A1891" s="10" t="s">
        <v>3795</v>
      </c>
      <c r="B1891" s="10">
        <v>54.827186787840198</v>
      </c>
      <c r="C1891" s="10">
        <v>-2.46691343319837</v>
      </c>
      <c r="D1891" s="10">
        <v>0.52447036271498404</v>
      </c>
      <c r="E1891" s="10">
        <v>-4.7036279045932998</v>
      </c>
      <c r="F1891" s="4">
        <v>2.5557885788755001E-6</v>
      </c>
      <c r="G1891" s="4">
        <v>2.0320271785416101E-5</v>
      </c>
      <c r="H1891" s="10" t="s">
        <v>3796</v>
      </c>
      <c r="I1891" s="10" t="s">
        <v>18</v>
      </c>
    </row>
    <row r="1892" spans="1:9" x14ac:dyDescent="0.2">
      <c r="A1892" s="10" t="s">
        <v>3797</v>
      </c>
      <c r="B1892" s="10">
        <v>14997.2822295237</v>
      </c>
      <c r="C1892" s="10">
        <v>1.2355742381930099</v>
      </c>
      <c r="D1892" s="10">
        <v>0.18257549540043699</v>
      </c>
      <c r="E1892" s="10">
        <v>6.7674702756964598</v>
      </c>
      <c r="F1892" s="4">
        <v>1.31053563576437E-11</v>
      </c>
      <c r="G1892" s="4">
        <v>2.2744053801064799E-10</v>
      </c>
      <c r="H1892" s="10" t="s">
        <v>3798</v>
      </c>
      <c r="I1892" s="10" t="s">
        <v>18</v>
      </c>
    </row>
    <row r="1893" spans="1:9" x14ac:dyDescent="0.2">
      <c r="A1893" s="10" t="s">
        <v>3799</v>
      </c>
      <c r="B1893" s="10">
        <v>1332.39822721274</v>
      </c>
      <c r="C1893" s="10">
        <v>1.78985596109246</v>
      </c>
      <c r="D1893" s="10">
        <v>0.19336179575025</v>
      </c>
      <c r="E1893" s="10">
        <v>9.2565129225644398</v>
      </c>
      <c r="F1893" s="4">
        <v>2.1121763030849401E-20</v>
      </c>
      <c r="G1893" s="4">
        <v>8.5008076410864803E-19</v>
      </c>
      <c r="H1893" s="10" t="s">
        <v>3800</v>
      </c>
      <c r="I1893" s="10" t="s">
        <v>18</v>
      </c>
    </row>
    <row r="1894" spans="1:9" x14ac:dyDescent="0.2">
      <c r="A1894" s="10" t="s">
        <v>3801</v>
      </c>
      <c r="B1894" s="10">
        <v>61.641925221124197</v>
      </c>
      <c r="C1894" s="10">
        <v>-1.4182895753267999</v>
      </c>
      <c r="D1894" s="10">
        <v>0.52173066792770095</v>
      </c>
      <c r="E1894" s="10">
        <v>-2.7184324451545199</v>
      </c>
      <c r="F1894" s="10">
        <v>6.5592048383011298E-3</v>
      </c>
      <c r="G1894" s="10">
        <v>2.2309156688202599E-2</v>
      </c>
      <c r="H1894" s="10" t="s">
        <v>3802</v>
      </c>
      <c r="I1894" s="10" t="s">
        <v>18</v>
      </c>
    </row>
    <row r="1895" spans="1:9" x14ac:dyDescent="0.2">
      <c r="A1895" s="10" t="s">
        <v>3803</v>
      </c>
      <c r="B1895" s="10">
        <v>912.51175185293903</v>
      </c>
      <c r="C1895" s="10">
        <v>-1.17256348948428</v>
      </c>
      <c r="D1895" s="10">
        <v>0.203106567815104</v>
      </c>
      <c r="E1895" s="10">
        <v>-5.7731441287103298</v>
      </c>
      <c r="F1895" s="4">
        <v>7.7805833370081498E-9</v>
      </c>
      <c r="G1895" s="4">
        <v>9.3970547067136995E-8</v>
      </c>
      <c r="H1895" s="10" t="s">
        <v>3804</v>
      </c>
      <c r="I1895" s="10" t="s">
        <v>18</v>
      </c>
    </row>
    <row r="1896" spans="1:9" x14ac:dyDescent="0.2">
      <c r="A1896" s="10" t="s">
        <v>3805</v>
      </c>
      <c r="B1896" s="10">
        <v>11.815953476042599</v>
      </c>
      <c r="C1896" s="10">
        <v>6.9568545049456096</v>
      </c>
      <c r="D1896" s="10">
        <v>1.72424960904518</v>
      </c>
      <c r="E1896" s="10">
        <v>4.0347142713275996</v>
      </c>
      <c r="F1896" s="4">
        <v>5.4668782194269702E-5</v>
      </c>
      <c r="G1896" s="10">
        <v>3.3175062548936903E-4</v>
      </c>
      <c r="H1896" s="10" t="s">
        <v>3806</v>
      </c>
      <c r="I1896" s="10" t="s">
        <v>18</v>
      </c>
    </row>
    <row r="1897" spans="1:9" x14ac:dyDescent="0.2">
      <c r="A1897" s="10" t="s">
        <v>3807</v>
      </c>
      <c r="B1897" s="10">
        <v>6.3835807860682898</v>
      </c>
      <c r="C1897" s="10">
        <v>6.0663805584349602</v>
      </c>
      <c r="D1897" s="10">
        <v>1.94430333655855</v>
      </c>
      <c r="E1897" s="10">
        <v>3.1200792820592298</v>
      </c>
      <c r="F1897" s="10">
        <v>1.8080236976030901E-3</v>
      </c>
      <c r="G1897" s="10">
        <v>7.3880056521582697E-3</v>
      </c>
      <c r="H1897" s="10" t="s">
        <v>3808</v>
      </c>
      <c r="I1897" s="10" t="s">
        <v>18</v>
      </c>
    </row>
    <row r="1898" spans="1:9" x14ac:dyDescent="0.2">
      <c r="A1898" s="10" t="s">
        <v>3809</v>
      </c>
      <c r="B1898" s="10">
        <v>4210.7948552990301</v>
      </c>
      <c r="C1898" s="10">
        <v>-2.4478830026789402</v>
      </c>
      <c r="D1898" s="10">
        <v>0.19082750023994399</v>
      </c>
      <c r="E1898" s="10">
        <v>-12.827726609639599</v>
      </c>
      <c r="F1898" s="4">
        <v>1.14680022262573E-37</v>
      </c>
      <c r="G1898" s="4">
        <v>1.4012047383804199E-35</v>
      </c>
      <c r="H1898" s="10" t="s">
        <v>3810</v>
      </c>
      <c r="I1898" s="10" t="s">
        <v>18</v>
      </c>
    </row>
    <row r="1899" spans="1:9" x14ac:dyDescent="0.2">
      <c r="A1899" s="10" t="s">
        <v>3811</v>
      </c>
      <c r="B1899" s="10">
        <v>408.20738073475798</v>
      </c>
      <c r="C1899" s="10">
        <v>2.4335412843725699</v>
      </c>
      <c r="D1899" s="10">
        <v>0.250779636073867</v>
      </c>
      <c r="E1899" s="10">
        <v>9.7039030858780304</v>
      </c>
      <c r="F1899" s="4">
        <v>2.90180679551686E-22</v>
      </c>
      <c r="G1899" s="4">
        <v>1.33106952453616E-20</v>
      </c>
      <c r="H1899" s="10" t="s">
        <v>3812</v>
      </c>
      <c r="I1899" s="10" t="s">
        <v>18</v>
      </c>
    </row>
    <row r="1900" spans="1:9" x14ac:dyDescent="0.2">
      <c r="A1900" s="10" t="s">
        <v>3813</v>
      </c>
      <c r="B1900" s="10">
        <v>6.1299140524210998</v>
      </c>
      <c r="C1900" s="10">
        <v>6.0129926677642098</v>
      </c>
      <c r="D1900" s="10">
        <v>1.93646501795776</v>
      </c>
      <c r="E1900" s="10">
        <v>3.1051388029233098</v>
      </c>
      <c r="F1900" s="10">
        <v>1.9018975097317601E-3</v>
      </c>
      <c r="G1900" s="10">
        <v>7.7114585487591302E-3</v>
      </c>
      <c r="H1900" s="10" t="s">
        <v>3814</v>
      </c>
      <c r="I1900" s="10" t="s">
        <v>18</v>
      </c>
    </row>
    <row r="1901" spans="1:9" x14ac:dyDescent="0.2">
      <c r="A1901" s="10" t="s">
        <v>3815</v>
      </c>
      <c r="B1901" s="10">
        <v>527.93731028538605</v>
      </c>
      <c r="C1901" s="10">
        <v>-1.50937396472053</v>
      </c>
      <c r="D1901" s="10">
        <v>0.22098841483112799</v>
      </c>
      <c r="E1901" s="10">
        <v>-6.8301044915587203</v>
      </c>
      <c r="F1901" s="4">
        <v>8.4852804519404597E-12</v>
      </c>
      <c r="G1901" s="4">
        <v>1.50617873924444E-10</v>
      </c>
      <c r="H1901" s="10" t="s">
        <v>3816</v>
      </c>
      <c r="I1901" s="10" t="s">
        <v>18</v>
      </c>
    </row>
    <row r="1902" spans="1:9" x14ac:dyDescent="0.2">
      <c r="A1902" s="10" t="s">
        <v>3817</v>
      </c>
      <c r="B1902" s="10">
        <v>4257.6981461097603</v>
      </c>
      <c r="C1902" s="10">
        <v>-1.67946275464676</v>
      </c>
      <c r="D1902" s="10">
        <v>0.242501076173609</v>
      </c>
      <c r="E1902" s="10">
        <v>-6.9255888722094303</v>
      </c>
      <c r="F1902" s="4">
        <v>4.3416566457996499E-12</v>
      </c>
      <c r="G1902" s="4">
        <v>7.9500751766198206E-11</v>
      </c>
      <c r="H1902" s="10" t="s">
        <v>3818</v>
      </c>
      <c r="I1902" s="10" t="s">
        <v>18</v>
      </c>
    </row>
    <row r="1903" spans="1:9" x14ac:dyDescent="0.2">
      <c r="A1903" s="10" t="s">
        <v>3819</v>
      </c>
      <c r="B1903" s="10">
        <v>65.334568386668195</v>
      </c>
      <c r="C1903" s="10">
        <v>-2.1930100686551102</v>
      </c>
      <c r="D1903" s="10">
        <v>0.494398849952845</v>
      </c>
      <c r="E1903" s="10">
        <v>-4.4357102951681204</v>
      </c>
      <c r="F1903" s="4">
        <v>9.1769195054265608E-6</v>
      </c>
      <c r="G1903" s="4">
        <v>6.5852916977708005E-5</v>
      </c>
      <c r="H1903" s="10" t="s">
        <v>3820</v>
      </c>
      <c r="I1903" s="10" t="s">
        <v>18</v>
      </c>
    </row>
    <row r="1904" spans="1:9" x14ac:dyDescent="0.2">
      <c r="A1904" s="10" t="s">
        <v>3821</v>
      </c>
      <c r="B1904" s="10">
        <v>833.94054485597906</v>
      </c>
      <c r="C1904" s="10">
        <v>-1.0534978312964001</v>
      </c>
      <c r="D1904" s="10">
        <v>0.204861674214559</v>
      </c>
      <c r="E1904" s="10">
        <v>-5.1424837531740302</v>
      </c>
      <c r="F1904" s="4">
        <v>2.7112989529999002E-7</v>
      </c>
      <c r="G1904" s="4">
        <v>2.5535693941371699E-6</v>
      </c>
      <c r="H1904" s="10" t="s">
        <v>3822</v>
      </c>
      <c r="I1904" s="10" t="s">
        <v>18</v>
      </c>
    </row>
    <row r="1905" spans="1:9" x14ac:dyDescent="0.2">
      <c r="A1905" s="10" t="s">
        <v>3823</v>
      </c>
      <c r="B1905" s="10">
        <v>6.2807535223413504</v>
      </c>
      <c r="C1905" s="10">
        <v>4.5372163835240604</v>
      </c>
      <c r="D1905" s="10">
        <v>1.9006003954099899</v>
      </c>
      <c r="E1905" s="10">
        <v>2.3872542563295198</v>
      </c>
      <c r="F1905" s="10">
        <v>1.6974747028427901E-2</v>
      </c>
      <c r="G1905" s="10">
        <v>4.9426143862026602E-2</v>
      </c>
      <c r="H1905" s="10" t="s">
        <v>3824</v>
      </c>
      <c r="I1905" s="10" t="s">
        <v>18</v>
      </c>
    </row>
    <row r="1906" spans="1:9" x14ac:dyDescent="0.2">
      <c r="A1906" s="10" t="s">
        <v>3825</v>
      </c>
      <c r="B1906" s="10">
        <v>60.305642912908098</v>
      </c>
      <c r="C1906" s="10">
        <v>-1.591149290238</v>
      </c>
      <c r="D1906" s="10">
        <v>0.46844660349817502</v>
      </c>
      <c r="E1906" s="10">
        <v>-3.3966502870464299</v>
      </c>
      <c r="F1906" s="10">
        <v>6.8216086488951701E-4</v>
      </c>
      <c r="G1906" s="10">
        <v>3.16048921707952E-3</v>
      </c>
      <c r="H1906" s="10" t="s">
        <v>3826</v>
      </c>
      <c r="I1906" s="10" t="s">
        <v>18</v>
      </c>
    </row>
    <row r="1907" spans="1:9" x14ac:dyDescent="0.2">
      <c r="A1907" s="10" t="s">
        <v>3827</v>
      </c>
      <c r="B1907" s="10">
        <v>644.058917814756</v>
      </c>
      <c r="C1907" s="10">
        <v>-2.3356379885662899</v>
      </c>
      <c r="D1907" s="10">
        <v>0.22916017669106101</v>
      </c>
      <c r="E1907" s="10">
        <v>-10.1921635001837</v>
      </c>
      <c r="F1907" s="4">
        <v>2.1492699460654601E-24</v>
      </c>
      <c r="G1907" s="4">
        <v>1.1340044483636501E-22</v>
      </c>
      <c r="H1907" s="10" t="s">
        <v>3828</v>
      </c>
      <c r="I1907" s="10" t="s">
        <v>18</v>
      </c>
    </row>
    <row r="1908" spans="1:9" x14ac:dyDescent="0.2">
      <c r="A1908" s="10" t="s">
        <v>3829</v>
      </c>
      <c r="B1908" s="10">
        <v>176.79807383902099</v>
      </c>
      <c r="C1908" s="10">
        <v>-1.0613056004324799</v>
      </c>
      <c r="D1908" s="10">
        <v>0.29742957002521803</v>
      </c>
      <c r="E1908" s="10">
        <v>-3.5682585303892198</v>
      </c>
      <c r="F1908" s="10">
        <v>3.5936182866132E-4</v>
      </c>
      <c r="G1908" s="10">
        <v>1.78906116307966E-3</v>
      </c>
      <c r="H1908" s="10" t="s">
        <v>3830</v>
      </c>
      <c r="I1908" s="10" t="s">
        <v>18</v>
      </c>
    </row>
    <row r="1909" spans="1:9" x14ac:dyDescent="0.2">
      <c r="A1909" s="10" t="s">
        <v>3831</v>
      </c>
      <c r="B1909" s="10">
        <v>153.090549246043</v>
      </c>
      <c r="C1909" s="10">
        <v>1.8871619915724001</v>
      </c>
      <c r="D1909" s="10">
        <v>0.328569507879172</v>
      </c>
      <c r="E1909" s="10">
        <v>5.7435700706177002</v>
      </c>
      <c r="F1909" s="4">
        <v>9.27009771425989E-9</v>
      </c>
      <c r="G1909" s="4">
        <v>1.1039438479914299E-7</v>
      </c>
      <c r="H1909" s="10" t="s">
        <v>3832</v>
      </c>
      <c r="I1909" s="10" t="s">
        <v>18</v>
      </c>
    </row>
    <row r="1910" spans="1:9" x14ac:dyDescent="0.2">
      <c r="A1910" s="10" t="s">
        <v>3833</v>
      </c>
      <c r="B1910" s="10">
        <v>2345.4742313348502</v>
      </c>
      <c r="C1910" s="10">
        <v>-1.2574137987665399</v>
      </c>
      <c r="D1910" s="10">
        <v>0.180539784873883</v>
      </c>
      <c r="E1910" s="10">
        <v>-6.9647463003509804</v>
      </c>
      <c r="F1910" s="4">
        <v>3.2899608262879399E-12</v>
      </c>
      <c r="G1910" s="4">
        <v>6.1105359668621294E-11</v>
      </c>
      <c r="H1910" s="10" t="s">
        <v>3834</v>
      </c>
      <c r="I1910" s="10" t="s">
        <v>18</v>
      </c>
    </row>
    <row r="1911" spans="1:9" x14ac:dyDescent="0.2">
      <c r="A1911" s="10" t="s">
        <v>3835</v>
      </c>
      <c r="B1911" s="10">
        <v>5.2874202707473597</v>
      </c>
      <c r="C1911" s="10">
        <v>5.8029394278270798</v>
      </c>
      <c r="D1911" s="10">
        <v>2.02483954767309</v>
      </c>
      <c r="E1911" s="10">
        <v>2.8658761799154502</v>
      </c>
      <c r="F1911" s="10">
        <v>4.1585686434663103E-3</v>
      </c>
      <c r="G1911" s="10">
        <v>1.5142124793335101E-2</v>
      </c>
      <c r="H1911" s="10" t="s">
        <v>3836</v>
      </c>
      <c r="I1911" s="10" t="s">
        <v>18</v>
      </c>
    </row>
    <row r="1912" spans="1:9" x14ac:dyDescent="0.2">
      <c r="A1912" s="10" t="s">
        <v>3837</v>
      </c>
      <c r="B1912" s="10">
        <v>6884.9007560212704</v>
      </c>
      <c r="C1912" s="10">
        <v>-1.3562677026730099</v>
      </c>
      <c r="D1912" s="10">
        <v>0.183747761646958</v>
      </c>
      <c r="E1912" s="10">
        <v>-7.38113863546738</v>
      </c>
      <c r="F1912" s="4">
        <v>1.5694147920245599E-13</v>
      </c>
      <c r="G1912" s="4">
        <v>3.4457570377351402E-12</v>
      </c>
      <c r="H1912" s="10" t="s">
        <v>3838</v>
      </c>
      <c r="I1912" s="10" t="s">
        <v>18</v>
      </c>
    </row>
    <row r="1913" spans="1:9" x14ac:dyDescent="0.2">
      <c r="A1913" s="10" t="s">
        <v>3839</v>
      </c>
      <c r="B1913" s="10">
        <v>118.366919856916</v>
      </c>
      <c r="C1913" s="10">
        <v>1.13611468867246</v>
      </c>
      <c r="D1913" s="10">
        <v>0.36230524043519802</v>
      </c>
      <c r="E1913" s="10">
        <v>3.1357942471595801</v>
      </c>
      <c r="F1913" s="10">
        <v>1.7138940032411501E-3</v>
      </c>
      <c r="G1913" s="10">
        <v>7.0712401432937002E-3</v>
      </c>
      <c r="H1913" s="10" t="s">
        <v>3840</v>
      </c>
      <c r="I1913" s="10" t="s">
        <v>18</v>
      </c>
    </row>
    <row r="1914" spans="1:9" x14ac:dyDescent="0.2">
      <c r="A1914" s="10" t="s">
        <v>3841</v>
      </c>
      <c r="B1914" s="10">
        <v>22.511406963396599</v>
      </c>
      <c r="C1914" s="10">
        <v>6.4309457811431203</v>
      </c>
      <c r="D1914" s="10">
        <v>1.6005576549037099</v>
      </c>
      <c r="E1914" s="10">
        <v>4.0179407229975901</v>
      </c>
      <c r="F1914" s="4">
        <v>5.87089604906536E-5</v>
      </c>
      <c r="G1914" s="10">
        <v>3.5421679505953001E-4</v>
      </c>
      <c r="H1914" s="10" t="s">
        <v>3842</v>
      </c>
      <c r="I1914" s="10" t="s">
        <v>18</v>
      </c>
    </row>
    <row r="1915" spans="1:9" x14ac:dyDescent="0.2">
      <c r="A1915" s="10" t="s">
        <v>3843</v>
      </c>
      <c r="B1915" s="10">
        <v>522.41910539629203</v>
      </c>
      <c r="C1915" s="10">
        <v>-1.12328954890842</v>
      </c>
      <c r="D1915" s="10">
        <v>0.221495993304786</v>
      </c>
      <c r="E1915" s="10">
        <v>-5.0713763808934296</v>
      </c>
      <c r="F1915" s="4">
        <v>3.9494877927146902E-7</v>
      </c>
      <c r="G1915" s="4">
        <v>3.6293994565968699E-6</v>
      </c>
      <c r="H1915" s="10" t="s">
        <v>3844</v>
      </c>
      <c r="I1915" s="10" t="s">
        <v>18</v>
      </c>
    </row>
    <row r="1916" spans="1:9" x14ac:dyDescent="0.2">
      <c r="A1916" s="10" t="s">
        <v>3845</v>
      </c>
      <c r="B1916" s="10">
        <v>4.4751530131345696</v>
      </c>
      <c r="C1916" s="10">
        <v>5.5525519767611096</v>
      </c>
      <c r="D1916" s="10">
        <v>2.1369168650759498</v>
      </c>
      <c r="E1916" s="10">
        <v>2.59839400751033</v>
      </c>
      <c r="F1916" s="10">
        <v>9.3660955354147105E-3</v>
      </c>
      <c r="G1916" s="10">
        <v>3.0065740463412399E-2</v>
      </c>
      <c r="H1916" s="10" t="s">
        <v>3846</v>
      </c>
      <c r="I1916" s="10" t="s">
        <v>18</v>
      </c>
    </row>
    <row r="1917" spans="1:9" x14ac:dyDescent="0.2">
      <c r="A1917" s="10" t="s">
        <v>3847</v>
      </c>
      <c r="B1917" s="10">
        <v>290.92334755269701</v>
      </c>
      <c r="C1917" s="10">
        <v>4.40208042552816</v>
      </c>
      <c r="D1917" s="10">
        <v>0.32770486563991702</v>
      </c>
      <c r="E1917" s="10">
        <v>13.433063976429301</v>
      </c>
      <c r="F1917" s="4">
        <v>3.8705917625789398E-41</v>
      </c>
      <c r="G1917" s="4">
        <v>5.6700007395155098E-39</v>
      </c>
      <c r="H1917" s="10" t="s">
        <v>3848</v>
      </c>
      <c r="I1917" s="10" t="s">
        <v>18</v>
      </c>
    </row>
    <row r="1918" spans="1:9" x14ac:dyDescent="0.2">
      <c r="A1918" s="10" t="s">
        <v>3849</v>
      </c>
      <c r="B1918" s="10">
        <v>2022.9607492633199</v>
      </c>
      <c r="C1918" s="10">
        <v>-2.83722313749985</v>
      </c>
      <c r="D1918" s="10">
        <v>0.22765197004475601</v>
      </c>
      <c r="E1918" s="10">
        <v>-12.4629852179274</v>
      </c>
      <c r="F1918" s="4">
        <v>1.18837397366479E-35</v>
      </c>
      <c r="G1918" s="4">
        <v>1.3056300669534099E-33</v>
      </c>
      <c r="H1918" s="10" t="s">
        <v>3850</v>
      </c>
      <c r="I1918" s="10" t="s">
        <v>18</v>
      </c>
    </row>
    <row r="1919" spans="1:9" x14ac:dyDescent="0.2">
      <c r="A1919" s="10" t="s">
        <v>3851</v>
      </c>
      <c r="B1919" s="10">
        <v>87.412313256237198</v>
      </c>
      <c r="C1919" s="10">
        <v>2.1830013329806199</v>
      </c>
      <c r="D1919" s="10">
        <v>0.42169625134183197</v>
      </c>
      <c r="E1919" s="10">
        <v>5.1767150550528704</v>
      </c>
      <c r="F1919" s="4">
        <v>2.2582671450062201E-7</v>
      </c>
      <c r="G1919" s="4">
        <v>2.1635374437406699E-6</v>
      </c>
      <c r="H1919" s="10" t="s">
        <v>3852</v>
      </c>
      <c r="I1919" s="10" t="s">
        <v>18</v>
      </c>
    </row>
    <row r="1920" spans="1:9" x14ac:dyDescent="0.2">
      <c r="A1920" s="10" t="s">
        <v>3853</v>
      </c>
      <c r="B1920" s="10">
        <v>100.089413956576</v>
      </c>
      <c r="C1920" s="10">
        <v>1.5478073873246601</v>
      </c>
      <c r="D1920" s="10">
        <v>0.39405962059383198</v>
      </c>
      <c r="E1920" s="10">
        <v>3.9278507779918401</v>
      </c>
      <c r="F1920" s="4">
        <v>8.5708360082397805E-5</v>
      </c>
      <c r="G1920" s="10">
        <v>4.9931487858992797E-4</v>
      </c>
      <c r="H1920" s="10" t="s">
        <v>3854</v>
      </c>
      <c r="I1920" s="10" t="s">
        <v>18</v>
      </c>
    </row>
    <row r="1921" spans="1:9" x14ac:dyDescent="0.2">
      <c r="A1921" s="10" t="s">
        <v>3855</v>
      </c>
      <c r="B1921" s="10">
        <v>4187.1169515338397</v>
      </c>
      <c r="C1921" s="10">
        <v>-1.13037405070998</v>
      </c>
      <c r="D1921" s="10">
        <v>0.200827472097277</v>
      </c>
      <c r="E1921" s="10">
        <v>-5.6285827775716504</v>
      </c>
      <c r="F1921" s="4">
        <v>1.81696300975387E-8</v>
      </c>
      <c r="G1921" s="4">
        <v>2.0844964684953101E-7</v>
      </c>
      <c r="H1921" s="10" t="s">
        <v>3856</v>
      </c>
      <c r="I1921" s="10" t="s">
        <v>18</v>
      </c>
    </row>
    <row r="1922" spans="1:9" x14ac:dyDescent="0.2">
      <c r="A1922" s="10" t="s">
        <v>3857</v>
      </c>
      <c r="B1922" s="10">
        <v>413.77725633476598</v>
      </c>
      <c r="C1922" s="10">
        <v>-1.0316315968510601</v>
      </c>
      <c r="D1922" s="10">
        <v>0.24120481497350099</v>
      </c>
      <c r="E1922" s="10">
        <v>-4.2769942091097599</v>
      </c>
      <c r="F1922" s="4">
        <v>1.8943372857770901E-5</v>
      </c>
      <c r="G1922" s="10">
        <v>1.2644538957758001E-4</v>
      </c>
      <c r="H1922" s="10" t="s">
        <v>3858</v>
      </c>
      <c r="I1922" s="10" t="s">
        <v>18</v>
      </c>
    </row>
    <row r="1923" spans="1:9" x14ac:dyDescent="0.2">
      <c r="A1923" s="10" t="s">
        <v>3859</v>
      </c>
      <c r="B1923" s="10">
        <v>8.0049849808684694</v>
      </c>
      <c r="C1923" s="10">
        <v>4.9006647577520104</v>
      </c>
      <c r="D1923" s="10">
        <v>1.818826800719</v>
      </c>
      <c r="E1923" s="10">
        <v>2.6944098007653801</v>
      </c>
      <c r="F1923" s="10">
        <v>7.05134091211552E-3</v>
      </c>
      <c r="G1923" s="10">
        <v>2.3763498556884501E-2</v>
      </c>
      <c r="H1923" s="10" t="s">
        <v>3860</v>
      </c>
      <c r="I1923" s="10" t="s">
        <v>18</v>
      </c>
    </row>
    <row r="1924" spans="1:9" x14ac:dyDescent="0.2">
      <c r="A1924" s="10" t="s">
        <v>3861</v>
      </c>
      <c r="B1924" s="10">
        <v>621.24154123080302</v>
      </c>
      <c r="C1924" s="10">
        <v>2.9131369439066499</v>
      </c>
      <c r="D1924" s="10">
        <v>0.235164124921597</v>
      </c>
      <c r="E1924" s="10">
        <v>12.3876758195064</v>
      </c>
      <c r="F1924" s="4">
        <v>3.0474799939377001E-35</v>
      </c>
      <c r="G1924" s="4">
        <v>3.20597248628651E-33</v>
      </c>
      <c r="H1924" s="10" t="s">
        <v>3862</v>
      </c>
      <c r="I1924" s="10" t="s">
        <v>18</v>
      </c>
    </row>
    <row r="1925" spans="1:9" x14ac:dyDescent="0.2">
      <c r="A1925" s="10" t="s">
        <v>3863</v>
      </c>
      <c r="B1925" s="10">
        <v>283.13122422788501</v>
      </c>
      <c r="C1925" s="10">
        <v>1.0276223109774301</v>
      </c>
      <c r="D1925" s="10">
        <v>0.256907342142774</v>
      </c>
      <c r="E1925" s="10">
        <v>3.9999725286416101</v>
      </c>
      <c r="F1925" s="4">
        <v>6.3349837066438306E-5</v>
      </c>
      <c r="G1925" s="10">
        <v>3.7902788988784499E-4</v>
      </c>
      <c r="H1925" s="10" t="s">
        <v>3864</v>
      </c>
      <c r="I1925" s="10" t="s">
        <v>18</v>
      </c>
    </row>
    <row r="1926" spans="1:9" x14ac:dyDescent="0.2">
      <c r="A1926" s="10" t="s">
        <v>3865</v>
      </c>
      <c r="B1926" s="10">
        <v>4.36643869871435</v>
      </c>
      <c r="C1926" s="10">
        <v>5.51984028109222</v>
      </c>
      <c r="D1926" s="10">
        <v>2.1118253273681198</v>
      </c>
      <c r="E1926" s="10">
        <v>2.6137769111668798</v>
      </c>
      <c r="F1926" s="10">
        <v>8.9547485688279607E-3</v>
      </c>
      <c r="G1926" s="10">
        <v>2.9049890969741098E-2</v>
      </c>
      <c r="H1926" s="10" t="s">
        <v>3866</v>
      </c>
      <c r="I1926" s="10" t="s">
        <v>18</v>
      </c>
    </row>
    <row r="1927" spans="1:9" x14ac:dyDescent="0.2">
      <c r="A1927" s="10" t="s">
        <v>3867</v>
      </c>
      <c r="B1927" s="10">
        <v>191.478579699476</v>
      </c>
      <c r="C1927" s="10">
        <v>-2.3138730595231101</v>
      </c>
      <c r="D1927" s="10">
        <v>0.322977258819996</v>
      </c>
      <c r="E1927" s="10">
        <v>-7.16419808619621</v>
      </c>
      <c r="F1927" s="4">
        <v>7.8243199685380296E-13</v>
      </c>
      <c r="G1927" s="4">
        <v>1.57103350171522E-11</v>
      </c>
      <c r="H1927" s="10" t="s">
        <v>3868</v>
      </c>
      <c r="I1927" s="10" t="s">
        <v>18</v>
      </c>
    </row>
    <row r="1928" spans="1:9" x14ac:dyDescent="0.2">
      <c r="A1928" s="10" t="s">
        <v>3869</v>
      </c>
      <c r="B1928" s="10">
        <v>6930.5339570860197</v>
      </c>
      <c r="C1928" s="10">
        <v>-1.1165319752438501</v>
      </c>
      <c r="D1928" s="10">
        <v>0.191933389693794</v>
      </c>
      <c r="E1928" s="10">
        <v>-5.8172888887396601</v>
      </c>
      <c r="F1928" s="4">
        <v>5.9809725755902098E-9</v>
      </c>
      <c r="G1928" s="4">
        <v>7.3110614520909104E-8</v>
      </c>
      <c r="H1928" s="10" t="s">
        <v>3870</v>
      </c>
      <c r="I1928" s="10" t="s">
        <v>18</v>
      </c>
    </row>
    <row r="1929" spans="1:9" x14ac:dyDescent="0.2">
      <c r="A1929" s="10" t="s">
        <v>3871</v>
      </c>
      <c r="B1929" s="10">
        <v>9.5755390780649599</v>
      </c>
      <c r="C1929" s="10">
        <v>5.1753137004293404</v>
      </c>
      <c r="D1929" s="10">
        <v>1.75898108282868</v>
      </c>
      <c r="E1929" s="10">
        <v>2.9422224894577802</v>
      </c>
      <c r="F1929" s="10">
        <v>3.2586570971036202E-3</v>
      </c>
      <c r="G1929" s="10">
        <v>1.22992976762408E-2</v>
      </c>
      <c r="H1929" s="10" t="s">
        <v>3872</v>
      </c>
      <c r="I1929" s="10" t="s">
        <v>18</v>
      </c>
    </row>
    <row r="1930" spans="1:9" x14ac:dyDescent="0.2">
      <c r="A1930" s="10" t="s">
        <v>3873</v>
      </c>
      <c r="B1930" s="10">
        <v>7.8541455109482099</v>
      </c>
      <c r="C1930" s="10">
        <v>6.3693182333457798</v>
      </c>
      <c r="D1930" s="10">
        <v>1.83954513396996</v>
      </c>
      <c r="E1930" s="10">
        <v>3.4624419459608702</v>
      </c>
      <c r="F1930" s="10">
        <v>5.3529738163837803E-4</v>
      </c>
      <c r="G1930" s="10">
        <v>2.5445915764343002E-3</v>
      </c>
      <c r="H1930" s="10" t="s">
        <v>3874</v>
      </c>
      <c r="I1930" s="10" t="s">
        <v>18</v>
      </c>
    </row>
    <row r="1931" spans="1:9" x14ac:dyDescent="0.2">
      <c r="A1931" s="10" t="s">
        <v>3875</v>
      </c>
      <c r="B1931" s="10">
        <v>132.59507349234801</v>
      </c>
      <c r="C1931" s="10">
        <v>1.8284913933568201</v>
      </c>
      <c r="D1931" s="10">
        <v>0.35156077351426002</v>
      </c>
      <c r="E1931" s="10">
        <v>5.2010677274341903</v>
      </c>
      <c r="F1931" s="4">
        <v>1.98146873917424E-7</v>
      </c>
      <c r="G1931" s="4">
        <v>1.9172258073963298E-6</v>
      </c>
      <c r="H1931" s="10" t="s">
        <v>3876</v>
      </c>
      <c r="I1931" s="10" t="s">
        <v>18</v>
      </c>
    </row>
    <row r="1932" spans="1:9" x14ac:dyDescent="0.2">
      <c r="A1932" s="10" t="s">
        <v>3877</v>
      </c>
      <c r="B1932" s="10">
        <v>7.8511397205753202</v>
      </c>
      <c r="C1932" s="10">
        <v>6.3650475628735101</v>
      </c>
      <c r="D1932" s="10">
        <v>1.86474886106755</v>
      </c>
      <c r="E1932" s="10">
        <v>3.41335377420722</v>
      </c>
      <c r="F1932" s="10">
        <v>6.4168583753384004E-4</v>
      </c>
      <c r="G1932" s="10">
        <v>2.98718845297874E-3</v>
      </c>
      <c r="H1932" s="10" t="s">
        <v>3878</v>
      </c>
      <c r="I1932" s="10" t="s">
        <v>18</v>
      </c>
    </row>
    <row r="1933" spans="1:9" x14ac:dyDescent="0.2">
      <c r="A1933" s="10" t="s">
        <v>3879</v>
      </c>
      <c r="B1933" s="10">
        <v>1586.95785510776</v>
      </c>
      <c r="C1933" s="10">
        <v>1.8825950539521601</v>
      </c>
      <c r="D1933" s="10">
        <v>0.20469066265243499</v>
      </c>
      <c r="E1933" s="10">
        <v>9.1972688424425701</v>
      </c>
      <c r="F1933" s="4">
        <v>3.6716298164670101E-20</v>
      </c>
      <c r="G1933" s="4">
        <v>1.4415114929290601E-18</v>
      </c>
      <c r="H1933" s="10" t="s">
        <v>3880</v>
      </c>
      <c r="I1933" s="10" t="s">
        <v>18</v>
      </c>
    </row>
    <row r="1934" spans="1:9" x14ac:dyDescent="0.2">
      <c r="A1934" s="10" t="s">
        <v>3881</v>
      </c>
      <c r="B1934" s="10">
        <v>1506.7949164740301</v>
      </c>
      <c r="C1934" s="10">
        <v>1.0732528623326201</v>
      </c>
      <c r="D1934" s="10">
        <v>0.215376033126324</v>
      </c>
      <c r="E1934" s="10">
        <v>4.9831582778903396</v>
      </c>
      <c r="F1934" s="4">
        <v>6.2554739971349701E-7</v>
      </c>
      <c r="G1934" s="4">
        <v>5.5428585365833002E-6</v>
      </c>
      <c r="H1934" s="10" t="s">
        <v>3882</v>
      </c>
      <c r="I1934" s="10" t="s">
        <v>18</v>
      </c>
    </row>
    <row r="1935" spans="1:9" x14ac:dyDescent="0.2">
      <c r="A1935" s="10" t="s">
        <v>3883</v>
      </c>
      <c r="B1935" s="10">
        <v>230.41943595588901</v>
      </c>
      <c r="C1935" s="10">
        <v>-1.5647148630263199</v>
      </c>
      <c r="D1935" s="10">
        <v>0.29129428692031101</v>
      </c>
      <c r="E1935" s="10">
        <v>-5.3715947524036798</v>
      </c>
      <c r="F1935" s="4">
        <v>7.8043341522843804E-8</v>
      </c>
      <c r="G1935" s="4">
        <v>8.0730710951895405E-7</v>
      </c>
      <c r="H1935" s="10" t="s">
        <v>3884</v>
      </c>
      <c r="I1935" s="10" t="s">
        <v>18</v>
      </c>
    </row>
    <row r="1936" spans="1:9" x14ac:dyDescent="0.2">
      <c r="A1936" s="10" t="s">
        <v>3885</v>
      </c>
      <c r="B1936" s="10">
        <v>3.9618079650943998</v>
      </c>
      <c r="C1936" s="10">
        <v>5.3771408192735599</v>
      </c>
      <c r="D1936" s="10">
        <v>2.19654804218851</v>
      </c>
      <c r="E1936" s="10">
        <v>2.4479959991751898</v>
      </c>
      <c r="F1936" s="10">
        <v>1.43653250707227E-2</v>
      </c>
      <c r="G1936" s="10">
        <v>4.3002857855634E-2</v>
      </c>
      <c r="H1936" s="10" t="s">
        <v>3886</v>
      </c>
      <c r="I1936" s="10" t="s">
        <v>18</v>
      </c>
    </row>
    <row r="1937" spans="1:9" x14ac:dyDescent="0.2">
      <c r="A1937" s="10" t="s">
        <v>3887</v>
      </c>
      <c r="B1937" s="10">
        <v>544.29306477626403</v>
      </c>
      <c r="C1937" s="10">
        <v>1.50761052909218</v>
      </c>
      <c r="D1937" s="10">
        <v>0.22053231014019301</v>
      </c>
      <c r="E1937" s="10">
        <v>6.8362342376669503</v>
      </c>
      <c r="F1937" s="4">
        <v>8.1301969973811196E-12</v>
      </c>
      <c r="G1937" s="4">
        <v>1.44503246958672E-10</v>
      </c>
      <c r="H1937" s="10" t="s">
        <v>3888</v>
      </c>
      <c r="I1937" s="10" t="s">
        <v>18</v>
      </c>
    </row>
    <row r="1938" spans="1:9" x14ac:dyDescent="0.2">
      <c r="A1938" s="10" t="s">
        <v>3889</v>
      </c>
      <c r="B1938" s="10">
        <v>928.54897192266003</v>
      </c>
      <c r="C1938" s="10">
        <v>-1.12956624323669</v>
      </c>
      <c r="D1938" s="10">
        <v>0.21188455404600001</v>
      </c>
      <c r="E1938" s="10">
        <v>-5.3310457117674801</v>
      </c>
      <c r="F1938" s="4">
        <v>9.7648833044788594E-8</v>
      </c>
      <c r="G1938" s="4">
        <v>9.9314585814533601E-7</v>
      </c>
      <c r="H1938" s="10" t="s">
        <v>3890</v>
      </c>
      <c r="I1938" s="10" t="s">
        <v>18</v>
      </c>
    </row>
    <row r="1939" spans="1:9" x14ac:dyDescent="0.2">
      <c r="A1939" s="10" t="s">
        <v>3891</v>
      </c>
      <c r="B1939" s="10">
        <v>23.017911367864102</v>
      </c>
      <c r="C1939" s="10">
        <v>2.8165558038533098</v>
      </c>
      <c r="D1939" s="10">
        <v>0.83081779759117103</v>
      </c>
      <c r="E1939" s="10">
        <v>3.39010046729799</v>
      </c>
      <c r="F1939" s="10">
        <v>6.9867013464619098E-4</v>
      </c>
      <c r="G1939" s="10">
        <v>3.23258026128456E-3</v>
      </c>
      <c r="H1939" s="10" t="s">
        <v>3892</v>
      </c>
      <c r="I1939" s="10" t="s">
        <v>18</v>
      </c>
    </row>
    <row r="1940" spans="1:9" x14ac:dyDescent="0.2">
      <c r="A1940" s="10" t="s">
        <v>3893</v>
      </c>
      <c r="B1940" s="10">
        <v>1173.7566959092901</v>
      </c>
      <c r="C1940" s="10">
        <v>-1.0461781967927</v>
      </c>
      <c r="D1940" s="10">
        <v>0.191146218481722</v>
      </c>
      <c r="E1940" s="10">
        <v>-5.4731828079180298</v>
      </c>
      <c r="F1940" s="4">
        <v>4.4202370996443703E-8</v>
      </c>
      <c r="G1940" s="4">
        <v>4.7773978680686305E-7</v>
      </c>
      <c r="H1940" s="10" t="s">
        <v>3894</v>
      </c>
      <c r="I1940" s="10" t="s">
        <v>18</v>
      </c>
    </row>
    <row r="1941" spans="1:9" x14ac:dyDescent="0.2">
      <c r="A1941" s="10" t="s">
        <v>3895</v>
      </c>
      <c r="B1941" s="10">
        <v>21.119373397785999</v>
      </c>
      <c r="C1941" s="10">
        <v>4.7162432571264503</v>
      </c>
      <c r="D1941" s="10">
        <v>1.10379376865157</v>
      </c>
      <c r="E1941" s="10">
        <v>4.2727576392173203</v>
      </c>
      <c r="F1941" s="4">
        <v>1.93070272682373E-5</v>
      </c>
      <c r="G1941" s="10">
        <v>1.2868360371273501E-4</v>
      </c>
      <c r="H1941" s="10" t="s">
        <v>3896</v>
      </c>
      <c r="I1941" s="10" t="s">
        <v>18</v>
      </c>
    </row>
    <row r="1942" spans="1:9" x14ac:dyDescent="0.2">
      <c r="A1942" s="10" t="s">
        <v>3897</v>
      </c>
      <c r="B1942" s="10">
        <v>884.93331793975699</v>
      </c>
      <c r="C1942" s="10">
        <v>-1.5962380902257001</v>
      </c>
      <c r="D1942" s="10">
        <v>0.22908518034046599</v>
      </c>
      <c r="E1942" s="10">
        <v>-6.9678801913479003</v>
      </c>
      <c r="F1942" s="4">
        <v>3.21752040446423E-12</v>
      </c>
      <c r="G1942" s="4">
        <v>5.9882362336364102E-11</v>
      </c>
      <c r="H1942" s="10" t="s">
        <v>3898</v>
      </c>
      <c r="I1942" s="10" t="s">
        <v>18</v>
      </c>
    </row>
    <row r="1943" spans="1:9" x14ac:dyDescent="0.2">
      <c r="A1943" s="10" t="s">
        <v>3899</v>
      </c>
      <c r="B1943" s="10">
        <v>444.60802064599199</v>
      </c>
      <c r="C1943" s="10">
        <v>-1.91698386599506</v>
      </c>
      <c r="D1943" s="10">
        <v>0.244456995167111</v>
      </c>
      <c r="E1943" s="10">
        <v>-7.8418040959908302</v>
      </c>
      <c r="F1943" s="4">
        <v>4.4411886831511697E-15</v>
      </c>
      <c r="G1943" s="4">
        <v>1.11631981595775E-13</v>
      </c>
      <c r="H1943" s="10" t="s">
        <v>3900</v>
      </c>
      <c r="I1943" s="10" t="s">
        <v>18</v>
      </c>
    </row>
    <row r="1944" spans="1:9" x14ac:dyDescent="0.2">
      <c r="A1944" s="10" t="s">
        <v>3901</v>
      </c>
      <c r="B1944" s="10">
        <v>13.482488616715701</v>
      </c>
      <c r="C1944" s="10">
        <v>4.6440685671730897</v>
      </c>
      <c r="D1944" s="10">
        <v>1.34187937833338</v>
      </c>
      <c r="E1944" s="10">
        <v>3.46086886955595</v>
      </c>
      <c r="F1944" s="10">
        <v>5.3843501614248197E-4</v>
      </c>
      <c r="G1944" s="10">
        <v>2.5572143776946498E-3</v>
      </c>
      <c r="H1944" s="10" t="s">
        <v>3902</v>
      </c>
      <c r="I1944" s="10" t="s">
        <v>18</v>
      </c>
    </row>
    <row r="1945" spans="1:9" x14ac:dyDescent="0.2">
      <c r="A1945" s="10" t="s">
        <v>3903</v>
      </c>
      <c r="B1945" s="10">
        <v>427.14672756108598</v>
      </c>
      <c r="C1945" s="10">
        <v>-1.77737854547251</v>
      </c>
      <c r="D1945" s="10">
        <v>0.236893410951974</v>
      </c>
      <c r="E1945" s="10">
        <v>-7.5028618918946597</v>
      </c>
      <c r="F1945" s="4">
        <v>6.2439330062352302E-14</v>
      </c>
      <c r="G1945" s="4">
        <v>1.4165565580423899E-12</v>
      </c>
      <c r="H1945" s="10" t="s">
        <v>3904</v>
      </c>
      <c r="I1945" s="10" t="s">
        <v>18</v>
      </c>
    </row>
    <row r="1946" spans="1:9" x14ac:dyDescent="0.2">
      <c r="A1946" s="10" t="s">
        <v>3905</v>
      </c>
      <c r="B1946" s="10">
        <v>19.8245780509016</v>
      </c>
      <c r="C1946" s="10">
        <v>2.7435036019160099</v>
      </c>
      <c r="D1946" s="10">
        <v>0.83691417030779403</v>
      </c>
      <c r="E1946" s="10">
        <v>3.2781182339247801</v>
      </c>
      <c r="F1946" s="10">
        <v>1.0450161426938801E-3</v>
      </c>
      <c r="G1946" s="10">
        <v>4.58557475561947E-3</v>
      </c>
      <c r="H1946" s="10" t="s">
        <v>3906</v>
      </c>
      <c r="I1946" s="10" t="s">
        <v>18</v>
      </c>
    </row>
    <row r="1947" spans="1:9" x14ac:dyDescent="0.2">
      <c r="A1947" s="10" t="s">
        <v>3907</v>
      </c>
      <c r="B1947" s="10">
        <v>504.66205703584001</v>
      </c>
      <c r="C1947" s="10">
        <v>1.17890356582727</v>
      </c>
      <c r="D1947" s="10">
        <v>0.23036237885580199</v>
      </c>
      <c r="E1947" s="10">
        <v>5.1176045831911603</v>
      </c>
      <c r="F1947" s="4">
        <v>3.0944048573298902E-7</v>
      </c>
      <c r="G1947" s="4">
        <v>2.8894190934773E-6</v>
      </c>
      <c r="H1947" s="10" t="s">
        <v>3908</v>
      </c>
      <c r="I1947" s="10" t="s">
        <v>18</v>
      </c>
    </row>
    <row r="1948" spans="1:9" x14ac:dyDescent="0.2">
      <c r="A1948" s="10" t="s">
        <v>3909</v>
      </c>
      <c r="B1948" s="10">
        <v>25.2954089421387</v>
      </c>
      <c r="C1948" s="10">
        <v>1.78251501447355</v>
      </c>
      <c r="D1948" s="10">
        <v>0.70177684927918704</v>
      </c>
      <c r="E1948" s="10">
        <v>2.5400025895759</v>
      </c>
      <c r="F1948" s="10">
        <v>1.10851648094178E-2</v>
      </c>
      <c r="G1948" s="10">
        <v>3.4720943276492298E-2</v>
      </c>
      <c r="H1948" s="10" t="s">
        <v>3910</v>
      </c>
      <c r="I1948" s="10" t="s">
        <v>18</v>
      </c>
    </row>
    <row r="1949" spans="1:9" x14ac:dyDescent="0.2">
      <c r="A1949" s="10" t="s">
        <v>3911</v>
      </c>
      <c r="B1949" s="10">
        <v>5.9457177380145003</v>
      </c>
      <c r="C1949" s="10">
        <v>5.9678110559896602</v>
      </c>
      <c r="D1949" s="10">
        <v>1.9490680149737301</v>
      </c>
      <c r="E1949" s="10">
        <v>3.0618793239342601</v>
      </c>
      <c r="F1949" s="10">
        <v>2.1995210751093899E-3</v>
      </c>
      <c r="G1949" s="10">
        <v>8.7349294175055308E-3</v>
      </c>
      <c r="H1949" s="10" t="s">
        <v>3912</v>
      </c>
      <c r="I1949" s="10" t="s">
        <v>18</v>
      </c>
    </row>
    <row r="1950" spans="1:9" x14ac:dyDescent="0.2">
      <c r="A1950" s="10" t="s">
        <v>3913</v>
      </c>
      <c r="B1950" s="10">
        <v>35.269101268422702</v>
      </c>
      <c r="C1950" s="10">
        <v>3.0116730431646199</v>
      </c>
      <c r="D1950" s="10">
        <v>0.68092580848200301</v>
      </c>
      <c r="E1950" s="10">
        <v>4.42290922983016</v>
      </c>
      <c r="F1950" s="4">
        <v>9.7380661317230502E-6</v>
      </c>
      <c r="G1950" s="4">
        <v>6.9404417444692096E-5</v>
      </c>
      <c r="H1950" s="10" t="s">
        <v>3914</v>
      </c>
      <c r="I1950" s="10" t="s">
        <v>18</v>
      </c>
    </row>
    <row r="1951" spans="1:9" x14ac:dyDescent="0.2">
      <c r="A1951" s="10" t="s">
        <v>3915</v>
      </c>
      <c r="B1951" s="10">
        <v>467.29898240190403</v>
      </c>
      <c r="C1951" s="10">
        <v>-2.53860879638375</v>
      </c>
      <c r="D1951" s="10">
        <v>0.23388989324795401</v>
      </c>
      <c r="E1951" s="10">
        <v>-10.853862734857399</v>
      </c>
      <c r="F1951" s="4">
        <v>1.91171645588848E-27</v>
      </c>
      <c r="G1951" s="4">
        <v>1.25212832388446E-25</v>
      </c>
      <c r="H1951" s="10" t="s">
        <v>3916</v>
      </c>
      <c r="I1951" s="10" t="s">
        <v>18</v>
      </c>
    </row>
    <row r="1952" spans="1:9" x14ac:dyDescent="0.2">
      <c r="A1952" s="10" t="s">
        <v>3917</v>
      </c>
      <c r="B1952" s="10">
        <v>4.7348313275275498</v>
      </c>
      <c r="C1952" s="10">
        <v>5.6398842652474501</v>
      </c>
      <c r="D1952" s="10">
        <v>2.05830840027062</v>
      </c>
      <c r="E1952" s="10">
        <v>2.7400579351986001</v>
      </c>
      <c r="F1952" s="10">
        <v>6.1428355245557601E-3</v>
      </c>
      <c r="G1952" s="10">
        <v>2.1109072964758599E-2</v>
      </c>
      <c r="H1952" s="10" t="s">
        <v>3918</v>
      </c>
      <c r="I1952" s="10" t="s">
        <v>18</v>
      </c>
    </row>
    <row r="1953" spans="1:9" x14ac:dyDescent="0.2">
      <c r="A1953" s="10" t="s">
        <v>3919</v>
      </c>
      <c r="B1953" s="10">
        <v>514.16854651618496</v>
      </c>
      <c r="C1953" s="10">
        <v>1.89380373302606</v>
      </c>
      <c r="D1953" s="10">
        <v>0.22799873669472401</v>
      </c>
      <c r="E1953" s="10">
        <v>8.3062027469114899</v>
      </c>
      <c r="F1953" s="4">
        <v>9.88133387379944E-17</v>
      </c>
      <c r="G1953" s="4">
        <v>2.88261995780956E-15</v>
      </c>
      <c r="H1953" s="10" t="s">
        <v>3920</v>
      </c>
      <c r="I1953" s="10" t="s">
        <v>18</v>
      </c>
    </row>
    <row r="1954" spans="1:9" x14ac:dyDescent="0.2">
      <c r="A1954" s="10" t="s">
        <v>3921</v>
      </c>
      <c r="B1954" s="10">
        <v>796.11233873083802</v>
      </c>
      <c r="C1954" s="10">
        <v>-1.16519485398102</v>
      </c>
      <c r="D1954" s="10">
        <v>0.234300950709458</v>
      </c>
      <c r="E1954" s="10">
        <v>-4.9730692532524401</v>
      </c>
      <c r="F1954" s="4">
        <v>6.5901105379216896E-7</v>
      </c>
      <c r="G1954" s="4">
        <v>5.8185593592596403E-6</v>
      </c>
      <c r="H1954" s="10" t="s">
        <v>3922</v>
      </c>
      <c r="I1954" s="10" t="s">
        <v>18</v>
      </c>
    </row>
    <row r="1955" spans="1:9" x14ac:dyDescent="0.2">
      <c r="A1955" s="10" t="s">
        <v>3923</v>
      </c>
      <c r="B1955" s="10">
        <v>1418.02678829303</v>
      </c>
      <c r="C1955" s="10">
        <v>-3.4091843936042698</v>
      </c>
      <c r="D1955" s="10">
        <v>0.205683159460119</v>
      </c>
      <c r="E1955" s="10">
        <v>-16.5749320583793</v>
      </c>
      <c r="F1955" s="4">
        <v>1.0578241370165401E-61</v>
      </c>
      <c r="G1955" s="4">
        <v>3.35145747224297E-59</v>
      </c>
      <c r="H1955" s="10" t="s">
        <v>3924</v>
      </c>
      <c r="I1955" s="10" t="s">
        <v>18</v>
      </c>
    </row>
    <row r="1956" spans="1:9" x14ac:dyDescent="0.2">
      <c r="A1956" s="10" t="s">
        <v>3925</v>
      </c>
      <c r="B1956" s="10">
        <v>3.8893317554809199</v>
      </c>
      <c r="C1956" s="10">
        <v>5.35263968609567</v>
      </c>
      <c r="D1956" s="10">
        <v>2.1805139762792298</v>
      </c>
      <c r="E1956" s="10">
        <v>2.4547605492670499</v>
      </c>
      <c r="F1956" s="10">
        <v>1.40978459500909E-2</v>
      </c>
      <c r="G1956" s="10">
        <v>4.2402473628670397E-2</v>
      </c>
      <c r="H1956" s="10" t="s">
        <v>3926</v>
      </c>
      <c r="I1956" s="10" t="s">
        <v>18</v>
      </c>
    </row>
    <row r="1957" spans="1:9" x14ac:dyDescent="0.2">
      <c r="A1957" s="10" t="s">
        <v>3927</v>
      </c>
      <c r="B1957" s="10">
        <v>526.13107019765596</v>
      </c>
      <c r="C1957" s="10">
        <v>-1.6790093220208999</v>
      </c>
      <c r="D1957" s="10">
        <v>0.22624110632251301</v>
      </c>
      <c r="E1957" s="10">
        <v>-7.42132740293194</v>
      </c>
      <c r="F1957" s="4">
        <v>1.1595228704371799E-13</v>
      </c>
      <c r="G1957" s="4">
        <v>2.57485897724545E-12</v>
      </c>
      <c r="H1957" s="10" t="s">
        <v>3928</v>
      </c>
      <c r="I1957" s="10" t="s">
        <v>18</v>
      </c>
    </row>
    <row r="1958" spans="1:9" x14ac:dyDescent="0.2">
      <c r="A1958" s="10" t="s">
        <v>3929</v>
      </c>
      <c r="B1958" s="10">
        <v>33.355404239750001</v>
      </c>
      <c r="C1958" s="10">
        <v>7.0019682742296201</v>
      </c>
      <c r="D1958" s="10">
        <v>1.5470181820903299</v>
      </c>
      <c r="E1958" s="10">
        <v>4.5261059988115697</v>
      </c>
      <c r="F1958" s="4">
        <v>6.0080453249044503E-6</v>
      </c>
      <c r="G1958" s="4">
        <v>4.4631089068974703E-5</v>
      </c>
      <c r="H1958" s="10" t="s">
        <v>3930</v>
      </c>
      <c r="I1958" s="10" t="s">
        <v>18</v>
      </c>
    </row>
    <row r="1959" spans="1:9" x14ac:dyDescent="0.2">
      <c r="A1959" s="10" t="s">
        <v>3931</v>
      </c>
      <c r="B1959" s="10">
        <v>6.7519734148814896</v>
      </c>
      <c r="C1959" s="10">
        <v>6.1494628660046899</v>
      </c>
      <c r="D1959" s="10">
        <v>1.90159178459093</v>
      </c>
      <c r="E1959" s="10">
        <v>3.2338501437770799</v>
      </c>
      <c r="F1959" s="10">
        <v>1.22133521966576E-3</v>
      </c>
      <c r="G1959" s="10">
        <v>5.2554833749578096E-3</v>
      </c>
      <c r="H1959" s="10" t="s">
        <v>3932</v>
      </c>
      <c r="I1959" s="10" t="s">
        <v>18</v>
      </c>
    </row>
    <row r="1960" spans="1:9" x14ac:dyDescent="0.2">
      <c r="A1960" s="10" t="s">
        <v>3933</v>
      </c>
      <c r="B1960" s="10">
        <v>6.7157353100747503</v>
      </c>
      <c r="C1960" s="10">
        <v>6.14239025792617</v>
      </c>
      <c r="D1960" s="10">
        <v>1.90050470221933</v>
      </c>
      <c r="E1960" s="10">
        <v>3.23197845853965</v>
      </c>
      <c r="F1960" s="10">
        <v>1.22936323297014E-3</v>
      </c>
      <c r="G1960" s="10">
        <v>5.28418678162762E-3</v>
      </c>
      <c r="H1960" s="10" t="s">
        <v>3934</v>
      </c>
      <c r="I1960" s="10" t="s">
        <v>18</v>
      </c>
    </row>
    <row r="1961" spans="1:9" x14ac:dyDescent="0.2">
      <c r="A1961" s="10" t="s">
        <v>3935</v>
      </c>
      <c r="B1961" s="10">
        <v>491.03164376864697</v>
      </c>
      <c r="C1961" s="10">
        <v>-1.2476537905887599</v>
      </c>
      <c r="D1961" s="10">
        <v>0.228281707236027</v>
      </c>
      <c r="E1961" s="10">
        <v>-5.4654129132597298</v>
      </c>
      <c r="F1961" s="4">
        <v>4.6183048574349198E-8</v>
      </c>
      <c r="G1961" s="4">
        <v>4.9815895665292702E-7</v>
      </c>
      <c r="H1961" s="10" t="s">
        <v>3936</v>
      </c>
      <c r="I1961" s="10" t="s">
        <v>18</v>
      </c>
    </row>
    <row r="1962" spans="1:9" x14ac:dyDescent="0.2">
      <c r="A1962" s="10" t="s">
        <v>3937</v>
      </c>
      <c r="B1962" s="10">
        <v>1031.9176653726699</v>
      </c>
      <c r="C1962" s="10">
        <v>-1.1730905362761299</v>
      </c>
      <c r="D1962" s="10">
        <v>0.222421575358007</v>
      </c>
      <c r="E1962" s="10">
        <v>-5.2741760073767301</v>
      </c>
      <c r="F1962" s="4">
        <v>1.3335387925365101E-7</v>
      </c>
      <c r="G1962" s="4">
        <v>1.32851669031964E-6</v>
      </c>
      <c r="H1962" s="10" t="s">
        <v>3938</v>
      </c>
      <c r="I1962" s="10" t="s">
        <v>18</v>
      </c>
    </row>
    <row r="1963" spans="1:9" x14ac:dyDescent="0.2">
      <c r="A1963" s="10" t="s">
        <v>3939</v>
      </c>
      <c r="B1963" s="10">
        <v>7.7394196157822002</v>
      </c>
      <c r="C1963" s="10">
        <v>6.34281637764356</v>
      </c>
      <c r="D1963" s="10">
        <v>1.90790320796502</v>
      </c>
      <c r="E1963" s="10">
        <v>3.3244958922254999</v>
      </c>
      <c r="F1963" s="10">
        <v>8.8578538351915897E-4</v>
      </c>
      <c r="G1963" s="10">
        <v>3.9650064637336098E-3</v>
      </c>
      <c r="H1963" s="10" t="s">
        <v>3940</v>
      </c>
      <c r="I1963" s="10" t="s">
        <v>18</v>
      </c>
    </row>
    <row r="1964" spans="1:9" x14ac:dyDescent="0.2">
      <c r="A1964" s="10" t="s">
        <v>3941</v>
      </c>
      <c r="B1964" s="10">
        <v>342.58696701889397</v>
      </c>
      <c r="C1964" s="10">
        <v>-1.37881084725812</v>
      </c>
      <c r="D1964" s="10">
        <v>0.26956891970001901</v>
      </c>
      <c r="E1964" s="10">
        <v>-5.1148732160683901</v>
      </c>
      <c r="F1964" s="4">
        <v>3.1395175728149398E-7</v>
      </c>
      <c r="G1964" s="4">
        <v>2.9275302979633399E-6</v>
      </c>
      <c r="H1964" s="10" t="s">
        <v>3942</v>
      </c>
      <c r="I1964" s="10" t="s">
        <v>18</v>
      </c>
    </row>
    <row r="1965" spans="1:9" x14ac:dyDescent="0.2">
      <c r="A1965" s="10" t="s">
        <v>3943</v>
      </c>
      <c r="B1965" s="10">
        <v>114.952616378191</v>
      </c>
      <c r="C1965" s="10">
        <v>-1.2111050122168201</v>
      </c>
      <c r="D1965" s="10">
        <v>0.349046048143551</v>
      </c>
      <c r="E1965" s="10">
        <v>-3.4697571241910401</v>
      </c>
      <c r="F1965" s="10">
        <v>5.2092918943071704E-4</v>
      </c>
      <c r="G1965" s="10">
        <v>2.4866428914538802E-3</v>
      </c>
      <c r="H1965" s="10" t="s">
        <v>3944</v>
      </c>
      <c r="I1965" s="10" t="s">
        <v>18</v>
      </c>
    </row>
    <row r="1966" spans="1:9" x14ac:dyDescent="0.2">
      <c r="A1966" s="10" t="s">
        <v>3945</v>
      </c>
      <c r="B1966" s="10">
        <v>8346.0306599899304</v>
      </c>
      <c r="C1966" s="10">
        <v>3.8577223896015602</v>
      </c>
      <c r="D1966" s="10">
        <v>0.17856783145031399</v>
      </c>
      <c r="E1966" s="10">
        <v>21.6036805636795</v>
      </c>
      <c r="F1966" s="4">
        <v>1.65859576732464E-103</v>
      </c>
      <c r="G1966" s="4">
        <v>2.2595879436147201E-100</v>
      </c>
      <c r="H1966" s="10" t="s">
        <v>3946</v>
      </c>
      <c r="I1966" s="10" t="s">
        <v>18</v>
      </c>
    </row>
    <row r="1967" spans="1:9" x14ac:dyDescent="0.2">
      <c r="A1967" s="10" t="s">
        <v>3947</v>
      </c>
      <c r="B1967" s="10">
        <v>231.87446337493799</v>
      </c>
      <c r="C1967" s="10">
        <v>-1.0147150296854599</v>
      </c>
      <c r="D1967" s="10">
        <v>0.29901975278292497</v>
      </c>
      <c r="E1967" s="10">
        <v>-3.3934715691578399</v>
      </c>
      <c r="F1967" s="10">
        <v>6.90127219036697E-4</v>
      </c>
      <c r="G1967" s="10">
        <v>3.1968541885570999E-3</v>
      </c>
      <c r="H1967" s="10" t="s">
        <v>3948</v>
      </c>
      <c r="I1967" s="10" t="s">
        <v>18</v>
      </c>
    </row>
    <row r="1968" spans="1:9" x14ac:dyDescent="0.2">
      <c r="A1968" s="10" t="s">
        <v>3949</v>
      </c>
      <c r="B1968" s="10">
        <v>2047.57796987396</v>
      </c>
      <c r="C1968" s="10">
        <v>-1.9698451882941801</v>
      </c>
      <c r="D1968" s="10">
        <v>0.18941005885662901</v>
      </c>
      <c r="E1968" s="10">
        <v>-10.399897450986099</v>
      </c>
      <c r="F1968" s="4">
        <v>2.4820016291506599E-25</v>
      </c>
      <c r="G1968" s="4">
        <v>1.42673203353308E-23</v>
      </c>
      <c r="H1968" s="10" t="s">
        <v>3950</v>
      </c>
      <c r="I1968" s="10" t="s">
        <v>18</v>
      </c>
    </row>
    <row r="1969" spans="1:9" x14ac:dyDescent="0.2">
      <c r="A1969" s="10" t="s">
        <v>3951</v>
      </c>
      <c r="B1969" s="10">
        <v>7.1566041485014402</v>
      </c>
      <c r="C1969" s="10">
        <v>6.2348322409822696</v>
      </c>
      <c r="D1969" s="10">
        <v>1.8739066662439701</v>
      </c>
      <c r="E1969" s="10">
        <v>3.32718398055506</v>
      </c>
      <c r="F1969" s="10">
        <v>8.7728431726666605E-4</v>
      </c>
      <c r="G1969" s="10">
        <v>3.9334154669351399E-3</v>
      </c>
      <c r="H1969" s="10" t="s">
        <v>3952</v>
      </c>
      <c r="I1969" s="10" t="s">
        <v>18</v>
      </c>
    </row>
    <row r="1970" spans="1:9" x14ac:dyDescent="0.2">
      <c r="A1970" s="10" t="s">
        <v>3953</v>
      </c>
      <c r="B1970" s="10">
        <v>7.8179507750515</v>
      </c>
      <c r="C1970" s="10">
        <v>3.8180540520935402</v>
      </c>
      <c r="D1970" s="10">
        <v>1.5079636239337899</v>
      </c>
      <c r="E1970" s="10">
        <v>2.5319271575884899</v>
      </c>
      <c r="F1970" s="10">
        <v>1.1343755412540501E-2</v>
      </c>
      <c r="G1970" s="10">
        <v>3.5335921313077598E-2</v>
      </c>
      <c r="H1970" s="10" t="s">
        <v>3954</v>
      </c>
      <c r="I1970" s="10" t="s">
        <v>18</v>
      </c>
    </row>
    <row r="1971" spans="1:9" x14ac:dyDescent="0.2">
      <c r="A1971" s="10" t="s">
        <v>3955</v>
      </c>
      <c r="B1971" s="10">
        <v>11.595730324701799</v>
      </c>
      <c r="C1971" s="10">
        <v>3.8059524816440198</v>
      </c>
      <c r="D1971" s="10">
        <v>1.2384171727579301</v>
      </c>
      <c r="E1971" s="10">
        <v>3.07323942639478</v>
      </c>
      <c r="F1971" s="10">
        <v>2.1174852273343598E-3</v>
      </c>
      <c r="G1971" s="10">
        <v>8.4758513279241006E-3</v>
      </c>
      <c r="H1971" s="10" t="s">
        <v>3956</v>
      </c>
      <c r="I1971" s="10" t="s">
        <v>18</v>
      </c>
    </row>
    <row r="1972" spans="1:9" x14ac:dyDescent="0.2">
      <c r="A1972" s="10" t="s">
        <v>3957</v>
      </c>
      <c r="B1972" s="10">
        <v>140.01252726976799</v>
      </c>
      <c r="C1972" s="10">
        <v>-1.2066028413657901</v>
      </c>
      <c r="D1972" s="10">
        <v>0.340141743784378</v>
      </c>
      <c r="E1972" s="10">
        <v>-3.5473530180132098</v>
      </c>
      <c r="F1972" s="10">
        <v>3.8912280794106598E-4</v>
      </c>
      <c r="G1972" s="10">
        <v>1.92212276069076E-3</v>
      </c>
      <c r="H1972" s="10" t="s">
        <v>3958</v>
      </c>
      <c r="I1972" s="10" t="s">
        <v>18</v>
      </c>
    </row>
    <row r="1973" spans="1:9" x14ac:dyDescent="0.2">
      <c r="A1973" s="10" t="s">
        <v>3959</v>
      </c>
      <c r="B1973" s="10">
        <v>1144.6801943881401</v>
      </c>
      <c r="C1973" s="10">
        <v>1.75812915223105</v>
      </c>
      <c r="D1973" s="10">
        <v>0.20572795576271699</v>
      </c>
      <c r="E1973" s="10">
        <v>8.5458932681897899</v>
      </c>
      <c r="F1973" s="4">
        <v>1.27545853175469E-17</v>
      </c>
      <c r="G1973" s="4">
        <v>4.0129813642863802E-16</v>
      </c>
      <c r="H1973" s="10" t="s">
        <v>3960</v>
      </c>
      <c r="I1973" s="10" t="s">
        <v>18</v>
      </c>
    </row>
    <row r="1974" spans="1:9" x14ac:dyDescent="0.2">
      <c r="A1974" s="10" t="s">
        <v>3961</v>
      </c>
      <c r="B1974" s="10">
        <v>8931.7823565424096</v>
      </c>
      <c r="C1974" s="10">
        <v>3.2387140040939002</v>
      </c>
      <c r="D1974" s="10">
        <v>0.17880597321924399</v>
      </c>
      <c r="E1974" s="10">
        <v>18.113007892206799</v>
      </c>
      <c r="F1974" s="4">
        <v>2.5161689660139802E-73</v>
      </c>
      <c r="G1974" s="4">
        <v>1.37116111633966E-70</v>
      </c>
      <c r="H1974" s="10" t="s">
        <v>3962</v>
      </c>
      <c r="I1974" s="10" t="s">
        <v>18</v>
      </c>
    </row>
    <row r="1975" spans="1:9" x14ac:dyDescent="0.2">
      <c r="A1975" s="10" t="s">
        <v>3963</v>
      </c>
      <c r="B1975" s="10">
        <v>3.7443793362539499</v>
      </c>
      <c r="C1975" s="10">
        <v>5.3028405840866704</v>
      </c>
      <c r="D1975" s="10">
        <v>2.1958005004532399</v>
      </c>
      <c r="E1975" s="10">
        <v>2.4149919735386298</v>
      </c>
      <c r="F1975" s="10">
        <v>1.5735556439619401E-2</v>
      </c>
      <c r="G1975" s="10">
        <v>4.6361019280959197E-2</v>
      </c>
      <c r="H1975" s="10" t="s">
        <v>3964</v>
      </c>
      <c r="I1975" s="10" t="s">
        <v>18</v>
      </c>
    </row>
    <row r="1976" spans="1:9" x14ac:dyDescent="0.2">
      <c r="A1976" s="10" t="s">
        <v>3965</v>
      </c>
      <c r="B1976" s="10">
        <v>1263.3643260860099</v>
      </c>
      <c r="C1976" s="10">
        <v>1.3988372822614099</v>
      </c>
      <c r="D1976" s="10">
        <v>0.20039367041426501</v>
      </c>
      <c r="E1976" s="10">
        <v>6.9804464351077398</v>
      </c>
      <c r="F1976" s="4">
        <v>2.9424353389626999E-12</v>
      </c>
      <c r="G1976" s="4">
        <v>5.5063554725766898E-11</v>
      </c>
      <c r="H1976" s="10" t="s">
        <v>3966</v>
      </c>
      <c r="I1976" s="10" t="s">
        <v>18</v>
      </c>
    </row>
    <row r="1977" spans="1:9" x14ac:dyDescent="0.2">
      <c r="A1977" s="10" t="s">
        <v>3967</v>
      </c>
      <c r="B1977" s="10">
        <v>377.01990877853899</v>
      </c>
      <c r="C1977" s="10">
        <v>1.01144354254904</v>
      </c>
      <c r="D1977" s="10">
        <v>0.249757610437574</v>
      </c>
      <c r="E1977" s="10">
        <v>4.0497005908128303</v>
      </c>
      <c r="F1977" s="4">
        <v>5.1283203810910298E-5</v>
      </c>
      <c r="G1977" s="10">
        <v>3.1301824691663799E-4</v>
      </c>
      <c r="H1977" s="10" t="s">
        <v>3968</v>
      </c>
      <c r="I1977" s="10" t="s">
        <v>18</v>
      </c>
    </row>
    <row r="1978" spans="1:9" x14ac:dyDescent="0.2">
      <c r="A1978" s="10" t="s">
        <v>3969</v>
      </c>
      <c r="B1978" s="10">
        <v>347.71174837638398</v>
      </c>
      <c r="C1978" s="10">
        <v>-1.1084022254452699</v>
      </c>
      <c r="D1978" s="10">
        <v>0.27127050162272498</v>
      </c>
      <c r="E1978" s="10">
        <v>-4.0859666599017004</v>
      </c>
      <c r="F1978" s="4">
        <v>4.3893681460376702E-5</v>
      </c>
      <c r="G1978" s="10">
        <v>2.7137988172246103E-4</v>
      </c>
      <c r="H1978" s="10" t="s">
        <v>3970</v>
      </c>
      <c r="I1978" s="10" t="s">
        <v>18</v>
      </c>
    </row>
    <row r="1979" spans="1:9" x14ac:dyDescent="0.2">
      <c r="A1979" s="10" t="s">
        <v>3971</v>
      </c>
      <c r="B1979" s="10">
        <v>55.006282679235603</v>
      </c>
      <c r="C1979" s="10">
        <v>6.7195081759130204</v>
      </c>
      <c r="D1979" s="10">
        <v>1.1295493880374901</v>
      </c>
      <c r="E1979" s="10">
        <v>5.9488396409011299</v>
      </c>
      <c r="F1979" s="4">
        <v>2.7005004463643399E-9</v>
      </c>
      <c r="G1979" s="4">
        <v>3.4593575769670601E-8</v>
      </c>
      <c r="H1979" s="10" t="s">
        <v>3972</v>
      </c>
      <c r="I1979" s="10" t="s">
        <v>18</v>
      </c>
    </row>
    <row r="1980" spans="1:9" x14ac:dyDescent="0.2">
      <c r="A1980" s="10" t="s">
        <v>3973</v>
      </c>
      <c r="B1980" s="10">
        <v>7.7120743520416397</v>
      </c>
      <c r="C1980" s="10">
        <v>4.8458906252752403</v>
      </c>
      <c r="D1980" s="10">
        <v>1.82629528019091</v>
      </c>
      <c r="E1980" s="10">
        <v>2.6533993039552102</v>
      </c>
      <c r="F1980" s="10">
        <v>7.9685542442490404E-3</v>
      </c>
      <c r="G1980" s="10">
        <v>2.6291983227543399E-2</v>
      </c>
      <c r="H1980" s="10" t="s">
        <v>3974</v>
      </c>
      <c r="I1980" s="10" t="s">
        <v>18</v>
      </c>
    </row>
    <row r="1981" spans="1:9" x14ac:dyDescent="0.2">
      <c r="A1981" s="10" t="s">
        <v>3975</v>
      </c>
      <c r="B1981" s="10">
        <v>6.3835807860682898</v>
      </c>
      <c r="C1981" s="10">
        <v>6.0663805584349602</v>
      </c>
      <c r="D1981" s="10">
        <v>1.94430333655855</v>
      </c>
      <c r="E1981" s="10">
        <v>3.1200792820592298</v>
      </c>
      <c r="F1981" s="10">
        <v>1.8080236976030901E-3</v>
      </c>
      <c r="G1981" s="10">
        <v>7.3880056521582697E-3</v>
      </c>
      <c r="H1981" s="10" t="s">
        <v>3976</v>
      </c>
      <c r="I1981" s="10" t="s">
        <v>18</v>
      </c>
    </row>
    <row r="1982" spans="1:9" x14ac:dyDescent="0.2">
      <c r="A1982" s="10" t="s">
        <v>3977</v>
      </c>
      <c r="B1982" s="10">
        <v>20.5458250830984</v>
      </c>
      <c r="C1982" s="10">
        <v>7.7536065166182198</v>
      </c>
      <c r="D1982" s="10">
        <v>1.63214494392882</v>
      </c>
      <c r="E1982" s="10">
        <v>4.7505624702387896</v>
      </c>
      <c r="F1982" s="4">
        <v>2.02851614057324E-6</v>
      </c>
      <c r="G1982" s="4">
        <v>1.6469302527472899E-5</v>
      </c>
      <c r="H1982" s="10" t="s">
        <v>3978</v>
      </c>
      <c r="I1982" s="10" t="s">
        <v>18</v>
      </c>
    </row>
    <row r="1983" spans="1:9" x14ac:dyDescent="0.2">
      <c r="A1983" s="10" t="s">
        <v>3979</v>
      </c>
      <c r="B1983" s="10">
        <v>182.400513030452</v>
      </c>
      <c r="C1983" s="10">
        <v>-2.05313082160042</v>
      </c>
      <c r="D1983" s="10">
        <v>0.31982896292872398</v>
      </c>
      <c r="E1983" s="10">
        <v>-6.4194649627712899</v>
      </c>
      <c r="F1983" s="4">
        <v>1.3675412567547999E-10</v>
      </c>
      <c r="G1983" s="4">
        <v>2.0863044021723399E-9</v>
      </c>
      <c r="H1983" s="10" t="s">
        <v>3980</v>
      </c>
      <c r="I1983" s="10" t="s">
        <v>18</v>
      </c>
    </row>
    <row r="1984" spans="1:9" x14ac:dyDescent="0.2">
      <c r="A1984" s="10" t="s">
        <v>3981</v>
      </c>
      <c r="B1984" s="10">
        <v>203.106137192185</v>
      </c>
      <c r="C1984" s="10">
        <v>4.6057630927417303</v>
      </c>
      <c r="D1984" s="10">
        <v>0.41716795533030299</v>
      </c>
      <c r="E1984" s="10">
        <v>11.0405486181099</v>
      </c>
      <c r="F1984" s="4">
        <v>2.4354159802838299E-28</v>
      </c>
      <c r="G1984" s="4">
        <v>1.6799437775897099E-26</v>
      </c>
      <c r="H1984" s="10" t="s">
        <v>3982</v>
      </c>
      <c r="I1984" s="10" t="s">
        <v>18</v>
      </c>
    </row>
    <row r="1985" spans="1:9" x14ac:dyDescent="0.2">
      <c r="A1985" s="10" t="s">
        <v>3983</v>
      </c>
      <c r="B1985" s="10">
        <v>18.181591113001701</v>
      </c>
      <c r="C1985" s="10">
        <v>2.2819552399174299</v>
      </c>
      <c r="D1985" s="10">
        <v>0.838943452795338</v>
      </c>
      <c r="E1985" s="10">
        <v>2.7200346248773002</v>
      </c>
      <c r="F1985" s="10">
        <v>6.5275080889932802E-3</v>
      </c>
      <c r="G1985" s="10">
        <v>2.2223542784056E-2</v>
      </c>
      <c r="H1985" s="10" t="s">
        <v>3984</v>
      </c>
      <c r="I1985" s="10" t="s">
        <v>18</v>
      </c>
    </row>
    <row r="1986" spans="1:9" x14ac:dyDescent="0.2">
      <c r="A1986" s="10" t="s">
        <v>3985</v>
      </c>
      <c r="B1986" s="10">
        <v>22.505438751560899</v>
      </c>
      <c r="C1986" s="10">
        <v>4.8073480609900496</v>
      </c>
      <c r="D1986" s="10">
        <v>1.06995645802921</v>
      </c>
      <c r="E1986" s="10">
        <v>4.4930314919962804</v>
      </c>
      <c r="F1986" s="4">
        <v>7.0216396310143404E-6</v>
      </c>
      <c r="G1986" s="4">
        <v>5.1374493830893597E-5</v>
      </c>
      <c r="H1986" s="10" t="s">
        <v>3986</v>
      </c>
      <c r="I1986" s="10" t="s">
        <v>18</v>
      </c>
    </row>
    <row r="1987" spans="1:9" x14ac:dyDescent="0.2">
      <c r="A1987" s="10" t="s">
        <v>3987</v>
      </c>
      <c r="B1987" s="10">
        <v>6260.7494425621098</v>
      </c>
      <c r="C1987" s="10">
        <v>-2.0646745816836201</v>
      </c>
      <c r="D1987" s="10">
        <v>0.173647720532773</v>
      </c>
      <c r="E1987" s="10">
        <v>-11.8900183391348</v>
      </c>
      <c r="F1987" s="4">
        <v>1.3337729582433801E-32</v>
      </c>
      <c r="G1987" s="4">
        <v>1.21137705977524E-30</v>
      </c>
      <c r="H1987" s="10" t="s">
        <v>3988</v>
      </c>
      <c r="I1987" s="10" t="s">
        <v>18</v>
      </c>
    </row>
    <row r="1988" spans="1:9" x14ac:dyDescent="0.2">
      <c r="A1988" s="10" t="s">
        <v>3989</v>
      </c>
      <c r="B1988" s="10">
        <v>6645.1346485399999</v>
      </c>
      <c r="C1988" s="10">
        <v>-1.77061964168803</v>
      </c>
      <c r="D1988" s="10">
        <v>0.17177959677343099</v>
      </c>
      <c r="E1988" s="10">
        <v>-10.3075084290912</v>
      </c>
      <c r="F1988" s="4">
        <v>6.5168944997925899E-25</v>
      </c>
      <c r="G1988" s="4">
        <v>3.6090614722733498E-23</v>
      </c>
      <c r="H1988" s="10" t="s">
        <v>3990</v>
      </c>
      <c r="I1988" s="10" t="s">
        <v>18</v>
      </c>
    </row>
    <row r="1989" spans="1:9" x14ac:dyDescent="0.2">
      <c r="A1989" s="10" t="s">
        <v>3991</v>
      </c>
      <c r="B1989" s="10">
        <v>24.711673922561602</v>
      </c>
      <c r="C1989" s="10">
        <v>2.4368555679534398</v>
      </c>
      <c r="D1989" s="10">
        <v>0.80004729590118495</v>
      </c>
      <c r="E1989" s="10">
        <v>3.04588938733745</v>
      </c>
      <c r="F1989" s="10">
        <v>2.3199316496757502E-3</v>
      </c>
      <c r="G1989" s="10">
        <v>9.1477825844739607E-3</v>
      </c>
      <c r="H1989" s="10" t="s">
        <v>3992</v>
      </c>
      <c r="I1989" s="10" t="s">
        <v>18</v>
      </c>
    </row>
    <row r="1990" spans="1:9" x14ac:dyDescent="0.2">
      <c r="A1990" s="10" t="s">
        <v>3993</v>
      </c>
      <c r="B1990" s="10">
        <v>33.526015517219101</v>
      </c>
      <c r="C1990" s="10">
        <v>-1.57229125529434</v>
      </c>
      <c r="D1990" s="10">
        <v>0.61879390760538899</v>
      </c>
      <c r="E1990" s="10">
        <v>-2.5408964696805101</v>
      </c>
      <c r="F1990" s="10">
        <v>1.10568654667343E-2</v>
      </c>
      <c r="G1990" s="10">
        <v>3.4636285740642703E-2</v>
      </c>
      <c r="H1990" s="10" t="s">
        <v>3994</v>
      </c>
      <c r="I1990" s="10" t="s">
        <v>18</v>
      </c>
    </row>
    <row r="1991" spans="1:9" x14ac:dyDescent="0.2">
      <c r="A1991" s="10" t="s">
        <v>3995</v>
      </c>
      <c r="B1991" s="10">
        <v>19.960171724407299</v>
      </c>
      <c r="C1991" s="10">
        <v>6.25381298672339</v>
      </c>
      <c r="D1991" s="10">
        <v>1.6090658831609901</v>
      </c>
      <c r="E1991" s="10">
        <v>3.8866108915552098</v>
      </c>
      <c r="F1991" s="10">
        <v>1.0165350061001299E-4</v>
      </c>
      <c r="G1991" s="10">
        <v>5.81295803024562E-4</v>
      </c>
      <c r="H1991" s="10" t="s">
        <v>3996</v>
      </c>
      <c r="I1991" s="10" t="s">
        <v>18</v>
      </c>
    </row>
    <row r="1992" spans="1:9" x14ac:dyDescent="0.2">
      <c r="A1992" s="10" t="s">
        <v>3997</v>
      </c>
      <c r="B1992" s="10">
        <v>1394.8721232579601</v>
      </c>
      <c r="C1992" s="10">
        <v>-1.8997384011385501</v>
      </c>
      <c r="D1992" s="10">
        <v>0.207661967259168</v>
      </c>
      <c r="E1992" s="10">
        <v>-9.1482250034144403</v>
      </c>
      <c r="F1992" s="4">
        <v>5.7876650857813101E-20</v>
      </c>
      <c r="G1992" s="4">
        <v>2.2242103045456102E-18</v>
      </c>
      <c r="H1992" s="10" t="s">
        <v>3998</v>
      </c>
      <c r="I1992" s="10" t="s">
        <v>18</v>
      </c>
    </row>
    <row r="1993" spans="1:9" x14ac:dyDescent="0.2">
      <c r="A1993" s="10" t="s">
        <v>3999</v>
      </c>
      <c r="B1993" s="10">
        <v>4790.3006546796796</v>
      </c>
      <c r="C1993" s="10">
        <v>-2.9240792855799902</v>
      </c>
      <c r="D1993" s="10">
        <v>0.19737898047788699</v>
      </c>
      <c r="E1993" s="10">
        <v>-14.814542452799699</v>
      </c>
      <c r="F1993" s="4">
        <v>1.17989944567286E-49</v>
      </c>
      <c r="G1993" s="4">
        <v>2.34662191213492E-47</v>
      </c>
      <c r="H1993" s="10" t="s">
        <v>4000</v>
      </c>
      <c r="I1993" s="10" t="s">
        <v>18</v>
      </c>
    </row>
    <row r="1994" spans="1:9" x14ac:dyDescent="0.2">
      <c r="A1994" s="10" t="s">
        <v>4001</v>
      </c>
      <c r="B1994" s="10">
        <v>518.11891245450295</v>
      </c>
      <c r="C1994" s="10">
        <v>3.23126130052264</v>
      </c>
      <c r="D1994" s="10">
        <v>0.246062745461854</v>
      </c>
      <c r="E1994" s="10">
        <v>13.1318590892646</v>
      </c>
      <c r="F1994" s="4">
        <v>2.1628077616701099E-39</v>
      </c>
      <c r="G1994" s="4">
        <v>2.87463527230369E-37</v>
      </c>
      <c r="H1994" s="10" t="s">
        <v>4002</v>
      </c>
      <c r="I1994" s="10" t="s">
        <v>18</v>
      </c>
    </row>
    <row r="1995" spans="1:9" x14ac:dyDescent="0.2">
      <c r="A1995" s="10" t="s">
        <v>4003</v>
      </c>
      <c r="B1995" s="10">
        <v>6436.2673135426203</v>
      </c>
      <c r="C1995" s="10">
        <v>-2.0688161805582101</v>
      </c>
      <c r="D1995" s="10">
        <v>0.21592739171389599</v>
      </c>
      <c r="E1995" s="10">
        <v>-9.5810733605275402</v>
      </c>
      <c r="F1995" s="4">
        <v>9.6041563069999291E-22</v>
      </c>
      <c r="G1995" s="4">
        <v>4.28288783791861E-20</v>
      </c>
      <c r="H1995" s="10" t="s">
        <v>4004</v>
      </c>
      <c r="I1995" s="10" t="s">
        <v>18</v>
      </c>
    </row>
    <row r="1996" spans="1:9" x14ac:dyDescent="0.2">
      <c r="A1996" s="10" t="s">
        <v>4005</v>
      </c>
      <c r="B1996" s="10">
        <v>3.8168555458674298</v>
      </c>
      <c r="C1996" s="10">
        <v>5.3279350919035302</v>
      </c>
      <c r="D1996" s="10">
        <v>2.1809774924298599</v>
      </c>
      <c r="E1996" s="10">
        <v>2.4429115432858599</v>
      </c>
      <c r="F1996" s="10">
        <v>1.4569307781241599E-2</v>
      </c>
      <c r="G1996" s="10">
        <v>4.3474967595607303E-2</v>
      </c>
      <c r="H1996" s="10" t="s">
        <v>4006</v>
      </c>
      <c r="I1996" s="10" t="s">
        <v>18</v>
      </c>
    </row>
    <row r="1997" spans="1:9" x14ac:dyDescent="0.2">
      <c r="A1997" s="10" t="s">
        <v>4007</v>
      </c>
      <c r="B1997" s="10">
        <v>7.7150801424145401</v>
      </c>
      <c r="C1997" s="10">
        <v>4.8509220906491199</v>
      </c>
      <c r="D1997" s="10">
        <v>1.8298238980066699</v>
      </c>
      <c r="E1997" s="10">
        <v>2.6510322091287102</v>
      </c>
      <c r="F1997" s="10">
        <v>8.0246188397527906E-3</v>
      </c>
      <c r="G1997" s="10">
        <v>2.64385477057732E-2</v>
      </c>
      <c r="H1997" s="10" t="s">
        <v>4008</v>
      </c>
      <c r="I1997" s="10" t="s">
        <v>18</v>
      </c>
    </row>
    <row r="1998" spans="1:9" x14ac:dyDescent="0.2">
      <c r="A1998" s="10" t="s">
        <v>4009</v>
      </c>
      <c r="B1998" s="10">
        <v>14.138327359407601</v>
      </c>
      <c r="C1998" s="10">
        <v>2.7758450762665099</v>
      </c>
      <c r="D1998" s="10">
        <v>0.99606699439414004</v>
      </c>
      <c r="E1998" s="10">
        <v>2.7868055983070898</v>
      </c>
      <c r="F1998" s="10">
        <v>5.3230401357608603E-3</v>
      </c>
      <c r="G1998" s="10">
        <v>1.87096071438437E-2</v>
      </c>
      <c r="H1998" s="10" t="s">
        <v>4010</v>
      </c>
      <c r="I1998" s="10" t="s">
        <v>18</v>
      </c>
    </row>
    <row r="1999" spans="1:9" x14ac:dyDescent="0.2">
      <c r="A1999" s="10" t="s">
        <v>4011</v>
      </c>
      <c r="B1999" s="10">
        <v>1915.92240721025</v>
      </c>
      <c r="C1999" s="10">
        <v>-2.5755971478345798</v>
      </c>
      <c r="D1999" s="10">
        <v>0.21697834277366199</v>
      </c>
      <c r="E1999" s="10">
        <v>-11.870295970143401</v>
      </c>
      <c r="F1999" s="4">
        <v>1.68869148219499E-32</v>
      </c>
      <c r="G1999" s="4">
        <v>1.52356876872076E-30</v>
      </c>
      <c r="H1999" s="10" t="s">
        <v>4012</v>
      </c>
      <c r="I1999" s="10" t="s">
        <v>18</v>
      </c>
    </row>
    <row r="2000" spans="1:9" x14ac:dyDescent="0.2">
      <c r="A2000" s="10" t="s">
        <v>4013</v>
      </c>
      <c r="B2000" s="10">
        <v>12.0393936856289</v>
      </c>
      <c r="C2000" s="10">
        <v>6.9866441689233101</v>
      </c>
      <c r="D2000" s="10">
        <v>1.71389088575245</v>
      </c>
      <c r="E2000" s="10">
        <v>4.0764813133690003</v>
      </c>
      <c r="F2000" s="4">
        <v>4.5722328080542599E-5</v>
      </c>
      <c r="G2000" s="10">
        <v>2.8223748826700101E-4</v>
      </c>
      <c r="H2000" s="10" t="s">
        <v>4014</v>
      </c>
      <c r="I2000" s="10" t="s">
        <v>18</v>
      </c>
    </row>
    <row r="2001" spans="1:9" x14ac:dyDescent="0.2">
      <c r="A2001" s="10" t="s">
        <v>4015</v>
      </c>
      <c r="B2001" s="10">
        <v>1313.0600733501999</v>
      </c>
      <c r="C2001" s="10">
        <v>-1.6896370081816601</v>
      </c>
      <c r="D2001" s="10">
        <v>0.18931417473840301</v>
      </c>
      <c r="E2001" s="10">
        <v>-8.9250422506208107</v>
      </c>
      <c r="F2001" s="4">
        <v>4.4552911476220602E-19</v>
      </c>
      <c r="G2001" s="4">
        <v>1.5765365960942599E-17</v>
      </c>
      <c r="H2001" s="10" t="s">
        <v>4016</v>
      </c>
      <c r="I2001" s="10" t="s">
        <v>18</v>
      </c>
    </row>
    <row r="2002" spans="1:9" x14ac:dyDescent="0.2">
      <c r="A2002" s="10" t="s">
        <v>4017</v>
      </c>
      <c r="B2002" s="10">
        <v>328.02515702710502</v>
      </c>
      <c r="C2002" s="10">
        <v>1.1162639061097499</v>
      </c>
      <c r="D2002" s="10">
        <v>0.27337332303540901</v>
      </c>
      <c r="E2002" s="10">
        <v>4.0832949379086303</v>
      </c>
      <c r="F2002" s="4">
        <v>4.4401610978547497E-5</v>
      </c>
      <c r="G2002" s="10">
        <v>2.7433349077834101E-4</v>
      </c>
      <c r="H2002" s="10" t="s">
        <v>4018</v>
      </c>
      <c r="I2002" s="10" t="s">
        <v>18</v>
      </c>
    </row>
    <row r="2003" spans="1:9" x14ac:dyDescent="0.2">
      <c r="A2003" s="10" t="s">
        <v>4019</v>
      </c>
      <c r="B2003" s="10">
        <v>26.717988821072002</v>
      </c>
      <c r="C2003" s="10">
        <v>8.1353321483894891</v>
      </c>
      <c r="D2003" s="10">
        <v>1.5755091087014199</v>
      </c>
      <c r="E2003" s="10">
        <v>5.1636211453546199</v>
      </c>
      <c r="F2003" s="4">
        <v>2.4221769365769801E-7</v>
      </c>
      <c r="G2003" s="4">
        <v>2.3059767641828401E-6</v>
      </c>
      <c r="H2003" s="10" t="s">
        <v>4020</v>
      </c>
      <c r="I2003" s="10" t="s">
        <v>18</v>
      </c>
    </row>
    <row r="2004" spans="1:9" x14ac:dyDescent="0.2">
      <c r="A2004" s="10" t="s">
        <v>4021</v>
      </c>
      <c r="B2004" s="10">
        <v>204.39478452521101</v>
      </c>
      <c r="C2004" s="10">
        <v>1.30893462258479</v>
      </c>
      <c r="D2004" s="10">
        <v>0.30238451468821598</v>
      </c>
      <c r="E2004" s="10">
        <v>4.3287091732670602</v>
      </c>
      <c r="F2004" s="4">
        <v>1.49985838451489E-5</v>
      </c>
      <c r="G2004" s="10">
        <v>1.0252544255613999E-4</v>
      </c>
      <c r="H2004" s="10" t="s">
        <v>4022</v>
      </c>
      <c r="I2004" s="10" t="s">
        <v>18</v>
      </c>
    </row>
    <row r="2005" spans="1:9" x14ac:dyDescent="0.2">
      <c r="A2005" s="10" t="s">
        <v>4023</v>
      </c>
      <c r="B2005" s="10">
        <v>22.962804984974198</v>
      </c>
      <c r="C2005" s="10">
        <v>3.16578398556284</v>
      </c>
      <c r="D2005" s="10">
        <v>0.881559521563548</v>
      </c>
      <c r="E2005" s="10">
        <v>3.5911176819325301</v>
      </c>
      <c r="F2005" s="10">
        <v>3.2926291126849001E-4</v>
      </c>
      <c r="G2005" s="10">
        <v>1.6540240677235501E-3</v>
      </c>
      <c r="H2005" s="10" t="s">
        <v>4024</v>
      </c>
      <c r="I2005" s="10" t="s">
        <v>18</v>
      </c>
    </row>
    <row r="2006" spans="1:9" x14ac:dyDescent="0.2">
      <c r="A2006" s="10" t="s">
        <v>4025</v>
      </c>
      <c r="B2006" s="10">
        <v>82.047407931825902</v>
      </c>
      <c r="C2006" s="10">
        <v>6.7160651016903703</v>
      </c>
      <c r="D2006" s="10">
        <v>0.92693875788857205</v>
      </c>
      <c r="E2006" s="10">
        <v>7.2454248401356702</v>
      </c>
      <c r="F2006" s="4">
        <v>4.31085783535329E-13</v>
      </c>
      <c r="G2006" s="4">
        <v>8.97310492283202E-12</v>
      </c>
      <c r="H2006" s="10" t="s">
        <v>4026</v>
      </c>
      <c r="I2006" s="10" t="s">
        <v>18</v>
      </c>
    </row>
    <row r="2007" spans="1:9" x14ac:dyDescent="0.2">
      <c r="A2007" s="10" t="s">
        <v>4027</v>
      </c>
      <c r="B2007" s="10">
        <v>1498.9648961498101</v>
      </c>
      <c r="C2007" s="10">
        <v>-1.14293138094845</v>
      </c>
      <c r="D2007" s="10">
        <v>0.20255056311776801</v>
      </c>
      <c r="E2007" s="10">
        <v>-5.6426966351306298</v>
      </c>
      <c r="F2007" s="4">
        <v>1.67407168722726E-8</v>
      </c>
      <c r="G2007" s="4">
        <v>1.9286863112846201E-7</v>
      </c>
      <c r="H2007" s="10" t="s">
        <v>4028</v>
      </c>
      <c r="I2007" s="10" t="s">
        <v>18</v>
      </c>
    </row>
    <row r="2008" spans="1:9" x14ac:dyDescent="0.2">
      <c r="A2008" s="10" t="s">
        <v>4029</v>
      </c>
      <c r="B2008" s="10">
        <v>976.38511916989</v>
      </c>
      <c r="C2008" s="10">
        <v>-1.7482322750599</v>
      </c>
      <c r="D2008" s="10">
        <v>0.20483139694199701</v>
      </c>
      <c r="E2008" s="10">
        <v>-8.5349819469080508</v>
      </c>
      <c r="F2008" s="4">
        <v>1.4017731424215099E-17</v>
      </c>
      <c r="G2008" s="4">
        <v>4.3951798402254199E-16</v>
      </c>
      <c r="H2008" s="10" t="s">
        <v>4030</v>
      </c>
      <c r="I2008" s="10" t="s">
        <v>18</v>
      </c>
    </row>
    <row r="2009" spans="1:9" x14ac:dyDescent="0.2">
      <c r="A2009" s="10" t="s">
        <v>4031</v>
      </c>
      <c r="B2009" s="10">
        <v>418.73716836460699</v>
      </c>
      <c r="C2009" s="10">
        <v>2.0780519452414898</v>
      </c>
      <c r="D2009" s="10">
        <v>0.25782450050787897</v>
      </c>
      <c r="E2009" s="10">
        <v>8.0599475268952592</v>
      </c>
      <c r="F2009" s="4">
        <v>7.6327205725347801E-16</v>
      </c>
      <c r="G2009" s="4">
        <v>2.0590964102956001E-14</v>
      </c>
      <c r="H2009" s="10" t="s">
        <v>4032</v>
      </c>
      <c r="I2009" s="10" t="s">
        <v>18</v>
      </c>
    </row>
    <row r="2010" spans="1:9" x14ac:dyDescent="0.2">
      <c r="A2010" s="10" t="s">
        <v>4033</v>
      </c>
      <c r="B2010" s="10">
        <v>127.68900164417801</v>
      </c>
      <c r="C2010" s="10">
        <v>1.15334665475917</v>
      </c>
      <c r="D2010" s="10">
        <v>0.38306528353377201</v>
      </c>
      <c r="E2010" s="10">
        <v>3.01083576177815</v>
      </c>
      <c r="F2010" s="10">
        <v>2.60529729093274E-3</v>
      </c>
      <c r="G2010" s="10">
        <v>1.01192495062073E-2</v>
      </c>
      <c r="H2010" s="10" t="s">
        <v>4034</v>
      </c>
      <c r="I2010" s="10" t="s">
        <v>18</v>
      </c>
    </row>
    <row r="2011" spans="1:9" x14ac:dyDescent="0.2">
      <c r="A2011" s="10" t="s">
        <v>4035</v>
      </c>
      <c r="B2011" s="10">
        <v>26.980672925837901</v>
      </c>
      <c r="C2011" s="10">
        <v>8.1515560414010597</v>
      </c>
      <c r="D2011" s="10">
        <v>1.5765042153198401</v>
      </c>
      <c r="E2011" s="10">
        <v>5.1706528673932501</v>
      </c>
      <c r="F2011" s="4">
        <v>2.3327755265759299E-7</v>
      </c>
      <c r="G2011" s="4">
        <v>2.22708951550857E-6</v>
      </c>
      <c r="H2011" s="10" t="s">
        <v>4036</v>
      </c>
      <c r="I2011" s="10" t="s">
        <v>18</v>
      </c>
    </row>
    <row r="2012" spans="1:9" x14ac:dyDescent="0.2">
      <c r="A2012" s="10" t="s">
        <v>4037</v>
      </c>
      <c r="B2012" s="10">
        <v>51.055490665918597</v>
      </c>
      <c r="C2012" s="10">
        <v>1.64905106905254</v>
      </c>
      <c r="D2012" s="10">
        <v>0.540128130511775</v>
      </c>
      <c r="E2012" s="10">
        <v>3.05307384655202</v>
      </c>
      <c r="F2012" s="10">
        <v>2.26510189800894E-3</v>
      </c>
      <c r="G2012" s="10">
        <v>8.9640132774218492E-3</v>
      </c>
      <c r="H2012" s="10" t="s">
        <v>4038</v>
      </c>
      <c r="I2012" s="10" t="s">
        <v>18</v>
      </c>
    </row>
    <row r="2013" spans="1:9" x14ac:dyDescent="0.2">
      <c r="A2013" s="10" t="s">
        <v>4039</v>
      </c>
      <c r="B2013" s="10">
        <v>96.390761591747307</v>
      </c>
      <c r="C2013" s="10">
        <v>5.9363229511397302</v>
      </c>
      <c r="D2013" s="10">
        <v>0.68963250217526295</v>
      </c>
      <c r="E2013" s="10">
        <v>8.6079512383989698</v>
      </c>
      <c r="F2013" s="4">
        <v>7.4377880853550306E-18</v>
      </c>
      <c r="G2013" s="4">
        <v>2.36749313039332E-16</v>
      </c>
      <c r="H2013" s="10" t="s">
        <v>4040</v>
      </c>
      <c r="I2013" s="10" t="s">
        <v>18</v>
      </c>
    </row>
    <row r="2014" spans="1:9" x14ac:dyDescent="0.2">
      <c r="A2014" s="10" t="s">
        <v>4041</v>
      </c>
      <c r="B2014" s="10">
        <v>3798.4126696843</v>
      </c>
      <c r="C2014" s="10">
        <v>1.21553963279212</v>
      </c>
      <c r="D2014" s="10">
        <v>0.19623273330706101</v>
      </c>
      <c r="E2014" s="10">
        <v>6.1943775246205597</v>
      </c>
      <c r="F2014" s="4">
        <v>5.8515820525232197E-10</v>
      </c>
      <c r="G2014" s="4">
        <v>8.1679332062039002E-9</v>
      </c>
      <c r="H2014" s="10" t="s">
        <v>4042</v>
      </c>
      <c r="I2014" s="10" t="s">
        <v>18</v>
      </c>
    </row>
    <row r="2015" spans="1:9" x14ac:dyDescent="0.2">
      <c r="A2015" s="10" t="s">
        <v>4043</v>
      </c>
      <c r="B2015" s="10">
        <v>10008.772087335299</v>
      </c>
      <c r="C2015" s="10">
        <v>2.1833284824960399</v>
      </c>
      <c r="D2015" s="10">
        <v>0.202427051101668</v>
      </c>
      <c r="E2015" s="10">
        <v>10.785754525463499</v>
      </c>
      <c r="F2015" s="4">
        <v>4.01931251366401E-27</v>
      </c>
      <c r="G2015" s="4">
        <v>2.5889883702081202E-25</v>
      </c>
      <c r="H2015" s="10" t="s">
        <v>4044</v>
      </c>
      <c r="I2015" s="10" t="s">
        <v>18</v>
      </c>
    </row>
    <row r="2016" spans="1:9" x14ac:dyDescent="0.2">
      <c r="A2016" s="10" t="s">
        <v>4045</v>
      </c>
      <c r="B2016" s="10">
        <v>2375.8829724541501</v>
      </c>
      <c r="C2016" s="10">
        <v>1.44396029656173</v>
      </c>
      <c r="D2016" s="10">
        <v>0.217019150553592</v>
      </c>
      <c r="E2016" s="10">
        <v>6.6536077248406</v>
      </c>
      <c r="F2016" s="4">
        <v>2.8599430971106799E-11</v>
      </c>
      <c r="G2016" s="4">
        <v>4.8012858636460097E-10</v>
      </c>
      <c r="H2016" s="10" t="s">
        <v>4046</v>
      </c>
      <c r="I2016" s="10" t="s">
        <v>18</v>
      </c>
    </row>
    <row r="2017" spans="1:9" x14ac:dyDescent="0.2">
      <c r="A2017" s="10" t="s">
        <v>4047</v>
      </c>
      <c r="B2017" s="10">
        <v>707.98732710514798</v>
      </c>
      <c r="C2017" s="10">
        <v>-1.1781307557063601</v>
      </c>
      <c r="D2017" s="10">
        <v>0.250756924486568</v>
      </c>
      <c r="E2017" s="10">
        <v>-4.6982979956330704</v>
      </c>
      <c r="F2017" s="4">
        <v>2.6233847950392102E-6</v>
      </c>
      <c r="G2017" s="4">
        <v>2.0809131152964601E-5</v>
      </c>
      <c r="H2017" s="10" t="s">
        <v>4048</v>
      </c>
      <c r="I2017" s="10" t="s">
        <v>18</v>
      </c>
    </row>
    <row r="2018" spans="1:9" x14ac:dyDescent="0.2">
      <c r="A2018" s="10" t="s">
        <v>4049</v>
      </c>
      <c r="B2018" s="10">
        <v>1663.4278825101301</v>
      </c>
      <c r="C2018" s="10">
        <v>-1.78367223196811</v>
      </c>
      <c r="D2018" s="10">
        <v>0.225033786097003</v>
      </c>
      <c r="E2018" s="10">
        <v>-7.9262419341744401</v>
      </c>
      <c r="F2018" s="4">
        <v>2.25877330437424E-15</v>
      </c>
      <c r="G2018" s="4">
        <v>5.8558321811879094E-14</v>
      </c>
      <c r="H2018" s="10" t="s">
        <v>4050</v>
      </c>
      <c r="I2018" s="10" t="s">
        <v>18</v>
      </c>
    </row>
    <row r="2019" spans="1:9" x14ac:dyDescent="0.2">
      <c r="A2019" s="10" t="s">
        <v>4051</v>
      </c>
      <c r="B2019" s="10">
        <v>905.52103810801998</v>
      </c>
      <c r="C2019" s="10">
        <v>-1.05079747673932</v>
      </c>
      <c r="D2019" s="10">
        <v>0.22788962151324901</v>
      </c>
      <c r="E2019" s="10">
        <v>-4.6109931192203497</v>
      </c>
      <c r="F2019" s="4">
        <v>4.0074980418718901E-6</v>
      </c>
      <c r="G2019" s="4">
        <v>3.0845282244882299E-5</v>
      </c>
      <c r="H2019" s="10" t="s">
        <v>4052</v>
      </c>
      <c r="I2019" s="10" t="s">
        <v>18</v>
      </c>
    </row>
    <row r="2020" spans="1:9" x14ac:dyDescent="0.2">
      <c r="A2020" s="10" t="s">
        <v>4053</v>
      </c>
      <c r="B2020" s="10">
        <v>3948.0082929633299</v>
      </c>
      <c r="C2020" s="10">
        <v>-1.268150035701</v>
      </c>
      <c r="D2020" s="10">
        <v>0.214987710218768</v>
      </c>
      <c r="E2020" s="10">
        <v>-5.8987094397654296</v>
      </c>
      <c r="F2020" s="4">
        <v>3.6635572553281099E-9</v>
      </c>
      <c r="G2020" s="4">
        <v>4.6363652826718502E-8</v>
      </c>
      <c r="H2020" s="10" t="s">
        <v>4054</v>
      </c>
      <c r="I2020" s="10" t="s">
        <v>18</v>
      </c>
    </row>
    <row r="2021" spans="1:9" x14ac:dyDescent="0.2">
      <c r="A2021" s="10" t="s">
        <v>4055</v>
      </c>
      <c r="B2021" s="10">
        <v>904.69186105679705</v>
      </c>
      <c r="C2021" s="10">
        <v>-1.329497669992</v>
      </c>
      <c r="D2021" s="10">
        <v>0.25006850735477998</v>
      </c>
      <c r="E2021" s="10">
        <v>-5.3165337933008896</v>
      </c>
      <c r="F2021" s="4">
        <v>1.0576258771829501E-7</v>
      </c>
      <c r="G2021" s="4">
        <v>1.07047296714724E-6</v>
      </c>
      <c r="H2021" s="10" t="s">
        <v>4056</v>
      </c>
      <c r="I2021" s="10" t="s">
        <v>18</v>
      </c>
    </row>
    <row r="2022" spans="1:9" x14ac:dyDescent="0.2">
      <c r="A2022" s="10" t="s">
        <v>4057</v>
      </c>
      <c r="B2022" s="10">
        <v>113.466417347568</v>
      </c>
      <c r="C2022" s="10">
        <v>-2.8039922611509498</v>
      </c>
      <c r="D2022" s="10">
        <v>0.38210733992565898</v>
      </c>
      <c r="E2022" s="10">
        <v>-7.3382318740500496</v>
      </c>
      <c r="F2022" s="4">
        <v>2.16433972178801E-13</v>
      </c>
      <c r="G2022" s="4">
        <v>4.65444075766046E-12</v>
      </c>
      <c r="H2022" s="10" t="s">
        <v>4058</v>
      </c>
      <c r="I2022" s="10" t="s">
        <v>18</v>
      </c>
    </row>
    <row r="2023" spans="1:9" x14ac:dyDescent="0.2">
      <c r="A2023" s="10" t="s">
        <v>4059</v>
      </c>
      <c r="B2023" s="10">
        <v>1336.0989954357001</v>
      </c>
      <c r="C2023" s="10">
        <v>-1.53255889440069</v>
      </c>
      <c r="D2023" s="10">
        <v>0.232258655402378</v>
      </c>
      <c r="E2023" s="10">
        <v>-6.5985006747998201</v>
      </c>
      <c r="F2023" s="4">
        <v>4.1533659053546002E-11</v>
      </c>
      <c r="G2023" s="4">
        <v>6.8131704288498897E-10</v>
      </c>
      <c r="H2023" s="10" t="s">
        <v>4060</v>
      </c>
      <c r="I2023" s="10" t="s">
        <v>18</v>
      </c>
    </row>
    <row r="2024" spans="1:9" x14ac:dyDescent="0.2">
      <c r="A2024" s="10" t="s">
        <v>4061</v>
      </c>
      <c r="B2024" s="10">
        <v>468.90899947448298</v>
      </c>
      <c r="C2024" s="10">
        <v>-1.4416523947411599</v>
      </c>
      <c r="D2024" s="10">
        <v>0.22805514782695799</v>
      </c>
      <c r="E2024" s="10">
        <v>-6.3215077952770002</v>
      </c>
      <c r="F2024" s="4">
        <v>2.5902330855015201E-10</v>
      </c>
      <c r="G2024" s="4">
        <v>3.7822122658445803E-9</v>
      </c>
      <c r="H2024" s="10" t="s">
        <v>4062</v>
      </c>
      <c r="I2024" s="10" t="s">
        <v>18</v>
      </c>
    </row>
    <row r="2025" spans="1:9" x14ac:dyDescent="0.2">
      <c r="A2025" s="10" t="s">
        <v>4063</v>
      </c>
      <c r="B2025" s="10">
        <v>14.425139669668599</v>
      </c>
      <c r="C2025" s="10">
        <v>4.14377506077932</v>
      </c>
      <c r="D2025" s="10">
        <v>1.17163515230212</v>
      </c>
      <c r="E2025" s="10">
        <v>3.5367452509745001</v>
      </c>
      <c r="F2025" s="10">
        <v>4.0509019760579499E-4</v>
      </c>
      <c r="G2025" s="10">
        <v>1.9919676257291298E-3</v>
      </c>
      <c r="H2025" s="10" t="s">
        <v>4064</v>
      </c>
      <c r="I2025" s="10" t="s">
        <v>18</v>
      </c>
    </row>
    <row r="2026" spans="1:9" x14ac:dyDescent="0.2">
      <c r="A2026" s="10" t="s">
        <v>4065</v>
      </c>
      <c r="B2026" s="10">
        <v>554.77611737621305</v>
      </c>
      <c r="C2026" s="10">
        <v>2.8077599419922099</v>
      </c>
      <c r="D2026" s="10">
        <v>0.24414900453098701</v>
      </c>
      <c r="E2026" s="10">
        <v>11.500190006451</v>
      </c>
      <c r="F2026" s="4">
        <v>1.3162535319303899E-30</v>
      </c>
      <c r="G2026" s="4">
        <v>1.0769957953305501E-28</v>
      </c>
      <c r="H2026" s="10" t="s">
        <v>4066</v>
      </c>
      <c r="I2026" s="10" t="s">
        <v>18</v>
      </c>
    </row>
    <row r="2027" spans="1:9" x14ac:dyDescent="0.2">
      <c r="A2027" s="10" t="s">
        <v>4067</v>
      </c>
      <c r="B2027" s="10">
        <v>161.38273709555699</v>
      </c>
      <c r="C2027" s="10">
        <v>-1.1933162727848401</v>
      </c>
      <c r="D2027" s="10">
        <v>0.33677201003432899</v>
      </c>
      <c r="E2027" s="10">
        <v>-3.5433950483687702</v>
      </c>
      <c r="F2027" s="10">
        <v>3.9501050034166502E-4</v>
      </c>
      <c r="G2027" s="10">
        <v>1.94626602220784E-3</v>
      </c>
      <c r="H2027" s="10" t="s">
        <v>4068</v>
      </c>
      <c r="I2027" s="10" t="s">
        <v>18</v>
      </c>
    </row>
    <row r="2028" spans="1:9" x14ac:dyDescent="0.2">
      <c r="A2028" s="10" t="s">
        <v>4069</v>
      </c>
      <c r="B2028" s="10">
        <v>171.34737441675301</v>
      </c>
      <c r="C2028" s="10">
        <v>4.5577792094855702</v>
      </c>
      <c r="D2028" s="10">
        <v>0.40429103816661899</v>
      </c>
      <c r="E2028" s="10">
        <v>11.273510365587599</v>
      </c>
      <c r="F2028" s="4">
        <v>1.7735503310030799E-29</v>
      </c>
      <c r="G2028" s="4">
        <v>1.3275803810121201E-27</v>
      </c>
      <c r="H2028" s="10" t="s">
        <v>4070</v>
      </c>
      <c r="I2028" s="10" t="s">
        <v>18</v>
      </c>
    </row>
    <row r="2029" spans="1:9" x14ac:dyDescent="0.2">
      <c r="A2029" s="10" t="s">
        <v>4071</v>
      </c>
      <c r="B2029" s="10">
        <v>5.1364562707746</v>
      </c>
      <c r="C2029" s="10">
        <v>5.7531737618863001</v>
      </c>
      <c r="D2029" s="10">
        <v>2.0366314197419402</v>
      </c>
      <c r="E2029" s="10">
        <v>2.8248477884207799</v>
      </c>
      <c r="F2029" s="10">
        <v>4.7303081241233903E-3</v>
      </c>
      <c r="G2029" s="10">
        <v>1.69342669107857E-2</v>
      </c>
      <c r="H2029" s="10" t="s">
        <v>4072</v>
      </c>
      <c r="I2029" s="10" t="s">
        <v>18</v>
      </c>
    </row>
    <row r="2030" spans="1:9" x14ac:dyDescent="0.2">
      <c r="A2030" s="10" t="s">
        <v>4073</v>
      </c>
      <c r="B2030" s="10">
        <v>174.58207454137801</v>
      </c>
      <c r="C2030" s="10">
        <v>2.08225464414007</v>
      </c>
      <c r="D2030" s="10">
        <v>0.31606005946282001</v>
      </c>
      <c r="E2030" s="10">
        <v>6.58816127440807</v>
      </c>
      <c r="F2030" s="4">
        <v>4.4530680268624899E-11</v>
      </c>
      <c r="G2030" s="4">
        <v>7.2697869699174502E-10</v>
      </c>
      <c r="H2030" s="10" t="s">
        <v>4074</v>
      </c>
      <c r="I2030" s="10" t="s">
        <v>18</v>
      </c>
    </row>
    <row r="2031" spans="1:9" x14ac:dyDescent="0.2">
      <c r="A2031" s="10" t="s">
        <v>4075</v>
      </c>
      <c r="B2031" s="10">
        <v>901.17750056862303</v>
      </c>
      <c r="C2031" s="10">
        <v>1.7172938469712</v>
      </c>
      <c r="D2031" s="10">
        <v>0.21304429156641799</v>
      </c>
      <c r="E2031" s="10">
        <v>8.0607362644862004</v>
      </c>
      <c r="F2031" s="4">
        <v>7.5836286525970202E-16</v>
      </c>
      <c r="G2031" s="4">
        <v>2.0478803755927801E-14</v>
      </c>
      <c r="H2031" s="10" t="s">
        <v>4076</v>
      </c>
      <c r="I2031" s="10" t="s">
        <v>18</v>
      </c>
    </row>
    <row r="2032" spans="1:9" x14ac:dyDescent="0.2">
      <c r="A2032" s="10" t="s">
        <v>4077</v>
      </c>
      <c r="B2032" s="10">
        <v>3161.1618745118599</v>
      </c>
      <c r="C2032" s="10">
        <v>-1.76699372108111</v>
      </c>
      <c r="D2032" s="10">
        <v>0.19628516615104399</v>
      </c>
      <c r="E2032" s="10">
        <v>-9.0021765563342804</v>
      </c>
      <c r="F2032" s="4">
        <v>2.2128632805641902E-19</v>
      </c>
      <c r="G2032" s="4">
        <v>8.0178039635016602E-18</v>
      </c>
      <c r="H2032" s="10" t="s">
        <v>4078</v>
      </c>
      <c r="I2032" s="10" t="s">
        <v>18</v>
      </c>
    </row>
    <row r="2033" spans="1:9" x14ac:dyDescent="0.2">
      <c r="A2033" s="10" t="s">
        <v>4079</v>
      </c>
      <c r="B2033" s="10">
        <v>202.87637138749699</v>
      </c>
      <c r="C2033" s="10">
        <v>8.6132464628510199</v>
      </c>
      <c r="D2033" s="10">
        <v>1.07455886890926</v>
      </c>
      <c r="E2033" s="10">
        <v>8.0156115333113398</v>
      </c>
      <c r="F2033" s="4">
        <v>1.0959036677754001E-15</v>
      </c>
      <c r="G2033" s="4">
        <v>2.9160241441285502E-14</v>
      </c>
      <c r="H2033" s="10" t="s">
        <v>4080</v>
      </c>
      <c r="I2033" s="10" t="s">
        <v>18</v>
      </c>
    </row>
    <row r="2034" spans="1:9" x14ac:dyDescent="0.2">
      <c r="A2034" s="10" t="s">
        <v>4081</v>
      </c>
      <c r="B2034" s="10">
        <v>4836.9726437899399</v>
      </c>
      <c r="C2034" s="10">
        <v>-1.26784879300974</v>
      </c>
      <c r="D2034" s="10">
        <v>0.186417477748094</v>
      </c>
      <c r="E2034" s="10">
        <v>-6.8011262051457901</v>
      </c>
      <c r="F2034" s="4">
        <v>1.03804433165309E-11</v>
      </c>
      <c r="G2034" s="4">
        <v>1.8330261765749599E-10</v>
      </c>
      <c r="H2034" s="10" t="s">
        <v>4082</v>
      </c>
      <c r="I2034" s="10" t="s">
        <v>18</v>
      </c>
    </row>
    <row r="2035" spans="1:9" x14ac:dyDescent="0.2">
      <c r="A2035" s="10" t="s">
        <v>4083</v>
      </c>
      <c r="B2035" s="10">
        <v>23.935980567680598</v>
      </c>
      <c r="C2035" s="10">
        <v>2.1665003693930198</v>
      </c>
      <c r="D2035" s="10">
        <v>0.80482385261480305</v>
      </c>
      <c r="E2035" s="10">
        <v>2.6918938378307802</v>
      </c>
      <c r="F2035" s="10">
        <v>7.1047557100021802E-3</v>
      </c>
      <c r="G2035" s="10">
        <v>2.3922797680478201E-2</v>
      </c>
      <c r="H2035" s="10" t="s">
        <v>4084</v>
      </c>
      <c r="I2035" s="10" t="s">
        <v>18</v>
      </c>
    </row>
    <row r="2036" spans="1:9" x14ac:dyDescent="0.2">
      <c r="A2036" s="10" t="s">
        <v>4085</v>
      </c>
      <c r="B2036" s="10">
        <v>69.467449185838305</v>
      </c>
      <c r="C2036" s="10">
        <v>7.0595937916597604</v>
      </c>
      <c r="D2036" s="10">
        <v>1.10829431052868</v>
      </c>
      <c r="E2036" s="10">
        <v>6.3697825790445703</v>
      </c>
      <c r="F2036" s="4">
        <v>1.8929635184604899E-10</v>
      </c>
      <c r="G2036" s="4">
        <v>2.8292691710089398E-9</v>
      </c>
      <c r="H2036" s="10" t="s">
        <v>4086</v>
      </c>
      <c r="I2036" s="10" t="s">
        <v>18</v>
      </c>
    </row>
    <row r="2037" spans="1:9" x14ac:dyDescent="0.2">
      <c r="A2037" s="10" t="s">
        <v>4087</v>
      </c>
      <c r="B2037" s="10">
        <v>427.19495801035299</v>
      </c>
      <c r="C2037" s="10">
        <v>-1.18635525504927</v>
      </c>
      <c r="D2037" s="10">
        <v>0.23849484385316899</v>
      </c>
      <c r="E2037" s="10">
        <v>-4.9743434108775002</v>
      </c>
      <c r="F2037" s="4">
        <v>6.54691600911371E-7</v>
      </c>
      <c r="G2037" s="4">
        <v>5.7856849763987696E-6</v>
      </c>
      <c r="H2037" s="10" t="s">
        <v>4088</v>
      </c>
      <c r="I2037" s="10" t="s">
        <v>18</v>
      </c>
    </row>
    <row r="2038" spans="1:9" x14ac:dyDescent="0.2">
      <c r="A2038" s="10" t="s">
        <v>4089</v>
      </c>
      <c r="B2038" s="10">
        <v>1477.5405656553601</v>
      </c>
      <c r="C2038" s="10">
        <v>-1.9498915366794001</v>
      </c>
      <c r="D2038" s="10">
        <v>0.19694052346338001</v>
      </c>
      <c r="E2038" s="10">
        <v>-9.9009157810122694</v>
      </c>
      <c r="F2038" s="4">
        <v>4.1248046724789698E-23</v>
      </c>
      <c r="G2038" s="4">
        <v>2.0069384448398998E-21</v>
      </c>
      <c r="H2038" s="10" t="s">
        <v>4090</v>
      </c>
      <c r="I2038" s="10" t="s">
        <v>18</v>
      </c>
    </row>
    <row r="2039" spans="1:9" x14ac:dyDescent="0.2">
      <c r="A2039" s="10" t="s">
        <v>4091</v>
      </c>
      <c r="B2039" s="10">
        <v>629.59043920237502</v>
      </c>
      <c r="C2039" s="10">
        <v>-2.0430215051881202</v>
      </c>
      <c r="D2039" s="10">
        <v>0.235426739036356</v>
      </c>
      <c r="E2039" s="10">
        <v>-8.6779501493779705</v>
      </c>
      <c r="F2039" s="4">
        <v>4.0296558383086903E-18</v>
      </c>
      <c r="G2039" s="4">
        <v>1.3149225464239099E-16</v>
      </c>
      <c r="H2039" s="10" t="s">
        <v>4092</v>
      </c>
      <c r="I2039" s="10" t="s">
        <v>18</v>
      </c>
    </row>
    <row r="2040" spans="1:9" x14ac:dyDescent="0.2">
      <c r="A2040" s="10" t="s">
        <v>4093</v>
      </c>
      <c r="B2040" s="10">
        <v>9.24639034443139</v>
      </c>
      <c r="C2040" s="10">
        <v>5.1249119646496899</v>
      </c>
      <c r="D2040" s="10">
        <v>1.76773309424528</v>
      </c>
      <c r="E2040" s="10">
        <v>2.8991435309626001</v>
      </c>
      <c r="F2040" s="10">
        <v>3.7418355920389198E-3</v>
      </c>
      <c r="G2040" s="10">
        <v>1.38580663825315E-2</v>
      </c>
      <c r="H2040" s="10" t="s">
        <v>4094</v>
      </c>
      <c r="I2040" s="10" t="s">
        <v>18</v>
      </c>
    </row>
    <row r="2041" spans="1:9" x14ac:dyDescent="0.2">
      <c r="A2041" s="10" t="s">
        <v>4095</v>
      </c>
      <c r="B2041" s="10">
        <v>12.1118698952423</v>
      </c>
      <c r="C2041" s="10">
        <v>6.9945058841445702</v>
      </c>
      <c r="D2041" s="10">
        <v>1.71195129545554</v>
      </c>
      <c r="E2041" s="10">
        <v>4.08569210041889</v>
      </c>
      <c r="F2041" s="4">
        <v>4.3945623633597901E-5</v>
      </c>
      <c r="G2041" s="10">
        <v>2.7163938456094402E-4</v>
      </c>
      <c r="H2041" s="10" t="s">
        <v>4096</v>
      </c>
      <c r="I2041" s="10" t="s">
        <v>18</v>
      </c>
    </row>
    <row r="2042" spans="1:9" x14ac:dyDescent="0.2">
      <c r="A2042" s="10" t="s">
        <v>4097</v>
      </c>
      <c r="B2042" s="10">
        <v>1632.1126106454799</v>
      </c>
      <c r="C2042" s="10">
        <v>4.2665456077895998</v>
      </c>
      <c r="D2042" s="10">
        <v>0.20938019199657701</v>
      </c>
      <c r="E2042" s="10">
        <v>20.377025959835599</v>
      </c>
      <c r="F2042" s="4">
        <v>2.6741768642003199E-92</v>
      </c>
      <c r="G2042" s="4">
        <v>2.51252748340917E-89</v>
      </c>
      <c r="H2042" s="10" t="s">
        <v>4098</v>
      </c>
      <c r="I2042" s="10" t="s">
        <v>18</v>
      </c>
    </row>
    <row r="2043" spans="1:9" x14ac:dyDescent="0.2">
      <c r="A2043" s="10" t="s">
        <v>4099</v>
      </c>
      <c r="B2043" s="10">
        <v>6.5345447860410504</v>
      </c>
      <c r="C2043" s="10">
        <v>6.1065584322363398</v>
      </c>
      <c r="D2043" s="10">
        <v>1.9147670694155401</v>
      </c>
      <c r="E2043" s="10">
        <v>3.18919127541727</v>
      </c>
      <c r="F2043" s="10">
        <v>1.42671441136191E-3</v>
      </c>
      <c r="G2043" s="10">
        <v>6.0250600691844399E-3</v>
      </c>
      <c r="H2043" s="10" t="s">
        <v>4100</v>
      </c>
      <c r="I2043" s="10" t="s">
        <v>18</v>
      </c>
    </row>
    <row r="2044" spans="1:9" x14ac:dyDescent="0.2">
      <c r="A2044" s="10" t="s">
        <v>4101</v>
      </c>
      <c r="B2044" s="10">
        <v>418.86647245189499</v>
      </c>
      <c r="C2044" s="10">
        <v>-1.02935757017049</v>
      </c>
      <c r="D2044" s="10">
        <v>0.238731423748097</v>
      </c>
      <c r="E2044" s="10">
        <v>-4.3117808037564203</v>
      </c>
      <c r="F2044" s="4">
        <v>1.6194493770242499E-5</v>
      </c>
      <c r="G2044" s="10">
        <v>1.0992809460831999E-4</v>
      </c>
      <c r="H2044" s="10" t="s">
        <v>4102</v>
      </c>
      <c r="I2044" s="10" t="s">
        <v>18</v>
      </c>
    </row>
    <row r="2045" spans="1:9" x14ac:dyDescent="0.2">
      <c r="A2045" s="10" t="s">
        <v>4103</v>
      </c>
      <c r="B2045" s="10">
        <v>61.302978916664401</v>
      </c>
      <c r="C2045" s="10">
        <v>-1.24432075609315</v>
      </c>
      <c r="D2045" s="10">
        <v>0.47652329740129801</v>
      </c>
      <c r="E2045" s="10">
        <v>-2.6112485221163499</v>
      </c>
      <c r="F2045" s="10">
        <v>9.0212309183476305E-3</v>
      </c>
      <c r="G2045" s="10">
        <v>2.92113481866033E-2</v>
      </c>
      <c r="H2045" s="10" t="s">
        <v>4104</v>
      </c>
      <c r="I2045" s="10" t="s">
        <v>18</v>
      </c>
    </row>
    <row r="2046" spans="1:9" x14ac:dyDescent="0.2">
      <c r="A2046" s="10" t="s">
        <v>4105</v>
      </c>
      <c r="B2046" s="10">
        <v>206.72406961141201</v>
      </c>
      <c r="C2046" s="10">
        <v>4.0033566717829903</v>
      </c>
      <c r="D2046" s="10">
        <v>0.34440019170959102</v>
      </c>
      <c r="E2046" s="10">
        <v>11.624141821496901</v>
      </c>
      <c r="F2046" s="4">
        <v>3.1069988056575999E-31</v>
      </c>
      <c r="G2046" s="4">
        <v>2.67054878415624E-29</v>
      </c>
      <c r="H2046" s="10" t="s">
        <v>4106</v>
      </c>
      <c r="I2046" s="10" t="s">
        <v>18</v>
      </c>
    </row>
    <row r="2047" spans="1:9" x14ac:dyDescent="0.2">
      <c r="A2047" s="10" t="s">
        <v>4107</v>
      </c>
      <c r="B2047" s="10">
        <v>12.5223876795556</v>
      </c>
      <c r="C2047" s="10">
        <v>5.5683887460639303</v>
      </c>
      <c r="D2047" s="10">
        <v>1.6909609282349201</v>
      </c>
      <c r="E2047" s="10">
        <v>3.29303217660765</v>
      </c>
      <c r="F2047" s="10">
        <v>9.9113131155239903E-4</v>
      </c>
      <c r="G2047" s="10">
        <v>4.3854100106963702E-3</v>
      </c>
      <c r="H2047" s="10" t="s">
        <v>4108</v>
      </c>
      <c r="I2047" s="10" t="s">
        <v>18</v>
      </c>
    </row>
    <row r="2048" spans="1:9" x14ac:dyDescent="0.2">
      <c r="A2048" s="10" t="s">
        <v>4109</v>
      </c>
      <c r="B2048" s="10">
        <v>7.0900149895812499</v>
      </c>
      <c r="C2048" s="10">
        <v>4.7228370487368796</v>
      </c>
      <c r="D2048" s="10">
        <v>1.8526910941083501</v>
      </c>
      <c r="E2048" s="10">
        <v>2.5491767428233101</v>
      </c>
      <c r="F2048" s="10">
        <v>1.07977561963775E-2</v>
      </c>
      <c r="G2048" s="10">
        <v>3.3969110158491897E-2</v>
      </c>
      <c r="H2048" s="10" t="s">
        <v>4110</v>
      </c>
      <c r="I2048" s="10" t="s">
        <v>18</v>
      </c>
    </row>
    <row r="2049" spans="1:9" x14ac:dyDescent="0.2">
      <c r="A2049" s="10" t="s">
        <v>4111</v>
      </c>
      <c r="B2049" s="10">
        <v>1296.9957608301299</v>
      </c>
      <c r="C2049" s="10">
        <v>1.2558726313612401</v>
      </c>
      <c r="D2049" s="10">
        <v>0.190629017150034</v>
      </c>
      <c r="E2049" s="10">
        <v>6.5880454620022801</v>
      </c>
      <c r="F2049" s="4">
        <v>4.4565420318744698E-11</v>
      </c>
      <c r="G2049" s="4">
        <v>7.27110184086729E-10</v>
      </c>
      <c r="H2049" s="10" t="s">
        <v>4112</v>
      </c>
      <c r="I2049" s="10" t="s">
        <v>18</v>
      </c>
    </row>
    <row r="2050" spans="1:9" x14ac:dyDescent="0.2">
      <c r="A2050" s="10" t="s">
        <v>4113</v>
      </c>
      <c r="B2050" s="10">
        <v>2880.3391703942698</v>
      </c>
      <c r="C2050" s="10">
        <v>-1.71817224591914</v>
      </c>
      <c r="D2050" s="10">
        <v>0.18728936604818799</v>
      </c>
      <c r="E2050" s="10">
        <v>-9.1738910872124695</v>
      </c>
      <c r="F2050" s="4">
        <v>4.5624598157700999E-20</v>
      </c>
      <c r="G2050" s="4">
        <v>1.77337150642351E-18</v>
      </c>
      <c r="H2050" s="10" t="s">
        <v>4114</v>
      </c>
      <c r="I2050" s="10" t="s">
        <v>18</v>
      </c>
    </row>
    <row r="2051" spans="1:9" x14ac:dyDescent="0.2">
      <c r="A2051" s="10" t="s">
        <v>4115</v>
      </c>
      <c r="B2051" s="10">
        <v>441.16009437773897</v>
      </c>
      <c r="C2051" s="10">
        <v>3.9340461643679001</v>
      </c>
      <c r="D2051" s="10">
        <v>0.26582407946272202</v>
      </c>
      <c r="E2051" s="10">
        <v>14.799434920716401</v>
      </c>
      <c r="F2051" s="4">
        <v>1.47718385066532E-49</v>
      </c>
      <c r="G2051" s="4">
        <v>2.8749163127912798E-47</v>
      </c>
      <c r="H2051" s="10" t="s">
        <v>4116</v>
      </c>
      <c r="I2051" s="10" t="s">
        <v>18</v>
      </c>
    </row>
    <row r="2052" spans="1:9" x14ac:dyDescent="0.2">
      <c r="A2052" s="10" t="s">
        <v>4117</v>
      </c>
      <c r="B2052" s="10">
        <v>563.483945287457</v>
      </c>
      <c r="C2052" s="10">
        <v>3.3920387250872102</v>
      </c>
      <c r="D2052" s="10">
        <v>0.237589274480761</v>
      </c>
      <c r="E2052" s="10">
        <v>14.276901735149201</v>
      </c>
      <c r="F2052" s="4">
        <v>3.04856532393017E-46</v>
      </c>
      <c r="G2052" s="4">
        <v>5.1915162113203402E-44</v>
      </c>
      <c r="H2052" s="10" t="s">
        <v>4118</v>
      </c>
      <c r="I2052" s="10" t="s">
        <v>18</v>
      </c>
    </row>
    <row r="2053" spans="1:9" x14ac:dyDescent="0.2">
      <c r="A2053" s="10" t="s">
        <v>4119</v>
      </c>
      <c r="B2053" s="10">
        <v>1817.5821193168799</v>
      </c>
      <c r="C2053" s="10">
        <v>-1.38205416098154</v>
      </c>
      <c r="D2053" s="10">
        <v>0.22178076719421499</v>
      </c>
      <c r="E2053" s="10">
        <v>-6.2316231405731903</v>
      </c>
      <c r="F2053" s="4">
        <v>4.61626915496005E-10</v>
      </c>
      <c r="G2053" s="4">
        <v>6.5170717961241702E-9</v>
      </c>
      <c r="H2053" s="10" t="s">
        <v>4120</v>
      </c>
      <c r="I2053" s="10" t="s">
        <v>18</v>
      </c>
    </row>
    <row r="2054" spans="1:9" x14ac:dyDescent="0.2">
      <c r="A2054" s="10" t="s">
        <v>4121</v>
      </c>
      <c r="B2054" s="10">
        <v>2392.0504047587001</v>
      </c>
      <c r="C2054" s="10">
        <v>-2.1264156820296898</v>
      </c>
      <c r="D2054" s="10">
        <v>0.217943071909796</v>
      </c>
      <c r="E2054" s="10">
        <v>-9.7567482342810692</v>
      </c>
      <c r="F2054" s="4">
        <v>1.7260079217535699E-22</v>
      </c>
      <c r="G2054" s="4">
        <v>8.0253477549521496E-21</v>
      </c>
      <c r="H2054" s="10" t="s">
        <v>4122</v>
      </c>
      <c r="I2054" s="10" t="s">
        <v>18</v>
      </c>
    </row>
    <row r="2055" spans="1:9" x14ac:dyDescent="0.2">
      <c r="A2055" s="10" t="s">
        <v>4123</v>
      </c>
      <c r="B2055" s="10">
        <v>20.1739278223328</v>
      </c>
      <c r="C2055" s="10">
        <v>3.8666342361236201</v>
      </c>
      <c r="D2055" s="10">
        <v>0.97669294123970496</v>
      </c>
      <c r="E2055" s="10">
        <v>3.9589046596525499</v>
      </c>
      <c r="F2055" s="4">
        <v>7.52942839173954E-5</v>
      </c>
      <c r="G2055" s="10">
        <v>4.43576941383194E-4</v>
      </c>
      <c r="H2055" s="10" t="s">
        <v>4124</v>
      </c>
      <c r="I2055" s="10" t="s">
        <v>18</v>
      </c>
    </row>
    <row r="2056" spans="1:9" x14ac:dyDescent="0.2">
      <c r="A2056" s="10" t="s">
        <v>4125</v>
      </c>
      <c r="B2056" s="10">
        <v>4.9884980611747398</v>
      </c>
      <c r="C2056" s="10">
        <v>5.7089767879157503</v>
      </c>
      <c r="D2056" s="10">
        <v>2.08929110101219</v>
      </c>
      <c r="E2056" s="10">
        <v>2.7324946653675801</v>
      </c>
      <c r="F2056" s="10">
        <v>6.2856689374679604E-3</v>
      </c>
      <c r="G2056" s="10">
        <v>2.15347191675078E-2</v>
      </c>
      <c r="H2056" s="10" t="s">
        <v>4126</v>
      </c>
      <c r="I2056" s="10" t="s">
        <v>18</v>
      </c>
    </row>
    <row r="2057" spans="1:9" x14ac:dyDescent="0.2">
      <c r="A2057" s="10" t="s">
        <v>4127</v>
      </c>
      <c r="B2057" s="10">
        <v>349.05909073911101</v>
      </c>
      <c r="C2057" s="10">
        <v>1.2887845964198199</v>
      </c>
      <c r="D2057" s="10">
        <v>0.281516983798142</v>
      </c>
      <c r="E2057" s="10">
        <v>4.5779994479619797</v>
      </c>
      <c r="F2057" s="4">
        <v>4.6944393215922998E-6</v>
      </c>
      <c r="G2057" s="4">
        <v>3.56392834202913E-5</v>
      </c>
      <c r="H2057" s="10" t="s">
        <v>4128</v>
      </c>
      <c r="I2057" s="10" t="s">
        <v>18</v>
      </c>
    </row>
    <row r="2058" spans="1:9" x14ac:dyDescent="0.2">
      <c r="A2058" s="10" t="s">
        <v>4129</v>
      </c>
      <c r="B2058" s="10">
        <v>105.510363248093</v>
      </c>
      <c r="C2058" s="10">
        <v>1.1640552408226399</v>
      </c>
      <c r="D2058" s="10">
        <v>0.36733737194094002</v>
      </c>
      <c r="E2058" s="10">
        <v>3.1688995722705702</v>
      </c>
      <c r="F2058" s="10">
        <v>1.53017257726667E-3</v>
      </c>
      <c r="G2058" s="10">
        <v>6.3886932596973704E-3</v>
      </c>
      <c r="H2058" s="10" t="s">
        <v>4130</v>
      </c>
      <c r="I2058" s="10" t="s">
        <v>18</v>
      </c>
    </row>
    <row r="2059" spans="1:9" x14ac:dyDescent="0.2">
      <c r="A2059" s="10" t="s">
        <v>4131</v>
      </c>
      <c r="B2059" s="10">
        <v>240.538766111049</v>
      </c>
      <c r="C2059" s="10">
        <v>2.7043026860518302</v>
      </c>
      <c r="D2059" s="10">
        <v>0.313183762390293</v>
      </c>
      <c r="E2059" s="10">
        <v>8.6348751461823898</v>
      </c>
      <c r="F2059" s="4">
        <v>5.8791214314375997E-18</v>
      </c>
      <c r="G2059" s="4">
        <v>1.8934801612574499E-16</v>
      </c>
      <c r="H2059" s="10" t="s">
        <v>4132</v>
      </c>
      <c r="I2059" s="10" t="s">
        <v>18</v>
      </c>
    </row>
    <row r="2060" spans="1:9" x14ac:dyDescent="0.2">
      <c r="A2060" s="10" t="s">
        <v>4133</v>
      </c>
      <c r="B2060" s="10">
        <v>3910.2603672791001</v>
      </c>
      <c r="C2060" s="10">
        <v>-1.14523978640213</v>
      </c>
      <c r="D2060" s="10">
        <v>0.22369589422851099</v>
      </c>
      <c r="E2060" s="10">
        <v>-5.1196281020349801</v>
      </c>
      <c r="F2060" s="4">
        <v>3.0613876135407901E-7</v>
      </c>
      <c r="G2060" s="4">
        <v>2.85956901975132E-6</v>
      </c>
      <c r="H2060" s="10" t="s">
        <v>4134</v>
      </c>
      <c r="I2060" s="10" t="s">
        <v>18</v>
      </c>
    </row>
    <row r="2061" spans="1:9" x14ac:dyDescent="0.2">
      <c r="A2061" s="10" t="s">
        <v>4135</v>
      </c>
      <c r="B2061" s="10">
        <v>242.06391148346501</v>
      </c>
      <c r="C2061" s="10">
        <v>-1.0868950494402001</v>
      </c>
      <c r="D2061" s="10">
        <v>0.30144469680262398</v>
      </c>
      <c r="E2061" s="10">
        <v>-3.6056200721682199</v>
      </c>
      <c r="F2061" s="10">
        <v>3.1140846047615297E-4</v>
      </c>
      <c r="G2061" s="10">
        <v>1.57507821098826E-3</v>
      </c>
      <c r="H2061" s="10" t="s">
        <v>4136</v>
      </c>
      <c r="I2061" s="10" t="s">
        <v>18</v>
      </c>
    </row>
    <row r="2062" spans="1:9" x14ac:dyDescent="0.2">
      <c r="A2062" s="10" t="s">
        <v>4137</v>
      </c>
      <c r="B2062" s="10">
        <v>108.27583280080999</v>
      </c>
      <c r="C2062" s="10">
        <v>-3.6674957501705601</v>
      </c>
      <c r="D2062" s="10">
        <v>0.44810558271378997</v>
      </c>
      <c r="E2062" s="10">
        <v>-8.1844455674033298</v>
      </c>
      <c r="F2062" s="4">
        <v>2.7356015383087301E-16</v>
      </c>
      <c r="G2062" s="4">
        <v>7.6684089623763501E-15</v>
      </c>
      <c r="H2062" s="10" t="s">
        <v>4138</v>
      </c>
      <c r="I2062" s="10" t="s">
        <v>18</v>
      </c>
    </row>
    <row r="2063" spans="1:9" x14ac:dyDescent="0.2">
      <c r="A2063" s="10" t="s">
        <v>4139</v>
      </c>
      <c r="B2063" s="10">
        <v>390.18348664934302</v>
      </c>
      <c r="C2063" s="10">
        <v>2.0212480071293801</v>
      </c>
      <c r="D2063" s="10">
        <v>0.25180761670258001</v>
      </c>
      <c r="E2063" s="10">
        <v>8.0269534083107494</v>
      </c>
      <c r="F2063" s="4">
        <v>9.9923011088840001E-16</v>
      </c>
      <c r="G2063" s="4">
        <v>2.66660360738259E-14</v>
      </c>
      <c r="H2063" s="10" t="s">
        <v>4140</v>
      </c>
      <c r="I2063" s="10" t="s">
        <v>18</v>
      </c>
    </row>
    <row r="2064" spans="1:9" x14ac:dyDescent="0.2">
      <c r="A2064" s="10" t="s">
        <v>4141</v>
      </c>
      <c r="B2064" s="10">
        <v>31.926595935520801</v>
      </c>
      <c r="C2064" s="10">
        <v>3.0869669287653498</v>
      </c>
      <c r="D2064" s="10">
        <v>0.69592580205481502</v>
      </c>
      <c r="E2064" s="10">
        <v>4.43577019223983</v>
      </c>
      <c r="F2064" s="4">
        <v>9.1743679687600093E-6</v>
      </c>
      <c r="G2064" s="4">
        <v>6.5851950485986294E-5</v>
      </c>
      <c r="H2064" s="10" t="s">
        <v>4142</v>
      </c>
      <c r="I2064" s="10" t="s">
        <v>18</v>
      </c>
    </row>
    <row r="2065" spans="1:9" x14ac:dyDescent="0.2">
      <c r="A2065" s="10" t="s">
        <v>4143</v>
      </c>
      <c r="B2065" s="10">
        <v>222.44085249563599</v>
      </c>
      <c r="C2065" s="10">
        <v>1.00225490373652</v>
      </c>
      <c r="D2065" s="10">
        <v>0.27655805560760999</v>
      </c>
      <c r="E2065" s="10">
        <v>3.62403077189171</v>
      </c>
      <c r="F2065" s="10">
        <v>2.9004707389967401E-4</v>
      </c>
      <c r="G2065" s="10">
        <v>1.4782851894022499E-3</v>
      </c>
      <c r="H2065" s="10" t="s">
        <v>4144</v>
      </c>
      <c r="I2065" s="10" t="s">
        <v>18</v>
      </c>
    </row>
    <row r="2066" spans="1:9" x14ac:dyDescent="0.2">
      <c r="A2066" s="10" t="s">
        <v>4145</v>
      </c>
      <c r="B2066" s="10">
        <v>154.79731015461999</v>
      </c>
      <c r="C2066" s="10">
        <v>3.8055448770204001</v>
      </c>
      <c r="D2066" s="10">
        <v>0.375839780323386</v>
      </c>
      <c r="E2066" s="10">
        <v>10.1254446076622</v>
      </c>
      <c r="F2066" s="4">
        <v>4.2603805124936601E-24</v>
      </c>
      <c r="G2066" s="4">
        <v>2.2153165615250902E-22</v>
      </c>
      <c r="H2066" s="10" t="s">
        <v>4146</v>
      </c>
      <c r="I2066" s="10" t="s">
        <v>18</v>
      </c>
    </row>
    <row r="2067" spans="1:9" x14ac:dyDescent="0.2">
      <c r="A2067" s="10" t="s">
        <v>4147</v>
      </c>
      <c r="B2067" s="10">
        <v>16.877263544755898</v>
      </c>
      <c r="C2067" s="10">
        <v>4.9919952902578997</v>
      </c>
      <c r="D2067" s="10">
        <v>1.2868713905333899</v>
      </c>
      <c r="E2067" s="10">
        <v>3.8791718636225001</v>
      </c>
      <c r="F2067" s="10">
        <v>1.04812684859616E-4</v>
      </c>
      <c r="G2067" s="10">
        <v>5.9770431652782696E-4</v>
      </c>
      <c r="H2067" s="10" t="s">
        <v>4148</v>
      </c>
      <c r="I2067" s="10" t="s">
        <v>18</v>
      </c>
    </row>
    <row r="2068" spans="1:9" x14ac:dyDescent="0.2">
      <c r="A2068" s="10" t="s">
        <v>4149</v>
      </c>
      <c r="B2068" s="10">
        <v>2660.73574616614</v>
      </c>
      <c r="C2068" s="10">
        <v>1.7406786462667301</v>
      </c>
      <c r="D2068" s="10">
        <v>0.181279619726846</v>
      </c>
      <c r="E2068" s="10">
        <v>9.6021750756626592</v>
      </c>
      <c r="F2068" s="4">
        <v>7.8274879375602597E-22</v>
      </c>
      <c r="G2068" s="4">
        <v>3.5078217735971098E-20</v>
      </c>
      <c r="H2068" s="10" t="s">
        <v>4150</v>
      </c>
      <c r="I2068" s="10" t="s">
        <v>18</v>
      </c>
    </row>
    <row r="2069" spans="1:9" x14ac:dyDescent="0.2">
      <c r="A2069" s="10" t="s">
        <v>4151</v>
      </c>
      <c r="B2069" s="10">
        <v>768.07045265261797</v>
      </c>
      <c r="C2069" s="10">
        <v>-1.1908117082710299</v>
      </c>
      <c r="D2069" s="10">
        <v>0.206460664669354</v>
      </c>
      <c r="E2069" s="10">
        <v>-5.76774132824821</v>
      </c>
      <c r="F2069" s="4">
        <v>8.0340992384477895E-9</v>
      </c>
      <c r="G2069" s="4">
        <v>9.6775022966395604E-8</v>
      </c>
      <c r="H2069" s="10" t="s">
        <v>4152</v>
      </c>
      <c r="I2069" s="10" t="s">
        <v>18</v>
      </c>
    </row>
    <row r="2070" spans="1:9" x14ac:dyDescent="0.2">
      <c r="A2070" s="10" t="s">
        <v>4153</v>
      </c>
      <c r="B2070" s="10">
        <v>180.71798017350099</v>
      </c>
      <c r="C2070" s="10">
        <v>-1.06871783993931</v>
      </c>
      <c r="D2070" s="10">
        <v>0.32617676700799297</v>
      </c>
      <c r="E2070" s="10">
        <v>-3.2764989663200801</v>
      </c>
      <c r="F2070" s="10">
        <v>1.05102697431252E-3</v>
      </c>
      <c r="G2070" s="10">
        <v>4.6055535492269496E-3</v>
      </c>
      <c r="H2070" s="10" t="s">
        <v>4154</v>
      </c>
      <c r="I2070" s="10" t="s">
        <v>18</v>
      </c>
    </row>
    <row r="2071" spans="1:9" x14ac:dyDescent="0.2">
      <c r="A2071" s="10" t="s">
        <v>4155</v>
      </c>
      <c r="B2071" s="10">
        <v>18.785523418727099</v>
      </c>
      <c r="C2071" s="10">
        <v>6.1650191381985797</v>
      </c>
      <c r="D2071" s="10">
        <v>1.61923028334115</v>
      </c>
      <c r="E2071" s="10">
        <v>3.8073763822385902</v>
      </c>
      <c r="F2071" s="10">
        <v>1.4044890527756601E-4</v>
      </c>
      <c r="G2071" s="10">
        <v>7.7733319563230404E-4</v>
      </c>
      <c r="H2071" s="10" t="s">
        <v>4156</v>
      </c>
      <c r="I2071" s="10" t="s">
        <v>18</v>
      </c>
    </row>
    <row r="2072" spans="1:9" x14ac:dyDescent="0.2">
      <c r="A2072" s="10" t="s">
        <v>4157</v>
      </c>
      <c r="B2072" s="10">
        <v>4601.3270899102499</v>
      </c>
      <c r="C2072" s="10">
        <v>-1.42344926247351</v>
      </c>
      <c r="D2072" s="10">
        <v>0.18866360438823401</v>
      </c>
      <c r="E2072" s="10">
        <v>-7.5449065392831303</v>
      </c>
      <c r="F2072" s="4">
        <v>4.5261197121454697E-14</v>
      </c>
      <c r="G2072" s="4">
        <v>1.0398244839530199E-12</v>
      </c>
      <c r="H2072" s="10" t="s">
        <v>4158</v>
      </c>
      <c r="I2072" s="10" t="s">
        <v>18</v>
      </c>
    </row>
    <row r="2073" spans="1:9" x14ac:dyDescent="0.2">
      <c r="A2073" s="10" t="s">
        <v>4159</v>
      </c>
      <c r="B2073" s="10">
        <v>156.859850944572</v>
      </c>
      <c r="C2073" s="10">
        <v>-1.26685399142066</v>
      </c>
      <c r="D2073" s="10">
        <v>0.31810328000849297</v>
      </c>
      <c r="E2073" s="10">
        <v>-3.9825241392884698</v>
      </c>
      <c r="F2073" s="4">
        <v>6.8187196595289001E-5</v>
      </c>
      <c r="G2073" s="10">
        <v>4.0459419547731699E-4</v>
      </c>
      <c r="H2073" s="10" t="s">
        <v>4160</v>
      </c>
      <c r="I2073" s="10" t="s">
        <v>18</v>
      </c>
    </row>
    <row r="2074" spans="1:9" x14ac:dyDescent="0.2">
      <c r="A2074" s="10" t="s">
        <v>4161</v>
      </c>
      <c r="B2074" s="10">
        <v>275.23380565728098</v>
      </c>
      <c r="C2074" s="10">
        <v>3.0174403316516201</v>
      </c>
      <c r="D2074" s="10">
        <v>0.30938331549699399</v>
      </c>
      <c r="E2074" s="10">
        <v>9.7530803392044394</v>
      </c>
      <c r="F2074" s="4">
        <v>1.78954191263589E-22</v>
      </c>
      <c r="G2074" s="4">
        <v>8.3065840704582605E-21</v>
      </c>
      <c r="H2074" s="10" t="s">
        <v>4162</v>
      </c>
      <c r="I2074" s="10" t="s">
        <v>18</v>
      </c>
    </row>
    <row r="2075" spans="1:9" x14ac:dyDescent="0.2">
      <c r="A2075" s="10" t="s">
        <v>4163</v>
      </c>
      <c r="B2075" s="10">
        <v>516.01332585469504</v>
      </c>
      <c r="C2075" s="10">
        <v>-2.62882811272519</v>
      </c>
      <c r="D2075" s="10">
        <v>0.23045136631152</v>
      </c>
      <c r="E2075" s="10">
        <v>-11.4073010492443</v>
      </c>
      <c r="F2075" s="4">
        <v>3.84474289293676E-30</v>
      </c>
      <c r="G2075" s="4">
        <v>3.0364553508361701E-28</v>
      </c>
      <c r="H2075" s="10" t="s">
        <v>4164</v>
      </c>
      <c r="I2075" s="10" t="s">
        <v>18</v>
      </c>
    </row>
    <row r="2076" spans="1:9" x14ac:dyDescent="0.2">
      <c r="A2076" s="10" t="s">
        <v>4165</v>
      </c>
      <c r="B2076" s="10">
        <v>601.605506666412</v>
      </c>
      <c r="C2076" s="10">
        <v>-1.7005292927992799</v>
      </c>
      <c r="D2076" s="10">
        <v>0.21786399552824401</v>
      </c>
      <c r="E2076" s="10">
        <v>-7.8054627093205502</v>
      </c>
      <c r="F2076" s="4">
        <v>5.9283631913156001E-15</v>
      </c>
      <c r="G2076" s="4">
        <v>1.45785299525069E-13</v>
      </c>
      <c r="H2076" s="10" t="s">
        <v>4166</v>
      </c>
      <c r="I2076" s="10" t="s">
        <v>18</v>
      </c>
    </row>
    <row r="2077" spans="1:9" x14ac:dyDescent="0.2">
      <c r="A2077" s="10" t="s">
        <v>4167</v>
      </c>
      <c r="B2077" s="10">
        <v>1053.71244077903</v>
      </c>
      <c r="C2077" s="10">
        <v>-1.6999471550374301</v>
      </c>
      <c r="D2077" s="10">
        <v>0.20171790233051801</v>
      </c>
      <c r="E2077" s="10">
        <v>-8.4273489630684004</v>
      </c>
      <c r="F2077" s="4">
        <v>3.5358421737686098E-17</v>
      </c>
      <c r="G2077" s="4">
        <v>1.06690024040613E-15</v>
      </c>
      <c r="H2077" s="10" t="s">
        <v>4168</v>
      </c>
      <c r="I2077" s="10" t="s">
        <v>18</v>
      </c>
    </row>
    <row r="2078" spans="1:9" x14ac:dyDescent="0.2">
      <c r="A2078" s="10" t="s">
        <v>4169</v>
      </c>
      <c r="B2078" s="10">
        <v>12.843234006830601</v>
      </c>
      <c r="C2078" s="10">
        <v>2.6192661191891999</v>
      </c>
      <c r="D2078" s="10">
        <v>1.0305880882674401</v>
      </c>
      <c r="E2078" s="10">
        <v>2.5415257065434802</v>
      </c>
      <c r="F2078" s="10">
        <v>1.1036982973715401E-2</v>
      </c>
      <c r="G2078" s="10">
        <v>3.4581954356580499E-2</v>
      </c>
      <c r="H2078" s="10" t="s">
        <v>4170</v>
      </c>
      <c r="I2078" s="10" t="s">
        <v>18</v>
      </c>
    </row>
    <row r="2079" spans="1:9" x14ac:dyDescent="0.2">
      <c r="A2079" s="10" t="s">
        <v>4171</v>
      </c>
      <c r="B2079" s="10">
        <v>7.9990979301751803</v>
      </c>
      <c r="C2079" s="10">
        <v>6.3933593586813897</v>
      </c>
      <c r="D2079" s="10">
        <v>1.8432454210622999</v>
      </c>
      <c r="E2079" s="10">
        <v>3.4685339703688398</v>
      </c>
      <c r="F2079" s="10">
        <v>5.23306362090474E-4</v>
      </c>
      <c r="G2079" s="10">
        <v>2.4948214445992098E-3</v>
      </c>
      <c r="H2079" s="10" t="s">
        <v>4172</v>
      </c>
      <c r="I2079" s="10" t="s">
        <v>18</v>
      </c>
    </row>
    <row r="2080" spans="1:9" x14ac:dyDescent="0.2">
      <c r="A2080" s="10" t="s">
        <v>4173</v>
      </c>
      <c r="B2080" s="10">
        <v>10.1672040175019</v>
      </c>
      <c r="C2080" s="10">
        <v>6.7425917088524399</v>
      </c>
      <c r="D2080" s="10">
        <v>1.75801816718179</v>
      </c>
      <c r="E2080" s="10">
        <v>3.8353367642731602</v>
      </c>
      <c r="F2080" s="10">
        <v>1.25392364190879E-4</v>
      </c>
      <c r="G2080" s="10">
        <v>7.0227456261230897E-4</v>
      </c>
      <c r="H2080" s="10" t="s">
        <v>4174</v>
      </c>
      <c r="I2080" s="10" t="s">
        <v>18</v>
      </c>
    </row>
    <row r="2081" spans="1:9" x14ac:dyDescent="0.2">
      <c r="A2081" s="10" t="s">
        <v>4175</v>
      </c>
      <c r="B2081" s="10">
        <v>10700.5245581692</v>
      </c>
      <c r="C2081" s="10">
        <v>-1.2332697225370099</v>
      </c>
      <c r="D2081" s="10">
        <v>0.18937479294404599</v>
      </c>
      <c r="E2081" s="10">
        <v>-6.5123224868760596</v>
      </c>
      <c r="F2081" s="4">
        <v>7.3997638194630606E-11</v>
      </c>
      <c r="G2081" s="4">
        <v>1.17494967825705E-9</v>
      </c>
      <c r="H2081" s="10" t="s">
        <v>4176</v>
      </c>
      <c r="I2081" s="10" t="s">
        <v>18</v>
      </c>
    </row>
    <row r="2082" spans="1:9" x14ac:dyDescent="0.2">
      <c r="A2082" s="10" t="s">
        <v>4177</v>
      </c>
      <c r="B2082" s="10">
        <v>5.2814086900015704</v>
      </c>
      <c r="C2082" s="10">
        <v>5.7907053538980504</v>
      </c>
      <c r="D2082" s="10">
        <v>2.0890277923639702</v>
      </c>
      <c r="E2082" s="10">
        <v>2.77196185472727</v>
      </c>
      <c r="F2082" s="10">
        <v>5.5719565573606597E-3</v>
      </c>
      <c r="G2082" s="10">
        <v>1.9491475198151999E-2</v>
      </c>
      <c r="H2082" s="10" t="s">
        <v>4178</v>
      </c>
      <c r="I2082" s="10" t="s">
        <v>18</v>
      </c>
    </row>
    <row r="2083" spans="1:9" x14ac:dyDescent="0.2">
      <c r="A2083" s="10" t="s">
        <v>4179</v>
      </c>
      <c r="B2083" s="10">
        <v>72.327843388536195</v>
      </c>
      <c r="C2083" s="10">
        <v>4.7577850124226302</v>
      </c>
      <c r="D2083" s="10">
        <v>0.61807660347210003</v>
      </c>
      <c r="E2083" s="10">
        <v>7.6977270870558003</v>
      </c>
      <c r="F2083" s="4">
        <v>1.38507797001664E-14</v>
      </c>
      <c r="G2083" s="4">
        <v>3.2788201085180998E-13</v>
      </c>
      <c r="H2083" s="10" t="s">
        <v>4180</v>
      </c>
      <c r="I2083" s="10" t="s">
        <v>18</v>
      </c>
    </row>
    <row r="2084" spans="1:9" x14ac:dyDescent="0.2">
      <c r="A2084" s="10" t="s">
        <v>4181</v>
      </c>
      <c r="B2084" s="10">
        <v>82.398245708463506</v>
      </c>
      <c r="C2084" s="10">
        <v>1.23101424019682</v>
      </c>
      <c r="D2084" s="10">
        <v>0.42394321635390497</v>
      </c>
      <c r="E2084" s="10">
        <v>2.9037243496524798</v>
      </c>
      <c r="F2084" s="10">
        <v>3.6875266608087198E-3</v>
      </c>
      <c r="G2084" s="10">
        <v>1.36904263424247E-2</v>
      </c>
      <c r="H2084" s="10" t="s">
        <v>4182</v>
      </c>
      <c r="I2084" s="10" t="s">
        <v>18</v>
      </c>
    </row>
    <row r="2085" spans="1:9" x14ac:dyDescent="0.2">
      <c r="A2085" s="10" t="s">
        <v>4183</v>
      </c>
      <c r="B2085" s="10">
        <v>294.25244864100301</v>
      </c>
      <c r="C2085" s="10">
        <v>-1.2667844806009301</v>
      </c>
      <c r="D2085" s="10">
        <v>0.25628852359978899</v>
      </c>
      <c r="E2085" s="10">
        <v>-4.9428061108935699</v>
      </c>
      <c r="F2085" s="4">
        <v>7.7006059222959297E-7</v>
      </c>
      <c r="G2085" s="4">
        <v>6.7184889389944603E-6</v>
      </c>
      <c r="H2085" s="10" t="s">
        <v>4184</v>
      </c>
      <c r="I2085" s="10" t="s">
        <v>18</v>
      </c>
    </row>
    <row r="2086" spans="1:9" x14ac:dyDescent="0.2">
      <c r="A2086" s="10" t="s">
        <v>4185</v>
      </c>
      <c r="B2086" s="10">
        <v>17.078953112279802</v>
      </c>
      <c r="C2086" s="10">
        <v>3.9515047275114701</v>
      </c>
      <c r="D2086" s="10">
        <v>1.0544015548610099</v>
      </c>
      <c r="E2086" s="10">
        <v>3.7476279405073001</v>
      </c>
      <c r="F2086" s="10">
        <v>1.7851478657026601E-4</v>
      </c>
      <c r="G2086" s="10">
        <v>9.6297612149673904E-4</v>
      </c>
      <c r="H2086" s="10" t="s">
        <v>4186</v>
      </c>
      <c r="I2086" s="10" t="s">
        <v>18</v>
      </c>
    </row>
    <row r="2087" spans="1:9" x14ac:dyDescent="0.2">
      <c r="A2087" s="10" t="s">
        <v>4187</v>
      </c>
      <c r="B2087" s="10">
        <v>6.7940985703815198</v>
      </c>
      <c r="C2087" s="10">
        <v>4.6548474543160898</v>
      </c>
      <c r="D2087" s="10">
        <v>1.8745848410622501</v>
      </c>
      <c r="E2087" s="10">
        <v>2.48313512002923</v>
      </c>
      <c r="F2087" s="10">
        <v>1.3023167801294699E-2</v>
      </c>
      <c r="G2087" s="10">
        <v>3.96782123540061E-2</v>
      </c>
      <c r="H2087" s="10" t="s">
        <v>4188</v>
      </c>
      <c r="I2087" s="10" t="s">
        <v>18</v>
      </c>
    </row>
    <row r="2088" spans="1:9" x14ac:dyDescent="0.2">
      <c r="A2088" s="10" t="s">
        <v>4189</v>
      </c>
      <c r="B2088" s="10">
        <v>616.99296650423298</v>
      </c>
      <c r="C2088" s="10">
        <v>-2.8390393483569301</v>
      </c>
      <c r="D2088" s="10">
        <v>0.22326842527621099</v>
      </c>
      <c r="E2088" s="10">
        <v>-12.715812120969099</v>
      </c>
      <c r="F2088" s="4">
        <v>4.8306454762265501E-37</v>
      </c>
      <c r="G2088" s="4">
        <v>5.77283321450635E-35</v>
      </c>
      <c r="H2088" s="10" t="s">
        <v>4190</v>
      </c>
      <c r="I2088" s="10" t="s">
        <v>18</v>
      </c>
    </row>
    <row r="2089" spans="1:9" x14ac:dyDescent="0.2">
      <c r="A2089" s="10" t="s">
        <v>4191</v>
      </c>
      <c r="B2089" s="10">
        <v>130.78657479456001</v>
      </c>
      <c r="C2089" s="10">
        <v>1.3082283762749101</v>
      </c>
      <c r="D2089" s="10">
        <v>0.34109333439131201</v>
      </c>
      <c r="E2089" s="10">
        <v>3.8353970727967299</v>
      </c>
      <c r="F2089" s="10">
        <v>1.2536159796041799E-4</v>
      </c>
      <c r="G2089" s="10">
        <v>7.0224659942999599E-4</v>
      </c>
      <c r="H2089" s="10" t="s">
        <v>4192</v>
      </c>
      <c r="I2089" s="10" t="s">
        <v>18</v>
      </c>
    </row>
    <row r="2090" spans="1:9" x14ac:dyDescent="0.2">
      <c r="A2090" s="10" t="s">
        <v>4193</v>
      </c>
      <c r="B2090" s="10">
        <v>340.62491995121502</v>
      </c>
      <c r="C2090" s="10">
        <v>1.01255396821141</v>
      </c>
      <c r="D2090" s="10">
        <v>0.25707200017221898</v>
      </c>
      <c r="E2090" s="10">
        <v>3.9387952306477301</v>
      </c>
      <c r="F2090" s="4">
        <v>8.1891783107824903E-5</v>
      </c>
      <c r="G2090" s="10">
        <v>4.7882090436457203E-4</v>
      </c>
      <c r="H2090" s="10" t="s">
        <v>4194</v>
      </c>
      <c r="I2090" s="10" t="s">
        <v>18</v>
      </c>
    </row>
    <row r="2091" spans="1:9" x14ac:dyDescent="0.2">
      <c r="A2091" s="10" t="s">
        <v>4195</v>
      </c>
      <c r="B2091" s="10">
        <v>11.2609058082475</v>
      </c>
      <c r="C2091" s="10">
        <v>2.95817816444531</v>
      </c>
      <c r="D2091" s="10">
        <v>1.13969891801705</v>
      </c>
      <c r="E2091" s="10">
        <v>2.5955786372002598</v>
      </c>
      <c r="F2091" s="10">
        <v>9.4431791430350104E-3</v>
      </c>
      <c r="G2091" s="10">
        <v>3.02739501247529E-2</v>
      </c>
      <c r="H2091" s="10" t="s">
        <v>4196</v>
      </c>
      <c r="I2091" s="10" t="s">
        <v>18</v>
      </c>
    </row>
    <row r="2092" spans="1:9" x14ac:dyDescent="0.2">
      <c r="A2092" s="10" t="s">
        <v>4197</v>
      </c>
      <c r="B2092" s="10">
        <v>41.550770577243597</v>
      </c>
      <c r="C2092" s="10">
        <v>-1.46002361089948</v>
      </c>
      <c r="D2092" s="10">
        <v>0.55653993510664401</v>
      </c>
      <c r="E2092" s="10">
        <v>-2.62339415161592</v>
      </c>
      <c r="F2092" s="10">
        <v>8.7058491752080806E-3</v>
      </c>
      <c r="G2092" s="10">
        <v>2.8357235203454199E-2</v>
      </c>
      <c r="H2092" s="10" t="s">
        <v>4198</v>
      </c>
      <c r="I2092" s="10" t="s">
        <v>18</v>
      </c>
    </row>
    <row r="2093" spans="1:9" x14ac:dyDescent="0.2">
      <c r="A2093" s="10" t="s">
        <v>4199</v>
      </c>
      <c r="B2093" s="10">
        <v>2826.2805236711501</v>
      </c>
      <c r="C2093" s="10">
        <v>-1.2851982389082</v>
      </c>
      <c r="D2093" s="10">
        <v>0.19486874223949699</v>
      </c>
      <c r="E2093" s="10">
        <v>-6.5951995386138904</v>
      </c>
      <c r="F2093" s="4">
        <v>4.2468428681790999E-11</v>
      </c>
      <c r="G2093" s="4">
        <v>6.9623181485725603E-10</v>
      </c>
      <c r="H2093" s="10" t="s">
        <v>4200</v>
      </c>
      <c r="I2093" s="10" t="s">
        <v>18</v>
      </c>
    </row>
    <row r="2094" spans="1:9" x14ac:dyDescent="0.2">
      <c r="A2094" s="10" t="s">
        <v>4201</v>
      </c>
      <c r="B2094" s="10">
        <v>136.84382206357299</v>
      </c>
      <c r="C2094" s="10">
        <v>5.3088068990129296</v>
      </c>
      <c r="D2094" s="10">
        <v>0.52494838269393995</v>
      </c>
      <c r="E2094" s="10">
        <v>10.1130074385011</v>
      </c>
      <c r="F2094" s="4">
        <v>4.8376020649804799E-24</v>
      </c>
      <c r="G2094" s="4">
        <v>2.5032351893455501E-22</v>
      </c>
      <c r="H2094" s="10" t="s">
        <v>4202</v>
      </c>
      <c r="I2094" s="10" t="s">
        <v>18</v>
      </c>
    </row>
    <row r="2095" spans="1:9" x14ac:dyDescent="0.2">
      <c r="A2095" s="10" t="s">
        <v>4203</v>
      </c>
      <c r="B2095" s="10">
        <v>32.320588964600603</v>
      </c>
      <c r="C2095" s="10">
        <v>1.7824866130561801</v>
      </c>
      <c r="D2095" s="10">
        <v>0.67094036014659797</v>
      </c>
      <c r="E2095" s="10">
        <v>2.6566990435136701</v>
      </c>
      <c r="F2095" s="10">
        <v>7.8909852990024995E-3</v>
      </c>
      <c r="G2095" s="10">
        <v>2.6080261577137501E-2</v>
      </c>
      <c r="H2095" s="10" t="s">
        <v>4204</v>
      </c>
      <c r="I2095" s="10" t="s">
        <v>18</v>
      </c>
    </row>
    <row r="2096" spans="1:9" x14ac:dyDescent="0.2">
      <c r="A2096" s="10" t="s">
        <v>4205</v>
      </c>
      <c r="B2096" s="10">
        <v>8094.7030670476997</v>
      </c>
      <c r="C2096" s="10">
        <v>-1.1424702758129599</v>
      </c>
      <c r="D2096" s="10">
        <v>0.177182540383542</v>
      </c>
      <c r="E2096" s="10">
        <v>-6.4479845098726596</v>
      </c>
      <c r="F2096" s="4">
        <v>1.1334734629429E-10</v>
      </c>
      <c r="G2096" s="4">
        <v>1.7507795603631101E-9</v>
      </c>
      <c r="H2096" s="10" t="s">
        <v>4206</v>
      </c>
      <c r="I2096" s="10" t="s">
        <v>18</v>
      </c>
    </row>
    <row r="2097" spans="1:9" x14ac:dyDescent="0.2">
      <c r="A2097" s="10" t="s">
        <v>4207</v>
      </c>
      <c r="B2097" s="10">
        <v>9.5028949694889508</v>
      </c>
      <c r="C2097" s="10">
        <v>6.6413066223502</v>
      </c>
      <c r="D2097" s="10">
        <v>1.79369484842161</v>
      </c>
      <c r="E2097" s="10">
        <v>3.7025844324603701</v>
      </c>
      <c r="F2097" s="10">
        <v>2.1341430191571301E-4</v>
      </c>
      <c r="G2097" s="10">
        <v>1.12932598257864E-3</v>
      </c>
      <c r="H2097" s="10" t="s">
        <v>4208</v>
      </c>
      <c r="I2097" s="10" t="s">
        <v>18</v>
      </c>
    </row>
    <row r="2098" spans="1:9" x14ac:dyDescent="0.2">
      <c r="A2098" s="10" t="s">
        <v>4209</v>
      </c>
      <c r="B2098" s="10">
        <v>134.28956318635201</v>
      </c>
      <c r="C2098" s="10">
        <v>1.9809461978941301</v>
      </c>
      <c r="D2098" s="10">
        <v>0.35811271840846898</v>
      </c>
      <c r="E2098" s="10">
        <v>5.5316276023311302</v>
      </c>
      <c r="F2098" s="4">
        <v>3.1727293116830402E-8</v>
      </c>
      <c r="G2098" s="4">
        <v>3.5112654571660301E-7</v>
      </c>
      <c r="H2098" s="10" t="s">
        <v>4210</v>
      </c>
      <c r="I2098" s="10" t="s">
        <v>18</v>
      </c>
    </row>
    <row r="2099" spans="1:9" x14ac:dyDescent="0.2">
      <c r="A2099" s="10" t="s">
        <v>4211</v>
      </c>
      <c r="B2099" s="10">
        <v>5268.6780155093302</v>
      </c>
      <c r="C2099" s="10">
        <v>-1.3257784725950399</v>
      </c>
      <c r="D2099" s="10">
        <v>0.176408382479051</v>
      </c>
      <c r="E2099" s="10">
        <v>-7.5153938489996399</v>
      </c>
      <c r="F2099" s="4">
        <v>5.6739858651524002E-14</v>
      </c>
      <c r="G2099" s="4">
        <v>1.28940027412683E-12</v>
      </c>
      <c r="H2099" s="10" t="s">
        <v>4212</v>
      </c>
      <c r="I2099" s="10" t="s">
        <v>18</v>
      </c>
    </row>
    <row r="2100" spans="1:9" x14ac:dyDescent="0.2">
      <c r="A2100" s="10" t="s">
        <v>4213</v>
      </c>
      <c r="B2100" s="10">
        <v>843.34133245011003</v>
      </c>
      <c r="C2100" s="10">
        <v>-1.3111162719816201</v>
      </c>
      <c r="D2100" s="10">
        <v>0.20383208121173199</v>
      </c>
      <c r="E2100" s="10">
        <v>-6.4323352054659804</v>
      </c>
      <c r="F2100" s="4">
        <v>1.25658238794823E-10</v>
      </c>
      <c r="G2100" s="4">
        <v>1.9299943813092201E-9</v>
      </c>
      <c r="H2100" s="10" t="s">
        <v>4214</v>
      </c>
      <c r="I2100" s="10" t="s">
        <v>18</v>
      </c>
    </row>
    <row r="2101" spans="1:9" x14ac:dyDescent="0.2">
      <c r="A2101" s="10" t="s">
        <v>4215</v>
      </c>
      <c r="B2101" s="10">
        <v>326.40609534063498</v>
      </c>
      <c r="C2101" s="10">
        <v>-2.0649234720758098</v>
      </c>
      <c r="D2101" s="10">
        <v>0.27586632135719802</v>
      </c>
      <c r="E2101" s="10">
        <v>-7.4852322020204198</v>
      </c>
      <c r="F2101" s="4">
        <v>7.1420748542933194E-14</v>
      </c>
      <c r="G2101" s="4">
        <v>1.61092809234214E-12</v>
      </c>
      <c r="H2101" s="10" t="s">
        <v>4216</v>
      </c>
      <c r="I2101" s="10" t="s">
        <v>18</v>
      </c>
    </row>
    <row r="2102" spans="1:9" x14ac:dyDescent="0.2">
      <c r="A2102" s="10" t="s">
        <v>4217</v>
      </c>
      <c r="B2102" s="10">
        <v>779.559094467156</v>
      </c>
      <c r="C2102" s="10">
        <v>-1.5367605434573799</v>
      </c>
      <c r="D2102" s="10">
        <v>0.21283400278112299</v>
      </c>
      <c r="E2102" s="10">
        <v>-7.2204653550484199</v>
      </c>
      <c r="F2102" s="4">
        <v>5.1809968573708304E-13</v>
      </c>
      <c r="G2102" s="4">
        <v>1.06944410130896E-11</v>
      </c>
      <c r="H2102" s="10" t="s">
        <v>4218</v>
      </c>
      <c r="I2102" s="10" t="s">
        <v>18</v>
      </c>
    </row>
    <row r="2103" spans="1:9" x14ac:dyDescent="0.2">
      <c r="A2103" s="10" t="s">
        <v>4219</v>
      </c>
      <c r="B2103" s="10">
        <v>465.00469311525899</v>
      </c>
      <c r="C2103" s="10">
        <v>-1.7662618900493801</v>
      </c>
      <c r="D2103" s="10">
        <v>0.24100617935329599</v>
      </c>
      <c r="E2103" s="10">
        <v>-7.3286995992753203</v>
      </c>
      <c r="F2103" s="4">
        <v>2.3239664597295498E-13</v>
      </c>
      <c r="G2103" s="4">
        <v>4.9702601356554902E-12</v>
      </c>
      <c r="H2103" s="10" t="s">
        <v>4220</v>
      </c>
      <c r="I2103" s="10" t="s">
        <v>18</v>
      </c>
    </row>
    <row r="2104" spans="1:9" x14ac:dyDescent="0.2">
      <c r="A2104" s="10" t="s">
        <v>4221</v>
      </c>
      <c r="B2104" s="10">
        <v>1193.7874603984999</v>
      </c>
      <c r="C2104" s="10">
        <v>-1.68705090477158</v>
      </c>
      <c r="D2104" s="10">
        <v>0.20103095793547501</v>
      </c>
      <c r="E2104" s="10">
        <v>-8.3919955518148708</v>
      </c>
      <c r="F2104" s="4">
        <v>4.77958995442303E-17</v>
      </c>
      <c r="G2104" s="4">
        <v>1.42795490666847E-15</v>
      </c>
      <c r="H2104" s="10" t="s">
        <v>4222</v>
      </c>
      <c r="I2104" s="10" t="s">
        <v>18</v>
      </c>
    </row>
    <row r="2105" spans="1:9" x14ac:dyDescent="0.2">
      <c r="A2105" s="10" t="s">
        <v>4223</v>
      </c>
      <c r="B2105" s="10">
        <v>474.747010093624</v>
      </c>
      <c r="C2105" s="10">
        <v>-1.62915206419097</v>
      </c>
      <c r="D2105" s="10">
        <v>0.22651150374991999</v>
      </c>
      <c r="E2105" s="10">
        <v>-7.1923590511748703</v>
      </c>
      <c r="F2105" s="4">
        <v>6.3681295111008595E-13</v>
      </c>
      <c r="G2105" s="4">
        <v>1.29293908188499E-11</v>
      </c>
      <c r="H2105" s="10" t="s">
        <v>4224</v>
      </c>
      <c r="I2105" s="10" t="s">
        <v>18</v>
      </c>
    </row>
    <row r="2106" spans="1:9" x14ac:dyDescent="0.2">
      <c r="A2106" s="10" t="s">
        <v>4225</v>
      </c>
      <c r="B2106" s="10">
        <v>75.296827375601694</v>
      </c>
      <c r="C2106" s="10">
        <v>3.8461410355051302</v>
      </c>
      <c r="D2106" s="10">
        <v>0.53430570782904896</v>
      </c>
      <c r="E2106" s="10">
        <v>7.1983903206508497</v>
      </c>
      <c r="F2106" s="4">
        <v>6.0927525598439202E-13</v>
      </c>
      <c r="G2106" s="4">
        <v>1.2407266741260601E-11</v>
      </c>
      <c r="H2106" s="10" t="s">
        <v>4226</v>
      </c>
      <c r="I2106" s="10" t="s">
        <v>18</v>
      </c>
    </row>
    <row r="2107" spans="1:9" x14ac:dyDescent="0.2">
      <c r="A2107" s="10" t="s">
        <v>4227</v>
      </c>
      <c r="B2107" s="10">
        <v>2236.0922390948299</v>
      </c>
      <c r="C2107" s="10">
        <v>-1.4492854441151</v>
      </c>
      <c r="D2107" s="10">
        <v>0.1979119532443</v>
      </c>
      <c r="E2107" s="10">
        <v>-7.3228797975942603</v>
      </c>
      <c r="F2107" s="4">
        <v>2.42705188486329E-13</v>
      </c>
      <c r="G2107" s="4">
        <v>5.1866574672054898E-12</v>
      </c>
      <c r="H2107" s="10" t="s">
        <v>0</v>
      </c>
      <c r="I2107" s="10" t="s">
        <v>18</v>
      </c>
    </row>
    <row r="2108" spans="1:9" x14ac:dyDescent="0.2">
      <c r="A2108" s="10" t="s">
        <v>4228</v>
      </c>
      <c r="B2108" s="10">
        <v>359.79134987875102</v>
      </c>
      <c r="C2108" s="10">
        <v>1.1495852146165499</v>
      </c>
      <c r="D2108" s="10">
        <v>0.26527990989376998</v>
      </c>
      <c r="E2108" s="10">
        <v>4.33348011568948</v>
      </c>
      <c r="F2108" s="4">
        <v>1.4677054281114101E-5</v>
      </c>
      <c r="G2108" s="10">
        <v>1.0047881859234E-4</v>
      </c>
      <c r="H2108" s="10" t="s">
        <v>4229</v>
      </c>
      <c r="I2108" s="10" t="s">
        <v>18</v>
      </c>
    </row>
    <row r="2109" spans="1:9" x14ac:dyDescent="0.2">
      <c r="A2109" s="10" t="s">
        <v>4230</v>
      </c>
      <c r="B2109" s="10">
        <v>559.710281696773</v>
      </c>
      <c r="C2109" s="10">
        <v>8.7578856848122904</v>
      </c>
      <c r="D2109" s="10">
        <v>0.68179842616322905</v>
      </c>
      <c r="E2109" s="10">
        <v>12.8452711956181</v>
      </c>
      <c r="F2109" s="4">
        <v>9.1430956192758096E-38</v>
      </c>
      <c r="G2109" s="4">
        <v>1.13237239244731E-35</v>
      </c>
      <c r="H2109" s="10" t="s">
        <v>4231</v>
      </c>
      <c r="I2109" s="10" t="s">
        <v>18</v>
      </c>
    </row>
    <row r="2110" spans="1:9" x14ac:dyDescent="0.2">
      <c r="A2110" s="10" t="s">
        <v>4232</v>
      </c>
      <c r="B2110" s="10">
        <v>6.6404212090509001</v>
      </c>
      <c r="C2110" s="10">
        <v>4.6318225167639397</v>
      </c>
      <c r="D2110" s="10">
        <v>1.87610149965929</v>
      </c>
      <c r="E2110" s="10">
        <v>2.46885497272141</v>
      </c>
      <c r="F2110" s="10">
        <v>1.35546140473191E-2</v>
      </c>
      <c r="G2110" s="10">
        <v>4.1040401038704703E-2</v>
      </c>
      <c r="H2110" s="10" t="s">
        <v>4233</v>
      </c>
      <c r="I2110" s="10" t="s">
        <v>18</v>
      </c>
    </row>
    <row r="2111" spans="1:9" x14ac:dyDescent="0.2">
      <c r="A2111" s="10" t="s">
        <v>4234</v>
      </c>
      <c r="B2111" s="10">
        <v>9.5089065502347392</v>
      </c>
      <c r="C2111" s="10">
        <v>6.6485123440272202</v>
      </c>
      <c r="D2111" s="10">
        <v>1.7890280482863701</v>
      </c>
      <c r="E2111" s="10">
        <v>3.7162706031331001</v>
      </c>
      <c r="F2111" s="10">
        <v>2.02185038929821E-4</v>
      </c>
      <c r="G2111" s="10">
        <v>1.0777099247009699E-3</v>
      </c>
      <c r="H2111" s="10" t="s">
        <v>4235</v>
      </c>
      <c r="I2111" s="10" t="s">
        <v>18</v>
      </c>
    </row>
    <row r="2112" spans="1:9" x14ac:dyDescent="0.2">
      <c r="A2112" s="10" t="s">
        <v>4236</v>
      </c>
      <c r="B2112" s="10">
        <v>4043.7701346990498</v>
      </c>
      <c r="C2112" s="10">
        <v>1.5481877415799301</v>
      </c>
      <c r="D2112" s="10">
        <v>0.18759419647620501</v>
      </c>
      <c r="E2112" s="10">
        <v>8.2528552090698604</v>
      </c>
      <c r="F2112" s="4">
        <v>1.5465438218190999E-16</v>
      </c>
      <c r="G2112" s="4">
        <v>4.4356504750636904E-15</v>
      </c>
      <c r="H2112" s="10" t="s">
        <v>4237</v>
      </c>
      <c r="I2112" s="10" t="s">
        <v>18</v>
      </c>
    </row>
    <row r="2113" spans="1:9" x14ac:dyDescent="0.2">
      <c r="A2113" s="10" t="s">
        <v>4238</v>
      </c>
      <c r="B2113" s="10">
        <v>374.50104970411002</v>
      </c>
      <c r="C2113" s="10">
        <v>-2.02623155382885</v>
      </c>
      <c r="D2113" s="10">
        <v>0.245793177106092</v>
      </c>
      <c r="E2113" s="10">
        <v>-8.2436444236784592</v>
      </c>
      <c r="F2113" s="4">
        <v>1.67043080063306E-16</v>
      </c>
      <c r="G2113" s="4">
        <v>4.7733160667149701E-15</v>
      </c>
      <c r="H2113" s="10" t="s">
        <v>4239</v>
      </c>
      <c r="I2113" s="10" t="s">
        <v>18</v>
      </c>
    </row>
    <row r="2114" spans="1:9" x14ac:dyDescent="0.2">
      <c r="A2114" s="10" t="s">
        <v>4240</v>
      </c>
      <c r="B2114" s="10">
        <v>7.89627066644824</v>
      </c>
      <c r="C2114" s="10">
        <v>4.8822510667877097</v>
      </c>
      <c r="D2114" s="10">
        <v>1.81577864010137</v>
      </c>
      <c r="E2114" s="10">
        <v>2.6887919920212</v>
      </c>
      <c r="F2114" s="10">
        <v>7.1711088632352401E-3</v>
      </c>
      <c r="G2114" s="10">
        <v>2.4101542271687499E-2</v>
      </c>
      <c r="H2114" s="10" t="s">
        <v>4241</v>
      </c>
      <c r="I2114" s="10" t="s">
        <v>18</v>
      </c>
    </row>
    <row r="2115" spans="1:9" x14ac:dyDescent="0.2">
      <c r="A2115" s="10" t="s">
        <v>4242</v>
      </c>
      <c r="B2115" s="10">
        <v>7.4612888787148499</v>
      </c>
      <c r="C2115" s="10">
        <v>3.7373262698813501</v>
      </c>
      <c r="D2115" s="10">
        <v>1.54525335098741</v>
      </c>
      <c r="E2115" s="10">
        <v>2.4185848019635201</v>
      </c>
      <c r="F2115" s="10">
        <v>1.55810133076347E-2</v>
      </c>
      <c r="G2115" s="10">
        <v>4.6035119235862197E-2</v>
      </c>
      <c r="H2115" s="10" t="s">
        <v>4243</v>
      </c>
      <c r="I2115" s="10" t="s">
        <v>18</v>
      </c>
    </row>
    <row r="2116" spans="1:9" x14ac:dyDescent="0.2">
      <c r="A2116" s="10" t="s">
        <v>4244</v>
      </c>
      <c r="B2116" s="10">
        <v>44.782747120920703</v>
      </c>
      <c r="C2116" s="10">
        <v>1.69448173822877</v>
      </c>
      <c r="D2116" s="10">
        <v>0.53291178071369305</v>
      </c>
      <c r="E2116" s="10">
        <v>3.17966650307386</v>
      </c>
      <c r="F2116" s="10">
        <v>1.4744463535956401E-3</v>
      </c>
      <c r="G2116" s="10">
        <v>6.1901756234853996E-3</v>
      </c>
      <c r="H2116" s="10" t="s">
        <v>4245</v>
      </c>
      <c r="I2116" s="10" t="s">
        <v>18</v>
      </c>
    </row>
    <row r="2117" spans="1:9" x14ac:dyDescent="0.2">
      <c r="A2117" s="10" t="s">
        <v>4246</v>
      </c>
      <c r="B2117" s="10">
        <v>7588.3816892784598</v>
      </c>
      <c r="C2117" s="10">
        <v>-1.02877776123469</v>
      </c>
      <c r="D2117" s="10">
        <v>0.17677800045863501</v>
      </c>
      <c r="E2117" s="10">
        <v>-5.8196028836484803</v>
      </c>
      <c r="F2117" s="4">
        <v>5.8987606001852498E-9</v>
      </c>
      <c r="G2117" s="4">
        <v>7.2170422125391699E-8</v>
      </c>
      <c r="H2117" s="10" t="s">
        <v>4247</v>
      </c>
      <c r="I2117" s="10" t="s">
        <v>18</v>
      </c>
    </row>
    <row r="2118" spans="1:9" x14ac:dyDescent="0.2">
      <c r="A2118" s="10" t="s">
        <v>4248</v>
      </c>
      <c r="B2118" s="10">
        <v>44.315360963754301</v>
      </c>
      <c r="C2118" s="10">
        <v>-2.4466647982816299</v>
      </c>
      <c r="D2118" s="10">
        <v>0.55425309958795399</v>
      </c>
      <c r="E2118" s="10">
        <v>-4.4143457205752101</v>
      </c>
      <c r="F2118" s="4">
        <v>1.01315938438905E-5</v>
      </c>
      <c r="G2118" s="4">
        <v>7.1908188972254203E-5</v>
      </c>
      <c r="H2118" s="10" t="s">
        <v>4249</v>
      </c>
      <c r="I2118" s="10" t="s">
        <v>18</v>
      </c>
    </row>
    <row r="2119" spans="1:9" x14ac:dyDescent="0.2">
      <c r="A2119" s="10" t="s">
        <v>4250</v>
      </c>
      <c r="B2119" s="10">
        <v>43.0486750033539</v>
      </c>
      <c r="C2119" s="10">
        <v>6.3676225976555898</v>
      </c>
      <c r="D2119" s="10">
        <v>1.14065855725485</v>
      </c>
      <c r="E2119" s="10">
        <v>5.5824090014983403</v>
      </c>
      <c r="F2119" s="4">
        <v>2.37209729978426E-8</v>
      </c>
      <c r="G2119" s="4">
        <v>2.6818479305901202E-7</v>
      </c>
      <c r="H2119" s="10" t="s">
        <v>4251</v>
      </c>
      <c r="I2119" s="10" t="s">
        <v>18</v>
      </c>
    </row>
    <row r="2120" spans="1:9" x14ac:dyDescent="0.2">
      <c r="A2120" s="10" t="s">
        <v>4252</v>
      </c>
      <c r="B2120" s="10">
        <v>12.365536628889499</v>
      </c>
      <c r="C2120" s="10">
        <v>7.0218011762966803</v>
      </c>
      <c r="D2120" s="10">
        <v>1.7180122572643099</v>
      </c>
      <c r="E2120" s="10">
        <v>4.0871659364514104</v>
      </c>
      <c r="F2120" s="4">
        <v>4.36674798707395E-5</v>
      </c>
      <c r="G2120" s="10">
        <v>2.7010393281226699E-4</v>
      </c>
      <c r="H2120" s="10" t="s">
        <v>4253</v>
      </c>
      <c r="I2120" s="10" t="s">
        <v>18</v>
      </c>
    </row>
    <row r="2121" spans="1:9" x14ac:dyDescent="0.2">
      <c r="A2121" s="10" t="s">
        <v>4254</v>
      </c>
      <c r="B2121" s="10">
        <v>1720.7265628282</v>
      </c>
      <c r="C2121" s="10">
        <v>-1.3608402539823801</v>
      </c>
      <c r="D2121" s="10">
        <v>0.188738675117851</v>
      </c>
      <c r="E2121" s="10">
        <v>-7.21018229640881</v>
      </c>
      <c r="F2121" s="4">
        <v>5.5877020608661897E-13</v>
      </c>
      <c r="G2121" s="4">
        <v>1.1473106107944301E-11</v>
      </c>
      <c r="H2121" s="10" t="s">
        <v>4255</v>
      </c>
      <c r="I2121" s="10" t="s">
        <v>18</v>
      </c>
    </row>
    <row r="2122" spans="1:9" x14ac:dyDescent="0.2">
      <c r="A2122" s="10" t="s">
        <v>4256</v>
      </c>
      <c r="B2122" s="10">
        <v>2588.9416273567399</v>
      </c>
      <c r="C2122" s="10">
        <v>-1.4168294773769301</v>
      </c>
      <c r="D2122" s="10">
        <v>0.17939747417879601</v>
      </c>
      <c r="E2122" s="10">
        <v>-7.8977114023626598</v>
      </c>
      <c r="F2122" s="4">
        <v>2.8407094424074201E-15</v>
      </c>
      <c r="G2122" s="4">
        <v>7.2882118810993501E-14</v>
      </c>
      <c r="H2122" s="10" t="s">
        <v>4257</v>
      </c>
      <c r="I2122" s="10" t="s">
        <v>18</v>
      </c>
    </row>
    <row r="2123" spans="1:9" x14ac:dyDescent="0.2">
      <c r="A2123" s="10" t="s">
        <v>4258</v>
      </c>
      <c r="B2123" s="10">
        <v>50.711226242600503</v>
      </c>
      <c r="C2123" s="10">
        <v>1.79767267252893</v>
      </c>
      <c r="D2123" s="10">
        <v>0.51280366218665896</v>
      </c>
      <c r="E2123" s="10">
        <v>3.5055769002573598</v>
      </c>
      <c r="F2123" s="10">
        <v>4.5561886107751401E-4</v>
      </c>
      <c r="G2123" s="10">
        <v>2.20658498183061E-3</v>
      </c>
      <c r="H2123" s="10" t="s">
        <v>4259</v>
      </c>
      <c r="I2123" s="10" t="s">
        <v>18</v>
      </c>
    </row>
    <row r="2124" spans="1:9" x14ac:dyDescent="0.2">
      <c r="A2124" s="10" t="s">
        <v>4260</v>
      </c>
      <c r="B2124" s="10">
        <v>1094.91319631537</v>
      </c>
      <c r="C2124" s="10">
        <v>-1.5215364661651201</v>
      </c>
      <c r="D2124" s="10">
        <v>0.21578876921642701</v>
      </c>
      <c r="E2124" s="10">
        <v>-7.0510456669739101</v>
      </c>
      <c r="F2124" s="4">
        <v>1.775781983434E-12</v>
      </c>
      <c r="G2124" s="4">
        <v>3.4073754720159197E-11</v>
      </c>
      <c r="H2124" s="10" t="s">
        <v>4261</v>
      </c>
      <c r="I2124" s="10" t="s">
        <v>18</v>
      </c>
    </row>
    <row r="2125" spans="1:9" x14ac:dyDescent="0.2">
      <c r="A2125" s="10" t="s">
        <v>4262</v>
      </c>
      <c r="B2125" s="10">
        <v>53.855799451685101</v>
      </c>
      <c r="C2125" s="10">
        <v>1.66474718056677</v>
      </c>
      <c r="D2125" s="10">
        <v>0.49504882866057298</v>
      </c>
      <c r="E2125" s="10">
        <v>3.3627938986766002</v>
      </c>
      <c r="F2125" s="10">
        <v>7.7157945717532905E-4</v>
      </c>
      <c r="G2125" s="10">
        <v>3.52029897348563E-3</v>
      </c>
      <c r="H2125" s="10" t="s">
        <v>4263</v>
      </c>
      <c r="I2125" s="10" t="s">
        <v>18</v>
      </c>
    </row>
    <row r="2126" spans="1:9" x14ac:dyDescent="0.2">
      <c r="A2126" s="10" t="s">
        <v>4264</v>
      </c>
      <c r="B2126" s="10">
        <v>137.28727592498601</v>
      </c>
      <c r="C2126" s="10">
        <v>-2.1182247049175902</v>
      </c>
      <c r="D2126" s="10">
        <v>0.34404878892994201</v>
      </c>
      <c r="E2126" s="10">
        <v>-6.1567567539059596</v>
      </c>
      <c r="F2126" s="4">
        <v>7.4249756588313098E-10</v>
      </c>
      <c r="G2126" s="4">
        <v>1.0277964173192199E-8</v>
      </c>
      <c r="H2126" s="10" t="s">
        <v>4265</v>
      </c>
      <c r="I2126" s="10" t="s">
        <v>18</v>
      </c>
    </row>
    <row r="2127" spans="1:9" x14ac:dyDescent="0.2">
      <c r="A2127" s="10" t="s">
        <v>4266</v>
      </c>
      <c r="B2127" s="10">
        <v>1209.0116895747601</v>
      </c>
      <c r="C2127" s="10">
        <v>2.9001610697226399</v>
      </c>
      <c r="D2127" s="10">
        <v>0.21763841908658499</v>
      </c>
      <c r="E2127" s="10">
        <v>13.325593348336399</v>
      </c>
      <c r="F2127" s="4">
        <v>1.6432113334799599E-40</v>
      </c>
      <c r="G2127" s="4">
        <v>2.33190516684002E-38</v>
      </c>
      <c r="H2127" s="10" t="s">
        <v>4267</v>
      </c>
      <c r="I2127" s="10" t="s">
        <v>18</v>
      </c>
    </row>
    <row r="2128" spans="1:9" x14ac:dyDescent="0.2">
      <c r="A2128" s="10" t="s">
        <v>4268</v>
      </c>
      <c r="B2128" s="10">
        <v>308.72275887380499</v>
      </c>
      <c r="C2128" s="10">
        <v>-1.0047669168826701</v>
      </c>
      <c r="D2128" s="10">
        <v>0.26109864719502102</v>
      </c>
      <c r="E2128" s="10">
        <v>-3.8482272033074998</v>
      </c>
      <c r="F2128" s="10">
        <v>1.18975685430742E-4</v>
      </c>
      <c r="G2128" s="10">
        <v>6.7029340494271096E-4</v>
      </c>
      <c r="H2128" s="10" t="s">
        <v>4269</v>
      </c>
      <c r="I2128" s="10" t="s">
        <v>18</v>
      </c>
    </row>
    <row r="2129" spans="1:9" x14ac:dyDescent="0.2">
      <c r="A2129" s="10" t="s">
        <v>4270</v>
      </c>
      <c r="B2129" s="10">
        <v>32.2707253968007</v>
      </c>
      <c r="C2129" s="10">
        <v>5.3378829761576796</v>
      </c>
      <c r="D2129" s="10">
        <v>1.0331914061707499</v>
      </c>
      <c r="E2129" s="10">
        <v>5.1664028023046997</v>
      </c>
      <c r="F2129" s="4">
        <v>2.3864221193687101E-7</v>
      </c>
      <c r="G2129" s="4">
        <v>2.2735259960293499E-6</v>
      </c>
      <c r="H2129" s="10" t="s">
        <v>4271</v>
      </c>
      <c r="I2129" s="10" t="s">
        <v>18</v>
      </c>
    </row>
    <row r="2130" spans="1:9" x14ac:dyDescent="0.2">
      <c r="A2130" s="10" t="s">
        <v>4272</v>
      </c>
      <c r="B2130" s="10">
        <v>10.786425488551901</v>
      </c>
      <c r="C2130" s="10">
        <v>5.3511460884705402</v>
      </c>
      <c r="D2130" s="10">
        <v>1.7279794805683899</v>
      </c>
      <c r="E2130" s="10">
        <v>3.0967648335212701</v>
      </c>
      <c r="F2130" s="10">
        <v>1.95645014521705E-3</v>
      </c>
      <c r="G2130" s="10">
        <v>7.8973921639598401E-3</v>
      </c>
      <c r="H2130" s="10" t="s">
        <v>4273</v>
      </c>
      <c r="I2130" s="10" t="s">
        <v>18</v>
      </c>
    </row>
    <row r="2131" spans="1:9" x14ac:dyDescent="0.2">
      <c r="A2131" s="10" t="s">
        <v>4274</v>
      </c>
      <c r="B2131" s="10">
        <v>18.087488791378401</v>
      </c>
      <c r="C2131" s="10">
        <v>2.1290784614673499</v>
      </c>
      <c r="D2131" s="10">
        <v>0.83572752652098403</v>
      </c>
      <c r="E2131" s="10">
        <v>2.5475748900247499</v>
      </c>
      <c r="F2131" s="10">
        <v>1.08474567375222E-2</v>
      </c>
      <c r="G2131" s="10">
        <v>3.4100815105599397E-2</v>
      </c>
      <c r="H2131" s="10" t="s">
        <v>4275</v>
      </c>
      <c r="I2131" s="10" t="s">
        <v>18</v>
      </c>
    </row>
    <row r="2132" spans="1:9" x14ac:dyDescent="0.2">
      <c r="A2132" s="10" t="s">
        <v>4276</v>
      </c>
      <c r="B2132" s="10">
        <v>79.8651773416982</v>
      </c>
      <c r="C2132" s="10">
        <v>2.7944650734353398</v>
      </c>
      <c r="D2132" s="10">
        <v>0.443711313109179</v>
      </c>
      <c r="E2132" s="10">
        <v>6.2979351458359902</v>
      </c>
      <c r="F2132" s="4">
        <v>3.0163665587871499E-10</v>
      </c>
      <c r="G2132" s="4">
        <v>4.3763013646045502E-9</v>
      </c>
      <c r="H2132" s="10" t="s">
        <v>4277</v>
      </c>
      <c r="I2132" s="10" t="s">
        <v>18</v>
      </c>
    </row>
    <row r="2133" spans="1:9" x14ac:dyDescent="0.2">
      <c r="A2133" s="10" t="s">
        <v>4278</v>
      </c>
      <c r="B2133" s="10">
        <v>1480.60208085866</v>
      </c>
      <c r="C2133" s="10">
        <v>2.36317063332609</v>
      </c>
      <c r="D2133" s="10">
        <v>0.202907284716211</v>
      </c>
      <c r="E2133" s="10">
        <v>11.6465539255096</v>
      </c>
      <c r="F2133" s="4">
        <v>2.3892651956660501E-31</v>
      </c>
      <c r="G2133" s="4">
        <v>2.0601363539972399E-29</v>
      </c>
      <c r="H2133" s="10" t="s">
        <v>4279</v>
      </c>
      <c r="I2133" s="10" t="s">
        <v>18</v>
      </c>
    </row>
    <row r="2134" spans="1:9" x14ac:dyDescent="0.2">
      <c r="A2134" s="10" t="s">
        <v>4280</v>
      </c>
      <c r="B2134" s="10">
        <v>16.158182808119399</v>
      </c>
      <c r="C2134" s="10">
        <v>2.9834952734036202</v>
      </c>
      <c r="D2134" s="10">
        <v>0.96579053313461705</v>
      </c>
      <c r="E2134" s="10">
        <v>3.0891742785262499</v>
      </c>
      <c r="F2134" s="10">
        <v>2.0071366078107302E-3</v>
      </c>
      <c r="G2134" s="10">
        <v>8.0804449103160404E-3</v>
      </c>
      <c r="H2134" s="10" t="s">
        <v>4281</v>
      </c>
      <c r="I2134" s="10" t="s">
        <v>18</v>
      </c>
    </row>
    <row r="2135" spans="1:9" x14ac:dyDescent="0.2">
      <c r="A2135" s="10" t="s">
        <v>4282</v>
      </c>
      <c r="B2135" s="10">
        <v>5811.3115953106499</v>
      </c>
      <c r="C2135" s="10">
        <v>1.1448153391120599</v>
      </c>
      <c r="D2135" s="10">
        <v>0.17602419020726501</v>
      </c>
      <c r="E2135" s="10">
        <v>6.50373870639062</v>
      </c>
      <c r="F2135" s="4">
        <v>7.83479379418832E-11</v>
      </c>
      <c r="G2135" s="4">
        <v>1.2396900494207301E-9</v>
      </c>
      <c r="H2135" s="10" t="s">
        <v>4283</v>
      </c>
      <c r="I2135" s="10" t="s">
        <v>18</v>
      </c>
    </row>
    <row r="2136" spans="1:9" x14ac:dyDescent="0.2">
      <c r="A2136" s="10" t="s">
        <v>4284</v>
      </c>
      <c r="B2136" s="10">
        <v>107.404234654154</v>
      </c>
      <c r="C2136" s="10">
        <v>1.0425498991866899</v>
      </c>
      <c r="D2136" s="10">
        <v>0.367871646202094</v>
      </c>
      <c r="E2136" s="10">
        <v>2.8340044957255399</v>
      </c>
      <c r="F2136" s="10">
        <v>4.5968685291247697E-3</v>
      </c>
      <c r="G2136" s="10">
        <v>1.65173251764556E-2</v>
      </c>
      <c r="H2136" s="10" t="s">
        <v>4285</v>
      </c>
      <c r="I2136" s="10" t="s">
        <v>18</v>
      </c>
    </row>
    <row r="2137" spans="1:9" x14ac:dyDescent="0.2">
      <c r="A2137" s="10" t="s">
        <v>4286</v>
      </c>
      <c r="B2137" s="10">
        <v>1507.28512137389</v>
      </c>
      <c r="C2137" s="10">
        <v>-1.3999152010453899</v>
      </c>
      <c r="D2137" s="10">
        <v>0.24005142608628099</v>
      </c>
      <c r="E2137" s="10">
        <v>-5.8317304082260204</v>
      </c>
      <c r="F2137" s="4">
        <v>5.4855497397149296E-9</v>
      </c>
      <c r="G2137" s="4">
        <v>6.7569970053351097E-8</v>
      </c>
      <c r="H2137" s="10" t="s">
        <v>4287</v>
      </c>
      <c r="I2137" s="10" t="s">
        <v>18</v>
      </c>
    </row>
    <row r="2138" spans="1:9" x14ac:dyDescent="0.2">
      <c r="A2138" s="10" t="s">
        <v>4288</v>
      </c>
      <c r="B2138" s="10">
        <v>97.940035608616398</v>
      </c>
      <c r="C2138" s="10">
        <v>1.9016789905712601</v>
      </c>
      <c r="D2138" s="10">
        <v>0.38613687959083698</v>
      </c>
      <c r="E2138" s="10">
        <v>4.9248830947884201</v>
      </c>
      <c r="F2138" s="4">
        <v>8.4410803744709102E-7</v>
      </c>
      <c r="G2138" s="4">
        <v>7.3386763549205098E-6</v>
      </c>
      <c r="H2138" s="10" t="s">
        <v>4289</v>
      </c>
      <c r="I2138" s="10" t="s">
        <v>18</v>
      </c>
    </row>
    <row r="2139" spans="1:9" x14ac:dyDescent="0.2">
      <c r="A2139" s="10" t="s">
        <v>4290</v>
      </c>
      <c r="B2139" s="10">
        <v>977.07789512265504</v>
      </c>
      <c r="C2139" s="10">
        <v>1.2065043441434999</v>
      </c>
      <c r="D2139" s="10">
        <v>0.21318922886560401</v>
      </c>
      <c r="E2139" s="10">
        <v>5.6593119200411603</v>
      </c>
      <c r="F2139" s="4">
        <v>1.5198110587997299E-8</v>
      </c>
      <c r="G2139" s="4">
        <v>1.76289024772739E-7</v>
      </c>
      <c r="H2139" s="10" t="s">
        <v>4291</v>
      </c>
      <c r="I2139" s="10" t="s">
        <v>18</v>
      </c>
    </row>
    <row r="2140" spans="1:9" x14ac:dyDescent="0.2">
      <c r="A2140" s="10" t="s">
        <v>4292</v>
      </c>
      <c r="B2140" s="10">
        <v>7.8600325616414999</v>
      </c>
      <c r="C2140" s="10">
        <v>4.8760650684475904</v>
      </c>
      <c r="D2140" s="10">
        <v>1.81654748986116</v>
      </c>
      <c r="E2140" s="10">
        <v>2.68424860658076</v>
      </c>
      <c r="F2140" s="10">
        <v>7.2693029542421498E-3</v>
      </c>
      <c r="G2140" s="10">
        <v>2.43274682339591E-2</v>
      </c>
      <c r="H2140" s="10" t="s">
        <v>4293</v>
      </c>
      <c r="I2140" s="10" t="s">
        <v>18</v>
      </c>
    </row>
    <row r="2141" spans="1:9" x14ac:dyDescent="0.2">
      <c r="A2141" s="10" t="s">
        <v>4294</v>
      </c>
      <c r="B2141" s="10">
        <v>1978.9178791818699</v>
      </c>
      <c r="C2141" s="10">
        <v>-1.0146257640252401</v>
      </c>
      <c r="D2141" s="10">
        <v>0.18231691246135501</v>
      </c>
      <c r="E2141" s="10">
        <v>-5.5651763203279696</v>
      </c>
      <c r="F2141" s="4">
        <v>2.6188747036300301E-8</v>
      </c>
      <c r="G2141" s="4">
        <v>2.9413223021355103E-7</v>
      </c>
      <c r="H2141" s="10" t="s">
        <v>4295</v>
      </c>
      <c r="I2141" s="10" t="s">
        <v>18</v>
      </c>
    </row>
    <row r="2142" spans="1:9" x14ac:dyDescent="0.2">
      <c r="A2142" s="10" t="s">
        <v>4296</v>
      </c>
      <c r="B2142" s="10">
        <v>2578.6467742498698</v>
      </c>
      <c r="C2142" s="10">
        <v>-1.8492702306261399</v>
      </c>
      <c r="D2142" s="10">
        <v>0.200411636044418</v>
      </c>
      <c r="E2142" s="10">
        <v>-9.2273595841325307</v>
      </c>
      <c r="F2142" s="4">
        <v>2.7738513174220698E-20</v>
      </c>
      <c r="G2142" s="4">
        <v>1.10657579569252E-18</v>
      </c>
      <c r="H2142" s="10" t="s">
        <v>4297</v>
      </c>
      <c r="I2142" s="10" t="s">
        <v>18</v>
      </c>
    </row>
    <row r="2143" spans="1:9" x14ac:dyDescent="0.2">
      <c r="A2143" s="10" t="s">
        <v>4298</v>
      </c>
      <c r="B2143" s="10">
        <v>6416.5620450568904</v>
      </c>
      <c r="C2143" s="10">
        <v>2.0396185842830699</v>
      </c>
      <c r="D2143" s="10">
        <v>0.20072482472227801</v>
      </c>
      <c r="E2143" s="10">
        <v>10.1612672329149</v>
      </c>
      <c r="F2143" s="4">
        <v>2.95214119779151E-24</v>
      </c>
      <c r="G2143" s="4">
        <v>1.5498456881739001E-22</v>
      </c>
      <c r="H2143" s="10" t="s">
        <v>4299</v>
      </c>
      <c r="I2143" s="10" t="s">
        <v>18</v>
      </c>
    </row>
    <row r="2144" spans="1:9" x14ac:dyDescent="0.2">
      <c r="A2144" s="10" t="s">
        <v>4300</v>
      </c>
      <c r="B2144" s="10">
        <v>4019.04515596794</v>
      </c>
      <c r="C2144" s="10">
        <v>-1.2024292934752601</v>
      </c>
      <c r="D2144" s="10">
        <v>0.17464264252213901</v>
      </c>
      <c r="E2144" s="10">
        <v>-6.8850841702239904</v>
      </c>
      <c r="F2144" s="4">
        <v>5.7753376907361799E-12</v>
      </c>
      <c r="G2144" s="4">
        <v>1.04350547784807E-10</v>
      </c>
      <c r="H2144" s="10" t="s">
        <v>4301</v>
      </c>
      <c r="I2144" s="10" t="s">
        <v>18</v>
      </c>
    </row>
    <row r="2145" spans="1:9" x14ac:dyDescent="0.2">
      <c r="A2145" s="10" t="s">
        <v>4302</v>
      </c>
      <c r="B2145" s="10">
        <v>108.47214455124001</v>
      </c>
      <c r="C2145" s="10">
        <v>2.8858324154999102</v>
      </c>
      <c r="D2145" s="10">
        <v>0.39700388650007901</v>
      </c>
      <c r="E2145" s="10">
        <v>7.2690281219686197</v>
      </c>
      <c r="F2145" s="4">
        <v>3.6208302610205301E-13</v>
      </c>
      <c r="G2145" s="4">
        <v>7.5831485105323805E-12</v>
      </c>
      <c r="H2145" s="10" t="s">
        <v>4303</v>
      </c>
      <c r="I2145" s="10" t="s">
        <v>18</v>
      </c>
    </row>
    <row r="2146" spans="1:9" x14ac:dyDescent="0.2">
      <c r="A2146" s="10" t="s">
        <v>4304</v>
      </c>
      <c r="B2146" s="10">
        <v>1857.00592125976</v>
      </c>
      <c r="C2146" s="10">
        <v>1.4470328917127799</v>
      </c>
      <c r="D2146" s="10">
        <v>0.18337813134950501</v>
      </c>
      <c r="E2146" s="10">
        <v>7.8909784992565504</v>
      </c>
      <c r="F2146" s="4">
        <v>2.9982631154138401E-15</v>
      </c>
      <c r="G2146" s="4">
        <v>7.6707676155568896E-14</v>
      </c>
      <c r="H2146" s="10" t="s">
        <v>4305</v>
      </c>
      <c r="I2146" s="10" t="s">
        <v>18</v>
      </c>
    </row>
    <row r="2147" spans="1:9" x14ac:dyDescent="0.2">
      <c r="A2147" s="10" t="s">
        <v>4306</v>
      </c>
      <c r="B2147" s="10">
        <v>953.777107229992</v>
      </c>
      <c r="C2147" s="10">
        <v>-2.0548620118088001</v>
      </c>
      <c r="D2147" s="10">
        <v>0.22284388553196799</v>
      </c>
      <c r="E2147" s="10">
        <v>-9.2210832121486295</v>
      </c>
      <c r="F2147" s="4">
        <v>2.9411382375358102E-20</v>
      </c>
      <c r="G2147" s="4">
        <v>1.1647847900892201E-18</v>
      </c>
      <c r="H2147" s="10" t="s">
        <v>4307</v>
      </c>
      <c r="I2147" s="10" t="s">
        <v>18</v>
      </c>
    </row>
    <row r="2148" spans="1:9" x14ac:dyDescent="0.2">
      <c r="A2148" s="10" t="s">
        <v>4308</v>
      </c>
      <c r="B2148" s="10">
        <v>26461.408050004899</v>
      </c>
      <c r="C2148" s="10">
        <v>-1.3382937421296</v>
      </c>
      <c r="D2148" s="10">
        <v>0.170410486633988</v>
      </c>
      <c r="E2148" s="10">
        <v>-7.8533532094419503</v>
      </c>
      <c r="F2148" s="4">
        <v>4.05058828334981E-15</v>
      </c>
      <c r="G2148" s="4">
        <v>1.02285800701049E-13</v>
      </c>
      <c r="H2148" s="10" t="s">
        <v>4309</v>
      </c>
      <c r="I2148" s="10" t="s">
        <v>18</v>
      </c>
    </row>
    <row r="2149" spans="1:9" x14ac:dyDescent="0.2">
      <c r="A2149" s="10" t="s">
        <v>4310</v>
      </c>
      <c r="B2149" s="10">
        <v>661.298464854592</v>
      </c>
      <c r="C2149" s="10">
        <v>2.1664731991662101</v>
      </c>
      <c r="D2149" s="10">
        <v>0.22499919848722</v>
      </c>
      <c r="E2149" s="10">
        <v>9.6288040745588095</v>
      </c>
      <c r="F2149" s="4">
        <v>6.0428652979244602E-22</v>
      </c>
      <c r="G2149" s="4">
        <v>2.72148678962889E-20</v>
      </c>
      <c r="H2149" s="10" t="s">
        <v>4311</v>
      </c>
      <c r="I2149" s="10" t="s">
        <v>18</v>
      </c>
    </row>
    <row r="2150" spans="1:9" x14ac:dyDescent="0.2">
      <c r="A2150" s="10" t="s">
        <v>4312</v>
      </c>
      <c r="B2150" s="10">
        <v>842.24180087467005</v>
      </c>
      <c r="C2150" s="10">
        <v>1.94728261952495</v>
      </c>
      <c r="D2150" s="10">
        <v>0.210378328530611</v>
      </c>
      <c r="E2150" s="10">
        <v>9.2560989201015005</v>
      </c>
      <c r="F2150" s="4">
        <v>2.1203787138047401E-20</v>
      </c>
      <c r="G2150" s="4">
        <v>8.5212328635748804E-19</v>
      </c>
      <c r="H2150" s="10" t="s">
        <v>4313</v>
      </c>
      <c r="I2150" s="10" t="s">
        <v>18</v>
      </c>
    </row>
    <row r="2151" spans="1:9" x14ac:dyDescent="0.2">
      <c r="A2151" s="10" t="s">
        <v>4314</v>
      </c>
      <c r="B2151" s="10">
        <v>1193.7964550215199</v>
      </c>
      <c r="C2151" s="10">
        <v>-1.2725244532986</v>
      </c>
      <c r="D2151" s="10">
        <v>0.212750983322473</v>
      </c>
      <c r="E2151" s="10">
        <v>-5.9812858837404104</v>
      </c>
      <c r="F2151" s="4">
        <v>2.21382928875882E-9</v>
      </c>
      <c r="G2151" s="4">
        <v>2.8601330787487701E-8</v>
      </c>
      <c r="H2151" s="10" t="s">
        <v>4315</v>
      </c>
      <c r="I2151" s="10" t="s">
        <v>18</v>
      </c>
    </row>
    <row r="2152" spans="1:9" x14ac:dyDescent="0.2">
      <c r="A2152" s="10" t="s">
        <v>4316</v>
      </c>
      <c r="B2152" s="10">
        <v>141.33806706373801</v>
      </c>
      <c r="C2152" s="10">
        <v>2.5706561090309701</v>
      </c>
      <c r="D2152" s="10">
        <v>0.34919677795769899</v>
      </c>
      <c r="E2152" s="10">
        <v>7.3616260839106999</v>
      </c>
      <c r="F2152" s="4">
        <v>1.8168329442697801E-13</v>
      </c>
      <c r="G2152" s="4">
        <v>3.9476273710142499E-12</v>
      </c>
      <c r="H2152" s="10" t="s">
        <v>4317</v>
      </c>
      <c r="I2152" s="10" t="s">
        <v>18</v>
      </c>
    </row>
    <row r="2153" spans="1:9" x14ac:dyDescent="0.2">
      <c r="A2153" s="10" t="s">
        <v>4318</v>
      </c>
      <c r="B2153" s="10">
        <v>338.05654854579598</v>
      </c>
      <c r="C2153" s="10">
        <v>3.07459795589955</v>
      </c>
      <c r="D2153" s="10">
        <v>0.273319986549177</v>
      </c>
      <c r="E2153" s="10">
        <v>11.2490783960519</v>
      </c>
      <c r="F2153" s="4">
        <v>2.34024491640477E-29</v>
      </c>
      <c r="G2153" s="4">
        <v>1.73745649147904E-27</v>
      </c>
      <c r="H2153" s="10" t="s">
        <v>4319</v>
      </c>
      <c r="I2153" s="10" t="s">
        <v>18</v>
      </c>
    </row>
    <row r="2154" spans="1:9" x14ac:dyDescent="0.2">
      <c r="A2154" s="10" t="s">
        <v>4320</v>
      </c>
      <c r="B2154" s="10">
        <v>652.42257514067103</v>
      </c>
      <c r="C2154" s="10">
        <v>-1.00021443412787</v>
      </c>
      <c r="D2154" s="10">
        <v>0.25498958242206798</v>
      </c>
      <c r="E2154" s="10">
        <v>-3.9225697953114</v>
      </c>
      <c r="F2154" s="4">
        <v>8.7609502475247602E-5</v>
      </c>
      <c r="G2154" s="10">
        <v>5.0908426401003902E-4</v>
      </c>
      <c r="H2154" s="10" t="s">
        <v>4321</v>
      </c>
      <c r="I2154" s="10" t="s">
        <v>18</v>
      </c>
    </row>
    <row r="2155" spans="1:9" x14ac:dyDescent="0.2">
      <c r="A2155" s="10" t="s">
        <v>4322</v>
      </c>
      <c r="B2155" s="10">
        <v>2176.4403417970502</v>
      </c>
      <c r="C2155" s="10">
        <v>-1.1935840051323101</v>
      </c>
      <c r="D2155" s="10">
        <v>0.20077891598653499</v>
      </c>
      <c r="E2155" s="10">
        <v>-5.9447676528563003</v>
      </c>
      <c r="F2155" s="4">
        <v>2.7684926306695702E-9</v>
      </c>
      <c r="G2155" s="4">
        <v>3.5431244108902702E-8</v>
      </c>
      <c r="H2155" s="10" t="s">
        <v>4323</v>
      </c>
      <c r="I2155" s="10" t="s">
        <v>18</v>
      </c>
    </row>
    <row r="2156" spans="1:9" x14ac:dyDescent="0.2">
      <c r="A2156" s="10" t="s">
        <v>4324</v>
      </c>
      <c r="B2156" s="10">
        <v>839.80293466734099</v>
      </c>
      <c r="C2156" s="10">
        <v>-1.17602991841509</v>
      </c>
      <c r="D2156" s="10">
        <v>0.220882323694578</v>
      </c>
      <c r="E2156" s="10">
        <v>-5.3242373529229496</v>
      </c>
      <c r="F2156" s="4">
        <v>1.01377463680099E-7</v>
      </c>
      <c r="G2156" s="4">
        <v>1.0283811440400801E-6</v>
      </c>
      <c r="H2156" s="10" t="s">
        <v>4325</v>
      </c>
      <c r="I2156" s="10" t="s">
        <v>18</v>
      </c>
    </row>
    <row r="2157" spans="1:9" x14ac:dyDescent="0.2">
      <c r="A2157" s="10" t="s">
        <v>4326</v>
      </c>
      <c r="B2157" s="10">
        <v>1023.28807098312</v>
      </c>
      <c r="C2157" s="10">
        <v>-1.53219630822599</v>
      </c>
      <c r="D2157" s="10">
        <v>0.209805225429301</v>
      </c>
      <c r="E2157" s="10">
        <v>-7.3029463641375996</v>
      </c>
      <c r="F2157" s="4">
        <v>2.8153343397985801E-13</v>
      </c>
      <c r="G2157" s="4">
        <v>5.97425348570809E-12</v>
      </c>
      <c r="H2157" s="10" t="s">
        <v>4327</v>
      </c>
      <c r="I2157" s="10" t="s">
        <v>18</v>
      </c>
    </row>
    <row r="2158" spans="1:9" x14ac:dyDescent="0.2">
      <c r="A2158" s="10" t="s">
        <v>4328</v>
      </c>
      <c r="B2158" s="10">
        <v>1106.10045476352</v>
      </c>
      <c r="C2158" s="10">
        <v>1.14573069994567</v>
      </c>
      <c r="D2158" s="10">
        <v>0.2111809623683</v>
      </c>
      <c r="E2158" s="10">
        <v>5.4253503113955697</v>
      </c>
      <c r="F2158" s="4">
        <v>5.7840985971336197E-8</v>
      </c>
      <c r="G2158" s="4">
        <v>6.1203625039262002E-7</v>
      </c>
      <c r="H2158" s="10" t="s">
        <v>4329</v>
      </c>
      <c r="I2158" s="10" t="s">
        <v>18</v>
      </c>
    </row>
    <row r="2159" spans="1:9" x14ac:dyDescent="0.2">
      <c r="A2159" s="10" t="s">
        <v>4330</v>
      </c>
      <c r="B2159" s="10">
        <v>380.12844032065698</v>
      </c>
      <c r="C2159" s="10">
        <v>-1.96498900741704</v>
      </c>
      <c r="D2159" s="10">
        <v>0.25698424560616601</v>
      </c>
      <c r="E2159" s="10">
        <v>-7.6463403535967398</v>
      </c>
      <c r="F2159" s="4">
        <v>2.06779904922171E-14</v>
      </c>
      <c r="G2159" s="4">
        <v>4.8570104046675701E-13</v>
      </c>
      <c r="H2159" s="10" t="s">
        <v>4331</v>
      </c>
      <c r="I2159" s="10" t="s">
        <v>18</v>
      </c>
    </row>
    <row r="2160" spans="1:9" x14ac:dyDescent="0.2">
      <c r="A2160" s="10" t="s">
        <v>4332</v>
      </c>
      <c r="B2160" s="10">
        <v>4500.5801973994703</v>
      </c>
      <c r="C2160" s="10">
        <v>-1.10111176409096</v>
      </c>
      <c r="D2160" s="10">
        <v>0.19197744101981401</v>
      </c>
      <c r="E2160" s="10">
        <v>-5.7356310108192003</v>
      </c>
      <c r="F2160" s="4">
        <v>9.71499615926538E-9</v>
      </c>
      <c r="G2160" s="4">
        <v>1.15440253097036E-7</v>
      </c>
      <c r="H2160" s="10" t="s">
        <v>4333</v>
      </c>
      <c r="I2160" s="10" t="s">
        <v>18</v>
      </c>
    </row>
    <row r="2161" spans="1:9" x14ac:dyDescent="0.2">
      <c r="A2161" s="10" t="s">
        <v>4334</v>
      </c>
      <c r="B2161" s="10">
        <v>1238.87477142134</v>
      </c>
      <c r="C2161" s="10">
        <v>-1.07136800218506</v>
      </c>
      <c r="D2161" s="10">
        <v>0.22805860673811301</v>
      </c>
      <c r="E2161" s="10">
        <v>-4.69777491631939</v>
      </c>
      <c r="F2161" s="4">
        <v>2.6301104142667301E-6</v>
      </c>
      <c r="G2161" s="4">
        <v>2.08564081657525E-5</v>
      </c>
      <c r="H2161" s="10" t="s">
        <v>4335</v>
      </c>
      <c r="I2161" s="10" t="s">
        <v>18</v>
      </c>
    </row>
    <row r="2162" spans="1:9" x14ac:dyDescent="0.2">
      <c r="A2162" s="10" t="s">
        <v>4336</v>
      </c>
      <c r="B2162" s="10">
        <v>2676.1222082633699</v>
      </c>
      <c r="C2162" s="10">
        <v>-1.2124355171096901</v>
      </c>
      <c r="D2162" s="10">
        <v>0.21007376517590101</v>
      </c>
      <c r="E2162" s="10">
        <v>-5.7714751582354102</v>
      </c>
      <c r="F2162" s="4">
        <v>7.8580545079657898E-9</v>
      </c>
      <c r="G2162" s="4">
        <v>9.4864160912070896E-8</v>
      </c>
      <c r="H2162" s="10" t="s">
        <v>4337</v>
      </c>
      <c r="I2162" s="10" t="s">
        <v>18</v>
      </c>
    </row>
    <row r="2163" spans="1:9" x14ac:dyDescent="0.2">
      <c r="A2163" s="10" t="s">
        <v>4338</v>
      </c>
      <c r="B2163" s="10">
        <v>643.44714345980697</v>
      </c>
      <c r="C2163" s="10">
        <v>1.22589780980906</v>
      </c>
      <c r="D2163" s="10">
        <v>0.23254598265915899</v>
      </c>
      <c r="E2163" s="10">
        <v>5.2716361546690296</v>
      </c>
      <c r="F2163" s="4">
        <v>1.35212924839828E-7</v>
      </c>
      <c r="G2163" s="4">
        <v>1.3426190098800301E-6</v>
      </c>
      <c r="H2163" s="10" t="s">
        <v>4339</v>
      </c>
      <c r="I2163" s="10" t="s">
        <v>18</v>
      </c>
    </row>
    <row r="2164" spans="1:9" x14ac:dyDescent="0.2">
      <c r="A2164" s="10" t="s">
        <v>4340</v>
      </c>
      <c r="B2164" s="10">
        <v>121.92141220510599</v>
      </c>
      <c r="C2164" s="10">
        <v>5.5285541802171201</v>
      </c>
      <c r="D2164" s="10">
        <v>0.56491722924467203</v>
      </c>
      <c r="E2164" s="10">
        <v>9.7864853362839099</v>
      </c>
      <c r="F2164" s="4">
        <v>1.2869164953930999E-22</v>
      </c>
      <c r="G2164" s="4">
        <v>6.0145135077145602E-21</v>
      </c>
      <c r="H2164" s="10" t="s">
        <v>4341</v>
      </c>
      <c r="I2164" s="10" t="s">
        <v>18</v>
      </c>
    </row>
    <row r="2165" spans="1:9" x14ac:dyDescent="0.2">
      <c r="A2165" s="10" t="s">
        <v>4342</v>
      </c>
      <c r="B2165" s="10">
        <v>35.206179063739803</v>
      </c>
      <c r="C2165" s="10">
        <v>4.7133421392549097</v>
      </c>
      <c r="D2165" s="10">
        <v>0.84641745921664902</v>
      </c>
      <c r="E2165" s="10">
        <v>5.5685785872340796</v>
      </c>
      <c r="F2165" s="4">
        <v>2.56825790501664E-8</v>
      </c>
      <c r="G2165" s="4">
        <v>2.8880447023519798E-7</v>
      </c>
      <c r="H2165" s="10" t="s">
        <v>4343</v>
      </c>
      <c r="I2165" s="10" t="s">
        <v>18</v>
      </c>
    </row>
    <row r="2166" spans="1:9" x14ac:dyDescent="0.2">
      <c r="A2166" s="10" t="s">
        <v>4344</v>
      </c>
      <c r="B2166" s="10">
        <v>1192.2271063361</v>
      </c>
      <c r="C2166" s="10">
        <v>-1.01079263289929</v>
      </c>
      <c r="D2166" s="10">
        <v>0.19451330069186001</v>
      </c>
      <c r="E2166" s="10">
        <v>-5.1965219309118202</v>
      </c>
      <c r="F2166" s="4">
        <v>2.03051656380199E-7</v>
      </c>
      <c r="G2166" s="4">
        <v>1.9605061946815298E-6</v>
      </c>
      <c r="H2166" s="10" t="s">
        <v>4345</v>
      </c>
      <c r="I2166" s="10" t="s">
        <v>18</v>
      </c>
    </row>
    <row r="2167" spans="1:9" x14ac:dyDescent="0.2">
      <c r="A2167" s="10" t="s">
        <v>4346</v>
      </c>
      <c r="B2167" s="10">
        <v>2999.3833366229101</v>
      </c>
      <c r="C2167" s="10">
        <v>-1.19051610443742</v>
      </c>
      <c r="D2167" s="10">
        <v>0.19459810747529799</v>
      </c>
      <c r="E2167" s="10">
        <v>-6.1178195404009301</v>
      </c>
      <c r="F2167" s="4">
        <v>9.4864405407262601E-10</v>
      </c>
      <c r="G2167" s="4">
        <v>1.2983101792129E-8</v>
      </c>
      <c r="H2167" s="10" t="s">
        <v>4347</v>
      </c>
      <c r="I2167" s="10" t="s">
        <v>18</v>
      </c>
    </row>
    <row r="2168" spans="1:9" x14ac:dyDescent="0.2">
      <c r="A2168" s="10" t="s">
        <v>4348</v>
      </c>
      <c r="B2168" s="10">
        <v>132.511536335247</v>
      </c>
      <c r="C2168" s="10">
        <v>5.0535604895218098</v>
      </c>
      <c r="D2168" s="10">
        <v>0.49909262707501201</v>
      </c>
      <c r="E2168" s="10">
        <v>10.1254961812174</v>
      </c>
      <c r="F2168" s="4">
        <v>4.2581350100495898E-24</v>
      </c>
      <c r="G2168" s="4">
        <v>2.2153165615250902E-22</v>
      </c>
      <c r="H2168" s="10" t="s">
        <v>4349</v>
      </c>
      <c r="I2168" s="10" t="s">
        <v>18</v>
      </c>
    </row>
    <row r="2169" spans="1:9" x14ac:dyDescent="0.2">
      <c r="A2169" s="10" t="s">
        <v>4350</v>
      </c>
      <c r="B2169" s="10">
        <v>1283.17086230778</v>
      </c>
      <c r="C2169" s="10">
        <v>5.9687903266693203</v>
      </c>
      <c r="D2169" s="10">
        <v>0.26331431833074598</v>
      </c>
      <c r="E2169" s="10">
        <v>22.667929205323301</v>
      </c>
      <c r="F2169" s="4">
        <v>9.2860579840174696E-114</v>
      </c>
      <c r="G2169" s="4">
        <v>1.8072658706465999E-110</v>
      </c>
      <c r="H2169" s="10" t="s">
        <v>4351</v>
      </c>
      <c r="I2169" s="10" t="s">
        <v>18</v>
      </c>
    </row>
    <row r="2170" spans="1:9" x14ac:dyDescent="0.2">
      <c r="A2170" s="10" t="s">
        <v>4352</v>
      </c>
      <c r="B2170" s="10">
        <v>717.57472355146695</v>
      </c>
      <c r="C2170" s="10">
        <v>-1.0293927863540799</v>
      </c>
      <c r="D2170" s="10">
        <v>0.22040409168025099</v>
      </c>
      <c r="E2170" s="10">
        <v>-4.67047947479786</v>
      </c>
      <c r="F2170" s="4">
        <v>3.00497508990117E-6</v>
      </c>
      <c r="G2170" s="4">
        <v>2.3636419247845599E-5</v>
      </c>
      <c r="H2170" s="10" t="s">
        <v>4353</v>
      </c>
      <c r="I2170" s="10" t="s">
        <v>18</v>
      </c>
    </row>
    <row r="2171" spans="1:9" x14ac:dyDescent="0.2">
      <c r="A2171" s="10" t="s">
        <v>4354</v>
      </c>
      <c r="B2171" s="10">
        <v>577.31177332764298</v>
      </c>
      <c r="C2171" s="10">
        <v>-1.0177332813115201</v>
      </c>
      <c r="D2171" s="10">
        <v>0.26428451544723802</v>
      </c>
      <c r="E2171" s="10">
        <v>-3.85090015428732</v>
      </c>
      <c r="F2171" s="10">
        <v>1.17684473989238E-4</v>
      </c>
      <c r="G2171" s="10">
        <v>6.6346965917334598E-4</v>
      </c>
      <c r="H2171" s="10" t="s">
        <v>4355</v>
      </c>
      <c r="I2171" s="10" t="s">
        <v>18</v>
      </c>
    </row>
    <row r="2172" spans="1:9" x14ac:dyDescent="0.2">
      <c r="A2172" s="10" t="s">
        <v>4356</v>
      </c>
      <c r="B2172" s="10">
        <v>42.924194267370403</v>
      </c>
      <c r="C2172" s="10">
        <v>2.5664192509211801</v>
      </c>
      <c r="D2172" s="10">
        <v>0.58899044035210801</v>
      </c>
      <c r="E2172" s="10">
        <v>4.3573190243748696</v>
      </c>
      <c r="F2172" s="4">
        <v>1.3166528682408701E-5</v>
      </c>
      <c r="G2172" s="4">
        <v>9.1191765889575801E-5</v>
      </c>
      <c r="H2172" s="10" t="s">
        <v>4357</v>
      </c>
      <c r="I2172" s="10" t="s">
        <v>18</v>
      </c>
    </row>
    <row r="2173" spans="1:9" x14ac:dyDescent="0.2">
      <c r="A2173" s="10" t="s">
        <v>4358</v>
      </c>
      <c r="B2173" s="10">
        <v>1280.4604659019101</v>
      </c>
      <c r="C2173" s="10">
        <v>4.7548276744959503</v>
      </c>
      <c r="D2173" s="10">
        <v>0.24280840723279001</v>
      </c>
      <c r="E2173" s="10">
        <v>19.582631955314898</v>
      </c>
      <c r="F2173" s="4">
        <v>2.1748733622071801E-85</v>
      </c>
      <c r="G2173" s="4">
        <v>1.6460770694460801E-82</v>
      </c>
      <c r="H2173" s="10" t="s">
        <v>4359</v>
      </c>
      <c r="I2173" s="10" t="s">
        <v>18</v>
      </c>
    </row>
    <row r="2174" spans="1:9" x14ac:dyDescent="0.2">
      <c r="A2174" s="10" t="s">
        <v>4360</v>
      </c>
      <c r="B2174" s="10">
        <v>380.940670944651</v>
      </c>
      <c r="C2174" s="10">
        <v>2.1222340238028399</v>
      </c>
      <c r="D2174" s="10">
        <v>0.27070139377063002</v>
      </c>
      <c r="E2174" s="10">
        <v>7.8397602400268704</v>
      </c>
      <c r="F2174" s="4">
        <v>4.5140750250714798E-15</v>
      </c>
      <c r="G2174" s="4">
        <v>1.1315087599643299E-13</v>
      </c>
      <c r="H2174" s="10" t="s">
        <v>4361</v>
      </c>
      <c r="I2174" s="10" t="s">
        <v>18</v>
      </c>
    </row>
    <row r="2175" spans="1:9" x14ac:dyDescent="0.2">
      <c r="A2175" s="10" t="s">
        <v>4362</v>
      </c>
      <c r="B2175" s="10">
        <v>1017.8046904079</v>
      </c>
      <c r="C2175" s="10">
        <v>-1.0177951054127401</v>
      </c>
      <c r="D2175" s="10">
        <v>0.22068022933338699</v>
      </c>
      <c r="E2175" s="10">
        <v>-4.6120810572257298</v>
      </c>
      <c r="F2175" s="4">
        <v>3.9865746614702002E-6</v>
      </c>
      <c r="G2175" s="4">
        <v>3.07102628784503E-5</v>
      </c>
      <c r="H2175" s="10" t="s">
        <v>4363</v>
      </c>
      <c r="I2175" s="10" t="s">
        <v>18</v>
      </c>
    </row>
    <row r="2176" spans="1:9" x14ac:dyDescent="0.2">
      <c r="A2176" s="10" t="s">
        <v>4364</v>
      </c>
      <c r="B2176" s="10">
        <v>1145.31646534182</v>
      </c>
      <c r="C2176" s="10">
        <v>-1.2408745049582901</v>
      </c>
      <c r="D2176" s="10">
        <v>0.23926333991736201</v>
      </c>
      <c r="E2176" s="10">
        <v>-5.1862291372630196</v>
      </c>
      <c r="F2176" s="4">
        <v>2.1459475561739401E-7</v>
      </c>
      <c r="G2176" s="4">
        <v>2.0668304370120698E-6</v>
      </c>
      <c r="H2176" s="10" t="s">
        <v>4365</v>
      </c>
      <c r="I2176" s="10" t="s">
        <v>18</v>
      </c>
    </row>
    <row r="2177" spans="1:9" x14ac:dyDescent="0.2">
      <c r="A2177" s="10" t="s">
        <v>4366</v>
      </c>
      <c r="B2177" s="10">
        <v>851.80022373239296</v>
      </c>
      <c r="C2177" s="10">
        <v>1.3562426094034801</v>
      </c>
      <c r="D2177" s="10">
        <v>0.23286345980233</v>
      </c>
      <c r="E2177" s="10">
        <v>5.8241967655841904</v>
      </c>
      <c r="F2177" s="4">
        <v>5.7387932026060197E-9</v>
      </c>
      <c r="G2177" s="4">
        <v>7.0371241400272794E-8</v>
      </c>
      <c r="H2177" s="10" t="s">
        <v>4367</v>
      </c>
      <c r="I2177" s="10" t="s">
        <v>18</v>
      </c>
    </row>
    <row r="2178" spans="1:9" x14ac:dyDescent="0.2">
      <c r="A2178" s="10" t="s">
        <v>4368</v>
      </c>
      <c r="B2178" s="10">
        <v>11930.524338433101</v>
      </c>
      <c r="C2178" s="10">
        <v>-1.1487634739141299</v>
      </c>
      <c r="D2178" s="10">
        <v>0.19820152174827799</v>
      </c>
      <c r="E2178" s="10">
        <v>-5.7959367000879798</v>
      </c>
      <c r="F2178" s="4">
        <v>6.7940888121043404E-9</v>
      </c>
      <c r="G2178" s="4">
        <v>8.2531670915473495E-8</v>
      </c>
      <c r="H2178" s="10" t="s">
        <v>4369</v>
      </c>
      <c r="I2178" s="10" t="s">
        <v>18</v>
      </c>
    </row>
    <row r="2179" spans="1:9" x14ac:dyDescent="0.2">
      <c r="A2179" s="10" t="s">
        <v>4370</v>
      </c>
      <c r="B2179" s="10">
        <v>97.250900502670206</v>
      </c>
      <c r="C2179" s="10">
        <v>1.57104313199947</v>
      </c>
      <c r="D2179" s="10">
        <v>0.38449053431394098</v>
      </c>
      <c r="E2179" s="10">
        <v>4.0860385153635397</v>
      </c>
      <c r="F2179" s="4">
        <v>4.3880097197471697E-5</v>
      </c>
      <c r="G2179" s="10">
        <v>2.7135746898309402E-4</v>
      </c>
      <c r="H2179" s="10" t="s">
        <v>4371</v>
      </c>
      <c r="I2179" s="10" t="s">
        <v>18</v>
      </c>
    </row>
    <row r="2180" spans="1:9" x14ac:dyDescent="0.2">
      <c r="A2180" s="10" t="s">
        <v>4372</v>
      </c>
      <c r="B2180" s="10">
        <v>300.76388814506299</v>
      </c>
      <c r="C2180" s="10">
        <v>-1.93213156493159</v>
      </c>
      <c r="D2180" s="10">
        <v>0.264128498293006</v>
      </c>
      <c r="E2180" s="10">
        <v>-7.3151196384277002</v>
      </c>
      <c r="F2180" s="4">
        <v>2.5715217821870902E-13</v>
      </c>
      <c r="G2180" s="4">
        <v>5.4739260936915398E-12</v>
      </c>
      <c r="H2180" s="10" t="s">
        <v>4373</v>
      </c>
      <c r="I2180" s="10" t="s">
        <v>18</v>
      </c>
    </row>
    <row r="2181" spans="1:9" x14ac:dyDescent="0.2">
      <c r="A2181" s="10" t="s">
        <v>4374</v>
      </c>
      <c r="B2181" s="10">
        <v>2148.0073211087702</v>
      </c>
      <c r="C2181" s="10">
        <v>-1.8806779461718</v>
      </c>
      <c r="D2181" s="10">
        <v>0.23013024583469799</v>
      </c>
      <c r="E2181" s="10">
        <v>-8.1722328125555901</v>
      </c>
      <c r="F2181" s="4">
        <v>3.0273361379035401E-16</v>
      </c>
      <c r="G2181" s="4">
        <v>8.4427664021962806E-15</v>
      </c>
      <c r="H2181" s="10" t="s">
        <v>4375</v>
      </c>
      <c r="I2181" s="10" t="s">
        <v>18</v>
      </c>
    </row>
    <row r="2182" spans="1:9" x14ac:dyDescent="0.2">
      <c r="A2182" s="10" t="s">
        <v>4376</v>
      </c>
      <c r="B2182" s="10">
        <v>366.82828702941498</v>
      </c>
      <c r="C2182" s="10">
        <v>6.2035207029904003</v>
      </c>
      <c r="D2182" s="10">
        <v>0.41256712441173699</v>
      </c>
      <c r="E2182" s="10">
        <v>15.0363912583577</v>
      </c>
      <c r="F2182" s="4">
        <v>4.2404479840034599E-51</v>
      </c>
      <c r="G2182" s="4">
        <v>8.8198081084078194E-49</v>
      </c>
      <c r="H2182" s="10" t="s">
        <v>4377</v>
      </c>
      <c r="I2182" s="10" t="s">
        <v>18</v>
      </c>
    </row>
    <row r="2183" spans="1:9" x14ac:dyDescent="0.2">
      <c r="A2183" s="10" t="s">
        <v>4378</v>
      </c>
      <c r="B2183" s="10">
        <v>1216.12021365333</v>
      </c>
      <c r="C2183" s="10">
        <v>-1.1866407015620599</v>
      </c>
      <c r="D2183" s="10">
        <v>0.246950501241783</v>
      </c>
      <c r="E2183" s="10">
        <v>-4.8051763231703397</v>
      </c>
      <c r="F2183" s="4">
        <v>1.5461518352757799E-6</v>
      </c>
      <c r="G2183" s="4">
        <v>1.28204501082651E-5</v>
      </c>
      <c r="H2183" s="10" t="s">
        <v>4379</v>
      </c>
      <c r="I2183" s="10" t="s">
        <v>18</v>
      </c>
    </row>
    <row r="2184" spans="1:9" x14ac:dyDescent="0.2">
      <c r="A2184" s="10" t="s">
        <v>4380</v>
      </c>
      <c r="B2184" s="10">
        <v>102.40343314868301</v>
      </c>
      <c r="C2184" s="10">
        <v>-2.4189185310703998</v>
      </c>
      <c r="D2184" s="10">
        <v>0.409007879497153</v>
      </c>
      <c r="E2184" s="10">
        <v>-5.9141123003407596</v>
      </c>
      <c r="F2184" s="4">
        <v>3.33670181645216E-9</v>
      </c>
      <c r="G2184" s="4">
        <v>4.2345186023694403E-8</v>
      </c>
      <c r="H2184" s="10" t="s">
        <v>4381</v>
      </c>
      <c r="I2184" s="10" t="s">
        <v>18</v>
      </c>
    </row>
    <row r="2185" spans="1:9" x14ac:dyDescent="0.2">
      <c r="A2185" s="10" t="s">
        <v>4382</v>
      </c>
      <c r="B2185" s="10">
        <v>2117.8218534803</v>
      </c>
      <c r="C2185" s="10">
        <v>-1.58980265393653</v>
      </c>
      <c r="D2185" s="10">
        <v>0.21388186723081801</v>
      </c>
      <c r="E2185" s="10">
        <v>-7.4330875941943999</v>
      </c>
      <c r="F2185" s="4">
        <v>1.06091593987569E-13</v>
      </c>
      <c r="G2185" s="4">
        <v>2.36359579834774E-12</v>
      </c>
      <c r="H2185" s="10" t="s">
        <v>4383</v>
      </c>
      <c r="I2185" s="10" t="s">
        <v>18</v>
      </c>
    </row>
    <row r="2186" spans="1:9" x14ac:dyDescent="0.2">
      <c r="A2186" s="10" t="s">
        <v>4384</v>
      </c>
      <c r="B2186" s="10">
        <v>6.5677771004748902</v>
      </c>
      <c r="C2186" s="10">
        <v>6.1084846562903197</v>
      </c>
      <c r="D2186" s="10">
        <v>1.92051677073079</v>
      </c>
      <c r="E2186" s="10">
        <v>3.18064634966241</v>
      </c>
      <c r="F2186" s="10">
        <v>1.4694689540206501E-3</v>
      </c>
      <c r="G2186" s="10">
        <v>6.17265510513399E-3</v>
      </c>
      <c r="H2186" s="10" t="s">
        <v>4385</v>
      </c>
      <c r="I2186" s="10" t="s">
        <v>18</v>
      </c>
    </row>
    <row r="2187" spans="1:9" x14ac:dyDescent="0.2">
      <c r="A2187" s="10" t="s">
        <v>4386</v>
      </c>
      <c r="B2187" s="10">
        <v>638.84667126457896</v>
      </c>
      <c r="C2187" s="10">
        <v>-1.01301034179222</v>
      </c>
      <c r="D2187" s="10">
        <v>0.23612442899049399</v>
      </c>
      <c r="E2187" s="10">
        <v>-4.2901547549448997</v>
      </c>
      <c r="F2187" s="4">
        <v>1.7854865507401299E-5</v>
      </c>
      <c r="G2187" s="10">
        <v>1.19766499379656E-4</v>
      </c>
      <c r="H2187" s="10" t="s">
        <v>4387</v>
      </c>
      <c r="I2187" s="10" t="s">
        <v>18</v>
      </c>
    </row>
    <row r="2188" spans="1:9" x14ac:dyDescent="0.2">
      <c r="A2188" s="10" t="s">
        <v>4388</v>
      </c>
      <c r="B2188" s="10">
        <v>22.578250759099401</v>
      </c>
      <c r="C2188" s="10">
        <v>4.0475982983112804</v>
      </c>
      <c r="D2188" s="10">
        <v>0.93325484171759798</v>
      </c>
      <c r="E2188" s="10">
        <v>4.3370772026876701</v>
      </c>
      <c r="F2188" s="4">
        <v>1.4438991928962799E-5</v>
      </c>
      <c r="G2188" s="4">
        <v>9.9073083124767098E-5</v>
      </c>
      <c r="H2188" s="10" t="s">
        <v>4389</v>
      </c>
      <c r="I2188" s="10" t="s">
        <v>18</v>
      </c>
    </row>
    <row r="2189" spans="1:9" x14ac:dyDescent="0.2">
      <c r="A2189" s="10" t="s">
        <v>4390</v>
      </c>
      <c r="B2189" s="10">
        <v>3064.5988349500999</v>
      </c>
      <c r="C2189" s="10">
        <v>-1.39608151135999</v>
      </c>
      <c r="D2189" s="10">
        <v>0.191956279602159</v>
      </c>
      <c r="E2189" s="10">
        <v>-7.2729139898598101</v>
      </c>
      <c r="F2189" s="4">
        <v>3.5181434388080301E-13</v>
      </c>
      <c r="G2189" s="4">
        <v>7.3851197440063496E-12</v>
      </c>
      <c r="H2189" s="10" t="s">
        <v>4391</v>
      </c>
      <c r="I2189" s="10" t="s">
        <v>18</v>
      </c>
    </row>
    <row r="2190" spans="1:9" x14ac:dyDescent="0.2">
      <c r="A2190" s="10" t="s">
        <v>4392</v>
      </c>
      <c r="B2190" s="10">
        <v>129.53158552605299</v>
      </c>
      <c r="C2190" s="10">
        <v>4.5171885774502698</v>
      </c>
      <c r="D2190" s="10">
        <v>0.45227781466525901</v>
      </c>
      <c r="E2190" s="10">
        <v>9.9876412925394895</v>
      </c>
      <c r="F2190" s="4">
        <v>1.7264079184040199E-23</v>
      </c>
      <c r="G2190" s="4">
        <v>8.5682033793723504E-22</v>
      </c>
      <c r="H2190" s="10" t="s">
        <v>4393</v>
      </c>
      <c r="I2190" s="10" t="s">
        <v>18</v>
      </c>
    </row>
    <row r="2191" spans="1:9" x14ac:dyDescent="0.2">
      <c r="A2191" s="10" t="s">
        <v>4394</v>
      </c>
      <c r="B2191" s="10">
        <v>165.02815333648701</v>
      </c>
      <c r="C2191" s="10">
        <v>1.0385810221256599</v>
      </c>
      <c r="D2191" s="10">
        <v>0.33586224390262998</v>
      </c>
      <c r="E2191" s="10">
        <v>3.0922827468119798</v>
      </c>
      <c r="F2191" s="10">
        <v>1.9862356268790199E-3</v>
      </c>
      <c r="G2191" s="10">
        <v>8.0057636280433005E-3</v>
      </c>
      <c r="H2191" s="10" t="s">
        <v>4395</v>
      </c>
      <c r="I2191" s="10" t="s">
        <v>18</v>
      </c>
    </row>
    <row r="2192" spans="1:9" x14ac:dyDescent="0.2">
      <c r="A2192" s="10" t="s">
        <v>4396</v>
      </c>
      <c r="B2192" s="10">
        <v>222.86868688800899</v>
      </c>
      <c r="C2192" s="10">
        <v>-1.82079198464342</v>
      </c>
      <c r="D2192" s="10">
        <v>0.30273545747733799</v>
      </c>
      <c r="E2192" s="10">
        <v>-6.0144655661278801</v>
      </c>
      <c r="F2192" s="4">
        <v>1.8048112399321499E-9</v>
      </c>
      <c r="G2192" s="4">
        <v>2.3551576558635701E-8</v>
      </c>
      <c r="H2192" s="10" t="s">
        <v>4397</v>
      </c>
      <c r="I2192" s="10" t="s">
        <v>18</v>
      </c>
    </row>
    <row r="2193" spans="1:9" x14ac:dyDescent="0.2">
      <c r="A2193" s="10" t="s">
        <v>4398</v>
      </c>
      <c r="B2193" s="10">
        <v>1655.6219481461501</v>
      </c>
      <c r="C2193" s="10">
        <v>1.6698978313757</v>
      </c>
      <c r="D2193" s="10">
        <v>0.219110876172733</v>
      </c>
      <c r="E2193" s="10">
        <v>7.6212457388891099</v>
      </c>
      <c r="F2193" s="4">
        <v>2.5123912349941601E-14</v>
      </c>
      <c r="G2193" s="4">
        <v>5.8608839023874801E-13</v>
      </c>
      <c r="H2193" s="10" t="s">
        <v>4399</v>
      </c>
      <c r="I2193" s="10" t="s">
        <v>18</v>
      </c>
    </row>
    <row r="2194" spans="1:9" x14ac:dyDescent="0.2">
      <c r="A2194" s="10" t="s">
        <v>4400</v>
      </c>
      <c r="B2194" s="10">
        <v>59.003076216799499</v>
      </c>
      <c r="C2194" s="10">
        <v>-1.57152916186085</v>
      </c>
      <c r="D2194" s="10">
        <v>0.46842306327650701</v>
      </c>
      <c r="E2194" s="10">
        <v>-3.3549354954224002</v>
      </c>
      <c r="F2194" s="10">
        <v>7.9383492656426096E-4</v>
      </c>
      <c r="G2194" s="10">
        <v>3.60734160175057E-3</v>
      </c>
      <c r="H2194" s="10" t="s">
        <v>4401</v>
      </c>
      <c r="I2194" s="10" t="s">
        <v>18</v>
      </c>
    </row>
    <row r="2195" spans="1:9" x14ac:dyDescent="0.2">
      <c r="A2195" s="10" t="s">
        <v>4402</v>
      </c>
      <c r="B2195" s="10">
        <v>2727.2118274012801</v>
      </c>
      <c r="C2195" s="10">
        <v>1.0938689371693899</v>
      </c>
      <c r="D2195" s="10">
        <v>0.20741888822955401</v>
      </c>
      <c r="E2195" s="10">
        <v>5.2737190258139997</v>
      </c>
      <c r="F2195" s="4">
        <v>1.3368653271139499E-7</v>
      </c>
      <c r="G2195" s="4">
        <v>1.33051847809549E-6</v>
      </c>
      <c r="H2195" s="10" t="s">
        <v>4403</v>
      </c>
      <c r="I2195" s="10" t="s">
        <v>18</v>
      </c>
    </row>
    <row r="2196" spans="1:9" x14ac:dyDescent="0.2">
      <c r="A2196" s="10" t="s">
        <v>4404</v>
      </c>
      <c r="B2196" s="10">
        <v>730.64255517451102</v>
      </c>
      <c r="C2196" s="10">
        <v>-1.4900398854679799</v>
      </c>
      <c r="D2196" s="10">
        <v>0.237836394136898</v>
      </c>
      <c r="E2196" s="10">
        <v>-6.26497845662053</v>
      </c>
      <c r="F2196" s="4">
        <v>3.7287695500209601E-10</v>
      </c>
      <c r="G2196" s="4">
        <v>5.3364291651354796E-9</v>
      </c>
      <c r="H2196" s="10" t="s">
        <v>4405</v>
      </c>
      <c r="I2196" s="10" t="s">
        <v>18</v>
      </c>
    </row>
    <row r="2197" spans="1:9" x14ac:dyDescent="0.2">
      <c r="A2197" s="10" t="s">
        <v>4406</v>
      </c>
      <c r="B2197" s="10">
        <v>195.39518424698099</v>
      </c>
      <c r="C2197" s="10">
        <v>-2.8876993827989601</v>
      </c>
      <c r="D2197" s="10">
        <v>0.32381854616375799</v>
      </c>
      <c r="E2197" s="10">
        <v>-8.9176466790096107</v>
      </c>
      <c r="F2197" s="4">
        <v>4.7630117912104602E-19</v>
      </c>
      <c r="G2197" s="4">
        <v>1.6745520293562799E-17</v>
      </c>
      <c r="H2197" s="10" t="s">
        <v>4407</v>
      </c>
      <c r="I2197" s="10" t="s">
        <v>18</v>
      </c>
    </row>
    <row r="2198" spans="1:9" x14ac:dyDescent="0.2">
      <c r="A2198" s="10" t="s">
        <v>4408</v>
      </c>
      <c r="B2198" s="10">
        <v>4811.1861348169496</v>
      </c>
      <c r="C2198" s="10">
        <v>-2.0982373937038301</v>
      </c>
      <c r="D2198" s="10">
        <v>0.21264992138306499</v>
      </c>
      <c r="E2198" s="10">
        <v>-9.8670969641417692</v>
      </c>
      <c r="F2198" s="4">
        <v>5.7813598949563402E-23</v>
      </c>
      <c r="G2198" s="4">
        <v>2.7782136341776999E-21</v>
      </c>
      <c r="H2198" s="10" t="s">
        <v>4409</v>
      </c>
      <c r="I2198" s="10" t="s">
        <v>18</v>
      </c>
    </row>
    <row r="2199" spans="1:9" x14ac:dyDescent="0.2">
      <c r="A2199" s="10" t="s">
        <v>4410</v>
      </c>
      <c r="B2199" s="10">
        <v>211.803263182596</v>
      </c>
      <c r="C2199" s="10">
        <v>-1.51831543486482</v>
      </c>
      <c r="D2199" s="10">
        <v>0.29298071258052399</v>
      </c>
      <c r="E2199" s="10">
        <v>-5.1823050790332204</v>
      </c>
      <c r="F2199" s="4">
        <v>2.1916035344395101E-7</v>
      </c>
      <c r="G2199" s="4">
        <v>2.1070790932559399E-6</v>
      </c>
      <c r="H2199" s="10" t="s">
        <v>4411</v>
      </c>
      <c r="I2199" s="10" t="s">
        <v>18</v>
      </c>
    </row>
    <row r="2200" spans="1:9" x14ac:dyDescent="0.2">
      <c r="A2200" s="10" t="s">
        <v>4412</v>
      </c>
      <c r="B2200" s="10">
        <v>1067.3110076835401</v>
      </c>
      <c r="C2200" s="10">
        <v>-1.0426089311904501</v>
      </c>
      <c r="D2200" s="10">
        <v>0.25941581643865302</v>
      </c>
      <c r="E2200" s="10">
        <v>-4.0190646256798397</v>
      </c>
      <c r="F2200" s="4">
        <v>5.8429644060651402E-5</v>
      </c>
      <c r="G2200" s="10">
        <v>3.5292230364011699E-4</v>
      </c>
      <c r="H2200" s="10" t="s">
        <v>4413</v>
      </c>
      <c r="I2200" s="10" t="s">
        <v>18</v>
      </c>
    </row>
    <row r="2201" spans="1:9" x14ac:dyDescent="0.2">
      <c r="A2201" s="10" t="s">
        <v>4414</v>
      </c>
      <c r="B2201" s="10">
        <v>84.373767228468097</v>
      </c>
      <c r="C2201" s="10">
        <v>-1.8446472953878701</v>
      </c>
      <c r="D2201" s="10">
        <v>0.43672317033712199</v>
      </c>
      <c r="E2201" s="10">
        <v>-4.2238365643936904</v>
      </c>
      <c r="F2201" s="4">
        <v>2.40178252281754E-5</v>
      </c>
      <c r="G2201" s="10">
        <v>1.5704672042046901E-4</v>
      </c>
      <c r="H2201" s="10" t="s">
        <v>4415</v>
      </c>
      <c r="I2201" s="10" t="s">
        <v>18</v>
      </c>
    </row>
    <row r="2202" spans="1:9" x14ac:dyDescent="0.2">
      <c r="A2202" s="10" t="s">
        <v>4416</v>
      </c>
      <c r="B2202" s="10">
        <v>2175.8569228101301</v>
      </c>
      <c r="C2202" s="10">
        <v>-1.1684438565815201</v>
      </c>
      <c r="D2202" s="10">
        <v>0.209871860242167</v>
      </c>
      <c r="E2202" s="10">
        <v>-5.5674155421945404</v>
      </c>
      <c r="F2202" s="4">
        <v>2.5854532210962799E-8</v>
      </c>
      <c r="G2202" s="4">
        <v>2.90618167967039E-7</v>
      </c>
      <c r="H2202" s="10" t="s">
        <v>4417</v>
      </c>
      <c r="I2202" s="10" t="s">
        <v>18</v>
      </c>
    </row>
    <row r="2203" spans="1:9" x14ac:dyDescent="0.2">
      <c r="A2203" s="10" t="s">
        <v>4418</v>
      </c>
      <c r="B2203" s="10">
        <v>21.855253088522801</v>
      </c>
      <c r="C2203" s="10">
        <v>-4.1468067473597001</v>
      </c>
      <c r="D2203" s="10">
        <v>0.95490776609114703</v>
      </c>
      <c r="E2203" s="10">
        <v>-4.3426254289818802</v>
      </c>
      <c r="F2203" s="4">
        <v>1.40790057467224E-5</v>
      </c>
      <c r="G2203" s="4">
        <v>9.6798049351739699E-5</v>
      </c>
      <c r="H2203" s="10" t="s">
        <v>4419</v>
      </c>
      <c r="I2203" s="10" t="s">
        <v>18</v>
      </c>
    </row>
    <row r="2204" spans="1:9" x14ac:dyDescent="0.2">
      <c r="A2204" s="10" t="s">
        <v>4420</v>
      </c>
      <c r="B2204" s="10">
        <v>279.56998280091602</v>
      </c>
      <c r="C2204" s="10">
        <v>-1.05844445935023</v>
      </c>
      <c r="D2204" s="10">
        <v>0.26946214334727803</v>
      </c>
      <c r="E2204" s="10">
        <v>-3.9279894615331101</v>
      </c>
      <c r="F2204" s="4">
        <v>8.5658963543432595E-5</v>
      </c>
      <c r="G2204" s="10">
        <v>4.9924059458137098E-4</v>
      </c>
      <c r="H2204" s="10" t="s">
        <v>4421</v>
      </c>
      <c r="I2204" s="10" t="s">
        <v>18</v>
      </c>
    </row>
    <row r="2205" spans="1:9" x14ac:dyDescent="0.2">
      <c r="A2205" s="10" t="s">
        <v>4422</v>
      </c>
      <c r="B2205" s="10">
        <v>987.23943611571303</v>
      </c>
      <c r="C2205" s="10">
        <v>-3.2139470498014102</v>
      </c>
      <c r="D2205" s="10">
        <v>0.22386971229726599</v>
      </c>
      <c r="E2205" s="10">
        <v>-14.356328137563199</v>
      </c>
      <c r="F2205" s="4">
        <v>9.7244561621393793E-47</v>
      </c>
      <c r="G2205" s="4">
        <v>1.6782421728312E-44</v>
      </c>
      <c r="H2205" s="10" t="s">
        <v>4423</v>
      </c>
      <c r="I2205" s="10" t="s">
        <v>18</v>
      </c>
    </row>
    <row r="2206" spans="1:9" x14ac:dyDescent="0.2">
      <c r="A2206" s="10" t="s">
        <v>4424</v>
      </c>
      <c r="B2206" s="10">
        <v>3022.9508055635401</v>
      </c>
      <c r="C2206" s="10">
        <v>-3.2836136271459999</v>
      </c>
      <c r="D2206" s="10">
        <v>0.22685036092505401</v>
      </c>
      <c r="E2206" s="10">
        <v>-14.4748001006304</v>
      </c>
      <c r="F2206" s="4">
        <v>1.7483328255828101E-47</v>
      </c>
      <c r="G2206" s="4">
        <v>3.1340016117535998E-45</v>
      </c>
      <c r="H2206" s="10" t="s">
        <v>4425</v>
      </c>
      <c r="I2206" s="10" t="s">
        <v>18</v>
      </c>
    </row>
    <row r="2207" spans="1:9" x14ac:dyDescent="0.2">
      <c r="A2207" s="10" t="s">
        <v>4426</v>
      </c>
      <c r="B2207" s="10">
        <v>746.026810650058</v>
      </c>
      <c r="C2207" s="10">
        <v>-1.10281865891441</v>
      </c>
      <c r="D2207" s="10">
        <v>0.238015585827659</v>
      </c>
      <c r="E2207" s="10">
        <v>-4.6333884189959598</v>
      </c>
      <c r="F2207" s="4">
        <v>3.5972868665768301E-6</v>
      </c>
      <c r="G2207" s="4">
        <v>2.78940504411896E-5</v>
      </c>
      <c r="H2207" s="10" t="s">
        <v>4427</v>
      </c>
      <c r="I2207" s="10" t="s">
        <v>18</v>
      </c>
    </row>
    <row r="2208" spans="1:9" x14ac:dyDescent="0.2">
      <c r="A2208" s="10" t="s">
        <v>4428</v>
      </c>
      <c r="B2208" s="10">
        <v>606.240311026727</v>
      </c>
      <c r="C2208" s="10">
        <v>4.1257828819749198</v>
      </c>
      <c r="D2208" s="10">
        <v>0.29087211600894303</v>
      </c>
      <c r="E2208" s="10">
        <v>14.1841814835495</v>
      </c>
      <c r="F2208" s="4">
        <v>1.14797346950916E-45</v>
      </c>
      <c r="G2208" s="4">
        <v>1.9072459221778102E-43</v>
      </c>
      <c r="H2208" s="10" t="s">
        <v>4429</v>
      </c>
      <c r="I2208" s="10" t="s">
        <v>18</v>
      </c>
    </row>
    <row r="2209" spans="1:9" x14ac:dyDescent="0.2">
      <c r="A2209" s="10" t="s">
        <v>4430</v>
      </c>
      <c r="B2209" s="10">
        <v>11.2274622259411</v>
      </c>
      <c r="C2209" s="10">
        <v>4.3856198083690501</v>
      </c>
      <c r="D2209" s="10">
        <v>1.4051380312122199</v>
      </c>
      <c r="E2209" s="10">
        <v>3.1211309572096302</v>
      </c>
      <c r="F2209" s="10">
        <v>1.80157898239793E-3</v>
      </c>
      <c r="G2209" s="10">
        <v>7.3683011908430599E-3</v>
      </c>
      <c r="H2209" s="10" t="s">
        <v>4431</v>
      </c>
      <c r="I2209" s="10" t="s">
        <v>18</v>
      </c>
    </row>
    <row r="2210" spans="1:9" x14ac:dyDescent="0.2">
      <c r="A2210" s="10" t="s">
        <v>4432</v>
      </c>
      <c r="B2210" s="10">
        <v>1925.88319483487</v>
      </c>
      <c r="C2210" s="10">
        <v>-1.59728244053854</v>
      </c>
      <c r="D2210" s="10">
        <v>0.251029074338536</v>
      </c>
      <c r="E2210" s="10">
        <v>-6.3629380172292596</v>
      </c>
      <c r="F2210" s="4">
        <v>1.9793058037385199E-10</v>
      </c>
      <c r="G2210" s="4">
        <v>2.9405749855214601E-9</v>
      </c>
      <c r="H2210" s="10" t="s">
        <v>4433</v>
      </c>
      <c r="I2210" s="10" t="s">
        <v>18</v>
      </c>
    </row>
    <row r="2211" spans="1:9" x14ac:dyDescent="0.2">
      <c r="A2211" s="10" t="s">
        <v>4434</v>
      </c>
      <c r="B2211" s="10">
        <v>1459.2906873956499</v>
      </c>
      <c r="C2211" s="10">
        <v>-1.0547299576010201</v>
      </c>
      <c r="D2211" s="10">
        <v>0.21483489761923799</v>
      </c>
      <c r="E2211" s="10">
        <v>-4.9094908196449802</v>
      </c>
      <c r="F2211" s="4">
        <v>9.13131742025234E-7</v>
      </c>
      <c r="G2211" s="4">
        <v>7.9059741261396695E-6</v>
      </c>
      <c r="H2211" s="10" t="s">
        <v>4435</v>
      </c>
      <c r="I2211" s="10" t="s">
        <v>18</v>
      </c>
    </row>
    <row r="2212" spans="1:9" x14ac:dyDescent="0.2">
      <c r="A2212" s="10" t="s">
        <v>4436</v>
      </c>
      <c r="B2212" s="10">
        <v>145.50106575477699</v>
      </c>
      <c r="C2212" s="10">
        <v>2.4750975275162399</v>
      </c>
      <c r="D2212" s="10">
        <v>0.35308219278063202</v>
      </c>
      <c r="E2212" s="10">
        <v>7.0099755187993997</v>
      </c>
      <c r="F2212" s="4">
        <v>2.38359828311281E-12</v>
      </c>
      <c r="G2212" s="4">
        <v>4.5007555384597799E-11</v>
      </c>
      <c r="H2212" s="10" t="s">
        <v>4437</v>
      </c>
      <c r="I2212" s="10" t="s">
        <v>18</v>
      </c>
    </row>
    <row r="2213" spans="1:9" x14ac:dyDescent="0.2">
      <c r="A2213" s="10" t="s">
        <v>4438</v>
      </c>
      <c r="B2213" s="10">
        <v>49.616300213529499</v>
      </c>
      <c r="C2213" s="10">
        <v>2.8773142506976499</v>
      </c>
      <c r="D2213" s="10">
        <v>0.553498789415099</v>
      </c>
      <c r="E2213" s="10">
        <v>5.1984110999379096</v>
      </c>
      <c r="F2213" s="4">
        <v>2.00999212852834E-7</v>
      </c>
      <c r="G2213" s="4">
        <v>1.9427547189078301E-6</v>
      </c>
      <c r="H2213" s="10" t="s">
        <v>4439</v>
      </c>
      <c r="I2213" s="10" t="s">
        <v>18</v>
      </c>
    </row>
    <row r="2214" spans="1:9" x14ac:dyDescent="0.2">
      <c r="A2214" s="10" t="s">
        <v>4440</v>
      </c>
      <c r="B2214" s="10">
        <v>773.55742298001599</v>
      </c>
      <c r="C2214" s="10">
        <v>-1.52513838857923</v>
      </c>
      <c r="D2214" s="10">
        <v>0.237028241256038</v>
      </c>
      <c r="E2214" s="10">
        <v>-6.4344163399996397</v>
      </c>
      <c r="F2214" s="4">
        <v>1.2394868388464001E-10</v>
      </c>
      <c r="G2214" s="4">
        <v>1.9058858858943498E-9</v>
      </c>
      <c r="H2214" s="10" t="s">
        <v>4441</v>
      </c>
      <c r="I2214" s="10" t="s">
        <v>18</v>
      </c>
    </row>
    <row r="2215" spans="1:9" x14ac:dyDescent="0.2">
      <c r="A2215" s="10" t="s">
        <v>4442</v>
      </c>
      <c r="B2215" s="10">
        <v>38.0683274582385</v>
      </c>
      <c r="C2215" s="10">
        <v>2.9353812637323098</v>
      </c>
      <c r="D2215" s="10">
        <v>0.63586605755229497</v>
      </c>
      <c r="E2215" s="10">
        <v>4.6163515552815904</v>
      </c>
      <c r="F2215" s="4">
        <v>3.9054514583943396E-6</v>
      </c>
      <c r="G2215" s="4">
        <v>3.0110876029108902E-5</v>
      </c>
      <c r="H2215" s="10" t="s">
        <v>4443</v>
      </c>
      <c r="I2215" s="10" t="s">
        <v>18</v>
      </c>
    </row>
    <row r="2216" spans="1:9" x14ac:dyDescent="0.2">
      <c r="A2216" s="10" t="s">
        <v>4444</v>
      </c>
      <c r="B2216" s="10">
        <v>1381.9717915384399</v>
      </c>
      <c r="C2216" s="10">
        <v>1.8064395899185299</v>
      </c>
      <c r="D2216" s="10">
        <v>0.19583656613709</v>
      </c>
      <c r="E2216" s="10">
        <v>9.2242201012347191</v>
      </c>
      <c r="F2216" s="4">
        <v>2.8563187983428902E-20</v>
      </c>
      <c r="G2216" s="4">
        <v>1.13614771238611E-18</v>
      </c>
      <c r="H2216" s="10" t="s">
        <v>4445</v>
      </c>
      <c r="I2216" s="10" t="s">
        <v>18</v>
      </c>
    </row>
    <row r="2217" spans="1:9" x14ac:dyDescent="0.2">
      <c r="A2217" s="10" t="s">
        <v>4446</v>
      </c>
      <c r="B2217" s="10">
        <v>4061.5082516300899</v>
      </c>
      <c r="C2217" s="10">
        <v>6.1952184977268203</v>
      </c>
      <c r="D2217" s="10">
        <v>0.21799545441861501</v>
      </c>
      <c r="E2217" s="10">
        <v>28.419026049186201</v>
      </c>
      <c r="F2217" s="4">
        <v>1.1769850172856101E-177</v>
      </c>
      <c r="G2217" s="4">
        <v>1.6034655382990601E-173</v>
      </c>
      <c r="H2217" s="10" t="s">
        <v>4447</v>
      </c>
      <c r="I2217" s="10" t="s">
        <v>18</v>
      </c>
    </row>
    <row r="2218" spans="1:9" x14ac:dyDescent="0.2">
      <c r="A2218" s="10" t="s">
        <v>4448</v>
      </c>
      <c r="B2218" s="10">
        <v>2605.9409682032901</v>
      </c>
      <c r="C2218" s="10">
        <v>-1.1746233499859799</v>
      </c>
      <c r="D2218" s="10">
        <v>0.195547397813948</v>
      </c>
      <c r="E2218" s="10">
        <v>-6.00684725604766</v>
      </c>
      <c r="F2218" s="4">
        <v>1.89165570462937E-9</v>
      </c>
      <c r="G2218" s="4">
        <v>2.46258686020241E-8</v>
      </c>
      <c r="H2218" s="10" t="s">
        <v>4449</v>
      </c>
      <c r="I2218" s="10" t="s">
        <v>18</v>
      </c>
    </row>
    <row r="2219" spans="1:9" x14ac:dyDescent="0.2">
      <c r="A2219" s="10" t="s">
        <v>4450</v>
      </c>
      <c r="B2219" s="10">
        <v>390.06888459037299</v>
      </c>
      <c r="C2219" s="10">
        <v>-2.0721984272310001</v>
      </c>
      <c r="D2219" s="10">
        <v>0.26444655915463899</v>
      </c>
      <c r="E2219" s="10">
        <v>-7.8359818099173797</v>
      </c>
      <c r="F2219" s="4">
        <v>4.6519322429931696E-15</v>
      </c>
      <c r="G2219" s="4">
        <v>1.16178916429729E-13</v>
      </c>
      <c r="H2219" s="10" t="s">
        <v>4451</v>
      </c>
      <c r="I2219" s="10" t="s">
        <v>18</v>
      </c>
    </row>
    <row r="2220" spans="1:9" x14ac:dyDescent="0.2">
      <c r="A2220" s="10" t="s">
        <v>4452</v>
      </c>
      <c r="B2220" s="10">
        <v>23699.378955311899</v>
      </c>
      <c r="C2220" s="10">
        <v>-2.0871588106160801</v>
      </c>
      <c r="D2220" s="10">
        <v>0.20740683666884699</v>
      </c>
      <c r="E2220" s="10">
        <v>-10.063114814043001</v>
      </c>
      <c r="F2220" s="4">
        <v>8.04130982586034E-24</v>
      </c>
      <c r="G2220" s="4">
        <v>4.1030256334310198E-22</v>
      </c>
      <c r="H2220" s="10" t="s">
        <v>4453</v>
      </c>
      <c r="I2220" s="10" t="s">
        <v>18</v>
      </c>
    </row>
    <row r="2221" spans="1:9" x14ac:dyDescent="0.2">
      <c r="A2221" s="10" t="s">
        <v>4454</v>
      </c>
      <c r="B2221" s="10">
        <v>17477.916689430502</v>
      </c>
      <c r="C2221" s="10">
        <v>-2.2116358606087299</v>
      </c>
      <c r="D2221" s="10">
        <v>0.203157341505078</v>
      </c>
      <c r="E2221" s="10">
        <v>-10.886320150795299</v>
      </c>
      <c r="F2221" s="4">
        <v>1.33943651453623E-27</v>
      </c>
      <c r="G2221" s="4">
        <v>8.8581618231962502E-26</v>
      </c>
      <c r="H2221" s="10" t="s">
        <v>4455</v>
      </c>
      <c r="I2221" s="10" t="s">
        <v>18</v>
      </c>
    </row>
    <row r="2222" spans="1:9" x14ac:dyDescent="0.2">
      <c r="A2222" s="10" t="s">
        <v>4456</v>
      </c>
      <c r="B2222" s="10">
        <v>3734.3563250070501</v>
      </c>
      <c r="C2222" s="10">
        <v>-1.2125711434327</v>
      </c>
      <c r="D2222" s="10">
        <v>0.19695128227083</v>
      </c>
      <c r="E2222" s="10">
        <v>-6.1567060110087501</v>
      </c>
      <c r="F2222" s="4">
        <v>7.4273540048501998E-10</v>
      </c>
      <c r="G2222" s="4">
        <v>1.0277964173192199E-8</v>
      </c>
      <c r="H2222" s="10" t="s">
        <v>4457</v>
      </c>
      <c r="I2222" s="10" t="s">
        <v>18</v>
      </c>
    </row>
    <row r="2223" spans="1:9" x14ac:dyDescent="0.2">
      <c r="A2223" s="10" t="s">
        <v>4458</v>
      </c>
      <c r="B2223" s="10">
        <v>3596.0519086845502</v>
      </c>
      <c r="C2223" s="10">
        <v>-1.43426696051897</v>
      </c>
      <c r="D2223" s="10">
        <v>0.18135220064715801</v>
      </c>
      <c r="E2223" s="10">
        <v>-7.9087375581921</v>
      </c>
      <c r="F2223" s="4">
        <v>2.6001209383398E-15</v>
      </c>
      <c r="G2223" s="4">
        <v>6.7025066420950402E-14</v>
      </c>
      <c r="H2223" s="10" t="s">
        <v>4459</v>
      </c>
      <c r="I2223" s="10" t="s">
        <v>18</v>
      </c>
    </row>
    <row r="2224" spans="1:9" x14ac:dyDescent="0.2">
      <c r="A2224" s="10" t="s">
        <v>4460</v>
      </c>
      <c r="B2224" s="10">
        <v>1076.6855043442099</v>
      </c>
      <c r="C2224" s="10">
        <v>-1.01091049357323</v>
      </c>
      <c r="D2224" s="10">
        <v>0.198885199702241</v>
      </c>
      <c r="E2224" s="10">
        <v>-5.0828844734887602</v>
      </c>
      <c r="F2224" s="4">
        <v>3.7174582220421998E-7</v>
      </c>
      <c r="G2224" s="4">
        <v>3.43121897615122E-6</v>
      </c>
      <c r="H2224" s="10" t="s">
        <v>4461</v>
      </c>
      <c r="I2224" s="10" t="s">
        <v>18</v>
      </c>
    </row>
    <row r="2225" spans="1:9" x14ac:dyDescent="0.2">
      <c r="A2225" s="10" t="s">
        <v>4462</v>
      </c>
      <c r="B2225" s="10">
        <v>3720.8830725077</v>
      </c>
      <c r="C2225" s="10">
        <v>1.2695351783054101</v>
      </c>
      <c r="D2225" s="10">
        <v>0.18475860612957101</v>
      </c>
      <c r="E2225" s="10">
        <v>6.8713182292308801</v>
      </c>
      <c r="F2225" s="4">
        <v>6.3611310007659496E-12</v>
      </c>
      <c r="G2225" s="4">
        <v>1.14102525594384E-10</v>
      </c>
      <c r="H2225" s="10" t="s">
        <v>4463</v>
      </c>
      <c r="I2225" s="10" t="s">
        <v>18</v>
      </c>
    </row>
    <row r="2226" spans="1:9" x14ac:dyDescent="0.2">
      <c r="A2226" s="10" t="s">
        <v>4464</v>
      </c>
      <c r="B2226" s="10">
        <v>1287.7164622211501</v>
      </c>
      <c r="C2226" s="10">
        <v>1.03199642263563</v>
      </c>
      <c r="D2226" s="10">
        <v>0.18901407786493299</v>
      </c>
      <c r="E2226" s="10">
        <v>5.4598918466437203</v>
      </c>
      <c r="F2226" s="4">
        <v>4.7642471924717501E-8</v>
      </c>
      <c r="G2226" s="4">
        <v>5.1186228572297397E-7</v>
      </c>
      <c r="H2226" s="10" t="s">
        <v>4465</v>
      </c>
      <c r="I2226" s="10" t="s">
        <v>18</v>
      </c>
    </row>
    <row r="2227" spans="1:9" x14ac:dyDescent="0.2">
      <c r="A2227" s="10" t="s">
        <v>4466</v>
      </c>
      <c r="B2227" s="10">
        <v>8.7084133940085309</v>
      </c>
      <c r="C2227" s="10">
        <v>3.9758122572447099</v>
      </c>
      <c r="D2227" s="10">
        <v>1.48715549181707</v>
      </c>
      <c r="E2227" s="10">
        <v>2.67343413592004</v>
      </c>
      <c r="F2227" s="10">
        <v>7.5079017803830602E-3</v>
      </c>
      <c r="G2227" s="10">
        <v>2.4965560142799301E-2</v>
      </c>
      <c r="H2227" s="10" t="s">
        <v>4467</v>
      </c>
      <c r="I2227" s="10" t="s">
        <v>18</v>
      </c>
    </row>
    <row r="2228" spans="1:9" x14ac:dyDescent="0.2">
      <c r="A2228" s="10" t="s">
        <v>4468</v>
      </c>
      <c r="B2228" s="10">
        <v>59.514082427404503</v>
      </c>
      <c r="C2228" s="10">
        <v>6.2420338934464903</v>
      </c>
      <c r="D2228" s="10">
        <v>0.94392108193558399</v>
      </c>
      <c r="E2228" s="10">
        <v>6.61287687382372</v>
      </c>
      <c r="F2228" s="4">
        <v>3.76921951981211E-11</v>
      </c>
      <c r="G2228" s="4">
        <v>6.2355752432495703E-10</v>
      </c>
      <c r="H2228" s="10" t="s">
        <v>4469</v>
      </c>
      <c r="I2228" s="10" t="s">
        <v>18</v>
      </c>
    </row>
    <row r="2229" spans="1:9" x14ac:dyDescent="0.2">
      <c r="A2229" s="10" t="s">
        <v>4470</v>
      </c>
      <c r="B2229" s="10">
        <v>526.15970506459701</v>
      </c>
      <c r="C2229" s="10">
        <v>-1.0621298672705499</v>
      </c>
      <c r="D2229" s="10">
        <v>0.229213547640302</v>
      </c>
      <c r="E2229" s="10">
        <v>-4.6338005680943297</v>
      </c>
      <c r="F2229" s="4">
        <v>3.5901287258011899E-6</v>
      </c>
      <c r="G2229" s="4">
        <v>2.7853142765348801E-5</v>
      </c>
      <c r="H2229" s="10" t="s">
        <v>4471</v>
      </c>
      <c r="I2229" s="10" t="s">
        <v>18</v>
      </c>
    </row>
    <row r="2230" spans="1:9" x14ac:dyDescent="0.2">
      <c r="A2230" s="10" t="s">
        <v>4472</v>
      </c>
      <c r="B2230" s="10">
        <v>66.544311109405797</v>
      </c>
      <c r="C2230" s="10">
        <v>9.4527522380736695</v>
      </c>
      <c r="D2230" s="10">
        <v>1.5030060141217401</v>
      </c>
      <c r="E2230" s="10">
        <v>6.2892311469540401</v>
      </c>
      <c r="F2230" s="4">
        <v>3.1904212558782398E-10</v>
      </c>
      <c r="G2230" s="4">
        <v>4.61163967951801E-9</v>
      </c>
      <c r="H2230" s="10" t="s">
        <v>4473</v>
      </c>
      <c r="I2230" s="10" t="s">
        <v>18</v>
      </c>
    </row>
    <row r="2231" spans="1:9" x14ac:dyDescent="0.2">
      <c r="A2231" s="10" t="s">
        <v>4474</v>
      </c>
      <c r="B2231" s="10">
        <v>1118.92513362457</v>
      </c>
      <c r="C2231" s="10">
        <v>1.750022282163</v>
      </c>
      <c r="D2231" s="10">
        <v>0.19544214172278199</v>
      </c>
      <c r="E2231" s="10">
        <v>8.9541706140595796</v>
      </c>
      <c r="F2231" s="4">
        <v>3.42299130531458E-19</v>
      </c>
      <c r="G2231" s="4">
        <v>1.2191665894889699E-17</v>
      </c>
      <c r="H2231" s="10" t="s">
        <v>4475</v>
      </c>
      <c r="I2231" s="10" t="s">
        <v>18</v>
      </c>
    </row>
    <row r="2232" spans="1:9" x14ac:dyDescent="0.2">
      <c r="A2232" s="10" t="s">
        <v>4476</v>
      </c>
      <c r="B2232" s="10">
        <v>1203.7769118455201</v>
      </c>
      <c r="C2232" s="10">
        <v>-1.31198540214847</v>
      </c>
      <c r="D2232" s="10">
        <v>0.209201093388314</v>
      </c>
      <c r="E2232" s="10">
        <v>-6.2714079591983598</v>
      </c>
      <c r="F2232" s="4">
        <v>3.5779778131671099E-10</v>
      </c>
      <c r="G2232" s="4">
        <v>5.1330053357878497E-9</v>
      </c>
      <c r="H2232" s="10" t="s">
        <v>4477</v>
      </c>
      <c r="I2232" s="10" t="s">
        <v>18</v>
      </c>
    </row>
    <row r="2233" spans="1:9" x14ac:dyDescent="0.2">
      <c r="A2233" s="10" t="s">
        <v>4478</v>
      </c>
      <c r="B2233" s="10">
        <v>1066.7464904338799</v>
      </c>
      <c r="C2233" s="10">
        <v>1.5056183227846101</v>
      </c>
      <c r="D2233" s="10">
        <v>0.201680763626126</v>
      </c>
      <c r="E2233" s="10">
        <v>7.46535413548769</v>
      </c>
      <c r="F2233" s="4">
        <v>8.3075874623896101E-14</v>
      </c>
      <c r="G2233" s="4">
        <v>1.8645538351542801E-12</v>
      </c>
      <c r="H2233" s="10" t="s">
        <v>4479</v>
      </c>
      <c r="I2233" s="10" t="s">
        <v>18</v>
      </c>
    </row>
    <row r="2234" spans="1:9" x14ac:dyDescent="0.2">
      <c r="A2234" s="10" t="s">
        <v>4480</v>
      </c>
      <c r="B2234" s="10">
        <v>1945.15443702209</v>
      </c>
      <c r="C2234" s="10">
        <v>-1.09125274465999</v>
      </c>
      <c r="D2234" s="10">
        <v>0.19786597048236401</v>
      </c>
      <c r="E2234" s="10">
        <v>-5.5151107691721899</v>
      </c>
      <c r="F2234" s="4">
        <v>3.4856035282154899E-8</v>
      </c>
      <c r="G2234" s="4">
        <v>3.8295257795680403E-7</v>
      </c>
      <c r="H2234" s="10" t="s">
        <v>4481</v>
      </c>
      <c r="I2234" s="10" t="s">
        <v>18</v>
      </c>
    </row>
    <row r="2235" spans="1:9" x14ac:dyDescent="0.2">
      <c r="A2235" s="10" t="s">
        <v>4482</v>
      </c>
      <c r="B2235" s="10">
        <v>59.934403078525001</v>
      </c>
      <c r="C2235" s="10">
        <v>1.93605127181417</v>
      </c>
      <c r="D2235" s="10">
        <v>0.48438843872016601</v>
      </c>
      <c r="E2235" s="10">
        <v>3.99689818553377</v>
      </c>
      <c r="F2235" s="4">
        <v>6.4177887208160405E-5</v>
      </c>
      <c r="G2235" s="10">
        <v>3.8356106443534701E-4</v>
      </c>
      <c r="H2235" s="10" t="s">
        <v>4483</v>
      </c>
      <c r="I2235" s="10" t="s">
        <v>18</v>
      </c>
    </row>
    <row r="2236" spans="1:9" x14ac:dyDescent="0.2">
      <c r="A2236" s="10" t="s">
        <v>4484</v>
      </c>
      <c r="B2236" s="10">
        <v>1015.41102120358</v>
      </c>
      <c r="C2236" s="10">
        <v>1.40719498621354</v>
      </c>
      <c r="D2236" s="10">
        <v>0.216611435270847</v>
      </c>
      <c r="E2236" s="10">
        <v>6.4964021149391602</v>
      </c>
      <c r="F2236" s="4">
        <v>8.2263597090401003E-11</v>
      </c>
      <c r="G2236" s="4">
        <v>1.2952733214900599E-9</v>
      </c>
      <c r="H2236" s="10" t="s">
        <v>4485</v>
      </c>
      <c r="I2236" s="10" t="s">
        <v>18</v>
      </c>
    </row>
    <row r="2237" spans="1:9" x14ac:dyDescent="0.2">
      <c r="A2237" s="10" t="s">
        <v>4486</v>
      </c>
      <c r="B2237" s="10">
        <v>79.969770148809502</v>
      </c>
      <c r="C2237" s="10">
        <v>9.7169997097365002</v>
      </c>
      <c r="D2237" s="10">
        <v>1.4957615028819</v>
      </c>
      <c r="E2237" s="10">
        <v>6.4963563315506399</v>
      </c>
      <c r="F2237" s="4">
        <v>8.2288623316302797E-11</v>
      </c>
      <c r="G2237" s="4">
        <v>1.2952733214900599E-9</v>
      </c>
      <c r="H2237" s="10" t="s">
        <v>4487</v>
      </c>
      <c r="I2237" s="10" t="s">
        <v>18</v>
      </c>
    </row>
    <row r="2238" spans="1:9" x14ac:dyDescent="0.2">
      <c r="A2238" s="10" t="s">
        <v>4488</v>
      </c>
      <c r="B2238" s="10">
        <v>8.4489029785780794</v>
      </c>
      <c r="C2238" s="10">
        <v>3.3027777384023702</v>
      </c>
      <c r="D2238" s="10">
        <v>1.34419997967214</v>
      </c>
      <c r="E2238" s="10">
        <v>2.4570583159865498</v>
      </c>
      <c r="F2238" s="10">
        <v>1.40079945565927E-2</v>
      </c>
      <c r="G2238" s="10">
        <v>4.2225448355291698E-2</v>
      </c>
      <c r="H2238" s="10" t="s">
        <v>4489</v>
      </c>
      <c r="I2238" s="10" t="s">
        <v>18</v>
      </c>
    </row>
    <row r="2239" spans="1:9" x14ac:dyDescent="0.2">
      <c r="A2239" s="10" t="s">
        <v>4490</v>
      </c>
      <c r="B2239" s="10">
        <v>22.4750443285374</v>
      </c>
      <c r="C2239" s="10">
        <v>5.40626529643583</v>
      </c>
      <c r="D2239" s="10">
        <v>1.22768440123208</v>
      </c>
      <c r="E2239" s="10">
        <v>4.4036279120352297</v>
      </c>
      <c r="F2239" s="4">
        <v>1.06455468292565E-5</v>
      </c>
      <c r="G2239" s="4">
        <v>7.5261861561170805E-5</v>
      </c>
      <c r="H2239" s="10" t="s">
        <v>4491</v>
      </c>
      <c r="I2239" s="10" t="s">
        <v>18</v>
      </c>
    </row>
    <row r="2240" spans="1:9" x14ac:dyDescent="0.2">
      <c r="A2240" s="10" t="s">
        <v>4492</v>
      </c>
      <c r="B2240" s="10">
        <v>222.36429086835199</v>
      </c>
      <c r="C2240" s="10">
        <v>-1.4007624868299799</v>
      </c>
      <c r="D2240" s="10">
        <v>0.31556864100448101</v>
      </c>
      <c r="E2240" s="10">
        <v>-4.4388519796239301</v>
      </c>
      <c r="F2240" s="4">
        <v>9.0439986269774193E-6</v>
      </c>
      <c r="G2240" s="4">
        <v>6.4984659965520506E-5</v>
      </c>
      <c r="H2240" s="10" t="s">
        <v>4493</v>
      </c>
      <c r="I2240" s="10" t="s">
        <v>18</v>
      </c>
    </row>
    <row r="2241" spans="1:9" x14ac:dyDescent="0.2">
      <c r="A2241" s="10" t="s">
        <v>4494</v>
      </c>
      <c r="B2241" s="10">
        <v>20.515685296857502</v>
      </c>
      <c r="C2241" s="10">
        <v>4.23439635672786</v>
      </c>
      <c r="D2241" s="10">
        <v>1.02481884933575</v>
      </c>
      <c r="E2241" s="10">
        <v>4.1318486281477202</v>
      </c>
      <c r="F2241" s="4">
        <v>3.5985738047381397E-5</v>
      </c>
      <c r="G2241" s="10">
        <v>2.2651894502515599E-4</v>
      </c>
      <c r="H2241" s="10" t="s">
        <v>4495</v>
      </c>
      <c r="I2241" s="10" t="s">
        <v>18</v>
      </c>
    </row>
    <row r="2242" spans="1:9" x14ac:dyDescent="0.2">
      <c r="A2242" s="10" t="s">
        <v>4496</v>
      </c>
      <c r="B2242" s="10">
        <v>1544.20050062617</v>
      </c>
      <c r="C2242" s="10">
        <v>-1.3845529657525399</v>
      </c>
      <c r="D2242" s="10">
        <v>0.19125983591402099</v>
      </c>
      <c r="E2242" s="10">
        <v>-7.23912032620873</v>
      </c>
      <c r="F2242" s="4">
        <v>4.51604239223499E-13</v>
      </c>
      <c r="G2242" s="4">
        <v>9.3715618477705099E-12</v>
      </c>
      <c r="H2242" s="10" t="s">
        <v>4497</v>
      </c>
      <c r="I2242" s="10" t="s">
        <v>18</v>
      </c>
    </row>
    <row r="2243" spans="1:9" x14ac:dyDescent="0.2">
      <c r="A2243" s="10" t="s">
        <v>4498</v>
      </c>
      <c r="B2243" s="10">
        <v>5.2844144803744602</v>
      </c>
      <c r="C2243" s="10">
        <v>5.7963924222255896</v>
      </c>
      <c r="D2243" s="10">
        <v>2.0064078652252801</v>
      </c>
      <c r="E2243" s="10">
        <v>2.8889402412578602</v>
      </c>
      <c r="F2243" s="10">
        <v>3.8654252525083602E-3</v>
      </c>
      <c r="G2243" s="10">
        <v>1.42326002506886E-2</v>
      </c>
      <c r="H2243" s="10" t="s">
        <v>4499</v>
      </c>
      <c r="I2243" s="10" t="s">
        <v>18</v>
      </c>
    </row>
    <row r="2244" spans="1:9" x14ac:dyDescent="0.2">
      <c r="A2244" s="10" t="s">
        <v>4500</v>
      </c>
      <c r="B2244" s="10">
        <v>214.16307100185699</v>
      </c>
      <c r="C2244" s="10">
        <v>1.42358420454473</v>
      </c>
      <c r="D2244" s="10">
        <v>0.30027777237120901</v>
      </c>
      <c r="E2244" s="10">
        <v>4.7408910533173598</v>
      </c>
      <c r="F2244" s="4">
        <v>2.1278033404759E-6</v>
      </c>
      <c r="G2244" s="4">
        <v>1.7224081288754201E-5</v>
      </c>
      <c r="H2244" s="10" t="s">
        <v>4501</v>
      </c>
      <c r="I2244" s="10" t="s">
        <v>18</v>
      </c>
    </row>
    <row r="2245" spans="1:9" x14ac:dyDescent="0.2">
      <c r="A2245" s="10" t="s">
        <v>4502</v>
      </c>
      <c r="B2245" s="10">
        <v>9.6205021249753599</v>
      </c>
      <c r="C2245" s="10">
        <v>5.1757068744234802</v>
      </c>
      <c r="D2245" s="10">
        <v>1.7585760456948401</v>
      </c>
      <c r="E2245" s="10">
        <v>2.9431237205204099</v>
      </c>
      <c r="F2245" s="10">
        <v>3.2491854001738302E-3</v>
      </c>
      <c r="G2245" s="10">
        <v>1.22754512754487E-2</v>
      </c>
      <c r="H2245" s="10" t="s">
        <v>4503</v>
      </c>
      <c r="I2245" s="10" t="s">
        <v>18</v>
      </c>
    </row>
    <row r="2246" spans="1:9" x14ac:dyDescent="0.2">
      <c r="A2246" s="10" t="s">
        <v>4504</v>
      </c>
      <c r="B2246" s="10">
        <v>7.1566041485014402</v>
      </c>
      <c r="C2246" s="10">
        <v>6.2348322409822696</v>
      </c>
      <c r="D2246" s="10">
        <v>1.8739066662439701</v>
      </c>
      <c r="E2246" s="10">
        <v>3.32718398055506</v>
      </c>
      <c r="F2246" s="10">
        <v>8.7728431726666605E-4</v>
      </c>
      <c r="G2246" s="10">
        <v>3.9334154669351399E-3</v>
      </c>
      <c r="H2246" s="10" t="s">
        <v>4505</v>
      </c>
      <c r="I2246" s="10" t="s">
        <v>18</v>
      </c>
    </row>
    <row r="2247" spans="1:9" x14ac:dyDescent="0.2">
      <c r="A2247" s="10" t="s">
        <v>4506</v>
      </c>
      <c r="B2247" s="10">
        <v>4.3302005939076098</v>
      </c>
      <c r="C2247" s="10">
        <v>5.5088803257156904</v>
      </c>
      <c r="D2247" s="10">
        <v>2.1104502212244198</v>
      </c>
      <c r="E2247" s="10">
        <v>2.6102867863519599</v>
      </c>
      <c r="F2247" s="10">
        <v>9.0466346159683401E-3</v>
      </c>
      <c r="G2247" s="10">
        <v>2.9246992570157698E-2</v>
      </c>
      <c r="H2247" s="10" t="s">
        <v>4507</v>
      </c>
      <c r="I2247" s="10" t="s">
        <v>18</v>
      </c>
    </row>
    <row r="2248" spans="1:9" x14ac:dyDescent="0.2">
      <c r="A2248" s="10" t="s">
        <v>4508</v>
      </c>
      <c r="B2248" s="10">
        <v>4.5506350131209503</v>
      </c>
      <c r="C2248" s="10">
        <v>5.5810926405007502</v>
      </c>
      <c r="D2248" s="10">
        <v>2.0811975347712699</v>
      </c>
      <c r="E2248" s="10">
        <v>2.6816736745337999</v>
      </c>
      <c r="F2248" s="10">
        <v>7.3254878825888504E-3</v>
      </c>
      <c r="G2248" s="10">
        <v>2.4457489074488199E-2</v>
      </c>
      <c r="H2248" s="10" t="s">
        <v>4509</v>
      </c>
      <c r="I2248" s="10" t="s">
        <v>18</v>
      </c>
    </row>
    <row r="2249" spans="1:9" x14ac:dyDescent="0.2">
      <c r="A2249" s="10" t="s">
        <v>4510</v>
      </c>
      <c r="B2249" s="10">
        <v>499.15184850598303</v>
      </c>
      <c r="C2249" s="10">
        <v>-2.39165625335399</v>
      </c>
      <c r="D2249" s="10">
        <v>0.23094455753100299</v>
      </c>
      <c r="E2249" s="10">
        <v>-10.355975819144</v>
      </c>
      <c r="F2249" s="4">
        <v>3.9315678875511501E-25</v>
      </c>
      <c r="G2249" s="4">
        <v>2.20873052024961E-23</v>
      </c>
      <c r="H2249" s="10" t="s">
        <v>4511</v>
      </c>
      <c r="I2249" s="10" t="s">
        <v>18</v>
      </c>
    </row>
    <row r="2250" spans="1:9" x14ac:dyDescent="0.2">
      <c r="A2250" s="10" t="s">
        <v>4512</v>
      </c>
      <c r="B2250" s="10">
        <v>153.754442452815</v>
      </c>
      <c r="C2250" s="10">
        <v>5.3736785985581399</v>
      </c>
      <c r="D2250" s="10">
        <v>0.49548404498955301</v>
      </c>
      <c r="E2250" s="10">
        <v>10.8453110708569</v>
      </c>
      <c r="F2250" s="4">
        <v>2.0992053617189702E-27</v>
      </c>
      <c r="G2250" s="4">
        <v>1.3716318582915301E-25</v>
      </c>
      <c r="H2250" s="10" t="s">
        <v>4513</v>
      </c>
      <c r="I2250" s="10" t="s">
        <v>18</v>
      </c>
    </row>
    <row r="2251" spans="1:9" x14ac:dyDescent="0.2">
      <c r="A2251" s="10" t="s">
        <v>4514</v>
      </c>
      <c r="B2251" s="10">
        <v>10.608072855928601</v>
      </c>
      <c r="C2251" s="10">
        <v>6.8042318673040301</v>
      </c>
      <c r="D2251" s="10">
        <v>1.74687561460354</v>
      </c>
      <c r="E2251" s="10">
        <v>3.89508663949624</v>
      </c>
      <c r="F2251" s="4">
        <v>9.8163635480665094E-5</v>
      </c>
      <c r="G2251" s="10">
        <v>5.62968759406795E-4</v>
      </c>
      <c r="H2251" s="10" t="s">
        <v>4515</v>
      </c>
      <c r="I2251" s="10" t="s">
        <v>18</v>
      </c>
    </row>
    <row r="2252" spans="1:9" x14ac:dyDescent="0.2">
      <c r="A2252" s="10" t="s">
        <v>4516</v>
      </c>
      <c r="B2252" s="10">
        <v>3622.1168990186702</v>
      </c>
      <c r="C2252" s="10">
        <v>1.7402574790501</v>
      </c>
      <c r="D2252" s="10">
        <v>0.21884361830913901</v>
      </c>
      <c r="E2252" s="10">
        <v>7.9520595231239604</v>
      </c>
      <c r="F2252" s="4">
        <v>1.83436074531928E-15</v>
      </c>
      <c r="G2252" s="4">
        <v>4.7874366729940302E-14</v>
      </c>
      <c r="H2252" s="10" t="s">
        <v>4517</v>
      </c>
      <c r="I2252" s="10" t="s">
        <v>18</v>
      </c>
    </row>
    <row r="2253" spans="1:9" x14ac:dyDescent="0.2">
      <c r="A2253" s="10" t="s">
        <v>4518</v>
      </c>
      <c r="B2253" s="10">
        <v>280.019011637034</v>
      </c>
      <c r="C2253" s="10">
        <v>1.7085931222608799</v>
      </c>
      <c r="D2253" s="10">
        <v>0.31431875453385999</v>
      </c>
      <c r="E2253" s="10">
        <v>5.4358612001843696</v>
      </c>
      <c r="F2253" s="4">
        <v>5.45323941561476E-8</v>
      </c>
      <c r="G2253" s="4">
        <v>5.79954778912004E-7</v>
      </c>
      <c r="H2253" s="10" t="s">
        <v>4519</v>
      </c>
      <c r="I2253" s="10" t="s">
        <v>18</v>
      </c>
    </row>
    <row r="2254" spans="1:9" x14ac:dyDescent="0.2">
      <c r="A2254" s="10" t="s">
        <v>4520</v>
      </c>
      <c r="B2254" s="10">
        <v>1857.73601312292</v>
      </c>
      <c r="C2254" s="10">
        <v>1.2818690666311401</v>
      </c>
      <c r="D2254" s="10">
        <v>0.230054257515247</v>
      </c>
      <c r="E2254" s="10">
        <v>5.5720293137638803</v>
      </c>
      <c r="F2254" s="4">
        <v>2.5178904095183298E-8</v>
      </c>
      <c r="G2254" s="4">
        <v>2.8325947378007103E-7</v>
      </c>
      <c r="H2254" s="10" t="s">
        <v>4521</v>
      </c>
      <c r="I2254" s="10" t="s">
        <v>18</v>
      </c>
    </row>
    <row r="2255" spans="1:9" x14ac:dyDescent="0.2">
      <c r="A2255" s="10" t="s">
        <v>4522</v>
      </c>
      <c r="B2255" s="10">
        <v>7.7875563520280204</v>
      </c>
      <c r="C2255" s="10">
        <v>4.8635847156443202</v>
      </c>
      <c r="D2255" s="10">
        <v>1.82118885625509</v>
      </c>
      <c r="E2255" s="10">
        <v>2.6705548405591002</v>
      </c>
      <c r="F2255" s="10">
        <v>7.5726000445634897E-3</v>
      </c>
      <c r="G2255" s="10">
        <v>2.51597031038687E-2</v>
      </c>
      <c r="H2255" s="10" t="s">
        <v>4523</v>
      </c>
      <c r="I2255" s="10" t="s">
        <v>18</v>
      </c>
    </row>
    <row r="2256" spans="1:9" x14ac:dyDescent="0.2">
      <c r="A2256" s="10" t="s">
        <v>4524</v>
      </c>
      <c r="B2256" s="10">
        <v>1302.0018988346701</v>
      </c>
      <c r="C2256" s="10">
        <v>1.9640428062769899</v>
      </c>
      <c r="D2256" s="10">
        <v>0.22295991913251501</v>
      </c>
      <c r="E2256" s="10">
        <v>8.8089501194592401</v>
      </c>
      <c r="F2256" s="4">
        <v>1.26323378443592E-18</v>
      </c>
      <c r="G2256" s="4">
        <v>4.3294755879906199E-17</v>
      </c>
      <c r="H2256" s="10" t="s">
        <v>4525</v>
      </c>
      <c r="I2256" s="10" t="s">
        <v>18</v>
      </c>
    </row>
    <row r="2257" spans="1:9" x14ac:dyDescent="0.2">
      <c r="A2257" s="10" t="s">
        <v>4526</v>
      </c>
      <c r="B2257" s="10">
        <v>2469.3489343077999</v>
      </c>
      <c r="C2257" s="10">
        <v>1.95311840103117</v>
      </c>
      <c r="D2257" s="10">
        <v>0.24621378865964499</v>
      </c>
      <c r="E2257" s="10">
        <v>7.9326117828887099</v>
      </c>
      <c r="F2257" s="4">
        <v>2.1458442012575802E-15</v>
      </c>
      <c r="G2257" s="4">
        <v>5.57367177804245E-14</v>
      </c>
      <c r="H2257" s="10" t="s">
        <v>4527</v>
      </c>
      <c r="I2257" s="10" t="s">
        <v>18</v>
      </c>
    </row>
    <row r="2258" spans="1:9" x14ac:dyDescent="0.2">
      <c r="A2258" s="10" t="s">
        <v>4528</v>
      </c>
      <c r="B2258" s="10">
        <v>4.5143969083142101</v>
      </c>
      <c r="C2258" s="10">
        <v>5.5706196242912496</v>
      </c>
      <c r="D2258" s="10">
        <v>2.0836382646555101</v>
      </c>
      <c r="E2258" s="10">
        <v>2.6735061064988899</v>
      </c>
      <c r="F2258" s="10">
        <v>7.5062909580529899E-3</v>
      </c>
      <c r="G2258" s="10">
        <v>2.4963250303194202E-2</v>
      </c>
      <c r="H2258" s="10" t="s">
        <v>4529</v>
      </c>
      <c r="I2258" s="10" t="s">
        <v>18</v>
      </c>
    </row>
    <row r="2259" spans="1:9" x14ac:dyDescent="0.2">
      <c r="A2259" s="10" t="s">
        <v>4530</v>
      </c>
      <c r="B2259" s="10">
        <v>174.838196262118</v>
      </c>
      <c r="C2259" s="10">
        <v>7.8094370613531696</v>
      </c>
      <c r="D2259" s="10">
        <v>0.89267598642896395</v>
      </c>
      <c r="E2259" s="10">
        <v>8.7483445058198797</v>
      </c>
      <c r="F2259" s="4">
        <v>2.1650543689688301E-18</v>
      </c>
      <c r="G2259" s="4">
        <v>7.2828686902831697E-17</v>
      </c>
      <c r="H2259" s="10" t="s">
        <v>4531</v>
      </c>
      <c r="I2259" s="10" t="s">
        <v>18</v>
      </c>
    </row>
    <row r="2260" spans="1:9" x14ac:dyDescent="0.2">
      <c r="A2260" s="10" t="s">
        <v>4532</v>
      </c>
      <c r="B2260" s="10">
        <v>4.1460042795009997</v>
      </c>
      <c r="C2260" s="10">
        <v>5.4444419213328796</v>
      </c>
      <c r="D2260" s="10">
        <v>2.1466105364649501</v>
      </c>
      <c r="E2260" s="10">
        <v>2.5362970267996601</v>
      </c>
      <c r="F2260" s="10">
        <v>1.1203166618934E-2</v>
      </c>
      <c r="G2260" s="10">
        <v>3.5022106570226502E-2</v>
      </c>
      <c r="H2260" s="10" t="s">
        <v>4533</v>
      </c>
      <c r="I2260" s="10" t="s">
        <v>18</v>
      </c>
    </row>
    <row r="2261" spans="1:9" x14ac:dyDescent="0.2">
      <c r="A2261" s="10" t="s">
        <v>4534</v>
      </c>
      <c r="B2261" s="10">
        <v>6.4560569956817702</v>
      </c>
      <c r="C2261" s="10">
        <v>6.0815575536098301</v>
      </c>
      <c r="D2261" s="10">
        <v>1.9618974323737199</v>
      </c>
      <c r="E2261" s="10">
        <v>3.09983460565096</v>
      </c>
      <c r="F2261" s="10">
        <v>1.93628733033246E-3</v>
      </c>
      <c r="G2261" s="10">
        <v>7.8275995385116409E-3</v>
      </c>
      <c r="H2261" s="10" t="s">
        <v>4535</v>
      </c>
      <c r="I2261" s="10" t="s">
        <v>18</v>
      </c>
    </row>
    <row r="2262" spans="1:9" x14ac:dyDescent="0.2">
      <c r="A2262" s="10" t="s">
        <v>4536</v>
      </c>
      <c r="B2262" s="10">
        <v>36.118224425796598</v>
      </c>
      <c r="C2262" s="10">
        <v>6.1075969908292898</v>
      </c>
      <c r="D2262" s="10">
        <v>1.1549747285980301</v>
      </c>
      <c r="E2262" s="10">
        <v>5.2880784657885904</v>
      </c>
      <c r="F2262" s="4">
        <v>1.23607956750596E-7</v>
      </c>
      <c r="G2262" s="4">
        <v>1.2373056567169299E-6</v>
      </c>
      <c r="H2262" s="10" t="s">
        <v>4537</v>
      </c>
      <c r="I2262" s="10" t="s">
        <v>18</v>
      </c>
    </row>
    <row r="2263" spans="1:9" x14ac:dyDescent="0.2">
      <c r="A2263" s="10" t="s">
        <v>4538</v>
      </c>
      <c r="B2263" s="10">
        <v>792.01994078775999</v>
      </c>
      <c r="C2263" s="10">
        <v>5.8310098692803303</v>
      </c>
      <c r="D2263" s="10">
        <v>0.285525917335409</v>
      </c>
      <c r="E2263" s="10">
        <v>20.421998548141001</v>
      </c>
      <c r="F2263" s="4">
        <v>1.06612292202388E-92</v>
      </c>
      <c r="G2263" s="4">
        <v>1.03745183058517E-89</v>
      </c>
      <c r="H2263" s="10" t="s">
        <v>4539</v>
      </c>
      <c r="I2263" s="10" t="s">
        <v>18</v>
      </c>
    </row>
    <row r="2264" spans="1:9" x14ac:dyDescent="0.2">
      <c r="A2264" s="10" t="s">
        <v>4540</v>
      </c>
      <c r="B2264" s="10">
        <v>89.959293129538196</v>
      </c>
      <c r="C2264" s="10">
        <v>6.8508547862124498</v>
      </c>
      <c r="D2264" s="10">
        <v>0.916727551148251</v>
      </c>
      <c r="E2264" s="10">
        <v>7.4731634034903598</v>
      </c>
      <c r="F2264" s="4">
        <v>7.8289530292413101E-14</v>
      </c>
      <c r="G2264" s="4">
        <v>1.76293787758461E-12</v>
      </c>
      <c r="H2264" s="10" t="s">
        <v>4541</v>
      </c>
      <c r="I2264" s="10" t="s">
        <v>18</v>
      </c>
    </row>
    <row r="2265" spans="1:9" x14ac:dyDescent="0.2">
      <c r="A2265" s="10" t="s">
        <v>4542</v>
      </c>
      <c r="B2265" s="10">
        <v>26.9633097794507</v>
      </c>
      <c r="C2265" s="10">
        <v>4.6575934678772404</v>
      </c>
      <c r="D2265" s="10">
        <v>0.97042578504452703</v>
      </c>
      <c r="E2265" s="10">
        <v>4.7995359765337797</v>
      </c>
      <c r="F2265" s="4">
        <v>1.5903366724332299E-6</v>
      </c>
      <c r="G2265" s="4">
        <v>1.31587923819581E-5</v>
      </c>
      <c r="H2265" s="10" t="s">
        <v>4543</v>
      </c>
      <c r="I2265" s="10" t="s">
        <v>18</v>
      </c>
    </row>
    <row r="2266" spans="1:9" x14ac:dyDescent="0.2">
      <c r="A2266" s="10" t="s">
        <v>4544</v>
      </c>
      <c r="B2266" s="10">
        <v>110.18411216856499</v>
      </c>
      <c r="C2266" s="10">
        <v>-2.0819134146401899</v>
      </c>
      <c r="D2266" s="10">
        <v>0.36972101849797301</v>
      </c>
      <c r="E2266" s="10">
        <v>-5.6310388386848</v>
      </c>
      <c r="F2266" s="4">
        <v>1.79127379789522E-8</v>
      </c>
      <c r="G2266" s="4">
        <v>2.0576238267812499E-7</v>
      </c>
      <c r="H2266" s="10" t="s">
        <v>4545</v>
      </c>
      <c r="I2266" s="10" t="s">
        <v>18</v>
      </c>
    </row>
    <row r="2267" spans="1:9" x14ac:dyDescent="0.2">
      <c r="A2267" s="10" t="s">
        <v>4546</v>
      </c>
      <c r="B2267" s="10">
        <v>322.75583553496199</v>
      </c>
      <c r="C2267" s="10">
        <v>-1.6937076997902201</v>
      </c>
      <c r="D2267" s="10">
        <v>0.266644958543444</v>
      </c>
      <c r="E2267" s="10">
        <v>-6.3519209552738101</v>
      </c>
      <c r="F2267" s="4">
        <v>2.1264258998587699E-10</v>
      </c>
      <c r="G2267" s="4">
        <v>3.1437182036598898E-9</v>
      </c>
      <c r="H2267" s="10" t="s">
        <v>4547</v>
      </c>
      <c r="I2267" s="10" t="s">
        <v>18</v>
      </c>
    </row>
    <row r="2268" spans="1:9" x14ac:dyDescent="0.2">
      <c r="A2268" s="10" t="s">
        <v>4548</v>
      </c>
      <c r="B2268" s="10">
        <v>3375.6700760384301</v>
      </c>
      <c r="C2268" s="10">
        <v>-1.8805687638183499</v>
      </c>
      <c r="D2268" s="10">
        <v>0.17643181851051501</v>
      </c>
      <c r="E2268" s="10">
        <v>-10.658898036049401</v>
      </c>
      <c r="F2268" s="4">
        <v>1.5846383931058101E-26</v>
      </c>
      <c r="G2268" s="4">
        <v>9.8128732493077402E-25</v>
      </c>
      <c r="H2268" s="10" t="s">
        <v>4549</v>
      </c>
      <c r="I2268" s="10" t="s">
        <v>18</v>
      </c>
    </row>
    <row r="2269" spans="1:9" x14ac:dyDescent="0.2">
      <c r="A2269" s="10" t="s">
        <v>4550</v>
      </c>
      <c r="B2269" s="10">
        <v>31.419717940895801</v>
      </c>
      <c r="C2269" s="10">
        <v>4.2673574287634297</v>
      </c>
      <c r="D2269" s="10">
        <v>0.83015499700967899</v>
      </c>
      <c r="E2269" s="10">
        <v>5.14043455033696</v>
      </c>
      <c r="F2269" s="4">
        <v>2.74103792878662E-7</v>
      </c>
      <c r="G2269" s="4">
        <v>2.5771908601164899E-6</v>
      </c>
      <c r="H2269" s="10" t="s">
        <v>4551</v>
      </c>
      <c r="I2269" s="10" t="s">
        <v>18</v>
      </c>
    </row>
    <row r="2270" spans="1:9" x14ac:dyDescent="0.2">
      <c r="A2270" s="10" t="s">
        <v>4552</v>
      </c>
      <c r="B2270" s="10">
        <v>19.778813301410999</v>
      </c>
      <c r="C2270" s="10">
        <v>7.70010863145637</v>
      </c>
      <c r="D2270" s="10">
        <v>1.62229930251313</v>
      </c>
      <c r="E2270" s="10">
        <v>4.7464167798925798</v>
      </c>
      <c r="F2270" s="4">
        <v>2.0705185548911101E-6</v>
      </c>
      <c r="G2270" s="4">
        <v>1.67853076659083E-5</v>
      </c>
      <c r="H2270" s="10" t="s">
        <v>4553</v>
      </c>
      <c r="I2270" s="10" t="s">
        <v>18</v>
      </c>
    </row>
    <row r="2271" spans="1:9" x14ac:dyDescent="0.2">
      <c r="A2271" s="10" t="s">
        <v>4554</v>
      </c>
      <c r="B2271" s="10">
        <v>365.096409473086</v>
      </c>
      <c r="C2271" s="10">
        <v>7.8757117612164302</v>
      </c>
      <c r="D2271" s="10">
        <v>0.64486094988125597</v>
      </c>
      <c r="E2271" s="10">
        <v>12.213038737524201</v>
      </c>
      <c r="F2271" s="4">
        <v>2.6481058507724E-34</v>
      </c>
      <c r="G2271" s="4">
        <v>2.6526816219115999E-32</v>
      </c>
      <c r="H2271" s="10" t="s">
        <v>4555</v>
      </c>
      <c r="I2271" s="10" t="s">
        <v>18</v>
      </c>
    </row>
    <row r="2272" spans="1:9" x14ac:dyDescent="0.2">
      <c r="A2272" s="10" t="s">
        <v>4556</v>
      </c>
      <c r="B2272" s="10">
        <v>35.6863351662561</v>
      </c>
      <c r="C2272" s="10">
        <v>4.22660633197862</v>
      </c>
      <c r="D2272" s="10">
        <v>0.76861000615317399</v>
      </c>
      <c r="E2272" s="10">
        <v>5.4990259014873004</v>
      </c>
      <c r="F2272" s="4">
        <v>3.8189504097716699E-8</v>
      </c>
      <c r="G2272" s="4">
        <v>4.1655300966792901E-7</v>
      </c>
      <c r="H2272" s="10" t="s">
        <v>4557</v>
      </c>
      <c r="I2272" s="10" t="s">
        <v>18</v>
      </c>
    </row>
    <row r="2273" spans="1:9" x14ac:dyDescent="0.2">
      <c r="A2273" s="10" t="s">
        <v>4558</v>
      </c>
      <c r="B2273" s="10">
        <v>52.895330699273401</v>
      </c>
      <c r="C2273" s="10">
        <v>6.0710615632796001</v>
      </c>
      <c r="D2273" s="10">
        <v>0.95141312650514598</v>
      </c>
      <c r="E2273" s="10">
        <v>6.3810992240359399</v>
      </c>
      <c r="F2273" s="4">
        <v>1.7582133541884199E-10</v>
      </c>
      <c r="G2273" s="4">
        <v>2.6423628936333001E-9</v>
      </c>
      <c r="H2273" s="10" t="s">
        <v>4559</v>
      </c>
      <c r="I2273" s="10" t="s">
        <v>18</v>
      </c>
    </row>
    <row r="2274" spans="1:9" x14ac:dyDescent="0.2">
      <c r="A2274" s="10" t="s">
        <v>4560</v>
      </c>
      <c r="B2274" s="10">
        <v>653.51351194318795</v>
      </c>
      <c r="C2274" s="10">
        <v>-1.2190495284232301</v>
      </c>
      <c r="D2274" s="10">
        <v>0.21271583176698</v>
      </c>
      <c r="E2274" s="10">
        <v>-5.7308829262818799</v>
      </c>
      <c r="F2274" s="4">
        <v>9.99092085003881E-9</v>
      </c>
      <c r="G2274" s="4">
        <v>1.18460670322458E-7</v>
      </c>
      <c r="H2274" s="10" t="s">
        <v>4561</v>
      </c>
      <c r="I2274" s="10" t="s">
        <v>18</v>
      </c>
    </row>
    <row r="2275" spans="1:9" x14ac:dyDescent="0.2">
      <c r="A2275" s="10" t="s">
        <v>4562</v>
      </c>
      <c r="B2275" s="10">
        <v>4.4389149083278303</v>
      </c>
      <c r="C2275" s="10">
        <v>5.5416549708147302</v>
      </c>
      <c r="D2275" s="10">
        <v>2.1243404820932601</v>
      </c>
      <c r="E2275" s="10">
        <v>2.6086472566554701</v>
      </c>
      <c r="F2275" s="10">
        <v>9.0900891388015007E-3</v>
      </c>
      <c r="G2275" s="10">
        <v>2.93596086729403E-2</v>
      </c>
      <c r="H2275" s="10" t="s">
        <v>4563</v>
      </c>
      <c r="I2275" s="10" t="s">
        <v>18</v>
      </c>
    </row>
    <row r="2276" spans="1:9" x14ac:dyDescent="0.2">
      <c r="A2276" s="10" t="s">
        <v>4564</v>
      </c>
      <c r="B2276" s="10">
        <v>67.993547727968505</v>
      </c>
      <c r="C2276" s="10">
        <v>4.9949731539887203</v>
      </c>
      <c r="D2276" s="10">
        <v>0.65583966366665603</v>
      </c>
      <c r="E2276" s="10">
        <v>7.6161498468435296</v>
      </c>
      <c r="F2276" s="4">
        <v>2.61354263205555E-14</v>
      </c>
      <c r="G2276" s="4">
        <v>6.0864270167194403E-13</v>
      </c>
      <c r="H2276" s="10" t="s">
        <v>4565</v>
      </c>
      <c r="I2276" s="10" t="s">
        <v>18</v>
      </c>
    </row>
    <row r="2277" spans="1:9" x14ac:dyDescent="0.2">
      <c r="A2277" s="10" t="s">
        <v>4566</v>
      </c>
      <c r="B2277" s="10">
        <v>17.281558480450801</v>
      </c>
      <c r="C2277" s="10">
        <v>7.5043719808015501</v>
      </c>
      <c r="D2277" s="10">
        <v>1.65360195011285</v>
      </c>
      <c r="E2277" s="10">
        <v>4.5381973456728204</v>
      </c>
      <c r="F2277" s="4">
        <v>5.6737151985901701E-6</v>
      </c>
      <c r="G2277" s="4">
        <v>4.2400361496430698E-5</v>
      </c>
      <c r="H2277" s="10" t="s">
        <v>4567</v>
      </c>
      <c r="I2277" s="10" t="s">
        <v>18</v>
      </c>
    </row>
    <row r="2278" spans="1:9" x14ac:dyDescent="0.2">
      <c r="A2278" s="10" t="s">
        <v>4568</v>
      </c>
      <c r="B2278" s="10">
        <v>15.9679693362894</v>
      </c>
      <c r="C2278" s="10">
        <v>7.3947441863354699</v>
      </c>
      <c r="D2278" s="10">
        <v>1.65486766282294</v>
      </c>
      <c r="E2278" s="10">
        <v>4.4684806842628202</v>
      </c>
      <c r="F2278" s="4">
        <v>7.8777124558703898E-6</v>
      </c>
      <c r="G2278" s="4">
        <v>5.7131762386239099E-5</v>
      </c>
      <c r="H2278" s="10" t="s">
        <v>4569</v>
      </c>
      <c r="I2278" s="10" t="s">
        <v>18</v>
      </c>
    </row>
    <row r="2279" spans="1:9" x14ac:dyDescent="0.2">
      <c r="A2279" s="10" t="s">
        <v>4570</v>
      </c>
      <c r="B2279" s="10">
        <v>159.495518619661</v>
      </c>
      <c r="C2279" s="10">
        <v>1.8131321757419201</v>
      </c>
      <c r="D2279" s="10">
        <v>0.32476291476611302</v>
      </c>
      <c r="E2279" s="10">
        <v>5.5829409495468196</v>
      </c>
      <c r="F2279" s="4">
        <v>2.3648505695992699E-8</v>
      </c>
      <c r="G2279" s="4">
        <v>2.67476477666548E-7</v>
      </c>
      <c r="H2279" s="10" t="s">
        <v>4571</v>
      </c>
      <c r="I2279" s="10" t="s">
        <v>18</v>
      </c>
    </row>
    <row r="2280" spans="1:9" x14ac:dyDescent="0.2">
      <c r="A2280" s="10" t="s">
        <v>4572</v>
      </c>
      <c r="B2280" s="10">
        <v>89.204053213585098</v>
      </c>
      <c r="C2280" s="10">
        <v>-1.0220361464279499</v>
      </c>
      <c r="D2280" s="10">
        <v>0.39656249291525297</v>
      </c>
      <c r="E2280" s="10">
        <v>-2.57723855555439</v>
      </c>
      <c r="F2280" s="10">
        <v>9.9593190502027095E-3</v>
      </c>
      <c r="G2280" s="10">
        <v>3.1701117542158097E-2</v>
      </c>
      <c r="H2280" s="10" t="s">
        <v>4573</v>
      </c>
      <c r="I2280" s="10" t="s">
        <v>18</v>
      </c>
    </row>
    <row r="2281" spans="1:9" x14ac:dyDescent="0.2">
      <c r="A2281" s="10" t="s">
        <v>4574</v>
      </c>
      <c r="B2281" s="10">
        <v>1783.9788307552999</v>
      </c>
      <c r="C2281" s="10">
        <v>1.0720522769106</v>
      </c>
      <c r="D2281" s="10">
        <v>0.18662851591910201</v>
      </c>
      <c r="E2281" s="10">
        <v>5.7443112143446697</v>
      </c>
      <c r="F2281" s="4">
        <v>9.2295902015716008E-9</v>
      </c>
      <c r="G2281" s="4">
        <v>1.10008155827743E-7</v>
      </c>
      <c r="H2281" s="10" t="s">
        <v>4575</v>
      </c>
      <c r="I2281" s="10" t="s">
        <v>18</v>
      </c>
    </row>
    <row r="2282" spans="1:9" x14ac:dyDescent="0.2">
      <c r="A2282" s="10" t="s">
        <v>4576</v>
      </c>
      <c r="B2282" s="10">
        <v>564.15706620530398</v>
      </c>
      <c r="C2282" s="10">
        <v>-3.09700955504479</v>
      </c>
      <c r="D2282" s="10">
        <v>0.23679843853885199</v>
      </c>
      <c r="E2282" s="10">
        <v>-13.0786738888764</v>
      </c>
      <c r="F2282" s="4">
        <v>4.35979860597202E-39</v>
      </c>
      <c r="G2282" s="4">
        <v>5.7111265681211299E-37</v>
      </c>
      <c r="H2282" s="10" t="s">
        <v>4577</v>
      </c>
      <c r="I2282" s="10" t="s">
        <v>18</v>
      </c>
    </row>
    <row r="2283" spans="1:9" x14ac:dyDescent="0.2">
      <c r="A2283" s="10" t="s">
        <v>4578</v>
      </c>
      <c r="B2283" s="10">
        <v>257.30531481993802</v>
      </c>
      <c r="C2283" s="10">
        <v>2.29693015920079</v>
      </c>
      <c r="D2283" s="10">
        <v>0.29376017492150902</v>
      </c>
      <c r="E2283" s="10">
        <v>7.8190658751293096</v>
      </c>
      <c r="F2283" s="4">
        <v>5.3216757631920303E-15</v>
      </c>
      <c r="G2283" s="4">
        <v>1.3110280245903501E-13</v>
      </c>
      <c r="H2283" s="10" t="s">
        <v>4579</v>
      </c>
      <c r="I2283" s="10" t="s">
        <v>18</v>
      </c>
    </row>
    <row r="2284" spans="1:9" x14ac:dyDescent="0.2">
      <c r="A2284" s="10" t="s">
        <v>4580</v>
      </c>
      <c r="B2284" s="10">
        <v>10.2122104333223</v>
      </c>
      <c r="C2284" s="10">
        <v>4.2191598263338603</v>
      </c>
      <c r="D2284" s="10">
        <v>1.43632359827995</v>
      </c>
      <c r="E2284" s="10">
        <v>2.93747163340243</v>
      </c>
      <c r="F2284" s="10">
        <v>3.3090044259239501E-3</v>
      </c>
      <c r="G2284" s="10">
        <v>1.2465151886236699E-2</v>
      </c>
      <c r="H2284" s="10" t="s">
        <v>4581</v>
      </c>
      <c r="I2284" s="10" t="s">
        <v>18</v>
      </c>
    </row>
    <row r="2285" spans="1:9" x14ac:dyDescent="0.2">
      <c r="A2285" s="10" t="s">
        <v>4582</v>
      </c>
      <c r="B2285" s="10">
        <v>7.3742006763044099</v>
      </c>
      <c r="C2285" s="10">
        <v>4.7880582450455504</v>
      </c>
      <c r="D2285" s="10">
        <v>1.83861232792217</v>
      </c>
      <c r="E2285" s="10">
        <v>2.6041695534896001</v>
      </c>
      <c r="F2285" s="10">
        <v>9.2097182968161294E-3</v>
      </c>
      <c r="G2285" s="10">
        <v>2.9654596364139599E-2</v>
      </c>
      <c r="H2285" s="10" t="s">
        <v>4583</v>
      </c>
      <c r="I2285" s="10" t="s">
        <v>18</v>
      </c>
    </row>
    <row r="2286" spans="1:9" x14ac:dyDescent="0.2">
      <c r="A2286" s="10" t="s">
        <v>4584</v>
      </c>
      <c r="B2286" s="10">
        <v>778.93100782017996</v>
      </c>
      <c r="C2286" s="10">
        <v>1.35695912594468</v>
      </c>
      <c r="D2286" s="10">
        <v>0.225046840835602</v>
      </c>
      <c r="E2286" s="10">
        <v>6.0296741820781303</v>
      </c>
      <c r="F2286" s="4">
        <v>1.6429056071959001E-9</v>
      </c>
      <c r="G2286" s="4">
        <v>2.16776024596933E-8</v>
      </c>
      <c r="H2286" s="10" t="s">
        <v>4585</v>
      </c>
      <c r="I2286" s="10" t="s">
        <v>18</v>
      </c>
    </row>
    <row r="2287" spans="1:9" x14ac:dyDescent="0.2">
      <c r="A2287" s="10" t="s">
        <v>4586</v>
      </c>
      <c r="B2287" s="10">
        <v>2968.95557033161</v>
      </c>
      <c r="C2287" s="10">
        <v>-1.4685030171609399</v>
      </c>
      <c r="D2287" s="10">
        <v>0.178138915489229</v>
      </c>
      <c r="E2287" s="10">
        <v>-8.2435834591669206</v>
      </c>
      <c r="F2287" s="4">
        <v>1.6712825366631501E-16</v>
      </c>
      <c r="G2287" s="4">
        <v>4.7733160667149701E-15</v>
      </c>
      <c r="H2287" s="10" t="s">
        <v>4587</v>
      </c>
      <c r="I2287" s="10" t="s">
        <v>18</v>
      </c>
    </row>
    <row r="2288" spans="1:9" x14ac:dyDescent="0.2">
      <c r="A2288" s="10" t="s">
        <v>4588</v>
      </c>
      <c r="B2288" s="10">
        <v>35.342319803042997</v>
      </c>
      <c r="C2288" s="10">
        <v>7.0874724559522599</v>
      </c>
      <c r="D2288" s="10">
        <v>1.53875632462833</v>
      </c>
      <c r="E2288" s="10">
        <v>4.60597454094244</v>
      </c>
      <c r="F2288" s="4">
        <v>4.1053861937477301E-6</v>
      </c>
      <c r="G2288" s="4">
        <v>3.15541488352734E-5</v>
      </c>
      <c r="H2288" s="10" t="s">
        <v>4589</v>
      </c>
      <c r="I2288" s="10" t="s">
        <v>18</v>
      </c>
    </row>
    <row r="2289" spans="1:9" x14ac:dyDescent="0.2">
      <c r="A2289" s="10" t="s">
        <v>4590</v>
      </c>
      <c r="B2289" s="10">
        <v>173.207463697956</v>
      </c>
      <c r="C2289" s="10">
        <v>2.5984626829060899</v>
      </c>
      <c r="D2289" s="10">
        <v>0.33700846346010299</v>
      </c>
      <c r="E2289" s="10">
        <v>7.7103781199658501</v>
      </c>
      <c r="F2289" s="4">
        <v>1.25445505561986E-14</v>
      </c>
      <c r="G2289" s="4">
        <v>2.9956298773421802E-13</v>
      </c>
      <c r="H2289" s="10" t="s">
        <v>4591</v>
      </c>
      <c r="I2289" s="10" t="s">
        <v>18</v>
      </c>
    </row>
    <row r="2290" spans="1:9" x14ac:dyDescent="0.2">
      <c r="A2290" s="10" t="s">
        <v>4592</v>
      </c>
      <c r="B2290" s="10">
        <v>239.236404922075</v>
      </c>
      <c r="C2290" s="10">
        <v>3.75296526333122</v>
      </c>
      <c r="D2290" s="10">
        <v>0.32463517103518003</v>
      </c>
      <c r="E2290" s="10">
        <v>11.560562742983</v>
      </c>
      <c r="F2290" s="4">
        <v>6.5279578450749703E-31</v>
      </c>
      <c r="G2290" s="4">
        <v>5.4560511473852002E-29</v>
      </c>
      <c r="H2290" s="10" t="s">
        <v>4593</v>
      </c>
      <c r="I2290" s="10" t="s">
        <v>18</v>
      </c>
    </row>
    <row r="2291" spans="1:9" x14ac:dyDescent="0.2">
      <c r="A2291" s="10" t="s">
        <v>4594</v>
      </c>
      <c r="B2291" s="10">
        <v>9.9860568623782004</v>
      </c>
      <c r="C2291" s="10">
        <v>4.1973267438082598</v>
      </c>
      <c r="D2291" s="10">
        <v>1.40973288552719</v>
      </c>
      <c r="E2291" s="10">
        <v>2.9773915235286599</v>
      </c>
      <c r="F2291" s="10">
        <v>2.90712499580523E-3</v>
      </c>
      <c r="G2291" s="10">
        <v>1.1134444020340899E-2</v>
      </c>
      <c r="H2291" s="10" t="s">
        <v>4595</v>
      </c>
      <c r="I2291" s="10" t="s">
        <v>18</v>
      </c>
    </row>
    <row r="2292" spans="1:9" x14ac:dyDescent="0.2">
      <c r="A2292" s="10" t="s">
        <v>4596</v>
      </c>
      <c r="B2292" s="10">
        <v>7.41327667252152</v>
      </c>
      <c r="C2292" s="10">
        <v>6.2853458829969604</v>
      </c>
      <c r="D2292" s="10">
        <v>1.8614676998914701</v>
      </c>
      <c r="E2292" s="10">
        <v>3.37655382543754</v>
      </c>
      <c r="F2292" s="10">
        <v>7.3400009002317702E-4</v>
      </c>
      <c r="G2292" s="10">
        <v>3.37313213912321E-3</v>
      </c>
      <c r="H2292" s="10" t="s">
        <v>4597</v>
      </c>
      <c r="I2292" s="10" t="s">
        <v>18</v>
      </c>
    </row>
    <row r="2293" spans="1:9" x14ac:dyDescent="0.2">
      <c r="A2293" s="10" t="s">
        <v>4598</v>
      </c>
      <c r="B2293" s="10">
        <v>110.910161035849</v>
      </c>
      <c r="C2293" s="10">
        <v>1.68642396423092</v>
      </c>
      <c r="D2293" s="10">
        <v>0.36664834580744998</v>
      </c>
      <c r="E2293" s="10">
        <v>4.5995679061826902</v>
      </c>
      <c r="F2293" s="4">
        <v>4.2336817188682898E-6</v>
      </c>
      <c r="G2293" s="4">
        <v>3.2448699238819798E-5</v>
      </c>
      <c r="H2293" s="10" t="s">
        <v>4599</v>
      </c>
      <c r="I2293" s="10" t="s">
        <v>18</v>
      </c>
    </row>
    <row r="2294" spans="1:9" x14ac:dyDescent="0.2">
      <c r="A2294" s="10" t="s">
        <v>4600</v>
      </c>
      <c r="B2294" s="10">
        <v>1822.62228023743</v>
      </c>
      <c r="C2294" s="10">
        <v>1.6957589720615001</v>
      </c>
      <c r="D2294" s="10">
        <v>0.194884660621712</v>
      </c>
      <c r="E2294" s="10">
        <v>8.7013465639202607</v>
      </c>
      <c r="F2294" s="4">
        <v>3.27969002251926E-18</v>
      </c>
      <c r="G2294" s="4">
        <v>1.08055276957173E-16</v>
      </c>
      <c r="H2294" s="10" t="s">
        <v>4601</v>
      </c>
      <c r="I2294" s="10" t="s">
        <v>18</v>
      </c>
    </row>
    <row r="2295" spans="1:9" x14ac:dyDescent="0.2">
      <c r="A2295" s="10" t="s">
        <v>4602</v>
      </c>
      <c r="B2295" s="10">
        <v>155.69972155757</v>
      </c>
      <c r="C2295" s="10">
        <v>-2.9953790209092701</v>
      </c>
      <c r="D2295" s="10">
        <v>0.36671230857780002</v>
      </c>
      <c r="E2295" s="10">
        <v>-8.1681987510211496</v>
      </c>
      <c r="F2295" s="4">
        <v>3.13027913948716E-16</v>
      </c>
      <c r="G2295" s="4">
        <v>8.7209320770558992E-15</v>
      </c>
      <c r="H2295" s="10" t="s">
        <v>4603</v>
      </c>
      <c r="I2295" s="10" t="s">
        <v>18</v>
      </c>
    </row>
    <row r="2296" spans="1:9" x14ac:dyDescent="0.2">
      <c r="A2296" s="10" t="s">
        <v>4604</v>
      </c>
      <c r="B2296" s="10">
        <v>3193.9773019561799</v>
      </c>
      <c r="C2296" s="10">
        <v>-1.51565030644884</v>
      </c>
      <c r="D2296" s="10">
        <v>0.20703327321446</v>
      </c>
      <c r="E2296" s="10">
        <v>-7.3208054092774901</v>
      </c>
      <c r="F2296" s="4">
        <v>2.4648704853230801E-13</v>
      </c>
      <c r="G2296" s="4">
        <v>5.2633484415045398E-12</v>
      </c>
      <c r="H2296" s="10" t="s">
        <v>4605</v>
      </c>
      <c r="I2296" s="10" t="s">
        <v>18</v>
      </c>
    </row>
    <row r="2297" spans="1:9" x14ac:dyDescent="0.2">
      <c r="A2297" s="10" t="s">
        <v>4606</v>
      </c>
      <c r="B2297" s="10">
        <v>437.01435812574198</v>
      </c>
      <c r="C2297" s="10">
        <v>1.8744336548926099</v>
      </c>
      <c r="D2297" s="10">
        <v>0.261454382583857</v>
      </c>
      <c r="E2297" s="10">
        <v>7.1692569708270897</v>
      </c>
      <c r="F2297" s="4">
        <v>7.5405900327799595E-13</v>
      </c>
      <c r="G2297" s="4">
        <v>1.5196631407038099E-11</v>
      </c>
      <c r="H2297" s="10" t="s">
        <v>4607</v>
      </c>
      <c r="I2297" s="10" t="s">
        <v>18</v>
      </c>
    </row>
    <row r="2298" spans="1:9" x14ac:dyDescent="0.2">
      <c r="A2298" s="10" t="s">
        <v>4608</v>
      </c>
      <c r="B2298" s="10">
        <v>1572.6712496186201</v>
      </c>
      <c r="C2298" s="10">
        <v>-1.1756478468851199</v>
      </c>
      <c r="D2298" s="10">
        <v>0.18773130083638001</v>
      </c>
      <c r="E2298" s="10">
        <v>-6.2623965297602098</v>
      </c>
      <c r="F2298" s="4">
        <v>3.7910542404658799E-10</v>
      </c>
      <c r="G2298" s="4">
        <v>5.4223020939618802E-9</v>
      </c>
      <c r="H2298" s="10" t="s">
        <v>4609</v>
      </c>
      <c r="I2298" s="10" t="s">
        <v>18</v>
      </c>
    </row>
    <row r="2299" spans="1:9" x14ac:dyDescent="0.2">
      <c r="A2299" s="10" t="s">
        <v>4610</v>
      </c>
      <c r="B2299" s="10">
        <v>49.3838804250571</v>
      </c>
      <c r="C2299" s="10">
        <v>3.2659295504940098</v>
      </c>
      <c r="D2299" s="10">
        <v>0.57926211946900996</v>
      </c>
      <c r="E2299" s="10">
        <v>5.6380858349373399</v>
      </c>
      <c r="F2299" s="4">
        <v>1.7195079926360701E-8</v>
      </c>
      <c r="G2299" s="4">
        <v>1.9785234068984399E-7</v>
      </c>
      <c r="H2299" s="10" t="s">
        <v>4611</v>
      </c>
      <c r="I2299" s="10" t="s">
        <v>18</v>
      </c>
    </row>
    <row r="2300" spans="1:9" x14ac:dyDescent="0.2">
      <c r="A2300" s="10" t="s">
        <v>4612</v>
      </c>
      <c r="B2300" s="10">
        <v>843.87977564001801</v>
      </c>
      <c r="C2300" s="10">
        <v>-1.81899957021549</v>
      </c>
      <c r="D2300" s="10">
        <v>0.204205028579861</v>
      </c>
      <c r="E2300" s="10">
        <v>-8.9077119347436504</v>
      </c>
      <c r="F2300" s="4">
        <v>5.2096549073461398E-19</v>
      </c>
      <c r="G2300" s="4">
        <v>1.82921993892346E-17</v>
      </c>
      <c r="H2300" s="10" t="s">
        <v>4613</v>
      </c>
      <c r="I2300" s="10" t="s">
        <v>18</v>
      </c>
    </row>
    <row r="2301" spans="1:9" x14ac:dyDescent="0.2">
      <c r="A2301" s="10" t="s">
        <v>4614</v>
      </c>
      <c r="B2301" s="10">
        <v>2679.6530972324899</v>
      </c>
      <c r="C2301" s="10">
        <v>1.46373677916529</v>
      </c>
      <c r="D2301" s="10">
        <v>0.215678333603575</v>
      </c>
      <c r="E2301" s="10">
        <v>6.7866658403235798</v>
      </c>
      <c r="F2301" s="4">
        <v>1.147545797083E-11</v>
      </c>
      <c r="G2301" s="4">
        <v>2.01334065248684E-10</v>
      </c>
      <c r="H2301" s="10" t="s">
        <v>4615</v>
      </c>
      <c r="I2301" s="10" t="s">
        <v>18</v>
      </c>
    </row>
    <row r="2302" spans="1:9" x14ac:dyDescent="0.2">
      <c r="A2302" s="10" t="s">
        <v>4616</v>
      </c>
      <c r="B2302" s="10">
        <v>48.420628473393798</v>
      </c>
      <c r="C2302" s="10">
        <v>-1.8911050180112501</v>
      </c>
      <c r="D2302" s="10">
        <v>0.526861691108653</v>
      </c>
      <c r="E2302" s="10">
        <v>-3.5893765857826399</v>
      </c>
      <c r="F2302" s="10">
        <v>3.3146971032113002E-4</v>
      </c>
      <c r="G2302" s="10">
        <v>1.6641892753123E-3</v>
      </c>
      <c r="H2302" s="10" t="s">
        <v>4617</v>
      </c>
      <c r="I2302" s="10" t="s">
        <v>18</v>
      </c>
    </row>
    <row r="2303" spans="1:9" x14ac:dyDescent="0.2">
      <c r="A2303" s="10" t="s">
        <v>4618</v>
      </c>
      <c r="B2303" s="10">
        <v>3174.1150849546202</v>
      </c>
      <c r="C2303" s="10">
        <v>-1.72398838177324</v>
      </c>
      <c r="D2303" s="10">
        <v>0.203337587798085</v>
      </c>
      <c r="E2303" s="10">
        <v>-8.4784539860145003</v>
      </c>
      <c r="F2303" s="4">
        <v>2.2820596413470599E-17</v>
      </c>
      <c r="G2303" s="4">
        <v>7.04980488070107E-16</v>
      </c>
      <c r="H2303" s="10" t="s">
        <v>4619</v>
      </c>
      <c r="I2303" s="10" t="s">
        <v>18</v>
      </c>
    </row>
    <row r="2304" spans="1:9" x14ac:dyDescent="0.2">
      <c r="A2304" s="10" t="s">
        <v>4620</v>
      </c>
      <c r="B2304" s="10">
        <v>126.64604547616</v>
      </c>
      <c r="C2304" s="10">
        <v>3.2070678549276899</v>
      </c>
      <c r="D2304" s="10">
        <v>0.38797256580320399</v>
      </c>
      <c r="E2304" s="10">
        <v>8.2662232786697896</v>
      </c>
      <c r="F2304" s="4">
        <v>1.3826948104258401E-16</v>
      </c>
      <c r="G2304" s="4">
        <v>3.9824826109590698E-15</v>
      </c>
      <c r="H2304" s="10" t="s">
        <v>4621</v>
      </c>
      <c r="I2304" s="10" t="s">
        <v>18</v>
      </c>
    </row>
    <row r="2305" spans="1:9" x14ac:dyDescent="0.2">
      <c r="A2305" s="10" t="s">
        <v>4622</v>
      </c>
      <c r="B2305" s="10">
        <v>29.2184173313677</v>
      </c>
      <c r="C2305" s="10">
        <v>6.8128006679643303</v>
      </c>
      <c r="D2305" s="10">
        <v>1.5627800838779999</v>
      </c>
      <c r="E2305" s="10">
        <v>4.3594109870267497</v>
      </c>
      <c r="F2305" s="4">
        <v>1.30412986358389E-5</v>
      </c>
      <c r="G2305" s="4">
        <v>9.0393351292470699E-5</v>
      </c>
      <c r="H2305" s="10" t="s">
        <v>4623</v>
      </c>
      <c r="I2305" s="10" t="s">
        <v>18</v>
      </c>
    </row>
    <row r="2306" spans="1:9" x14ac:dyDescent="0.2">
      <c r="A2306" s="10" t="s">
        <v>4624</v>
      </c>
      <c r="B2306" s="10">
        <v>577.03189207463004</v>
      </c>
      <c r="C2306" s="10">
        <v>-2.7159812152610301</v>
      </c>
      <c r="D2306" s="10">
        <v>0.228407779310417</v>
      </c>
      <c r="E2306" s="10">
        <v>-11.8909313135517</v>
      </c>
      <c r="F2306" s="4">
        <v>1.3192723110709299E-32</v>
      </c>
      <c r="G2306" s="4">
        <v>1.20221447022574E-30</v>
      </c>
      <c r="H2306" s="10" t="s">
        <v>4625</v>
      </c>
      <c r="I2306" s="10" t="s">
        <v>18</v>
      </c>
    </row>
    <row r="2307" spans="1:9" x14ac:dyDescent="0.2">
      <c r="A2307" s="10" t="s">
        <v>4626</v>
      </c>
      <c r="B2307" s="10">
        <v>218.08042423150599</v>
      </c>
      <c r="C2307" s="10">
        <v>-1.4245780507369701</v>
      </c>
      <c r="D2307" s="10">
        <v>0.29162028812101298</v>
      </c>
      <c r="E2307" s="10">
        <v>-4.8850443839689603</v>
      </c>
      <c r="F2307" s="4">
        <v>1.0340555758803801E-6</v>
      </c>
      <c r="G2307" s="4">
        <v>8.8461263033007392E-6</v>
      </c>
      <c r="H2307" s="10" t="s">
        <v>4627</v>
      </c>
      <c r="I2307" s="10" t="s">
        <v>18</v>
      </c>
    </row>
    <row r="2308" spans="1:9" x14ac:dyDescent="0.2">
      <c r="A2308" s="10" t="s">
        <v>4628</v>
      </c>
      <c r="B2308" s="10">
        <v>1044.4085486747099</v>
      </c>
      <c r="C2308" s="10">
        <v>-2.3155299628622599</v>
      </c>
      <c r="D2308" s="10">
        <v>0.225878856286576</v>
      </c>
      <c r="E2308" s="10">
        <v>-10.2512027948491</v>
      </c>
      <c r="F2308" s="4">
        <v>1.1687992893990001E-24</v>
      </c>
      <c r="G2308" s="4">
        <v>6.3438793303295802E-23</v>
      </c>
      <c r="H2308" s="10" t="s">
        <v>4629</v>
      </c>
      <c r="I2308" s="10" t="s">
        <v>18</v>
      </c>
    </row>
    <row r="2309" spans="1:9" x14ac:dyDescent="0.2">
      <c r="A2309" s="10" t="s">
        <v>4630</v>
      </c>
      <c r="B2309" s="10">
        <v>295.06622060634197</v>
      </c>
      <c r="C2309" s="10">
        <v>10.1572302799177</v>
      </c>
      <c r="D2309" s="10">
        <v>1.4585307868384101</v>
      </c>
      <c r="E2309" s="10">
        <v>6.9640150016545403</v>
      </c>
      <c r="F2309" s="4">
        <v>3.30709369227726E-12</v>
      </c>
      <c r="G2309" s="4">
        <v>6.1368582809979598E-11</v>
      </c>
      <c r="H2309" s="10" t="s">
        <v>4631</v>
      </c>
      <c r="I2309" s="10" t="s">
        <v>18</v>
      </c>
    </row>
    <row r="2310" spans="1:9" x14ac:dyDescent="0.2">
      <c r="A2310" s="10" t="s">
        <v>4632</v>
      </c>
      <c r="B2310" s="10">
        <v>13940.288756309399</v>
      </c>
      <c r="C2310" s="10">
        <v>-1.6369394123916801</v>
      </c>
      <c r="D2310" s="10">
        <v>0.180559921322411</v>
      </c>
      <c r="E2310" s="10">
        <v>-9.0659067660354609</v>
      </c>
      <c r="F2310" s="4">
        <v>1.23572096479248E-19</v>
      </c>
      <c r="G2310" s="4">
        <v>4.5746860227854298E-18</v>
      </c>
      <c r="H2310" s="10" t="s">
        <v>4633</v>
      </c>
      <c r="I2310" s="10" t="s">
        <v>18</v>
      </c>
    </row>
    <row r="2311" spans="1:9" x14ac:dyDescent="0.2">
      <c r="A2311" s="10" t="s">
        <v>4634</v>
      </c>
      <c r="B2311" s="10">
        <v>17.402805229927701</v>
      </c>
      <c r="C2311" s="10">
        <v>2.5260698859277699</v>
      </c>
      <c r="D2311" s="10">
        <v>0.87501644857001804</v>
      </c>
      <c r="E2311" s="10">
        <v>2.8868827438112299</v>
      </c>
      <c r="F2311" s="10">
        <v>3.8907920019474501E-3</v>
      </c>
      <c r="G2311" s="10">
        <v>1.4302837504899401E-2</v>
      </c>
      <c r="H2311" s="10" t="s">
        <v>4635</v>
      </c>
      <c r="I2311" s="10" t="s">
        <v>18</v>
      </c>
    </row>
    <row r="2312" spans="1:9" x14ac:dyDescent="0.2">
      <c r="A2312" s="10" t="s">
        <v>4636</v>
      </c>
      <c r="B2312" s="10">
        <v>75.917239044393895</v>
      </c>
      <c r="C2312" s="10">
        <v>2.14874067046672</v>
      </c>
      <c r="D2312" s="10">
        <v>0.44128544339333398</v>
      </c>
      <c r="E2312" s="10">
        <v>4.8692761173893304</v>
      </c>
      <c r="F2312" s="4">
        <v>1.1200780578466101E-6</v>
      </c>
      <c r="G2312" s="4">
        <v>9.5145242896509605E-6</v>
      </c>
      <c r="H2312" s="10" t="s">
        <v>4637</v>
      </c>
      <c r="I2312" s="10" t="s">
        <v>18</v>
      </c>
    </row>
    <row r="2313" spans="1:9" x14ac:dyDescent="0.2">
      <c r="A2313" s="10" t="s">
        <v>4638</v>
      </c>
      <c r="B2313" s="10">
        <v>3837.2438323664801</v>
      </c>
      <c r="C2313" s="10">
        <v>3.1701397706378498</v>
      </c>
      <c r="D2313" s="10">
        <v>0.20391212848689799</v>
      </c>
      <c r="E2313" s="10">
        <v>15.546597419984</v>
      </c>
      <c r="F2313" s="4">
        <v>1.67786261461984E-54</v>
      </c>
      <c r="G2313" s="4">
        <v>4.0457276690749402E-52</v>
      </c>
      <c r="H2313" s="10" t="s">
        <v>4639</v>
      </c>
      <c r="I2313" s="10" t="s">
        <v>18</v>
      </c>
    </row>
    <row r="2314" spans="1:9" x14ac:dyDescent="0.2">
      <c r="A2314" s="10" t="s">
        <v>4640</v>
      </c>
      <c r="B2314" s="10">
        <v>1583.4902087829701</v>
      </c>
      <c r="C2314" s="10">
        <v>2.9105429542130401</v>
      </c>
      <c r="D2314" s="10">
        <v>0.213279212344715</v>
      </c>
      <c r="E2314" s="10">
        <v>13.646632141105499</v>
      </c>
      <c r="F2314" s="4">
        <v>2.1142622860121E-42</v>
      </c>
      <c r="G2314" s="4">
        <v>3.2731423015324901E-40</v>
      </c>
      <c r="H2314" s="10" t="s">
        <v>4641</v>
      </c>
      <c r="I2314" s="10" t="s">
        <v>18</v>
      </c>
    </row>
    <row r="2315" spans="1:9" x14ac:dyDescent="0.2">
      <c r="A2315" s="10" t="s">
        <v>4642</v>
      </c>
      <c r="B2315" s="10">
        <v>15.7362267203446</v>
      </c>
      <c r="C2315" s="10">
        <v>3.2049638143012502</v>
      </c>
      <c r="D2315" s="10">
        <v>1.0053822605410401</v>
      </c>
      <c r="E2315" s="10">
        <v>3.18780621072082</v>
      </c>
      <c r="F2315" s="10">
        <v>1.4335657865708899E-3</v>
      </c>
      <c r="G2315" s="10">
        <v>6.0530554760107004E-3</v>
      </c>
      <c r="H2315" s="10" t="s">
        <v>4643</v>
      </c>
      <c r="I2315" s="10" t="s">
        <v>18</v>
      </c>
    </row>
    <row r="2316" spans="1:9" x14ac:dyDescent="0.2">
      <c r="A2316" s="10" t="s">
        <v>4644</v>
      </c>
      <c r="B2316" s="10">
        <v>1650.0591403405299</v>
      </c>
      <c r="C2316" s="10">
        <v>-1.5708329833260399</v>
      </c>
      <c r="D2316" s="10">
        <v>0.18711541881529101</v>
      </c>
      <c r="E2316" s="10">
        <v>-8.3949948821516607</v>
      </c>
      <c r="F2316" s="4">
        <v>4.65914542328558E-17</v>
      </c>
      <c r="G2316" s="4">
        <v>1.3934987414737901E-15</v>
      </c>
      <c r="H2316" s="10" t="s">
        <v>4645</v>
      </c>
      <c r="I2316" s="10" t="s">
        <v>18</v>
      </c>
    </row>
    <row r="2317" spans="1:9" x14ac:dyDescent="0.2">
      <c r="A2317" s="10" t="s">
        <v>4646</v>
      </c>
      <c r="B2317" s="10">
        <v>9.2913533913417901</v>
      </c>
      <c r="C2317" s="10">
        <v>5.1253735923294403</v>
      </c>
      <c r="D2317" s="10">
        <v>1.7656242161184901</v>
      </c>
      <c r="E2317" s="10">
        <v>2.90286774815366</v>
      </c>
      <c r="F2317" s="10">
        <v>3.6976274919898102E-3</v>
      </c>
      <c r="G2317" s="10">
        <v>1.3716712903233E-2</v>
      </c>
      <c r="H2317" s="10" t="s">
        <v>4647</v>
      </c>
      <c r="I2317" s="10" t="s">
        <v>18</v>
      </c>
    </row>
    <row r="2318" spans="1:9" x14ac:dyDescent="0.2">
      <c r="A2318" s="10" t="s">
        <v>4648</v>
      </c>
      <c r="B2318" s="10">
        <v>11487.1596547999</v>
      </c>
      <c r="C2318" s="10">
        <v>-1.5082589438140299</v>
      </c>
      <c r="D2318" s="10">
        <v>0.224309617472158</v>
      </c>
      <c r="E2318" s="10">
        <v>-6.7240047966344498</v>
      </c>
      <c r="F2318" s="4">
        <v>1.7679660813999801E-11</v>
      </c>
      <c r="G2318" s="4">
        <v>3.0296711836418502E-10</v>
      </c>
      <c r="H2318" s="10" t="s">
        <v>4649</v>
      </c>
      <c r="I2318" s="10" t="s">
        <v>18</v>
      </c>
    </row>
    <row r="2319" spans="1:9" x14ac:dyDescent="0.2">
      <c r="A2319" s="10" t="s">
        <v>4650</v>
      </c>
      <c r="B2319" s="10">
        <v>26.0538476720216</v>
      </c>
      <c r="C2319" s="10">
        <v>6.6430721758321898</v>
      </c>
      <c r="D2319" s="10">
        <v>1.57107104780814</v>
      </c>
      <c r="E2319" s="10">
        <v>4.2283715845315699</v>
      </c>
      <c r="F2319" s="4">
        <v>2.3538880427002602E-5</v>
      </c>
      <c r="G2319" s="10">
        <v>1.5417400841214899E-4</v>
      </c>
      <c r="H2319" s="10" t="s">
        <v>4651</v>
      </c>
      <c r="I2319" s="10" t="s">
        <v>18</v>
      </c>
    </row>
    <row r="2320" spans="1:9" x14ac:dyDescent="0.2">
      <c r="A2320" s="10" t="s">
        <v>4652</v>
      </c>
      <c r="B2320" s="10">
        <v>125.82180400264301</v>
      </c>
      <c r="C2320" s="10">
        <v>2.9159435431889902</v>
      </c>
      <c r="D2320" s="10">
        <v>0.38901990199345698</v>
      </c>
      <c r="E2320" s="10">
        <v>7.4956153354797603</v>
      </c>
      <c r="F2320" s="4">
        <v>6.5988050539887495E-14</v>
      </c>
      <c r="G2320" s="4">
        <v>1.49333589124611E-12</v>
      </c>
      <c r="H2320" s="10" t="s">
        <v>4653</v>
      </c>
      <c r="I2320" s="10" t="s">
        <v>18</v>
      </c>
    </row>
    <row r="2321" spans="1:9" x14ac:dyDescent="0.2">
      <c r="A2321" s="10" t="s">
        <v>4654</v>
      </c>
      <c r="B2321" s="10">
        <v>209.61015444894801</v>
      </c>
      <c r="C2321" s="10">
        <v>-1.2783283827649601</v>
      </c>
      <c r="D2321" s="10">
        <v>0.283973830779988</v>
      </c>
      <c r="E2321" s="10">
        <v>-4.5015710752423397</v>
      </c>
      <c r="F2321" s="4">
        <v>6.7453000678844497E-6</v>
      </c>
      <c r="G2321" s="4">
        <v>4.9512174286004197E-5</v>
      </c>
      <c r="H2321" s="10" t="s">
        <v>4655</v>
      </c>
      <c r="I2321" s="10" t="s">
        <v>18</v>
      </c>
    </row>
    <row r="2322" spans="1:9" x14ac:dyDescent="0.2">
      <c r="A2322" s="10" t="s">
        <v>4656</v>
      </c>
      <c r="B2322" s="10">
        <v>28.3373190348096</v>
      </c>
      <c r="C2322" s="10">
        <v>2.4483425410409301</v>
      </c>
      <c r="D2322" s="10">
        <v>0.70940796689660202</v>
      </c>
      <c r="E2322" s="10">
        <v>3.4512475969948899</v>
      </c>
      <c r="F2322" s="10">
        <v>5.5800140854932396E-4</v>
      </c>
      <c r="G2322" s="10">
        <v>2.6401466268992598E-3</v>
      </c>
      <c r="H2322" s="10" t="s">
        <v>4657</v>
      </c>
      <c r="I2322" s="10" t="s">
        <v>18</v>
      </c>
    </row>
    <row r="2323" spans="1:9" x14ac:dyDescent="0.2">
      <c r="A2323" s="10" t="s">
        <v>4658</v>
      </c>
      <c r="B2323" s="10">
        <v>7.0086459389015801</v>
      </c>
      <c r="C2323" s="10">
        <v>6.2030126340395801</v>
      </c>
      <c r="D2323" s="10">
        <v>1.8887047567333499</v>
      </c>
      <c r="E2323" s="10">
        <v>3.28426802120631</v>
      </c>
      <c r="F2323" s="10">
        <v>1.02247634261809E-3</v>
      </c>
      <c r="G2323" s="10">
        <v>4.5056187300167401E-3</v>
      </c>
      <c r="H2323" s="10" t="s">
        <v>4659</v>
      </c>
      <c r="I2323" s="10" t="s">
        <v>18</v>
      </c>
    </row>
    <row r="2324" spans="1:9" x14ac:dyDescent="0.2">
      <c r="A2324" s="10" t="s">
        <v>4660</v>
      </c>
      <c r="B2324" s="10">
        <v>5916.7073381561904</v>
      </c>
      <c r="C2324" s="10">
        <v>-1.7823941001878201</v>
      </c>
      <c r="D2324" s="10">
        <v>0.19511190977774301</v>
      </c>
      <c r="E2324" s="10">
        <v>-9.13523988473173</v>
      </c>
      <c r="F2324" s="4">
        <v>6.5261926970209198E-20</v>
      </c>
      <c r="G2324" s="4">
        <v>2.4731456525136201E-18</v>
      </c>
      <c r="H2324" s="10" t="s">
        <v>4661</v>
      </c>
      <c r="I2324" s="10" t="s">
        <v>18</v>
      </c>
    </row>
    <row r="2325" spans="1:9" x14ac:dyDescent="0.2">
      <c r="A2325" s="10" t="s">
        <v>4662</v>
      </c>
      <c r="B2325" s="10">
        <v>13.9264066144253</v>
      </c>
      <c r="C2325" s="10">
        <v>3.6382966552331699</v>
      </c>
      <c r="D2325" s="10">
        <v>1.11307816777213</v>
      </c>
      <c r="E2325" s="10">
        <v>3.2686802783270501</v>
      </c>
      <c r="F2325" s="10">
        <v>1.08050319928466E-3</v>
      </c>
      <c r="G2325" s="10">
        <v>4.7157569551352302E-3</v>
      </c>
      <c r="H2325" s="10" t="s">
        <v>4663</v>
      </c>
      <c r="I2325" s="10" t="s">
        <v>18</v>
      </c>
    </row>
    <row r="2326" spans="1:9" x14ac:dyDescent="0.2">
      <c r="A2326" s="10" t="s">
        <v>4664</v>
      </c>
      <c r="B2326" s="10">
        <v>16.849961649925401</v>
      </c>
      <c r="C2326" s="10">
        <v>3.5946596049753201</v>
      </c>
      <c r="D2326" s="10">
        <v>0.99720969476033305</v>
      </c>
      <c r="E2326" s="10">
        <v>3.6047178681302801</v>
      </c>
      <c r="F2326" s="10">
        <v>3.1249221140177899E-4</v>
      </c>
      <c r="G2326" s="10">
        <v>1.57997314605015E-3</v>
      </c>
      <c r="H2326" s="10" t="s">
        <v>4665</v>
      </c>
      <c r="I2326" s="10" t="s">
        <v>18</v>
      </c>
    </row>
    <row r="2327" spans="1:9" x14ac:dyDescent="0.2">
      <c r="A2327" s="10" t="s">
        <v>4666</v>
      </c>
      <c r="B2327" s="10">
        <v>40.258509553566803</v>
      </c>
      <c r="C2327" s="10">
        <v>6.2697446519912896</v>
      </c>
      <c r="D2327" s="10">
        <v>1.14738211483423</v>
      </c>
      <c r="E2327" s="10">
        <v>5.4643911308458302</v>
      </c>
      <c r="F2327" s="4">
        <v>4.6449834684433203E-8</v>
      </c>
      <c r="G2327" s="4">
        <v>5.0083840350089103E-7</v>
      </c>
      <c r="H2327" s="10" t="s">
        <v>4667</v>
      </c>
      <c r="I2327" s="10" t="s">
        <v>18</v>
      </c>
    </row>
    <row r="2328" spans="1:9" x14ac:dyDescent="0.2">
      <c r="A2328" s="10" t="s">
        <v>4668</v>
      </c>
      <c r="B2328" s="10">
        <v>418.45630501230698</v>
      </c>
      <c r="C2328" s="10">
        <v>-1.13557595350509</v>
      </c>
      <c r="D2328" s="10">
        <v>0.24266579526440599</v>
      </c>
      <c r="E2328" s="10">
        <v>-4.6795880411072197</v>
      </c>
      <c r="F2328" s="4">
        <v>2.87451905070513E-6</v>
      </c>
      <c r="G2328" s="4">
        <v>2.26626216940285E-5</v>
      </c>
      <c r="H2328" s="10" t="s">
        <v>4669</v>
      </c>
      <c r="I2328" s="10" t="s">
        <v>18</v>
      </c>
    </row>
    <row r="2329" spans="1:9" x14ac:dyDescent="0.2">
      <c r="A2329" s="10" t="s">
        <v>4670</v>
      </c>
      <c r="B2329" s="10">
        <v>269.94894895410698</v>
      </c>
      <c r="C2329" s="10">
        <v>1.19845085306993</v>
      </c>
      <c r="D2329" s="10">
        <v>0.27408983925275399</v>
      </c>
      <c r="E2329" s="10">
        <v>4.3724745738012301</v>
      </c>
      <c r="F2329" s="4">
        <v>1.22846127855776E-5</v>
      </c>
      <c r="G2329" s="4">
        <v>8.5540210725436203E-5</v>
      </c>
      <c r="H2329" s="10" t="s">
        <v>4671</v>
      </c>
      <c r="I2329" s="10" t="s">
        <v>18</v>
      </c>
    </row>
    <row r="2330" spans="1:9" x14ac:dyDescent="0.2">
      <c r="A2330" s="10" t="s">
        <v>4672</v>
      </c>
      <c r="B2330" s="10">
        <v>4.1490100698739001</v>
      </c>
      <c r="C2330" s="10">
        <v>5.4528452321004099</v>
      </c>
      <c r="D2330" s="10">
        <v>2.14831681779456</v>
      </c>
      <c r="E2330" s="10">
        <v>2.5381941745902501</v>
      </c>
      <c r="F2330" s="10">
        <v>1.11426142424134E-2</v>
      </c>
      <c r="G2330" s="10">
        <v>3.48648151427466E-2</v>
      </c>
      <c r="H2330" s="10" t="s">
        <v>4673</v>
      </c>
      <c r="I2330" s="10" t="s">
        <v>18</v>
      </c>
    </row>
    <row r="2331" spans="1:9" x14ac:dyDescent="0.2">
      <c r="A2331" s="10" t="s">
        <v>4674</v>
      </c>
      <c r="B2331" s="10">
        <v>18.133069633243199</v>
      </c>
      <c r="C2331" s="10">
        <v>7.5778124834897298</v>
      </c>
      <c r="D2331" s="10">
        <v>1.63094217384091</v>
      </c>
      <c r="E2331" s="10">
        <v>4.6462790680332997</v>
      </c>
      <c r="F2331" s="4">
        <v>3.37975727072216E-6</v>
      </c>
      <c r="G2331" s="4">
        <v>2.6378758623708602E-5</v>
      </c>
      <c r="H2331" s="10" t="s">
        <v>4675</v>
      </c>
      <c r="I2331" s="10" t="s">
        <v>18</v>
      </c>
    </row>
    <row r="2332" spans="1:9" x14ac:dyDescent="0.2">
      <c r="A2332" s="10" t="s">
        <v>4676</v>
      </c>
      <c r="B2332" s="10">
        <v>6947.6266384515902</v>
      </c>
      <c r="C2332" s="10">
        <v>4.0418894255570299</v>
      </c>
      <c r="D2332" s="10">
        <v>0.18064154830409099</v>
      </c>
      <c r="E2332" s="10">
        <v>22.3751925484659</v>
      </c>
      <c r="F2332" s="4">
        <v>6.8660761122984301E-111</v>
      </c>
      <c r="G2332" s="4">
        <v>1.10047044606938E-107</v>
      </c>
      <c r="H2332" s="10" t="s">
        <v>4677</v>
      </c>
      <c r="I2332" s="10" t="s">
        <v>18</v>
      </c>
    </row>
    <row r="2333" spans="1:9" x14ac:dyDescent="0.2">
      <c r="A2333" s="10" t="s">
        <v>4678</v>
      </c>
      <c r="B2333" s="10">
        <v>469.02988673083399</v>
      </c>
      <c r="C2333" s="10">
        <v>4.1473753213653097</v>
      </c>
      <c r="D2333" s="10">
        <v>0.26527624345192702</v>
      </c>
      <c r="E2333" s="10">
        <v>15.634175406728</v>
      </c>
      <c r="F2333" s="4">
        <v>4.2595308231708403E-55</v>
      </c>
      <c r="G2333" s="4">
        <v>1.0455805075579799E-52</v>
      </c>
      <c r="H2333" s="10" t="s">
        <v>4679</v>
      </c>
      <c r="I2333" s="10" t="s">
        <v>18</v>
      </c>
    </row>
    <row r="2334" spans="1:9" x14ac:dyDescent="0.2">
      <c r="A2334" s="10" t="s">
        <v>4680</v>
      </c>
      <c r="B2334" s="10">
        <v>13.9419777767793</v>
      </c>
      <c r="C2334" s="10">
        <v>5.7284947455331201</v>
      </c>
      <c r="D2334" s="10">
        <v>1.6712582616513301</v>
      </c>
      <c r="E2334" s="10">
        <v>3.4276538084981101</v>
      </c>
      <c r="F2334" s="10">
        <v>6.0882130843767704E-4</v>
      </c>
      <c r="G2334" s="10">
        <v>2.8507568638943799E-3</v>
      </c>
      <c r="H2334" s="10" t="s">
        <v>4681</v>
      </c>
      <c r="I2334" s="10" t="s">
        <v>18</v>
      </c>
    </row>
    <row r="2335" spans="1:9" x14ac:dyDescent="0.2">
      <c r="A2335" s="10" t="s">
        <v>4682</v>
      </c>
      <c r="B2335" s="10">
        <v>137.327856147468</v>
      </c>
      <c r="C2335" s="10">
        <v>-1.4161769459895599</v>
      </c>
      <c r="D2335" s="10">
        <v>0.33131393284499899</v>
      </c>
      <c r="E2335" s="10">
        <v>-4.2744261728712001</v>
      </c>
      <c r="F2335" s="4">
        <v>1.91630187420664E-5</v>
      </c>
      <c r="G2335" s="10">
        <v>1.2784886671525001E-4</v>
      </c>
      <c r="H2335" s="10" t="s">
        <v>4683</v>
      </c>
      <c r="I2335" s="10" t="s">
        <v>18</v>
      </c>
    </row>
    <row r="2336" spans="1:9" x14ac:dyDescent="0.2">
      <c r="A2336" s="10" t="s">
        <v>4684</v>
      </c>
      <c r="B2336" s="10">
        <v>1532.46312401727</v>
      </c>
      <c r="C2336" s="10">
        <v>-1.77465727881296</v>
      </c>
      <c r="D2336" s="10">
        <v>0.18998348623323899</v>
      </c>
      <c r="E2336" s="10">
        <v>-9.3411133462108005</v>
      </c>
      <c r="F2336" s="4">
        <v>9.5326387963982706E-21</v>
      </c>
      <c r="G2336" s="4">
        <v>3.9775774775721802E-19</v>
      </c>
      <c r="H2336" s="10" t="s">
        <v>4685</v>
      </c>
      <c r="I2336" s="10" t="s">
        <v>18</v>
      </c>
    </row>
    <row r="2337" spans="1:9" x14ac:dyDescent="0.2">
      <c r="A2337" s="10" t="s">
        <v>4686</v>
      </c>
      <c r="B2337" s="10">
        <v>271.98739571078801</v>
      </c>
      <c r="C2337" s="10">
        <v>-3.4807605383300801</v>
      </c>
      <c r="D2337" s="10">
        <v>0.33530245204709502</v>
      </c>
      <c r="E2337" s="10">
        <v>-10.380957601351501</v>
      </c>
      <c r="F2337" s="4">
        <v>3.02723297577234E-25</v>
      </c>
      <c r="G2337" s="4">
        <v>1.7112659105989401E-23</v>
      </c>
      <c r="H2337" s="10" t="s">
        <v>4687</v>
      </c>
      <c r="I2337" s="10" t="s">
        <v>18</v>
      </c>
    </row>
    <row r="2338" spans="1:9" x14ac:dyDescent="0.2">
      <c r="A2338" s="10" t="s">
        <v>4688</v>
      </c>
      <c r="B2338" s="10">
        <v>1996.9534601493899</v>
      </c>
      <c r="C2338" s="10">
        <v>-1.6167302041659499</v>
      </c>
      <c r="D2338" s="10">
        <v>0.18386116766638799</v>
      </c>
      <c r="E2338" s="10">
        <v>-8.7932118820189107</v>
      </c>
      <c r="F2338" s="4">
        <v>1.45344006092147E-18</v>
      </c>
      <c r="G2338" s="4">
        <v>4.94405509861763E-17</v>
      </c>
      <c r="H2338" s="10" t="s">
        <v>4689</v>
      </c>
      <c r="I2338" s="10" t="s">
        <v>18</v>
      </c>
    </row>
    <row r="2339" spans="1:9" x14ac:dyDescent="0.2">
      <c r="A2339" s="10" t="s">
        <v>4690</v>
      </c>
      <c r="B2339" s="10">
        <v>1931.42927408427</v>
      </c>
      <c r="C2339" s="10">
        <v>2.42140592722658</v>
      </c>
      <c r="D2339" s="10">
        <v>0.21128960874567199</v>
      </c>
      <c r="E2339" s="10">
        <v>11.460127838758099</v>
      </c>
      <c r="F2339" s="4">
        <v>2.0920577638167798E-30</v>
      </c>
      <c r="G2339" s="4">
        <v>1.6864585174768E-28</v>
      </c>
      <c r="H2339" s="10" t="s">
        <v>4691</v>
      </c>
      <c r="I2339" s="10" t="s">
        <v>18</v>
      </c>
    </row>
    <row r="2340" spans="1:9" x14ac:dyDescent="0.2">
      <c r="A2340" s="10" t="s">
        <v>4692</v>
      </c>
      <c r="B2340" s="10">
        <v>29999.195458971601</v>
      </c>
      <c r="C2340" s="10">
        <v>-3.4824102037047502</v>
      </c>
      <c r="D2340" s="10">
        <v>0.18283782202273399</v>
      </c>
      <c r="E2340" s="10">
        <v>-19.046443264193801</v>
      </c>
      <c r="F2340" s="4">
        <v>7.0320793625849097E-81</v>
      </c>
      <c r="G2340" s="4">
        <v>4.9128991382654096E-78</v>
      </c>
      <c r="H2340" s="10" t="s">
        <v>4693</v>
      </c>
      <c r="I2340" s="10" t="s">
        <v>18</v>
      </c>
    </row>
    <row r="2341" spans="1:9" x14ac:dyDescent="0.2">
      <c r="A2341" s="10" t="s">
        <v>4694</v>
      </c>
      <c r="B2341" s="10">
        <v>4203.4549474313999</v>
      </c>
      <c r="C2341" s="10">
        <v>1.0036688957433999</v>
      </c>
      <c r="D2341" s="10">
        <v>0.185263068029596</v>
      </c>
      <c r="E2341" s="10">
        <v>5.4175335992117901</v>
      </c>
      <c r="F2341" s="4">
        <v>6.0426796678364895E-8</v>
      </c>
      <c r="G2341" s="4">
        <v>6.3766418632664899E-7</v>
      </c>
      <c r="H2341" s="10" t="s">
        <v>4695</v>
      </c>
      <c r="I2341" s="10" t="s">
        <v>18</v>
      </c>
    </row>
    <row r="2342" spans="1:9" x14ac:dyDescent="0.2">
      <c r="A2342" s="10" t="s">
        <v>4696</v>
      </c>
      <c r="B2342" s="10">
        <v>1200.4733785128799</v>
      </c>
      <c r="C2342" s="10">
        <v>-1.0459116227080101</v>
      </c>
      <c r="D2342" s="10">
        <v>0.21737081553395801</v>
      </c>
      <c r="E2342" s="10">
        <v>-4.8116469551755996</v>
      </c>
      <c r="F2342" s="4">
        <v>1.4969160680258001E-6</v>
      </c>
      <c r="G2342" s="4">
        <v>1.24462838283488E-5</v>
      </c>
      <c r="H2342" s="10" t="s">
        <v>4697</v>
      </c>
      <c r="I2342" s="10" t="s">
        <v>18</v>
      </c>
    </row>
    <row r="2343" spans="1:9" x14ac:dyDescent="0.2">
      <c r="A2343" s="10" t="s">
        <v>4698</v>
      </c>
      <c r="B2343" s="10">
        <v>127.001107704818</v>
      </c>
      <c r="C2343" s="10">
        <v>1.20188899215945</v>
      </c>
      <c r="D2343" s="10">
        <v>0.36574937239392902</v>
      </c>
      <c r="E2343" s="10">
        <v>3.28609994404846</v>
      </c>
      <c r="F2343" s="10">
        <v>1.01584959224391E-3</v>
      </c>
      <c r="G2343" s="10">
        <v>4.4816797020514401E-3</v>
      </c>
      <c r="H2343" s="10" t="s">
        <v>4699</v>
      </c>
      <c r="I2343" s="10" t="s">
        <v>18</v>
      </c>
    </row>
    <row r="2344" spans="1:9" x14ac:dyDescent="0.2">
      <c r="A2344" s="10" t="s">
        <v>4700</v>
      </c>
      <c r="B2344" s="10">
        <v>382.12363232858399</v>
      </c>
      <c r="C2344" s="10">
        <v>-1.2533494211099101</v>
      </c>
      <c r="D2344" s="10">
        <v>0.26706346786069002</v>
      </c>
      <c r="E2344" s="10">
        <v>-4.6930770095582703</v>
      </c>
      <c r="F2344" s="4">
        <v>2.6912612245515001E-6</v>
      </c>
      <c r="G2344" s="4">
        <v>2.1316510053882201E-5</v>
      </c>
      <c r="H2344" s="10" t="s">
        <v>4701</v>
      </c>
      <c r="I2344" s="10" t="s">
        <v>18</v>
      </c>
    </row>
    <row r="2345" spans="1:9" x14ac:dyDescent="0.2">
      <c r="A2345" s="10" t="s">
        <v>4702</v>
      </c>
      <c r="B2345" s="10">
        <v>1145.0410338316401</v>
      </c>
      <c r="C2345" s="10">
        <v>-1.60954654657643</v>
      </c>
      <c r="D2345" s="10">
        <v>0.24082051673368299</v>
      </c>
      <c r="E2345" s="10">
        <v>-6.68359394127698</v>
      </c>
      <c r="F2345" s="4">
        <v>2.3315227964334801E-11</v>
      </c>
      <c r="G2345" s="4">
        <v>3.9433272274626299E-10</v>
      </c>
      <c r="H2345" s="10" t="s">
        <v>4703</v>
      </c>
      <c r="I2345" s="10" t="s">
        <v>18</v>
      </c>
    </row>
    <row r="2346" spans="1:9" x14ac:dyDescent="0.2">
      <c r="A2346" s="10" t="s">
        <v>4704</v>
      </c>
      <c r="B2346" s="10">
        <v>2100.5153544056402</v>
      </c>
      <c r="C2346" s="10">
        <v>1.0668737118212299</v>
      </c>
      <c r="D2346" s="10">
        <v>0.20727075001360101</v>
      </c>
      <c r="E2346" s="10">
        <v>5.1472468341587998</v>
      </c>
      <c r="F2346" s="4">
        <v>2.6433739870568298E-7</v>
      </c>
      <c r="G2346" s="4">
        <v>2.49649951560962E-6</v>
      </c>
      <c r="H2346" s="10" t="s">
        <v>4705</v>
      </c>
      <c r="I2346" s="10" t="s">
        <v>18</v>
      </c>
    </row>
    <row r="2347" spans="1:9" x14ac:dyDescent="0.2">
      <c r="A2347" s="10" t="s">
        <v>4706</v>
      </c>
      <c r="B2347" s="10">
        <v>3473.4966480047501</v>
      </c>
      <c r="C2347" s="10">
        <v>-1.71272618182826</v>
      </c>
      <c r="D2347" s="10">
        <v>0.19321894100621401</v>
      </c>
      <c r="E2347" s="10">
        <v>-8.8641733202190203</v>
      </c>
      <c r="F2347" s="4">
        <v>7.7073781252495803E-19</v>
      </c>
      <c r="G2347" s="4">
        <v>2.6820297800597099E-17</v>
      </c>
      <c r="H2347" s="10" t="s">
        <v>4707</v>
      </c>
      <c r="I2347" s="10" t="s">
        <v>18</v>
      </c>
    </row>
    <row r="2348" spans="1:9" x14ac:dyDescent="0.2">
      <c r="A2348" s="10" t="s">
        <v>4708</v>
      </c>
      <c r="B2348" s="10">
        <v>5355.19946061067</v>
      </c>
      <c r="C2348" s="10">
        <v>-1.1777478629303999</v>
      </c>
      <c r="D2348" s="10">
        <v>0.18982673100185599</v>
      </c>
      <c r="E2348" s="10">
        <v>-6.2043309533623399</v>
      </c>
      <c r="F2348" s="4">
        <v>5.4930081839703604E-10</v>
      </c>
      <c r="G2348" s="4">
        <v>7.6910582727975497E-9</v>
      </c>
      <c r="H2348" s="10" t="s">
        <v>4709</v>
      </c>
      <c r="I2348" s="10" t="s">
        <v>18</v>
      </c>
    </row>
    <row r="2349" spans="1:9" x14ac:dyDescent="0.2">
      <c r="A2349" s="10" t="s">
        <v>4710</v>
      </c>
      <c r="B2349" s="10">
        <v>182.14220187456101</v>
      </c>
      <c r="C2349" s="10">
        <v>-1.78983871507521</v>
      </c>
      <c r="D2349" s="10">
        <v>0.30435309748102202</v>
      </c>
      <c r="E2349" s="10">
        <v>-5.8807967781133499</v>
      </c>
      <c r="F2349" s="4">
        <v>4.0829621601216901E-9</v>
      </c>
      <c r="G2349" s="4">
        <v>5.1266576026191498E-8</v>
      </c>
      <c r="H2349" s="10" t="s">
        <v>4711</v>
      </c>
      <c r="I2349" s="10" t="s">
        <v>18</v>
      </c>
    </row>
    <row r="2350" spans="1:9" x14ac:dyDescent="0.2">
      <c r="A2350" s="10" t="s">
        <v>4712</v>
      </c>
      <c r="B2350" s="10">
        <v>4293.4283101689298</v>
      </c>
      <c r="C2350" s="10">
        <v>-1.10565344754858</v>
      </c>
      <c r="D2350" s="10">
        <v>0.188117162488666</v>
      </c>
      <c r="E2350" s="10">
        <v>-5.8774724906622797</v>
      </c>
      <c r="F2350" s="4">
        <v>4.1657791527318696E-9</v>
      </c>
      <c r="G2350" s="4">
        <v>5.2258280190831097E-8</v>
      </c>
      <c r="H2350" s="10" t="s">
        <v>4713</v>
      </c>
      <c r="I2350" s="10" t="s">
        <v>18</v>
      </c>
    </row>
    <row r="2351" spans="1:9" x14ac:dyDescent="0.2">
      <c r="A2351" s="10" t="s">
        <v>4714</v>
      </c>
      <c r="B2351" s="10">
        <v>54.633718677928002</v>
      </c>
      <c r="C2351" s="10">
        <v>4.1838929822218303</v>
      </c>
      <c r="D2351" s="10">
        <v>0.66318932538589703</v>
      </c>
      <c r="E2351" s="10">
        <v>6.3087459675068001</v>
      </c>
      <c r="F2351" s="4">
        <v>2.81305395050441E-10</v>
      </c>
      <c r="G2351" s="4">
        <v>4.0900363388150298E-9</v>
      </c>
      <c r="H2351" s="10" t="s">
        <v>4715</v>
      </c>
      <c r="I2351" s="10" t="s">
        <v>18</v>
      </c>
    </row>
    <row r="2352" spans="1:9" x14ac:dyDescent="0.2">
      <c r="A2352" s="10" t="s">
        <v>4716</v>
      </c>
      <c r="B2352" s="10">
        <v>756.14649420442197</v>
      </c>
      <c r="C2352" s="10">
        <v>8.6849330519912193</v>
      </c>
      <c r="D2352" s="10">
        <v>1.80902820304747</v>
      </c>
      <c r="E2352" s="10">
        <v>4.8008831688531304</v>
      </c>
      <c r="F2352" s="4">
        <v>1.57967412283361E-6</v>
      </c>
      <c r="G2352" s="4">
        <v>1.3078511341491099E-5</v>
      </c>
      <c r="H2352" s="10" t="s">
        <v>4717</v>
      </c>
      <c r="I2352" s="10" t="s">
        <v>18</v>
      </c>
    </row>
    <row r="2353" spans="1:9" x14ac:dyDescent="0.2">
      <c r="A2353" s="10" t="s">
        <v>4718</v>
      </c>
      <c r="B2353" s="10">
        <v>826.91682718685297</v>
      </c>
      <c r="C2353" s="10">
        <v>1.67640365105199</v>
      </c>
      <c r="D2353" s="10">
        <v>0.204499161917648</v>
      </c>
      <c r="E2353" s="10">
        <v>8.1976064612288102</v>
      </c>
      <c r="F2353" s="4">
        <v>2.4522060687567601E-16</v>
      </c>
      <c r="G2353" s="4">
        <v>6.9166934529415599E-15</v>
      </c>
      <c r="H2353" s="10" t="s">
        <v>4719</v>
      </c>
      <c r="I2353" s="10" t="s">
        <v>18</v>
      </c>
    </row>
    <row r="2354" spans="1:9" x14ac:dyDescent="0.2">
      <c r="A2354" s="10" t="s">
        <v>4720</v>
      </c>
      <c r="B2354" s="10">
        <v>35.849821169299901</v>
      </c>
      <c r="C2354" s="10">
        <v>6.0992714028598796</v>
      </c>
      <c r="D2354" s="10">
        <v>1.16174161063887</v>
      </c>
      <c r="E2354" s="10">
        <v>5.2501101337893203</v>
      </c>
      <c r="F2354" s="4">
        <v>1.52008299784027E-7</v>
      </c>
      <c r="G2354" s="4">
        <v>1.49576386573325E-6</v>
      </c>
      <c r="H2354" s="10" t="s">
        <v>4721</v>
      </c>
      <c r="I2354" s="10" t="s">
        <v>18</v>
      </c>
    </row>
    <row r="2355" spans="1:9" x14ac:dyDescent="0.2">
      <c r="A2355" s="10" t="s">
        <v>4722</v>
      </c>
      <c r="B2355" s="10">
        <v>22.163686853713799</v>
      </c>
      <c r="C2355" s="10">
        <v>2.7563079659932801</v>
      </c>
      <c r="D2355" s="10">
        <v>0.82569112853049098</v>
      </c>
      <c r="E2355" s="10">
        <v>3.3381828516176202</v>
      </c>
      <c r="F2355" s="10">
        <v>8.4328235859414905E-4</v>
      </c>
      <c r="G2355" s="10">
        <v>3.80223637673586E-3</v>
      </c>
      <c r="H2355" s="10" t="s">
        <v>4723</v>
      </c>
      <c r="I2355" s="10" t="s">
        <v>18</v>
      </c>
    </row>
    <row r="2356" spans="1:9" x14ac:dyDescent="0.2">
      <c r="A2356" s="10" t="s">
        <v>4724</v>
      </c>
      <c r="B2356" s="10">
        <v>4.84354564194778</v>
      </c>
      <c r="C2356" s="10">
        <v>5.66966161396478</v>
      </c>
      <c r="D2356" s="10">
        <v>2.0551998500533002</v>
      </c>
      <c r="E2356" s="10">
        <v>2.7586911383911099</v>
      </c>
      <c r="F2356" s="10">
        <v>5.8033355931816598E-3</v>
      </c>
      <c r="G2356" s="10">
        <v>2.01585268877385E-2</v>
      </c>
      <c r="H2356" s="10" t="s">
        <v>4725</v>
      </c>
      <c r="I2356" s="10" t="s">
        <v>18</v>
      </c>
    </row>
    <row r="2357" spans="1:9" x14ac:dyDescent="0.2">
      <c r="A2357" s="10" t="s">
        <v>4726</v>
      </c>
      <c r="B2357" s="10">
        <v>1350.53237993261</v>
      </c>
      <c r="C2357" s="10">
        <v>4.7871974439594496</v>
      </c>
      <c r="D2357" s="10">
        <v>0.22322016775572801</v>
      </c>
      <c r="E2357" s="10">
        <v>21.446079411597498</v>
      </c>
      <c r="F2357" s="4">
        <v>4.9680265441163599E-102</v>
      </c>
      <c r="G2357" s="4">
        <v>6.1529008748881201E-99</v>
      </c>
      <c r="H2357" s="10" t="s">
        <v>4727</v>
      </c>
      <c r="I2357" s="10" t="s">
        <v>18</v>
      </c>
    </row>
    <row r="2358" spans="1:9" x14ac:dyDescent="0.2">
      <c r="A2358" s="10" t="s">
        <v>4728</v>
      </c>
      <c r="B2358" s="10">
        <v>19.2744044633471</v>
      </c>
      <c r="C2358" s="10">
        <v>4.5739716956311298</v>
      </c>
      <c r="D2358" s="10">
        <v>1.10507866400819</v>
      </c>
      <c r="E2358" s="10">
        <v>4.1390462458491797</v>
      </c>
      <c r="F2358" s="4">
        <v>3.4875265073088398E-5</v>
      </c>
      <c r="G2358" s="10">
        <v>2.20372529556224E-4</v>
      </c>
      <c r="H2358" s="10" t="s">
        <v>4729</v>
      </c>
      <c r="I2358" s="10" t="s">
        <v>18</v>
      </c>
    </row>
    <row r="2359" spans="1:9" x14ac:dyDescent="0.2">
      <c r="A2359" s="10" t="s">
        <v>4730</v>
      </c>
      <c r="B2359" s="10">
        <v>1268.2534702927101</v>
      </c>
      <c r="C2359" s="10">
        <v>1.13351167062735</v>
      </c>
      <c r="D2359" s="10">
        <v>0.194036671063226</v>
      </c>
      <c r="E2359" s="10">
        <v>5.8417394218127097</v>
      </c>
      <c r="F2359" s="4">
        <v>5.16585668833827E-9</v>
      </c>
      <c r="G2359" s="4">
        <v>6.3921025062285593E-8</v>
      </c>
      <c r="H2359" s="10" t="s">
        <v>4731</v>
      </c>
      <c r="I2359" s="10" t="s">
        <v>18</v>
      </c>
    </row>
    <row r="2360" spans="1:9" x14ac:dyDescent="0.2">
      <c r="A2360" s="10" t="s">
        <v>4732</v>
      </c>
      <c r="B2360" s="10">
        <v>16.846701222769902</v>
      </c>
      <c r="C2360" s="10">
        <v>7.4706690422473896</v>
      </c>
      <c r="D2360" s="10">
        <v>1.64253303564699</v>
      </c>
      <c r="E2360" s="10">
        <v>4.5482610578390599</v>
      </c>
      <c r="F2360" s="4">
        <v>5.4091011361690698E-6</v>
      </c>
      <c r="G2360" s="4">
        <v>4.0589859173009797E-5</v>
      </c>
      <c r="H2360" s="10" t="s">
        <v>4733</v>
      </c>
      <c r="I2360" s="10" t="s">
        <v>18</v>
      </c>
    </row>
    <row r="2361" spans="1:9" x14ac:dyDescent="0.2">
      <c r="A2361" s="10" t="s">
        <v>4734</v>
      </c>
      <c r="B2361" s="10">
        <v>143.92203383479301</v>
      </c>
      <c r="C2361" s="10">
        <v>1.16089429359694</v>
      </c>
      <c r="D2361" s="10">
        <v>0.35403368208577102</v>
      </c>
      <c r="E2361" s="10">
        <v>3.27905041903808</v>
      </c>
      <c r="F2361" s="10">
        <v>1.04157025060817E-3</v>
      </c>
      <c r="G2361" s="10">
        <v>4.5729398353723302E-3</v>
      </c>
      <c r="H2361" s="10" t="s">
        <v>4735</v>
      </c>
      <c r="I2361" s="10" t="s">
        <v>18</v>
      </c>
    </row>
    <row r="2362" spans="1:9" x14ac:dyDescent="0.2">
      <c r="A2362" s="10" t="s">
        <v>4736</v>
      </c>
      <c r="B2362" s="10">
        <v>12.2657585244455</v>
      </c>
      <c r="C2362" s="10">
        <v>3.8864823938919799</v>
      </c>
      <c r="D2362" s="10">
        <v>1.2174587435173201</v>
      </c>
      <c r="E2362" s="10">
        <v>3.1922908390831202</v>
      </c>
      <c r="F2362" s="10">
        <v>1.41149130083035E-3</v>
      </c>
      <c r="G2362" s="10">
        <v>5.9663207374689E-3</v>
      </c>
      <c r="H2362" s="10" t="s">
        <v>4737</v>
      </c>
      <c r="I2362" s="10" t="s">
        <v>18</v>
      </c>
    </row>
    <row r="2363" spans="1:9" x14ac:dyDescent="0.2">
      <c r="A2363" s="10" t="s">
        <v>4738</v>
      </c>
      <c r="B2363" s="10">
        <v>637.76830684425204</v>
      </c>
      <c r="C2363" s="10">
        <v>-1.06834033746895</v>
      </c>
      <c r="D2363" s="10">
        <v>0.22644837513219401</v>
      </c>
      <c r="E2363" s="10">
        <v>-4.7178096855201002</v>
      </c>
      <c r="F2363" s="4">
        <v>2.3839734436339701E-6</v>
      </c>
      <c r="G2363" s="4">
        <v>1.9076688522377301E-5</v>
      </c>
      <c r="H2363" s="10" t="s">
        <v>4739</v>
      </c>
      <c r="I2363" s="10" t="s">
        <v>18</v>
      </c>
    </row>
    <row r="2364" spans="1:9" x14ac:dyDescent="0.2">
      <c r="A2364" s="10" t="s">
        <v>4740</v>
      </c>
      <c r="B2364" s="10">
        <v>7.3104494087945904</v>
      </c>
      <c r="C2364" s="10">
        <v>4.76906175500726</v>
      </c>
      <c r="D2364" s="10">
        <v>1.84278146555181</v>
      </c>
      <c r="E2364" s="10">
        <v>2.5879692433194701</v>
      </c>
      <c r="F2364" s="10">
        <v>9.6543600536026196E-3</v>
      </c>
      <c r="G2364" s="10">
        <v>3.0838493362310801E-2</v>
      </c>
      <c r="H2364" s="10" t="s">
        <v>4741</v>
      </c>
      <c r="I2364" s="10" t="s">
        <v>18</v>
      </c>
    </row>
    <row r="2365" spans="1:9" x14ac:dyDescent="0.2">
      <c r="A2365" s="10" t="s">
        <v>4742</v>
      </c>
      <c r="B2365" s="10">
        <v>7.0509389933641398</v>
      </c>
      <c r="C2365" s="10">
        <v>3.6643351664009902</v>
      </c>
      <c r="D2365" s="10">
        <v>1.53766828890081</v>
      </c>
      <c r="E2365" s="10">
        <v>2.3830465860880898</v>
      </c>
      <c r="F2365" s="10">
        <v>1.7170021326532298E-2</v>
      </c>
      <c r="G2365" s="10">
        <v>4.98754340174868E-2</v>
      </c>
      <c r="H2365" s="10" t="s">
        <v>4743</v>
      </c>
      <c r="I2365" s="10" t="s">
        <v>18</v>
      </c>
    </row>
    <row r="2366" spans="1:9" x14ac:dyDescent="0.2">
      <c r="A2366" s="10" t="s">
        <v>4744</v>
      </c>
      <c r="B2366" s="10">
        <v>5.4323726899743301</v>
      </c>
      <c r="C2366" s="10">
        <v>5.8384671515102298</v>
      </c>
      <c r="D2366" s="10">
        <v>1.9903824247200499</v>
      </c>
      <c r="E2366" s="10">
        <v>2.9333393819187399</v>
      </c>
      <c r="F2366" s="10">
        <v>3.3533711180266999E-3</v>
      </c>
      <c r="G2366" s="10">
        <v>1.26061400183324E-2</v>
      </c>
      <c r="H2366" s="10" t="s">
        <v>4745</v>
      </c>
      <c r="I2366" s="10" t="s">
        <v>18</v>
      </c>
    </row>
    <row r="2367" spans="1:9" x14ac:dyDescent="0.2">
      <c r="A2367" s="10" t="s">
        <v>4746</v>
      </c>
      <c r="B2367" s="10">
        <v>9.5365064507578694</v>
      </c>
      <c r="C2367" s="10">
        <v>3.0453885407194101</v>
      </c>
      <c r="D2367" s="10">
        <v>1.25324719663708</v>
      </c>
      <c r="E2367" s="10">
        <v>2.4299982867636101</v>
      </c>
      <c r="F2367" s="10">
        <v>1.50988942042316E-2</v>
      </c>
      <c r="G2367" s="10">
        <v>4.47903723878822E-2</v>
      </c>
      <c r="H2367" s="10" t="s">
        <v>4747</v>
      </c>
      <c r="I2367" s="10" t="s">
        <v>18</v>
      </c>
    </row>
    <row r="2368" spans="1:9" x14ac:dyDescent="0.2">
      <c r="A2368" s="10" t="s">
        <v>4748</v>
      </c>
      <c r="B2368" s="10">
        <v>21.179907607050399</v>
      </c>
      <c r="C2368" s="10">
        <v>7.8019663360820299</v>
      </c>
      <c r="D2368" s="10">
        <v>1.60676207408134</v>
      </c>
      <c r="E2368" s="10">
        <v>4.8557073022418598</v>
      </c>
      <c r="F2368" s="4">
        <v>1.19957783738824E-6</v>
      </c>
      <c r="G2368" s="4">
        <v>1.01222970998196E-5</v>
      </c>
      <c r="H2368" s="10" t="s">
        <v>4749</v>
      </c>
      <c r="I2368" s="10" t="s">
        <v>18</v>
      </c>
    </row>
    <row r="2369" spans="1:9" x14ac:dyDescent="0.2">
      <c r="A2369" s="10" t="s">
        <v>4750</v>
      </c>
      <c r="B2369" s="10">
        <v>2167.8348315287299</v>
      </c>
      <c r="C2369" s="10">
        <v>1.6922422763774601</v>
      </c>
      <c r="D2369" s="10">
        <v>0.188773125983696</v>
      </c>
      <c r="E2369" s="10">
        <v>8.9644236570178606</v>
      </c>
      <c r="F2369" s="4">
        <v>3.1190773691021999E-19</v>
      </c>
      <c r="G2369" s="4">
        <v>1.11529528971034E-17</v>
      </c>
      <c r="H2369" s="10" t="s">
        <v>4751</v>
      </c>
      <c r="I2369" s="10" t="s">
        <v>18</v>
      </c>
    </row>
    <row r="2370" spans="1:9" x14ac:dyDescent="0.2">
      <c r="A2370" s="10" t="s">
        <v>4752</v>
      </c>
      <c r="B2370" s="10">
        <v>4.3694444890872397</v>
      </c>
      <c r="C2370" s="10">
        <v>5.5278073040699196</v>
      </c>
      <c r="D2370" s="10">
        <v>2.1223585767351398</v>
      </c>
      <c r="E2370" s="10">
        <v>2.6045586097771598</v>
      </c>
      <c r="F2370" s="10">
        <v>9.1992685622235906E-3</v>
      </c>
      <c r="G2370" s="10">
        <v>2.9634957497624299E-2</v>
      </c>
      <c r="H2370" s="10" t="s">
        <v>4753</v>
      </c>
      <c r="I2370" s="10" t="s">
        <v>18</v>
      </c>
    </row>
    <row r="2371" spans="1:9" x14ac:dyDescent="0.2">
      <c r="A2371" s="10" t="s">
        <v>4754</v>
      </c>
      <c r="B2371" s="10">
        <v>2452.7051750718101</v>
      </c>
      <c r="C2371" s="10">
        <v>-1.16707353163865</v>
      </c>
      <c r="D2371" s="10">
        <v>0.18712442191031001</v>
      </c>
      <c r="E2371" s="10">
        <v>-6.2368851682974604</v>
      </c>
      <c r="F2371" s="4">
        <v>4.4636940016401998E-10</v>
      </c>
      <c r="G2371" s="4">
        <v>6.3082090488947401E-9</v>
      </c>
      <c r="H2371" s="10" t="s">
        <v>4755</v>
      </c>
      <c r="I2371" s="10" t="s">
        <v>18</v>
      </c>
    </row>
    <row r="2372" spans="1:9" x14ac:dyDescent="0.2">
      <c r="A2372" s="10" t="s">
        <v>4756</v>
      </c>
      <c r="B2372" s="10">
        <v>928.47580792942904</v>
      </c>
      <c r="C2372" s="10">
        <v>-1.1851219608746399</v>
      </c>
      <c r="D2372" s="10">
        <v>0.20292330778463299</v>
      </c>
      <c r="E2372" s="10">
        <v>-5.8402456268475396</v>
      </c>
      <c r="F2372" s="4">
        <v>5.2123914951984999E-9</v>
      </c>
      <c r="G2372" s="4">
        <v>6.4438308107837396E-8</v>
      </c>
      <c r="H2372" s="10" t="s">
        <v>4757</v>
      </c>
      <c r="I2372" s="10" t="s">
        <v>18</v>
      </c>
    </row>
    <row r="2373" spans="1:9" x14ac:dyDescent="0.2">
      <c r="A2373" s="10" t="s">
        <v>4758</v>
      </c>
      <c r="B2373" s="10">
        <v>590.17661181450501</v>
      </c>
      <c r="C2373" s="10">
        <v>1.65225758013325</v>
      </c>
      <c r="D2373" s="10">
        <v>0.222317855764814</v>
      </c>
      <c r="E2373" s="10">
        <v>7.43196075928849</v>
      </c>
      <c r="F2373" s="4">
        <v>1.06999547180444E-13</v>
      </c>
      <c r="G2373" s="4">
        <v>2.38187635786401E-12</v>
      </c>
      <c r="H2373" s="10" t="s">
        <v>4759</v>
      </c>
      <c r="I2373" s="10" t="s">
        <v>18</v>
      </c>
    </row>
    <row r="2374" spans="1:9" x14ac:dyDescent="0.2">
      <c r="A2374" s="10" t="s">
        <v>4760</v>
      </c>
      <c r="B2374" s="10">
        <v>1190.18484126045</v>
      </c>
      <c r="C2374" s="10">
        <v>-1.16691745332189</v>
      </c>
      <c r="D2374" s="10">
        <v>0.218902816733304</v>
      </c>
      <c r="E2374" s="10">
        <v>-5.33075576977879</v>
      </c>
      <c r="F2374" s="4">
        <v>9.7804878728914695E-8</v>
      </c>
      <c r="G2374" s="4">
        <v>9.943617651965439E-7</v>
      </c>
      <c r="H2374" s="10" t="s">
        <v>4761</v>
      </c>
      <c r="I2374" s="10" t="s">
        <v>18</v>
      </c>
    </row>
    <row r="2375" spans="1:9" x14ac:dyDescent="0.2">
      <c r="A2375" s="10" t="s">
        <v>4762</v>
      </c>
      <c r="B2375" s="10">
        <v>18.331921309356801</v>
      </c>
      <c r="C2375" s="10">
        <v>4.4947528515789497</v>
      </c>
      <c r="D2375" s="10">
        <v>1.1301959308109499</v>
      </c>
      <c r="E2375" s="10">
        <v>3.9769678239363699</v>
      </c>
      <c r="F2375" s="4">
        <v>6.9799605309540095E-5</v>
      </c>
      <c r="G2375" s="10">
        <v>4.1371108241658401E-4</v>
      </c>
      <c r="H2375" s="10" t="s">
        <v>4763</v>
      </c>
      <c r="I2375" s="10" t="s">
        <v>18</v>
      </c>
    </row>
    <row r="2376" spans="1:9" x14ac:dyDescent="0.2">
      <c r="A2376" s="10" t="s">
        <v>4764</v>
      </c>
      <c r="B2376" s="10">
        <v>672.880565171738</v>
      </c>
      <c r="C2376" s="10">
        <v>1.57242930179329</v>
      </c>
      <c r="D2376" s="10">
        <v>0.226349621564856</v>
      </c>
      <c r="E2376" s="10">
        <v>6.9469049292965002</v>
      </c>
      <c r="F2376" s="4">
        <v>3.7338713912106802E-12</v>
      </c>
      <c r="G2376" s="4">
        <v>6.8787554967083995E-11</v>
      </c>
      <c r="H2376" s="10" t="s">
        <v>4765</v>
      </c>
      <c r="I2376" s="10" t="s">
        <v>18</v>
      </c>
    </row>
    <row r="2377" spans="1:9" x14ac:dyDescent="0.2">
      <c r="A2377" s="10" t="s">
        <v>4766</v>
      </c>
      <c r="B2377" s="10">
        <v>31.9631594062669</v>
      </c>
      <c r="C2377" s="10">
        <v>8.3930634159768793</v>
      </c>
      <c r="D2377" s="10">
        <v>1.5595056177725699</v>
      </c>
      <c r="E2377" s="10">
        <v>5.3818744352871501</v>
      </c>
      <c r="F2377" s="4">
        <v>7.3714179256376698E-8</v>
      </c>
      <c r="G2377" s="4">
        <v>7.6689203596735295E-7</v>
      </c>
      <c r="H2377" s="10" t="s">
        <v>4767</v>
      </c>
      <c r="I2377" s="10" t="s">
        <v>18</v>
      </c>
    </row>
    <row r="2378" spans="1:9" x14ac:dyDescent="0.2">
      <c r="A2378" s="10" t="s">
        <v>4768</v>
      </c>
      <c r="B2378" s="10">
        <v>23.771730654289101</v>
      </c>
      <c r="C2378" s="10">
        <v>3.6127214020313301</v>
      </c>
      <c r="D2378" s="10">
        <v>0.87423388049099304</v>
      </c>
      <c r="E2378" s="10">
        <v>4.1324426822743696</v>
      </c>
      <c r="F2378" s="4">
        <v>3.5892829026681899E-5</v>
      </c>
      <c r="G2378" s="10">
        <v>2.2601615726600401E-4</v>
      </c>
      <c r="H2378" s="10" t="s">
        <v>4769</v>
      </c>
      <c r="I2378" s="10" t="s">
        <v>18</v>
      </c>
    </row>
    <row r="2379" spans="1:9" x14ac:dyDescent="0.2">
      <c r="A2379" s="10" t="s">
        <v>4770</v>
      </c>
      <c r="B2379" s="10">
        <v>740.64715008038195</v>
      </c>
      <c r="C2379" s="10">
        <v>1.0119616383744501</v>
      </c>
      <c r="D2379" s="10">
        <v>0.226401073402061</v>
      </c>
      <c r="E2379" s="10">
        <v>4.4697740305203002</v>
      </c>
      <c r="F2379" s="4">
        <v>7.8302279380531805E-6</v>
      </c>
      <c r="G2379" s="4">
        <v>5.6847913836433499E-5</v>
      </c>
      <c r="H2379" s="10" t="s">
        <v>4771</v>
      </c>
      <c r="I2379" s="10" t="s">
        <v>18</v>
      </c>
    </row>
    <row r="2380" spans="1:9" x14ac:dyDescent="0.2">
      <c r="A2380" s="10" t="s">
        <v>4772</v>
      </c>
      <c r="B2380" s="10">
        <v>5.1002181659678598</v>
      </c>
      <c r="C2380" s="10">
        <v>5.7438055377337802</v>
      </c>
      <c r="D2380" s="10">
        <v>2.03182000205382</v>
      </c>
      <c r="E2380" s="10">
        <v>2.8269263674576499</v>
      </c>
      <c r="F2380" s="10">
        <v>4.69971330147441E-3</v>
      </c>
      <c r="G2380" s="10">
        <v>1.6840227291592999E-2</v>
      </c>
      <c r="H2380" s="10" t="s">
        <v>4773</v>
      </c>
      <c r="I2380" s="10" t="s">
        <v>18</v>
      </c>
    </row>
    <row r="2381" spans="1:9" x14ac:dyDescent="0.2">
      <c r="A2381" s="10" t="s">
        <v>4774</v>
      </c>
      <c r="B2381" s="10">
        <v>7.4525205677011597</v>
      </c>
      <c r="C2381" s="10">
        <v>6.2964636514416998</v>
      </c>
      <c r="D2381" s="10">
        <v>1.8656504205965601</v>
      </c>
      <c r="E2381" s="10">
        <v>3.37494290566416</v>
      </c>
      <c r="F2381" s="10">
        <v>7.3831006388832404E-4</v>
      </c>
      <c r="G2381" s="10">
        <v>3.3892419055155799E-3</v>
      </c>
      <c r="H2381" s="10" t="s">
        <v>4775</v>
      </c>
      <c r="I2381" s="10" t="s">
        <v>18</v>
      </c>
    </row>
    <row r="2382" spans="1:9" x14ac:dyDescent="0.2">
      <c r="A2382" s="10" t="s">
        <v>4776</v>
      </c>
      <c r="B2382" s="10">
        <v>4.3302005939076098</v>
      </c>
      <c r="C2382" s="10">
        <v>5.5088803257156904</v>
      </c>
      <c r="D2382" s="10">
        <v>2.1104502212244198</v>
      </c>
      <c r="E2382" s="10">
        <v>2.6102867863519599</v>
      </c>
      <c r="F2382" s="10">
        <v>9.0466346159683401E-3</v>
      </c>
      <c r="G2382" s="10">
        <v>2.9246992570157698E-2</v>
      </c>
      <c r="H2382" s="10" t="s">
        <v>4777</v>
      </c>
      <c r="I2382" s="10" t="s">
        <v>18</v>
      </c>
    </row>
    <row r="2383" spans="1:9" x14ac:dyDescent="0.2">
      <c r="A2383" s="10" t="s">
        <v>4778</v>
      </c>
      <c r="B2383" s="10">
        <v>5.24817637556772</v>
      </c>
      <c r="C2383" s="10">
        <v>5.7873700827091596</v>
      </c>
      <c r="D2383" s="10">
        <v>2.00710138519183</v>
      </c>
      <c r="E2383" s="10">
        <v>2.88344680812226</v>
      </c>
      <c r="F2383" s="10">
        <v>3.9334907211268401E-3</v>
      </c>
      <c r="G2383" s="10">
        <v>1.44441808192106E-2</v>
      </c>
      <c r="H2383" s="10" t="s">
        <v>4779</v>
      </c>
      <c r="I2383" s="10" t="s">
        <v>18</v>
      </c>
    </row>
    <row r="2384" spans="1:9" x14ac:dyDescent="0.2">
      <c r="A2384" s="10" t="s">
        <v>4780</v>
      </c>
      <c r="B2384" s="10">
        <v>99.491997664020502</v>
      </c>
      <c r="C2384" s="10">
        <v>6.5740095431123597</v>
      </c>
      <c r="D2384" s="10">
        <v>0.81115857160192495</v>
      </c>
      <c r="E2384" s="10">
        <v>8.1044690560682895</v>
      </c>
      <c r="F2384" s="4">
        <v>5.2976350568155197E-16</v>
      </c>
      <c r="G2384" s="4">
        <v>1.4477899939122599E-14</v>
      </c>
      <c r="H2384" s="10" t="s">
        <v>4781</v>
      </c>
      <c r="I2384" s="10" t="s">
        <v>18</v>
      </c>
    </row>
    <row r="2385" spans="1:9" x14ac:dyDescent="0.2">
      <c r="A2385" s="10" t="s">
        <v>4782</v>
      </c>
      <c r="B2385" s="10">
        <v>1507.4899896992099</v>
      </c>
      <c r="C2385" s="10">
        <v>6.0627167246970499</v>
      </c>
      <c r="D2385" s="10">
        <v>0.268224089326558</v>
      </c>
      <c r="E2385" s="10">
        <v>22.603177589004002</v>
      </c>
      <c r="F2385" s="4">
        <v>4.0328255859029799E-113</v>
      </c>
      <c r="G2385" s="4">
        <v>7.3254932492732304E-110</v>
      </c>
      <c r="H2385" s="10" t="s">
        <v>4783</v>
      </c>
      <c r="I2385" s="10" t="s">
        <v>18</v>
      </c>
    </row>
    <row r="2386" spans="1:9" x14ac:dyDescent="0.2">
      <c r="A2386" s="10" t="s">
        <v>4784</v>
      </c>
      <c r="B2386" s="10">
        <v>20.560068341046001</v>
      </c>
      <c r="C2386" s="10">
        <v>2.4864651331628802</v>
      </c>
      <c r="D2386" s="10">
        <v>0.83254818582058898</v>
      </c>
      <c r="E2386" s="10">
        <v>2.9865720393254298</v>
      </c>
      <c r="F2386" s="10">
        <v>2.8212435885487299E-3</v>
      </c>
      <c r="G2386" s="10">
        <v>1.08482111285898E-2</v>
      </c>
      <c r="H2386" s="10" t="s">
        <v>4785</v>
      </c>
      <c r="I2386" s="10" t="s">
        <v>18</v>
      </c>
    </row>
    <row r="2387" spans="1:9" x14ac:dyDescent="0.2">
      <c r="A2387" s="10" t="s">
        <v>4786</v>
      </c>
      <c r="B2387" s="10">
        <v>444.07351504159999</v>
      </c>
      <c r="C2387" s="10">
        <v>-1.48062382429012</v>
      </c>
      <c r="D2387" s="10">
        <v>0.24213992951374599</v>
      </c>
      <c r="E2387" s="10">
        <v>-6.1147445911273097</v>
      </c>
      <c r="F2387" s="4">
        <v>9.6711731034094097E-10</v>
      </c>
      <c r="G2387" s="4">
        <v>1.31887113888186E-8</v>
      </c>
      <c r="H2387" s="10" t="s">
        <v>4787</v>
      </c>
      <c r="I2387" s="10" t="s">
        <v>18</v>
      </c>
    </row>
    <row r="2388" spans="1:9" x14ac:dyDescent="0.2">
      <c r="A2388" s="10" t="s">
        <v>4788</v>
      </c>
      <c r="B2388" s="10">
        <v>43.287366586032299</v>
      </c>
      <c r="C2388" s="10">
        <v>2.96727261771106</v>
      </c>
      <c r="D2388" s="10">
        <v>0.59890772697796102</v>
      </c>
      <c r="E2388" s="10">
        <v>4.9544737595617097</v>
      </c>
      <c r="F2388" s="4">
        <v>7.2526302777328305E-7</v>
      </c>
      <c r="G2388" s="4">
        <v>6.3540970153500496E-6</v>
      </c>
      <c r="H2388" s="10" t="s">
        <v>4789</v>
      </c>
      <c r="I2388" s="10" t="s">
        <v>18</v>
      </c>
    </row>
    <row r="2389" spans="1:9" x14ac:dyDescent="0.2">
      <c r="A2389" s="10" t="s">
        <v>4790</v>
      </c>
      <c r="B2389" s="10">
        <v>12.338191365148999</v>
      </c>
      <c r="C2389" s="10">
        <v>5.5459305496487703</v>
      </c>
      <c r="D2389" s="10">
        <v>1.6935487126285</v>
      </c>
      <c r="E2389" s="10">
        <v>3.27473931413589</v>
      </c>
      <c r="F2389" s="10">
        <v>1.05759518186756E-3</v>
      </c>
      <c r="G2389" s="10">
        <v>4.6283803277136996E-3</v>
      </c>
      <c r="H2389" s="10" t="s">
        <v>4791</v>
      </c>
      <c r="I2389" s="10" t="s">
        <v>18</v>
      </c>
    </row>
    <row r="2390" spans="1:9" x14ac:dyDescent="0.2">
      <c r="A2390" s="10" t="s">
        <v>4792</v>
      </c>
      <c r="B2390" s="10">
        <v>180.09064711061799</v>
      </c>
      <c r="C2390" s="10">
        <v>1.0103790054942701</v>
      </c>
      <c r="D2390" s="10">
        <v>0.30822187765282499</v>
      </c>
      <c r="E2390" s="10">
        <v>3.2780898396587599</v>
      </c>
      <c r="F2390" s="10">
        <v>1.0451212695855301E-3</v>
      </c>
      <c r="G2390" s="10">
        <v>4.58557475561947E-3</v>
      </c>
      <c r="H2390" s="10" t="s">
        <v>4793</v>
      </c>
      <c r="I2390" s="10" t="s">
        <v>18</v>
      </c>
    </row>
    <row r="2391" spans="1:9" x14ac:dyDescent="0.2">
      <c r="A2391" s="10" t="s">
        <v>4794</v>
      </c>
      <c r="B2391" s="10">
        <v>28.0583810184845</v>
      </c>
      <c r="C2391" s="10">
        <v>5.7351465621435</v>
      </c>
      <c r="D2391" s="10">
        <v>1.19961073457172</v>
      </c>
      <c r="E2391" s="10">
        <v>4.78083964811389</v>
      </c>
      <c r="F2391" s="4">
        <v>1.7456456193839099E-6</v>
      </c>
      <c r="G2391" s="4">
        <v>1.43263874070342E-5</v>
      </c>
      <c r="H2391" s="10" t="s">
        <v>4795</v>
      </c>
      <c r="I2391" s="10" t="s">
        <v>18</v>
      </c>
    </row>
    <row r="2392" spans="1:9" x14ac:dyDescent="0.2">
      <c r="A2392" s="10" t="s">
        <v>4796</v>
      </c>
      <c r="B2392" s="10">
        <v>985.57926746349096</v>
      </c>
      <c r="C2392" s="10">
        <v>-1.76326103311309</v>
      </c>
      <c r="D2392" s="10">
        <v>0.22497050362770499</v>
      </c>
      <c r="E2392" s="10">
        <v>-7.8377431915743099</v>
      </c>
      <c r="F2392" s="4">
        <v>4.5871595274752699E-15</v>
      </c>
      <c r="G2392" s="4">
        <v>1.14877146732646E-13</v>
      </c>
      <c r="H2392" s="10" t="s">
        <v>4797</v>
      </c>
      <c r="I2392" s="10" t="s">
        <v>18</v>
      </c>
    </row>
    <row r="2393" spans="1:9" x14ac:dyDescent="0.2">
      <c r="A2393" s="10" t="s">
        <v>4798</v>
      </c>
      <c r="B2393" s="10">
        <v>8.6885641627992101</v>
      </c>
      <c r="C2393" s="10">
        <v>-3.50153060608555</v>
      </c>
      <c r="D2393" s="10">
        <v>1.3350996168994</v>
      </c>
      <c r="E2393" s="10">
        <v>-2.6226736655182501</v>
      </c>
      <c r="F2393" s="10">
        <v>8.7242792061701397E-3</v>
      </c>
      <c r="G2393" s="10">
        <v>2.8403684494027699E-2</v>
      </c>
      <c r="H2393" s="10" t="s">
        <v>4799</v>
      </c>
      <c r="I2393" s="10" t="s">
        <v>18</v>
      </c>
    </row>
    <row r="2394" spans="1:9" x14ac:dyDescent="0.2">
      <c r="A2394" s="10" t="s">
        <v>4800</v>
      </c>
      <c r="B2394" s="10">
        <v>3199.7714280028699</v>
      </c>
      <c r="C2394" s="10">
        <v>-1.4022011969333901</v>
      </c>
      <c r="D2394" s="10">
        <v>0.224470560207742</v>
      </c>
      <c r="E2394" s="10">
        <v>-6.2467042254257699</v>
      </c>
      <c r="F2394" s="4">
        <v>4.1920379772030402E-10</v>
      </c>
      <c r="G2394" s="4">
        <v>5.94588541201724E-9</v>
      </c>
      <c r="H2394" s="10" t="s">
        <v>4801</v>
      </c>
      <c r="I2394" s="10" t="s">
        <v>18</v>
      </c>
    </row>
    <row r="2395" spans="1:9" x14ac:dyDescent="0.2">
      <c r="A2395" s="10" t="s">
        <v>4802</v>
      </c>
      <c r="B2395" s="10">
        <v>1093.3494810242601</v>
      </c>
      <c r="C2395" s="10">
        <v>-2.83610079867936</v>
      </c>
      <c r="D2395" s="10">
        <v>0.21419232935708801</v>
      </c>
      <c r="E2395" s="10">
        <v>-13.240907399401699</v>
      </c>
      <c r="F2395" s="4">
        <v>5.0929754891887699E-40</v>
      </c>
      <c r="G2395" s="4">
        <v>7.0085001592892097E-38</v>
      </c>
      <c r="H2395" s="10" t="s">
        <v>4803</v>
      </c>
      <c r="I2395" s="10" t="s">
        <v>18</v>
      </c>
    </row>
    <row r="2396" spans="1:9" x14ac:dyDescent="0.2">
      <c r="A2396" s="10" t="s">
        <v>4804</v>
      </c>
      <c r="B2396" s="10">
        <v>1121.3236292879899</v>
      </c>
      <c r="C2396" s="10">
        <v>-1.6387578248038399</v>
      </c>
      <c r="D2396" s="10">
        <v>0.21628759349170901</v>
      </c>
      <c r="E2396" s="10">
        <v>-7.5767537025495502</v>
      </c>
      <c r="F2396" s="4">
        <v>3.5430848918366899E-14</v>
      </c>
      <c r="G2396" s="4">
        <v>8.1951132468484102E-13</v>
      </c>
      <c r="H2396" s="10" t="s">
        <v>4805</v>
      </c>
      <c r="I2396" s="10" t="s">
        <v>18</v>
      </c>
    </row>
    <row r="2397" spans="1:9" x14ac:dyDescent="0.2">
      <c r="A2397" s="10" t="s">
        <v>4806</v>
      </c>
      <c r="B2397" s="10">
        <v>840.81418356280994</v>
      </c>
      <c r="C2397" s="10">
        <v>1.2616452988913101</v>
      </c>
      <c r="D2397" s="10">
        <v>0.23287665889471701</v>
      </c>
      <c r="E2397" s="10">
        <v>5.4176545853901796</v>
      </c>
      <c r="F2397" s="4">
        <v>6.0385933365725696E-8</v>
      </c>
      <c r="G2397" s="4">
        <v>6.3747986300500898E-7</v>
      </c>
      <c r="H2397" s="10" t="s">
        <v>4807</v>
      </c>
      <c r="I2397" s="10" t="s">
        <v>18</v>
      </c>
    </row>
    <row r="2398" spans="1:9" x14ac:dyDescent="0.2">
      <c r="A2398" s="10" t="s">
        <v>4808</v>
      </c>
      <c r="B2398" s="10">
        <v>160.180383838918</v>
      </c>
      <c r="C2398" s="10">
        <v>-2.00838881545226</v>
      </c>
      <c r="D2398" s="10">
        <v>0.33337687422867002</v>
      </c>
      <c r="E2398" s="10">
        <v>-6.02437952572157</v>
      </c>
      <c r="F2398" s="4">
        <v>1.69759596797423E-9</v>
      </c>
      <c r="G2398" s="4">
        <v>2.2312782122235301E-8</v>
      </c>
      <c r="H2398" s="10" t="s">
        <v>4809</v>
      </c>
      <c r="I2398" s="10" t="s">
        <v>18</v>
      </c>
    </row>
    <row r="2399" spans="1:9" x14ac:dyDescent="0.2">
      <c r="A2399" s="10" t="s">
        <v>4810</v>
      </c>
      <c r="B2399" s="10">
        <v>582.55639949503097</v>
      </c>
      <c r="C2399" s="10">
        <v>-1.0184327999712901</v>
      </c>
      <c r="D2399" s="10">
        <v>0.24351217600032299</v>
      </c>
      <c r="E2399" s="10">
        <v>-4.1822664340609297</v>
      </c>
      <c r="F2399" s="4">
        <v>2.8861745888098499E-5</v>
      </c>
      <c r="G2399" s="10">
        <v>1.85865277762472E-4</v>
      </c>
      <c r="H2399" s="10" t="s">
        <v>4811</v>
      </c>
      <c r="I2399" s="10" t="s">
        <v>18</v>
      </c>
    </row>
    <row r="2400" spans="1:9" x14ac:dyDescent="0.2">
      <c r="A2400" s="10" t="s">
        <v>4812</v>
      </c>
      <c r="B2400" s="10">
        <v>3888.5719000469899</v>
      </c>
      <c r="C2400" s="10">
        <v>2.1870760216130001</v>
      </c>
      <c r="D2400" s="10">
        <v>0.21388165230758999</v>
      </c>
      <c r="E2400" s="10">
        <v>10.225636458370399</v>
      </c>
      <c r="F2400" s="4">
        <v>1.52224685264962E-24</v>
      </c>
      <c r="G2400" s="4">
        <v>8.1646968492409596E-23</v>
      </c>
      <c r="H2400" s="10" t="s">
        <v>4813</v>
      </c>
      <c r="I2400" s="10" t="s">
        <v>18</v>
      </c>
    </row>
    <row r="2401" spans="1:9" x14ac:dyDescent="0.2">
      <c r="A2401" s="10" t="s">
        <v>4814</v>
      </c>
      <c r="B2401" s="10">
        <v>147.84900894067999</v>
      </c>
      <c r="C2401" s="10">
        <v>6.3373989280773397</v>
      </c>
      <c r="D2401" s="10">
        <v>0.62652941400332696</v>
      </c>
      <c r="E2401" s="10">
        <v>10.1150860381532</v>
      </c>
      <c r="F2401" s="4">
        <v>4.7360072170262102E-24</v>
      </c>
      <c r="G2401" s="4">
        <v>2.4579426408059702E-22</v>
      </c>
      <c r="H2401" s="10" t="s">
        <v>4815</v>
      </c>
      <c r="I2401" s="10" t="s">
        <v>18</v>
      </c>
    </row>
    <row r="2402" spans="1:9" x14ac:dyDescent="0.2">
      <c r="A2402" s="10" t="s">
        <v>4816</v>
      </c>
      <c r="B2402" s="10">
        <v>1379.4461019318801</v>
      </c>
      <c r="C2402" s="10">
        <v>9.57404812308401</v>
      </c>
      <c r="D2402" s="10">
        <v>0.58259676826498097</v>
      </c>
      <c r="E2402" s="10">
        <v>16.433404104860202</v>
      </c>
      <c r="F2402" s="4">
        <v>1.1029006184532999E-60</v>
      </c>
      <c r="G2402" s="4">
        <v>3.3389703501108E-58</v>
      </c>
      <c r="H2402" s="10" t="s">
        <v>4817</v>
      </c>
      <c r="I2402" s="10" t="s">
        <v>18</v>
      </c>
    </row>
    <row r="2403" spans="1:9" x14ac:dyDescent="0.2">
      <c r="A2403" s="10" t="s">
        <v>4818</v>
      </c>
      <c r="B2403" s="10">
        <v>51.693591766635201</v>
      </c>
      <c r="C2403" s="10">
        <v>4.4083394905207802</v>
      </c>
      <c r="D2403" s="10">
        <v>0.66477887495368604</v>
      </c>
      <c r="E2403" s="10">
        <v>6.6312869686599099</v>
      </c>
      <c r="F2403" s="4">
        <v>3.32772552888625E-11</v>
      </c>
      <c r="G2403" s="4">
        <v>5.5388233039440302E-10</v>
      </c>
      <c r="H2403" s="10" t="s">
        <v>4819</v>
      </c>
      <c r="I2403" s="10" t="s">
        <v>18</v>
      </c>
    </row>
    <row r="2404" spans="1:9" x14ac:dyDescent="0.2">
      <c r="A2404" s="10" t="s">
        <v>4820</v>
      </c>
      <c r="B2404" s="10">
        <v>537.09442284727004</v>
      </c>
      <c r="C2404" s="10">
        <v>5.0794354323753401</v>
      </c>
      <c r="D2404" s="10">
        <v>0.32231248551112801</v>
      </c>
      <c r="E2404" s="10">
        <v>15.7593505083127</v>
      </c>
      <c r="F2404" s="4">
        <v>5.9238646553136897E-56</v>
      </c>
      <c r="G2404" s="4">
        <v>1.4945142616975201E-53</v>
      </c>
      <c r="H2404" s="10" t="s">
        <v>4821</v>
      </c>
      <c r="I2404" s="10" t="s">
        <v>18</v>
      </c>
    </row>
    <row r="2405" spans="1:9" x14ac:dyDescent="0.2">
      <c r="A2405" s="10" t="s">
        <v>4822</v>
      </c>
      <c r="B2405" s="10">
        <v>821.67992900302204</v>
      </c>
      <c r="C2405" s="10">
        <v>2.79247855029196</v>
      </c>
      <c r="D2405" s="10">
        <v>0.26805345276564901</v>
      </c>
      <c r="E2405" s="10">
        <v>10.4176182827734</v>
      </c>
      <c r="F2405" s="4">
        <v>2.0604843404212699E-25</v>
      </c>
      <c r="G2405" s="4">
        <v>1.19705792800551E-23</v>
      </c>
      <c r="H2405" s="10" t="s">
        <v>4823</v>
      </c>
      <c r="I2405" s="10" t="s">
        <v>18</v>
      </c>
    </row>
    <row r="2406" spans="1:9" x14ac:dyDescent="0.2">
      <c r="A2406" s="10" t="s">
        <v>4824</v>
      </c>
      <c r="B2406" s="10">
        <v>925.43274514723896</v>
      </c>
      <c r="C2406" s="10">
        <v>4.9821321859318104</v>
      </c>
      <c r="D2406" s="10">
        <v>0.241698521492973</v>
      </c>
      <c r="E2406" s="10">
        <v>20.613002326853898</v>
      </c>
      <c r="F2406" s="4">
        <v>2.0980598555766301E-94</v>
      </c>
      <c r="G2406" s="4">
        <v>2.11725321795912E-91</v>
      </c>
      <c r="H2406" s="10" t="s">
        <v>4825</v>
      </c>
      <c r="I2406" s="10" t="s">
        <v>18</v>
      </c>
    </row>
    <row r="2407" spans="1:9" x14ac:dyDescent="0.2">
      <c r="A2407" s="10" t="s">
        <v>4826</v>
      </c>
      <c r="B2407" s="10">
        <v>59.161260960945199</v>
      </c>
      <c r="C2407" s="10">
        <v>9.2822347728936698</v>
      </c>
      <c r="D2407" s="10">
        <v>1.50988315857508</v>
      </c>
      <c r="E2407" s="10">
        <v>6.1476510418551698</v>
      </c>
      <c r="F2407" s="4">
        <v>7.8638803976411204E-10</v>
      </c>
      <c r="G2407" s="4">
        <v>1.08599670144211E-8</v>
      </c>
      <c r="H2407" s="10" t="s">
        <v>4827</v>
      </c>
      <c r="I2407" s="10" t="s">
        <v>18</v>
      </c>
    </row>
    <row r="2408" spans="1:9" x14ac:dyDescent="0.2">
      <c r="A2408" s="10" t="s">
        <v>4828</v>
      </c>
      <c r="B2408" s="10">
        <v>1087.8589368974999</v>
      </c>
      <c r="C2408" s="10">
        <v>-1.3488189341913699</v>
      </c>
      <c r="D2408" s="10">
        <v>0.201404790137027</v>
      </c>
      <c r="E2408" s="10">
        <v>-6.6970548876900802</v>
      </c>
      <c r="F2408" s="4">
        <v>2.1266176276783199E-11</v>
      </c>
      <c r="G2408" s="4">
        <v>3.6124657419794997E-10</v>
      </c>
      <c r="H2408" s="10" t="s">
        <v>4829</v>
      </c>
      <c r="I2408" s="10" t="s">
        <v>18</v>
      </c>
    </row>
    <row r="2409" spans="1:9" x14ac:dyDescent="0.2">
      <c r="A2409" s="10" t="s">
        <v>4830</v>
      </c>
      <c r="B2409" s="10">
        <v>7669.15509288266</v>
      </c>
      <c r="C2409" s="10">
        <v>-1.4471206740759299</v>
      </c>
      <c r="D2409" s="10">
        <v>0.189523288258831</v>
      </c>
      <c r="E2409" s="10">
        <v>-7.6355823464798096</v>
      </c>
      <c r="F2409" s="4">
        <v>2.24801967596571E-14</v>
      </c>
      <c r="G2409" s="4">
        <v>5.2684905070743903E-13</v>
      </c>
      <c r="H2409" s="10" t="s">
        <v>4831</v>
      </c>
      <c r="I2409" s="10" t="s">
        <v>18</v>
      </c>
    </row>
    <row r="2410" spans="1:9" x14ac:dyDescent="0.2">
      <c r="A2410" s="10" t="s">
        <v>4832</v>
      </c>
      <c r="B2410" s="10">
        <v>16.7312274259194</v>
      </c>
      <c r="C2410" s="10">
        <v>3.0352472481715802</v>
      </c>
      <c r="D2410" s="10">
        <v>0.97271617965209101</v>
      </c>
      <c r="E2410" s="10">
        <v>3.1203832234570101</v>
      </c>
      <c r="F2410" s="10">
        <v>1.8061589568109E-3</v>
      </c>
      <c r="G2410" s="10">
        <v>7.38370789140685E-3</v>
      </c>
      <c r="H2410" s="10" t="s">
        <v>4833</v>
      </c>
      <c r="I2410" s="10" t="s">
        <v>18</v>
      </c>
    </row>
    <row r="2411" spans="1:9" x14ac:dyDescent="0.2">
      <c r="A2411" s="10" t="s">
        <v>4834</v>
      </c>
      <c r="B2411" s="10">
        <v>28.6680918535139</v>
      </c>
      <c r="C2411" s="10">
        <v>2.6723050696661601</v>
      </c>
      <c r="D2411" s="10">
        <v>0.710608528352067</v>
      </c>
      <c r="E2411" s="10">
        <v>3.7605868252993702</v>
      </c>
      <c r="F2411" s="10">
        <v>1.6951522324773699E-4</v>
      </c>
      <c r="G2411" s="10">
        <v>9.2007595375121301E-4</v>
      </c>
      <c r="H2411" s="10" t="s">
        <v>4835</v>
      </c>
      <c r="I2411" s="10" t="s">
        <v>18</v>
      </c>
    </row>
    <row r="2412" spans="1:9" x14ac:dyDescent="0.2">
      <c r="A2412" s="10" t="s">
        <v>4836</v>
      </c>
      <c r="B2412" s="10">
        <v>378.28375258690602</v>
      </c>
      <c r="C2412" s="10">
        <v>1.16580679210801</v>
      </c>
      <c r="D2412" s="10">
        <v>0.26155834068478301</v>
      </c>
      <c r="E2412" s="10">
        <v>4.45715777618034</v>
      </c>
      <c r="F2412" s="4">
        <v>8.3053476375408304E-6</v>
      </c>
      <c r="G2412" s="4">
        <v>6.0057273641208899E-5</v>
      </c>
      <c r="H2412" s="10" t="s">
        <v>4837</v>
      </c>
      <c r="I2412" s="10" t="s">
        <v>18</v>
      </c>
    </row>
    <row r="2413" spans="1:9" x14ac:dyDescent="0.2">
      <c r="A2413" s="10" t="s">
        <v>4838</v>
      </c>
      <c r="B2413" s="10">
        <v>3158.5983770838302</v>
      </c>
      <c r="C2413" s="10">
        <v>1.6465220697698399</v>
      </c>
      <c r="D2413" s="10">
        <v>0.214572099627791</v>
      </c>
      <c r="E2413" s="10">
        <v>7.6735142762082802</v>
      </c>
      <c r="F2413" s="4">
        <v>1.67346897525613E-14</v>
      </c>
      <c r="G2413" s="4">
        <v>3.9462006661212301E-13</v>
      </c>
      <c r="H2413" s="10" t="s">
        <v>4839</v>
      </c>
      <c r="I2413" s="10" t="s">
        <v>18</v>
      </c>
    </row>
    <row r="2414" spans="1:9" x14ac:dyDescent="0.2">
      <c r="A2414" s="10" t="s">
        <v>4840</v>
      </c>
      <c r="B2414" s="10">
        <v>31.0613725677477</v>
      </c>
      <c r="C2414" s="10">
        <v>-1.68477170765329</v>
      </c>
      <c r="D2414" s="10">
        <v>0.630870721358604</v>
      </c>
      <c r="E2414" s="10">
        <v>-2.6705498458147998</v>
      </c>
      <c r="F2414" s="10">
        <v>7.5727127102873104E-3</v>
      </c>
      <c r="G2414" s="10">
        <v>2.51597031038687E-2</v>
      </c>
      <c r="H2414" s="10" t="s">
        <v>4841</v>
      </c>
      <c r="I2414" s="10" t="s">
        <v>18</v>
      </c>
    </row>
    <row r="2415" spans="1:9" x14ac:dyDescent="0.2">
      <c r="A2415" s="10" t="s">
        <v>4842</v>
      </c>
      <c r="B2415" s="10">
        <v>1034.5548215752101</v>
      </c>
      <c r="C2415" s="10">
        <v>1.54033801902255</v>
      </c>
      <c r="D2415" s="10">
        <v>0.196371245344617</v>
      </c>
      <c r="E2415" s="10">
        <v>7.8440100347654003</v>
      </c>
      <c r="F2415" s="4">
        <v>4.3638221066165902E-15</v>
      </c>
      <c r="G2415" s="4">
        <v>1.0978860659185801E-13</v>
      </c>
      <c r="H2415" s="10" t="s">
        <v>4843</v>
      </c>
      <c r="I2415" s="10" t="s">
        <v>18</v>
      </c>
    </row>
    <row r="2416" spans="1:9" x14ac:dyDescent="0.2">
      <c r="A2416" s="10" t="s">
        <v>4844</v>
      </c>
      <c r="B2416" s="10">
        <v>801.14892716076099</v>
      </c>
      <c r="C2416" s="10">
        <v>5.0679450872245297</v>
      </c>
      <c r="D2416" s="10">
        <v>0.27002966567437398</v>
      </c>
      <c r="E2416" s="10">
        <v>18.768104884208999</v>
      </c>
      <c r="F2416" s="4">
        <v>1.37711049743325E-78</v>
      </c>
      <c r="G2416" s="4">
        <v>8.9338404103723398E-76</v>
      </c>
      <c r="H2416" s="10" t="s">
        <v>4845</v>
      </c>
      <c r="I2416" s="10" t="s">
        <v>18</v>
      </c>
    </row>
    <row r="2417" spans="1:9" x14ac:dyDescent="0.2">
      <c r="A2417" s="10" t="s">
        <v>4846</v>
      </c>
      <c r="B2417" s="10">
        <v>25.099465886592299</v>
      </c>
      <c r="C2417" s="10">
        <v>8.0437929318565509</v>
      </c>
      <c r="D2417" s="10">
        <v>1.5895155600561599</v>
      </c>
      <c r="E2417" s="10">
        <v>5.06053110393733</v>
      </c>
      <c r="F2417" s="4">
        <v>4.1809024581598998E-7</v>
      </c>
      <c r="G2417" s="4">
        <v>3.8278578386251001E-6</v>
      </c>
      <c r="H2417" s="10" t="s">
        <v>4847</v>
      </c>
      <c r="I2417" s="10" t="s">
        <v>18</v>
      </c>
    </row>
    <row r="2418" spans="1:9" x14ac:dyDescent="0.2">
      <c r="A2418" s="10" t="s">
        <v>4848</v>
      </c>
      <c r="B2418" s="10">
        <v>82.159253288041</v>
      </c>
      <c r="C2418" s="10">
        <v>8.3084927241206206</v>
      </c>
      <c r="D2418" s="10">
        <v>1.4934055474758501</v>
      </c>
      <c r="E2418" s="10">
        <v>5.5634537705873601</v>
      </c>
      <c r="F2418" s="4">
        <v>2.6448695352249E-8</v>
      </c>
      <c r="G2418" s="4">
        <v>2.9656279928507401E-7</v>
      </c>
      <c r="H2418" s="10" t="s">
        <v>4849</v>
      </c>
      <c r="I2418" s="10" t="s">
        <v>18</v>
      </c>
    </row>
    <row r="2419" spans="1:9" x14ac:dyDescent="0.2">
      <c r="A2419" s="10" t="s">
        <v>4850</v>
      </c>
      <c r="B2419" s="10">
        <v>5.3206525851812003</v>
      </c>
      <c r="C2419" s="10">
        <v>5.8053769265941</v>
      </c>
      <c r="D2419" s="10">
        <v>2.0076052546962599</v>
      </c>
      <c r="E2419" s="10">
        <v>2.89169243456301</v>
      </c>
      <c r="F2419" s="10">
        <v>3.8317285447488402E-3</v>
      </c>
      <c r="G2419" s="10">
        <v>1.41314439169967E-2</v>
      </c>
      <c r="H2419" s="10" t="s">
        <v>4851</v>
      </c>
      <c r="I2419" s="10" t="s">
        <v>18</v>
      </c>
    </row>
    <row r="2420" spans="1:9" x14ac:dyDescent="0.2">
      <c r="A2420" s="10" t="s">
        <v>4852</v>
      </c>
      <c r="B2420" s="10">
        <v>177.10714953586199</v>
      </c>
      <c r="C2420" s="10">
        <v>-1.53394175498705</v>
      </c>
      <c r="D2420" s="10">
        <v>0.349503443092751</v>
      </c>
      <c r="E2420" s="10">
        <v>-4.3889174350135702</v>
      </c>
      <c r="F2420" s="4">
        <v>1.13916304599912E-5</v>
      </c>
      <c r="G2420" s="4">
        <v>7.9933563717199705E-5</v>
      </c>
      <c r="H2420" s="10" t="s">
        <v>4853</v>
      </c>
      <c r="I2420" s="10" t="s">
        <v>18</v>
      </c>
    </row>
    <row r="2421" spans="1:9" x14ac:dyDescent="0.2">
      <c r="A2421" s="10" t="s">
        <v>4854</v>
      </c>
      <c r="B2421" s="10">
        <v>716.50192254339402</v>
      </c>
      <c r="C2421" s="10">
        <v>2.7043093386179402</v>
      </c>
      <c r="D2421" s="10">
        <v>0.23783974248286699</v>
      </c>
      <c r="E2421" s="10">
        <v>11.3703004821103</v>
      </c>
      <c r="F2421" s="4">
        <v>5.87848696810266E-30</v>
      </c>
      <c r="G2421" s="4">
        <v>4.5763181262826596E-28</v>
      </c>
      <c r="H2421" s="10" t="s">
        <v>4855</v>
      </c>
      <c r="I2421" s="10" t="s">
        <v>18</v>
      </c>
    </row>
    <row r="2422" spans="1:9" x14ac:dyDescent="0.2">
      <c r="A2422" s="10" t="s">
        <v>4856</v>
      </c>
      <c r="B2422" s="10">
        <v>857.58134043768098</v>
      </c>
      <c r="C2422" s="10">
        <v>-1.0767197750012201</v>
      </c>
      <c r="D2422" s="10">
        <v>0.244628776476773</v>
      </c>
      <c r="E2422" s="10">
        <v>-4.40144365069599</v>
      </c>
      <c r="F2422" s="4">
        <v>1.07532996511609E-5</v>
      </c>
      <c r="G2422" s="4">
        <v>7.5846532641775906E-5</v>
      </c>
      <c r="H2422" s="10" t="s">
        <v>4857</v>
      </c>
      <c r="I2422" s="10" t="s">
        <v>18</v>
      </c>
    </row>
    <row r="2423" spans="1:9" x14ac:dyDescent="0.2">
      <c r="A2423" s="10" t="s">
        <v>4858</v>
      </c>
      <c r="B2423" s="10">
        <v>3.9618079650943998</v>
      </c>
      <c r="C2423" s="10">
        <v>5.3771408192735599</v>
      </c>
      <c r="D2423" s="10">
        <v>2.19654804218851</v>
      </c>
      <c r="E2423" s="10">
        <v>2.4479959991751898</v>
      </c>
      <c r="F2423" s="10">
        <v>1.43653250707227E-2</v>
      </c>
      <c r="G2423" s="10">
        <v>4.3002857855634E-2</v>
      </c>
      <c r="H2423" s="10" t="s">
        <v>4859</v>
      </c>
      <c r="I2423" s="10" t="s">
        <v>18</v>
      </c>
    </row>
    <row r="2424" spans="1:9" x14ac:dyDescent="0.2">
      <c r="A2424" s="10" t="s">
        <v>4860</v>
      </c>
      <c r="B2424" s="10">
        <v>57.104625918306603</v>
      </c>
      <c r="C2424" s="10">
        <v>6.7712105565324903</v>
      </c>
      <c r="D2424" s="10">
        <v>1.1319282799577</v>
      </c>
      <c r="E2424" s="10">
        <v>5.9820137692694697</v>
      </c>
      <c r="F2424" s="4">
        <v>2.2039563609642699E-9</v>
      </c>
      <c r="G2424" s="4">
        <v>2.8487286037568099E-8</v>
      </c>
      <c r="H2424" s="10" t="s">
        <v>4861</v>
      </c>
      <c r="I2424" s="10" t="s">
        <v>18</v>
      </c>
    </row>
    <row r="2425" spans="1:9" x14ac:dyDescent="0.2">
      <c r="A2425" s="10" t="s">
        <v>4862</v>
      </c>
      <c r="B2425" s="10">
        <v>1438.9596682753399</v>
      </c>
      <c r="C2425" s="10">
        <v>1.2589542231838999</v>
      </c>
      <c r="D2425" s="10">
        <v>0.19710717283457799</v>
      </c>
      <c r="E2425" s="10">
        <v>6.38715580503239</v>
      </c>
      <c r="F2425" s="4">
        <v>1.68999431246293E-10</v>
      </c>
      <c r="G2425" s="4">
        <v>2.5482719995394202E-9</v>
      </c>
      <c r="H2425" s="10" t="s">
        <v>4863</v>
      </c>
      <c r="I2425" s="10" t="s">
        <v>18</v>
      </c>
    </row>
    <row r="2426" spans="1:9" x14ac:dyDescent="0.2">
      <c r="A2426" s="10" t="s">
        <v>4864</v>
      </c>
      <c r="B2426" s="10">
        <v>24.413823155584598</v>
      </c>
      <c r="C2426" s="10">
        <v>6.5468523832485399</v>
      </c>
      <c r="D2426" s="10">
        <v>1.5773515235418001</v>
      </c>
      <c r="E2426" s="10">
        <v>4.1505347955338099</v>
      </c>
      <c r="F2426" s="4">
        <v>3.3169933554539398E-5</v>
      </c>
      <c r="G2426" s="10">
        <v>2.1056941474853499E-4</v>
      </c>
      <c r="H2426" s="10" t="s">
        <v>4865</v>
      </c>
      <c r="I2426" s="10" t="s">
        <v>18</v>
      </c>
    </row>
    <row r="2427" spans="1:9" x14ac:dyDescent="0.2">
      <c r="A2427" s="10" t="s">
        <v>4866</v>
      </c>
      <c r="B2427" s="10">
        <v>48.7547428945634</v>
      </c>
      <c r="C2427" s="10">
        <v>1.90315408733347</v>
      </c>
      <c r="D2427" s="10">
        <v>0.53586086313658099</v>
      </c>
      <c r="E2427" s="10">
        <v>3.5515825436357602</v>
      </c>
      <c r="F2427" s="10">
        <v>3.8292186325662698E-4</v>
      </c>
      <c r="G2427" s="10">
        <v>1.89527193608598E-3</v>
      </c>
      <c r="H2427" s="10" t="s">
        <v>4867</v>
      </c>
      <c r="I2427" s="10" t="s">
        <v>18</v>
      </c>
    </row>
    <row r="2428" spans="1:9" x14ac:dyDescent="0.2">
      <c r="A2428" s="10" t="s">
        <v>4868</v>
      </c>
      <c r="B2428" s="10">
        <v>9.7931356058679295</v>
      </c>
      <c r="C2428" s="10">
        <v>4.1759496989584397</v>
      </c>
      <c r="D2428" s="10">
        <v>1.44189929839652</v>
      </c>
      <c r="E2428" s="10">
        <v>2.8961451771301601</v>
      </c>
      <c r="F2428" s="10">
        <v>3.77777587344451E-3</v>
      </c>
      <c r="G2428" s="10">
        <v>1.3972181243890699E-2</v>
      </c>
      <c r="H2428" s="10" t="s">
        <v>4869</v>
      </c>
      <c r="I2428" s="10" t="s">
        <v>18</v>
      </c>
    </row>
    <row r="2429" spans="1:9" x14ac:dyDescent="0.2">
      <c r="A2429" s="10" t="s">
        <v>4870</v>
      </c>
      <c r="B2429" s="10">
        <v>15.8145032428313</v>
      </c>
      <c r="C2429" s="10">
        <v>4.2918472754774299</v>
      </c>
      <c r="D2429" s="10">
        <v>1.19013836325392</v>
      </c>
      <c r="E2429" s="10">
        <v>3.6061750532460999</v>
      </c>
      <c r="F2429" s="10">
        <v>3.10743551945533E-4</v>
      </c>
      <c r="G2429" s="10">
        <v>1.57229889690992E-3</v>
      </c>
      <c r="H2429" s="10" t="s">
        <v>4871</v>
      </c>
      <c r="I2429" s="10" t="s">
        <v>18</v>
      </c>
    </row>
    <row r="2430" spans="1:9" x14ac:dyDescent="0.2">
      <c r="A2430" s="10" t="s">
        <v>4872</v>
      </c>
      <c r="B2430" s="10">
        <v>13.660797880429</v>
      </c>
      <c r="C2430" s="10">
        <v>5.6970431901671104</v>
      </c>
      <c r="D2430" s="10">
        <v>1.67330757981237</v>
      </c>
      <c r="E2430" s="10">
        <v>3.4046598837530699</v>
      </c>
      <c r="F2430" s="10">
        <v>6.6246507165110204E-4</v>
      </c>
      <c r="G2430" s="10">
        <v>3.0786603798870198E-3</v>
      </c>
      <c r="H2430" s="10" t="s">
        <v>4873</v>
      </c>
      <c r="I2430" s="10" t="s">
        <v>18</v>
      </c>
    </row>
    <row r="2431" spans="1:9" x14ac:dyDescent="0.2">
      <c r="A2431" s="10" t="s">
        <v>4874</v>
      </c>
      <c r="B2431" s="10">
        <v>1436.6424095526399</v>
      </c>
      <c r="C2431" s="10">
        <v>2.1761300541847501</v>
      </c>
      <c r="D2431" s="10">
        <v>0.19959462784273699</v>
      </c>
      <c r="E2431" s="10">
        <v>10.902748624574</v>
      </c>
      <c r="F2431" s="4">
        <v>1.1182722797060799E-27</v>
      </c>
      <c r="G2431" s="4">
        <v>7.4135194173118294E-26</v>
      </c>
      <c r="H2431" s="10" t="s">
        <v>4875</v>
      </c>
      <c r="I2431" s="10" t="s">
        <v>18</v>
      </c>
    </row>
    <row r="2432" spans="1:9" x14ac:dyDescent="0.2">
      <c r="A2432" s="10" t="s">
        <v>4876</v>
      </c>
      <c r="B2432" s="10">
        <v>4.2939624891008599</v>
      </c>
      <c r="C2432" s="10">
        <v>5.4978614945687996</v>
      </c>
      <c r="D2432" s="10">
        <v>2.1119244238519399</v>
      </c>
      <c r="E2432" s="10">
        <v>2.6032472717661199</v>
      </c>
      <c r="F2432" s="10">
        <v>9.2345323669644607E-3</v>
      </c>
      <c r="G2432" s="10">
        <v>2.9695893237658502E-2</v>
      </c>
      <c r="H2432" s="10" t="s">
        <v>4877</v>
      </c>
      <c r="I2432" s="10" t="s">
        <v>18</v>
      </c>
    </row>
    <row r="2433" spans="1:9" x14ac:dyDescent="0.2">
      <c r="A2433" s="10" t="s">
        <v>4878</v>
      </c>
      <c r="B2433" s="10">
        <v>2108.8123684368702</v>
      </c>
      <c r="C2433" s="10">
        <v>-1.44066661438356</v>
      </c>
      <c r="D2433" s="10">
        <v>0.19540303321494701</v>
      </c>
      <c r="E2433" s="10">
        <v>-7.37279555327473</v>
      </c>
      <c r="F2433" s="4">
        <v>1.67086628102713E-13</v>
      </c>
      <c r="G2433" s="4">
        <v>3.6508495235883097E-12</v>
      </c>
      <c r="H2433" s="10" t="s">
        <v>4879</v>
      </c>
      <c r="I2433" s="10" t="s">
        <v>18</v>
      </c>
    </row>
    <row r="2434" spans="1:9" x14ac:dyDescent="0.2">
      <c r="A2434" s="10" t="s">
        <v>4880</v>
      </c>
      <c r="B2434" s="10">
        <v>134.013431751312</v>
      </c>
      <c r="C2434" s="10">
        <v>1.26917569260885</v>
      </c>
      <c r="D2434" s="10">
        <v>0.33736856113411301</v>
      </c>
      <c r="E2434" s="10">
        <v>3.7619856703373098</v>
      </c>
      <c r="F2434" s="10">
        <v>1.6856970793678E-4</v>
      </c>
      <c r="G2434" s="10">
        <v>9.15856197837178E-4</v>
      </c>
      <c r="H2434" s="10" t="s">
        <v>4881</v>
      </c>
      <c r="I2434" s="10" t="s">
        <v>18</v>
      </c>
    </row>
    <row r="2435" spans="1:9" x14ac:dyDescent="0.2">
      <c r="A2435" s="10" t="s">
        <v>4882</v>
      </c>
      <c r="B2435" s="10">
        <v>2014.16355646854</v>
      </c>
      <c r="C2435" s="10">
        <v>-1.15437078896737</v>
      </c>
      <c r="D2435" s="10">
        <v>0.18585575263697099</v>
      </c>
      <c r="E2435" s="10">
        <v>-6.2111114269472596</v>
      </c>
      <c r="F2435" s="4">
        <v>5.2611149093152198E-10</v>
      </c>
      <c r="G2435" s="4">
        <v>7.3777456476640204E-9</v>
      </c>
      <c r="H2435" s="10" t="s">
        <v>4883</v>
      </c>
      <c r="I2435" s="10" t="s">
        <v>18</v>
      </c>
    </row>
    <row r="2436" spans="1:9" x14ac:dyDescent="0.2">
      <c r="A2436" s="10" t="s">
        <v>4884</v>
      </c>
      <c r="B2436" s="10">
        <v>2498.9589406427599</v>
      </c>
      <c r="C2436" s="10">
        <v>-1.1321923262632001</v>
      </c>
      <c r="D2436" s="10">
        <v>0.18510588723132501</v>
      </c>
      <c r="E2436" s="10">
        <v>-6.1164576837489397</v>
      </c>
      <c r="F2436" s="4">
        <v>9.5678278167049192E-10</v>
      </c>
      <c r="G2436" s="4">
        <v>1.30870785402489E-8</v>
      </c>
      <c r="H2436" s="10" t="s">
        <v>4885</v>
      </c>
      <c r="I2436" s="10" t="s">
        <v>18</v>
      </c>
    </row>
    <row r="2437" spans="1:9" x14ac:dyDescent="0.2">
      <c r="A2437" s="10" t="s">
        <v>4886</v>
      </c>
      <c r="B2437" s="10">
        <v>9.6148263421546201</v>
      </c>
      <c r="C2437" s="10">
        <v>3.51557223686439</v>
      </c>
      <c r="D2437" s="10">
        <v>1.2962032815289599</v>
      </c>
      <c r="E2437" s="10">
        <v>2.7122074808494001</v>
      </c>
      <c r="F2437" s="10">
        <v>6.6836743342591296E-3</v>
      </c>
      <c r="G2437" s="10">
        <v>2.2681538745243299E-2</v>
      </c>
      <c r="H2437" s="10" t="s">
        <v>4887</v>
      </c>
      <c r="I2437" s="10" t="s">
        <v>18</v>
      </c>
    </row>
    <row r="2438" spans="1:9" x14ac:dyDescent="0.2">
      <c r="A2438" s="10" t="s">
        <v>4888</v>
      </c>
      <c r="B2438" s="10">
        <v>7.4438389945075301</v>
      </c>
      <c r="C2438" s="10">
        <v>3.7558952054261101</v>
      </c>
      <c r="D2438" s="10">
        <v>1.5484946965669</v>
      </c>
      <c r="E2438" s="10">
        <v>2.4255137675015201</v>
      </c>
      <c r="F2438" s="10">
        <v>1.5286735918998101E-2</v>
      </c>
      <c r="G2438" s="10">
        <v>4.5278583931399198E-2</v>
      </c>
      <c r="H2438" s="10" t="s">
        <v>4889</v>
      </c>
      <c r="I2438" s="10" t="s">
        <v>18</v>
      </c>
    </row>
    <row r="2439" spans="1:9" x14ac:dyDescent="0.2">
      <c r="A2439" s="10" t="s">
        <v>4890</v>
      </c>
      <c r="B2439" s="10">
        <v>696.34631696959696</v>
      </c>
      <c r="C2439" s="10">
        <v>-1.0674556757171001</v>
      </c>
      <c r="D2439" s="10">
        <v>0.21269203266313</v>
      </c>
      <c r="E2439" s="10">
        <v>-5.0187854352202104</v>
      </c>
      <c r="F2439" s="4">
        <v>5.1999188213011102E-7</v>
      </c>
      <c r="G2439" s="4">
        <v>4.6883583098607296E-6</v>
      </c>
      <c r="H2439" s="10" t="s">
        <v>4891</v>
      </c>
      <c r="I2439" s="10" t="s">
        <v>18</v>
      </c>
    </row>
    <row r="2440" spans="1:9" x14ac:dyDescent="0.2">
      <c r="A2440" s="10" t="s">
        <v>4892</v>
      </c>
      <c r="B2440" s="10">
        <v>97.510483472285799</v>
      </c>
      <c r="C2440" s="10">
        <v>2.1427492938635999</v>
      </c>
      <c r="D2440" s="10">
        <v>0.46154996342341698</v>
      </c>
      <c r="E2440" s="10">
        <v>4.64250777525874</v>
      </c>
      <c r="F2440" s="4">
        <v>3.4420568156785901E-6</v>
      </c>
      <c r="G2440" s="4">
        <v>2.6826579535696302E-5</v>
      </c>
      <c r="H2440" s="10" t="s">
        <v>4893</v>
      </c>
      <c r="I2440" s="10" t="s">
        <v>18</v>
      </c>
    </row>
    <row r="2441" spans="1:9" x14ac:dyDescent="0.2">
      <c r="A2441" s="10" t="s">
        <v>4894</v>
      </c>
      <c r="B2441" s="10">
        <v>27.227791444927401</v>
      </c>
      <c r="C2441" s="10">
        <v>3.2496586696223599</v>
      </c>
      <c r="D2441" s="10">
        <v>0.76997077781151502</v>
      </c>
      <c r="E2441" s="10">
        <v>4.2204961061754096</v>
      </c>
      <c r="F2441" s="4">
        <v>2.4376526789065499E-5</v>
      </c>
      <c r="G2441" s="10">
        <v>1.5908676058003999E-4</v>
      </c>
      <c r="H2441" s="10" t="s">
        <v>4895</v>
      </c>
      <c r="I2441" s="10" t="s">
        <v>18</v>
      </c>
    </row>
    <row r="2442" spans="1:9" x14ac:dyDescent="0.2">
      <c r="A2442" s="10" t="s">
        <v>4896</v>
      </c>
      <c r="B2442" s="10">
        <v>1540.4665870973799</v>
      </c>
      <c r="C2442" s="10">
        <v>1.56211119558972</v>
      </c>
      <c r="D2442" s="10">
        <v>0.207220032536058</v>
      </c>
      <c r="E2442" s="10">
        <v>7.5384178666118897</v>
      </c>
      <c r="F2442" s="4">
        <v>4.7570744080971098E-14</v>
      </c>
      <c r="G2442" s="4">
        <v>1.0892101377934599E-12</v>
      </c>
      <c r="H2442" s="10" t="s">
        <v>4897</v>
      </c>
      <c r="I2442" s="10" t="s">
        <v>18</v>
      </c>
    </row>
    <row r="2443" spans="1:9" x14ac:dyDescent="0.2">
      <c r="A2443" s="10" t="s">
        <v>4898</v>
      </c>
      <c r="B2443" s="10">
        <v>28683.031721372899</v>
      </c>
      <c r="C2443" s="10">
        <v>-1.2441136447059</v>
      </c>
      <c r="D2443" s="10">
        <v>0.17827280685760499</v>
      </c>
      <c r="E2443" s="10">
        <v>-6.9787067732637196</v>
      </c>
      <c r="F2443" s="4">
        <v>2.9790951740912401E-12</v>
      </c>
      <c r="G2443" s="4">
        <v>5.5673118112801202E-11</v>
      </c>
      <c r="H2443" s="10" t="s">
        <v>4899</v>
      </c>
      <c r="I2443" s="10" t="s">
        <v>18</v>
      </c>
    </row>
    <row r="2444" spans="1:9" x14ac:dyDescent="0.2">
      <c r="A2444" s="10" t="s">
        <v>4900</v>
      </c>
      <c r="B2444" s="10">
        <v>670.52870908424097</v>
      </c>
      <c r="C2444" s="10">
        <v>1.19882088406201</v>
      </c>
      <c r="D2444" s="10">
        <v>0.220732940721836</v>
      </c>
      <c r="E2444" s="10">
        <v>5.4310918893285596</v>
      </c>
      <c r="F2444" s="4">
        <v>5.6010282651078797E-8</v>
      </c>
      <c r="G2444" s="4">
        <v>5.9451194834201096E-7</v>
      </c>
      <c r="H2444" s="10" t="s">
        <v>4901</v>
      </c>
      <c r="I2444" s="10" t="s">
        <v>18</v>
      </c>
    </row>
    <row r="2445" spans="1:9" x14ac:dyDescent="0.2">
      <c r="A2445" s="10" t="s">
        <v>4902</v>
      </c>
      <c r="B2445" s="10">
        <v>12.441609063583501</v>
      </c>
      <c r="C2445" s="10">
        <v>2.5684182284812902</v>
      </c>
      <c r="D2445" s="10">
        <v>1.05923049075061</v>
      </c>
      <c r="E2445" s="10">
        <v>2.4247963506613299</v>
      </c>
      <c r="F2445" s="10">
        <v>1.5316976273085601E-2</v>
      </c>
      <c r="G2445" s="10">
        <v>4.5363223099213298E-2</v>
      </c>
      <c r="H2445" s="10" t="s">
        <v>4903</v>
      </c>
      <c r="I2445" s="10" t="s">
        <v>18</v>
      </c>
    </row>
    <row r="2446" spans="1:9" x14ac:dyDescent="0.2">
      <c r="A2446" s="10" t="s">
        <v>4904</v>
      </c>
      <c r="B2446" s="10">
        <v>4.2939624891008599</v>
      </c>
      <c r="C2446" s="10">
        <v>5.4978614945687996</v>
      </c>
      <c r="D2446" s="10">
        <v>2.1119244238519399</v>
      </c>
      <c r="E2446" s="10">
        <v>2.6032472717661199</v>
      </c>
      <c r="F2446" s="10">
        <v>9.2345323669644607E-3</v>
      </c>
      <c r="G2446" s="10">
        <v>2.9695893237658502E-2</v>
      </c>
      <c r="H2446" s="10" t="s">
        <v>4905</v>
      </c>
      <c r="I2446" s="10" t="s">
        <v>18</v>
      </c>
    </row>
    <row r="2447" spans="1:9" x14ac:dyDescent="0.2">
      <c r="A2447" s="10" t="s">
        <v>4906</v>
      </c>
      <c r="B2447" s="10">
        <v>8.6634503470981308</v>
      </c>
      <c r="C2447" s="10">
        <v>3.9784368078017298</v>
      </c>
      <c r="D2447" s="10">
        <v>1.45831152382916</v>
      </c>
      <c r="E2447" s="10">
        <v>2.7281117530741001</v>
      </c>
      <c r="F2447" s="10">
        <v>6.3698024267949301E-3</v>
      </c>
      <c r="G2447" s="10">
        <v>2.1775395001777501E-2</v>
      </c>
      <c r="H2447" s="10" t="s">
        <v>4907</v>
      </c>
      <c r="I2447" s="10" t="s">
        <v>18</v>
      </c>
    </row>
    <row r="2448" spans="1:9" x14ac:dyDescent="0.2">
      <c r="A2448" s="10" t="s">
        <v>4908</v>
      </c>
      <c r="B2448" s="10">
        <v>644.86224483004696</v>
      </c>
      <c r="C2448" s="10">
        <v>-2.3841100886959499</v>
      </c>
      <c r="D2448" s="10">
        <v>0.224524559297792</v>
      </c>
      <c r="E2448" s="10">
        <v>-10.618482433067999</v>
      </c>
      <c r="F2448" s="4">
        <v>2.44503614600642E-26</v>
      </c>
      <c r="G2448" s="4">
        <v>1.4970764015783599E-24</v>
      </c>
      <c r="H2448" s="10" t="s">
        <v>4909</v>
      </c>
      <c r="I2448" s="10" t="s">
        <v>18</v>
      </c>
    </row>
    <row r="2449" spans="1:9" x14ac:dyDescent="0.2">
      <c r="A2449" s="10" t="s">
        <v>4910</v>
      </c>
      <c r="B2449" s="10">
        <v>446.54432648236099</v>
      </c>
      <c r="C2449" s="10">
        <v>-1.6471188501021901</v>
      </c>
      <c r="D2449" s="10">
        <v>0.231415486909651</v>
      </c>
      <c r="E2449" s="10">
        <v>-7.1175826306959902</v>
      </c>
      <c r="F2449" s="4">
        <v>1.09836373124443E-12</v>
      </c>
      <c r="G2449" s="4">
        <v>2.16236391511683E-11</v>
      </c>
      <c r="H2449" s="10" t="s">
        <v>4911</v>
      </c>
      <c r="I2449" s="10" t="s">
        <v>18</v>
      </c>
    </row>
    <row r="2450" spans="1:9" x14ac:dyDescent="0.2">
      <c r="A2450" s="10" t="s">
        <v>4912</v>
      </c>
      <c r="B2450" s="10">
        <v>5.5078546899607002</v>
      </c>
      <c r="C2450" s="10">
        <v>5.8620619817983002</v>
      </c>
      <c r="D2450" s="10">
        <v>2.00830111421228</v>
      </c>
      <c r="E2450" s="10">
        <v>2.91891586391794</v>
      </c>
      <c r="F2450" s="10">
        <v>3.5125101304176601E-3</v>
      </c>
      <c r="G2450" s="10">
        <v>1.3124707010901E-2</v>
      </c>
      <c r="H2450" s="10" t="s">
        <v>4913</v>
      </c>
      <c r="I2450" s="10" t="s">
        <v>18</v>
      </c>
    </row>
    <row r="2451" spans="1:9" x14ac:dyDescent="0.2">
      <c r="A2451" s="10" t="s">
        <v>4914</v>
      </c>
      <c r="B2451" s="10">
        <v>117.896795892665</v>
      </c>
      <c r="C2451" s="10">
        <v>-1.9728848971255</v>
      </c>
      <c r="D2451" s="10">
        <v>0.36442210007581999</v>
      </c>
      <c r="E2451" s="10">
        <v>-5.41373560142216</v>
      </c>
      <c r="F2451" s="4">
        <v>6.1723287439930396E-8</v>
      </c>
      <c r="G2451" s="4">
        <v>6.5033813336263798E-7</v>
      </c>
      <c r="H2451" s="10" t="s">
        <v>4915</v>
      </c>
      <c r="I2451" s="10" t="s">
        <v>18</v>
      </c>
    </row>
    <row r="2452" spans="1:9" x14ac:dyDescent="0.2">
      <c r="A2452" s="10" t="s">
        <v>4916</v>
      </c>
      <c r="B2452" s="10">
        <v>13.917513773359101</v>
      </c>
      <c r="C2452" s="10">
        <v>4.0808174149808298</v>
      </c>
      <c r="D2452" s="10">
        <v>1.18061307553135</v>
      </c>
      <c r="E2452" s="10">
        <v>3.45652398703462</v>
      </c>
      <c r="F2452" s="10">
        <v>5.4719050479624996E-4</v>
      </c>
      <c r="G2452" s="10">
        <v>2.5956301678592298E-3</v>
      </c>
      <c r="H2452" s="10" t="s">
        <v>4917</v>
      </c>
      <c r="I2452" s="10" t="s">
        <v>18</v>
      </c>
    </row>
    <row r="2453" spans="1:9" x14ac:dyDescent="0.2">
      <c r="A2453" s="10" t="s">
        <v>4918</v>
      </c>
      <c r="B2453" s="10">
        <v>994.44267642093803</v>
      </c>
      <c r="C2453" s="10">
        <v>1.32026502597019</v>
      </c>
      <c r="D2453" s="10">
        <v>0.19796119074568</v>
      </c>
      <c r="E2453" s="10">
        <v>6.6693124091495797</v>
      </c>
      <c r="F2453" s="4">
        <v>2.5700465022046799E-11</v>
      </c>
      <c r="G2453" s="4">
        <v>4.3306157727625798E-10</v>
      </c>
      <c r="H2453" s="10" t="s">
        <v>4919</v>
      </c>
      <c r="I2453" s="10" t="s">
        <v>18</v>
      </c>
    </row>
    <row r="2454" spans="1:9" x14ac:dyDescent="0.2">
      <c r="A2454" s="10" t="s">
        <v>4920</v>
      </c>
      <c r="B2454" s="10">
        <v>2509.68171502315</v>
      </c>
      <c r="C2454" s="10">
        <v>1.0551207415838399</v>
      </c>
      <c r="D2454" s="10">
        <v>0.18568954700348</v>
      </c>
      <c r="E2454" s="10">
        <v>5.6821762916146596</v>
      </c>
      <c r="F2454" s="4">
        <v>1.3299146928683299E-8</v>
      </c>
      <c r="G2454" s="4">
        <v>1.555868855156E-7</v>
      </c>
      <c r="H2454" s="10" t="s">
        <v>4921</v>
      </c>
      <c r="I2454" s="10" t="s">
        <v>18</v>
      </c>
    </row>
    <row r="2455" spans="1:9" x14ac:dyDescent="0.2">
      <c r="A2455" s="10" t="s">
        <v>4922</v>
      </c>
      <c r="B2455" s="10">
        <v>3300.8498932206398</v>
      </c>
      <c r="C2455" s="10">
        <v>-1.21971541110654</v>
      </c>
      <c r="D2455" s="10">
        <v>0.20374621776556301</v>
      </c>
      <c r="E2455" s="10">
        <v>-5.9864444330936601</v>
      </c>
      <c r="F2455" s="4">
        <v>2.1447781503432199E-9</v>
      </c>
      <c r="G2455" s="4">
        <v>2.7801508212370001E-8</v>
      </c>
      <c r="H2455" s="10" t="s">
        <v>4923</v>
      </c>
      <c r="I2455" s="10" t="s">
        <v>18</v>
      </c>
    </row>
    <row r="2456" spans="1:9" x14ac:dyDescent="0.2">
      <c r="A2456" s="10" t="s">
        <v>4924</v>
      </c>
      <c r="B2456" s="10">
        <v>2024.96527102083</v>
      </c>
      <c r="C2456" s="10">
        <v>-1.2182766831846701</v>
      </c>
      <c r="D2456" s="10">
        <v>0.21306942379624799</v>
      </c>
      <c r="E2456" s="10">
        <v>-5.7177452375788604</v>
      </c>
      <c r="F2456" s="4">
        <v>1.0794682025080299E-8</v>
      </c>
      <c r="G2456" s="4">
        <v>1.2754670474300201E-7</v>
      </c>
      <c r="H2456" s="10" t="s">
        <v>4925</v>
      </c>
      <c r="I2456" s="10" t="s">
        <v>18</v>
      </c>
    </row>
    <row r="2457" spans="1:9" x14ac:dyDescent="0.2">
      <c r="A2457" s="10" t="s">
        <v>4926</v>
      </c>
      <c r="B2457" s="10">
        <v>3138.3656337265202</v>
      </c>
      <c r="C2457" s="10">
        <v>2.7176025323178301</v>
      </c>
      <c r="D2457" s="10">
        <v>0.184115616648001</v>
      </c>
      <c r="E2457" s="10">
        <v>14.760304322872599</v>
      </c>
      <c r="F2457" s="4">
        <v>2.64086486658305E-49</v>
      </c>
      <c r="G2457" s="4">
        <v>5.1032372354459903E-47</v>
      </c>
      <c r="H2457" s="10" t="s">
        <v>4927</v>
      </c>
      <c r="I2457" s="10" t="s">
        <v>18</v>
      </c>
    </row>
    <row r="2458" spans="1:9" x14ac:dyDescent="0.2">
      <c r="A2458" s="10" t="s">
        <v>4928</v>
      </c>
      <c r="B2458" s="10">
        <v>6.5317068946306804</v>
      </c>
      <c r="C2458" s="10">
        <v>4.6096011809926702</v>
      </c>
      <c r="D2458" s="10">
        <v>1.89037636373024</v>
      </c>
      <c r="E2458" s="10">
        <v>2.4384568435338601</v>
      </c>
      <c r="F2458" s="10">
        <v>1.47501198182108E-2</v>
      </c>
      <c r="G2458" s="10">
        <v>4.3947131184995998E-2</v>
      </c>
      <c r="H2458" s="10" t="s">
        <v>4929</v>
      </c>
      <c r="I2458" s="10" t="s">
        <v>18</v>
      </c>
    </row>
    <row r="2459" spans="1:9" x14ac:dyDescent="0.2">
      <c r="A2459" s="10" t="s">
        <v>4930</v>
      </c>
      <c r="B2459" s="10">
        <v>232.01786490046601</v>
      </c>
      <c r="C2459" s="10">
        <v>3.2410211639312299</v>
      </c>
      <c r="D2459" s="10">
        <v>0.30371672364452301</v>
      </c>
      <c r="E2459" s="10">
        <v>10.671197572000001</v>
      </c>
      <c r="F2459" s="4">
        <v>1.38825461163544E-26</v>
      </c>
      <c r="G2459" s="4">
        <v>8.6163492945855994E-25</v>
      </c>
      <c r="H2459" s="10" t="s">
        <v>4931</v>
      </c>
      <c r="I2459" s="10" t="s">
        <v>18</v>
      </c>
    </row>
    <row r="2460" spans="1:9" x14ac:dyDescent="0.2">
      <c r="A2460" s="10" t="s">
        <v>4932</v>
      </c>
      <c r="B2460" s="10">
        <v>24.405607487046101</v>
      </c>
      <c r="C2460" s="10">
        <v>2.9275264289471998</v>
      </c>
      <c r="D2460" s="10">
        <v>0.78010130859039795</v>
      </c>
      <c r="E2460" s="10">
        <v>3.7527515935553102</v>
      </c>
      <c r="F2460" s="10">
        <v>1.74904149458079E-4</v>
      </c>
      <c r="G2460" s="10">
        <v>9.4480835850204001E-4</v>
      </c>
      <c r="H2460" s="10" t="s">
        <v>4933</v>
      </c>
      <c r="I2460" s="10" t="s">
        <v>18</v>
      </c>
    </row>
    <row r="2461" spans="1:9" x14ac:dyDescent="0.2">
      <c r="A2461" s="10" t="s">
        <v>4934</v>
      </c>
      <c r="B2461" s="10">
        <v>70.584482334807007</v>
      </c>
      <c r="C2461" s="10">
        <v>8.0889837380799605</v>
      </c>
      <c r="D2461" s="10">
        <v>1.49376320258505</v>
      </c>
      <c r="E2461" s="10">
        <v>5.4151713766154197</v>
      </c>
      <c r="F2461" s="4">
        <v>6.12300313300393E-8</v>
      </c>
      <c r="G2461" s="4">
        <v>6.4539058555109503E-7</v>
      </c>
      <c r="H2461" s="10" t="s">
        <v>4935</v>
      </c>
      <c r="I2461" s="10" t="s">
        <v>18</v>
      </c>
    </row>
    <row r="2462" spans="1:9" x14ac:dyDescent="0.2">
      <c r="A2462" s="10" t="s">
        <v>4936</v>
      </c>
      <c r="B2462" s="10">
        <v>119.09253949395099</v>
      </c>
      <c r="C2462" s="10">
        <v>10.2916423855402</v>
      </c>
      <c r="D2462" s="10">
        <v>1.48221282255604</v>
      </c>
      <c r="E2462" s="10">
        <v>6.9434309492697999</v>
      </c>
      <c r="F2462" s="4">
        <v>3.8268970709937398E-12</v>
      </c>
      <c r="G2462" s="4">
        <v>7.0406120522192001E-11</v>
      </c>
      <c r="H2462" s="10" t="s">
        <v>4937</v>
      </c>
      <c r="I2462" s="10" t="s">
        <v>18</v>
      </c>
    </row>
    <row r="2463" spans="1:9" x14ac:dyDescent="0.2">
      <c r="A2463" s="10" t="s">
        <v>4938</v>
      </c>
      <c r="B2463" s="10">
        <v>285.65387995761398</v>
      </c>
      <c r="C2463" s="10">
        <v>8.5231194543229005</v>
      </c>
      <c r="D2463" s="10">
        <v>0.87214074558896904</v>
      </c>
      <c r="E2463" s="10">
        <v>9.77264219958799</v>
      </c>
      <c r="F2463" s="4">
        <v>1.4755285076919699E-22</v>
      </c>
      <c r="G2463" s="4">
        <v>6.8841995289525696E-21</v>
      </c>
      <c r="H2463" s="10" t="s">
        <v>4939</v>
      </c>
      <c r="I2463" s="10" t="s">
        <v>18</v>
      </c>
    </row>
    <row r="2464" spans="1:9" x14ac:dyDescent="0.2">
      <c r="A2464" s="10" t="s">
        <v>4940</v>
      </c>
      <c r="B2464" s="10">
        <v>786.17142933196703</v>
      </c>
      <c r="C2464" s="10">
        <v>-1.9861247311625201</v>
      </c>
      <c r="D2464" s="10">
        <v>0.226405212640888</v>
      </c>
      <c r="E2464" s="10">
        <v>-8.7724337615530494</v>
      </c>
      <c r="F2464" s="4">
        <v>1.74845373776017E-18</v>
      </c>
      <c r="G2464" s="4">
        <v>5.9180272040684895E-17</v>
      </c>
      <c r="H2464" s="10" t="s">
        <v>4941</v>
      </c>
      <c r="I2464" s="10" t="s">
        <v>18</v>
      </c>
    </row>
    <row r="2465" spans="1:9" x14ac:dyDescent="0.2">
      <c r="A2465" s="10" t="s">
        <v>4942</v>
      </c>
      <c r="B2465" s="10">
        <v>431.02508857785301</v>
      </c>
      <c r="C2465" s="10">
        <v>-1.4840711208055299</v>
      </c>
      <c r="D2465" s="10">
        <v>0.28479981899942602</v>
      </c>
      <c r="E2465" s="10">
        <v>-5.2109271909632904</v>
      </c>
      <c r="F2465" s="4">
        <v>1.87899188031587E-7</v>
      </c>
      <c r="G2465" s="4">
        <v>1.82650345212153E-6</v>
      </c>
      <c r="H2465" s="10" t="s">
        <v>4943</v>
      </c>
      <c r="I2465" s="10" t="s">
        <v>18</v>
      </c>
    </row>
    <row r="2466" spans="1:9" x14ac:dyDescent="0.2">
      <c r="A2466" s="10" t="s">
        <v>4944</v>
      </c>
      <c r="B2466" s="10">
        <v>3511.3886967264002</v>
      </c>
      <c r="C2466" s="10">
        <v>1.2531748916532699</v>
      </c>
      <c r="D2466" s="10">
        <v>0.20001120735802499</v>
      </c>
      <c r="E2466" s="10">
        <v>6.2655233584488697</v>
      </c>
      <c r="F2466" s="4">
        <v>3.7157529437030101E-10</v>
      </c>
      <c r="G2466" s="4">
        <v>5.3229821481112398E-9</v>
      </c>
      <c r="H2466" s="10" t="s">
        <v>4945</v>
      </c>
      <c r="I2466" s="10" t="s">
        <v>18</v>
      </c>
    </row>
    <row r="2467" spans="1:9" x14ac:dyDescent="0.2">
      <c r="A2467" s="10" t="s">
        <v>4946</v>
      </c>
      <c r="B2467" s="10">
        <v>10.335704639502</v>
      </c>
      <c r="C2467" s="10">
        <v>3.15605885328665</v>
      </c>
      <c r="D2467" s="10">
        <v>1.2595191368676499</v>
      </c>
      <c r="E2467" s="10">
        <v>2.50576490734041</v>
      </c>
      <c r="F2467" s="10">
        <v>1.22186830770137E-2</v>
      </c>
      <c r="G2467" s="10">
        <v>3.7588625697120098E-2</v>
      </c>
      <c r="H2467" s="10" t="s">
        <v>4947</v>
      </c>
      <c r="I2467" s="10" t="s">
        <v>18</v>
      </c>
    </row>
    <row r="2468" spans="1:9" x14ac:dyDescent="0.2">
      <c r="A2468" s="10" t="s">
        <v>4948</v>
      </c>
      <c r="B2468" s="10">
        <v>1297.92648187654</v>
      </c>
      <c r="C2468" s="10">
        <v>-1.62421985120965</v>
      </c>
      <c r="D2468" s="10">
        <v>0.19327653990888399</v>
      </c>
      <c r="E2468" s="10">
        <v>-8.4036057970374891</v>
      </c>
      <c r="F2468" s="4">
        <v>4.32974386083335E-17</v>
      </c>
      <c r="G2468" s="4">
        <v>1.2978276234997401E-15</v>
      </c>
      <c r="H2468" s="10" t="s">
        <v>4949</v>
      </c>
      <c r="I2468" s="10" t="s">
        <v>18</v>
      </c>
    </row>
    <row r="2469" spans="1:9" x14ac:dyDescent="0.2">
      <c r="A2469" s="10" t="s">
        <v>4950</v>
      </c>
      <c r="B2469" s="10">
        <v>5129.3260780239598</v>
      </c>
      <c r="C2469" s="10">
        <v>1.6872082650102</v>
      </c>
      <c r="D2469" s="10">
        <v>0.193072987791854</v>
      </c>
      <c r="E2469" s="10">
        <v>8.7387069745309205</v>
      </c>
      <c r="F2469" s="4">
        <v>2.3579358859294899E-18</v>
      </c>
      <c r="G2469" s="4">
        <v>7.8733675347942205E-17</v>
      </c>
      <c r="H2469" s="10" t="s">
        <v>4951</v>
      </c>
      <c r="I2469" s="10" t="s">
        <v>18</v>
      </c>
    </row>
    <row r="2470" spans="1:9" x14ac:dyDescent="0.2">
      <c r="A2470" s="10" t="s">
        <v>4952</v>
      </c>
      <c r="B2470" s="10">
        <v>7.92967087984462</v>
      </c>
      <c r="C2470" s="10">
        <v>3.8425499193354402</v>
      </c>
      <c r="D2470" s="10">
        <v>1.48861607842969</v>
      </c>
      <c r="E2470" s="10">
        <v>2.5812900821203399</v>
      </c>
      <c r="F2470" s="10">
        <v>9.8431833520355103E-3</v>
      </c>
      <c r="G2470" s="10">
        <v>3.1379105743876402E-2</v>
      </c>
      <c r="H2470" s="10" t="s">
        <v>4953</v>
      </c>
      <c r="I2470" s="10" t="s">
        <v>18</v>
      </c>
    </row>
    <row r="2471" spans="1:9" x14ac:dyDescent="0.2">
      <c r="A2471" s="10" t="s">
        <v>4954</v>
      </c>
      <c r="B2471" s="10">
        <v>81.675800055628201</v>
      </c>
      <c r="C2471" s="10">
        <v>1.07803294546717</v>
      </c>
      <c r="D2471" s="10">
        <v>0.42508258195764898</v>
      </c>
      <c r="E2471" s="10">
        <v>2.5360553248323199</v>
      </c>
      <c r="F2471" s="10">
        <v>1.12109021124923E-2</v>
      </c>
      <c r="G2471" s="10">
        <v>3.50422679659377E-2</v>
      </c>
      <c r="H2471" s="10" t="s">
        <v>4955</v>
      </c>
      <c r="I2471" s="10" t="s">
        <v>18</v>
      </c>
    </row>
    <row r="2472" spans="1:9" x14ac:dyDescent="0.2">
      <c r="A2472" s="10" t="s">
        <v>4956</v>
      </c>
      <c r="B2472" s="10">
        <v>62.3827572528917</v>
      </c>
      <c r="C2472" s="10">
        <v>2.7071635907499698</v>
      </c>
      <c r="D2472" s="10">
        <v>0.50230293240908797</v>
      </c>
      <c r="E2472" s="10">
        <v>5.38950385530537</v>
      </c>
      <c r="F2472" s="4">
        <v>7.0652464394189803E-8</v>
      </c>
      <c r="G2472" s="4">
        <v>7.3672701773765403E-7</v>
      </c>
      <c r="H2472" s="10" t="s">
        <v>4957</v>
      </c>
      <c r="I2472" s="10" t="s">
        <v>18</v>
      </c>
    </row>
    <row r="2473" spans="1:9" x14ac:dyDescent="0.2">
      <c r="A2473" s="10" t="s">
        <v>4958</v>
      </c>
      <c r="B2473" s="10">
        <v>1060.80961925681</v>
      </c>
      <c r="C2473" s="10">
        <v>-2.1724200895831798</v>
      </c>
      <c r="D2473" s="10">
        <v>0.210180788445089</v>
      </c>
      <c r="E2473" s="10">
        <v>-10.3359593693348</v>
      </c>
      <c r="F2473" s="4">
        <v>4.84539119196113E-25</v>
      </c>
      <c r="G2473" s="4">
        <v>2.7109317003565701E-23</v>
      </c>
      <c r="H2473" s="10" t="s">
        <v>4959</v>
      </c>
      <c r="I2473" s="10" t="s">
        <v>18</v>
      </c>
    </row>
    <row r="2474" spans="1:9" x14ac:dyDescent="0.2">
      <c r="A2474" s="10" t="s">
        <v>4960</v>
      </c>
      <c r="B2474" s="10">
        <v>5444.2282122251099</v>
      </c>
      <c r="C2474" s="10">
        <v>-1.2546512071220599</v>
      </c>
      <c r="D2474" s="10">
        <v>0.18924413768704201</v>
      </c>
      <c r="E2474" s="10">
        <v>-6.6298022356545401</v>
      </c>
      <c r="F2474" s="4">
        <v>3.3613691246098697E-11</v>
      </c>
      <c r="G2474" s="4">
        <v>5.5914056494655103E-10</v>
      </c>
      <c r="H2474" s="10" t="s">
        <v>4961</v>
      </c>
      <c r="I2474" s="10" t="s">
        <v>18</v>
      </c>
    </row>
    <row r="2475" spans="1:9" x14ac:dyDescent="0.2">
      <c r="A2475" s="10" t="s">
        <v>4962</v>
      </c>
      <c r="B2475" s="10">
        <v>155.95415532848</v>
      </c>
      <c r="C2475" s="10">
        <v>-1.9909871309371501</v>
      </c>
      <c r="D2475" s="10">
        <v>0.351819513851928</v>
      </c>
      <c r="E2475" s="10">
        <v>-5.6591151216674804</v>
      </c>
      <c r="F2475" s="4">
        <v>1.5215546816487701E-8</v>
      </c>
      <c r="G2475" s="4">
        <v>1.7641617196120901E-7</v>
      </c>
      <c r="H2475" s="10" t="s">
        <v>4963</v>
      </c>
      <c r="I2475" s="10" t="s">
        <v>18</v>
      </c>
    </row>
    <row r="2476" spans="1:9" x14ac:dyDescent="0.2">
      <c r="A2476" s="10" t="s">
        <v>4964</v>
      </c>
      <c r="B2476" s="10">
        <v>1985.4437880809301</v>
      </c>
      <c r="C2476" s="10">
        <v>-2.0375195416045102</v>
      </c>
      <c r="D2476" s="10">
        <v>0.22212426232076601</v>
      </c>
      <c r="E2476" s="10">
        <v>-9.1728815227854703</v>
      </c>
      <c r="F2476" s="4">
        <v>4.6054050149621801E-20</v>
      </c>
      <c r="G2476" s="4">
        <v>1.78751382396972E-18</v>
      </c>
      <c r="H2476" s="10" t="s">
        <v>4965</v>
      </c>
      <c r="I2476" s="10" t="s">
        <v>18</v>
      </c>
    </row>
    <row r="2477" spans="1:9" x14ac:dyDescent="0.2">
      <c r="A2477" s="10" t="s">
        <v>4966</v>
      </c>
      <c r="B2477" s="10">
        <v>823.20279677065298</v>
      </c>
      <c r="C2477" s="10">
        <v>1.09987821523413</v>
      </c>
      <c r="D2477" s="10">
        <v>0.220865841308542</v>
      </c>
      <c r="E2477" s="10">
        <v>4.9798475342216504</v>
      </c>
      <c r="F2477" s="4">
        <v>6.3634384908248299E-7</v>
      </c>
      <c r="G2477" s="4">
        <v>5.6330282183074803E-6</v>
      </c>
      <c r="H2477" s="10" t="s">
        <v>4967</v>
      </c>
      <c r="I2477" s="10" t="s">
        <v>18</v>
      </c>
    </row>
    <row r="2478" spans="1:9" x14ac:dyDescent="0.2">
      <c r="A2478" s="10" t="s">
        <v>4968</v>
      </c>
      <c r="B2478" s="10">
        <v>4.9915038515476402</v>
      </c>
      <c r="C2478" s="10">
        <v>5.7155107172183204</v>
      </c>
      <c r="D2478" s="10">
        <v>2.03125899621197</v>
      </c>
      <c r="E2478" s="10">
        <v>2.81377742960253</v>
      </c>
      <c r="F2478" s="10">
        <v>4.8963116077231396E-3</v>
      </c>
      <c r="G2478" s="10">
        <v>1.7423247012620099E-2</v>
      </c>
      <c r="H2478" s="10" t="s">
        <v>4969</v>
      </c>
      <c r="I2478" s="10" t="s">
        <v>18</v>
      </c>
    </row>
    <row r="2479" spans="1:9" x14ac:dyDescent="0.2">
      <c r="A2479" s="10" t="s">
        <v>4970</v>
      </c>
      <c r="B2479" s="10">
        <v>160.85422827771001</v>
      </c>
      <c r="C2479" s="10">
        <v>2.0239857107248902</v>
      </c>
      <c r="D2479" s="10">
        <v>0.31923827915451902</v>
      </c>
      <c r="E2479" s="10">
        <v>6.3400470522685399</v>
      </c>
      <c r="F2479" s="4">
        <v>2.2969500188658699E-10</v>
      </c>
      <c r="G2479" s="4">
        <v>3.3738542945573298E-9</v>
      </c>
      <c r="H2479" s="10" t="s">
        <v>4971</v>
      </c>
      <c r="I2479" s="10" t="s">
        <v>18</v>
      </c>
    </row>
    <row r="2480" spans="1:9" x14ac:dyDescent="0.2">
      <c r="A2480" s="10" t="s">
        <v>4972</v>
      </c>
      <c r="B2480" s="10">
        <v>392.18456140826697</v>
      </c>
      <c r="C2480" s="10">
        <v>-2.2067689967930399</v>
      </c>
      <c r="D2480" s="10">
        <v>0.26096815862719303</v>
      </c>
      <c r="E2480" s="10">
        <v>-8.4560852496397008</v>
      </c>
      <c r="F2480" s="4">
        <v>2.7650349442665501E-17</v>
      </c>
      <c r="G2480" s="4">
        <v>8.4745677307571203E-16</v>
      </c>
      <c r="H2480" s="10" t="s">
        <v>4973</v>
      </c>
      <c r="I2480" s="10" t="s">
        <v>18</v>
      </c>
    </row>
    <row r="2481" spans="1:9" x14ac:dyDescent="0.2">
      <c r="A2481" s="10" t="s">
        <v>4974</v>
      </c>
      <c r="B2481" s="10">
        <v>1221.40932902236</v>
      </c>
      <c r="C2481" s="10">
        <v>1.2334246547097201</v>
      </c>
      <c r="D2481" s="10">
        <v>0.23842067270634701</v>
      </c>
      <c r="E2481" s="10">
        <v>5.1733125349783702</v>
      </c>
      <c r="F2481" s="4">
        <v>2.29979852145509E-7</v>
      </c>
      <c r="G2481" s="4">
        <v>2.1963761063472401E-6</v>
      </c>
      <c r="H2481" s="10" t="s">
        <v>4975</v>
      </c>
      <c r="I2481" s="10" t="s">
        <v>18</v>
      </c>
    </row>
    <row r="2482" spans="1:9" x14ac:dyDescent="0.2">
      <c r="A2482" s="10" t="s">
        <v>4976</v>
      </c>
      <c r="B2482" s="10">
        <v>847.704091390347</v>
      </c>
      <c r="C2482" s="10">
        <v>-1.1907091807210901</v>
      </c>
      <c r="D2482" s="10">
        <v>0.21577349853653899</v>
      </c>
      <c r="E2482" s="10">
        <v>-5.5183291219586801</v>
      </c>
      <c r="F2482" s="4">
        <v>3.4223802672238698E-8</v>
      </c>
      <c r="G2482" s="4">
        <v>3.7676604097393398E-7</v>
      </c>
      <c r="H2482" s="10" t="s">
        <v>4977</v>
      </c>
      <c r="I2482" s="10" t="s">
        <v>18</v>
      </c>
    </row>
    <row r="2483" spans="1:9" x14ac:dyDescent="0.2">
      <c r="A2483" s="10" t="s">
        <v>4978</v>
      </c>
      <c r="B2483" s="10">
        <v>7.3770385677147798</v>
      </c>
      <c r="C2483" s="10">
        <v>6.2789249680386803</v>
      </c>
      <c r="D2483" s="10">
        <v>1.86209762343444</v>
      </c>
      <c r="E2483" s="10">
        <v>3.3719633648733698</v>
      </c>
      <c r="F2483" s="10">
        <v>7.4634375373145204E-4</v>
      </c>
      <c r="G2483" s="10">
        <v>3.4209261222604799E-3</v>
      </c>
      <c r="H2483" s="10" t="s">
        <v>4979</v>
      </c>
      <c r="I2483" s="10" t="s">
        <v>18</v>
      </c>
    </row>
    <row r="2484" spans="1:9" x14ac:dyDescent="0.2">
      <c r="A2484" s="10" t="s">
        <v>4980</v>
      </c>
      <c r="B2484" s="10">
        <v>12.220752108625099</v>
      </c>
      <c r="C2484" s="10">
        <v>5.5379659354855297</v>
      </c>
      <c r="D2484" s="10">
        <v>1.6988316458163799</v>
      </c>
      <c r="E2484" s="10">
        <v>3.25986742072033</v>
      </c>
      <c r="F2484" s="10">
        <v>1.11464303948394E-3</v>
      </c>
      <c r="G2484" s="10">
        <v>4.8487441930870701E-3</v>
      </c>
      <c r="H2484" s="10" t="s">
        <v>4981</v>
      </c>
      <c r="I2484" s="10" t="s">
        <v>18</v>
      </c>
    </row>
    <row r="2485" spans="1:9" x14ac:dyDescent="0.2">
      <c r="A2485" s="10" t="s">
        <v>4982</v>
      </c>
      <c r="B2485" s="10">
        <v>705.21559201376999</v>
      </c>
      <c r="C2485" s="10">
        <v>-1.33790040916218</v>
      </c>
      <c r="D2485" s="10">
        <v>0.24398126485888</v>
      </c>
      <c r="E2485" s="10">
        <v>-5.4836194489606598</v>
      </c>
      <c r="F2485" s="4">
        <v>4.1671067958610097E-8</v>
      </c>
      <c r="G2485" s="4">
        <v>4.5217506518050501E-7</v>
      </c>
      <c r="H2485" s="10" t="s">
        <v>4983</v>
      </c>
      <c r="I2485" s="10" t="s">
        <v>18</v>
      </c>
    </row>
    <row r="2486" spans="1:9" x14ac:dyDescent="0.2">
      <c r="A2486" s="10" t="s">
        <v>4984</v>
      </c>
      <c r="B2486" s="10">
        <v>4.1822423843077399</v>
      </c>
      <c r="C2486" s="10">
        <v>5.4559790170220399</v>
      </c>
      <c r="D2486" s="10">
        <v>2.1535693190750198</v>
      </c>
      <c r="E2486" s="10">
        <v>2.5334587415860099</v>
      </c>
      <c r="F2486" s="10">
        <v>1.12943035283908E-2</v>
      </c>
      <c r="G2486" s="10">
        <v>3.5206027712854998E-2</v>
      </c>
      <c r="H2486" s="10" t="s">
        <v>4985</v>
      </c>
      <c r="I2486" s="10" t="s">
        <v>18</v>
      </c>
    </row>
    <row r="2487" spans="1:9" x14ac:dyDescent="0.2">
      <c r="A2487" s="10" t="s">
        <v>4986</v>
      </c>
      <c r="B2487" s="10">
        <v>7.0507710944016102</v>
      </c>
      <c r="C2487" s="10">
        <v>4.7102615103948198</v>
      </c>
      <c r="D2487" s="10">
        <v>1.8631750577920101</v>
      </c>
      <c r="E2487" s="10">
        <v>2.5280831721613901</v>
      </c>
      <c r="F2487" s="10">
        <v>1.14687179365504E-2</v>
      </c>
      <c r="G2487" s="10">
        <v>3.5643681717484797E-2</v>
      </c>
      <c r="H2487" s="10" t="s">
        <v>4987</v>
      </c>
      <c r="I2487" s="10" t="s">
        <v>18</v>
      </c>
    </row>
    <row r="2488" spans="1:9" x14ac:dyDescent="0.2">
      <c r="A2488" s="10" t="s">
        <v>4988</v>
      </c>
      <c r="B2488" s="10">
        <v>1923.00142484562</v>
      </c>
      <c r="C2488" s="10">
        <v>-2.20016605466405</v>
      </c>
      <c r="D2488" s="10">
        <v>0.221664419210862</v>
      </c>
      <c r="E2488" s="10">
        <v>-9.9256617841364303</v>
      </c>
      <c r="F2488" s="4">
        <v>3.2195981051753598E-23</v>
      </c>
      <c r="G2488" s="4">
        <v>1.5749441574813801E-21</v>
      </c>
      <c r="H2488" s="10" t="s">
        <v>4989</v>
      </c>
      <c r="I2488" s="10" t="s">
        <v>18</v>
      </c>
    </row>
    <row r="2489" spans="1:9" x14ac:dyDescent="0.2">
      <c r="A2489" s="10" t="s">
        <v>4990</v>
      </c>
      <c r="B2489" s="10">
        <v>361.67897208468401</v>
      </c>
      <c r="C2489" s="10">
        <v>-1.32598430817916</v>
      </c>
      <c r="D2489" s="10">
        <v>0.25968809927473702</v>
      </c>
      <c r="E2489" s="10">
        <v>-5.1060649751852303</v>
      </c>
      <c r="F2489" s="4">
        <v>3.2893662627134999E-7</v>
      </c>
      <c r="G2489" s="4">
        <v>3.0588860942032301E-6</v>
      </c>
      <c r="H2489" s="10" t="s">
        <v>4991</v>
      </c>
      <c r="I2489" s="10" t="s">
        <v>18</v>
      </c>
    </row>
    <row r="2490" spans="1:9" x14ac:dyDescent="0.2">
      <c r="A2490" s="10" t="s">
        <v>4992</v>
      </c>
      <c r="B2490" s="10">
        <v>232.893189112404</v>
      </c>
      <c r="C2490" s="10">
        <v>1.1969414338109901</v>
      </c>
      <c r="D2490" s="10">
        <v>0.27261433137568097</v>
      </c>
      <c r="E2490" s="10">
        <v>4.3906034865112398</v>
      </c>
      <c r="F2490" s="4">
        <v>1.13036502131702E-5</v>
      </c>
      <c r="G2490" s="4">
        <v>7.9338113693521101E-5</v>
      </c>
      <c r="H2490" s="10" t="s">
        <v>4993</v>
      </c>
      <c r="I2490" s="10" t="s">
        <v>18</v>
      </c>
    </row>
    <row r="2491" spans="1:9" x14ac:dyDescent="0.2">
      <c r="A2491" s="10" t="s">
        <v>4994</v>
      </c>
      <c r="B2491" s="10">
        <v>3938.7799466819702</v>
      </c>
      <c r="C2491" s="10">
        <v>-1.55880832567093</v>
      </c>
      <c r="D2491" s="10">
        <v>0.20298850771955701</v>
      </c>
      <c r="E2491" s="10">
        <v>-7.6792934889916804</v>
      </c>
      <c r="F2491" s="4">
        <v>1.5996836583547599E-14</v>
      </c>
      <c r="G2491" s="4">
        <v>3.7802758576923001E-13</v>
      </c>
      <c r="H2491" s="10" t="s">
        <v>4995</v>
      </c>
      <c r="I2491" s="10" t="s">
        <v>18</v>
      </c>
    </row>
    <row r="2492" spans="1:9" x14ac:dyDescent="0.2">
      <c r="A2492" s="10" t="s">
        <v>4996</v>
      </c>
      <c r="B2492" s="10">
        <v>1383.2925577439501</v>
      </c>
      <c r="C2492" s="10">
        <v>-1.7464299194302899</v>
      </c>
      <c r="D2492" s="10">
        <v>0.24784194593723399</v>
      </c>
      <c r="E2492" s="10">
        <v>-7.0465469952070796</v>
      </c>
      <c r="F2492" s="4">
        <v>1.8341219941870898E-12</v>
      </c>
      <c r="G2492" s="4">
        <v>3.5143686340095299E-11</v>
      </c>
      <c r="H2492" s="10" t="s">
        <v>4997</v>
      </c>
      <c r="I2492" s="10" t="s">
        <v>18</v>
      </c>
    </row>
    <row r="2493" spans="1:9" x14ac:dyDescent="0.2">
      <c r="A2493" s="10" t="s">
        <v>4998</v>
      </c>
      <c r="B2493" s="10">
        <v>2860.9745008096402</v>
      </c>
      <c r="C2493" s="10">
        <v>2.8004146939905801</v>
      </c>
      <c r="D2493" s="10">
        <v>0.19574826741453699</v>
      </c>
      <c r="E2493" s="10">
        <v>14.3062042437399</v>
      </c>
      <c r="F2493" s="4">
        <v>2.0014301584776701E-46</v>
      </c>
      <c r="G2493" s="4">
        <v>3.4297463854113899E-44</v>
      </c>
      <c r="H2493" s="10" t="s">
        <v>4999</v>
      </c>
      <c r="I2493" s="10" t="s">
        <v>18</v>
      </c>
    </row>
    <row r="2494" spans="1:9" x14ac:dyDescent="0.2">
      <c r="A2494" s="10" t="s">
        <v>5000</v>
      </c>
      <c r="B2494" s="10">
        <v>12.5861389470654</v>
      </c>
      <c r="C2494" s="10">
        <v>5.57981889823985</v>
      </c>
      <c r="D2494" s="10">
        <v>1.68963632450909</v>
      </c>
      <c r="E2494" s="10">
        <v>3.3023786345627002</v>
      </c>
      <c r="F2494" s="10">
        <v>9.5868564665085496E-4</v>
      </c>
      <c r="G2494" s="10">
        <v>4.2549776534119297E-3</v>
      </c>
      <c r="H2494" s="10" t="s">
        <v>5001</v>
      </c>
      <c r="I2494" s="10" t="s">
        <v>18</v>
      </c>
    </row>
    <row r="2495" spans="1:9" x14ac:dyDescent="0.2">
      <c r="A2495" s="10" t="s">
        <v>5002</v>
      </c>
      <c r="B2495" s="10">
        <v>610.01372891167705</v>
      </c>
      <c r="C2495" s="10">
        <v>-1.0065072044442001</v>
      </c>
      <c r="D2495" s="10">
        <v>0.22164997322871999</v>
      </c>
      <c r="E2495" s="10">
        <v>-4.54097598020277</v>
      </c>
      <c r="F2495" s="4">
        <v>5.5994411502390502E-6</v>
      </c>
      <c r="G2495" s="4">
        <v>4.1914278302352598E-5</v>
      </c>
      <c r="H2495" s="10" t="s">
        <v>5003</v>
      </c>
      <c r="I2495" s="10" t="s">
        <v>18</v>
      </c>
    </row>
    <row r="2496" spans="1:9" x14ac:dyDescent="0.2">
      <c r="A2496" s="10" t="s">
        <v>5004</v>
      </c>
      <c r="B2496" s="10">
        <v>351.43628167664502</v>
      </c>
      <c r="C2496" s="10">
        <v>-1.5511705570989101</v>
      </c>
      <c r="D2496" s="10">
        <v>0.25371011343779498</v>
      </c>
      <c r="E2496" s="10">
        <v>-6.1139484590519899</v>
      </c>
      <c r="F2496" s="4">
        <v>9.7195708686834909E-10</v>
      </c>
      <c r="G2496" s="4">
        <v>1.3241457372950901E-8</v>
      </c>
      <c r="H2496" s="10" t="s">
        <v>5005</v>
      </c>
      <c r="I2496" s="10" t="s">
        <v>18</v>
      </c>
    </row>
    <row r="2497" spans="1:9" x14ac:dyDescent="0.2">
      <c r="A2497" s="10" t="s">
        <v>5006</v>
      </c>
      <c r="B2497" s="10">
        <v>5293.8053078056801</v>
      </c>
      <c r="C2497" s="10">
        <v>-1.1093455676758599</v>
      </c>
      <c r="D2497" s="10">
        <v>0.19722034255711199</v>
      </c>
      <c r="E2497" s="10">
        <v>-5.6249043749359204</v>
      </c>
      <c r="F2497" s="4">
        <v>1.8561076547700501E-8</v>
      </c>
      <c r="G2497" s="4">
        <v>2.1267184722253799E-7</v>
      </c>
      <c r="H2497" s="10" t="s">
        <v>5007</v>
      </c>
      <c r="I2497" s="10" t="s">
        <v>18</v>
      </c>
    </row>
    <row r="2498" spans="1:9" x14ac:dyDescent="0.2">
      <c r="A2498" s="10" t="s">
        <v>5008</v>
      </c>
      <c r="B2498" s="10">
        <v>3.8530936506741802</v>
      </c>
      <c r="C2498" s="10">
        <v>5.3403250580865702</v>
      </c>
      <c r="D2498" s="10">
        <v>2.1789621139591802</v>
      </c>
      <c r="E2498" s="10">
        <v>2.4508572333014098</v>
      </c>
      <c r="F2498" s="10">
        <v>1.4251646682892799E-2</v>
      </c>
      <c r="G2498" s="10">
        <v>4.2728280938466097E-2</v>
      </c>
      <c r="H2498" s="10" t="s">
        <v>5009</v>
      </c>
      <c r="I2498" s="10" t="s">
        <v>18</v>
      </c>
    </row>
    <row r="2499" spans="1:9" x14ac:dyDescent="0.2">
      <c r="A2499" s="10" t="s">
        <v>5010</v>
      </c>
      <c r="B2499" s="10">
        <v>92.928257952690302</v>
      </c>
      <c r="C2499" s="10">
        <v>-1.6516449503047601</v>
      </c>
      <c r="D2499" s="10">
        <v>0.40874779323092197</v>
      </c>
      <c r="E2499" s="10">
        <v>-4.04074340621984</v>
      </c>
      <c r="F2499" s="4">
        <v>5.3282031265134398E-5</v>
      </c>
      <c r="G2499" s="10">
        <v>3.23984714546109E-4</v>
      </c>
      <c r="H2499" s="10" t="s">
        <v>5011</v>
      </c>
      <c r="I2499" s="10" t="s">
        <v>18</v>
      </c>
    </row>
    <row r="2500" spans="1:9" x14ac:dyDescent="0.2">
      <c r="A2500" s="10" t="s">
        <v>5012</v>
      </c>
      <c r="B2500" s="10">
        <v>1350.9000983533599</v>
      </c>
      <c r="C2500" s="10">
        <v>-1.2585955404006799</v>
      </c>
      <c r="D2500" s="10">
        <v>0.22507415085952401</v>
      </c>
      <c r="E2500" s="10">
        <v>-5.5919150892907696</v>
      </c>
      <c r="F2500" s="4">
        <v>2.24578647748606E-8</v>
      </c>
      <c r="G2500" s="4">
        <v>2.5485607726806603E-7</v>
      </c>
      <c r="H2500" s="10" t="s">
        <v>5013</v>
      </c>
      <c r="I2500" s="10" t="s">
        <v>18</v>
      </c>
    </row>
    <row r="2501" spans="1:9" x14ac:dyDescent="0.2">
      <c r="A2501" s="10" t="s">
        <v>5014</v>
      </c>
      <c r="B2501" s="10">
        <v>614.50393106349395</v>
      </c>
      <c r="C2501" s="10">
        <v>-1.4738150972952699</v>
      </c>
      <c r="D2501" s="10">
        <v>0.22335056689258601</v>
      </c>
      <c r="E2501" s="10">
        <v>-6.5986628903613003</v>
      </c>
      <c r="F2501" s="4">
        <v>4.1488247805103297E-11</v>
      </c>
      <c r="G2501" s="4">
        <v>6.8098210117207802E-10</v>
      </c>
      <c r="H2501" s="10" t="s">
        <v>5015</v>
      </c>
      <c r="I2501" s="10" t="s">
        <v>18</v>
      </c>
    </row>
    <row r="2502" spans="1:9" x14ac:dyDescent="0.2">
      <c r="A2502" s="10" t="s">
        <v>5016</v>
      </c>
      <c r="B2502" s="10">
        <v>498.09495792832001</v>
      </c>
      <c r="C2502" s="10">
        <v>-1.0715844629656299</v>
      </c>
      <c r="D2502" s="10">
        <v>0.25414314609685901</v>
      </c>
      <c r="E2502" s="10">
        <v>-4.2164602092288002</v>
      </c>
      <c r="F2502" s="4">
        <v>2.4816705228693701E-5</v>
      </c>
      <c r="G2502" s="10">
        <v>1.6161049921752801E-4</v>
      </c>
      <c r="H2502" s="10" t="s">
        <v>5017</v>
      </c>
      <c r="I2502" s="10" t="s">
        <v>18</v>
      </c>
    </row>
    <row r="2503" spans="1:9" x14ac:dyDescent="0.2">
      <c r="A2503" s="10" t="s">
        <v>5018</v>
      </c>
      <c r="B2503" s="10">
        <v>510.508505700532</v>
      </c>
      <c r="C2503" s="10">
        <v>1.4629656411207801</v>
      </c>
      <c r="D2503" s="10">
        <v>0.242939485576188</v>
      </c>
      <c r="E2503" s="10">
        <v>6.0219343827579896</v>
      </c>
      <c r="F2503" s="4">
        <v>1.72344768491037E-9</v>
      </c>
      <c r="G2503" s="4">
        <v>2.2630736901567699E-8</v>
      </c>
      <c r="H2503" s="10" t="s">
        <v>5019</v>
      </c>
      <c r="I2503" s="10" t="s">
        <v>18</v>
      </c>
    </row>
    <row r="2504" spans="1:9" x14ac:dyDescent="0.2">
      <c r="A2504" s="10" t="s">
        <v>5020</v>
      </c>
      <c r="B2504" s="10">
        <v>1031.38662368426</v>
      </c>
      <c r="C2504" s="10">
        <v>-1.2161515119991499</v>
      </c>
      <c r="D2504" s="10">
        <v>0.22696574931912</v>
      </c>
      <c r="E2504" s="10">
        <v>-5.3583041302377499</v>
      </c>
      <c r="F2504" s="4">
        <v>8.4006743433747904E-8</v>
      </c>
      <c r="G2504" s="4">
        <v>8.61472238742691E-7</v>
      </c>
      <c r="H2504" s="10" t="s">
        <v>5021</v>
      </c>
      <c r="I2504" s="10" t="s">
        <v>18</v>
      </c>
    </row>
    <row r="2505" spans="1:9" x14ac:dyDescent="0.2">
      <c r="A2505" s="10" t="s">
        <v>5022</v>
      </c>
      <c r="B2505" s="10">
        <v>248.633255541257</v>
      </c>
      <c r="C2505" s="10">
        <v>1.3037684546708099</v>
      </c>
      <c r="D2505" s="10">
        <v>0.29532015886736201</v>
      </c>
      <c r="E2505" s="10">
        <v>4.4147628108800303</v>
      </c>
      <c r="F2505" s="4">
        <v>1.0112080039462601E-5</v>
      </c>
      <c r="G2505" s="4">
        <v>7.1788391046179905E-5</v>
      </c>
      <c r="H2505" s="10" t="s">
        <v>5023</v>
      </c>
      <c r="I2505" s="10" t="s">
        <v>18</v>
      </c>
    </row>
    <row r="2506" spans="1:9" x14ac:dyDescent="0.2">
      <c r="A2506" s="10" t="s">
        <v>5024</v>
      </c>
      <c r="B2506" s="10">
        <v>7695.2376717126199</v>
      </c>
      <c r="C2506" s="10">
        <v>-1.1921548194910501</v>
      </c>
      <c r="D2506" s="10">
        <v>0.18179453152725999</v>
      </c>
      <c r="E2506" s="10">
        <v>-6.55770451110787</v>
      </c>
      <c r="F2506" s="4">
        <v>5.4642345587164498E-11</v>
      </c>
      <c r="G2506" s="4">
        <v>8.8358456392490801E-10</v>
      </c>
      <c r="H2506" s="10" t="s">
        <v>5025</v>
      </c>
      <c r="I2506" s="10" t="s">
        <v>18</v>
      </c>
    </row>
    <row r="2507" spans="1:9" x14ac:dyDescent="0.2">
      <c r="A2507" s="10" t="s">
        <v>5026</v>
      </c>
      <c r="B2507" s="10">
        <v>836.59549920752897</v>
      </c>
      <c r="C2507" s="10">
        <v>1.25604331905338</v>
      </c>
      <c r="D2507" s="10">
        <v>0.21620806598291001</v>
      </c>
      <c r="E2507" s="10">
        <v>5.8094193356905697</v>
      </c>
      <c r="F2507" s="4">
        <v>6.2689889573095597E-9</v>
      </c>
      <c r="G2507" s="4">
        <v>7.6528289480203199E-8</v>
      </c>
      <c r="H2507" s="10" t="s">
        <v>5027</v>
      </c>
      <c r="I2507" s="10" t="s">
        <v>18</v>
      </c>
    </row>
    <row r="2508" spans="1:9" x14ac:dyDescent="0.2">
      <c r="A2508" s="10" t="s">
        <v>5028</v>
      </c>
      <c r="B2508" s="10">
        <v>2326.75527070013</v>
      </c>
      <c r="C2508" s="10">
        <v>4.6223035827777199</v>
      </c>
      <c r="D2508" s="10">
        <v>0.22698104404485001</v>
      </c>
      <c r="E2508" s="10">
        <v>20.364271396444799</v>
      </c>
      <c r="F2508" s="4">
        <v>3.4697532819319903E-92</v>
      </c>
      <c r="G2508" s="4">
        <v>3.1513455890933603E-89</v>
      </c>
      <c r="H2508" s="10" t="s">
        <v>5029</v>
      </c>
      <c r="I2508" s="10" t="s">
        <v>18</v>
      </c>
    </row>
    <row r="2509" spans="1:9" x14ac:dyDescent="0.2">
      <c r="A2509" s="10" t="s">
        <v>5030</v>
      </c>
      <c r="B2509" s="10">
        <v>1654.80854102741</v>
      </c>
      <c r="C2509" s="10">
        <v>1.09311236139192</v>
      </c>
      <c r="D2509" s="10">
        <v>0.23092880715437999</v>
      </c>
      <c r="E2509" s="10">
        <v>4.7335469959845904</v>
      </c>
      <c r="F2509" s="4">
        <v>2.2062984878423502E-6</v>
      </c>
      <c r="G2509" s="4">
        <v>1.77907709080321E-5</v>
      </c>
      <c r="H2509" s="10" t="s">
        <v>5031</v>
      </c>
      <c r="I2509" s="10" t="s">
        <v>18</v>
      </c>
    </row>
    <row r="2510" spans="1:9" x14ac:dyDescent="0.2">
      <c r="A2510" s="10" t="s">
        <v>5032</v>
      </c>
      <c r="B2510" s="10">
        <v>63.522621602449398</v>
      </c>
      <c r="C2510" s="10">
        <v>-2.0895915475769402</v>
      </c>
      <c r="D2510" s="10">
        <v>0.50427397365246196</v>
      </c>
      <c r="E2510" s="10">
        <v>-4.1437624322389697</v>
      </c>
      <c r="F2510" s="4">
        <v>3.41653681869381E-5</v>
      </c>
      <c r="G2510" s="10">
        <v>2.1649091155536701E-4</v>
      </c>
      <c r="H2510" s="10" t="s">
        <v>5033</v>
      </c>
      <c r="I2510" s="10" t="s">
        <v>18</v>
      </c>
    </row>
    <row r="2511" spans="1:9" x14ac:dyDescent="0.2">
      <c r="A2511" s="10" t="s">
        <v>5034</v>
      </c>
      <c r="B2511" s="10">
        <v>505.37536479818698</v>
      </c>
      <c r="C2511" s="10">
        <v>-1.2040881276519999</v>
      </c>
      <c r="D2511" s="10">
        <v>0.28195350810217501</v>
      </c>
      <c r="E2511" s="10">
        <v>-4.2705201143149703</v>
      </c>
      <c r="F2511" s="4">
        <v>1.9501763066076199E-5</v>
      </c>
      <c r="G2511" s="10">
        <v>1.29863414868985E-4</v>
      </c>
      <c r="H2511" s="10" t="s">
        <v>5035</v>
      </c>
      <c r="I2511" s="10" t="s">
        <v>18</v>
      </c>
    </row>
    <row r="2512" spans="1:9" x14ac:dyDescent="0.2">
      <c r="A2512" s="10" t="s">
        <v>5036</v>
      </c>
      <c r="B2512" s="10">
        <v>59.677435182635399</v>
      </c>
      <c r="C2512" s="10">
        <v>-1.39943855758467</v>
      </c>
      <c r="D2512" s="10">
        <v>0.48040018659417899</v>
      </c>
      <c r="E2512" s="10">
        <v>-2.9130683056267199</v>
      </c>
      <c r="F2512" s="10">
        <v>3.5789630609138899E-3</v>
      </c>
      <c r="G2512" s="10">
        <v>1.33492137605367E-2</v>
      </c>
      <c r="H2512" s="10" t="s">
        <v>5037</v>
      </c>
      <c r="I2512" s="10" t="s">
        <v>18</v>
      </c>
    </row>
    <row r="2513" spans="1:9" x14ac:dyDescent="0.2">
      <c r="A2513" s="10" t="s">
        <v>5038</v>
      </c>
      <c r="B2513" s="10">
        <v>1873.9097682686599</v>
      </c>
      <c r="C2513" s="10">
        <v>-1.10985726483389</v>
      </c>
      <c r="D2513" s="10">
        <v>0.240367692146885</v>
      </c>
      <c r="E2513" s="10">
        <v>-4.6173312849202501</v>
      </c>
      <c r="F2513" s="4">
        <v>3.88706473141778E-6</v>
      </c>
      <c r="G2513" s="4">
        <v>2.9994577382311099E-5</v>
      </c>
      <c r="H2513" s="10" t="s">
        <v>5039</v>
      </c>
      <c r="I2513" s="10" t="s">
        <v>18</v>
      </c>
    </row>
    <row r="2514" spans="1:9" x14ac:dyDescent="0.2">
      <c r="A2514" s="10" t="s">
        <v>5040</v>
      </c>
      <c r="B2514" s="10">
        <v>1820.5559410470801</v>
      </c>
      <c r="C2514" s="10">
        <v>1.5728342566937501</v>
      </c>
      <c r="D2514" s="10">
        <v>0.22244645072647901</v>
      </c>
      <c r="E2514" s="10">
        <v>7.0706196999641797</v>
      </c>
      <c r="F2514" s="4">
        <v>1.5424331867393599E-12</v>
      </c>
      <c r="G2514" s="4">
        <v>2.9933530654620703E-11</v>
      </c>
      <c r="H2514" s="10" t="s">
        <v>5041</v>
      </c>
      <c r="I2514" s="10" t="s">
        <v>18</v>
      </c>
    </row>
    <row r="2515" spans="1:9" x14ac:dyDescent="0.2">
      <c r="A2515" s="10" t="s">
        <v>5042</v>
      </c>
      <c r="B2515" s="10">
        <v>112.03596159040001</v>
      </c>
      <c r="C2515" s="10">
        <v>2.8776080210007802</v>
      </c>
      <c r="D2515" s="10">
        <v>0.40224264987434899</v>
      </c>
      <c r="E2515" s="10">
        <v>7.1539107598353198</v>
      </c>
      <c r="F2515" s="4">
        <v>8.4339906868433001E-13</v>
      </c>
      <c r="G2515" s="4">
        <v>1.6872316023819301E-11</v>
      </c>
      <c r="H2515" s="10" t="s">
        <v>5043</v>
      </c>
      <c r="I2515" s="10" t="s">
        <v>18</v>
      </c>
    </row>
    <row r="2516" spans="1:9" x14ac:dyDescent="0.2">
      <c r="A2516" s="10" t="s">
        <v>5044</v>
      </c>
      <c r="B2516" s="10">
        <v>236.417157753802</v>
      </c>
      <c r="C2516" s="10">
        <v>2.2566364252592401</v>
      </c>
      <c r="D2516" s="10">
        <v>0.33845792186415402</v>
      </c>
      <c r="E2516" s="10">
        <v>6.6674061367220299</v>
      </c>
      <c r="F2516" s="4">
        <v>2.6036386815327899E-11</v>
      </c>
      <c r="G2516" s="4">
        <v>4.38450822964919E-10</v>
      </c>
      <c r="H2516" s="10" t="s">
        <v>5045</v>
      </c>
      <c r="I2516" s="10" t="s">
        <v>18</v>
      </c>
    </row>
    <row r="2517" spans="1:9" x14ac:dyDescent="0.2">
      <c r="A2517" s="10" t="s">
        <v>5046</v>
      </c>
      <c r="B2517" s="10">
        <v>1592.9137255148501</v>
      </c>
      <c r="C2517" s="10">
        <v>5.28658787733404</v>
      </c>
      <c r="D2517" s="10">
        <v>0.24166745510499801</v>
      </c>
      <c r="E2517" s="10">
        <v>21.8754646753621</v>
      </c>
      <c r="F2517" s="4">
        <v>4.4495659320081802E-106</v>
      </c>
      <c r="G2517" s="4">
        <v>6.3809117341803599E-103</v>
      </c>
      <c r="H2517" s="10" t="s">
        <v>5047</v>
      </c>
      <c r="I2517" s="10" t="s">
        <v>18</v>
      </c>
    </row>
    <row r="2518" spans="1:9" x14ac:dyDescent="0.2">
      <c r="A2518" s="10" t="s">
        <v>5048</v>
      </c>
      <c r="B2518" s="10">
        <v>2606.27615360954</v>
      </c>
      <c r="C2518" s="10">
        <v>1.9936913325431</v>
      </c>
      <c r="D2518" s="10">
        <v>0.21558823255488899</v>
      </c>
      <c r="E2518" s="10">
        <v>9.2476816054211408</v>
      </c>
      <c r="F2518" s="4">
        <v>2.2941455494538801E-20</v>
      </c>
      <c r="G2518" s="4">
        <v>9.20597699351546E-19</v>
      </c>
      <c r="H2518" s="10" t="s">
        <v>5049</v>
      </c>
      <c r="I2518" s="10" t="s">
        <v>18</v>
      </c>
    </row>
    <row r="2519" spans="1:9" x14ac:dyDescent="0.2">
      <c r="A2519" s="10" t="s">
        <v>5050</v>
      </c>
      <c r="B2519" s="10">
        <v>2581.27506157065</v>
      </c>
      <c r="C2519" s="10">
        <v>-1.0389738540412301</v>
      </c>
      <c r="D2519" s="10">
        <v>0.209310564975698</v>
      </c>
      <c r="E2519" s="10">
        <v>-4.9637907869670101</v>
      </c>
      <c r="F2519" s="4">
        <v>6.9130410242246701E-7</v>
      </c>
      <c r="G2519" s="4">
        <v>6.0839673380829902E-6</v>
      </c>
      <c r="H2519" s="10" t="s">
        <v>5051</v>
      </c>
      <c r="I2519" s="10" t="s">
        <v>18</v>
      </c>
    </row>
    <row r="2520" spans="1:9" x14ac:dyDescent="0.2">
      <c r="A2520" s="10" t="s">
        <v>5052</v>
      </c>
      <c r="B2520" s="10">
        <v>60.841154458419297</v>
      </c>
      <c r="C2520" s="10">
        <v>-1.6052376072575001</v>
      </c>
      <c r="D2520" s="10">
        <v>0.47830533738897102</v>
      </c>
      <c r="E2520" s="10">
        <v>-3.35609386259488</v>
      </c>
      <c r="F2520" s="10">
        <v>7.9051734350708803E-4</v>
      </c>
      <c r="G2520" s="10">
        <v>3.59526390561469E-3</v>
      </c>
      <c r="H2520" s="10" t="s">
        <v>5053</v>
      </c>
      <c r="I2520" s="10" t="s">
        <v>18</v>
      </c>
    </row>
    <row r="2521" spans="1:9" x14ac:dyDescent="0.2">
      <c r="A2521" s="10" t="s">
        <v>5054</v>
      </c>
      <c r="B2521" s="10">
        <v>2993.0435927539502</v>
      </c>
      <c r="C2521" s="10">
        <v>-1.16885084713007</v>
      </c>
      <c r="D2521" s="10">
        <v>0.218668848426361</v>
      </c>
      <c r="E2521" s="10">
        <v>-5.3453011507658497</v>
      </c>
      <c r="F2521" s="4">
        <v>9.0266846814546396E-8</v>
      </c>
      <c r="G2521" s="4">
        <v>9.2047184698950003E-7</v>
      </c>
      <c r="H2521" s="10" t="s">
        <v>5055</v>
      </c>
      <c r="I2521" s="10" t="s">
        <v>18</v>
      </c>
    </row>
    <row r="2522" spans="1:9" x14ac:dyDescent="0.2">
      <c r="A2522" s="10" t="s">
        <v>5056</v>
      </c>
      <c r="B2522" s="10">
        <v>109.32954852963201</v>
      </c>
      <c r="C2522" s="10">
        <v>7.7191613852522396</v>
      </c>
      <c r="D2522" s="10">
        <v>1.0815091916524799</v>
      </c>
      <c r="E2522" s="10">
        <v>7.1373978555446298</v>
      </c>
      <c r="F2522" s="4">
        <v>9.5114251054249804E-13</v>
      </c>
      <c r="G2522" s="4">
        <v>1.89166277260959E-11</v>
      </c>
      <c r="H2522" s="10" t="s">
        <v>5057</v>
      </c>
      <c r="I2522" s="10" t="s">
        <v>18</v>
      </c>
    </row>
    <row r="2523" spans="1:9" x14ac:dyDescent="0.2">
      <c r="A2523" s="10" t="s">
        <v>5058</v>
      </c>
      <c r="B2523" s="10">
        <v>165.61615510167101</v>
      </c>
      <c r="C2523" s="10">
        <v>5.1985864644893001</v>
      </c>
      <c r="D2523" s="10">
        <v>0.46168993849241002</v>
      </c>
      <c r="E2523" s="10">
        <v>11.259908503669401</v>
      </c>
      <c r="F2523" s="4">
        <v>2.0697349365635199E-29</v>
      </c>
      <c r="G2523" s="4">
        <v>1.5408215250422399E-27</v>
      </c>
      <c r="H2523" s="10" t="s">
        <v>5059</v>
      </c>
      <c r="I2523" s="10" t="s">
        <v>18</v>
      </c>
    </row>
    <row r="2524" spans="1:9" x14ac:dyDescent="0.2">
      <c r="A2524" s="10" t="s">
        <v>5060</v>
      </c>
      <c r="B2524" s="10">
        <v>375.00790529043201</v>
      </c>
      <c r="C2524" s="10">
        <v>-1.73867168182791</v>
      </c>
      <c r="D2524" s="10">
        <v>0.242664558294751</v>
      </c>
      <c r="E2524" s="10">
        <v>-7.1649180829943804</v>
      </c>
      <c r="F2524" s="4">
        <v>7.7833081141763704E-13</v>
      </c>
      <c r="G2524" s="4">
        <v>1.5639512993138899E-11</v>
      </c>
      <c r="H2524" s="10" t="s">
        <v>5061</v>
      </c>
      <c r="I2524" s="10" t="s">
        <v>18</v>
      </c>
    </row>
    <row r="2525" spans="1:9" x14ac:dyDescent="0.2">
      <c r="A2525" s="10" t="s">
        <v>5062</v>
      </c>
      <c r="B2525" s="10">
        <v>1203.64463086405</v>
      </c>
      <c r="C2525" s="10">
        <v>1.0589129437876801</v>
      </c>
      <c r="D2525" s="10">
        <v>0.203546737197802</v>
      </c>
      <c r="E2525" s="10">
        <v>5.2023086116022998</v>
      </c>
      <c r="F2525" s="4">
        <v>1.9682801733602901E-7</v>
      </c>
      <c r="G2525" s="4">
        <v>1.90514138129832E-6</v>
      </c>
      <c r="H2525" s="10" t="s">
        <v>5063</v>
      </c>
      <c r="I2525" s="10" t="s">
        <v>18</v>
      </c>
    </row>
    <row r="2526" spans="1:9" x14ac:dyDescent="0.2">
      <c r="A2526" s="10" t="s">
        <v>5064</v>
      </c>
      <c r="B2526" s="10">
        <v>15.3678340915314</v>
      </c>
      <c r="C2526" s="10">
        <v>3.16605152073909</v>
      </c>
      <c r="D2526" s="10">
        <v>1.0138154128638099</v>
      </c>
      <c r="E2526" s="10">
        <v>3.12290726750313</v>
      </c>
      <c r="F2526" s="10">
        <v>1.7907415971733999E-3</v>
      </c>
      <c r="G2526" s="10">
        <v>7.3349874170450299E-3</v>
      </c>
      <c r="H2526" s="10" t="s">
        <v>5065</v>
      </c>
      <c r="I2526" s="10" t="s">
        <v>18</v>
      </c>
    </row>
    <row r="2527" spans="1:9" x14ac:dyDescent="0.2">
      <c r="A2527" s="10" t="s">
        <v>5066</v>
      </c>
      <c r="B2527" s="10">
        <v>96.813861353104002</v>
      </c>
      <c r="C2527" s="10">
        <v>-2.6182681613024998</v>
      </c>
      <c r="D2527" s="10">
        <v>0.42966249851336802</v>
      </c>
      <c r="E2527" s="10">
        <v>-6.0937786526906699</v>
      </c>
      <c r="F2527" s="4">
        <v>1.10276116068226E-9</v>
      </c>
      <c r="G2527" s="4">
        <v>1.4911629451667302E-8</v>
      </c>
      <c r="H2527" s="10" t="s">
        <v>5067</v>
      </c>
      <c r="I2527" s="10" t="s">
        <v>18</v>
      </c>
    </row>
    <row r="2528" spans="1:9" x14ac:dyDescent="0.2">
      <c r="A2528" s="10" t="s">
        <v>5068</v>
      </c>
      <c r="B2528" s="10">
        <v>405.816146586385</v>
      </c>
      <c r="C2528" s="10">
        <v>-1.0962558717566599</v>
      </c>
      <c r="D2528" s="10">
        <v>0.238891367380141</v>
      </c>
      <c r="E2528" s="10">
        <v>-4.5889304572995</v>
      </c>
      <c r="F2528" s="4">
        <v>4.4552280905924201E-6</v>
      </c>
      <c r="G2528" s="4">
        <v>3.3993727186886497E-5</v>
      </c>
      <c r="H2528" s="10" t="s">
        <v>5069</v>
      </c>
      <c r="I2528" s="10" t="s">
        <v>18</v>
      </c>
    </row>
    <row r="2529" spans="1:9" x14ac:dyDescent="0.2">
      <c r="A2529" s="10" t="s">
        <v>5070</v>
      </c>
      <c r="B2529" s="10">
        <v>3058.69507524341</v>
      </c>
      <c r="C2529" s="10">
        <v>-1.50348695110102</v>
      </c>
      <c r="D2529" s="10">
        <v>0.20758345833212499</v>
      </c>
      <c r="E2529" s="10">
        <v>-7.2428071252936901</v>
      </c>
      <c r="F2529" s="4">
        <v>4.3949171862679998E-13</v>
      </c>
      <c r="G2529" s="4">
        <v>9.1341196471582194E-12</v>
      </c>
      <c r="H2529" s="10" t="s">
        <v>5071</v>
      </c>
      <c r="I2529" s="10" t="s">
        <v>18</v>
      </c>
    </row>
    <row r="2530" spans="1:9" x14ac:dyDescent="0.2">
      <c r="A2530" s="10" t="s">
        <v>5072</v>
      </c>
      <c r="B2530" s="10">
        <v>157.98269285764499</v>
      </c>
      <c r="C2530" s="10">
        <v>1.2750331283548499</v>
      </c>
      <c r="D2530" s="10">
        <v>0.315224675389709</v>
      </c>
      <c r="E2530" s="10">
        <v>4.0448392143747602</v>
      </c>
      <c r="F2530" s="4">
        <v>5.2359046073367497E-5</v>
      </c>
      <c r="G2530" s="10">
        <v>3.1901317718270199E-4</v>
      </c>
      <c r="H2530" s="10" t="s">
        <v>5073</v>
      </c>
      <c r="I2530" s="10" t="s">
        <v>18</v>
      </c>
    </row>
    <row r="2531" spans="1:9" x14ac:dyDescent="0.2">
      <c r="A2531" s="10" t="s">
        <v>5074</v>
      </c>
      <c r="B2531" s="10">
        <v>2109.0671583274102</v>
      </c>
      <c r="C2531" s="10">
        <v>-1.47480249496555</v>
      </c>
      <c r="D2531" s="10">
        <v>0.20031511804204299</v>
      </c>
      <c r="E2531" s="10">
        <v>-7.3624123300370101</v>
      </c>
      <c r="F2531" s="4">
        <v>1.8061604753562999E-13</v>
      </c>
      <c r="G2531" s="4">
        <v>3.9275701893083102E-12</v>
      </c>
      <c r="H2531" s="10" t="s">
        <v>5075</v>
      </c>
      <c r="I2531" s="10" t="s">
        <v>18</v>
      </c>
    </row>
    <row r="2532" spans="1:9" x14ac:dyDescent="0.2">
      <c r="A2532" s="10" t="s">
        <v>5076</v>
      </c>
      <c r="B2532" s="10">
        <v>46.472841815950503</v>
      </c>
      <c r="C2532" s="10">
        <v>5.13169427126439</v>
      </c>
      <c r="D2532" s="10">
        <v>0.808890407532879</v>
      </c>
      <c r="E2532" s="10">
        <v>6.3441156224315796</v>
      </c>
      <c r="F2532" s="4">
        <v>2.2370677522812401E-10</v>
      </c>
      <c r="G2532" s="4">
        <v>3.29299757138881E-9</v>
      </c>
      <c r="H2532" s="10" t="s">
        <v>5077</v>
      </c>
      <c r="I2532" s="10" t="s">
        <v>18</v>
      </c>
    </row>
    <row r="2533" spans="1:9" x14ac:dyDescent="0.2">
      <c r="A2533" s="10" t="s">
        <v>5078</v>
      </c>
      <c r="B2533" s="10">
        <v>520.60383930125795</v>
      </c>
      <c r="C2533" s="10">
        <v>6.8766042356000803</v>
      </c>
      <c r="D2533" s="10">
        <v>0.42497772516712001</v>
      </c>
      <c r="E2533" s="10">
        <v>16.181093333529201</v>
      </c>
      <c r="F2533" s="4">
        <v>6.8565980773644104E-59</v>
      </c>
      <c r="G2533" s="4">
        <v>1.92599719395823E-56</v>
      </c>
      <c r="H2533" s="10" t="s">
        <v>5079</v>
      </c>
      <c r="I2533" s="10" t="s">
        <v>18</v>
      </c>
    </row>
    <row r="2534" spans="1:9" x14ac:dyDescent="0.2">
      <c r="A2534" s="10" t="s">
        <v>5080</v>
      </c>
      <c r="B2534" s="10">
        <v>107.35384105041</v>
      </c>
      <c r="C2534" s="10">
        <v>1.72847359548262</v>
      </c>
      <c r="D2534" s="10">
        <v>0.43939896418676699</v>
      </c>
      <c r="E2534" s="10">
        <v>3.9337225081575902</v>
      </c>
      <c r="F2534" s="4">
        <v>8.3640338884978204E-5</v>
      </c>
      <c r="G2534" s="10">
        <v>4.88206579605613E-4</v>
      </c>
      <c r="H2534" s="10" t="s">
        <v>5081</v>
      </c>
      <c r="I2534" s="10" t="s">
        <v>18</v>
      </c>
    </row>
    <row r="2535" spans="1:9" x14ac:dyDescent="0.2">
      <c r="A2535" s="10" t="s">
        <v>5082</v>
      </c>
      <c r="B2535" s="10">
        <v>704.75077860255897</v>
      </c>
      <c r="C2535" s="10">
        <v>1.09932761660817</v>
      </c>
      <c r="D2535" s="10">
        <v>0.24212702373874001</v>
      </c>
      <c r="E2535" s="10">
        <v>4.54029294059454</v>
      </c>
      <c r="F2535" s="4">
        <v>5.61761232448126E-6</v>
      </c>
      <c r="G2535" s="4">
        <v>4.20368992967666E-5</v>
      </c>
      <c r="H2535" s="10" t="s">
        <v>5083</v>
      </c>
      <c r="I2535" s="10" t="s">
        <v>18</v>
      </c>
    </row>
    <row r="2536" spans="1:9" x14ac:dyDescent="0.2">
      <c r="A2536" s="10" t="s">
        <v>5084</v>
      </c>
      <c r="B2536" s="10">
        <v>65.549599691763305</v>
      </c>
      <c r="C2536" s="10">
        <v>-1.13167796273918</v>
      </c>
      <c r="D2536" s="10">
        <v>0.449707720196727</v>
      </c>
      <c r="E2536" s="10">
        <v>-2.51647439417789</v>
      </c>
      <c r="F2536" s="10">
        <v>1.18535513077123E-2</v>
      </c>
      <c r="G2536" s="10">
        <v>3.6647420002409697E-2</v>
      </c>
      <c r="H2536" s="10" t="s">
        <v>5085</v>
      </c>
      <c r="I2536" s="10" t="s">
        <v>18</v>
      </c>
    </row>
    <row r="2537" spans="1:9" x14ac:dyDescent="0.2">
      <c r="A2537" s="10" t="s">
        <v>5086</v>
      </c>
      <c r="B2537" s="10">
        <v>1179.8456813011001</v>
      </c>
      <c r="C2537" s="10">
        <v>1.0349027049891899</v>
      </c>
      <c r="D2537" s="10">
        <v>0.200036995971791</v>
      </c>
      <c r="E2537" s="10">
        <v>5.1735565211903696</v>
      </c>
      <c r="F2537" s="4">
        <v>2.2967960121006E-7</v>
      </c>
      <c r="G2537" s="4">
        <v>2.19504738483708E-6</v>
      </c>
      <c r="H2537" s="10" t="s">
        <v>5087</v>
      </c>
      <c r="I2537" s="10" t="s">
        <v>18</v>
      </c>
    </row>
    <row r="2538" spans="1:9" x14ac:dyDescent="0.2">
      <c r="A2538" s="10" t="s">
        <v>5088</v>
      </c>
      <c r="B2538" s="10">
        <v>7000.0674341678996</v>
      </c>
      <c r="C2538" s="10">
        <v>-1.0541300584831701</v>
      </c>
      <c r="D2538" s="10">
        <v>0.175188214661539</v>
      </c>
      <c r="E2538" s="10">
        <v>-6.0171288378030203</v>
      </c>
      <c r="F2538" s="4">
        <v>1.77537777715342E-9</v>
      </c>
      <c r="G2538" s="4">
        <v>2.3258500152039601E-8</v>
      </c>
      <c r="H2538" s="10" t="s">
        <v>5089</v>
      </c>
      <c r="I2538" s="10" t="s">
        <v>18</v>
      </c>
    </row>
    <row r="2539" spans="1:9" x14ac:dyDescent="0.2">
      <c r="A2539" s="10" t="s">
        <v>5090</v>
      </c>
      <c r="B2539" s="10">
        <v>2358.3083769098698</v>
      </c>
      <c r="C2539" s="10">
        <v>2.1643037786384398</v>
      </c>
      <c r="D2539" s="10">
        <v>0.194121315629395</v>
      </c>
      <c r="E2539" s="10">
        <v>11.149233002162401</v>
      </c>
      <c r="F2539" s="4">
        <v>7.2226244405674102E-29</v>
      </c>
      <c r="G2539" s="4">
        <v>5.1652191110797903E-27</v>
      </c>
      <c r="H2539" s="10" t="s">
        <v>5091</v>
      </c>
      <c r="I2539" s="10" t="s">
        <v>18</v>
      </c>
    </row>
    <row r="2540" spans="1:9" x14ac:dyDescent="0.2">
      <c r="A2540" s="10" t="s">
        <v>5092</v>
      </c>
      <c r="B2540" s="10">
        <v>1728.45090359286</v>
      </c>
      <c r="C2540" s="10">
        <v>1.3397615584417</v>
      </c>
      <c r="D2540" s="10">
        <v>0.18817566210518599</v>
      </c>
      <c r="E2540" s="10">
        <v>7.1197387773388101</v>
      </c>
      <c r="F2540" s="4">
        <v>1.08131804879065E-12</v>
      </c>
      <c r="G2540" s="4">
        <v>2.1318866045874699E-11</v>
      </c>
      <c r="H2540" s="10" t="s">
        <v>5093</v>
      </c>
      <c r="I2540" s="10" t="s">
        <v>18</v>
      </c>
    </row>
    <row r="2541" spans="1:9" x14ac:dyDescent="0.2">
      <c r="A2541" s="10" t="s">
        <v>5094</v>
      </c>
      <c r="B2541" s="10">
        <v>836.47318755252002</v>
      </c>
      <c r="C2541" s="10">
        <v>4.6785843548412798</v>
      </c>
      <c r="D2541" s="10">
        <v>0.25137277086328103</v>
      </c>
      <c r="E2541" s="10">
        <v>18.6121366239223</v>
      </c>
      <c r="F2541" s="4">
        <v>2.5619428152142E-77</v>
      </c>
      <c r="G2541" s="4">
        <v>1.6233780438637499E-74</v>
      </c>
      <c r="H2541" s="10" t="s">
        <v>5095</v>
      </c>
      <c r="I2541" s="10" t="s">
        <v>18</v>
      </c>
    </row>
    <row r="2542" spans="1:9" x14ac:dyDescent="0.2">
      <c r="A2542" s="10" t="s">
        <v>5096</v>
      </c>
      <c r="B2542" s="10">
        <v>133.731702141174</v>
      </c>
      <c r="C2542" s="10">
        <v>1.5964512649174001</v>
      </c>
      <c r="D2542" s="10">
        <v>0.34710103837058698</v>
      </c>
      <c r="E2542" s="10">
        <v>4.5993848719430304</v>
      </c>
      <c r="F2542" s="4">
        <v>4.2374029168889597E-6</v>
      </c>
      <c r="G2542" s="4">
        <v>3.2461197963895202E-5</v>
      </c>
      <c r="H2542" s="10" t="s">
        <v>5097</v>
      </c>
      <c r="I2542" s="10" t="s">
        <v>18</v>
      </c>
    </row>
    <row r="2543" spans="1:9" x14ac:dyDescent="0.2">
      <c r="A2543" s="10" t="s">
        <v>5098</v>
      </c>
      <c r="B2543" s="10">
        <v>9.4631804984070502</v>
      </c>
      <c r="C2543" s="10">
        <v>-5.29188466567338</v>
      </c>
      <c r="D2543" s="10">
        <v>1.7596083394589801</v>
      </c>
      <c r="E2543" s="10">
        <v>-3.00742190577505</v>
      </c>
      <c r="F2543" s="10">
        <v>2.6347381099623198E-3</v>
      </c>
      <c r="G2543" s="10">
        <v>1.02238126388134E-2</v>
      </c>
      <c r="H2543" s="10" t="s">
        <v>5099</v>
      </c>
      <c r="I2543" s="10" t="s">
        <v>18</v>
      </c>
    </row>
    <row r="2544" spans="1:9" x14ac:dyDescent="0.2">
      <c r="A2544" s="10" t="s">
        <v>5100</v>
      </c>
      <c r="B2544" s="10">
        <v>4608.0496850579202</v>
      </c>
      <c r="C2544" s="10">
        <v>-3.05618746404325</v>
      </c>
      <c r="D2544" s="10">
        <v>0.21706697874727099</v>
      </c>
      <c r="E2544" s="10">
        <v>-14.0794674606013</v>
      </c>
      <c r="F2544" s="4">
        <v>5.0791087310970598E-45</v>
      </c>
      <c r="G2544" s="4">
        <v>8.2375283092977202E-43</v>
      </c>
      <c r="H2544" s="10" t="s">
        <v>5101</v>
      </c>
      <c r="I2544" s="10" t="s">
        <v>18</v>
      </c>
    </row>
    <row r="2545" spans="1:9" x14ac:dyDescent="0.2">
      <c r="A2545" s="10" t="s">
        <v>5102</v>
      </c>
      <c r="B2545" s="10">
        <v>7364.5000464974701</v>
      </c>
      <c r="C2545" s="10">
        <v>2.0581117591896598</v>
      </c>
      <c r="D2545" s="10">
        <v>0.198002013452341</v>
      </c>
      <c r="E2545" s="10">
        <v>10.3943981341636</v>
      </c>
      <c r="F2545" s="4">
        <v>2.6294169163035598E-25</v>
      </c>
      <c r="G2545" s="4">
        <v>1.5019648368663101E-23</v>
      </c>
      <c r="H2545" s="10" t="s">
        <v>5103</v>
      </c>
      <c r="I2545" s="10" t="s">
        <v>18</v>
      </c>
    </row>
    <row r="2546" spans="1:9" x14ac:dyDescent="0.2">
      <c r="A2546" s="10" t="s">
        <v>5104</v>
      </c>
      <c r="B2546" s="10">
        <v>482.588219207956</v>
      </c>
      <c r="C2546" s="10">
        <v>-1.52899533635019</v>
      </c>
      <c r="D2546" s="10">
        <v>0.24207700841023899</v>
      </c>
      <c r="E2546" s="10">
        <v>-6.3161526424643197</v>
      </c>
      <c r="F2546" s="4">
        <v>2.6815519752695502E-10</v>
      </c>
      <c r="G2546" s="4">
        <v>3.9050906825317603E-9</v>
      </c>
      <c r="H2546" s="10" t="s">
        <v>5105</v>
      </c>
      <c r="I2546" s="10" t="s">
        <v>18</v>
      </c>
    </row>
    <row r="2547" spans="1:9" x14ac:dyDescent="0.2">
      <c r="A2547" s="10" t="s">
        <v>5106</v>
      </c>
      <c r="B2547" s="10">
        <v>2584.03504799345</v>
      </c>
      <c r="C2547" s="10">
        <v>-1.7922492602305999</v>
      </c>
      <c r="D2547" s="10">
        <v>0.19308569449601601</v>
      </c>
      <c r="E2547" s="10">
        <v>-9.2821442049792999</v>
      </c>
      <c r="F2547" s="4">
        <v>1.6610165578044099E-20</v>
      </c>
      <c r="G2547" s="4">
        <v>6.7448164158713402E-19</v>
      </c>
      <c r="H2547" s="10" t="s">
        <v>5107</v>
      </c>
      <c r="I2547" s="10" t="s">
        <v>18</v>
      </c>
    </row>
    <row r="2548" spans="1:9" x14ac:dyDescent="0.2">
      <c r="A2548" s="10" t="s">
        <v>5108</v>
      </c>
      <c r="B2548" s="10">
        <v>96.108168878198796</v>
      </c>
      <c r="C2548" s="10">
        <v>5.0421082385621698</v>
      </c>
      <c r="D2548" s="10">
        <v>0.57539370918616495</v>
      </c>
      <c r="E2548" s="10">
        <v>8.7628838446873498</v>
      </c>
      <c r="F2548" s="4">
        <v>1.90317738808161E-18</v>
      </c>
      <c r="G2548" s="4">
        <v>6.4257588962899197E-17</v>
      </c>
      <c r="H2548" s="10" t="s">
        <v>5109</v>
      </c>
      <c r="I2548" s="10" t="s">
        <v>18</v>
      </c>
    </row>
    <row r="2549" spans="1:9" x14ac:dyDescent="0.2">
      <c r="A2549" s="10" t="s">
        <v>5110</v>
      </c>
      <c r="B2549" s="10">
        <v>3071.93173510319</v>
      </c>
      <c r="C2549" s="10">
        <v>3.15182362722281</v>
      </c>
      <c r="D2549" s="10">
        <v>0.18478071890376699</v>
      </c>
      <c r="E2549" s="10">
        <v>17.057102309815502</v>
      </c>
      <c r="F2549" s="4">
        <v>3.0953326481672001E-65</v>
      </c>
      <c r="G2549" s="4">
        <v>1.0812631880078399E-62</v>
      </c>
      <c r="H2549" s="10" t="s">
        <v>5111</v>
      </c>
      <c r="I2549" s="10" t="s">
        <v>18</v>
      </c>
    </row>
    <row r="2550" spans="1:9" x14ac:dyDescent="0.2">
      <c r="A2550" s="10" t="s">
        <v>5112</v>
      </c>
      <c r="B2550" s="10">
        <v>720.57472630602695</v>
      </c>
      <c r="C2550" s="10">
        <v>2.3760557447662398</v>
      </c>
      <c r="D2550" s="10">
        <v>0.23312828575651701</v>
      </c>
      <c r="E2550" s="10">
        <v>10.192052573353701</v>
      </c>
      <c r="F2550" s="4">
        <v>2.1517242258010301E-24</v>
      </c>
      <c r="G2550" s="4">
        <v>1.1340044483636501E-22</v>
      </c>
      <c r="H2550" s="10" t="s">
        <v>5113</v>
      </c>
      <c r="I2550" s="10" t="s">
        <v>18</v>
      </c>
    </row>
    <row r="2551" spans="1:9" x14ac:dyDescent="0.2">
      <c r="A2551" s="10" t="s">
        <v>5114</v>
      </c>
      <c r="B2551" s="10">
        <v>2505.3286654132198</v>
      </c>
      <c r="C2551" s="10">
        <v>-2.7171860365176501</v>
      </c>
      <c r="D2551" s="10">
        <v>0.190672454203207</v>
      </c>
      <c r="E2551" s="10">
        <v>-14.2505431519848</v>
      </c>
      <c r="F2551" s="4">
        <v>4.4480812342686897E-46</v>
      </c>
      <c r="G2551" s="4">
        <v>7.5277558627403104E-44</v>
      </c>
      <c r="H2551" s="10" t="s">
        <v>5115</v>
      </c>
      <c r="I2551" s="10" t="s">
        <v>18</v>
      </c>
    </row>
    <row r="2552" spans="1:9" x14ac:dyDescent="0.2">
      <c r="A2552" s="10" t="s">
        <v>5116</v>
      </c>
      <c r="B2552" s="10">
        <v>2200.7221806231901</v>
      </c>
      <c r="C2552" s="10">
        <v>1.78115298941279</v>
      </c>
      <c r="D2552" s="10">
        <v>0.23054097863380199</v>
      </c>
      <c r="E2552" s="10">
        <v>7.7259713217493697</v>
      </c>
      <c r="F2552" s="4">
        <v>1.11003620224891E-14</v>
      </c>
      <c r="G2552" s="4">
        <v>2.6600841163303499E-13</v>
      </c>
      <c r="H2552" s="10" t="s">
        <v>5117</v>
      </c>
      <c r="I2552" s="10" t="s">
        <v>18</v>
      </c>
    </row>
    <row r="2553" spans="1:9" x14ac:dyDescent="0.2">
      <c r="A2553" s="10" t="s">
        <v>5118</v>
      </c>
      <c r="B2553" s="10">
        <v>2281.5064015718599</v>
      </c>
      <c r="C2553" s="10">
        <v>1.1790935180965401</v>
      </c>
      <c r="D2553" s="10">
        <v>0.18151818030275099</v>
      </c>
      <c r="E2553" s="10">
        <v>6.4957323620694698</v>
      </c>
      <c r="F2553" s="4">
        <v>8.2630442034769102E-11</v>
      </c>
      <c r="G2553" s="4">
        <v>1.29990280261048E-9</v>
      </c>
      <c r="H2553" s="10" t="s">
        <v>5119</v>
      </c>
      <c r="I2553" s="10" t="s">
        <v>18</v>
      </c>
    </row>
    <row r="2554" spans="1:9" x14ac:dyDescent="0.2">
      <c r="A2554" s="10" t="s">
        <v>5120</v>
      </c>
      <c r="B2554" s="10">
        <v>401.82208703342002</v>
      </c>
      <c r="C2554" s="10">
        <v>-2.4199552449322899</v>
      </c>
      <c r="D2554" s="10">
        <v>0.25467965700173001</v>
      </c>
      <c r="E2554" s="10">
        <v>-9.5019573743019698</v>
      </c>
      <c r="F2554" s="4">
        <v>2.0598150048018301E-21</v>
      </c>
      <c r="G2554" s="4">
        <v>8.9511609945511198E-20</v>
      </c>
      <c r="H2554" s="10" t="s">
        <v>5121</v>
      </c>
      <c r="I2554" s="10" t="s">
        <v>18</v>
      </c>
    </row>
    <row r="2555" spans="1:9" x14ac:dyDescent="0.2">
      <c r="A2555" s="10" t="s">
        <v>5122</v>
      </c>
      <c r="B2555" s="10">
        <v>2311.28010523988</v>
      </c>
      <c r="C2555" s="10">
        <v>-1.1778525667733799</v>
      </c>
      <c r="D2555" s="10">
        <v>0.19130132137782099</v>
      </c>
      <c r="E2555" s="10">
        <v>-6.157054004071</v>
      </c>
      <c r="F2555" s="4">
        <v>7.41105830411555E-10</v>
      </c>
      <c r="G2555" s="4">
        <v>1.0265841668136099E-8</v>
      </c>
      <c r="H2555" s="10" t="s">
        <v>5123</v>
      </c>
      <c r="I2555" s="10" t="s">
        <v>18</v>
      </c>
    </row>
    <row r="2556" spans="1:9" x14ac:dyDescent="0.2">
      <c r="A2556" s="10" t="s">
        <v>5124</v>
      </c>
      <c r="B2556" s="10">
        <v>13.0387818868787</v>
      </c>
      <c r="C2556" s="10">
        <v>3.9827849259591899</v>
      </c>
      <c r="D2556" s="10">
        <v>1.19840076464797</v>
      </c>
      <c r="E2556" s="10">
        <v>3.3234165426530899</v>
      </c>
      <c r="F2556" s="10">
        <v>8.8922025859959597E-4</v>
      </c>
      <c r="G2556" s="10">
        <v>3.9784210814553696E-3</v>
      </c>
      <c r="H2556" s="10" t="s">
        <v>5125</v>
      </c>
      <c r="I2556" s="10" t="s">
        <v>18</v>
      </c>
    </row>
    <row r="2557" spans="1:9" x14ac:dyDescent="0.2">
      <c r="A2557" s="10" t="s">
        <v>5126</v>
      </c>
      <c r="B2557" s="10">
        <v>106.640093899029</v>
      </c>
      <c r="C2557" s="10">
        <v>2.3999078023176699</v>
      </c>
      <c r="D2557" s="10">
        <v>0.39531506239255099</v>
      </c>
      <c r="E2557" s="10">
        <v>6.0708736666718401</v>
      </c>
      <c r="F2557" s="4">
        <v>1.27216239044301E-9</v>
      </c>
      <c r="G2557" s="4">
        <v>1.7075176676059501E-8</v>
      </c>
      <c r="H2557" s="10" t="s">
        <v>5127</v>
      </c>
      <c r="I2557" s="10" t="s">
        <v>18</v>
      </c>
    </row>
    <row r="2558" spans="1:9" x14ac:dyDescent="0.2">
      <c r="A2558" s="10" t="s">
        <v>5128</v>
      </c>
      <c r="B2558" s="10">
        <v>432.53833987260202</v>
      </c>
      <c r="C2558" s="10">
        <v>-1.8736650902233301</v>
      </c>
      <c r="D2558" s="10">
        <v>0.238078307376973</v>
      </c>
      <c r="E2558" s="10">
        <v>-7.8699530035576801</v>
      </c>
      <c r="F2558" s="4">
        <v>3.5477449905331199E-15</v>
      </c>
      <c r="G2558" s="4">
        <v>8.9837739551167202E-14</v>
      </c>
      <c r="H2558" s="10" t="s">
        <v>5129</v>
      </c>
      <c r="I2558" s="10" t="s">
        <v>18</v>
      </c>
    </row>
    <row r="2559" spans="1:9" x14ac:dyDescent="0.2">
      <c r="A2559" s="10" t="s">
        <v>5130</v>
      </c>
      <c r="B2559" s="10">
        <v>309.77346626756997</v>
      </c>
      <c r="C2559" s="10">
        <v>-1.48123878747298</v>
      </c>
      <c r="D2559" s="10">
        <v>0.266421791995271</v>
      </c>
      <c r="E2559" s="10">
        <v>-5.5597508611430397</v>
      </c>
      <c r="F2559" s="4">
        <v>2.7016002163960001E-8</v>
      </c>
      <c r="G2559" s="4">
        <v>3.0242605216163402E-7</v>
      </c>
      <c r="H2559" s="10" t="s">
        <v>5131</v>
      </c>
      <c r="I2559" s="10" t="s">
        <v>18</v>
      </c>
    </row>
    <row r="2560" spans="1:9" x14ac:dyDescent="0.2">
      <c r="A2560" s="10" t="s">
        <v>5132</v>
      </c>
      <c r="B2560" s="10">
        <v>274.68704026983102</v>
      </c>
      <c r="C2560" s="10">
        <v>-1.31296466382571</v>
      </c>
      <c r="D2560" s="10">
        <v>0.26750423341580198</v>
      </c>
      <c r="E2560" s="10">
        <v>-4.90820144062869</v>
      </c>
      <c r="F2560" s="4">
        <v>9.1915420531707199E-7</v>
      </c>
      <c r="G2560" s="4">
        <v>7.9507457919241499E-6</v>
      </c>
      <c r="H2560" s="10" t="s">
        <v>5133</v>
      </c>
      <c r="I2560" s="10" t="s">
        <v>18</v>
      </c>
    </row>
    <row r="2561" spans="1:9" x14ac:dyDescent="0.2">
      <c r="A2561" s="10" t="s">
        <v>5134</v>
      </c>
      <c r="B2561" s="10">
        <v>3106.5580662521802</v>
      </c>
      <c r="C2561" s="10">
        <v>-1.0581846973954401</v>
      </c>
      <c r="D2561" s="10">
        <v>0.17743034659460799</v>
      </c>
      <c r="E2561" s="10">
        <v>-5.9639442615370397</v>
      </c>
      <c r="F2561" s="4">
        <v>2.4622075958167599E-9</v>
      </c>
      <c r="G2561" s="4">
        <v>3.1660108713175697E-8</v>
      </c>
      <c r="H2561" s="10" t="s">
        <v>5135</v>
      </c>
      <c r="I2561" s="10" t="s">
        <v>18</v>
      </c>
    </row>
    <row r="2562" spans="1:9" x14ac:dyDescent="0.2">
      <c r="A2562" s="10" t="s">
        <v>5136</v>
      </c>
      <c r="B2562" s="10">
        <v>1730.8111806285301</v>
      </c>
      <c r="C2562" s="10">
        <v>-1.09105505037288</v>
      </c>
      <c r="D2562" s="10">
        <v>0.18507018890728799</v>
      </c>
      <c r="E2562" s="10">
        <v>-5.89535817094482</v>
      </c>
      <c r="F2562" s="4">
        <v>3.73869518338573E-9</v>
      </c>
      <c r="G2562" s="4">
        <v>4.7270639286176799E-8</v>
      </c>
      <c r="H2562" s="10" t="s">
        <v>5137</v>
      </c>
      <c r="I2562" s="10" t="s">
        <v>18</v>
      </c>
    </row>
    <row r="2563" spans="1:9" x14ac:dyDescent="0.2">
      <c r="A2563" s="10" t="s">
        <v>5138</v>
      </c>
      <c r="B2563" s="10">
        <v>35.038100977484802</v>
      </c>
      <c r="C2563" s="10">
        <v>4.2075505372680002</v>
      </c>
      <c r="D2563" s="10">
        <v>0.78999831453196101</v>
      </c>
      <c r="E2563" s="10">
        <v>5.3260247014081203</v>
      </c>
      <c r="F2563" s="4">
        <v>1.0038548548532099E-7</v>
      </c>
      <c r="G2563" s="4">
        <v>1.0194570715685901E-6</v>
      </c>
      <c r="H2563" s="10" t="s">
        <v>5139</v>
      </c>
      <c r="I2563" s="10" t="s">
        <v>18</v>
      </c>
    </row>
    <row r="2564" spans="1:9" x14ac:dyDescent="0.2">
      <c r="A2564" s="10" t="s">
        <v>5140</v>
      </c>
      <c r="B2564" s="10">
        <v>359.30753778875498</v>
      </c>
      <c r="C2564" s="10">
        <v>-1.7797234365407899</v>
      </c>
      <c r="D2564" s="10">
        <v>0.24694376489742201</v>
      </c>
      <c r="E2564" s="10">
        <v>-7.20699887798368</v>
      </c>
      <c r="F2564" s="4">
        <v>5.7198474626374197E-13</v>
      </c>
      <c r="G2564" s="4">
        <v>1.1709142285085E-11</v>
      </c>
      <c r="H2564" s="10" t="s">
        <v>5141</v>
      </c>
      <c r="I2564" s="10" t="s">
        <v>18</v>
      </c>
    </row>
    <row r="2565" spans="1:9" x14ac:dyDescent="0.2">
      <c r="A2565" s="10" t="s">
        <v>5142</v>
      </c>
      <c r="B2565" s="10">
        <v>3035.50794153365</v>
      </c>
      <c r="C2565" s="10">
        <v>2.25872072022021</v>
      </c>
      <c r="D2565" s="10">
        <v>0.20380441523227599</v>
      </c>
      <c r="E2565" s="10">
        <v>11.082786001696499</v>
      </c>
      <c r="F2565" s="4">
        <v>1.52065830235319E-28</v>
      </c>
      <c r="G2565" s="4">
        <v>1.05967715509508E-26</v>
      </c>
      <c r="H2565" s="10" t="s">
        <v>5143</v>
      </c>
      <c r="I2565" s="10" t="s">
        <v>18</v>
      </c>
    </row>
    <row r="2566" spans="1:9" x14ac:dyDescent="0.2">
      <c r="A2566" s="10" t="s">
        <v>5144</v>
      </c>
      <c r="B2566" s="10">
        <v>209.75087424815601</v>
      </c>
      <c r="C2566" s="10">
        <v>2.68901422829506</v>
      </c>
      <c r="D2566" s="10">
        <v>0.323390143553835</v>
      </c>
      <c r="E2566" s="10">
        <v>8.3150778769712907</v>
      </c>
      <c r="F2566" s="4">
        <v>9.16920392658293E-17</v>
      </c>
      <c r="G2566" s="4">
        <v>2.6921691744353999E-15</v>
      </c>
      <c r="H2566" s="10" t="s">
        <v>5145</v>
      </c>
      <c r="I2566" s="10" t="s">
        <v>18</v>
      </c>
    </row>
    <row r="2567" spans="1:9" x14ac:dyDescent="0.2">
      <c r="A2567" s="10" t="s">
        <v>5146</v>
      </c>
      <c r="B2567" s="10">
        <v>6.3111045764547997</v>
      </c>
      <c r="C2567" s="10">
        <v>6.0512238504060196</v>
      </c>
      <c r="D2567" s="10">
        <v>1.93467575089679</v>
      </c>
      <c r="E2567" s="10">
        <v>3.12777159045956</v>
      </c>
      <c r="F2567" s="10">
        <v>1.76137003782537E-3</v>
      </c>
      <c r="G2567" s="10">
        <v>7.2331649465904903E-3</v>
      </c>
      <c r="H2567" s="10" t="s">
        <v>5147</v>
      </c>
      <c r="I2567" s="10" t="s">
        <v>18</v>
      </c>
    </row>
    <row r="2568" spans="1:9" x14ac:dyDescent="0.2">
      <c r="A2568" s="10" t="s">
        <v>5148</v>
      </c>
      <c r="B2568" s="10">
        <v>2126.0569745042999</v>
      </c>
      <c r="C2568" s="10">
        <v>1.1461993168337901</v>
      </c>
      <c r="D2568" s="10">
        <v>0.201938419613055</v>
      </c>
      <c r="E2568" s="10">
        <v>5.6759843868743998</v>
      </c>
      <c r="F2568" s="4">
        <v>1.37893356244311E-8</v>
      </c>
      <c r="G2568" s="4">
        <v>1.60838196814587E-7</v>
      </c>
      <c r="H2568" s="10" t="s">
        <v>5149</v>
      </c>
      <c r="I2568" s="10" t="s">
        <v>18</v>
      </c>
    </row>
    <row r="2569" spans="1:9" x14ac:dyDescent="0.2">
      <c r="A2569" s="10" t="s">
        <v>5150</v>
      </c>
      <c r="B2569" s="10">
        <v>8.7055321336881395</v>
      </c>
      <c r="C2569" s="10">
        <v>5.03027877007258</v>
      </c>
      <c r="D2569" s="10">
        <v>1.7873866085905401</v>
      </c>
      <c r="E2569" s="10">
        <v>2.8143204978128602</v>
      </c>
      <c r="F2569" s="10">
        <v>4.8880467883474898E-3</v>
      </c>
      <c r="G2569" s="10">
        <v>1.7411663801552301E-2</v>
      </c>
      <c r="H2569" s="10" t="s">
        <v>5151</v>
      </c>
      <c r="I2569" s="10" t="s">
        <v>18</v>
      </c>
    </row>
    <row r="2570" spans="1:9" x14ac:dyDescent="0.2">
      <c r="A2570" s="10" t="s">
        <v>5152</v>
      </c>
      <c r="B2570" s="10">
        <v>54.260658381438702</v>
      </c>
      <c r="C2570" s="10">
        <v>3.414438939764</v>
      </c>
      <c r="D2570" s="10">
        <v>0.57468362633542702</v>
      </c>
      <c r="E2570" s="10">
        <v>5.9414237387217401</v>
      </c>
      <c r="F2570" s="4">
        <v>2.82557180156052E-9</v>
      </c>
      <c r="G2570" s="4">
        <v>3.6110860636547602E-8</v>
      </c>
      <c r="H2570" s="10" t="s">
        <v>5153</v>
      </c>
      <c r="I2570" s="10" t="s">
        <v>18</v>
      </c>
    </row>
    <row r="2571" spans="1:9" x14ac:dyDescent="0.2">
      <c r="A2571" s="10" t="s">
        <v>5154</v>
      </c>
      <c r="B2571" s="10">
        <v>10954.8307677636</v>
      </c>
      <c r="C2571" s="10">
        <v>-2.5839577429476002</v>
      </c>
      <c r="D2571" s="10">
        <v>0.175704608794476</v>
      </c>
      <c r="E2571" s="10">
        <v>-14.7062604713465</v>
      </c>
      <c r="F2571" s="4">
        <v>5.8766384028326301E-49</v>
      </c>
      <c r="G2571" s="4">
        <v>1.1119497677915301E-46</v>
      </c>
      <c r="H2571" s="10" t="s">
        <v>5155</v>
      </c>
      <c r="I2571" s="10" t="s">
        <v>18</v>
      </c>
    </row>
    <row r="2572" spans="1:9" x14ac:dyDescent="0.2">
      <c r="A2572" s="10" t="s">
        <v>5156</v>
      </c>
      <c r="B2572" s="10">
        <v>6179.0570450590403</v>
      </c>
      <c r="C2572" s="10">
        <v>-1.84636819948819</v>
      </c>
      <c r="D2572" s="10">
        <v>0.18107986282289401</v>
      </c>
      <c r="E2572" s="10">
        <v>-10.1964302971338</v>
      </c>
      <c r="F2572" s="4">
        <v>2.05694191965384E-24</v>
      </c>
      <c r="G2572" s="4">
        <v>1.0903793090429599E-22</v>
      </c>
      <c r="H2572" s="10" t="s">
        <v>5157</v>
      </c>
      <c r="I2572" s="10" t="s">
        <v>18</v>
      </c>
    </row>
    <row r="2573" spans="1:9" x14ac:dyDescent="0.2">
      <c r="A2573" s="10" t="s">
        <v>5158</v>
      </c>
      <c r="B2573" s="10">
        <v>5457.5272892142102</v>
      </c>
      <c r="C2573" s="10">
        <v>-1.63702079794304</v>
      </c>
      <c r="D2573" s="10">
        <v>0.17131384332935501</v>
      </c>
      <c r="E2573" s="10">
        <v>-9.5556831025956992</v>
      </c>
      <c r="F2573" s="4">
        <v>1.2277128645136899E-21</v>
      </c>
      <c r="G2573" s="4">
        <v>5.4216357243767597E-20</v>
      </c>
      <c r="H2573" s="10" t="s">
        <v>5159</v>
      </c>
      <c r="I2573" s="10" t="s">
        <v>18</v>
      </c>
    </row>
    <row r="2574" spans="1:9" x14ac:dyDescent="0.2">
      <c r="A2574" s="10" t="s">
        <v>5160</v>
      </c>
      <c r="B2574" s="10">
        <v>7.4829149907246402</v>
      </c>
      <c r="C2574" s="10">
        <v>4.8077649120513</v>
      </c>
      <c r="D2574" s="10">
        <v>1.8386900072933801</v>
      </c>
      <c r="E2574" s="10">
        <v>2.6147773104660099</v>
      </c>
      <c r="F2574" s="10">
        <v>8.9285647666265296E-3</v>
      </c>
      <c r="G2574" s="10">
        <v>2.8994717049192601E-2</v>
      </c>
      <c r="H2574" s="10" t="s">
        <v>5161</v>
      </c>
      <c r="I2574" s="10" t="s">
        <v>18</v>
      </c>
    </row>
    <row r="2575" spans="1:9" x14ac:dyDescent="0.2">
      <c r="A2575" s="10" t="s">
        <v>5162</v>
      </c>
      <c r="B2575" s="10">
        <v>4.0735280698875203</v>
      </c>
      <c r="C2575" s="10">
        <v>5.4212402584095702</v>
      </c>
      <c r="D2575" s="10">
        <v>2.1434463209324499</v>
      </c>
      <c r="E2575" s="10">
        <v>2.52921671304146</v>
      </c>
      <c r="F2575" s="10">
        <v>1.1431741709104999E-2</v>
      </c>
      <c r="G2575" s="10">
        <v>3.5553095120189997E-2</v>
      </c>
      <c r="H2575" s="10" t="s">
        <v>5163</v>
      </c>
      <c r="I2575" s="10" t="s">
        <v>18</v>
      </c>
    </row>
    <row r="2576" spans="1:9" x14ac:dyDescent="0.2">
      <c r="A2576" s="10" t="s">
        <v>5164</v>
      </c>
      <c r="B2576" s="10">
        <v>363.57267587247901</v>
      </c>
      <c r="C2576" s="10">
        <v>-1.19667818478207</v>
      </c>
      <c r="D2576" s="10">
        <v>0.244720241244134</v>
      </c>
      <c r="E2576" s="10">
        <v>-4.8899844928979999</v>
      </c>
      <c r="F2576" s="4">
        <v>1.0084392169703299E-6</v>
      </c>
      <c r="G2576" s="4">
        <v>8.6541553841859805E-6</v>
      </c>
      <c r="H2576" s="10" t="s">
        <v>5165</v>
      </c>
      <c r="I2576" s="10" t="s">
        <v>18</v>
      </c>
    </row>
    <row r="2577" spans="1:9" x14ac:dyDescent="0.2">
      <c r="A2577" s="10" t="s">
        <v>5166</v>
      </c>
      <c r="B2577" s="10">
        <v>24.018128631940801</v>
      </c>
      <c r="C2577" s="10">
        <v>4.4725889518253297</v>
      </c>
      <c r="D2577" s="10">
        <v>0.97372291779881803</v>
      </c>
      <c r="E2577" s="10">
        <v>4.5932871354573699</v>
      </c>
      <c r="F2577" s="4">
        <v>4.3631805700939601E-6</v>
      </c>
      <c r="G2577" s="4">
        <v>3.3366146784549602E-5</v>
      </c>
      <c r="H2577" s="10" t="s">
        <v>5167</v>
      </c>
      <c r="I2577" s="10" t="s">
        <v>18</v>
      </c>
    </row>
    <row r="2578" spans="1:9" x14ac:dyDescent="0.2">
      <c r="A2578" s="10" t="s">
        <v>5168</v>
      </c>
      <c r="B2578" s="10">
        <v>16.964351747166301</v>
      </c>
      <c r="C2578" s="10">
        <v>4.3825793291473003</v>
      </c>
      <c r="D2578" s="10">
        <v>1.12910971122741</v>
      </c>
      <c r="E2578" s="10">
        <v>3.8814468475195198</v>
      </c>
      <c r="F2578" s="10">
        <v>1.0383684854363E-4</v>
      </c>
      <c r="G2578" s="10">
        <v>5.9238748163071295E-4</v>
      </c>
      <c r="H2578" s="10" t="s">
        <v>5169</v>
      </c>
      <c r="I2578" s="10" t="s">
        <v>18</v>
      </c>
    </row>
    <row r="2579" spans="1:9" x14ac:dyDescent="0.2">
      <c r="A2579" s="10" t="s">
        <v>5170</v>
      </c>
      <c r="B2579" s="10">
        <v>174.974547547924</v>
      </c>
      <c r="C2579" s="10">
        <v>7.8144138775131298</v>
      </c>
      <c r="D2579" s="10">
        <v>0.883969814746144</v>
      </c>
      <c r="E2579" s="10">
        <v>8.8401365602707305</v>
      </c>
      <c r="F2579" s="4">
        <v>9.56016794791867E-19</v>
      </c>
      <c r="G2579" s="4">
        <v>3.3056585796565999E-17</v>
      </c>
      <c r="H2579" s="10" t="s">
        <v>5171</v>
      </c>
      <c r="I2579" s="10" t="s">
        <v>18</v>
      </c>
    </row>
    <row r="2580" spans="1:9" x14ac:dyDescent="0.2">
      <c r="A2580" s="10" t="s">
        <v>5172</v>
      </c>
      <c r="B2580" s="10">
        <v>4.8465514323206698</v>
      </c>
      <c r="C2580" s="10">
        <v>5.6768670601366198</v>
      </c>
      <c r="D2580" s="10">
        <v>2.0625215872145701</v>
      </c>
      <c r="E2580" s="10">
        <v>2.75239158480916</v>
      </c>
      <c r="F2580" s="10">
        <v>5.9161731801165201E-3</v>
      </c>
      <c r="G2580" s="10">
        <v>2.0448810178692701E-2</v>
      </c>
      <c r="H2580" s="10" t="s">
        <v>5173</v>
      </c>
      <c r="I2580" s="10" t="s">
        <v>18</v>
      </c>
    </row>
    <row r="2581" spans="1:9" x14ac:dyDescent="0.2">
      <c r="A2581" s="10" t="s">
        <v>5174</v>
      </c>
      <c r="B2581" s="10">
        <v>1531.1521233696301</v>
      </c>
      <c r="C2581" s="10">
        <v>6.3643621547774201</v>
      </c>
      <c r="D2581" s="10">
        <v>0.26767023791619099</v>
      </c>
      <c r="E2581" s="10">
        <v>23.776876369684899</v>
      </c>
      <c r="F2581" s="4">
        <v>5.79471156110695E-125</v>
      </c>
      <c r="G2581" s="4">
        <v>1.7543167322831199E-121</v>
      </c>
      <c r="H2581" s="10" t="s">
        <v>5175</v>
      </c>
      <c r="I2581" s="10" t="s">
        <v>18</v>
      </c>
    </row>
    <row r="2582" spans="1:9" x14ac:dyDescent="0.2">
      <c r="A2582" s="10" t="s">
        <v>5176</v>
      </c>
      <c r="B2582" s="10">
        <v>2792.6305298211901</v>
      </c>
      <c r="C2582" s="10">
        <v>1.3319910850187999</v>
      </c>
      <c r="D2582" s="10">
        <v>0.18336494600255801</v>
      </c>
      <c r="E2582" s="10">
        <v>7.2641533404112097</v>
      </c>
      <c r="F2582" s="4">
        <v>3.7538198724932802E-13</v>
      </c>
      <c r="G2582" s="4">
        <v>7.8556321095103198E-12</v>
      </c>
      <c r="H2582" s="10" t="s">
        <v>5177</v>
      </c>
      <c r="I2582" s="10" t="s">
        <v>18</v>
      </c>
    </row>
    <row r="2583" spans="1:9" x14ac:dyDescent="0.2">
      <c r="A2583" s="10" t="s">
        <v>5178</v>
      </c>
      <c r="B2583" s="10">
        <v>995.34913181839704</v>
      </c>
      <c r="C2583" s="10">
        <v>1.2138129167362799</v>
      </c>
      <c r="D2583" s="10">
        <v>0.19630059081793</v>
      </c>
      <c r="E2583" s="10">
        <v>6.1834399564395603</v>
      </c>
      <c r="F2583" s="4">
        <v>6.2719596267978597E-10</v>
      </c>
      <c r="G2583" s="4">
        <v>8.7368141079428093E-9</v>
      </c>
      <c r="H2583" s="10" t="s">
        <v>5179</v>
      </c>
      <c r="I2583" s="10" t="s">
        <v>18</v>
      </c>
    </row>
    <row r="2584" spans="1:9" x14ac:dyDescent="0.2">
      <c r="A2584" s="10" t="s">
        <v>5180</v>
      </c>
      <c r="B2584" s="10">
        <v>234.29083240292599</v>
      </c>
      <c r="C2584" s="10">
        <v>1.44126423585116</v>
      </c>
      <c r="D2584" s="10">
        <v>0.27764181768581297</v>
      </c>
      <c r="E2584" s="10">
        <v>5.1910920619390799</v>
      </c>
      <c r="F2584" s="4">
        <v>2.09064216057427E-7</v>
      </c>
      <c r="G2584" s="4">
        <v>2.01498857266243E-6</v>
      </c>
      <c r="H2584" s="10" t="s">
        <v>5181</v>
      </c>
      <c r="I2584" s="10" t="s">
        <v>18</v>
      </c>
    </row>
    <row r="2585" spans="1:9" x14ac:dyDescent="0.2">
      <c r="A2585" s="10" t="s">
        <v>5182</v>
      </c>
      <c r="B2585" s="10">
        <v>8.1078122445954008</v>
      </c>
      <c r="C2585" s="10">
        <v>6.4113243729373002</v>
      </c>
      <c r="D2585" s="10">
        <v>1.8560627384513699</v>
      </c>
      <c r="E2585" s="10">
        <v>3.4542605915825302</v>
      </c>
      <c r="F2585" s="10">
        <v>5.5180390161727196E-4</v>
      </c>
      <c r="G2585" s="10">
        <v>2.61387359307472E-3</v>
      </c>
      <c r="H2585" s="10" t="s">
        <v>5183</v>
      </c>
      <c r="I2585" s="10" t="s">
        <v>18</v>
      </c>
    </row>
    <row r="2586" spans="1:9" x14ac:dyDescent="0.2">
      <c r="A2586" s="10" t="s">
        <v>5184</v>
      </c>
      <c r="B2586" s="10">
        <v>186.641822060534</v>
      </c>
      <c r="C2586" s="10">
        <v>1.8848235236455499</v>
      </c>
      <c r="D2586" s="10">
        <v>0.30172677587835101</v>
      </c>
      <c r="E2586" s="10">
        <v>6.2467890632466299</v>
      </c>
      <c r="F2586" s="4">
        <v>4.1897626498477398E-10</v>
      </c>
      <c r="G2586" s="4">
        <v>5.9457532771042402E-9</v>
      </c>
      <c r="H2586" s="10" t="s">
        <v>5185</v>
      </c>
      <c r="I2586" s="10" t="s">
        <v>18</v>
      </c>
    </row>
    <row r="2587" spans="1:9" x14ac:dyDescent="0.2">
      <c r="A2587" s="10" t="s">
        <v>5186</v>
      </c>
      <c r="B2587" s="10">
        <v>4.9522599563679996</v>
      </c>
      <c r="C2587" s="10">
        <v>5.6991428411124598</v>
      </c>
      <c r="D2587" s="10">
        <v>2.0753997606471701</v>
      </c>
      <c r="E2587" s="10">
        <v>2.7460458217145201</v>
      </c>
      <c r="F2587" s="10">
        <v>6.0318338392833697E-3</v>
      </c>
      <c r="G2587" s="10">
        <v>2.0782672814738799E-2</v>
      </c>
      <c r="H2587" s="10" t="s">
        <v>5187</v>
      </c>
      <c r="I2587" s="10" t="s">
        <v>18</v>
      </c>
    </row>
    <row r="2588" spans="1:9" x14ac:dyDescent="0.2">
      <c r="A2588" s="10" t="s">
        <v>5188</v>
      </c>
      <c r="B2588" s="10">
        <v>5.9819558428212396</v>
      </c>
      <c r="C2588" s="10">
        <v>5.9757714752725404</v>
      </c>
      <c r="D2588" s="10">
        <v>1.9478131524890001</v>
      </c>
      <c r="E2588" s="10">
        <v>3.0679387638575299</v>
      </c>
      <c r="F2588" s="10">
        <v>2.15540781510168E-3</v>
      </c>
      <c r="G2588" s="10">
        <v>8.5973351980786605E-3</v>
      </c>
      <c r="H2588" s="10" t="s">
        <v>5189</v>
      </c>
      <c r="I2588" s="10" t="s">
        <v>18</v>
      </c>
    </row>
    <row r="2589" spans="1:9" x14ac:dyDescent="0.2">
      <c r="A2589" s="10" t="s">
        <v>5190</v>
      </c>
      <c r="B2589" s="10">
        <v>3.8168555458674298</v>
      </c>
      <c r="C2589" s="10">
        <v>5.3279350919035302</v>
      </c>
      <c r="D2589" s="10">
        <v>2.1809774924298599</v>
      </c>
      <c r="E2589" s="10">
        <v>2.4429115432858599</v>
      </c>
      <c r="F2589" s="10">
        <v>1.4569307781241599E-2</v>
      </c>
      <c r="G2589" s="10">
        <v>4.3474967595607303E-2</v>
      </c>
      <c r="H2589" s="10" t="s">
        <v>5191</v>
      </c>
      <c r="I2589" s="10" t="s">
        <v>18</v>
      </c>
    </row>
    <row r="2590" spans="1:9" x14ac:dyDescent="0.2">
      <c r="A2590" s="10" t="s">
        <v>5192</v>
      </c>
      <c r="B2590" s="10">
        <v>4.2577243842941197</v>
      </c>
      <c r="C2590" s="10">
        <v>5.4867669360524598</v>
      </c>
      <c r="D2590" s="10">
        <v>2.11613036159978</v>
      </c>
      <c r="E2590" s="10">
        <v>2.5928303074412198</v>
      </c>
      <c r="F2590" s="10">
        <v>9.5189725018600003E-3</v>
      </c>
      <c r="G2590" s="10">
        <v>3.0470329388883902E-2</v>
      </c>
      <c r="H2590" s="10" t="s">
        <v>5193</v>
      </c>
      <c r="I2590" s="10" t="s">
        <v>18</v>
      </c>
    </row>
    <row r="2591" spans="1:9" x14ac:dyDescent="0.2">
      <c r="A2591" s="10" t="s">
        <v>5194</v>
      </c>
      <c r="B2591" s="10">
        <v>1650.68357925892</v>
      </c>
      <c r="C2591" s="10">
        <v>-1.0054057675205901</v>
      </c>
      <c r="D2591" s="10">
        <v>0.185314460462953</v>
      </c>
      <c r="E2591" s="10">
        <v>-5.42540374350106</v>
      </c>
      <c r="F2591" s="4">
        <v>5.7823684819914897E-8</v>
      </c>
      <c r="G2591" s="4">
        <v>6.1203625039262002E-7</v>
      </c>
      <c r="H2591" s="10" t="s">
        <v>5195</v>
      </c>
      <c r="I2591" s="10" t="s">
        <v>18</v>
      </c>
    </row>
    <row r="2592" spans="1:9" x14ac:dyDescent="0.2">
      <c r="A2592" s="10" t="s">
        <v>5196</v>
      </c>
      <c r="B2592" s="10">
        <v>136.24965391282399</v>
      </c>
      <c r="C2592" s="10">
        <v>1.60922104249443</v>
      </c>
      <c r="D2592" s="10">
        <v>0.34418514257141802</v>
      </c>
      <c r="E2592" s="10">
        <v>4.6754517945542</v>
      </c>
      <c r="F2592" s="4">
        <v>2.9330717121624899E-6</v>
      </c>
      <c r="G2592" s="4">
        <v>2.30908422251637E-5</v>
      </c>
      <c r="H2592" s="10" t="s">
        <v>5197</v>
      </c>
      <c r="I2592" s="10" t="s">
        <v>18</v>
      </c>
    </row>
    <row r="2593" spans="1:9" x14ac:dyDescent="0.2">
      <c r="A2593" s="10" t="s">
        <v>5198</v>
      </c>
      <c r="B2593" s="10">
        <v>28.6380388050931</v>
      </c>
      <c r="C2593" s="10">
        <v>1.92703735254911</v>
      </c>
      <c r="D2593" s="10">
        <v>0.68219255767552001</v>
      </c>
      <c r="E2593" s="10">
        <v>2.82477041249942</v>
      </c>
      <c r="F2593" s="10">
        <v>4.7314505009879299E-3</v>
      </c>
      <c r="G2593" s="10">
        <v>1.69361313452993E-2</v>
      </c>
      <c r="H2593" s="10" t="s">
        <v>5199</v>
      </c>
      <c r="I2593" s="10" t="s">
        <v>18</v>
      </c>
    </row>
    <row r="2594" spans="1:9" x14ac:dyDescent="0.2">
      <c r="A2594" s="10" t="s">
        <v>5200</v>
      </c>
      <c r="B2594" s="10">
        <v>2988.9901619683601</v>
      </c>
      <c r="C2594" s="10">
        <v>-1.0468386332627</v>
      </c>
      <c r="D2594" s="10">
        <v>0.17699992103069201</v>
      </c>
      <c r="E2594" s="10">
        <v>-5.9143451995166698</v>
      </c>
      <c r="F2594" s="4">
        <v>3.3319843397134901E-9</v>
      </c>
      <c r="G2594" s="4">
        <v>4.2305022042951202E-8</v>
      </c>
      <c r="H2594" s="10" t="s">
        <v>5201</v>
      </c>
      <c r="I2594" s="10" t="s">
        <v>18</v>
      </c>
    </row>
    <row r="2595" spans="1:9" x14ac:dyDescent="0.2">
      <c r="A2595" s="10" t="s">
        <v>5202</v>
      </c>
      <c r="B2595" s="10">
        <v>25.999753155925699</v>
      </c>
      <c r="C2595" s="10">
        <v>2.2989478430001302</v>
      </c>
      <c r="D2595" s="10">
        <v>0.71403372265352705</v>
      </c>
      <c r="E2595" s="10">
        <v>3.2196628395318099</v>
      </c>
      <c r="F2595" s="10">
        <v>1.28341445934016E-3</v>
      </c>
      <c r="G2595" s="10">
        <v>5.4810648548027302E-3</v>
      </c>
      <c r="H2595" s="10" t="s">
        <v>5203</v>
      </c>
      <c r="I2595" s="10" t="s">
        <v>18</v>
      </c>
    </row>
    <row r="2596" spans="1:9" x14ac:dyDescent="0.2">
      <c r="A2596" s="10" t="s">
        <v>5204</v>
      </c>
      <c r="B2596" s="10">
        <v>1839.8751991347201</v>
      </c>
      <c r="C2596" s="10">
        <v>-1.90165047176388</v>
      </c>
      <c r="D2596" s="10">
        <v>0.18530478910833201</v>
      </c>
      <c r="E2596" s="10">
        <v>-10.262284536273601</v>
      </c>
      <c r="F2596" s="4">
        <v>1.0421163368934499E-24</v>
      </c>
      <c r="G2596" s="4">
        <v>5.6902893449570998E-23</v>
      </c>
      <c r="H2596" s="10" t="s">
        <v>5205</v>
      </c>
      <c r="I2596" s="10" t="s">
        <v>18</v>
      </c>
    </row>
    <row r="2597" spans="1:9" x14ac:dyDescent="0.2">
      <c r="A2597" s="10" t="s">
        <v>5206</v>
      </c>
      <c r="B2597" s="10">
        <v>31.3226531978097</v>
      </c>
      <c r="C2597" s="10">
        <v>3.6341880276486802</v>
      </c>
      <c r="D2597" s="10">
        <v>0.78368763575440104</v>
      </c>
      <c r="E2597" s="10">
        <v>4.6372915200458698</v>
      </c>
      <c r="F2597" s="4">
        <v>3.5300437087581201E-6</v>
      </c>
      <c r="G2597" s="4">
        <v>2.7449515106316401E-5</v>
      </c>
      <c r="H2597" s="10" t="s">
        <v>5207</v>
      </c>
      <c r="I2597" s="10" t="s">
        <v>18</v>
      </c>
    </row>
    <row r="2598" spans="1:9" x14ac:dyDescent="0.2">
      <c r="A2598" s="10" t="s">
        <v>5208</v>
      </c>
      <c r="B2598" s="10">
        <v>13514.143101760799</v>
      </c>
      <c r="C2598" s="10">
        <v>1.7550387916086501</v>
      </c>
      <c r="D2598" s="10">
        <v>0.201716720729154</v>
      </c>
      <c r="E2598" s="10">
        <v>8.7005122097198306</v>
      </c>
      <c r="F2598" s="4">
        <v>3.3038950201364299E-18</v>
      </c>
      <c r="G2598" s="4">
        <v>1.08721289388475E-16</v>
      </c>
      <c r="H2598" s="10" t="s">
        <v>5209</v>
      </c>
      <c r="I2598" s="10" t="s">
        <v>18</v>
      </c>
    </row>
    <row r="2599" spans="1:9" x14ac:dyDescent="0.2">
      <c r="A2599" s="10" t="s">
        <v>5210</v>
      </c>
      <c r="B2599" s="10">
        <v>1391.7066552252099</v>
      </c>
      <c r="C2599" s="10">
        <v>1.45844411217201</v>
      </c>
      <c r="D2599" s="10">
        <v>0.19858220559362599</v>
      </c>
      <c r="E2599" s="10">
        <v>7.3442839846211596</v>
      </c>
      <c r="F2599" s="4">
        <v>2.0686349026891701E-13</v>
      </c>
      <c r="G2599" s="4">
        <v>4.4556596990965801E-12</v>
      </c>
      <c r="H2599" s="10" t="s">
        <v>5211</v>
      </c>
      <c r="I2599" s="10" t="s">
        <v>18</v>
      </c>
    </row>
    <row r="2600" spans="1:9" x14ac:dyDescent="0.2">
      <c r="A2600" s="10" t="s">
        <v>5212</v>
      </c>
      <c r="B2600" s="10">
        <v>13.4257948373288</v>
      </c>
      <c r="C2600" s="10">
        <v>4.6502081179862502</v>
      </c>
      <c r="D2600" s="10">
        <v>1.3460424394236801</v>
      </c>
      <c r="E2600" s="10">
        <v>3.4547262268916801</v>
      </c>
      <c r="F2600" s="10">
        <v>5.5085186414348798E-4</v>
      </c>
      <c r="G2600" s="10">
        <v>2.60981755213313E-3</v>
      </c>
      <c r="H2600" s="10" t="s">
        <v>5213</v>
      </c>
      <c r="I2600" s="10" t="s">
        <v>18</v>
      </c>
    </row>
    <row r="2601" spans="1:9" x14ac:dyDescent="0.2">
      <c r="A2601" s="10" t="s">
        <v>5214</v>
      </c>
      <c r="B2601" s="10">
        <v>272.49856861338998</v>
      </c>
      <c r="C2601" s="10">
        <v>1.2342221217424401</v>
      </c>
      <c r="D2601" s="10">
        <v>0.26032798497149201</v>
      </c>
      <c r="E2601" s="10">
        <v>4.74102744611801</v>
      </c>
      <c r="F2601" s="4">
        <v>2.1263712208507699E-6</v>
      </c>
      <c r="G2601" s="4">
        <v>1.7217603760630299E-5</v>
      </c>
      <c r="H2601" s="10" t="s">
        <v>5215</v>
      </c>
      <c r="I2601" s="10" t="s">
        <v>18</v>
      </c>
    </row>
    <row r="2602" spans="1:9" x14ac:dyDescent="0.2">
      <c r="A2602" s="10" t="s">
        <v>5216</v>
      </c>
      <c r="B2602" s="10">
        <v>19.8798590130904</v>
      </c>
      <c r="C2602" s="10">
        <v>2.05595889059301</v>
      </c>
      <c r="D2602" s="10">
        <v>0.81951699030257397</v>
      </c>
      <c r="E2602" s="10">
        <v>2.5087446812224501</v>
      </c>
      <c r="F2602" s="10">
        <v>1.2116102357155E-2</v>
      </c>
      <c r="G2602" s="10">
        <v>3.7332063883908403E-2</v>
      </c>
      <c r="H2602" s="10" t="s">
        <v>5217</v>
      </c>
      <c r="I2602" s="10" t="s">
        <v>18</v>
      </c>
    </row>
    <row r="2603" spans="1:9" x14ac:dyDescent="0.2">
      <c r="A2603" s="10" t="s">
        <v>5218</v>
      </c>
      <c r="B2603" s="10">
        <v>69.436702927891801</v>
      </c>
      <c r="C2603" s="10">
        <v>-1.3433325236453699</v>
      </c>
      <c r="D2603" s="10">
        <v>0.43869949073425901</v>
      </c>
      <c r="E2603" s="10">
        <v>-3.0620790587128601</v>
      </c>
      <c r="F2603" s="10">
        <v>2.19805389721376E-3</v>
      </c>
      <c r="G2603" s="10">
        <v>8.7349294175055308E-3</v>
      </c>
      <c r="H2603" s="10" t="s">
        <v>5219</v>
      </c>
      <c r="I2603" s="10" t="s">
        <v>18</v>
      </c>
    </row>
    <row r="2604" spans="1:9" x14ac:dyDescent="0.2">
      <c r="A2604" s="10" t="s">
        <v>5220</v>
      </c>
      <c r="B2604" s="10">
        <v>278.83591297040601</v>
      </c>
      <c r="C2604" s="10">
        <v>1.0844595138798301</v>
      </c>
      <c r="D2604" s="10">
        <v>0.26530964797530299</v>
      </c>
      <c r="E2604" s="10">
        <v>4.0875238505490898</v>
      </c>
      <c r="F2604" s="4">
        <v>4.3600186422660399E-5</v>
      </c>
      <c r="G2604" s="10">
        <v>2.6987148556524901E-4</v>
      </c>
      <c r="H2604" s="10" t="s">
        <v>5221</v>
      </c>
      <c r="I2604" s="10" t="s">
        <v>18</v>
      </c>
    </row>
    <row r="2605" spans="1:9" x14ac:dyDescent="0.2">
      <c r="A2605" s="10" t="s">
        <v>5222</v>
      </c>
      <c r="B2605" s="10">
        <v>1657.1887730462599</v>
      </c>
      <c r="C2605" s="10">
        <v>-1.0212881097278801</v>
      </c>
      <c r="D2605" s="10">
        <v>0.196791967146033</v>
      </c>
      <c r="E2605" s="10">
        <v>-5.1896839314077203</v>
      </c>
      <c r="F2605" s="4">
        <v>2.1065133522856501E-7</v>
      </c>
      <c r="G2605" s="4">
        <v>2.0295675144882299E-6</v>
      </c>
      <c r="H2605" s="10" t="s">
        <v>5223</v>
      </c>
      <c r="I2605" s="10" t="s">
        <v>18</v>
      </c>
    </row>
    <row r="2606" spans="1:9" x14ac:dyDescent="0.2">
      <c r="A2606" s="10" t="s">
        <v>5224</v>
      </c>
      <c r="B2606" s="10">
        <v>3259.6989723534798</v>
      </c>
      <c r="C2606" s="10">
        <v>-1.4244856508271799</v>
      </c>
      <c r="D2606" s="10">
        <v>0.177467098330965</v>
      </c>
      <c r="E2606" s="10">
        <v>-8.0267591245032293</v>
      </c>
      <c r="F2606" s="4">
        <v>1.0008131383327099E-15</v>
      </c>
      <c r="G2606" s="4">
        <v>2.6682148317173601E-14</v>
      </c>
      <c r="H2606" s="10" t="s">
        <v>5225</v>
      </c>
      <c r="I2606" s="10" t="s">
        <v>18</v>
      </c>
    </row>
    <row r="2607" spans="1:9" x14ac:dyDescent="0.2">
      <c r="A2607" s="10" t="s">
        <v>5226</v>
      </c>
      <c r="B2607" s="10">
        <v>58.714092769837499</v>
      </c>
      <c r="C2607" s="10">
        <v>1.34465972563294</v>
      </c>
      <c r="D2607" s="10">
        <v>0.53829828586599104</v>
      </c>
      <c r="E2607" s="10">
        <v>2.4979825515693599</v>
      </c>
      <c r="F2607" s="10">
        <v>1.2490234143028399E-2</v>
      </c>
      <c r="G2607" s="10">
        <v>3.82854018168826E-2</v>
      </c>
      <c r="H2607" s="10" t="s">
        <v>5227</v>
      </c>
      <c r="I2607" s="10" t="s">
        <v>18</v>
      </c>
    </row>
    <row r="2608" spans="1:9" x14ac:dyDescent="0.2">
      <c r="A2608" s="10" t="s">
        <v>5228</v>
      </c>
      <c r="B2608" s="10">
        <v>149.311528612275</v>
      </c>
      <c r="C2608" s="10">
        <v>1.25857981665805</v>
      </c>
      <c r="D2608" s="10">
        <v>0.36345302390249101</v>
      </c>
      <c r="E2608" s="10">
        <v>3.4628404054651898</v>
      </c>
      <c r="F2608" s="10">
        <v>5.3450532894950599E-4</v>
      </c>
      <c r="G2608" s="10">
        <v>2.5420957755083302E-3</v>
      </c>
      <c r="H2608" s="10" t="s">
        <v>5229</v>
      </c>
      <c r="I2608" s="10" t="s">
        <v>18</v>
      </c>
    </row>
    <row r="2609" spans="1:9" x14ac:dyDescent="0.2">
      <c r="A2609" s="10" t="s">
        <v>5230</v>
      </c>
      <c r="B2609" s="10">
        <v>78.128831312612405</v>
      </c>
      <c r="C2609" s="10">
        <v>1.5063307828102399</v>
      </c>
      <c r="D2609" s="10">
        <v>0.42634980377743498</v>
      </c>
      <c r="E2609" s="10">
        <v>3.5330866097843399</v>
      </c>
      <c r="F2609" s="10">
        <v>4.10737888889978E-4</v>
      </c>
      <c r="G2609" s="10">
        <v>2.0157376186212602E-3</v>
      </c>
      <c r="H2609" s="10" t="s">
        <v>5231</v>
      </c>
      <c r="I2609" s="10" t="s">
        <v>18</v>
      </c>
    </row>
    <row r="2610" spans="1:9" x14ac:dyDescent="0.2">
      <c r="A2610" s="10" t="s">
        <v>5232</v>
      </c>
      <c r="B2610" s="10">
        <v>20.750856238920299</v>
      </c>
      <c r="C2610" s="10">
        <v>4.2506065455248603</v>
      </c>
      <c r="D2610" s="10">
        <v>1.00477567412619</v>
      </c>
      <c r="E2610" s="10">
        <v>4.2304035169058301</v>
      </c>
      <c r="F2610" s="4">
        <v>2.3327248233372299E-5</v>
      </c>
      <c r="G2610" s="10">
        <v>1.5289813149259001E-4</v>
      </c>
      <c r="H2610" s="10" t="s">
        <v>5233</v>
      </c>
      <c r="I2610" s="10" t="s">
        <v>18</v>
      </c>
    </row>
    <row r="2611" spans="1:9" x14ac:dyDescent="0.2">
      <c r="A2611" s="10" t="s">
        <v>5234</v>
      </c>
      <c r="B2611" s="10">
        <v>679.09792812081196</v>
      </c>
      <c r="C2611" s="10">
        <v>1.54342350205029</v>
      </c>
      <c r="D2611" s="10">
        <v>0.22023885078872901</v>
      </c>
      <c r="E2611" s="10">
        <v>7.0079529407409797</v>
      </c>
      <c r="F2611" s="4">
        <v>2.41830110976818E-12</v>
      </c>
      <c r="G2611" s="4">
        <v>4.5631198294912398E-11</v>
      </c>
      <c r="H2611" s="10" t="s">
        <v>5235</v>
      </c>
      <c r="I2611" s="10" t="s">
        <v>18</v>
      </c>
    </row>
    <row r="2612" spans="1:9" x14ac:dyDescent="0.2">
      <c r="A2612" s="10" t="s">
        <v>5236</v>
      </c>
      <c r="B2612" s="10">
        <v>7.2290803581149197</v>
      </c>
      <c r="C2612" s="10">
        <v>6.2480594941131198</v>
      </c>
      <c r="D2612" s="10">
        <v>1.87478034210473</v>
      </c>
      <c r="E2612" s="10">
        <v>3.3326888242804502</v>
      </c>
      <c r="F2612" s="10">
        <v>8.6011082883706298E-4</v>
      </c>
      <c r="G2612" s="10">
        <v>3.8704277049254302E-3</v>
      </c>
      <c r="H2612" s="10" t="s">
        <v>5237</v>
      </c>
      <c r="I2612" s="10" t="s">
        <v>18</v>
      </c>
    </row>
    <row r="2613" spans="1:9" x14ac:dyDescent="0.2">
      <c r="A2613" s="10" t="s">
        <v>5238</v>
      </c>
      <c r="B2613" s="10">
        <v>3.9648137554673002</v>
      </c>
      <c r="C2613" s="10">
        <v>5.38581965917892</v>
      </c>
      <c r="D2613" s="10">
        <v>2.16320773319238</v>
      </c>
      <c r="E2613" s="10">
        <v>2.4897376135165499</v>
      </c>
      <c r="F2613" s="10">
        <v>1.2783743375967001E-2</v>
      </c>
      <c r="G2613" s="10">
        <v>3.9066695352733702E-2</v>
      </c>
      <c r="H2613" s="10" t="s">
        <v>5239</v>
      </c>
      <c r="I2613" s="10" t="s">
        <v>18</v>
      </c>
    </row>
    <row r="2614" spans="1:9" x14ac:dyDescent="0.2">
      <c r="A2614" s="10" t="s">
        <v>5240</v>
      </c>
      <c r="B2614" s="10">
        <v>1850.3557185377199</v>
      </c>
      <c r="C2614" s="10">
        <v>1.29180659147427</v>
      </c>
      <c r="D2614" s="10">
        <v>0.19808087330990201</v>
      </c>
      <c r="E2614" s="10">
        <v>6.5216119551997904</v>
      </c>
      <c r="F2614" s="4">
        <v>6.9555774534531796E-11</v>
      </c>
      <c r="G2614" s="4">
        <v>1.10894452237706E-9</v>
      </c>
      <c r="H2614" s="10" t="s">
        <v>5241</v>
      </c>
      <c r="I2614" s="10" t="s">
        <v>18</v>
      </c>
    </row>
    <row r="2615" spans="1:9" x14ac:dyDescent="0.2">
      <c r="A2615" s="10" t="s">
        <v>5242</v>
      </c>
      <c r="B2615" s="10">
        <v>3.7443793362539499</v>
      </c>
      <c r="C2615" s="10">
        <v>5.3028405840866704</v>
      </c>
      <c r="D2615" s="10">
        <v>2.1958005004532399</v>
      </c>
      <c r="E2615" s="10">
        <v>2.4149919735386298</v>
      </c>
      <c r="F2615" s="10">
        <v>1.5735556439619401E-2</v>
      </c>
      <c r="G2615" s="10">
        <v>4.6361019280959197E-2</v>
      </c>
      <c r="H2615" s="10" t="s">
        <v>5243</v>
      </c>
      <c r="I2615" s="10" t="s">
        <v>18</v>
      </c>
    </row>
    <row r="2616" spans="1:9" x14ac:dyDescent="0.2">
      <c r="A2616" s="10" t="s">
        <v>5244</v>
      </c>
      <c r="B2616" s="10">
        <v>421.58813588368997</v>
      </c>
      <c r="C2616" s="10">
        <v>-1.40948935579595</v>
      </c>
      <c r="D2616" s="10">
        <v>0.26211510704172297</v>
      </c>
      <c r="E2616" s="10">
        <v>-5.37736787361741</v>
      </c>
      <c r="F2616" s="4">
        <v>7.5582640914242405E-8</v>
      </c>
      <c r="G2616" s="4">
        <v>7.8363782990500897E-7</v>
      </c>
      <c r="H2616" s="10" t="s">
        <v>5245</v>
      </c>
      <c r="I2616" s="10" t="s">
        <v>18</v>
      </c>
    </row>
    <row r="2617" spans="1:9" x14ac:dyDescent="0.2">
      <c r="A2617" s="10" t="s">
        <v>5246</v>
      </c>
      <c r="B2617" s="10">
        <v>56.109381618501502</v>
      </c>
      <c r="C2617" s="10">
        <v>-3.5153604526153699</v>
      </c>
      <c r="D2617" s="10">
        <v>0.57521335370854498</v>
      </c>
      <c r="E2617" s="10">
        <v>-6.1114027168370804</v>
      </c>
      <c r="F2617" s="4">
        <v>9.8759197953987999E-10</v>
      </c>
      <c r="G2617" s="4">
        <v>1.34410183149466E-8</v>
      </c>
      <c r="H2617" s="10" t="s">
        <v>5247</v>
      </c>
      <c r="I2617" s="10" t="s">
        <v>18</v>
      </c>
    </row>
    <row r="2618" spans="1:9" x14ac:dyDescent="0.2">
      <c r="A2618" s="10" t="s">
        <v>5248</v>
      </c>
      <c r="B2618" s="10">
        <v>613.13573206910996</v>
      </c>
      <c r="C2618" s="10">
        <v>-1.79313247773908</v>
      </c>
      <c r="D2618" s="10">
        <v>0.30477074483068201</v>
      </c>
      <c r="E2618" s="10">
        <v>-5.8835452816682503</v>
      </c>
      <c r="F2618" s="4">
        <v>4.0157016258603702E-9</v>
      </c>
      <c r="G2618" s="4">
        <v>5.0491842270335703E-8</v>
      </c>
      <c r="H2618" s="10" t="s">
        <v>5249</v>
      </c>
      <c r="I2618" s="10" t="s">
        <v>18</v>
      </c>
    </row>
    <row r="2619" spans="1:9" x14ac:dyDescent="0.2">
      <c r="A2619" s="10" t="s">
        <v>5250</v>
      </c>
      <c r="B2619" s="10">
        <v>2288.9349374379999</v>
      </c>
      <c r="C2619" s="10">
        <v>1.55152619832099</v>
      </c>
      <c r="D2619" s="10">
        <v>0.199161227086292</v>
      </c>
      <c r="E2619" s="10">
        <v>7.7903024650915098</v>
      </c>
      <c r="F2619" s="4">
        <v>6.6848974154527903E-15</v>
      </c>
      <c r="G2619" s="4">
        <v>1.63357309308379E-13</v>
      </c>
      <c r="H2619" s="10" t="s">
        <v>5251</v>
      </c>
      <c r="I2619" s="10" t="s">
        <v>18</v>
      </c>
    </row>
    <row r="2620" spans="1:9" x14ac:dyDescent="0.2">
      <c r="A2620" s="10" t="s">
        <v>5252</v>
      </c>
      <c r="B2620" s="10">
        <v>1727.02765354913</v>
      </c>
      <c r="C2620" s="10">
        <v>-2.6561671225645198</v>
      </c>
      <c r="D2620" s="10">
        <v>0.23439814772880099</v>
      </c>
      <c r="E2620" s="10">
        <v>-11.3318605471136</v>
      </c>
      <c r="F2620" s="4">
        <v>9.1245632169682895E-30</v>
      </c>
      <c r="G2620" s="4">
        <v>7.0230783608117198E-28</v>
      </c>
      <c r="H2620" s="10" t="s">
        <v>5253</v>
      </c>
      <c r="I2620" s="10" t="s">
        <v>18</v>
      </c>
    </row>
    <row r="2621" spans="1:9" x14ac:dyDescent="0.2">
      <c r="A2621" s="10" t="s">
        <v>5254</v>
      </c>
      <c r="B2621" s="10">
        <v>1109.2234963516601</v>
      </c>
      <c r="C2621" s="10">
        <v>2.1812087946933798</v>
      </c>
      <c r="D2621" s="10">
        <v>0.19664330110060099</v>
      </c>
      <c r="E2621" s="10">
        <v>11.092210019285099</v>
      </c>
      <c r="F2621" s="4">
        <v>1.36864046764186E-28</v>
      </c>
      <c r="G2621" s="4">
        <v>9.6111718612983893E-27</v>
      </c>
      <c r="H2621" s="10" t="s">
        <v>5255</v>
      </c>
      <c r="I2621" s="10" t="s">
        <v>18</v>
      </c>
    </row>
    <row r="2622" spans="1:9" x14ac:dyDescent="0.2">
      <c r="A2622" s="10" t="s">
        <v>5256</v>
      </c>
      <c r="B2622" s="10">
        <v>3642.851192528</v>
      </c>
      <c r="C2622" s="10">
        <v>1.90162869391835</v>
      </c>
      <c r="D2622" s="10">
        <v>0.19163738764563901</v>
      </c>
      <c r="E2622" s="10">
        <v>9.9230568590023598</v>
      </c>
      <c r="F2622" s="4">
        <v>3.3047675988583799E-23</v>
      </c>
      <c r="G2622" s="4">
        <v>1.61370972699094E-21</v>
      </c>
      <c r="H2622" s="10" t="s">
        <v>5257</v>
      </c>
      <c r="I2622" s="10" t="s">
        <v>18</v>
      </c>
    </row>
    <row r="2623" spans="1:9" x14ac:dyDescent="0.2">
      <c r="A2623" s="10" t="s">
        <v>5258</v>
      </c>
      <c r="B2623" s="10">
        <v>190.22753962296599</v>
      </c>
      <c r="C2623" s="10">
        <v>2.89685604008063</v>
      </c>
      <c r="D2623" s="10">
        <v>0.33992612673957601</v>
      </c>
      <c r="E2623" s="10">
        <v>8.5220164388834192</v>
      </c>
      <c r="F2623" s="4">
        <v>1.5679912776851E-17</v>
      </c>
      <c r="G2623" s="4">
        <v>4.9050583631556797E-16</v>
      </c>
      <c r="H2623" s="10" t="s">
        <v>5259</v>
      </c>
      <c r="I2623" s="10" t="s">
        <v>18</v>
      </c>
    </row>
    <row r="2624" spans="1:9" x14ac:dyDescent="0.2">
      <c r="A2624" s="10" t="s">
        <v>5260</v>
      </c>
      <c r="B2624" s="10">
        <v>1896.72681299026</v>
      </c>
      <c r="C2624" s="10">
        <v>2.49085448353518</v>
      </c>
      <c r="D2624" s="10">
        <v>0.20311803057848599</v>
      </c>
      <c r="E2624" s="10">
        <v>12.263088985459101</v>
      </c>
      <c r="F2624" s="4">
        <v>1.4294498223957401E-34</v>
      </c>
      <c r="G2624" s="4">
        <v>1.46421877108334E-32</v>
      </c>
      <c r="H2624" s="10" t="s">
        <v>5261</v>
      </c>
      <c r="I2624" s="10" t="s">
        <v>18</v>
      </c>
    </row>
    <row r="2625" spans="1:9" x14ac:dyDescent="0.2">
      <c r="A2625" s="10" t="s">
        <v>5262</v>
      </c>
      <c r="B2625" s="10">
        <v>3.8168555458674298</v>
      </c>
      <c r="C2625" s="10">
        <v>5.3279350919035302</v>
      </c>
      <c r="D2625" s="10">
        <v>2.1809774924298599</v>
      </c>
      <c r="E2625" s="10">
        <v>2.4429115432858599</v>
      </c>
      <c r="F2625" s="10">
        <v>1.4569307781241599E-2</v>
      </c>
      <c r="G2625" s="10">
        <v>4.3474967595607303E-2</v>
      </c>
      <c r="H2625" s="10" t="s">
        <v>5263</v>
      </c>
      <c r="I2625" s="10" t="s">
        <v>18</v>
      </c>
    </row>
    <row r="2626" spans="1:9" x14ac:dyDescent="0.2">
      <c r="A2626" s="10" t="s">
        <v>5264</v>
      </c>
      <c r="B2626" s="10">
        <v>5.3236583755540998</v>
      </c>
      <c r="C2626" s="10">
        <v>5.81195320853233</v>
      </c>
      <c r="D2626" s="10">
        <v>2.0127172119138601</v>
      </c>
      <c r="E2626" s="10">
        <v>2.88761539580906</v>
      </c>
      <c r="F2626" s="10">
        <v>3.8817418998348101E-3</v>
      </c>
      <c r="G2626" s="10">
        <v>1.4279262470739599E-2</v>
      </c>
      <c r="H2626" s="10" t="s">
        <v>5265</v>
      </c>
      <c r="I2626" s="10" t="s">
        <v>18</v>
      </c>
    </row>
    <row r="2627" spans="1:9" x14ac:dyDescent="0.2">
      <c r="A2627" s="10" t="s">
        <v>5266</v>
      </c>
      <c r="B2627" s="10">
        <v>45.874742760022698</v>
      </c>
      <c r="C2627" s="10">
        <v>8.91507218850297</v>
      </c>
      <c r="D2627" s="10">
        <v>1.5262373310654</v>
      </c>
      <c r="E2627" s="10">
        <v>5.8412096251634402</v>
      </c>
      <c r="F2627" s="4">
        <v>5.1823145049895698E-9</v>
      </c>
      <c r="G2627" s="4">
        <v>6.4095562105061698E-8</v>
      </c>
      <c r="H2627" s="10" t="s">
        <v>5267</v>
      </c>
      <c r="I2627" s="10" t="s">
        <v>18</v>
      </c>
    </row>
    <row r="2628" spans="1:9" x14ac:dyDescent="0.2">
      <c r="A2628" s="10" t="s">
        <v>5268</v>
      </c>
      <c r="B2628" s="10">
        <v>80.070474485886194</v>
      </c>
      <c r="C2628" s="10">
        <v>5.6827577530304696</v>
      </c>
      <c r="D2628" s="10">
        <v>1.6101159043429101</v>
      </c>
      <c r="E2628" s="10">
        <v>3.5294091175067401</v>
      </c>
      <c r="F2628" s="10">
        <v>4.1648872770947201E-4</v>
      </c>
      <c r="G2628" s="10">
        <v>2.0406524660852399E-3</v>
      </c>
      <c r="H2628" s="10" t="s">
        <v>5269</v>
      </c>
      <c r="I2628" s="10" t="s">
        <v>18</v>
      </c>
    </row>
    <row r="2629" spans="1:9" x14ac:dyDescent="0.2">
      <c r="A2629" s="10" t="s">
        <v>5270</v>
      </c>
      <c r="B2629" s="10">
        <v>54.424648081370101</v>
      </c>
      <c r="C2629" s="10">
        <v>3.6106260631422198</v>
      </c>
      <c r="D2629" s="10">
        <v>0.58438364094694595</v>
      </c>
      <c r="E2629" s="10">
        <v>6.1785200853526598</v>
      </c>
      <c r="F2629" s="4">
        <v>6.4705258015084897E-10</v>
      </c>
      <c r="G2629" s="4">
        <v>8.9950212506990799E-9</v>
      </c>
      <c r="H2629" s="10" t="s">
        <v>5271</v>
      </c>
      <c r="I2629" s="10" t="s">
        <v>18</v>
      </c>
    </row>
    <row r="2630" spans="1:9" x14ac:dyDescent="0.2">
      <c r="A2630" s="10" t="s">
        <v>5272</v>
      </c>
      <c r="B2630" s="10">
        <v>811.08173316744296</v>
      </c>
      <c r="C2630" s="10">
        <v>-1.42783531589629</v>
      </c>
      <c r="D2630" s="10">
        <v>0.20311618555287</v>
      </c>
      <c r="E2630" s="10">
        <v>-7.02964813960938</v>
      </c>
      <c r="F2630" s="4">
        <v>2.0705501578205298E-12</v>
      </c>
      <c r="G2630" s="4">
        <v>3.94519441609342E-11</v>
      </c>
      <c r="H2630" s="10" t="s">
        <v>5273</v>
      </c>
      <c r="I2630" s="10" t="s">
        <v>18</v>
      </c>
    </row>
    <row r="2631" spans="1:9" x14ac:dyDescent="0.2">
      <c r="A2631" s="10" t="s">
        <v>5274</v>
      </c>
      <c r="B2631" s="10">
        <v>129.417076475437</v>
      </c>
      <c r="C2631" s="10">
        <v>3.9224812108551199</v>
      </c>
      <c r="D2631" s="10">
        <v>0.41095580607518201</v>
      </c>
      <c r="E2631" s="10">
        <v>9.5447762335240505</v>
      </c>
      <c r="F2631" s="4">
        <v>1.36401746717392E-21</v>
      </c>
      <c r="G2631" s="4">
        <v>6.0041007961369802E-20</v>
      </c>
      <c r="H2631" s="10" t="s">
        <v>5275</v>
      </c>
      <c r="I2631" s="10" t="s">
        <v>18</v>
      </c>
    </row>
    <row r="2632" spans="1:9" x14ac:dyDescent="0.2">
      <c r="A2632" s="10" t="s">
        <v>5276</v>
      </c>
      <c r="B2632" s="10">
        <v>138.85919413452399</v>
      </c>
      <c r="C2632" s="10">
        <v>3.6842591980345398</v>
      </c>
      <c r="D2632" s="10">
        <v>0.42889078244468998</v>
      </c>
      <c r="E2632" s="10">
        <v>8.5902037274714793</v>
      </c>
      <c r="F2632" s="4">
        <v>8.6815252069361895E-18</v>
      </c>
      <c r="G2632" s="4">
        <v>2.7473346958581898E-16</v>
      </c>
      <c r="H2632" s="10" t="s">
        <v>5277</v>
      </c>
      <c r="I2632" s="10" t="s">
        <v>18</v>
      </c>
    </row>
    <row r="2633" spans="1:9" x14ac:dyDescent="0.2">
      <c r="A2633" s="10" t="s">
        <v>5278</v>
      </c>
      <c r="B2633" s="10">
        <v>7685.03808850317</v>
      </c>
      <c r="C2633" s="10">
        <v>-1.6969664224273699</v>
      </c>
      <c r="D2633" s="10">
        <v>0.229903984691887</v>
      </c>
      <c r="E2633" s="10">
        <v>-7.3811962185066502</v>
      </c>
      <c r="F2633" s="4">
        <v>1.5687360598299199E-13</v>
      </c>
      <c r="G2633" s="4">
        <v>3.4457570377351402E-12</v>
      </c>
      <c r="H2633" s="10" t="s">
        <v>5279</v>
      </c>
      <c r="I2633" s="10" t="s">
        <v>18</v>
      </c>
    </row>
    <row r="2634" spans="1:9" x14ac:dyDescent="0.2">
      <c r="A2634" s="10" t="s">
        <v>5280</v>
      </c>
      <c r="B2634" s="10">
        <v>28.894987749464899</v>
      </c>
      <c r="C2634" s="10">
        <v>6.7936703544413</v>
      </c>
      <c r="D2634" s="10">
        <v>1.5606054676199701</v>
      </c>
      <c r="E2634" s="10">
        <v>4.3532273181139898</v>
      </c>
      <c r="F2634" s="4">
        <v>1.34147924111466E-5</v>
      </c>
      <c r="G2634" s="4">
        <v>9.2734916320573194E-5</v>
      </c>
      <c r="H2634" s="10" t="s">
        <v>5281</v>
      </c>
      <c r="I2634" s="10" t="s">
        <v>18</v>
      </c>
    </row>
    <row r="2635" spans="1:9" x14ac:dyDescent="0.2">
      <c r="A2635" s="10" t="s">
        <v>5282</v>
      </c>
      <c r="B2635" s="10">
        <v>2907.0789123935601</v>
      </c>
      <c r="C2635" s="10">
        <v>2.6357779617851498</v>
      </c>
      <c r="D2635" s="10">
        <v>0.20959531169207399</v>
      </c>
      <c r="E2635" s="10">
        <v>12.5755578238195</v>
      </c>
      <c r="F2635" s="4">
        <v>2.8776191889333701E-36</v>
      </c>
      <c r="G2635" s="4">
        <v>3.2399376049945302E-34</v>
      </c>
      <c r="H2635" s="10" t="s">
        <v>5283</v>
      </c>
      <c r="I2635" s="10" t="s">
        <v>18</v>
      </c>
    </row>
    <row r="2636" spans="1:9" x14ac:dyDescent="0.2">
      <c r="A2636" s="10" t="s">
        <v>5284</v>
      </c>
      <c r="B2636" s="10">
        <v>2939.3764303867201</v>
      </c>
      <c r="C2636" s="10">
        <v>1.6879961445262199</v>
      </c>
      <c r="D2636" s="10">
        <v>0.201684786643645</v>
      </c>
      <c r="E2636" s="10">
        <v>8.3694768089213003</v>
      </c>
      <c r="F2636" s="4">
        <v>5.7874616730631094E-17</v>
      </c>
      <c r="G2636" s="4">
        <v>1.7158973689439701E-15</v>
      </c>
      <c r="H2636" s="10" t="s">
        <v>5285</v>
      </c>
      <c r="I2636" s="10" t="s">
        <v>18</v>
      </c>
    </row>
    <row r="2637" spans="1:9" x14ac:dyDescent="0.2">
      <c r="A2637" s="10" t="s">
        <v>5286</v>
      </c>
      <c r="B2637" s="10">
        <v>85.009837929427803</v>
      </c>
      <c r="C2637" s="10">
        <v>1.8618237314708901</v>
      </c>
      <c r="D2637" s="10">
        <v>0.408360310657643</v>
      </c>
      <c r="E2637" s="10">
        <v>4.5592671052495799</v>
      </c>
      <c r="F2637" s="4">
        <v>5.1332448440185499E-6</v>
      </c>
      <c r="G2637" s="4">
        <v>3.8690324278000899E-5</v>
      </c>
      <c r="H2637" s="10" t="s">
        <v>5287</v>
      </c>
      <c r="I2637" s="10" t="s">
        <v>18</v>
      </c>
    </row>
    <row r="2638" spans="1:9" x14ac:dyDescent="0.2">
      <c r="A2638" s="10" t="s">
        <v>5288</v>
      </c>
      <c r="B2638" s="10">
        <v>45.4761669760586</v>
      </c>
      <c r="C2638" s="10">
        <v>6.4440053863043296</v>
      </c>
      <c r="D2638" s="10">
        <v>1.1319223330934201</v>
      </c>
      <c r="E2638" s="10">
        <v>5.6929748604690502</v>
      </c>
      <c r="F2638" s="4">
        <v>1.24844774874017E-8</v>
      </c>
      <c r="G2638" s="4">
        <v>1.46433300946722E-7</v>
      </c>
      <c r="H2638" s="10" t="s">
        <v>5289</v>
      </c>
      <c r="I2638" s="10" t="s">
        <v>18</v>
      </c>
    </row>
    <row r="2639" spans="1:9" x14ac:dyDescent="0.2">
      <c r="A2639" s="10" t="s">
        <v>5290</v>
      </c>
      <c r="B2639" s="10">
        <v>14.7063195660188</v>
      </c>
      <c r="C2639" s="10">
        <v>4.1767872378892603</v>
      </c>
      <c r="D2639" s="10">
        <v>1.1974604920243499</v>
      </c>
      <c r="E2639" s="10">
        <v>3.4880376143585798</v>
      </c>
      <c r="F2639" s="10">
        <v>4.8657962148855599E-4</v>
      </c>
      <c r="G2639" s="10">
        <v>2.3403062571401099E-3</v>
      </c>
      <c r="H2639" s="10" t="s">
        <v>5291</v>
      </c>
      <c r="I2639" s="10" t="s">
        <v>18</v>
      </c>
    </row>
    <row r="2640" spans="1:9" x14ac:dyDescent="0.2">
      <c r="A2640" s="10" t="s">
        <v>5292</v>
      </c>
      <c r="B2640" s="10">
        <v>1369.1020881907</v>
      </c>
      <c r="C2640" s="10">
        <v>1.6917276757169799</v>
      </c>
      <c r="D2640" s="10">
        <v>0.21889669708252199</v>
      </c>
      <c r="E2640" s="10">
        <v>7.7284294293358498</v>
      </c>
      <c r="F2640" s="4">
        <v>1.08881515066311E-14</v>
      </c>
      <c r="G2640" s="4">
        <v>2.6115269727216301E-13</v>
      </c>
      <c r="H2640" s="10" t="s">
        <v>5293</v>
      </c>
      <c r="I2640" s="10" t="s">
        <v>18</v>
      </c>
    </row>
    <row r="2641" spans="1:9" x14ac:dyDescent="0.2">
      <c r="A2641" s="10" t="s">
        <v>5294</v>
      </c>
      <c r="B2641" s="10">
        <v>2592.5028448703301</v>
      </c>
      <c r="C2641" s="10">
        <v>-1.19989324100758</v>
      </c>
      <c r="D2641" s="10">
        <v>0.19288619320272199</v>
      </c>
      <c r="E2641" s="10">
        <v>-6.2207316194295901</v>
      </c>
      <c r="F2641" s="4">
        <v>4.9484197476577102E-10</v>
      </c>
      <c r="G2641" s="4">
        <v>6.9571513345939002E-9</v>
      </c>
      <c r="H2641" s="10" t="s">
        <v>5295</v>
      </c>
      <c r="I2641" s="10" t="s">
        <v>18</v>
      </c>
    </row>
    <row r="2642" spans="1:9" x14ac:dyDescent="0.2">
      <c r="A2642" s="10" t="s">
        <v>5296</v>
      </c>
      <c r="B2642" s="10">
        <v>5078.9862141170597</v>
      </c>
      <c r="C2642" s="10">
        <v>1.32923161493949</v>
      </c>
      <c r="D2642" s="10">
        <v>0.17716941323679899</v>
      </c>
      <c r="E2642" s="10">
        <v>7.5026021176853996</v>
      </c>
      <c r="F2642" s="4">
        <v>6.2563239254840497E-14</v>
      </c>
      <c r="G2642" s="4">
        <v>1.4181868385828899E-12</v>
      </c>
      <c r="H2642" s="10" t="s">
        <v>5297</v>
      </c>
      <c r="I2642" s="10" t="s">
        <v>18</v>
      </c>
    </row>
    <row r="2643" spans="1:9" x14ac:dyDescent="0.2">
      <c r="A2643" s="10" t="s">
        <v>5298</v>
      </c>
      <c r="B2643" s="10">
        <v>9.4304187598754705</v>
      </c>
      <c r="C2643" s="10">
        <v>6.6311557253274902</v>
      </c>
      <c r="D2643" s="10">
        <v>1.7880416854433001</v>
      </c>
      <c r="E2643" s="10">
        <v>3.7086136074525902</v>
      </c>
      <c r="F2643" s="10">
        <v>2.0839715541762899E-4</v>
      </c>
      <c r="G2643" s="10">
        <v>1.1070768753488299E-3</v>
      </c>
      <c r="H2643" s="10" t="s">
        <v>5299</v>
      </c>
      <c r="I2643" s="10" t="s">
        <v>18</v>
      </c>
    </row>
    <row r="2644" spans="1:9" x14ac:dyDescent="0.2">
      <c r="A2644" s="10" t="s">
        <v>5300</v>
      </c>
      <c r="B2644" s="10">
        <v>137.57017713288201</v>
      </c>
      <c r="C2644" s="10">
        <v>4.8372939686119301</v>
      </c>
      <c r="D2644" s="10">
        <v>0.469335663278796</v>
      </c>
      <c r="E2644" s="10">
        <v>10.3066831419083</v>
      </c>
      <c r="F2644" s="4">
        <v>6.5730825070531402E-25</v>
      </c>
      <c r="G2644" s="4">
        <v>3.6327947072956799E-23</v>
      </c>
      <c r="H2644" s="10" t="s">
        <v>5301</v>
      </c>
      <c r="I2644" s="10" t="s">
        <v>18</v>
      </c>
    </row>
    <row r="2645" spans="1:9" x14ac:dyDescent="0.2">
      <c r="A2645" s="10" t="s">
        <v>5302</v>
      </c>
      <c r="B2645" s="10">
        <v>4.7710694323342899</v>
      </c>
      <c r="C2645" s="10">
        <v>5.6498655801083801</v>
      </c>
      <c r="D2645" s="10">
        <v>2.0548781453748601</v>
      </c>
      <c r="E2645" s="10">
        <v>2.7494893518747898</v>
      </c>
      <c r="F2645" s="10">
        <v>5.9688202149847996E-3</v>
      </c>
      <c r="G2645" s="10">
        <v>2.05942059513348E-2</v>
      </c>
      <c r="H2645" s="10" t="s">
        <v>5303</v>
      </c>
      <c r="I2645" s="10" t="s">
        <v>18</v>
      </c>
    </row>
    <row r="2646" spans="1:9" x14ac:dyDescent="0.2">
      <c r="A2646" s="10" t="s">
        <v>5304</v>
      </c>
      <c r="B2646" s="10">
        <v>22.4180147512254</v>
      </c>
      <c r="C2646" s="10">
        <v>7.8797918306758801</v>
      </c>
      <c r="D2646" s="10">
        <v>1.6143594042643801</v>
      </c>
      <c r="E2646" s="10">
        <v>4.8810641607198297</v>
      </c>
      <c r="F2646" s="4">
        <v>1.0551490283252899E-6</v>
      </c>
      <c r="G2646" s="4">
        <v>9.0067811951062903E-6</v>
      </c>
      <c r="H2646" s="10" t="s">
        <v>5305</v>
      </c>
      <c r="I2646" s="10" t="s">
        <v>18</v>
      </c>
    </row>
    <row r="2647" spans="1:9" x14ac:dyDescent="0.2">
      <c r="A2647" s="10" t="s">
        <v>5306</v>
      </c>
      <c r="B2647" s="10">
        <v>9.3941806550687197</v>
      </c>
      <c r="C2647" s="10">
        <v>6.6260767523936703</v>
      </c>
      <c r="D2647" s="10">
        <v>1.7861847686327399</v>
      </c>
      <c r="E2647" s="10">
        <v>3.7096256046711802</v>
      </c>
      <c r="F2647" s="10">
        <v>2.0756596289313501E-4</v>
      </c>
      <c r="G2647" s="10">
        <v>1.10352191042912E-3</v>
      </c>
      <c r="H2647" s="10" t="s">
        <v>5307</v>
      </c>
      <c r="I2647" s="10" t="s">
        <v>18</v>
      </c>
    </row>
    <row r="2648" spans="1:9" x14ac:dyDescent="0.2">
      <c r="A2648" s="10" t="s">
        <v>5308</v>
      </c>
      <c r="B2648" s="10">
        <v>1127.0613257312</v>
      </c>
      <c r="C2648" s="10">
        <v>2.3627879604461399</v>
      </c>
      <c r="D2648" s="10">
        <v>0.19944585343104601</v>
      </c>
      <c r="E2648" s="10">
        <v>11.846764020406299</v>
      </c>
      <c r="F2648" s="4">
        <v>2.236619137637E-32</v>
      </c>
      <c r="G2648" s="4">
        <v>1.9980708735473899E-30</v>
      </c>
      <c r="H2648" s="10" t="s">
        <v>5309</v>
      </c>
      <c r="I2648" s="10" t="s">
        <v>18</v>
      </c>
    </row>
    <row r="2649" spans="1:9" x14ac:dyDescent="0.2">
      <c r="A2649" s="10" t="s">
        <v>5310</v>
      </c>
      <c r="B2649" s="10">
        <v>228.19515410883599</v>
      </c>
      <c r="C2649" s="10">
        <v>1.01100103082441</v>
      </c>
      <c r="D2649" s="10">
        <v>0.28504694362893601</v>
      </c>
      <c r="E2649" s="10">
        <v>3.5467878306406302</v>
      </c>
      <c r="F2649" s="10">
        <v>3.8995850576404098E-4</v>
      </c>
      <c r="G2649" s="10">
        <v>1.9258752700257299E-3</v>
      </c>
      <c r="H2649" s="10" t="s">
        <v>5311</v>
      </c>
      <c r="I2649" s="10" t="s">
        <v>18</v>
      </c>
    </row>
    <row r="2650" spans="1:9" x14ac:dyDescent="0.2">
      <c r="A2650" s="10" t="s">
        <v>5312</v>
      </c>
      <c r="B2650" s="10">
        <v>77.1230153803441</v>
      </c>
      <c r="C2650" s="10">
        <v>-1.2295734023214799</v>
      </c>
      <c r="D2650" s="10">
        <v>0.42944115633824498</v>
      </c>
      <c r="E2650" s="10">
        <v>-2.86319414004423</v>
      </c>
      <c r="F2650" s="10">
        <v>4.1939350674706404E-3</v>
      </c>
      <c r="G2650" s="10">
        <v>1.52525558974069E-2</v>
      </c>
      <c r="H2650" s="10" t="s">
        <v>5313</v>
      </c>
      <c r="I2650" s="10" t="s">
        <v>18</v>
      </c>
    </row>
    <row r="2651" spans="1:9" x14ac:dyDescent="0.2">
      <c r="A2651" s="10" t="s">
        <v>5314</v>
      </c>
      <c r="B2651" s="10">
        <v>151.09063530053601</v>
      </c>
      <c r="C2651" s="10">
        <v>-1.48920609337942</v>
      </c>
      <c r="D2651" s="10">
        <v>0.34517496169603301</v>
      </c>
      <c r="E2651" s="10">
        <v>-4.3143514409681796</v>
      </c>
      <c r="F2651" s="4">
        <v>1.6007213142594101E-5</v>
      </c>
      <c r="G2651" s="10">
        <v>1.0876522107138701E-4</v>
      </c>
      <c r="H2651" s="10" t="s">
        <v>5315</v>
      </c>
      <c r="I2651" s="10" t="s">
        <v>18</v>
      </c>
    </row>
    <row r="2652" spans="1:9" x14ac:dyDescent="0.2">
      <c r="A2652" s="10" t="s">
        <v>5316</v>
      </c>
      <c r="B2652" s="10">
        <v>626.88639553290295</v>
      </c>
      <c r="C2652" s="10">
        <v>2.7068114838520199</v>
      </c>
      <c r="D2652" s="10">
        <v>0.23727281945284201</v>
      </c>
      <c r="E2652" s="10">
        <v>11.408013316038501</v>
      </c>
      <c r="F2652" s="4">
        <v>3.8133952135462497E-30</v>
      </c>
      <c r="G2652" s="4">
        <v>3.0204528890550798E-28</v>
      </c>
      <c r="H2652" s="10" t="s">
        <v>5317</v>
      </c>
      <c r="I2652" s="10" t="s">
        <v>18</v>
      </c>
    </row>
    <row r="2653" spans="1:9" x14ac:dyDescent="0.2">
      <c r="A2653" s="10" t="s">
        <v>5318</v>
      </c>
      <c r="B2653" s="10">
        <v>8.3674905589883792</v>
      </c>
      <c r="C2653" s="10">
        <v>6.46006828013088</v>
      </c>
      <c r="D2653" s="10">
        <v>1.81897622178179</v>
      </c>
      <c r="E2653" s="10">
        <v>3.5514858318504499</v>
      </c>
      <c r="F2653" s="10">
        <v>3.8306261556361499E-4</v>
      </c>
      <c r="G2653" s="10">
        <v>1.8956242437816601E-3</v>
      </c>
      <c r="H2653" s="10" t="s">
        <v>5319</v>
      </c>
      <c r="I2653" s="10" t="s">
        <v>18</v>
      </c>
    </row>
    <row r="2654" spans="1:9" x14ac:dyDescent="0.2">
      <c r="A2654" s="10" t="s">
        <v>5320</v>
      </c>
      <c r="B2654" s="10">
        <v>85.009936018831397</v>
      </c>
      <c r="C2654" s="10">
        <v>3.1653969815465501</v>
      </c>
      <c r="D2654" s="10">
        <v>0.448764231210872</v>
      </c>
      <c r="E2654" s="10">
        <v>7.0535857392323003</v>
      </c>
      <c r="F2654" s="4">
        <v>1.74364983603793E-12</v>
      </c>
      <c r="G2654" s="4">
        <v>3.3528036049771002E-11</v>
      </c>
      <c r="H2654" s="10" t="s">
        <v>5321</v>
      </c>
      <c r="I2654" s="10" t="s">
        <v>18</v>
      </c>
    </row>
    <row r="2655" spans="1:9" x14ac:dyDescent="0.2">
      <c r="A2655" s="10" t="s">
        <v>5322</v>
      </c>
      <c r="B2655" s="10">
        <v>11647.4877742807</v>
      </c>
      <c r="C2655" s="10">
        <v>1.6824243057846899</v>
      </c>
      <c r="D2655" s="10">
        <v>0.17104022100371699</v>
      </c>
      <c r="E2655" s="10">
        <v>9.8364249994048407</v>
      </c>
      <c r="F2655" s="4">
        <v>7.84490335926118E-23</v>
      </c>
      <c r="G2655" s="4">
        <v>3.7109389206560701E-21</v>
      </c>
      <c r="H2655" s="10" t="s">
        <v>5323</v>
      </c>
      <c r="I2655" s="10" t="s">
        <v>18</v>
      </c>
    </row>
    <row r="2656" spans="1:9" x14ac:dyDescent="0.2">
      <c r="A2656" s="10" t="s">
        <v>5324</v>
      </c>
      <c r="B2656" s="10">
        <v>1952.5195941173299</v>
      </c>
      <c r="C2656" s="10">
        <v>-1.88425120421626</v>
      </c>
      <c r="D2656" s="10">
        <v>0.183688603282264</v>
      </c>
      <c r="E2656" s="10">
        <v>-10.2578557980586</v>
      </c>
      <c r="F2656" s="4">
        <v>1.0910238432503701E-24</v>
      </c>
      <c r="G2656" s="4">
        <v>5.9335582149786099E-23</v>
      </c>
      <c r="H2656" s="10" t="s">
        <v>5325</v>
      </c>
      <c r="I2656" s="10" t="s">
        <v>18</v>
      </c>
    </row>
    <row r="2657" spans="1:9" x14ac:dyDescent="0.2">
      <c r="A2657" s="10" t="s">
        <v>5326</v>
      </c>
      <c r="B2657" s="10">
        <v>753.500284606886</v>
      </c>
      <c r="C2657" s="10">
        <v>-1.5623716777943</v>
      </c>
      <c r="D2657" s="10">
        <v>0.20681297328255399</v>
      </c>
      <c r="E2657" s="10">
        <v>-7.5545148497997898</v>
      </c>
      <c r="F2657" s="4">
        <v>4.2042399837576702E-14</v>
      </c>
      <c r="G2657" s="4">
        <v>9.6832567064619796E-13</v>
      </c>
      <c r="H2657" s="10" t="s">
        <v>5327</v>
      </c>
      <c r="I2657" s="10" t="s">
        <v>18</v>
      </c>
    </row>
    <row r="2658" spans="1:9" x14ac:dyDescent="0.2">
      <c r="A2658" s="10" t="s">
        <v>5328</v>
      </c>
      <c r="B2658" s="10">
        <v>710.60240458175599</v>
      </c>
      <c r="C2658" s="10">
        <v>-2.3382564290234402</v>
      </c>
      <c r="D2658" s="10">
        <v>0.23443498206961899</v>
      </c>
      <c r="E2658" s="10">
        <v>-9.9740081807802206</v>
      </c>
      <c r="F2658" s="4">
        <v>1.9807041071133601E-23</v>
      </c>
      <c r="G2658" s="4">
        <v>9.7945997833970505E-22</v>
      </c>
      <c r="H2658" s="10" t="s">
        <v>5329</v>
      </c>
      <c r="I2658" s="10" t="s">
        <v>18</v>
      </c>
    </row>
    <row r="2659" spans="1:9" x14ac:dyDescent="0.2">
      <c r="A2659" s="10" t="s">
        <v>5330</v>
      </c>
      <c r="B2659" s="10">
        <v>588.91484404292703</v>
      </c>
      <c r="C2659" s="10">
        <v>-1.04264634437085</v>
      </c>
      <c r="D2659" s="10">
        <v>0.23518341261606401</v>
      </c>
      <c r="E2659" s="10">
        <v>-4.4333328306319197</v>
      </c>
      <c r="F2659" s="4">
        <v>9.2787457070329696E-6</v>
      </c>
      <c r="G2659" s="4">
        <v>6.6513544930157101E-5</v>
      </c>
      <c r="H2659" s="10" t="s">
        <v>5331</v>
      </c>
      <c r="I2659" s="10" t="s">
        <v>18</v>
      </c>
    </row>
    <row r="2660" spans="1:9" x14ac:dyDescent="0.2">
      <c r="A2660" s="10" t="s">
        <v>5332</v>
      </c>
      <c r="B2660" s="10">
        <v>8.9563176070149293</v>
      </c>
      <c r="C2660" s="10">
        <v>6.5600723538053796</v>
      </c>
      <c r="D2660" s="10">
        <v>1.7965178279999101</v>
      </c>
      <c r="E2660" s="10">
        <v>3.6515487080408202</v>
      </c>
      <c r="F2660" s="10">
        <v>2.606636475131E-4</v>
      </c>
      <c r="G2660" s="10">
        <v>1.3441147622614399E-3</v>
      </c>
      <c r="H2660" s="10" t="s">
        <v>5333</v>
      </c>
      <c r="I2660" s="10" t="s">
        <v>18</v>
      </c>
    </row>
    <row r="2661" spans="1:9" x14ac:dyDescent="0.2">
      <c r="A2661" s="10" t="s">
        <v>5334</v>
      </c>
      <c r="B2661" s="10">
        <v>4.0010518602740399</v>
      </c>
      <c r="C2661" s="10">
        <v>5.39773571786733</v>
      </c>
      <c r="D2661" s="10">
        <v>2.1532629357120299</v>
      </c>
      <c r="E2661" s="10">
        <v>2.5067703661942402</v>
      </c>
      <c r="F2661" s="10">
        <v>1.2183983780147E-2</v>
      </c>
      <c r="G2661" s="10">
        <v>3.74945794056546E-2</v>
      </c>
      <c r="H2661" s="10" t="s">
        <v>5335</v>
      </c>
      <c r="I2661" s="10" t="s">
        <v>18</v>
      </c>
    </row>
    <row r="2662" spans="1:9" x14ac:dyDescent="0.2">
      <c r="A2662" s="10" t="s">
        <v>5336</v>
      </c>
      <c r="B2662" s="10">
        <v>8.4342909857811303</v>
      </c>
      <c r="C2662" s="10">
        <v>3.94724533155396</v>
      </c>
      <c r="D2662" s="10">
        <v>1.5002886979361501</v>
      </c>
      <c r="E2662" s="10">
        <v>2.6309905133484901</v>
      </c>
      <c r="F2662" s="10">
        <v>8.5136412452672498E-3</v>
      </c>
      <c r="G2662" s="10">
        <v>2.7807622034260002E-2</v>
      </c>
      <c r="H2662" s="10" t="s">
        <v>5337</v>
      </c>
      <c r="I2662" s="10" t="s">
        <v>18</v>
      </c>
    </row>
    <row r="2663" spans="1:9" x14ac:dyDescent="0.2">
      <c r="A2663" s="10" t="s">
        <v>5338</v>
      </c>
      <c r="B2663" s="10">
        <v>7.41327667252152</v>
      </c>
      <c r="C2663" s="10">
        <v>6.2853458829969604</v>
      </c>
      <c r="D2663" s="10">
        <v>1.8614676998914701</v>
      </c>
      <c r="E2663" s="10">
        <v>3.37655382543754</v>
      </c>
      <c r="F2663" s="10">
        <v>7.3400009002317702E-4</v>
      </c>
      <c r="G2663" s="10">
        <v>3.37313213912321E-3</v>
      </c>
      <c r="H2663" s="10" t="s">
        <v>5339</v>
      </c>
      <c r="I2663" s="10" t="s">
        <v>18</v>
      </c>
    </row>
    <row r="2664" spans="1:9" x14ac:dyDescent="0.2">
      <c r="A2664" s="10" t="s">
        <v>5340</v>
      </c>
      <c r="B2664" s="10">
        <v>91.563762290373802</v>
      </c>
      <c r="C2664" s="10">
        <v>3.99311390077033</v>
      </c>
      <c r="D2664" s="10">
        <v>0.490886728581857</v>
      </c>
      <c r="E2664" s="10">
        <v>8.1344914585615307</v>
      </c>
      <c r="F2664" s="4">
        <v>4.1367113965995398E-16</v>
      </c>
      <c r="G2664" s="4">
        <v>1.14197543488498E-14</v>
      </c>
      <c r="H2664" s="10" t="s">
        <v>5341</v>
      </c>
      <c r="I2664" s="10" t="s">
        <v>18</v>
      </c>
    </row>
    <row r="2665" spans="1:9" x14ac:dyDescent="0.2">
      <c r="A2665" s="10" t="s">
        <v>5342</v>
      </c>
      <c r="B2665" s="10">
        <v>410.81060379759799</v>
      </c>
      <c r="C2665" s="10">
        <v>-1.2748688329242499</v>
      </c>
      <c r="D2665" s="10">
        <v>0.25080200908240402</v>
      </c>
      <c r="E2665" s="10">
        <v>-5.08316834298315</v>
      </c>
      <c r="F2665" s="4">
        <v>3.7119044076195599E-7</v>
      </c>
      <c r="G2665" s="4">
        <v>3.4272537917455101E-6</v>
      </c>
      <c r="H2665" s="10" t="s">
        <v>5343</v>
      </c>
      <c r="I2665" s="10" t="s">
        <v>18</v>
      </c>
    </row>
    <row r="2666" spans="1:9" x14ac:dyDescent="0.2">
      <c r="A2666" s="10" t="s">
        <v>5344</v>
      </c>
      <c r="B2666" s="10">
        <v>3880.1130280638199</v>
      </c>
      <c r="C2666" s="10">
        <v>-1.2851053189203001</v>
      </c>
      <c r="D2666" s="10">
        <v>0.18892003243681299</v>
      </c>
      <c r="E2666" s="10">
        <v>-6.80237718755488</v>
      </c>
      <c r="F2666" s="4">
        <v>1.0290673498627501E-11</v>
      </c>
      <c r="G2666" s="4">
        <v>1.8195326464445401E-10</v>
      </c>
      <c r="H2666" s="10" t="s">
        <v>5345</v>
      </c>
      <c r="I2666" s="10" t="s">
        <v>18</v>
      </c>
    </row>
    <row r="2667" spans="1:9" x14ac:dyDescent="0.2">
      <c r="A2667" s="10" t="s">
        <v>5346</v>
      </c>
      <c r="B2667" s="10">
        <v>1555.74955026414</v>
      </c>
      <c r="C2667" s="10">
        <v>-1.0419045057060601</v>
      </c>
      <c r="D2667" s="10">
        <v>0.188961601324975</v>
      </c>
      <c r="E2667" s="10">
        <v>-5.5138424865176399</v>
      </c>
      <c r="F2667" s="4">
        <v>3.51082835924628E-8</v>
      </c>
      <c r="G2667" s="4">
        <v>3.8510281926080302E-7</v>
      </c>
      <c r="H2667" s="10" t="s">
        <v>5347</v>
      </c>
      <c r="I2667" s="10" t="s">
        <v>18</v>
      </c>
    </row>
    <row r="2668" spans="1:9" x14ac:dyDescent="0.2">
      <c r="A2668" s="10" t="s">
        <v>5348</v>
      </c>
      <c r="B2668" s="10">
        <v>4.8797837467545202</v>
      </c>
      <c r="C2668" s="10">
        <v>5.6795021195980304</v>
      </c>
      <c r="D2668" s="10">
        <v>2.05906026095156</v>
      </c>
      <c r="E2668" s="10">
        <v>2.7582981553795598</v>
      </c>
      <c r="F2668" s="10">
        <v>5.8103175464449099E-3</v>
      </c>
      <c r="G2668" s="10">
        <v>2.0167353144966201E-2</v>
      </c>
      <c r="H2668" s="10" t="s">
        <v>5349</v>
      </c>
      <c r="I2668" s="10" t="s">
        <v>18</v>
      </c>
    </row>
    <row r="2669" spans="1:9" x14ac:dyDescent="0.2">
      <c r="A2669" s="10" t="s">
        <v>5350</v>
      </c>
      <c r="B2669" s="10">
        <v>67.417545331618001</v>
      </c>
      <c r="C2669" s="10">
        <v>-1.2010583588110399</v>
      </c>
      <c r="D2669" s="10">
        <v>0.43370353299511</v>
      </c>
      <c r="E2669" s="10">
        <v>-2.7693072973527801</v>
      </c>
      <c r="F2669" s="10">
        <v>5.6175624000054597E-3</v>
      </c>
      <c r="G2669" s="10">
        <v>1.96157532632255E-2</v>
      </c>
      <c r="H2669" s="10" t="s">
        <v>5351</v>
      </c>
      <c r="I2669" s="10" t="s">
        <v>18</v>
      </c>
    </row>
    <row r="2670" spans="1:9" x14ac:dyDescent="0.2">
      <c r="A2670" s="10" t="s">
        <v>5352</v>
      </c>
      <c r="B2670" s="10">
        <v>11.341852323182099</v>
      </c>
      <c r="C2670" s="10">
        <v>6.9004134501161403</v>
      </c>
      <c r="D2670" s="10">
        <v>1.72865197341683</v>
      </c>
      <c r="E2670" s="10">
        <v>3.9917887210557899</v>
      </c>
      <c r="F2670" s="4">
        <v>6.5576785485654097E-5</v>
      </c>
      <c r="G2670" s="10">
        <v>3.9089273115896199E-4</v>
      </c>
      <c r="H2670" s="10" t="s">
        <v>5353</v>
      </c>
      <c r="I2670" s="10" t="s">
        <v>18</v>
      </c>
    </row>
    <row r="2671" spans="1:9" x14ac:dyDescent="0.2">
      <c r="A2671" s="10" t="s">
        <v>5354</v>
      </c>
      <c r="B2671" s="10">
        <v>9.1043191855248207</v>
      </c>
      <c r="C2671" s="10">
        <v>4.0551537840741503</v>
      </c>
      <c r="D2671" s="10">
        <v>1.4399180421914199</v>
      </c>
      <c r="E2671" s="10">
        <v>2.81623930338603</v>
      </c>
      <c r="F2671" s="10">
        <v>4.8589459371475401E-3</v>
      </c>
      <c r="G2671" s="10">
        <v>1.7317423145776199E-2</v>
      </c>
      <c r="H2671" s="10" t="s">
        <v>5355</v>
      </c>
      <c r="I2671" s="10" t="s">
        <v>18</v>
      </c>
    </row>
    <row r="2672" spans="1:9" x14ac:dyDescent="0.2">
      <c r="A2672" s="10" t="s">
        <v>5356</v>
      </c>
      <c r="B2672" s="10">
        <v>9898.3419039254004</v>
      </c>
      <c r="C2672" s="10">
        <v>-1.0078958846222801</v>
      </c>
      <c r="D2672" s="10">
        <v>0.171358013438447</v>
      </c>
      <c r="E2672" s="10">
        <v>-5.8818135457920899</v>
      </c>
      <c r="F2672" s="4">
        <v>4.0579533196718396E-9</v>
      </c>
      <c r="G2672" s="4">
        <v>5.0999563699768702E-8</v>
      </c>
      <c r="H2672" s="10" t="s">
        <v>5357</v>
      </c>
      <c r="I2672" s="10" t="s">
        <v>18</v>
      </c>
    </row>
    <row r="2673" spans="1:9" x14ac:dyDescent="0.2">
      <c r="A2673" s="10" t="s">
        <v>5358</v>
      </c>
      <c r="B2673" s="10">
        <v>1111.82214978038</v>
      </c>
      <c r="C2673" s="10">
        <v>1.8848634692969499</v>
      </c>
      <c r="D2673" s="10">
        <v>0.19758648258751901</v>
      </c>
      <c r="E2673" s="10">
        <v>9.5394353126462992</v>
      </c>
      <c r="F2673" s="4">
        <v>1.4361214601950399E-21</v>
      </c>
      <c r="G2673" s="4">
        <v>6.3011274437897197E-20</v>
      </c>
      <c r="H2673" s="10" t="s">
        <v>5359</v>
      </c>
      <c r="I2673" s="10" t="s">
        <v>18</v>
      </c>
    </row>
    <row r="2674" spans="1:9" x14ac:dyDescent="0.2">
      <c r="A2674" s="10" t="s">
        <v>5360</v>
      </c>
      <c r="B2674" s="10">
        <v>7.4104387811111598</v>
      </c>
      <c r="C2674" s="10">
        <v>4.7946430885050697</v>
      </c>
      <c r="D2674" s="10">
        <v>1.83758647912291</v>
      </c>
      <c r="E2674" s="10">
        <v>2.6092067736554001</v>
      </c>
      <c r="F2674" s="10">
        <v>9.0752386534350797E-3</v>
      </c>
      <c r="G2674" s="10">
        <v>2.9332506238451399E-2</v>
      </c>
      <c r="H2674" s="10" t="s">
        <v>5361</v>
      </c>
      <c r="I2674" s="10" t="s">
        <v>18</v>
      </c>
    </row>
    <row r="2675" spans="1:9" x14ac:dyDescent="0.2">
      <c r="A2675" s="10" t="s">
        <v>5362</v>
      </c>
      <c r="B2675" s="10">
        <v>1326.1505383281899</v>
      </c>
      <c r="C2675" s="10">
        <v>1.88920385814873</v>
      </c>
      <c r="D2675" s="10">
        <v>0.21179802353638899</v>
      </c>
      <c r="E2675" s="10">
        <v>8.9198370532676101</v>
      </c>
      <c r="F2675" s="4">
        <v>4.6697476867390996E-19</v>
      </c>
      <c r="G2675" s="4">
        <v>1.6460105461912101E-17</v>
      </c>
      <c r="H2675" s="10" t="s">
        <v>5363</v>
      </c>
      <c r="I2675" s="10" t="s">
        <v>18</v>
      </c>
    </row>
    <row r="2676" spans="1:9" x14ac:dyDescent="0.2">
      <c r="A2676" s="10" t="s">
        <v>5364</v>
      </c>
      <c r="B2676" s="10">
        <v>1150.73637971773</v>
      </c>
      <c r="C2676" s="10">
        <v>1.4728170119008801</v>
      </c>
      <c r="D2676" s="10">
        <v>0.20222789764660601</v>
      </c>
      <c r="E2676" s="10">
        <v>7.2829566496044702</v>
      </c>
      <c r="F2676" s="4">
        <v>3.2658219643811698E-13</v>
      </c>
      <c r="G2676" s="4">
        <v>6.8766500049067802E-12</v>
      </c>
      <c r="H2676" s="10" t="s">
        <v>5365</v>
      </c>
      <c r="I2676" s="10" t="s">
        <v>18</v>
      </c>
    </row>
    <row r="2677" spans="1:9" x14ac:dyDescent="0.2">
      <c r="A2677" s="10" t="s">
        <v>5366</v>
      </c>
      <c r="B2677" s="10">
        <v>49.498720418289899</v>
      </c>
      <c r="C2677" s="10">
        <v>6.5692292447980698</v>
      </c>
      <c r="D2677" s="10">
        <v>1.1322251063661399</v>
      </c>
      <c r="E2677" s="10">
        <v>5.8020522666927103</v>
      </c>
      <c r="F2677" s="4">
        <v>6.5508133856818703E-9</v>
      </c>
      <c r="G2677" s="4">
        <v>7.9754250366252806E-8</v>
      </c>
      <c r="H2677" s="10" t="s">
        <v>5367</v>
      </c>
      <c r="I2677" s="10" t="s">
        <v>18</v>
      </c>
    </row>
    <row r="2678" spans="1:9" x14ac:dyDescent="0.2">
      <c r="A2678" s="10" t="s">
        <v>5368</v>
      </c>
      <c r="B2678" s="10">
        <v>3282.46632054256</v>
      </c>
      <c r="C2678" s="10">
        <v>-1.31007752023825</v>
      </c>
      <c r="D2678" s="10">
        <v>0.187899137815661</v>
      </c>
      <c r="E2678" s="10">
        <v>-6.9722380606317902</v>
      </c>
      <c r="F2678" s="4">
        <v>3.11938104089688E-12</v>
      </c>
      <c r="G2678" s="4">
        <v>5.8135277169163598E-11</v>
      </c>
      <c r="H2678" s="10" t="s">
        <v>5369</v>
      </c>
      <c r="I2678" s="10" t="s">
        <v>18</v>
      </c>
    </row>
    <row r="2679" spans="1:9" x14ac:dyDescent="0.2">
      <c r="A2679" s="10" t="s">
        <v>5370</v>
      </c>
      <c r="B2679" s="10">
        <v>1998.23246204262</v>
      </c>
      <c r="C2679" s="10">
        <v>-1.4081443328462799</v>
      </c>
      <c r="D2679" s="10">
        <v>0.217925072076634</v>
      </c>
      <c r="E2679" s="10">
        <v>-6.4615985642583702</v>
      </c>
      <c r="F2679" s="4">
        <v>1.0360263922888901E-10</v>
      </c>
      <c r="G2679" s="4">
        <v>1.6084678695553E-9</v>
      </c>
      <c r="H2679" s="10" t="s">
        <v>5371</v>
      </c>
      <c r="I2679" s="10" t="s">
        <v>18</v>
      </c>
    </row>
    <row r="2680" spans="1:9" x14ac:dyDescent="0.2">
      <c r="A2680" s="10" t="s">
        <v>5372</v>
      </c>
      <c r="B2680" s="10">
        <v>1086.45637072618</v>
      </c>
      <c r="C2680" s="10">
        <v>4.5842825223925301</v>
      </c>
      <c r="D2680" s="10">
        <v>0.24404249301785799</v>
      </c>
      <c r="E2680" s="10">
        <v>18.7847717243943</v>
      </c>
      <c r="F2680" s="4">
        <v>1.00617990136799E-78</v>
      </c>
      <c r="G2680" s="4">
        <v>6.8538459431433902E-76</v>
      </c>
      <c r="H2680" s="10" t="s">
        <v>5373</v>
      </c>
      <c r="I2680" s="10" t="s">
        <v>18</v>
      </c>
    </row>
    <row r="2681" spans="1:9" x14ac:dyDescent="0.2">
      <c r="A2681" s="10" t="s">
        <v>5374</v>
      </c>
      <c r="B2681" s="10">
        <v>742.82869991876203</v>
      </c>
      <c r="C2681" s="10">
        <v>2.7293273575283998</v>
      </c>
      <c r="D2681" s="10">
        <v>0.21658435435547599</v>
      </c>
      <c r="E2681" s="10">
        <v>12.601682913110199</v>
      </c>
      <c r="F2681" s="4">
        <v>2.06686828722286E-36</v>
      </c>
      <c r="G2681" s="4">
        <v>2.3367618349361499E-34</v>
      </c>
      <c r="H2681" s="10" t="s">
        <v>5375</v>
      </c>
      <c r="I2681" s="10" t="s">
        <v>18</v>
      </c>
    </row>
    <row r="2682" spans="1:9" x14ac:dyDescent="0.2">
      <c r="A2682" s="10" t="s">
        <v>5376</v>
      </c>
      <c r="B2682" s="10">
        <v>15.345785443776499</v>
      </c>
      <c r="C2682" s="10">
        <v>5.8656032899481696</v>
      </c>
      <c r="D2682" s="10">
        <v>1.65053694983076</v>
      </c>
      <c r="E2682" s="10">
        <v>3.55375460728074</v>
      </c>
      <c r="F2682" s="10">
        <v>3.7977339234076098E-4</v>
      </c>
      <c r="G2682" s="10">
        <v>1.8824241624720199E-3</v>
      </c>
      <c r="H2682" s="10" t="s">
        <v>5377</v>
      </c>
      <c r="I2682" s="10" t="s">
        <v>18</v>
      </c>
    </row>
    <row r="2683" spans="1:9" x14ac:dyDescent="0.2">
      <c r="A2683" s="10" t="s">
        <v>5378</v>
      </c>
      <c r="B2683" s="10">
        <v>295.59814818378698</v>
      </c>
      <c r="C2683" s="10">
        <v>7.8332130673117204</v>
      </c>
      <c r="D2683" s="10">
        <v>0.69296537962054905</v>
      </c>
      <c r="E2683" s="10">
        <v>11.3039024714351</v>
      </c>
      <c r="F2683" s="4">
        <v>1.2551363846923899E-29</v>
      </c>
      <c r="G2683" s="4">
        <v>9.5794680878749204E-28</v>
      </c>
      <c r="H2683" s="10" t="s">
        <v>5379</v>
      </c>
      <c r="I2683" s="10" t="s">
        <v>18</v>
      </c>
    </row>
    <row r="2684" spans="1:9" x14ac:dyDescent="0.2">
      <c r="A2684" s="10" t="s">
        <v>5380</v>
      </c>
      <c r="B2684" s="10">
        <v>396.80639747878701</v>
      </c>
      <c r="C2684" s="10">
        <v>1.56244058243844</v>
      </c>
      <c r="D2684" s="10">
        <v>0.244744993085976</v>
      </c>
      <c r="E2684" s="10">
        <v>6.3839532026282502</v>
      </c>
      <c r="F2684" s="4">
        <v>1.7257384812697701E-10</v>
      </c>
      <c r="G2684" s="4">
        <v>2.5964216675404399E-9</v>
      </c>
      <c r="H2684" s="10" t="s">
        <v>5381</v>
      </c>
      <c r="I2684" s="10" t="s">
        <v>18</v>
      </c>
    </row>
    <row r="2685" spans="1:9" x14ac:dyDescent="0.2">
      <c r="A2685" s="10" t="s">
        <v>5382</v>
      </c>
      <c r="B2685" s="10">
        <v>29.360423337795101</v>
      </c>
      <c r="C2685" s="10">
        <v>1.82544726688069</v>
      </c>
      <c r="D2685" s="10">
        <v>0.64990560109259798</v>
      </c>
      <c r="E2685" s="10">
        <v>2.8087883283538599</v>
      </c>
      <c r="F2685" s="10">
        <v>4.97283306250575E-3</v>
      </c>
      <c r="G2685" s="10">
        <v>1.76356608686833E-2</v>
      </c>
      <c r="H2685" s="10" t="s">
        <v>5383</v>
      </c>
      <c r="I2685" s="10" t="s">
        <v>18</v>
      </c>
    </row>
    <row r="2686" spans="1:9" x14ac:dyDescent="0.2">
      <c r="A2686" s="10" t="s">
        <v>5384</v>
      </c>
      <c r="B2686" s="10">
        <v>9383.6479731092495</v>
      </c>
      <c r="C2686" s="10">
        <v>1.86113565450353</v>
      </c>
      <c r="D2686" s="10">
        <v>0.20155899982592701</v>
      </c>
      <c r="E2686" s="10">
        <v>9.2337015767634902</v>
      </c>
      <c r="F2686" s="4">
        <v>2.6143747128631201E-20</v>
      </c>
      <c r="G2686" s="4">
        <v>1.0444848651229E-18</v>
      </c>
      <c r="H2686" s="10" t="s">
        <v>5385</v>
      </c>
      <c r="I2686" s="10" t="s">
        <v>18</v>
      </c>
    </row>
    <row r="2687" spans="1:9" x14ac:dyDescent="0.2">
      <c r="A2687" s="10" t="s">
        <v>5386</v>
      </c>
      <c r="B2687" s="10">
        <v>56.638440390867999</v>
      </c>
      <c r="C2687" s="10">
        <v>-1.27805209521532</v>
      </c>
      <c r="D2687" s="10">
        <v>0.480360638176905</v>
      </c>
      <c r="E2687" s="10">
        <v>-2.6606095371716201</v>
      </c>
      <c r="F2687" s="10">
        <v>7.79993518152649E-3</v>
      </c>
      <c r="G2687" s="10">
        <v>2.5816913737980101E-2</v>
      </c>
      <c r="H2687" s="10" t="s">
        <v>5387</v>
      </c>
      <c r="I2687" s="10" t="s">
        <v>18</v>
      </c>
    </row>
    <row r="2688" spans="1:9" x14ac:dyDescent="0.2">
      <c r="A2688" s="10" t="s">
        <v>5388</v>
      </c>
      <c r="B2688" s="10">
        <v>1040.3326953595799</v>
      </c>
      <c r="C2688" s="10">
        <v>-1.4040271142366301</v>
      </c>
      <c r="D2688" s="10">
        <v>0.19956272457299501</v>
      </c>
      <c r="E2688" s="10">
        <v>-7.0355178665796902</v>
      </c>
      <c r="F2688" s="4">
        <v>1.9852227598561E-12</v>
      </c>
      <c r="G2688" s="4">
        <v>3.79322331962126E-11</v>
      </c>
      <c r="H2688" s="10" t="s">
        <v>5389</v>
      </c>
      <c r="I2688" s="10" t="s">
        <v>18</v>
      </c>
    </row>
    <row r="2689" spans="1:9" x14ac:dyDescent="0.2">
      <c r="A2689" s="10" t="s">
        <v>5390</v>
      </c>
      <c r="B2689" s="10">
        <v>115.338099765386</v>
      </c>
      <c r="C2689" s="10">
        <v>-1.2104273748591501</v>
      </c>
      <c r="D2689" s="10">
        <v>0.36895920643928098</v>
      </c>
      <c r="E2689" s="10">
        <v>-3.28065367047116</v>
      </c>
      <c r="F2689" s="10">
        <v>1.0356682937515899E-3</v>
      </c>
      <c r="G2689" s="10">
        <v>4.5520754458203902E-3</v>
      </c>
      <c r="H2689" s="10" t="s">
        <v>5391</v>
      </c>
      <c r="I2689" s="10" t="s">
        <v>18</v>
      </c>
    </row>
    <row r="2690" spans="1:9" x14ac:dyDescent="0.2">
      <c r="A2690" s="10" t="s">
        <v>5392</v>
      </c>
      <c r="B2690" s="10">
        <v>16877.985748265699</v>
      </c>
      <c r="C2690" s="10">
        <v>-1.04621773014027</v>
      </c>
      <c r="D2690" s="10">
        <v>0.20745971832530299</v>
      </c>
      <c r="E2690" s="10">
        <v>-5.0429921460693796</v>
      </c>
      <c r="F2690" s="4">
        <v>4.5830806968195101E-7</v>
      </c>
      <c r="G2690" s="4">
        <v>4.1708483549178803E-6</v>
      </c>
      <c r="H2690" s="10" t="s">
        <v>5393</v>
      </c>
      <c r="I2690" s="10" t="s">
        <v>18</v>
      </c>
    </row>
    <row r="2691" spans="1:9" x14ac:dyDescent="0.2">
      <c r="A2691" s="10" t="s">
        <v>5394</v>
      </c>
      <c r="B2691" s="10">
        <v>597.07550299748402</v>
      </c>
      <c r="C2691" s="10">
        <v>1.0632601176682801</v>
      </c>
      <c r="D2691" s="10">
        <v>0.24804899751133</v>
      </c>
      <c r="E2691" s="10">
        <v>4.2864922992470804</v>
      </c>
      <c r="F2691" s="4">
        <v>1.81516491704024E-5</v>
      </c>
      <c r="G2691" s="10">
        <v>1.2148808276736801E-4</v>
      </c>
      <c r="H2691" s="10" t="s">
        <v>5395</v>
      </c>
      <c r="I2691" s="10" t="s">
        <v>18</v>
      </c>
    </row>
    <row r="2692" spans="1:9" x14ac:dyDescent="0.2">
      <c r="A2692" s="10" t="s">
        <v>5396</v>
      </c>
      <c r="B2692" s="10">
        <v>647.26734071894202</v>
      </c>
      <c r="C2692" s="10">
        <v>2.1893199792731601</v>
      </c>
      <c r="D2692" s="10">
        <v>0.21659265617205201</v>
      </c>
      <c r="E2692" s="10">
        <v>10.108006513083501</v>
      </c>
      <c r="F2692" s="4">
        <v>5.0909601087099501E-24</v>
      </c>
      <c r="G2692" s="4">
        <v>2.6221812869947098E-22</v>
      </c>
      <c r="H2692" s="10" t="s">
        <v>5397</v>
      </c>
      <c r="I2692" s="10" t="s">
        <v>18</v>
      </c>
    </row>
    <row r="2693" spans="1:9" x14ac:dyDescent="0.2">
      <c r="A2693" s="10" t="s">
        <v>5398</v>
      </c>
      <c r="B2693" s="10">
        <v>1060.46803054671</v>
      </c>
      <c r="C2693" s="10">
        <v>-1.5580301618330199</v>
      </c>
      <c r="D2693" s="10">
        <v>0.21527695033726099</v>
      </c>
      <c r="E2693" s="10">
        <v>-7.2373292142616501</v>
      </c>
      <c r="F2693" s="4">
        <v>4.5760642889008498E-13</v>
      </c>
      <c r="G2693" s="4">
        <v>9.48889069099554E-12</v>
      </c>
      <c r="H2693" s="10" t="s">
        <v>5399</v>
      </c>
      <c r="I2693" s="10" t="s">
        <v>18</v>
      </c>
    </row>
    <row r="2694" spans="1:9" x14ac:dyDescent="0.2">
      <c r="A2694" s="10" t="s">
        <v>5400</v>
      </c>
      <c r="B2694" s="10">
        <v>6.6402533100883696</v>
      </c>
      <c r="C2694" s="10">
        <v>6.1230850169320403</v>
      </c>
      <c r="D2694" s="10">
        <v>1.9311394990255999</v>
      </c>
      <c r="E2694" s="10">
        <v>3.1707108782258202</v>
      </c>
      <c r="F2694" s="10">
        <v>1.52066412906795E-3</v>
      </c>
      <c r="G2694" s="10">
        <v>6.3577620875731799E-3</v>
      </c>
      <c r="H2694" s="10" t="s">
        <v>5401</v>
      </c>
      <c r="I2694" s="10" t="s">
        <v>18</v>
      </c>
    </row>
    <row r="2695" spans="1:9" x14ac:dyDescent="0.2">
      <c r="A2695" s="10" t="s">
        <v>5402</v>
      </c>
      <c r="B2695" s="10">
        <v>1077.29419833057</v>
      </c>
      <c r="C2695" s="10">
        <v>1.3895115750012601</v>
      </c>
      <c r="D2695" s="10">
        <v>0.211188622721451</v>
      </c>
      <c r="E2695" s="10">
        <v>6.5794812101879598</v>
      </c>
      <c r="F2695" s="4">
        <v>4.7209256166301898E-11</v>
      </c>
      <c r="G2695" s="4">
        <v>7.6794662851535897E-10</v>
      </c>
      <c r="H2695" s="10" t="s">
        <v>5403</v>
      </c>
      <c r="I2695" s="10" t="s">
        <v>18</v>
      </c>
    </row>
    <row r="2696" spans="1:9" x14ac:dyDescent="0.2">
      <c r="A2696" s="10" t="s">
        <v>5404</v>
      </c>
      <c r="B2696" s="10">
        <v>31697.341966258198</v>
      </c>
      <c r="C2696" s="10">
        <v>-2.5484547903462298</v>
      </c>
      <c r="D2696" s="10">
        <v>0.166105409555654</v>
      </c>
      <c r="E2696" s="10">
        <v>-15.3423949115417</v>
      </c>
      <c r="F2696" s="4">
        <v>3.9822770383441602E-53</v>
      </c>
      <c r="G2696" s="4">
        <v>8.8938608576855303E-51</v>
      </c>
      <c r="H2696" s="10" t="s">
        <v>5405</v>
      </c>
      <c r="I2696" s="10" t="s">
        <v>18</v>
      </c>
    </row>
    <row r="2697" spans="1:9" x14ac:dyDescent="0.2">
      <c r="A2697" s="10" t="s">
        <v>5406</v>
      </c>
      <c r="B2697" s="10">
        <v>3.9618079650943998</v>
      </c>
      <c r="C2697" s="10">
        <v>5.3771408192735599</v>
      </c>
      <c r="D2697" s="10">
        <v>2.19654804218851</v>
      </c>
      <c r="E2697" s="10">
        <v>2.4479959991751898</v>
      </c>
      <c r="F2697" s="10">
        <v>1.43653250707227E-2</v>
      </c>
      <c r="G2697" s="10">
        <v>4.3002857855634E-2</v>
      </c>
      <c r="H2697" s="10" t="s">
        <v>5407</v>
      </c>
      <c r="I2697" s="10" t="s">
        <v>18</v>
      </c>
    </row>
    <row r="2698" spans="1:9" x14ac:dyDescent="0.2">
      <c r="A2698" s="10" t="s">
        <v>5408</v>
      </c>
      <c r="B2698" s="10">
        <v>1214.6024322901201</v>
      </c>
      <c r="C2698" s="10">
        <v>1.22779704464214</v>
      </c>
      <c r="D2698" s="10">
        <v>0.19420706146509401</v>
      </c>
      <c r="E2698" s="10">
        <v>6.3221029934733703</v>
      </c>
      <c r="F2698" s="4">
        <v>2.5802729805930902E-10</v>
      </c>
      <c r="G2698" s="4">
        <v>3.7696888955613903E-9</v>
      </c>
      <c r="H2698" s="10" t="s">
        <v>5409</v>
      </c>
      <c r="I2698" s="10" t="s">
        <v>18</v>
      </c>
    </row>
    <row r="2699" spans="1:9" x14ac:dyDescent="0.2">
      <c r="A2699" s="10" t="s">
        <v>5410</v>
      </c>
      <c r="B2699" s="10">
        <v>9.1680704530346393</v>
      </c>
      <c r="C2699" s="10">
        <v>4.0743649665848896</v>
      </c>
      <c r="D2699" s="10">
        <v>1.4700982948029</v>
      </c>
      <c r="E2699" s="10">
        <v>2.7714915261031301</v>
      </c>
      <c r="F2699" s="10">
        <v>5.5800124669810698E-3</v>
      </c>
      <c r="G2699" s="10">
        <v>1.9507133652531799E-2</v>
      </c>
      <c r="H2699" s="10" t="s">
        <v>5411</v>
      </c>
      <c r="I2699" s="10" t="s">
        <v>18</v>
      </c>
    </row>
    <row r="2700" spans="1:9" x14ac:dyDescent="0.2">
      <c r="A2700" s="10" t="s">
        <v>5412</v>
      </c>
      <c r="B2700" s="10">
        <v>473.073988833079</v>
      </c>
      <c r="C2700" s="10">
        <v>1.6797686107057901</v>
      </c>
      <c r="D2700" s="10">
        <v>0.229533011024527</v>
      </c>
      <c r="E2700" s="10">
        <v>7.3182005638670402</v>
      </c>
      <c r="F2700" s="4">
        <v>2.5131806054410198E-13</v>
      </c>
      <c r="G2700" s="4">
        <v>5.3581089167802298E-12</v>
      </c>
      <c r="H2700" s="10" t="s">
        <v>5413</v>
      </c>
      <c r="I2700" s="10" t="s">
        <v>18</v>
      </c>
    </row>
    <row r="2701" spans="1:9" x14ac:dyDescent="0.2">
      <c r="A2701" s="10" t="s">
        <v>5414</v>
      </c>
      <c r="B2701" s="10">
        <v>6024.3742692870901</v>
      </c>
      <c r="C2701" s="10">
        <v>1.1176432691054199</v>
      </c>
      <c r="D2701" s="10">
        <v>0.17118782273432101</v>
      </c>
      <c r="E2701" s="10">
        <v>6.5287545063294301</v>
      </c>
      <c r="F2701" s="4">
        <v>6.63188463798793E-11</v>
      </c>
      <c r="G2701" s="4">
        <v>1.06091104848271E-9</v>
      </c>
      <c r="H2701" s="10" t="s">
        <v>5415</v>
      </c>
      <c r="I2701" s="10" t="s">
        <v>18</v>
      </c>
    </row>
    <row r="2702" spans="1:9" x14ac:dyDescent="0.2">
      <c r="A2702" s="10" t="s">
        <v>5416</v>
      </c>
      <c r="B2702" s="10">
        <v>74.662262909996599</v>
      </c>
      <c r="C2702" s="10">
        <v>-1.2820044598367</v>
      </c>
      <c r="D2702" s="10">
        <v>0.449523284330968</v>
      </c>
      <c r="E2702" s="10">
        <v>-2.8519200328960101</v>
      </c>
      <c r="F2702" s="10">
        <v>4.3456031275890903E-3</v>
      </c>
      <c r="G2702" s="10">
        <v>1.5728566474152501E-2</v>
      </c>
      <c r="H2702" s="10" t="s">
        <v>5417</v>
      </c>
      <c r="I2702" s="10" t="s">
        <v>18</v>
      </c>
    </row>
    <row r="2703" spans="1:9" x14ac:dyDescent="0.2">
      <c r="A2703" s="10" t="s">
        <v>5418</v>
      </c>
      <c r="B2703" s="10">
        <v>4290.0187740906804</v>
      </c>
      <c r="C2703" s="10">
        <v>-1.3644731481963099</v>
      </c>
      <c r="D2703" s="10">
        <v>0.175404561222337</v>
      </c>
      <c r="E2703" s="10">
        <v>-7.7790060799317002</v>
      </c>
      <c r="F2703" s="4">
        <v>7.30965494673948E-15</v>
      </c>
      <c r="G2703" s="4">
        <v>1.7830453745193401E-13</v>
      </c>
      <c r="H2703" s="10" t="s">
        <v>5419</v>
      </c>
      <c r="I2703" s="10" t="s">
        <v>18</v>
      </c>
    </row>
    <row r="2704" spans="1:9" x14ac:dyDescent="0.2">
      <c r="A2704" s="10" t="s">
        <v>5420</v>
      </c>
      <c r="B2704" s="10">
        <v>88.0220205919791</v>
      </c>
      <c r="C2704" s="10">
        <v>-1.38255505360579</v>
      </c>
      <c r="D2704" s="10">
        <v>0.45188841560936899</v>
      </c>
      <c r="E2704" s="10">
        <v>-3.0595054129489498</v>
      </c>
      <c r="F2704" s="10">
        <v>2.2170278125580598E-3</v>
      </c>
      <c r="G2704" s="10">
        <v>8.7980420636133792E-3</v>
      </c>
      <c r="H2704" s="10" t="s">
        <v>5421</v>
      </c>
      <c r="I2704" s="10" t="s">
        <v>18</v>
      </c>
    </row>
    <row r="2705" spans="1:9" x14ac:dyDescent="0.2">
      <c r="A2705" s="10" t="s">
        <v>5422</v>
      </c>
      <c r="B2705" s="10">
        <v>341.21127777184398</v>
      </c>
      <c r="C2705" s="10">
        <v>-1.44350739964458</v>
      </c>
      <c r="D2705" s="10">
        <v>0.24507436639872601</v>
      </c>
      <c r="E2705" s="10">
        <v>-5.8900790843872004</v>
      </c>
      <c r="F2705" s="4">
        <v>3.8601084695937698E-9</v>
      </c>
      <c r="G2705" s="4">
        <v>4.8760489323607503E-8</v>
      </c>
      <c r="H2705" s="10" t="s">
        <v>5423</v>
      </c>
      <c r="I2705" s="10" t="s">
        <v>18</v>
      </c>
    </row>
    <row r="2706" spans="1:9" x14ac:dyDescent="0.2">
      <c r="A2706" s="10" t="s">
        <v>5424</v>
      </c>
      <c r="B2706" s="10">
        <v>470.02603962031202</v>
      </c>
      <c r="C2706" s="10">
        <v>1.33435380721429</v>
      </c>
      <c r="D2706" s="10">
        <v>0.31120445402587299</v>
      </c>
      <c r="E2706" s="10">
        <v>4.2877079359004302</v>
      </c>
      <c r="F2706" s="4">
        <v>1.8052623956810999E-5</v>
      </c>
      <c r="G2706" s="10">
        <v>1.20914416163036E-4</v>
      </c>
      <c r="H2706" s="10" t="s">
        <v>5425</v>
      </c>
      <c r="I2706" s="10" t="s">
        <v>18</v>
      </c>
    </row>
    <row r="2707" spans="1:9" x14ac:dyDescent="0.2">
      <c r="A2707" s="10" t="s">
        <v>5426</v>
      </c>
      <c r="B2707" s="10">
        <v>257.77632289484399</v>
      </c>
      <c r="C2707" s="10">
        <v>-1.91815937606303</v>
      </c>
      <c r="D2707" s="10">
        <v>0.30078420744398299</v>
      </c>
      <c r="E2707" s="10">
        <v>-6.3771944423653402</v>
      </c>
      <c r="F2707" s="4">
        <v>1.80361414421589E-10</v>
      </c>
      <c r="G2707" s="4">
        <v>2.70462710993123E-9</v>
      </c>
      <c r="H2707" s="10" t="s">
        <v>5427</v>
      </c>
      <c r="I2707" s="10" t="s">
        <v>18</v>
      </c>
    </row>
    <row r="2708" spans="1:9" x14ac:dyDescent="0.2">
      <c r="A2708" s="10" t="s">
        <v>5428</v>
      </c>
      <c r="B2708" s="10">
        <v>5.2844144803744602</v>
      </c>
      <c r="C2708" s="10">
        <v>5.7963924222255896</v>
      </c>
      <c r="D2708" s="10">
        <v>2.0064078652252801</v>
      </c>
      <c r="E2708" s="10">
        <v>2.8889402412578602</v>
      </c>
      <c r="F2708" s="10">
        <v>3.8654252525083602E-3</v>
      </c>
      <c r="G2708" s="10">
        <v>1.42326002506886E-2</v>
      </c>
      <c r="H2708" s="10" t="s">
        <v>5429</v>
      </c>
      <c r="I2708" s="10" t="s">
        <v>18</v>
      </c>
    </row>
    <row r="2709" spans="1:9" x14ac:dyDescent="0.2">
      <c r="A2709" s="10" t="s">
        <v>5430</v>
      </c>
      <c r="B2709" s="10">
        <v>10.2122104333223</v>
      </c>
      <c r="C2709" s="10">
        <v>4.2191598263338603</v>
      </c>
      <c r="D2709" s="10">
        <v>1.43632359827995</v>
      </c>
      <c r="E2709" s="10">
        <v>2.93747163340243</v>
      </c>
      <c r="F2709" s="10">
        <v>3.3090044259239501E-3</v>
      </c>
      <c r="G2709" s="10">
        <v>1.2465151886236699E-2</v>
      </c>
      <c r="H2709" s="10" t="s">
        <v>5431</v>
      </c>
      <c r="I2709" s="10" t="s">
        <v>18</v>
      </c>
    </row>
    <row r="2710" spans="1:9" x14ac:dyDescent="0.2">
      <c r="A2710" s="10" t="s">
        <v>5432</v>
      </c>
      <c r="B2710" s="10">
        <v>1665.6526743896</v>
      </c>
      <c r="C2710" s="10">
        <v>1.06322305537192</v>
      </c>
      <c r="D2710" s="10">
        <v>0.184506762587065</v>
      </c>
      <c r="E2710" s="10">
        <v>5.7625153705149996</v>
      </c>
      <c r="F2710" s="4">
        <v>8.2869493337332298E-9</v>
      </c>
      <c r="G2710" s="4">
        <v>9.9688524722397006E-8</v>
      </c>
      <c r="H2710" s="10" t="s">
        <v>5433</v>
      </c>
      <c r="I2710" s="10" t="s">
        <v>18</v>
      </c>
    </row>
    <row r="2711" spans="1:9" x14ac:dyDescent="0.2">
      <c r="A2711" s="10" t="s">
        <v>5434</v>
      </c>
      <c r="B2711" s="10">
        <v>2214.1408181714501</v>
      </c>
      <c r="C2711" s="10">
        <v>-1.62184422222504</v>
      </c>
      <c r="D2711" s="10">
        <v>0.20717596896028101</v>
      </c>
      <c r="E2711" s="10">
        <v>-7.8283414353716898</v>
      </c>
      <c r="F2711" s="4">
        <v>4.9434790582701998E-15</v>
      </c>
      <c r="G2711" s="4">
        <v>1.22896873996978E-13</v>
      </c>
      <c r="H2711" s="10" t="s">
        <v>5435</v>
      </c>
      <c r="I2711" s="10" t="s">
        <v>18</v>
      </c>
    </row>
    <row r="2712" spans="1:9" x14ac:dyDescent="0.2">
      <c r="A2712" s="10" t="s">
        <v>5436</v>
      </c>
      <c r="B2712" s="10">
        <v>9.0650319214351605</v>
      </c>
      <c r="C2712" s="10">
        <v>6.5758720895497902</v>
      </c>
      <c r="D2712" s="10">
        <v>1.7925554902224099</v>
      </c>
      <c r="E2712" s="10">
        <v>3.6684343248609199</v>
      </c>
      <c r="F2712" s="10">
        <v>2.4404036266015099E-4</v>
      </c>
      <c r="G2712" s="10">
        <v>1.2675081018485501E-3</v>
      </c>
      <c r="H2712" s="10" t="s">
        <v>5437</v>
      </c>
      <c r="I2712" s="10" t="s">
        <v>18</v>
      </c>
    </row>
    <row r="2713" spans="1:9" x14ac:dyDescent="0.2">
      <c r="A2713" s="10" t="s">
        <v>5438</v>
      </c>
      <c r="B2713" s="10">
        <v>4.36643869871435</v>
      </c>
      <c r="C2713" s="10">
        <v>5.51984028109222</v>
      </c>
      <c r="D2713" s="10">
        <v>2.1118253273681198</v>
      </c>
      <c r="E2713" s="10">
        <v>2.6137769111668798</v>
      </c>
      <c r="F2713" s="10">
        <v>8.9547485688279607E-3</v>
      </c>
      <c r="G2713" s="10">
        <v>2.9049890969741098E-2</v>
      </c>
      <c r="H2713" s="10" t="s">
        <v>5439</v>
      </c>
      <c r="I2713" s="10" t="s">
        <v>18</v>
      </c>
    </row>
    <row r="2714" spans="1:9" x14ac:dyDescent="0.2">
      <c r="A2714" s="10" t="s">
        <v>5440</v>
      </c>
      <c r="B2714" s="10">
        <v>80.591146535501593</v>
      </c>
      <c r="C2714" s="10">
        <v>-2.1332011738419099</v>
      </c>
      <c r="D2714" s="10">
        <v>0.44232141993511498</v>
      </c>
      <c r="E2714" s="10">
        <v>-4.8227399300599796</v>
      </c>
      <c r="F2714" s="4">
        <v>1.41599544291249E-6</v>
      </c>
      <c r="G2714" s="4">
        <v>1.18263284425249E-5</v>
      </c>
      <c r="H2714" s="10" t="s">
        <v>5441</v>
      </c>
      <c r="I2714" s="10" t="s">
        <v>18</v>
      </c>
    </row>
    <row r="2715" spans="1:9" x14ac:dyDescent="0.2">
      <c r="A2715" s="10" t="s">
        <v>5442</v>
      </c>
      <c r="B2715" s="10">
        <v>12.039437054538899</v>
      </c>
      <c r="C2715" s="10">
        <v>4.47843573457547</v>
      </c>
      <c r="D2715" s="10">
        <v>1.35908364315046</v>
      </c>
      <c r="E2715" s="10">
        <v>3.2951877223642598</v>
      </c>
      <c r="F2715" s="10">
        <v>9.8355952081434191E-4</v>
      </c>
      <c r="G2715" s="10">
        <v>4.3554438913746803E-3</v>
      </c>
      <c r="H2715" s="10" t="s">
        <v>5443</v>
      </c>
      <c r="I2715" s="10" t="s">
        <v>18</v>
      </c>
    </row>
    <row r="2716" spans="1:9" x14ac:dyDescent="0.2">
      <c r="A2716" s="10" t="s">
        <v>5444</v>
      </c>
      <c r="B2716" s="10">
        <v>2253.86375583476</v>
      </c>
      <c r="C2716" s="10">
        <v>-3.8813274645394098</v>
      </c>
      <c r="D2716" s="10">
        <v>0.19612665864137699</v>
      </c>
      <c r="E2716" s="10">
        <v>-19.789902563100899</v>
      </c>
      <c r="F2716" s="4">
        <v>3.63744279906583E-87</v>
      </c>
      <c r="G2716" s="4">
        <v>3.00331527109536E-84</v>
      </c>
      <c r="H2716" s="10" t="s">
        <v>5445</v>
      </c>
      <c r="I2716" s="10" t="s">
        <v>18</v>
      </c>
    </row>
    <row r="2717" spans="1:9" x14ac:dyDescent="0.2">
      <c r="A2717" s="10" t="s">
        <v>5446</v>
      </c>
      <c r="B2717" s="10">
        <v>18.9333137293644</v>
      </c>
      <c r="C2717" s="10">
        <v>7.63637643586679</v>
      </c>
      <c r="D2717" s="10">
        <v>1.6351326470816201</v>
      </c>
      <c r="E2717" s="10">
        <v>4.67018773644826</v>
      </c>
      <c r="F2717" s="4">
        <v>3.00924594192174E-6</v>
      </c>
      <c r="G2717" s="4">
        <v>2.3663181581397302E-5</v>
      </c>
      <c r="H2717" s="10" t="s">
        <v>5447</v>
      </c>
      <c r="I2717" s="10" t="s">
        <v>18</v>
      </c>
    </row>
    <row r="2718" spans="1:9" x14ac:dyDescent="0.2">
      <c r="A2718" s="10" t="s">
        <v>5448</v>
      </c>
      <c r="B2718" s="10">
        <v>117.71789064590099</v>
      </c>
      <c r="C2718" s="10">
        <v>1.2481482775797199</v>
      </c>
      <c r="D2718" s="10">
        <v>0.35625086281816898</v>
      </c>
      <c r="E2718" s="10">
        <v>3.5035656270586402</v>
      </c>
      <c r="F2718" s="10">
        <v>4.5907352061585099E-4</v>
      </c>
      <c r="G2718" s="10">
        <v>2.22213114518033E-3</v>
      </c>
      <c r="H2718" s="10" t="s">
        <v>5449</v>
      </c>
      <c r="I2718" s="10" t="s">
        <v>18</v>
      </c>
    </row>
    <row r="2719" spans="1:9" x14ac:dyDescent="0.2">
      <c r="A2719" s="10" t="s">
        <v>5450</v>
      </c>
      <c r="B2719" s="10">
        <v>11.574060843782</v>
      </c>
      <c r="C2719" s="10">
        <v>4.4137787617279898</v>
      </c>
      <c r="D2719" s="10">
        <v>1.3868473810792701</v>
      </c>
      <c r="E2719" s="10">
        <v>3.1825987646118001</v>
      </c>
      <c r="F2719" s="10">
        <v>1.4595972610150899E-3</v>
      </c>
      <c r="G2719" s="10">
        <v>6.1448774058835203E-3</v>
      </c>
      <c r="H2719" s="10" t="s">
        <v>5451</v>
      </c>
      <c r="I2719" s="10" t="s">
        <v>18</v>
      </c>
    </row>
    <row r="2720" spans="1:9" x14ac:dyDescent="0.2">
      <c r="A2720" s="10" t="s">
        <v>5452</v>
      </c>
      <c r="B2720" s="10">
        <v>6257.3726218578604</v>
      </c>
      <c r="C2720" s="10">
        <v>1.9925073335610399</v>
      </c>
      <c r="D2720" s="10">
        <v>0.18088006434338599</v>
      </c>
      <c r="E2720" s="10">
        <v>11.015627071972</v>
      </c>
      <c r="F2720" s="4">
        <v>3.2129151791398699E-28</v>
      </c>
      <c r="G2720" s="4">
        <v>2.2050957150131999E-26</v>
      </c>
      <c r="H2720" s="10" t="s">
        <v>5453</v>
      </c>
      <c r="I2720" s="10" t="s">
        <v>18</v>
      </c>
    </row>
    <row r="2721" spans="1:9" x14ac:dyDescent="0.2">
      <c r="A2721" s="10" t="s">
        <v>5454</v>
      </c>
      <c r="B2721" s="10">
        <v>655.52876776288804</v>
      </c>
      <c r="C2721" s="10">
        <v>-2.12239015913008</v>
      </c>
      <c r="D2721" s="10">
        <v>0.225161211869226</v>
      </c>
      <c r="E2721" s="10">
        <v>-9.4260913836383295</v>
      </c>
      <c r="F2721" s="4">
        <v>4.2565556277373198E-21</v>
      </c>
      <c r="G2721" s="4">
        <v>1.8093349639463199E-19</v>
      </c>
      <c r="H2721" s="10" t="s">
        <v>5455</v>
      </c>
      <c r="I2721" s="10" t="s">
        <v>18</v>
      </c>
    </row>
    <row r="2722" spans="1:9" x14ac:dyDescent="0.2">
      <c r="A2722" s="10" t="s">
        <v>5456</v>
      </c>
      <c r="B2722" s="10">
        <v>2302.8727699465799</v>
      </c>
      <c r="C2722" s="10">
        <v>1.12958423214478</v>
      </c>
      <c r="D2722" s="10">
        <v>0.18486873188549699</v>
      </c>
      <c r="E2722" s="10">
        <v>6.1101962491115804</v>
      </c>
      <c r="F2722" s="4">
        <v>9.9508699641470599E-10</v>
      </c>
      <c r="G2722" s="4">
        <v>1.35295086782991E-8</v>
      </c>
      <c r="H2722" s="10" t="s">
        <v>5457</v>
      </c>
      <c r="I2722" s="10" t="s">
        <v>18</v>
      </c>
    </row>
    <row r="2723" spans="1:9" x14ac:dyDescent="0.2">
      <c r="A2723" s="10" t="s">
        <v>5458</v>
      </c>
      <c r="B2723" s="10">
        <v>15.9739431248027</v>
      </c>
      <c r="C2723" s="10">
        <v>3.50324499963773</v>
      </c>
      <c r="D2723" s="10">
        <v>1.01757258246905</v>
      </c>
      <c r="E2723" s="10">
        <v>3.4427470432992902</v>
      </c>
      <c r="F2723" s="10">
        <v>5.7583765543175102E-4</v>
      </c>
      <c r="G2723" s="10">
        <v>2.7154462785650602E-3</v>
      </c>
      <c r="H2723" s="10" t="s">
        <v>5459</v>
      </c>
      <c r="I2723" s="10" t="s">
        <v>18</v>
      </c>
    </row>
    <row r="2724" spans="1:9" x14ac:dyDescent="0.2">
      <c r="A2724" s="10" t="s">
        <v>5460</v>
      </c>
      <c r="B2724" s="10">
        <v>7.8150695147310998</v>
      </c>
      <c r="C2724" s="10">
        <v>4.8752838063911099</v>
      </c>
      <c r="D2724" s="10">
        <v>1.8194879764528</v>
      </c>
      <c r="E2724" s="10">
        <v>2.6794811889308399</v>
      </c>
      <c r="F2724" s="10">
        <v>7.3736346191880901E-3</v>
      </c>
      <c r="G2724" s="10">
        <v>2.4609189425406401E-2</v>
      </c>
      <c r="H2724" s="10" t="s">
        <v>5461</v>
      </c>
      <c r="I2724" s="10" t="s">
        <v>18</v>
      </c>
    </row>
    <row r="2725" spans="1:9" x14ac:dyDescent="0.2">
      <c r="A2725" s="10" t="s">
        <v>5462</v>
      </c>
      <c r="B2725" s="10">
        <v>277.34582298001999</v>
      </c>
      <c r="C2725" s="10">
        <v>4.6904630983661102</v>
      </c>
      <c r="D2725" s="10">
        <v>0.35580679472414301</v>
      </c>
      <c r="E2725" s="10">
        <v>13.1826124962077</v>
      </c>
      <c r="F2725" s="4">
        <v>1.1049704571002601E-39</v>
      </c>
      <c r="G2725" s="4">
        <v>1.49786716639854E-37</v>
      </c>
      <c r="H2725" s="10" t="s">
        <v>5463</v>
      </c>
      <c r="I2725" s="10" t="s">
        <v>18</v>
      </c>
    </row>
    <row r="2726" spans="1:9" x14ac:dyDescent="0.2">
      <c r="A2726" s="10" t="s">
        <v>5464</v>
      </c>
      <c r="B2726" s="10">
        <v>1539.4336937471201</v>
      </c>
      <c r="C2726" s="10">
        <v>-1.1184106492580499</v>
      </c>
      <c r="D2726" s="10">
        <v>0.18576682241081699</v>
      </c>
      <c r="E2726" s="10">
        <v>-6.0205080473666399</v>
      </c>
      <c r="F2726" s="4">
        <v>1.7387046099980101E-9</v>
      </c>
      <c r="G2726" s="4">
        <v>2.28200792430711E-8</v>
      </c>
      <c r="H2726" s="10" t="s">
        <v>5465</v>
      </c>
      <c r="I2726" s="10" t="s">
        <v>18</v>
      </c>
    </row>
    <row r="2727" spans="1:9" x14ac:dyDescent="0.2">
      <c r="A2727" s="10" t="s">
        <v>5466</v>
      </c>
      <c r="B2727" s="10">
        <v>198.506795801245</v>
      </c>
      <c r="C2727" s="10">
        <v>-1.7478296807706999</v>
      </c>
      <c r="D2727" s="10">
        <v>0.29209383588466598</v>
      </c>
      <c r="E2727" s="10">
        <v>-5.9837951577343196</v>
      </c>
      <c r="F2727" s="4">
        <v>2.17997446353468E-9</v>
      </c>
      <c r="G2727" s="4">
        <v>2.8217465181914301E-8</v>
      </c>
      <c r="H2727" s="10" t="s">
        <v>5467</v>
      </c>
      <c r="I2727" s="10" t="s">
        <v>18</v>
      </c>
    </row>
    <row r="2728" spans="1:9" x14ac:dyDescent="0.2">
      <c r="A2728" s="10" t="s">
        <v>5468</v>
      </c>
      <c r="B2728" s="10">
        <v>247.567518436006</v>
      </c>
      <c r="C2728" s="10">
        <v>1.0744939875411399</v>
      </c>
      <c r="D2728" s="10">
        <v>0.27611992716855699</v>
      </c>
      <c r="E2728" s="10">
        <v>3.8914032701639099</v>
      </c>
      <c r="F2728" s="4">
        <v>9.9666122432453096E-5</v>
      </c>
      <c r="G2728" s="10">
        <v>5.70864586486662E-4</v>
      </c>
      <c r="H2728" s="10" t="s">
        <v>5469</v>
      </c>
      <c r="I2728" s="10" t="s">
        <v>18</v>
      </c>
    </row>
    <row r="2729" spans="1:9" x14ac:dyDescent="0.2">
      <c r="A2729" s="10" t="s">
        <v>5470</v>
      </c>
      <c r="B2729" s="10">
        <v>473.72184171346299</v>
      </c>
      <c r="C2729" s="10">
        <v>-1.09583307525568</v>
      </c>
      <c r="D2729" s="10">
        <v>0.25016475932649501</v>
      </c>
      <c r="E2729" s="10">
        <v>-4.3804454240714596</v>
      </c>
      <c r="F2729" s="4">
        <v>1.18436954670892E-5</v>
      </c>
      <c r="G2729" s="4">
        <v>8.2808614419240106E-5</v>
      </c>
      <c r="H2729" s="10" t="s">
        <v>5471</v>
      </c>
      <c r="I2729" s="10" t="s">
        <v>18</v>
      </c>
    </row>
    <row r="2730" spans="1:9" x14ac:dyDescent="0.2">
      <c r="A2730" s="10" t="s">
        <v>5472</v>
      </c>
      <c r="B2730" s="10">
        <v>12.7673728400091</v>
      </c>
      <c r="C2730" s="10">
        <v>3.9519799902822901</v>
      </c>
      <c r="D2730" s="10">
        <v>1.2335507271179</v>
      </c>
      <c r="E2730" s="10">
        <v>3.2037433916607601</v>
      </c>
      <c r="F2730" s="10">
        <v>1.3565332459513899E-3</v>
      </c>
      <c r="G2730" s="10">
        <v>5.7635211839135196E-3</v>
      </c>
      <c r="H2730" s="10" t="s">
        <v>5473</v>
      </c>
      <c r="I2730" s="10" t="s">
        <v>18</v>
      </c>
    </row>
    <row r="2731" spans="1:9" x14ac:dyDescent="0.2">
      <c r="A2731" s="10" t="s">
        <v>5474</v>
      </c>
      <c r="B2731" s="10">
        <v>2375.11282970092</v>
      </c>
      <c r="C2731" s="10">
        <v>7.5035158043716397</v>
      </c>
      <c r="D2731" s="10">
        <v>0.80542688407067398</v>
      </c>
      <c r="E2731" s="10">
        <v>9.3161973517055205</v>
      </c>
      <c r="F2731" s="4">
        <v>1.2058467158207501E-20</v>
      </c>
      <c r="G2731" s="4">
        <v>4.9630975024120998E-19</v>
      </c>
      <c r="H2731" s="10" t="s">
        <v>5475</v>
      </c>
      <c r="I2731" s="10" t="s">
        <v>18</v>
      </c>
    </row>
    <row r="2732" spans="1:9" x14ac:dyDescent="0.2">
      <c r="A2732" s="10" t="s">
        <v>5476</v>
      </c>
      <c r="B2732" s="10">
        <v>31.087433310159302</v>
      </c>
      <c r="C2732" s="10">
        <v>8.3545197512149496</v>
      </c>
      <c r="D2732" s="10">
        <v>1.55805305206779</v>
      </c>
      <c r="E2732" s="10">
        <v>5.36215358015387</v>
      </c>
      <c r="F2732" s="4">
        <v>8.2235574227675904E-8</v>
      </c>
      <c r="G2732" s="4">
        <v>8.4553686452131595E-7</v>
      </c>
      <c r="H2732" s="10" t="s">
        <v>5477</v>
      </c>
      <c r="I2732" s="10" t="s">
        <v>18</v>
      </c>
    </row>
    <row r="2733" spans="1:9" x14ac:dyDescent="0.2">
      <c r="A2733" s="10" t="s">
        <v>5478</v>
      </c>
      <c r="B2733" s="10">
        <v>12.042274945949201</v>
      </c>
      <c r="C2733" s="10">
        <v>5.5079654485360496</v>
      </c>
      <c r="D2733" s="10">
        <v>1.7029159387905599</v>
      </c>
      <c r="E2733" s="10">
        <v>3.2344317902432098</v>
      </c>
      <c r="F2733" s="10">
        <v>1.2188503065384501E-3</v>
      </c>
      <c r="G2733" s="10">
        <v>5.2472767107367797E-3</v>
      </c>
      <c r="H2733" s="10" t="s">
        <v>5479</v>
      </c>
      <c r="I2733" s="10" t="s">
        <v>18</v>
      </c>
    </row>
    <row r="2734" spans="1:9" x14ac:dyDescent="0.2">
      <c r="A2734" s="10" t="s">
        <v>5480</v>
      </c>
      <c r="B2734" s="10">
        <v>2344.5882070929902</v>
      </c>
      <c r="C2734" s="10">
        <v>-1.12070572291298</v>
      </c>
      <c r="D2734" s="10">
        <v>0.196621770088209</v>
      </c>
      <c r="E2734" s="10">
        <v>-5.6998048710994897</v>
      </c>
      <c r="F2734" s="4">
        <v>1.19944639150566E-8</v>
      </c>
      <c r="G2734" s="4">
        <v>1.4105013305720701E-7</v>
      </c>
      <c r="H2734" s="10" t="s">
        <v>5481</v>
      </c>
      <c r="I2734" s="10" t="s">
        <v>18</v>
      </c>
    </row>
    <row r="2735" spans="1:9" x14ac:dyDescent="0.2">
      <c r="A2735" s="10" t="s">
        <v>5482</v>
      </c>
      <c r="B2735" s="10">
        <v>356.623833705013</v>
      </c>
      <c r="C2735" s="10">
        <v>1.1378305231804999</v>
      </c>
      <c r="D2735" s="10">
        <v>0.25820765126565098</v>
      </c>
      <c r="E2735" s="10">
        <v>4.4066491353111203</v>
      </c>
      <c r="F2735" s="4">
        <v>1.04982035191876E-5</v>
      </c>
      <c r="G2735" s="4">
        <v>7.4297286048650705E-5</v>
      </c>
      <c r="H2735" s="10" t="s">
        <v>5483</v>
      </c>
      <c r="I2735" s="10" t="s">
        <v>18</v>
      </c>
    </row>
    <row r="2736" spans="1:9" x14ac:dyDescent="0.2">
      <c r="A2736" s="10" t="s">
        <v>5484</v>
      </c>
      <c r="B2736" s="10">
        <v>9.0650319214351605</v>
      </c>
      <c r="C2736" s="10">
        <v>6.5758720895497902</v>
      </c>
      <c r="D2736" s="10">
        <v>1.7925554902224099</v>
      </c>
      <c r="E2736" s="10">
        <v>3.6684343248609199</v>
      </c>
      <c r="F2736" s="10">
        <v>2.4404036266015099E-4</v>
      </c>
      <c r="G2736" s="10">
        <v>1.2675081018485501E-3</v>
      </c>
      <c r="H2736" s="10" t="s">
        <v>5485</v>
      </c>
      <c r="I2736" s="10" t="s">
        <v>18</v>
      </c>
    </row>
    <row r="2737" spans="1:9" x14ac:dyDescent="0.2">
      <c r="A2737" s="10" t="s">
        <v>5486</v>
      </c>
      <c r="B2737" s="10">
        <v>5177.1608342111604</v>
      </c>
      <c r="C2737" s="10">
        <v>-1.1443863744981499</v>
      </c>
      <c r="D2737" s="10">
        <v>0.19008758384533</v>
      </c>
      <c r="E2737" s="10">
        <v>-6.0203110132080599</v>
      </c>
      <c r="F2737" s="4">
        <v>1.74082252245533E-9</v>
      </c>
      <c r="G2737" s="4">
        <v>2.2836875912056101E-8</v>
      </c>
      <c r="H2737" s="10" t="s">
        <v>5487</v>
      </c>
      <c r="I2737" s="10" t="s">
        <v>18</v>
      </c>
    </row>
    <row r="2738" spans="1:9" x14ac:dyDescent="0.2">
      <c r="A2738" s="10" t="s">
        <v>5488</v>
      </c>
      <c r="B2738" s="10">
        <v>125.849473910954</v>
      </c>
      <c r="C2738" s="10">
        <v>3.3367647879695599</v>
      </c>
      <c r="D2738" s="10">
        <v>0.39466256384465398</v>
      </c>
      <c r="E2738" s="10">
        <v>8.4547284025726892</v>
      </c>
      <c r="F2738" s="4">
        <v>2.7973771162731098E-17</v>
      </c>
      <c r="G2738" s="4">
        <v>8.5544482926030896E-16</v>
      </c>
      <c r="H2738" s="10" t="s">
        <v>5489</v>
      </c>
      <c r="I2738" s="10" t="s">
        <v>18</v>
      </c>
    </row>
    <row r="2739" spans="1:9" x14ac:dyDescent="0.2">
      <c r="A2739" s="10" t="s">
        <v>5490</v>
      </c>
      <c r="B2739" s="10">
        <v>1440.8021284134099</v>
      </c>
      <c r="C2739" s="10">
        <v>2.5190450803796098</v>
      </c>
      <c r="D2739" s="10">
        <v>0.20273010436069799</v>
      </c>
      <c r="E2739" s="10">
        <v>12.425609350536901</v>
      </c>
      <c r="F2739" s="4">
        <v>1.8977485910454501E-35</v>
      </c>
      <c r="G2739" s="4">
        <v>2.0277629749103999E-33</v>
      </c>
      <c r="H2739" s="10" t="s">
        <v>5491</v>
      </c>
      <c r="I2739" s="10" t="s">
        <v>18</v>
      </c>
    </row>
    <row r="2740" spans="1:9" x14ac:dyDescent="0.2">
      <c r="A2740" s="10" t="s">
        <v>5492</v>
      </c>
      <c r="B2740" s="10">
        <v>43.706143407794102</v>
      </c>
      <c r="C2740" s="10">
        <v>3.7075764361264998</v>
      </c>
      <c r="D2740" s="10">
        <v>0.65361885137114195</v>
      </c>
      <c r="E2740" s="10">
        <v>5.6723829619492303</v>
      </c>
      <c r="F2740" s="4">
        <v>1.408247281828E-8</v>
      </c>
      <c r="G2740" s="4">
        <v>1.6411682501269201E-7</v>
      </c>
      <c r="H2740" s="10" t="s">
        <v>5493</v>
      </c>
      <c r="I2740" s="10" t="s">
        <v>18</v>
      </c>
    </row>
    <row r="2741" spans="1:9" x14ac:dyDescent="0.2">
      <c r="A2741" s="10" t="s">
        <v>5494</v>
      </c>
      <c r="B2741" s="10">
        <v>614.887739378471</v>
      </c>
      <c r="C2741" s="10">
        <v>1.35705304217719</v>
      </c>
      <c r="D2741" s="10">
        <v>0.21393070625344399</v>
      </c>
      <c r="E2741" s="10">
        <v>6.3434233726573499</v>
      </c>
      <c r="F2741" s="4">
        <v>2.2471476810780501E-10</v>
      </c>
      <c r="G2741" s="4">
        <v>3.3060492908387501E-9</v>
      </c>
      <c r="H2741" s="10" t="s">
        <v>5495</v>
      </c>
      <c r="I2741" s="10" t="s">
        <v>18</v>
      </c>
    </row>
    <row r="2742" spans="1:9" x14ac:dyDescent="0.2">
      <c r="A2742" s="10" t="s">
        <v>5496</v>
      </c>
      <c r="B2742" s="10">
        <v>69.131245583737694</v>
      </c>
      <c r="C2742" s="10">
        <v>-2.9191815893866</v>
      </c>
      <c r="D2742" s="10">
        <v>0.47960605049182797</v>
      </c>
      <c r="E2742" s="10">
        <v>-6.0866237746438401</v>
      </c>
      <c r="F2742" s="4">
        <v>1.15316515485518E-9</v>
      </c>
      <c r="G2742" s="4">
        <v>1.5562303602941601E-8</v>
      </c>
      <c r="H2742" s="10" t="s">
        <v>5497</v>
      </c>
      <c r="I2742" s="10" t="s">
        <v>18</v>
      </c>
    </row>
    <row r="2743" spans="1:9" x14ac:dyDescent="0.2">
      <c r="A2743" s="10" t="s">
        <v>5498</v>
      </c>
      <c r="B2743" s="10">
        <v>25515.894061745799</v>
      </c>
      <c r="C2743" s="10">
        <v>-1.56308327445455</v>
      </c>
      <c r="D2743" s="10">
        <v>0.24117074461872201</v>
      </c>
      <c r="E2743" s="10">
        <v>-6.4812308678886303</v>
      </c>
      <c r="F2743" s="4">
        <v>9.0977335607530102E-11</v>
      </c>
      <c r="G2743" s="4">
        <v>1.42463187545884E-9</v>
      </c>
      <c r="H2743" s="10" t="s">
        <v>5499</v>
      </c>
      <c r="I2743" s="10" t="s">
        <v>18</v>
      </c>
    </row>
    <row r="2744" spans="1:9" x14ac:dyDescent="0.2">
      <c r="A2744" s="10" t="s">
        <v>5500</v>
      </c>
      <c r="B2744" s="10">
        <v>16240.3324455611</v>
      </c>
      <c r="C2744" s="10">
        <v>-1.2003702928931901</v>
      </c>
      <c r="D2744" s="10">
        <v>0.23767328802536</v>
      </c>
      <c r="E2744" s="10">
        <v>-5.0505056873076697</v>
      </c>
      <c r="F2744" s="4">
        <v>4.40641991046397E-7</v>
      </c>
      <c r="G2744" s="4">
        <v>4.0194751690797399E-6</v>
      </c>
      <c r="H2744" s="10" t="s">
        <v>5501</v>
      </c>
      <c r="I2744" s="10" t="s">
        <v>18</v>
      </c>
    </row>
    <row r="2745" spans="1:9" x14ac:dyDescent="0.2">
      <c r="A2745" s="10" t="s">
        <v>5502</v>
      </c>
      <c r="B2745" s="10">
        <v>13.2493642954688</v>
      </c>
      <c r="C2745" s="10">
        <v>2.9021979056347398</v>
      </c>
      <c r="D2745" s="10">
        <v>1.1295561914630301</v>
      </c>
      <c r="E2745" s="10">
        <v>2.5693258357300102</v>
      </c>
      <c r="F2745" s="10">
        <v>1.01896597536352E-2</v>
      </c>
      <c r="G2745" s="10">
        <v>3.2324794423949102E-2</v>
      </c>
      <c r="H2745" s="10" t="s">
        <v>5503</v>
      </c>
      <c r="I2745" s="10" t="s">
        <v>18</v>
      </c>
    </row>
    <row r="2746" spans="1:9" x14ac:dyDescent="0.2">
      <c r="A2746" s="10" t="s">
        <v>5504</v>
      </c>
      <c r="B2746" s="10">
        <v>36.004722768955901</v>
      </c>
      <c r="C2746" s="10">
        <v>2.7608619687545999</v>
      </c>
      <c r="D2746" s="10">
        <v>0.64437911064823905</v>
      </c>
      <c r="E2746" s="10">
        <v>4.2845305242393703</v>
      </c>
      <c r="F2746" s="4">
        <v>1.8312546690231401E-5</v>
      </c>
      <c r="G2746" s="10">
        <v>1.22504777723725E-4</v>
      </c>
      <c r="H2746" s="10" t="s">
        <v>5505</v>
      </c>
      <c r="I2746" s="10" t="s">
        <v>18</v>
      </c>
    </row>
    <row r="2747" spans="1:9" x14ac:dyDescent="0.2">
      <c r="A2747" s="10" t="s">
        <v>5506</v>
      </c>
      <c r="B2747" s="10">
        <v>1414.07535568506</v>
      </c>
      <c r="C2747" s="10">
        <v>-1.3148360147817399</v>
      </c>
      <c r="D2747" s="10">
        <v>0.22562156954149301</v>
      </c>
      <c r="E2747" s="10">
        <v>-5.8276166478841001</v>
      </c>
      <c r="F2747" s="4">
        <v>5.6224549179094397E-9</v>
      </c>
      <c r="G2747" s="4">
        <v>6.9100148465619501E-8</v>
      </c>
      <c r="H2747" s="10" t="s">
        <v>5507</v>
      </c>
      <c r="I2747" s="10" t="s">
        <v>18</v>
      </c>
    </row>
    <row r="2748" spans="1:9" x14ac:dyDescent="0.2">
      <c r="A2748" s="10" t="s">
        <v>5508</v>
      </c>
      <c r="B2748" s="10">
        <v>17.1099379700109</v>
      </c>
      <c r="C2748" s="10">
        <v>2.1802173883461999</v>
      </c>
      <c r="D2748" s="10">
        <v>0.85616442093682799</v>
      </c>
      <c r="E2748" s="10">
        <v>2.5464937984231701</v>
      </c>
      <c r="F2748" s="10">
        <v>1.0881114492554101E-2</v>
      </c>
      <c r="G2748" s="10">
        <v>3.4172167655442801E-2</v>
      </c>
      <c r="H2748" s="10" t="s">
        <v>5509</v>
      </c>
      <c r="I2748" s="10" t="s">
        <v>18</v>
      </c>
    </row>
    <row r="2749" spans="1:9" x14ac:dyDescent="0.2">
      <c r="A2749" s="10" t="s">
        <v>5510</v>
      </c>
      <c r="B2749" s="10">
        <v>110.648862388034</v>
      </c>
      <c r="C2749" s="10">
        <v>1.4136389452052001</v>
      </c>
      <c r="D2749" s="10">
        <v>0.357498038515495</v>
      </c>
      <c r="E2749" s="10">
        <v>3.95425650746312</v>
      </c>
      <c r="F2749" s="4">
        <v>7.6773011421660497E-5</v>
      </c>
      <c r="G2749" s="10">
        <v>4.51800052312308E-4</v>
      </c>
      <c r="H2749" s="10" t="s">
        <v>5511</v>
      </c>
      <c r="I2749" s="10" t="s">
        <v>18</v>
      </c>
    </row>
    <row r="2750" spans="1:9" x14ac:dyDescent="0.2">
      <c r="A2750" s="10" t="s">
        <v>5512</v>
      </c>
      <c r="B2750" s="10">
        <v>4.5506350131209503</v>
      </c>
      <c r="C2750" s="10">
        <v>5.5810926405007502</v>
      </c>
      <c r="D2750" s="10">
        <v>2.0811975347712699</v>
      </c>
      <c r="E2750" s="10">
        <v>2.6816736745337999</v>
      </c>
      <c r="F2750" s="10">
        <v>7.3254878825888504E-3</v>
      </c>
      <c r="G2750" s="10">
        <v>2.4457489074488199E-2</v>
      </c>
      <c r="H2750" s="10" t="s">
        <v>5513</v>
      </c>
      <c r="I2750" s="10" t="s">
        <v>18</v>
      </c>
    </row>
    <row r="2751" spans="1:9" x14ac:dyDescent="0.2">
      <c r="A2751" s="10" t="s">
        <v>5514</v>
      </c>
      <c r="B2751" s="10">
        <v>162.63657744367501</v>
      </c>
      <c r="C2751" s="10">
        <v>-1.3890845202495901</v>
      </c>
      <c r="D2751" s="10">
        <v>0.30899787555277503</v>
      </c>
      <c r="E2751" s="10">
        <v>-4.4954500666537403</v>
      </c>
      <c r="F2751" s="4">
        <v>6.9422948894947096E-6</v>
      </c>
      <c r="G2751" s="4">
        <v>5.0834912349922697E-5</v>
      </c>
      <c r="H2751" s="10" t="s">
        <v>5515</v>
      </c>
      <c r="I2751" s="10" t="s">
        <v>18</v>
      </c>
    </row>
    <row r="2752" spans="1:9" x14ac:dyDescent="0.2">
      <c r="A2752" s="10" t="s">
        <v>5516</v>
      </c>
      <c r="B2752" s="10">
        <v>160.95678903164301</v>
      </c>
      <c r="C2752" s="10">
        <v>-3.3881940234200898</v>
      </c>
      <c r="D2752" s="10">
        <v>0.35651343299242899</v>
      </c>
      <c r="E2752" s="10">
        <v>-9.5036924555155302</v>
      </c>
      <c r="F2752" s="4">
        <v>2.02576873956763E-21</v>
      </c>
      <c r="G2752" s="4">
        <v>8.8172717007985902E-20</v>
      </c>
      <c r="H2752" s="10" t="s">
        <v>5517</v>
      </c>
      <c r="I2752" s="10" t="s">
        <v>18</v>
      </c>
    </row>
    <row r="2753" spans="1:9" x14ac:dyDescent="0.2">
      <c r="A2753" s="10" t="s">
        <v>5518</v>
      </c>
      <c r="B2753" s="10">
        <v>1596.7233097984699</v>
      </c>
      <c r="C2753" s="10">
        <v>1.2895725803214699</v>
      </c>
      <c r="D2753" s="10">
        <v>0.185725157363652</v>
      </c>
      <c r="E2753" s="10">
        <v>6.9434458886819801</v>
      </c>
      <c r="F2753" s="4">
        <v>3.8264922017912304E-12</v>
      </c>
      <c r="G2753" s="4">
        <v>7.0406120522192001E-11</v>
      </c>
      <c r="H2753" s="10" t="s">
        <v>5519</v>
      </c>
      <c r="I2753" s="10" t="s">
        <v>18</v>
      </c>
    </row>
    <row r="2754" spans="1:9" x14ac:dyDescent="0.2">
      <c r="A2754" s="10" t="s">
        <v>5520</v>
      </c>
      <c r="B2754" s="10">
        <v>2347.3275467794301</v>
      </c>
      <c r="C2754" s="10">
        <v>2.03707420679457</v>
      </c>
      <c r="D2754" s="10">
        <v>0.195361800396018</v>
      </c>
      <c r="E2754" s="10">
        <v>10.4271879285777</v>
      </c>
      <c r="F2754" s="4">
        <v>1.86320917004838E-25</v>
      </c>
      <c r="G2754" s="4">
        <v>1.08476197128864E-23</v>
      </c>
      <c r="H2754" s="10" t="s">
        <v>5521</v>
      </c>
      <c r="I2754" s="10" t="s">
        <v>18</v>
      </c>
    </row>
    <row r="2755" spans="1:9" x14ac:dyDescent="0.2">
      <c r="A2755" s="10" t="s">
        <v>5522</v>
      </c>
      <c r="B2755" s="10">
        <v>17.1817370070967</v>
      </c>
      <c r="C2755" s="10">
        <v>6.0321295240479298</v>
      </c>
      <c r="D2755" s="10">
        <v>1.62894636461581</v>
      </c>
      <c r="E2755" s="10">
        <v>3.7030866424325901</v>
      </c>
      <c r="F2755" s="10">
        <v>2.1299209865656299E-4</v>
      </c>
      <c r="G2755" s="10">
        <v>1.12845539532986E-3</v>
      </c>
      <c r="H2755" s="10" t="s">
        <v>5523</v>
      </c>
      <c r="I2755" s="10" t="s">
        <v>18</v>
      </c>
    </row>
    <row r="2756" spans="1:9" x14ac:dyDescent="0.2">
      <c r="A2756" s="10" t="s">
        <v>5524</v>
      </c>
      <c r="B2756" s="10">
        <v>7005.2481224681896</v>
      </c>
      <c r="C2756" s="10">
        <v>2.4944894397759101</v>
      </c>
      <c r="D2756" s="10">
        <v>0.188643469967093</v>
      </c>
      <c r="E2756" s="10">
        <v>13.223301290052801</v>
      </c>
      <c r="F2756" s="4">
        <v>6.4375233257322597E-40</v>
      </c>
      <c r="G2756" s="4">
        <v>8.7701599028113501E-38</v>
      </c>
      <c r="H2756" s="10" t="s">
        <v>5525</v>
      </c>
      <c r="I2756" s="10" t="s">
        <v>18</v>
      </c>
    </row>
    <row r="2757" spans="1:9" x14ac:dyDescent="0.2">
      <c r="A2757" s="10" t="s">
        <v>5526</v>
      </c>
      <c r="B2757" s="10">
        <v>2238.6945415407899</v>
      </c>
      <c r="C2757" s="10">
        <v>-1.0504341888174</v>
      </c>
      <c r="D2757" s="10">
        <v>0.17890252589988601</v>
      </c>
      <c r="E2757" s="10">
        <v>-5.8715447617839498</v>
      </c>
      <c r="F2757" s="4">
        <v>4.3175298305027599E-9</v>
      </c>
      <c r="G2757" s="4">
        <v>5.40127342937138E-8</v>
      </c>
      <c r="H2757" s="10" t="s">
        <v>5527</v>
      </c>
      <c r="I2757" s="10" t="s">
        <v>18</v>
      </c>
    </row>
    <row r="2758" spans="1:9" x14ac:dyDescent="0.2">
      <c r="A2758" s="10" t="s">
        <v>5528</v>
      </c>
      <c r="B2758" s="10">
        <v>137.53378507201799</v>
      </c>
      <c r="C2758" s="10">
        <v>-1.97874486417838</v>
      </c>
      <c r="D2758" s="10">
        <v>0.33855819544417298</v>
      </c>
      <c r="E2758" s="10">
        <v>-5.8446225517664896</v>
      </c>
      <c r="F2758" s="4">
        <v>5.0771814725032001E-9</v>
      </c>
      <c r="G2758" s="4">
        <v>6.2966756295536901E-8</v>
      </c>
      <c r="H2758" s="10" t="s">
        <v>5529</v>
      </c>
      <c r="I2758" s="10" t="s">
        <v>18</v>
      </c>
    </row>
    <row r="2759" spans="1:9" x14ac:dyDescent="0.2">
      <c r="A2759" s="10" t="s">
        <v>5530</v>
      </c>
      <c r="B2759" s="10">
        <v>25.153462313284599</v>
      </c>
      <c r="C2759" s="10">
        <v>1.7753376355661299</v>
      </c>
      <c r="D2759" s="10">
        <v>0.70702476706464801</v>
      </c>
      <c r="E2759" s="10">
        <v>2.5109978013030401</v>
      </c>
      <c r="F2759" s="10">
        <v>1.20390446810681E-2</v>
      </c>
      <c r="G2759" s="10">
        <v>3.7124021098354797E-2</v>
      </c>
      <c r="H2759" s="10" t="s">
        <v>5531</v>
      </c>
      <c r="I2759" s="10" t="s">
        <v>18</v>
      </c>
    </row>
    <row r="2760" spans="1:9" x14ac:dyDescent="0.2">
      <c r="A2760" s="10" t="s">
        <v>5532</v>
      </c>
      <c r="B2760" s="10">
        <v>6.6434269994238004</v>
      </c>
      <c r="C2760" s="10">
        <v>4.6375533349174596</v>
      </c>
      <c r="D2760" s="10">
        <v>1.9097940022045501</v>
      </c>
      <c r="E2760" s="10">
        <v>2.4283002928923998</v>
      </c>
      <c r="F2760" s="10">
        <v>1.51697770785527E-2</v>
      </c>
      <c r="G2760" s="10">
        <v>4.4961483308966099E-2</v>
      </c>
      <c r="H2760" s="10" t="s">
        <v>5533</v>
      </c>
      <c r="I2760" s="10" t="s">
        <v>18</v>
      </c>
    </row>
    <row r="2761" spans="1:9" x14ac:dyDescent="0.2">
      <c r="A2761" s="10" t="s">
        <v>5534</v>
      </c>
      <c r="B2761" s="10">
        <v>673.31824086447295</v>
      </c>
      <c r="C2761" s="10">
        <v>-1.2459047477726899</v>
      </c>
      <c r="D2761" s="10">
        <v>0.26356842457443402</v>
      </c>
      <c r="E2761" s="10">
        <v>-4.7270637588108997</v>
      </c>
      <c r="F2761" s="4">
        <v>2.2778975595682401E-6</v>
      </c>
      <c r="G2761" s="4">
        <v>1.8319325503410801E-5</v>
      </c>
      <c r="H2761" s="10" t="s">
        <v>5535</v>
      </c>
      <c r="I2761" s="10" t="s">
        <v>18</v>
      </c>
    </row>
    <row r="2762" spans="1:9" x14ac:dyDescent="0.2">
      <c r="A2762" s="10" t="s">
        <v>5536</v>
      </c>
      <c r="B2762" s="10">
        <v>180.63447881371101</v>
      </c>
      <c r="C2762" s="10">
        <v>1.14955882469774</v>
      </c>
      <c r="D2762" s="10">
        <v>0.31349976405470698</v>
      </c>
      <c r="E2762" s="10">
        <v>3.6668570649933301</v>
      </c>
      <c r="F2762" s="10">
        <v>2.45549958298387E-4</v>
      </c>
      <c r="G2762" s="10">
        <v>1.2741382048669101E-3</v>
      </c>
      <c r="H2762" s="10" t="s">
        <v>5537</v>
      </c>
      <c r="I2762" s="10" t="s">
        <v>18</v>
      </c>
    </row>
    <row r="2763" spans="1:9" x14ac:dyDescent="0.2">
      <c r="A2763" s="10" t="s">
        <v>5538</v>
      </c>
      <c r="B2763" s="10">
        <v>25131.9762698056</v>
      </c>
      <c r="C2763" s="10">
        <v>-1.1069916479067501</v>
      </c>
      <c r="D2763" s="10">
        <v>0.16659407684635499</v>
      </c>
      <c r="E2763" s="10">
        <v>-6.64484397562161</v>
      </c>
      <c r="F2763" s="4">
        <v>3.03538440406378E-11</v>
      </c>
      <c r="G2763" s="4">
        <v>5.0770484258763599E-10</v>
      </c>
      <c r="H2763" s="10" t="s">
        <v>5539</v>
      </c>
      <c r="I2763" s="10" t="s">
        <v>18</v>
      </c>
    </row>
    <row r="2764" spans="1:9" x14ac:dyDescent="0.2">
      <c r="A2764" s="10" t="s">
        <v>5540</v>
      </c>
      <c r="B2764" s="10">
        <v>538.67779208960405</v>
      </c>
      <c r="C2764" s="10">
        <v>-3.1253623872813501</v>
      </c>
      <c r="D2764" s="10">
        <v>0.25323187417211401</v>
      </c>
      <c r="E2764" s="10">
        <v>-12.3418996818589</v>
      </c>
      <c r="F2764" s="4">
        <v>5.3869667248435804E-35</v>
      </c>
      <c r="G2764" s="4">
        <v>5.6022397844203499E-33</v>
      </c>
      <c r="H2764" s="10" t="s">
        <v>5541</v>
      </c>
      <c r="I2764" s="10" t="s">
        <v>18</v>
      </c>
    </row>
    <row r="2765" spans="1:9" x14ac:dyDescent="0.2">
      <c r="A2765" s="10" t="s">
        <v>5542</v>
      </c>
      <c r="B2765" s="10">
        <v>133.06667314812299</v>
      </c>
      <c r="C2765" s="10">
        <v>-1.9989633674235801</v>
      </c>
      <c r="D2765" s="10">
        <v>0.34767736854276099</v>
      </c>
      <c r="E2765" s="10">
        <v>-5.7494779594137402</v>
      </c>
      <c r="F2765" s="4">
        <v>8.9519421469911192E-9</v>
      </c>
      <c r="G2765" s="4">
        <v>1.06979634946959E-7</v>
      </c>
      <c r="H2765" s="10" t="s">
        <v>5543</v>
      </c>
      <c r="I2765" s="10" t="s">
        <v>18</v>
      </c>
    </row>
    <row r="2766" spans="1:9" x14ac:dyDescent="0.2">
      <c r="A2766" s="10" t="s">
        <v>5544</v>
      </c>
      <c r="B2766" s="10">
        <v>1475.4418071498901</v>
      </c>
      <c r="C2766" s="10">
        <v>-1.4465887385581599</v>
      </c>
      <c r="D2766" s="10">
        <v>0.20381232227080701</v>
      </c>
      <c r="E2766" s="10">
        <v>-7.0976510273803299</v>
      </c>
      <c r="F2766" s="4">
        <v>1.26895106126132E-12</v>
      </c>
      <c r="G2766" s="4">
        <v>2.4820609882403E-11</v>
      </c>
      <c r="H2766" s="10" t="s">
        <v>5545</v>
      </c>
      <c r="I2766" s="10" t="s">
        <v>18</v>
      </c>
    </row>
    <row r="2767" spans="1:9" x14ac:dyDescent="0.2">
      <c r="A2767" s="10" t="s">
        <v>5546</v>
      </c>
      <c r="B2767" s="10">
        <v>12.862004195510099</v>
      </c>
      <c r="C2767" s="10">
        <v>-4.1367519121924303</v>
      </c>
      <c r="D2767" s="10">
        <v>1.2574306301434299</v>
      </c>
      <c r="E2767" s="10">
        <v>-3.28984503242186</v>
      </c>
      <c r="F2767" s="10">
        <v>1.0024257374539401E-3</v>
      </c>
      <c r="G2767" s="10">
        <v>4.4289109888775097E-3</v>
      </c>
      <c r="H2767" s="10" t="s">
        <v>5547</v>
      </c>
      <c r="I2767" s="10" t="s">
        <v>18</v>
      </c>
    </row>
    <row r="2768" spans="1:9" x14ac:dyDescent="0.2">
      <c r="A2768" s="10" t="s">
        <v>5548</v>
      </c>
      <c r="B2768" s="10">
        <v>1508.6787737160701</v>
      </c>
      <c r="C2768" s="10">
        <v>1.0434922919546501</v>
      </c>
      <c r="D2768" s="10">
        <v>0.19675343027036099</v>
      </c>
      <c r="E2768" s="10">
        <v>5.3035532367632898</v>
      </c>
      <c r="F2768" s="4">
        <v>1.13570063078215E-7</v>
      </c>
      <c r="G2768" s="4">
        <v>1.14397172225218E-6</v>
      </c>
      <c r="H2768" s="10" t="s">
        <v>5549</v>
      </c>
      <c r="I2768" s="10" t="s">
        <v>18</v>
      </c>
    </row>
    <row r="2769" spans="1:9" x14ac:dyDescent="0.2">
      <c r="A2769" s="10" t="s">
        <v>5550</v>
      </c>
      <c r="B2769" s="10">
        <v>217.157357794121</v>
      </c>
      <c r="C2769" s="10">
        <v>5.2144803763733201</v>
      </c>
      <c r="D2769" s="10">
        <v>0.42898987266854999</v>
      </c>
      <c r="E2769" s="10">
        <v>12.1552528593191</v>
      </c>
      <c r="F2769" s="4">
        <v>5.3795087057765299E-34</v>
      </c>
      <c r="G2769" s="4">
        <v>5.3107055690685905E-32</v>
      </c>
      <c r="H2769" s="10" t="s">
        <v>5551</v>
      </c>
      <c r="I2769" s="10" t="s">
        <v>18</v>
      </c>
    </row>
    <row r="2770" spans="1:9" x14ac:dyDescent="0.2">
      <c r="A2770" s="10" t="s">
        <v>5552</v>
      </c>
      <c r="B2770" s="10">
        <v>894.73739415773503</v>
      </c>
      <c r="C2770" s="10">
        <v>2.1341556122863699</v>
      </c>
      <c r="D2770" s="10">
        <v>0.22996352874180701</v>
      </c>
      <c r="E2770" s="10">
        <v>9.2804090455687298</v>
      </c>
      <c r="F2770" s="4">
        <v>1.6882916136509201E-20</v>
      </c>
      <c r="G2770" s="4">
        <v>6.84536928528966E-19</v>
      </c>
      <c r="H2770" s="10" t="s">
        <v>5553</v>
      </c>
      <c r="I2770" s="10" t="s">
        <v>18</v>
      </c>
    </row>
    <row r="2771" spans="1:9" x14ac:dyDescent="0.2">
      <c r="A2771" s="10" t="s">
        <v>5554</v>
      </c>
      <c r="B2771" s="10">
        <v>50.299142845359299</v>
      </c>
      <c r="C2771" s="10">
        <v>3.2982344260213301</v>
      </c>
      <c r="D2771" s="10">
        <v>0.57323156235820205</v>
      </c>
      <c r="E2771" s="10">
        <v>5.7537557988831001</v>
      </c>
      <c r="F2771" s="4">
        <v>8.7282213865806306E-9</v>
      </c>
      <c r="G2771" s="4">
        <v>1.0448938845349799E-7</v>
      </c>
      <c r="H2771" s="10" t="s">
        <v>5555</v>
      </c>
      <c r="I2771" s="10" t="s">
        <v>18</v>
      </c>
    </row>
    <row r="2772" spans="1:9" x14ac:dyDescent="0.2">
      <c r="A2772" s="10" t="s">
        <v>5556</v>
      </c>
      <c r="B2772" s="10">
        <v>68.597594103426005</v>
      </c>
      <c r="C2772" s="10">
        <v>-1.50377150826505</v>
      </c>
      <c r="D2772" s="10">
        <v>0.47133785199570399</v>
      </c>
      <c r="E2772" s="10">
        <v>-3.1904323022178001</v>
      </c>
      <c r="F2772" s="10">
        <v>1.42060118919962E-3</v>
      </c>
      <c r="G2772" s="10">
        <v>6.0020345173084199E-3</v>
      </c>
      <c r="H2772" s="10" t="s">
        <v>5557</v>
      </c>
      <c r="I2772" s="10" t="s">
        <v>18</v>
      </c>
    </row>
    <row r="2773" spans="1:9" x14ac:dyDescent="0.2">
      <c r="A2773" s="10" t="s">
        <v>5558</v>
      </c>
      <c r="B2773" s="10">
        <v>3404.1161178564598</v>
      </c>
      <c r="C2773" s="10">
        <v>1.35431559866633</v>
      </c>
      <c r="D2773" s="10">
        <v>0.18703003005969401</v>
      </c>
      <c r="E2773" s="10">
        <v>7.24116655616253</v>
      </c>
      <c r="F2773" s="4">
        <v>4.4484169446619601E-13</v>
      </c>
      <c r="G2773" s="4">
        <v>9.2382634520735005E-12</v>
      </c>
      <c r="H2773" s="10" t="s">
        <v>5559</v>
      </c>
      <c r="I2773" s="10" t="s">
        <v>18</v>
      </c>
    </row>
    <row r="2774" spans="1:9" x14ac:dyDescent="0.2">
      <c r="A2774" s="10" t="s">
        <v>5560</v>
      </c>
      <c r="B2774" s="10">
        <v>56.111431168004501</v>
      </c>
      <c r="C2774" s="10">
        <v>-2.9477613820388999</v>
      </c>
      <c r="D2774" s="10">
        <v>0.52527210884280295</v>
      </c>
      <c r="E2774" s="10">
        <v>-5.6118749357032103</v>
      </c>
      <c r="F2774" s="4">
        <v>2.0014607305277799E-8</v>
      </c>
      <c r="G2774" s="4">
        <v>2.2865325167585099E-7</v>
      </c>
      <c r="H2774" s="10" t="s">
        <v>5561</v>
      </c>
      <c r="I2774" s="10" t="s">
        <v>18</v>
      </c>
    </row>
    <row r="2775" spans="1:9" x14ac:dyDescent="0.2">
      <c r="A2775" s="10" t="s">
        <v>5562</v>
      </c>
      <c r="B2775" s="10">
        <v>1634.4319359108199</v>
      </c>
      <c r="C2775" s="10">
        <v>4.77435589723658</v>
      </c>
      <c r="D2775" s="10">
        <v>0.22283310295502401</v>
      </c>
      <c r="E2775" s="10">
        <v>21.4257030662102</v>
      </c>
      <c r="F2775" s="4">
        <v>7.6964123334300697E-102</v>
      </c>
      <c r="G2775" s="4">
        <v>9.1175716021290906E-99</v>
      </c>
      <c r="H2775" s="10" t="s">
        <v>5563</v>
      </c>
      <c r="I2775" s="10" t="s">
        <v>18</v>
      </c>
    </row>
    <row r="2776" spans="1:9" x14ac:dyDescent="0.2">
      <c r="A2776" s="10" t="s">
        <v>5564</v>
      </c>
      <c r="B2776" s="10">
        <v>172.74498981143299</v>
      </c>
      <c r="C2776" s="10">
        <v>-1.9946957787131701</v>
      </c>
      <c r="D2776" s="10">
        <v>0.341395919006446</v>
      </c>
      <c r="E2776" s="10">
        <v>-5.8427639806540901</v>
      </c>
      <c r="F2776" s="4">
        <v>5.1341735196254396E-9</v>
      </c>
      <c r="G2776" s="4">
        <v>6.3586739040561104E-8</v>
      </c>
      <c r="H2776" s="10" t="s">
        <v>5565</v>
      </c>
      <c r="I2776" s="10" t="s">
        <v>18</v>
      </c>
    </row>
    <row r="2777" spans="1:9" x14ac:dyDescent="0.2">
      <c r="A2777" s="10" t="s">
        <v>5566</v>
      </c>
      <c r="B2777" s="10">
        <v>975.40757426167397</v>
      </c>
      <c r="C2777" s="10">
        <v>1.7726823320518701</v>
      </c>
      <c r="D2777" s="10">
        <v>0.21276149818354601</v>
      </c>
      <c r="E2777" s="10">
        <v>8.3317815825991506</v>
      </c>
      <c r="F2777" s="4">
        <v>7.9634766237434103E-17</v>
      </c>
      <c r="G2777" s="4">
        <v>2.3533714486674301E-15</v>
      </c>
      <c r="H2777" s="10" t="s">
        <v>5567</v>
      </c>
      <c r="I2777" s="10" t="s">
        <v>18</v>
      </c>
    </row>
    <row r="2778" spans="1:9" x14ac:dyDescent="0.2">
      <c r="A2778" s="10" t="s">
        <v>5568</v>
      </c>
      <c r="B2778" s="10">
        <v>1528.5452560014701</v>
      </c>
      <c r="C2778" s="10">
        <v>4.0764141992851801</v>
      </c>
      <c r="D2778" s="10">
        <v>0.20806236528414701</v>
      </c>
      <c r="E2778" s="10">
        <v>19.592270777649201</v>
      </c>
      <c r="F2778" s="4">
        <v>1.7998096612273101E-85</v>
      </c>
      <c r="G2778" s="4">
        <v>1.4011261096988699E-82</v>
      </c>
      <c r="H2778" s="10" t="s">
        <v>5569</v>
      </c>
      <c r="I2778" s="10" t="s">
        <v>18</v>
      </c>
    </row>
    <row r="2779" spans="1:9" x14ac:dyDescent="0.2">
      <c r="A2779" s="10" t="s">
        <v>5570</v>
      </c>
      <c r="B2779" s="10">
        <v>44.186862584771298</v>
      </c>
      <c r="C2779" s="10">
        <v>1.6662842056476601</v>
      </c>
      <c r="D2779" s="10">
        <v>0.54073134801406597</v>
      </c>
      <c r="E2779" s="10">
        <v>3.0815380165536701</v>
      </c>
      <c r="F2779" s="10">
        <v>2.0593417792647501E-3</v>
      </c>
      <c r="G2779" s="10">
        <v>8.2661881938165295E-3</v>
      </c>
      <c r="H2779" s="10" t="s">
        <v>5571</v>
      </c>
      <c r="I2779" s="10" t="s">
        <v>18</v>
      </c>
    </row>
    <row r="2780" spans="1:9" x14ac:dyDescent="0.2">
      <c r="A2780" s="10" t="s">
        <v>5572</v>
      </c>
      <c r="B2780" s="10">
        <v>1194.77692041251</v>
      </c>
      <c r="C2780" s="10">
        <v>-1.0996553151811701</v>
      </c>
      <c r="D2780" s="10">
        <v>0.19934216839729499</v>
      </c>
      <c r="E2780" s="10">
        <v>-5.5164209560995596</v>
      </c>
      <c r="F2780" s="4">
        <v>3.45972988562868E-8</v>
      </c>
      <c r="G2780" s="4">
        <v>3.8041670780357098E-7</v>
      </c>
      <c r="H2780" s="10" t="s">
        <v>5573</v>
      </c>
      <c r="I2780" s="10" t="s">
        <v>18</v>
      </c>
    </row>
    <row r="2781" spans="1:9" x14ac:dyDescent="0.2">
      <c r="A2781" s="10" t="s">
        <v>5574</v>
      </c>
      <c r="B2781" s="10">
        <v>635.62431339938701</v>
      </c>
      <c r="C2781" s="10">
        <v>-1.3925396851828</v>
      </c>
      <c r="D2781" s="10">
        <v>0.229800079074195</v>
      </c>
      <c r="E2781" s="10">
        <v>-6.0597876675803901</v>
      </c>
      <c r="F2781" s="4">
        <v>1.3630135591916799E-9</v>
      </c>
      <c r="G2781" s="4">
        <v>1.82227823588301E-8</v>
      </c>
      <c r="H2781" s="10" t="s">
        <v>5575</v>
      </c>
      <c r="I2781" s="10" t="s">
        <v>18</v>
      </c>
    </row>
    <row r="2782" spans="1:9" x14ac:dyDescent="0.2">
      <c r="A2782" s="10" t="s">
        <v>5576</v>
      </c>
      <c r="B2782" s="10">
        <v>229.36146391598299</v>
      </c>
      <c r="C2782" s="10">
        <v>-1.0236013637878101</v>
      </c>
      <c r="D2782" s="10">
        <v>0.27521896223236803</v>
      </c>
      <c r="E2782" s="10">
        <v>-3.7192254323071801</v>
      </c>
      <c r="F2782" s="10">
        <v>1.9983464188484399E-4</v>
      </c>
      <c r="G2782" s="10">
        <v>1.06595428493272E-3</v>
      </c>
      <c r="H2782" s="10" t="s">
        <v>5577</v>
      </c>
      <c r="I2782" s="10" t="s">
        <v>18</v>
      </c>
    </row>
    <row r="2783" spans="1:9" x14ac:dyDescent="0.2">
      <c r="A2783" s="10" t="s">
        <v>5578</v>
      </c>
      <c r="B2783" s="10">
        <v>7532.2459536653396</v>
      </c>
      <c r="C2783" s="10">
        <v>-1.6888990139384299</v>
      </c>
      <c r="D2783" s="10">
        <v>0.174654015050763</v>
      </c>
      <c r="E2783" s="10">
        <v>-9.66996958785945</v>
      </c>
      <c r="F2783" s="4">
        <v>4.0449826517488198E-22</v>
      </c>
      <c r="G2783" s="4">
        <v>1.8399606396026699E-20</v>
      </c>
      <c r="H2783" s="10" t="s">
        <v>5579</v>
      </c>
      <c r="I2783" s="10" t="s">
        <v>18</v>
      </c>
    </row>
    <row r="2784" spans="1:9" x14ac:dyDescent="0.2">
      <c r="A2784" s="10" t="s">
        <v>5580</v>
      </c>
      <c r="B2784" s="10">
        <v>523.82241224762595</v>
      </c>
      <c r="C2784" s="10">
        <v>-2.3856724607798498</v>
      </c>
      <c r="D2784" s="10">
        <v>0.30006928636525798</v>
      </c>
      <c r="E2784" s="10">
        <v>-7.9504053536352304</v>
      </c>
      <c r="F2784" s="4">
        <v>1.85902222637834E-15</v>
      </c>
      <c r="G2784" s="4">
        <v>4.8471558470938302E-14</v>
      </c>
      <c r="H2784" s="10" t="s">
        <v>5581</v>
      </c>
      <c r="I2784" s="10" t="s">
        <v>18</v>
      </c>
    </row>
    <row r="2785" spans="1:9" x14ac:dyDescent="0.2">
      <c r="A2785" s="10" t="s">
        <v>5582</v>
      </c>
      <c r="B2785" s="10">
        <v>3447.9655562581902</v>
      </c>
      <c r="C2785" s="10">
        <v>-1.18190883460389</v>
      </c>
      <c r="D2785" s="10">
        <v>0.20911747259639099</v>
      </c>
      <c r="E2785" s="10">
        <v>-5.65188943768963</v>
      </c>
      <c r="F2785" s="4">
        <v>1.58693659562633E-8</v>
      </c>
      <c r="G2785" s="4">
        <v>1.8352827428281201E-7</v>
      </c>
      <c r="H2785" s="10" t="s">
        <v>5583</v>
      </c>
      <c r="I2785" s="10" t="s">
        <v>18</v>
      </c>
    </row>
    <row r="2786" spans="1:9" x14ac:dyDescent="0.2">
      <c r="A2786" s="10" t="s">
        <v>5584</v>
      </c>
      <c r="B2786" s="10">
        <v>6312.5145227335097</v>
      </c>
      <c r="C2786" s="10">
        <v>-1.0022836274079301</v>
      </c>
      <c r="D2786" s="10">
        <v>0.17155634056800101</v>
      </c>
      <c r="E2786" s="10">
        <v>-5.8423001102116103</v>
      </c>
      <c r="F2786" s="4">
        <v>5.1484946263803098E-9</v>
      </c>
      <c r="G2786" s="4">
        <v>6.3735135431614805E-8</v>
      </c>
      <c r="H2786" s="10" t="s">
        <v>5585</v>
      </c>
      <c r="I2786" s="10" t="s">
        <v>18</v>
      </c>
    </row>
    <row r="2787" spans="1:9" x14ac:dyDescent="0.2">
      <c r="A2787" s="10" t="s">
        <v>5586</v>
      </c>
      <c r="B2787" s="10">
        <v>77.823654208760104</v>
      </c>
      <c r="C2787" s="10">
        <v>-2.1939974165369902</v>
      </c>
      <c r="D2787" s="10">
        <v>0.43346731111390102</v>
      </c>
      <c r="E2787" s="10">
        <v>-5.0615060473625402</v>
      </c>
      <c r="F2787" s="4">
        <v>4.1595754357474299E-7</v>
      </c>
      <c r="G2787" s="4">
        <v>3.8096118284978199E-6</v>
      </c>
      <c r="H2787" s="10" t="s">
        <v>5587</v>
      </c>
      <c r="I2787" s="10" t="s">
        <v>18</v>
      </c>
    </row>
    <row r="2788" spans="1:9" x14ac:dyDescent="0.2">
      <c r="A2788" s="10" t="s">
        <v>5588</v>
      </c>
      <c r="B2788" s="10">
        <v>2739.7478368072898</v>
      </c>
      <c r="C2788" s="10">
        <v>3.8620112640813602</v>
      </c>
      <c r="D2788" s="10">
        <v>0.222994046602248</v>
      </c>
      <c r="E2788" s="10">
        <v>17.318898521851501</v>
      </c>
      <c r="F2788" s="4">
        <v>3.3878041094613401E-67</v>
      </c>
      <c r="G2788" s="4">
        <v>1.24739862933099E-64</v>
      </c>
      <c r="H2788" s="10" t="s">
        <v>5589</v>
      </c>
      <c r="I2788" s="10" t="s">
        <v>18</v>
      </c>
    </row>
    <row r="2789" spans="1:9" x14ac:dyDescent="0.2">
      <c r="A2789" s="10" t="s">
        <v>5590</v>
      </c>
      <c r="B2789" s="10">
        <v>627.85239803839897</v>
      </c>
      <c r="C2789" s="10">
        <v>-1.2234292604883801</v>
      </c>
      <c r="D2789" s="10">
        <v>0.216685439946045</v>
      </c>
      <c r="E2789" s="10">
        <v>-5.6461073747872303</v>
      </c>
      <c r="F2789" s="4">
        <v>1.64121364511059E-8</v>
      </c>
      <c r="G2789" s="4">
        <v>1.8932323534431999E-7</v>
      </c>
      <c r="H2789" s="10" t="s">
        <v>5591</v>
      </c>
      <c r="I2789" s="10" t="s">
        <v>18</v>
      </c>
    </row>
    <row r="2790" spans="1:9" x14ac:dyDescent="0.2">
      <c r="A2790" s="10" t="s">
        <v>5592</v>
      </c>
      <c r="B2790" s="10">
        <v>61.716464699118099</v>
      </c>
      <c r="C2790" s="10">
        <v>-1.3992709139636199</v>
      </c>
      <c r="D2790" s="10">
        <v>0.46065716598650802</v>
      </c>
      <c r="E2790" s="10">
        <v>-3.0375537759562401</v>
      </c>
      <c r="F2790" s="10">
        <v>2.3850684443012401E-3</v>
      </c>
      <c r="G2790" s="10">
        <v>9.3696671284480403E-3</v>
      </c>
      <c r="H2790" s="10" t="s">
        <v>5593</v>
      </c>
      <c r="I2790" s="10" t="s">
        <v>18</v>
      </c>
    </row>
    <row r="2791" spans="1:9" x14ac:dyDescent="0.2">
      <c r="A2791" s="10" t="s">
        <v>5594</v>
      </c>
      <c r="B2791" s="10">
        <v>53.003974284536802</v>
      </c>
      <c r="C2791" s="10">
        <v>3.13186638109865</v>
      </c>
      <c r="D2791" s="10">
        <v>0.55152988363306898</v>
      </c>
      <c r="E2791" s="10">
        <v>5.6785071381232104</v>
      </c>
      <c r="F2791" s="4">
        <v>1.35875364304888E-8</v>
      </c>
      <c r="G2791" s="4">
        <v>1.5882436942150499E-7</v>
      </c>
      <c r="H2791" s="10" t="s">
        <v>5595</v>
      </c>
      <c r="I2791" s="10" t="s">
        <v>18</v>
      </c>
    </row>
    <row r="2792" spans="1:9" x14ac:dyDescent="0.2">
      <c r="A2792" s="10" t="s">
        <v>5596</v>
      </c>
      <c r="B2792" s="10">
        <v>6084.7864286761796</v>
      </c>
      <c r="C2792" s="10">
        <v>-2.0950891190256198</v>
      </c>
      <c r="D2792" s="10">
        <v>0.19295614612383799</v>
      </c>
      <c r="E2792" s="10">
        <v>-10.857851180760001</v>
      </c>
      <c r="F2792" s="4">
        <v>1.8300478130147399E-27</v>
      </c>
      <c r="G2792" s="4">
        <v>1.2044278444737299E-25</v>
      </c>
      <c r="H2792" s="10" t="s">
        <v>5597</v>
      </c>
      <c r="I2792" s="10" t="s">
        <v>18</v>
      </c>
    </row>
    <row r="2793" spans="1:9" x14ac:dyDescent="0.2">
      <c r="A2793" s="10" t="s">
        <v>5598</v>
      </c>
      <c r="B2793" s="10">
        <v>103.34045645897299</v>
      </c>
      <c r="C2793" s="10">
        <v>-1.5009713778287901</v>
      </c>
      <c r="D2793" s="10">
        <v>0.38129163136225203</v>
      </c>
      <c r="E2793" s="10">
        <v>-3.9365442468963301</v>
      </c>
      <c r="F2793" s="4">
        <v>8.2663384530922706E-5</v>
      </c>
      <c r="G2793" s="10">
        <v>4.8281441335778201E-4</v>
      </c>
      <c r="H2793" s="10" t="s">
        <v>5599</v>
      </c>
      <c r="I2793" s="10" t="s">
        <v>18</v>
      </c>
    </row>
    <row r="2794" spans="1:9" x14ac:dyDescent="0.2">
      <c r="A2794" s="10" t="s">
        <v>5600</v>
      </c>
      <c r="B2794" s="10">
        <v>386.18314216724099</v>
      </c>
      <c r="C2794" s="10">
        <v>-3.7156164100708602</v>
      </c>
      <c r="D2794" s="10">
        <v>0.27281706369122</v>
      </c>
      <c r="E2794" s="10">
        <v>-13.6194428596162</v>
      </c>
      <c r="F2794" s="4">
        <v>3.0690004033376503E-42</v>
      </c>
      <c r="G2794" s="4">
        <v>4.7243533327537197E-40</v>
      </c>
      <c r="H2794" s="10" t="s">
        <v>5601</v>
      </c>
      <c r="I2794" s="10" t="s">
        <v>18</v>
      </c>
    </row>
    <row r="2795" spans="1:9" x14ac:dyDescent="0.2">
      <c r="A2795" s="10" t="s">
        <v>5602</v>
      </c>
      <c r="B2795" s="10">
        <v>5046.4025698187697</v>
      </c>
      <c r="C2795" s="10">
        <v>-1.3318826277976701</v>
      </c>
      <c r="D2795" s="10">
        <v>0.18434200783486701</v>
      </c>
      <c r="E2795" s="10">
        <v>-7.2250630414678296</v>
      </c>
      <c r="F2795" s="4">
        <v>5.0086943291641597E-13</v>
      </c>
      <c r="G2795" s="4">
        <v>1.03466182249231E-11</v>
      </c>
      <c r="H2795" s="10" t="s">
        <v>5603</v>
      </c>
      <c r="I2795" s="10" t="s">
        <v>18</v>
      </c>
    </row>
    <row r="2796" spans="1:9" x14ac:dyDescent="0.2">
      <c r="A2796" s="10" t="s">
        <v>5604</v>
      </c>
      <c r="B2796" s="10">
        <v>408.27927743392002</v>
      </c>
      <c r="C2796" s="10">
        <v>-1.6476876938915399</v>
      </c>
      <c r="D2796" s="10">
        <v>0.246030968149168</v>
      </c>
      <c r="E2796" s="10">
        <v>-6.6970743816792604</v>
      </c>
      <c r="F2796" s="4">
        <v>2.1263340705875001E-11</v>
      </c>
      <c r="G2796" s="4">
        <v>3.6124657419794997E-10</v>
      </c>
      <c r="H2796" s="10" t="s">
        <v>5605</v>
      </c>
      <c r="I2796" s="10" t="s">
        <v>18</v>
      </c>
    </row>
    <row r="2797" spans="1:9" x14ac:dyDescent="0.2">
      <c r="A2797" s="10" t="s">
        <v>5606</v>
      </c>
      <c r="B2797" s="10">
        <v>637.84129541184404</v>
      </c>
      <c r="C2797" s="10">
        <v>-1.86275559949391</v>
      </c>
      <c r="D2797" s="10">
        <v>0.21774568629511101</v>
      </c>
      <c r="E2797" s="10">
        <v>-8.5547302047091502</v>
      </c>
      <c r="F2797" s="4">
        <v>1.1814472573741E-17</v>
      </c>
      <c r="G2797" s="4">
        <v>3.7257978497305702E-16</v>
      </c>
      <c r="H2797" s="10" t="s">
        <v>5607</v>
      </c>
      <c r="I2797" s="10" t="s">
        <v>18</v>
      </c>
    </row>
    <row r="2798" spans="1:9" x14ac:dyDescent="0.2">
      <c r="A2798" s="10" t="s">
        <v>5608</v>
      </c>
      <c r="B2798" s="10">
        <v>57.960767837805797</v>
      </c>
      <c r="C2798" s="10">
        <v>-1.27669875703131</v>
      </c>
      <c r="D2798" s="10">
        <v>0.46712489122926198</v>
      </c>
      <c r="E2798" s="10">
        <v>-2.7330993937651602</v>
      </c>
      <c r="F2798" s="10">
        <v>6.2741395596464002E-3</v>
      </c>
      <c r="G2798" s="10">
        <v>2.1516863509337399E-2</v>
      </c>
      <c r="H2798" s="10" t="s">
        <v>5609</v>
      </c>
      <c r="I2798" s="10" t="s">
        <v>18</v>
      </c>
    </row>
    <row r="2799" spans="1:9" x14ac:dyDescent="0.2">
      <c r="A2799" s="10" t="s">
        <v>5610</v>
      </c>
      <c r="B2799" s="10">
        <v>63.516629171449601</v>
      </c>
      <c r="C2799" s="10">
        <v>2.12288756405618</v>
      </c>
      <c r="D2799" s="10">
        <v>0.47321385585500803</v>
      </c>
      <c r="E2799" s="10">
        <v>4.4861060972539004</v>
      </c>
      <c r="F2799" s="4">
        <v>7.2536631075372897E-6</v>
      </c>
      <c r="G2799" s="4">
        <v>5.2859202645378102E-5</v>
      </c>
      <c r="H2799" s="10" t="s">
        <v>5611</v>
      </c>
      <c r="I2799" s="10" t="s">
        <v>18</v>
      </c>
    </row>
    <row r="2800" spans="1:9" x14ac:dyDescent="0.2">
      <c r="A2800" s="10" t="s">
        <v>5612</v>
      </c>
      <c r="B2800" s="10">
        <v>395.32842215730898</v>
      </c>
      <c r="C2800" s="10">
        <v>1.37336126554452</v>
      </c>
      <c r="D2800" s="10">
        <v>0.24218897125984901</v>
      </c>
      <c r="E2800" s="10">
        <v>5.6706185190861396</v>
      </c>
      <c r="F2800" s="4">
        <v>1.42282899310927E-8</v>
      </c>
      <c r="G2800" s="4">
        <v>1.6560368037269699E-7</v>
      </c>
      <c r="H2800" s="10" t="s">
        <v>5613</v>
      </c>
      <c r="I2800" s="10" t="s">
        <v>18</v>
      </c>
    </row>
    <row r="2801" spans="1:9" x14ac:dyDescent="0.2">
      <c r="A2801" s="10" t="s">
        <v>5614</v>
      </c>
      <c r="B2801" s="10">
        <v>3452.2230730405499</v>
      </c>
      <c r="C2801" s="10">
        <v>-1.41618750983649</v>
      </c>
      <c r="D2801" s="10">
        <v>0.219724630771992</v>
      </c>
      <c r="E2801" s="10">
        <v>-6.4452833751991196</v>
      </c>
      <c r="F2801" s="4">
        <v>1.1538462337947999E-10</v>
      </c>
      <c r="G2801" s="4">
        <v>1.78022923738431E-9</v>
      </c>
      <c r="H2801" s="10" t="s">
        <v>5615</v>
      </c>
      <c r="I2801" s="10" t="s">
        <v>18</v>
      </c>
    </row>
    <row r="2802" spans="1:9" x14ac:dyDescent="0.2">
      <c r="A2802" s="10" t="s">
        <v>5616</v>
      </c>
      <c r="B2802" s="10">
        <v>84.954794463364905</v>
      </c>
      <c r="C2802" s="10">
        <v>-2.1916658189415501</v>
      </c>
      <c r="D2802" s="10">
        <v>0.421100695485978</v>
      </c>
      <c r="E2802" s="10">
        <v>-5.2046122042430403</v>
      </c>
      <c r="F2802" s="4">
        <v>1.9440213627042399E-7</v>
      </c>
      <c r="G2802" s="4">
        <v>1.8823294267804699E-6</v>
      </c>
      <c r="H2802" s="10" t="s">
        <v>5617</v>
      </c>
      <c r="I2802" s="10" t="s">
        <v>18</v>
      </c>
    </row>
    <row r="2803" spans="1:9" x14ac:dyDescent="0.2">
      <c r="A2803" s="10" t="s">
        <v>5618</v>
      </c>
      <c r="B2803" s="10">
        <v>384.91994412292701</v>
      </c>
      <c r="C2803" s="10">
        <v>-1.5567737241847599</v>
      </c>
      <c r="D2803" s="10">
        <v>0.28034016087871699</v>
      </c>
      <c r="E2803" s="10">
        <v>-5.55315984447288</v>
      </c>
      <c r="F2803" s="4">
        <v>2.80551311472811E-8</v>
      </c>
      <c r="G2803" s="4">
        <v>3.1354313304756701E-7</v>
      </c>
      <c r="H2803" s="10" t="s">
        <v>5619</v>
      </c>
      <c r="I2803" s="10" t="s">
        <v>18</v>
      </c>
    </row>
    <row r="2804" spans="1:9" x14ac:dyDescent="0.2">
      <c r="A2804" s="10" t="s">
        <v>5620</v>
      </c>
      <c r="B2804" s="10">
        <v>42.107430992693402</v>
      </c>
      <c r="C2804" s="10">
        <v>1.3812160681560399</v>
      </c>
      <c r="D2804" s="10">
        <v>0.57337818412555397</v>
      </c>
      <c r="E2804" s="10">
        <v>2.4089093488314401</v>
      </c>
      <c r="F2804" s="10">
        <v>1.6000271672436499E-2</v>
      </c>
      <c r="G2804" s="10">
        <v>4.6993575752816499E-2</v>
      </c>
      <c r="H2804" s="10" t="s">
        <v>5621</v>
      </c>
      <c r="I2804" s="10" t="s">
        <v>18</v>
      </c>
    </row>
    <row r="2805" spans="1:9" x14ac:dyDescent="0.2">
      <c r="A2805" s="10" t="s">
        <v>5622</v>
      </c>
      <c r="B2805" s="10">
        <v>463.95889995630102</v>
      </c>
      <c r="C2805" s="10">
        <v>-1.5757976876391599</v>
      </c>
      <c r="D2805" s="10">
        <v>0.23904818301896799</v>
      </c>
      <c r="E2805" s="10">
        <v>-6.5919668066003503</v>
      </c>
      <c r="F2805" s="4">
        <v>4.3403765161567297E-11</v>
      </c>
      <c r="G2805" s="4">
        <v>7.0943154730487297E-10</v>
      </c>
      <c r="H2805" s="10" t="s">
        <v>5623</v>
      </c>
      <c r="I2805" s="10" t="s">
        <v>18</v>
      </c>
    </row>
    <row r="2806" spans="1:9" x14ac:dyDescent="0.2">
      <c r="A2806" s="10" t="s">
        <v>5624</v>
      </c>
      <c r="B2806" s="10">
        <v>7.7179614027349297</v>
      </c>
      <c r="C2806" s="10">
        <v>3.7895806290272098</v>
      </c>
      <c r="D2806" s="10">
        <v>1.5322983534133601</v>
      </c>
      <c r="E2806" s="10">
        <v>2.4731349613379798</v>
      </c>
      <c r="F2806" s="10">
        <v>1.3393355314734E-2</v>
      </c>
      <c r="G2806" s="10">
        <v>4.0628896933929702E-2</v>
      </c>
      <c r="H2806" s="10" t="s">
        <v>5625</v>
      </c>
      <c r="I2806" s="10" t="s">
        <v>18</v>
      </c>
    </row>
    <row r="2807" spans="1:9" x14ac:dyDescent="0.2">
      <c r="A2807" s="10" t="s">
        <v>5626</v>
      </c>
      <c r="B2807" s="10">
        <v>98.637761798286704</v>
      </c>
      <c r="C2807" s="10">
        <v>2.8667203002744501</v>
      </c>
      <c r="D2807" s="10">
        <v>0.42287000470340402</v>
      </c>
      <c r="E2807" s="10">
        <v>6.7791999157876699</v>
      </c>
      <c r="F2807" s="4">
        <v>1.20843216208138E-11</v>
      </c>
      <c r="G2807" s="4">
        <v>2.1120045619134999E-10</v>
      </c>
      <c r="H2807" s="10" t="s">
        <v>5627</v>
      </c>
      <c r="I2807" s="10" t="s">
        <v>18</v>
      </c>
    </row>
    <row r="2808" spans="1:9" x14ac:dyDescent="0.2">
      <c r="A2808" s="10" t="s">
        <v>5628</v>
      </c>
      <c r="B2808" s="10">
        <v>3525.3164154665801</v>
      </c>
      <c r="C2808" s="10">
        <v>-2.4822783160489599</v>
      </c>
      <c r="D2808" s="10">
        <v>0.17839894876833201</v>
      </c>
      <c r="E2808" s="10">
        <v>-13.9141981115171</v>
      </c>
      <c r="F2808" s="4">
        <v>5.1939180195686201E-44</v>
      </c>
      <c r="G2808" s="4">
        <v>8.3246284870109601E-42</v>
      </c>
      <c r="H2808" s="10" t="s">
        <v>5629</v>
      </c>
      <c r="I2808" s="10" t="s">
        <v>18</v>
      </c>
    </row>
    <row r="2809" spans="1:9" x14ac:dyDescent="0.2">
      <c r="A2809" s="10" t="s">
        <v>5630</v>
      </c>
      <c r="B2809" s="10">
        <v>11.6651573750324</v>
      </c>
      <c r="C2809" s="10">
        <v>5.4648771151596902</v>
      </c>
      <c r="D2809" s="10">
        <v>1.7189860743440799</v>
      </c>
      <c r="E2809" s="10">
        <v>3.1791282062857502</v>
      </c>
      <c r="F2809" s="10">
        <v>1.4771873871165101E-3</v>
      </c>
      <c r="G2809" s="10">
        <v>6.1997727567411499E-3</v>
      </c>
      <c r="H2809" s="10" t="s">
        <v>5631</v>
      </c>
      <c r="I2809" s="10" t="s">
        <v>18</v>
      </c>
    </row>
    <row r="2810" spans="1:9" x14ac:dyDescent="0.2">
      <c r="A2810" s="10" t="s">
        <v>5632</v>
      </c>
      <c r="B2810" s="10">
        <v>3.8168555458674298</v>
      </c>
      <c r="C2810" s="10">
        <v>5.3279350919035302</v>
      </c>
      <c r="D2810" s="10">
        <v>2.1809774924298599</v>
      </c>
      <c r="E2810" s="10">
        <v>2.4429115432858599</v>
      </c>
      <c r="F2810" s="10">
        <v>1.4569307781241599E-2</v>
      </c>
      <c r="G2810" s="10">
        <v>4.3474967595607303E-2</v>
      </c>
      <c r="H2810" s="10" t="s">
        <v>5633</v>
      </c>
      <c r="I2810" s="10" t="s">
        <v>18</v>
      </c>
    </row>
    <row r="2811" spans="1:9" x14ac:dyDescent="0.2">
      <c r="A2811" s="10" t="s">
        <v>5634</v>
      </c>
      <c r="B2811" s="10">
        <v>4807.7887381989003</v>
      </c>
      <c r="C2811" s="10">
        <v>-2.0535440104309899</v>
      </c>
      <c r="D2811" s="10">
        <v>0.187449981395616</v>
      </c>
      <c r="E2811" s="10">
        <v>-10.9551571845555</v>
      </c>
      <c r="F2811" s="4">
        <v>6.2769301339028202E-28</v>
      </c>
      <c r="G2811" s="4">
        <v>4.2021502545073699E-26</v>
      </c>
      <c r="H2811" s="10" t="s">
        <v>5635</v>
      </c>
      <c r="I2811" s="10" t="s">
        <v>18</v>
      </c>
    </row>
    <row r="2812" spans="1:9" x14ac:dyDescent="0.2">
      <c r="A2812" s="10" t="s">
        <v>5636</v>
      </c>
      <c r="B2812" s="10">
        <v>8.5126108771778792</v>
      </c>
      <c r="C2812" s="10">
        <v>5.0026516998485802</v>
      </c>
      <c r="D2812" s="10">
        <v>1.7926380640027699</v>
      </c>
      <c r="E2812" s="10">
        <v>2.79066466360654</v>
      </c>
      <c r="F2812" s="10">
        <v>5.2599937132664504E-3</v>
      </c>
      <c r="G2812" s="10">
        <v>1.8511889525364401E-2</v>
      </c>
      <c r="H2812" s="10" t="s">
        <v>5637</v>
      </c>
      <c r="I2812" s="10" t="s">
        <v>18</v>
      </c>
    </row>
    <row r="2813" spans="1:9" x14ac:dyDescent="0.2">
      <c r="A2813" s="10" t="s">
        <v>5638</v>
      </c>
      <c r="B2813" s="10">
        <v>13.766928940221501</v>
      </c>
      <c r="C2813" s="10">
        <v>2.72729378051742</v>
      </c>
      <c r="D2813" s="10">
        <v>0.99434200448433196</v>
      </c>
      <c r="E2813" s="10">
        <v>2.7428126019193999</v>
      </c>
      <c r="F2813" s="10">
        <v>6.0915438328857201E-3</v>
      </c>
      <c r="G2813" s="10">
        <v>2.0969841416883999E-2</v>
      </c>
      <c r="H2813" s="10" t="s">
        <v>5639</v>
      </c>
      <c r="I2813" s="10" t="s">
        <v>18</v>
      </c>
    </row>
    <row r="2814" spans="1:9" x14ac:dyDescent="0.2">
      <c r="A2814" s="10" t="s">
        <v>5640</v>
      </c>
      <c r="B2814" s="10">
        <v>34488.736242155399</v>
      </c>
      <c r="C2814" s="10">
        <v>2.2907012430272502</v>
      </c>
      <c r="D2814" s="10">
        <v>0.18023801398324901</v>
      </c>
      <c r="E2814" s="10">
        <v>12.7093124940899</v>
      </c>
      <c r="F2814" s="4">
        <v>5.2493913958531803E-37</v>
      </c>
      <c r="G2814" s="4">
        <v>6.1917821369182501E-35</v>
      </c>
      <c r="H2814" s="10" t="s">
        <v>5641</v>
      </c>
      <c r="I2814" s="10" t="s">
        <v>18</v>
      </c>
    </row>
    <row r="2815" spans="1:9" x14ac:dyDescent="0.2">
      <c r="A2815" s="10" t="s">
        <v>5642</v>
      </c>
      <c r="B2815" s="10">
        <v>9.0738002324488392</v>
      </c>
      <c r="C2815" s="10">
        <v>4.0369325716009703</v>
      </c>
      <c r="D2815" s="10">
        <v>1.48884492657651</v>
      </c>
      <c r="E2815" s="10">
        <v>2.7114526835804198</v>
      </c>
      <c r="F2815" s="10">
        <v>6.6989101171090002E-3</v>
      </c>
      <c r="G2815" s="10">
        <v>2.27181004052751E-2</v>
      </c>
      <c r="H2815" s="10" t="s">
        <v>5643</v>
      </c>
      <c r="I2815" s="10" t="s">
        <v>18</v>
      </c>
    </row>
    <row r="2816" spans="1:9" x14ac:dyDescent="0.2">
      <c r="A2816" s="10" t="s">
        <v>5644</v>
      </c>
      <c r="B2816" s="10">
        <v>612.35559974073794</v>
      </c>
      <c r="C2816" s="10">
        <v>-1.1031064577824801</v>
      </c>
      <c r="D2816" s="10">
        <v>0.21632120602011901</v>
      </c>
      <c r="E2816" s="10">
        <v>-5.0993912158564996</v>
      </c>
      <c r="F2816" s="4">
        <v>3.4074763429655801E-7</v>
      </c>
      <c r="G2816" s="4">
        <v>3.1622448200539199E-6</v>
      </c>
      <c r="H2816" s="10" t="s">
        <v>5645</v>
      </c>
      <c r="I2816" s="10" t="s">
        <v>18</v>
      </c>
    </row>
    <row r="2817" spans="1:9" x14ac:dyDescent="0.2">
      <c r="A2817" s="10" t="s">
        <v>5646</v>
      </c>
      <c r="B2817" s="10">
        <v>10.532634224852201</v>
      </c>
      <c r="C2817" s="10">
        <v>4.27386840473911</v>
      </c>
      <c r="D2817" s="10">
        <v>1.4155831052264101</v>
      </c>
      <c r="E2817" s="10">
        <v>3.01915753936292</v>
      </c>
      <c r="F2817" s="10">
        <v>2.5347868531175599E-3</v>
      </c>
      <c r="G2817" s="10">
        <v>9.8848343190058897E-3</v>
      </c>
      <c r="H2817" s="10" t="s">
        <v>5647</v>
      </c>
      <c r="I2817" s="10" t="s">
        <v>18</v>
      </c>
    </row>
    <row r="2818" spans="1:9" x14ac:dyDescent="0.2">
      <c r="A2818" s="10" t="s">
        <v>5648</v>
      </c>
      <c r="B2818" s="10">
        <v>31.341100043806499</v>
      </c>
      <c r="C2818" s="10">
        <v>8.3652314369437804</v>
      </c>
      <c r="D2818" s="10">
        <v>1.5590662489785601</v>
      </c>
      <c r="E2818" s="10">
        <v>5.3655394326086796</v>
      </c>
      <c r="F2818" s="4">
        <v>8.0707644796084699E-8</v>
      </c>
      <c r="G2818" s="4">
        <v>8.3202466808888399E-7</v>
      </c>
      <c r="H2818" s="10" t="s">
        <v>5649</v>
      </c>
      <c r="I2818" s="10" t="s">
        <v>18</v>
      </c>
    </row>
    <row r="2819" spans="1:9" x14ac:dyDescent="0.2">
      <c r="A2819" s="10" t="s">
        <v>5650</v>
      </c>
      <c r="B2819" s="10">
        <v>7.0086459389015801</v>
      </c>
      <c r="C2819" s="10">
        <v>6.2030126340395801</v>
      </c>
      <c r="D2819" s="10">
        <v>1.8887047567333499</v>
      </c>
      <c r="E2819" s="10">
        <v>3.28426802120631</v>
      </c>
      <c r="F2819" s="10">
        <v>1.02247634261809E-3</v>
      </c>
      <c r="G2819" s="10">
        <v>4.5056187300167401E-3</v>
      </c>
      <c r="H2819" s="10" t="s">
        <v>5651</v>
      </c>
      <c r="I2819" s="10" t="s">
        <v>18</v>
      </c>
    </row>
    <row r="2820" spans="1:9" x14ac:dyDescent="0.2">
      <c r="A2820" s="10" t="s">
        <v>5652</v>
      </c>
      <c r="B2820" s="10">
        <v>3299.1995927969101</v>
      </c>
      <c r="C2820" s="10">
        <v>1.01639906287774</v>
      </c>
      <c r="D2820" s="10">
        <v>0.184401906534578</v>
      </c>
      <c r="E2820" s="10">
        <v>5.5118685157799696</v>
      </c>
      <c r="F2820" s="4">
        <v>3.55044120256753E-8</v>
      </c>
      <c r="G2820" s="4">
        <v>3.8876810334310801E-7</v>
      </c>
      <c r="H2820" s="10" t="s">
        <v>5653</v>
      </c>
      <c r="I2820" s="10" t="s">
        <v>18</v>
      </c>
    </row>
    <row r="2821" spans="1:9" x14ac:dyDescent="0.2">
      <c r="A2821" s="10" t="s">
        <v>5654</v>
      </c>
      <c r="B2821" s="10">
        <v>6.0574378428076203</v>
      </c>
      <c r="C2821" s="10">
        <v>5.9974035649027302</v>
      </c>
      <c r="D2821" s="10">
        <v>1.9478456296942701</v>
      </c>
      <c r="E2821" s="10">
        <v>3.0789932597708298</v>
      </c>
      <c r="F2821" s="10">
        <v>2.0770138080427399E-3</v>
      </c>
      <c r="G2821" s="10">
        <v>8.3285349856866107E-3</v>
      </c>
      <c r="H2821" s="10" t="s">
        <v>5655</v>
      </c>
      <c r="I2821" s="10" t="s">
        <v>18</v>
      </c>
    </row>
    <row r="2822" spans="1:9" x14ac:dyDescent="0.2">
      <c r="A2822" s="10" t="s">
        <v>5656</v>
      </c>
      <c r="B2822" s="10">
        <v>13.905907570935099</v>
      </c>
      <c r="C2822" s="10">
        <v>4.7051247240713501</v>
      </c>
      <c r="D2822" s="10">
        <v>1.33687475761528</v>
      </c>
      <c r="E2822" s="10">
        <v>3.5194955228748301</v>
      </c>
      <c r="F2822" s="10">
        <v>4.32368333466744E-4</v>
      </c>
      <c r="G2822" s="10">
        <v>2.10633648881966E-3</v>
      </c>
      <c r="H2822" s="10" t="s">
        <v>5657</v>
      </c>
      <c r="I2822" s="10" t="s">
        <v>18</v>
      </c>
    </row>
    <row r="2823" spans="1:9" x14ac:dyDescent="0.2">
      <c r="A2823" s="10" t="s">
        <v>5658</v>
      </c>
      <c r="B2823" s="10">
        <v>2457.21164332223</v>
      </c>
      <c r="C2823" s="10">
        <v>1.9340341094319899</v>
      </c>
      <c r="D2823" s="10">
        <v>0.18176258433911499</v>
      </c>
      <c r="E2823" s="10">
        <v>10.6404413012948</v>
      </c>
      <c r="F2823" s="4">
        <v>1.93212059158973E-26</v>
      </c>
      <c r="G2823" s="4">
        <v>1.1856867062848099E-24</v>
      </c>
      <c r="H2823" s="10" t="s">
        <v>5659</v>
      </c>
      <c r="I2823" s="10" t="s">
        <v>18</v>
      </c>
    </row>
    <row r="2824" spans="1:9" x14ac:dyDescent="0.2">
      <c r="A2824" s="10" t="s">
        <v>5660</v>
      </c>
      <c r="B2824" s="10">
        <v>18.930519206864101</v>
      </c>
      <c r="C2824" s="10">
        <v>4.5497149414129501</v>
      </c>
      <c r="D2824" s="10">
        <v>1.1418338665588501</v>
      </c>
      <c r="E2824" s="10">
        <v>3.98456822368078</v>
      </c>
      <c r="F2824" s="4">
        <v>6.7602933338648197E-5</v>
      </c>
      <c r="G2824" s="10">
        <v>4.0173983090035999E-4</v>
      </c>
      <c r="H2824" s="10" t="s">
        <v>5661</v>
      </c>
      <c r="I2824" s="10" t="s">
        <v>18</v>
      </c>
    </row>
    <row r="2825" spans="1:9" x14ac:dyDescent="0.2">
      <c r="A2825" s="10" t="s">
        <v>5662</v>
      </c>
      <c r="B2825" s="10">
        <v>17.360046270810098</v>
      </c>
      <c r="C2825" s="10">
        <v>7.5136803001997698</v>
      </c>
      <c r="D2825" s="10">
        <v>1.6373409754739701</v>
      </c>
      <c r="E2825" s="10">
        <v>4.5889527060939397</v>
      </c>
      <c r="F2825" s="4">
        <v>4.4547533281249901E-6</v>
      </c>
      <c r="G2825" s="4">
        <v>3.3993727186886497E-5</v>
      </c>
      <c r="H2825" s="10" t="s">
        <v>5663</v>
      </c>
      <c r="I2825" s="10" t="s">
        <v>18</v>
      </c>
    </row>
    <row r="2826" spans="1:9" x14ac:dyDescent="0.2">
      <c r="A2826" s="10" t="s">
        <v>5664</v>
      </c>
      <c r="B2826" s="10">
        <v>35.991432000228997</v>
      </c>
      <c r="C2826" s="10">
        <v>8.5627212810961595</v>
      </c>
      <c r="D2826" s="10">
        <v>1.56821714033139</v>
      </c>
      <c r="E2826" s="10">
        <v>5.4601630481393304</v>
      </c>
      <c r="F2826" s="4">
        <v>4.7569750830168E-8</v>
      </c>
      <c r="G2826" s="4">
        <v>5.1129506937656405E-7</v>
      </c>
      <c r="H2826" s="10" t="s">
        <v>5665</v>
      </c>
      <c r="I2826" s="10" t="s">
        <v>18</v>
      </c>
    </row>
    <row r="2827" spans="1:9" x14ac:dyDescent="0.2">
      <c r="A2827" s="10" t="s">
        <v>5666</v>
      </c>
      <c r="B2827" s="10">
        <v>19.117385513718499</v>
      </c>
      <c r="C2827" s="10">
        <v>6.18409325128499</v>
      </c>
      <c r="D2827" s="10">
        <v>1.6589816464518601</v>
      </c>
      <c r="E2827" s="10">
        <v>3.7276441632197601</v>
      </c>
      <c r="F2827" s="10">
        <v>1.93278005913673E-4</v>
      </c>
      <c r="G2827" s="10">
        <v>1.03320498864623E-3</v>
      </c>
      <c r="H2827" s="10" t="s">
        <v>5667</v>
      </c>
      <c r="I2827" s="10" t="s">
        <v>18</v>
      </c>
    </row>
    <row r="2828" spans="1:9" x14ac:dyDescent="0.2">
      <c r="A2828" s="10" t="s">
        <v>5668</v>
      </c>
      <c r="B2828" s="10">
        <v>1675.7478048795899</v>
      </c>
      <c r="C2828" s="10">
        <v>-1.20294380127221</v>
      </c>
      <c r="D2828" s="10">
        <v>0.18455530620228899</v>
      </c>
      <c r="E2828" s="10">
        <v>-6.51806673037989</v>
      </c>
      <c r="F2828" s="4">
        <v>7.1219310224062306E-11</v>
      </c>
      <c r="G2828" s="4">
        <v>1.13413941886325E-9</v>
      </c>
      <c r="H2828" s="10" t="s">
        <v>5669</v>
      </c>
      <c r="I2828" s="10" t="s">
        <v>18</v>
      </c>
    </row>
    <row r="2829" spans="1:9" x14ac:dyDescent="0.2">
      <c r="A2829" s="10" t="s">
        <v>5670</v>
      </c>
      <c r="B2829" s="10">
        <v>13.6911923034525</v>
      </c>
      <c r="C2829" s="10">
        <v>4.6720369161800601</v>
      </c>
      <c r="D2829" s="10">
        <v>1.3246226742628</v>
      </c>
      <c r="E2829" s="10">
        <v>3.5270700154519199</v>
      </c>
      <c r="F2829" s="10">
        <v>4.2018563438202098E-4</v>
      </c>
      <c r="G2829" s="10">
        <v>2.0569166331309602E-3</v>
      </c>
      <c r="H2829" s="10" t="s">
        <v>5671</v>
      </c>
      <c r="I2829" s="10" t="s">
        <v>18</v>
      </c>
    </row>
    <row r="2830" spans="1:9" x14ac:dyDescent="0.2">
      <c r="A2830" s="10" t="s">
        <v>5672</v>
      </c>
      <c r="B2830" s="10">
        <v>45.583695735649002</v>
      </c>
      <c r="C2830" s="10">
        <v>-1.9254302848379901</v>
      </c>
      <c r="D2830" s="10">
        <v>0.53292178484498398</v>
      </c>
      <c r="E2830" s="10">
        <v>-3.61296974451525</v>
      </c>
      <c r="F2830" s="10">
        <v>3.0271003646026198E-4</v>
      </c>
      <c r="G2830" s="10">
        <v>1.5359293041774199E-3</v>
      </c>
      <c r="H2830" s="10" t="s">
        <v>5673</v>
      </c>
      <c r="I2830" s="10" t="s">
        <v>18</v>
      </c>
    </row>
    <row r="2831" spans="1:9" x14ac:dyDescent="0.2">
      <c r="A2831" s="10" t="s">
        <v>5674</v>
      </c>
      <c r="B2831" s="10">
        <v>14.114654626581901</v>
      </c>
      <c r="C2831" s="10">
        <v>3.67272063007877</v>
      </c>
      <c r="D2831" s="10">
        <v>1.15966530680536</v>
      </c>
      <c r="E2831" s="10">
        <v>3.1670522594112498</v>
      </c>
      <c r="F2831" s="10">
        <v>1.5399264224418101E-3</v>
      </c>
      <c r="G2831" s="10">
        <v>6.4235112113092399E-3</v>
      </c>
      <c r="H2831" s="10" t="s">
        <v>5675</v>
      </c>
      <c r="I2831" s="10" t="s">
        <v>18</v>
      </c>
    </row>
    <row r="2832" spans="1:9" x14ac:dyDescent="0.2">
      <c r="A2832" s="10" t="s">
        <v>5676</v>
      </c>
      <c r="B2832" s="10">
        <v>6.2748664716480604</v>
      </c>
      <c r="C2832" s="10">
        <v>6.0436307079929099</v>
      </c>
      <c r="D2832" s="10">
        <v>1.9320769159683999</v>
      </c>
      <c r="E2832" s="10">
        <v>3.1280487117479501</v>
      </c>
      <c r="F2832" s="10">
        <v>1.7597101450729099E-3</v>
      </c>
      <c r="G2832" s="10">
        <v>7.2285274118500898E-3</v>
      </c>
      <c r="H2832" s="10" t="s">
        <v>5677</v>
      </c>
      <c r="I2832" s="10" t="s">
        <v>18</v>
      </c>
    </row>
    <row r="2833" spans="1:9" x14ac:dyDescent="0.2">
      <c r="A2833" s="10" t="s">
        <v>5678</v>
      </c>
      <c r="B2833" s="10">
        <v>3137.2761951121502</v>
      </c>
      <c r="C2833" s="10">
        <v>1.18345211047586</v>
      </c>
      <c r="D2833" s="10">
        <v>0.19422717531762199</v>
      </c>
      <c r="E2833" s="10">
        <v>6.0931335099763704</v>
      </c>
      <c r="F2833" s="4">
        <v>1.1072164316355799E-9</v>
      </c>
      <c r="G2833" s="4">
        <v>1.4957028315703898E-8</v>
      </c>
      <c r="H2833" s="10" t="s">
        <v>5679</v>
      </c>
      <c r="I2833" s="10" t="s">
        <v>18</v>
      </c>
    </row>
    <row r="2834" spans="1:9" x14ac:dyDescent="0.2">
      <c r="A2834" s="10" t="s">
        <v>5680</v>
      </c>
      <c r="B2834" s="10">
        <v>3412.8952338704298</v>
      </c>
      <c r="C2834" s="10">
        <v>1.4931365045437599</v>
      </c>
      <c r="D2834" s="10">
        <v>0.193770320513733</v>
      </c>
      <c r="E2834" s="10">
        <v>7.7057028165360304</v>
      </c>
      <c r="F2834" s="4">
        <v>1.3012513156354E-14</v>
      </c>
      <c r="G2834" s="4">
        <v>3.0965235455997999E-13</v>
      </c>
      <c r="H2834" s="10" t="s">
        <v>5681</v>
      </c>
      <c r="I2834" s="10" t="s">
        <v>18</v>
      </c>
    </row>
    <row r="2835" spans="1:9" x14ac:dyDescent="0.2">
      <c r="A2835" s="10" t="s">
        <v>5682</v>
      </c>
      <c r="B2835" s="10">
        <v>44.059001548659602</v>
      </c>
      <c r="C2835" s="10">
        <v>-1.3706283401966599</v>
      </c>
      <c r="D2835" s="10">
        <v>0.56825356327610399</v>
      </c>
      <c r="E2835" s="10">
        <v>-2.4120013120457999</v>
      </c>
      <c r="F2835" s="10">
        <v>1.5865224434742201E-2</v>
      </c>
      <c r="G2835" s="10">
        <v>4.6647218104393998E-2</v>
      </c>
      <c r="H2835" s="10" t="s">
        <v>5683</v>
      </c>
      <c r="I2835" s="10" t="s">
        <v>18</v>
      </c>
    </row>
    <row r="2836" spans="1:9" x14ac:dyDescent="0.2">
      <c r="A2836" s="10" t="s">
        <v>5684</v>
      </c>
      <c r="B2836" s="10">
        <v>2787.13380085058</v>
      </c>
      <c r="C2836" s="10">
        <v>-1.3897867969264199</v>
      </c>
      <c r="D2836" s="10">
        <v>0.18999966982430599</v>
      </c>
      <c r="E2836" s="10">
        <v>-7.31468006345255</v>
      </c>
      <c r="F2836" s="4">
        <v>2.5799533975964099E-13</v>
      </c>
      <c r="G2836" s="4">
        <v>5.4875870588844303E-12</v>
      </c>
      <c r="H2836" s="10" t="s">
        <v>5685</v>
      </c>
      <c r="I2836" s="10" t="s">
        <v>18</v>
      </c>
    </row>
    <row r="2837" spans="1:9" x14ac:dyDescent="0.2">
      <c r="A2837" s="10" t="s">
        <v>5686</v>
      </c>
      <c r="B2837" s="10">
        <v>1212.0529260025801</v>
      </c>
      <c r="C2837" s="10">
        <v>1.4039263120500201</v>
      </c>
      <c r="D2837" s="10">
        <v>0.19129905041602999</v>
      </c>
      <c r="E2837" s="10">
        <v>7.3389089438594501</v>
      </c>
      <c r="F2837" s="4">
        <v>2.1534204733162401E-13</v>
      </c>
      <c r="G2837" s="4">
        <v>4.6346167169390002E-12</v>
      </c>
      <c r="H2837" s="10" t="s">
        <v>5687</v>
      </c>
      <c r="I2837" s="10" t="s">
        <v>18</v>
      </c>
    </row>
    <row r="2838" spans="1:9" x14ac:dyDescent="0.2">
      <c r="A2838" s="10" t="s">
        <v>5688</v>
      </c>
      <c r="B2838" s="10">
        <v>10.342550859752301</v>
      </c>
      <c r="C2838" s="10">
        <v>5.2858713358382197</v>
      </c>
      <c r="D2838" s="10">
        <v>1.7667697828187801</v>
      </c>
      <c r="E2838" s="10">
        <v>2.9918280170067901</v>
      </c>
      <c r="F2838" s="10">
        <v>2.7731244162131101E-3</v>
      </c>
      <c r="G2838" s="10">
        <v>1.06903396956082E-2</v>
      </c>
      <c r="H2838" s="10" t="s">
        <v>5689</v>
      </c>
      <c r="I2838" s="10" t="s">
        <v>18</v>
      </c>
    </row>
    <row r="2839" spans="1:9" x14ac:dyDescent="0.2">
      <c r="A2839" s="10" t="s">
        <v>5690</v>
      </c>
      <c r="B2839" s="10">
        <v>102.374559241285</v>
      </c>
      <c r="C2839" s="10">
        <v>-1.2769393241907301</v>
      </c>
      <c r="D2839" s="10">
        <v>0.36753487154454401</v>
      </c>
      <c r="E2839" s="10">
        <v>-3.4743351530821101</v>
      </c>
      <c r="F2839" s="10">
        <v>5.1212092942468904E-4</v>
      </c>
      <c r="G2839" s="10">
        <v>2.44931700263902E-3</v>
      </c>
      <c r="H2839" s="10" t="s">
        <v>5691</v>
      </c>
      <c r="I2839" s="10" t="s">
        <v>18</v>
      </c>
    </row>
    <row r="2840" spans="1:9" x14ac:dyDescent="0.2">
      <c r="A2840" s="10" t="s">
        <v>5692</v>
      </c>
      <c r="B2840" s="10">
        <v>5.7615214236078902</v>
      </c>
      <c r="C2840" s="10">
        <v>5.9211747952185396</v>
      </c>
      <c r="D2840" s="10">
        <v>1.9659340584970799</v>
      </c>
      <c r="E2840" s="10">
        <v>3.01188881164467</v>
      </c>
      <c r="F2840" s="10">
        <v>2.59627675744899E-3</v>
      </c>
      <c r="G2840" s="10">
        <v>1.0090311611256401E-2</v>
      </c>
      <c r="H2840" s="10" t="s">
        <v>5693</v>
      </c>
      <c r="I2840" s="10" t="s">
        <v>18</v>
      </c>
    </row>
    <row r="2841" spans="1:9" x14ac:dyDescent="0.2">
      <c r="A2841" s="10" t="s">
        <v>5694</v>
      </c>
      <c r="B2841" s="10">
        <v>19.088047430057799</v>
      </c>
      <c r="C2841" s="10">
        <v>1.97537216101991</v>
      </c>
      <c r="D2841" s="10">
        <v>0.81864925949828105</v>
      </c>
      <c r="E2841" s="10">
        <v>2.4129651839305799</v>
      </c>
      <c r="F2841" s="10">
        <v>1.5823330983942702E-2</v>
      </c>
      <c r="G2841" s="10">
        <v>4.6558518901330399E-2</v>
      </c>
      <c r="H2841" s="10" t="s">
        <v>5695</v>
      </c>
      <c r="I2841" s="10" t="s">
        <v>18</v>
      </c>
    </row>
    <row r="2842" spans="1:9" x14ac:dyDescent="0.2">
      <c r="A2842" s="10" t="s">
        <v>5696</v>
      </c>
      <c r="B2842" s="10">
        <v>856.00351256506895</v>
      </c>
      <c r="C2842" s="10">
        <v>1.3433716957166599</v>
      </c>
      <c r="D2842" s="10">
        <v>0.21085283274178701</v>
      </c>
      <c r="E2842" s="10">
        <v>6.3711342088620002</v>
      </c>
      <c r="F2842" s="4">
        <v>1.8763535395775E-10</v>
      </c>
      <c r="G2842" s="4">
        <v>2.8059827054263502E-9</v>
      </c>
      <c r="H2842" s="10" t="s">
        <v>5697</v>
      </c>
      <c r="I2842" s="10" t="s">
        <v>18</v>
      </c>
    </row>
    <row r="2843" spans="1:9" x14ac:dyDescent="0.2">
      <c r="A2843" s="10" t="s">
        <v>5698</v>
      </c>
      <c r="B2843" s="10">
        <v>317.06557964154302</v>
      </c>
      <c r="C2843" s="10">
        <v>-1.3699855056900201</v>
      </c>
      <c r="D2843" s="10">
        <v>0.25913857459628997</v>
      </c>
      <c r="E2843" s="10">
        <v>-5.2866907515575603</v>
      </c>
      <c r="F2843" s="4">
        <v>1.2454893177973901E-7</v>
      </c>
      <c r="G2843" s="4">
        <v>1.2453521997073601E-6</v>
      </c>
      <c r="H2843" s="10" t="s">
        <v>5699</v>
      </c>
      <c r="I2843" s="10" t="s">
        <v>18</v>
      </c>
    </row>
    <row r="2844" spans="1:9" x14ac:dyDescent="0.2">
      <c r="A2844" s="10" t="s">
        <v>5700</v>
      </c>
      <c r="B2844" s="10">
        <v>86.541282881087199</v>
      </c>
      <c r="C2844" s="10">
        <v>-1.52648591890434</v>
      </c>
      <c r="D2844" s="10">
        <v>0.40467723293035501</v>
      </c>
      <c r="E2844" s="10">
        <v>-3.7721072367988802</v>
      </c>
      <c r="F2844" s="10">
        <v>1.6187465303376799E-4</v>
      </c>
      <c r="G2844" s="10">
        <v>8.8317954970185597E-4</v>
      </c>
      <c r="H2844" s="10" t="s">
        <v>5701</v>
      </c>
      <c r="I2844" s="10" t="s">
        <v>18</v>
      </c>
    </row>
    <row r="2845" spans="1:9" x14ac:dyDescent="0.2">
      <c r="A2845" s="10" t="s">
        <v>5702</v>
      </c>
      <c r="B2845" s="10">
        <v>21.388654662697199</v>
      </c>
      <c r="C2845" s="10">
        <v>5.3408768767696797</v>
      </c>
      <c r="D2845" s="10">
        <v>1.2422227485951201</v>
      </c>
      <c r="E2845" s="10">
        <v>4.2994518356791396</v>
      </c>
      <c r="F2845" s="4">
        <v>1.71221080095337E-5</v>
      </c>
      <c r="G2845" s="10">
        <v>1.15448175435725E-4</v>
      </c>
      <c r="H2845" s="10" t="s">
        <v>5703</v>
      </c>
      <c r="I2845" s="10" t="s">
        <v>18</v>
      </c>
    </row>
    <row r="2846" spans="1:9" x14ac:dyDescent="0.2">
      <c r="A2846" s="10" t="s">
        <v>5704</v>
      </c>
      <c r="B2846" s="10">
        <v>4252.8747835435297</v>
      </c>
      <c r="C2846" s="10">
        <v>-1.18974133811053</v>
      </c>
      <c r="D2846" s="10">
        <v>0.17783154044514701</v>
      </c>
      <c r="E2846" s="10">
        <v>-6.6902717883024403</v>
      </c>
      <c r="F2846" s="4">
        <v>2.2275649016516702E-11</v>
      </c>
      <c r="G2846" s="4">
        <v>3.77687995490374E-10</v>
      </c>
      <c r="H2846" s="10" t="s">
        <v>5705</v>
      </c>
      <c r="I2846" s="10" t="s">
        <v>18</v>
      </c>
    </row>
    <row r="2847" spans="1:9" x14ac:dyDescent="0.2">
      <c r="A2847" s="10" t="s">
        <v>5706</v>
      </c>
      <c r="B2847" s="10">
        <v>5127.7369266179303</v>
      </c>
      <c r="C2847" s="10">
        <v>2.0194325101987398</v>
      </c>
      <c r="D2847" s="10">
        <v>0.188404820049203</v>
      </c>
      <c r="E2847" s="10">
        <v>10.718581985701601</v>
      </c>
      <c r="F2847" s="4">
        <v>8.3270146643457896E-27</v>
      </c>
      <c r="G2847" s="4">
        <v>5.2398653246981497E-25</v>
      </c>
      <c r="H2847" s="10" t="s">
        <v>5707</v>
      </c>
      <c r="I2847" s="10" t="s">
        <v>18</v>
      </c>
    </row>
    <row r="2848" spans="1:9" x14ac:dyDescent="0.2">
      <c r="A2848" s="10" t="s">
        <v>5708</v>
      </c>
      <c r="B2848" s="10">
        <v>3010.7023287494098</v>
      </c>
      <c r="C2848" s="10">
        <v>2.0924622576842999</v>
      </c>
      <c r="D2848" s="10">
        <v>0.178316500549031</v>
      </c>
      <c r="E2848" s="10">
        <v>11.734540837452901</v>
      </c>
      <c r="F2848" s="4">
        <v>8.4785186855016197E-32</v>
      </c>
      <c r="G2848" s="4">
        <v>7.3571400835625007E-30</v>
      </c>
      <c r="H2848" s="10" t="s">
        <v>5709</v>
      </c>
      <c r="I2848" s="10" t="s">
        <v>18</v>
      </c>
    </row>
    <row r="2849" spans="1:9" x14ac:dyDescent="0.2">
      <c r="A2849" s="10" t="s">
        <v>5710</v>
      </c>
      <c r="B2849" s="10">
        <v>17.507879950357399</v>
      </c>
      <c r="C2849" s="10">
        <v>6.0572201936699797</v>
      </c>
      <c r="D2849" s="10">
        <v>1.63812134003479</v>
      </c>
      <c r="E2849" s="10">
        <v>3.6976627101026298</v>
      </c>
      <c r="F2849" s="10">
        <v>2.1759374521586301E-4</v>
      </c>
      <c r="G2849" s="10">
        <v>1.1465435652478499E-3</v>
      </c>
      <c r="H2849" s="10" t="s">
        <v>5711</v>
      </c>
      <c r="I2849" s="10" t="s">
        <v>18</v>
      </c>
    </row>
    <row r="2850" spans="1:9" x14ac:dyDescent="0.2">
      <c r="A2850" s="10" t="s">
        <v>5712</v>
      </c>
      <c r="B2850" s="10">
        <v>901.65975136204702</v>
      </c>
      <c r="C2850" s="10">
        <v>-1.2962324585618501</v>
      </c>
      <c r="D2850" s="10">
        <v>0.199705083060157</v>
      </c>
      <c r="E2850" s="10">
        <v>-6.4907334290103504</v>
      </c>
      <c r="F2850" s="4">
        <v>8.5419503442879497E-11</v>
      </c>
      <c r="G2850" s="4">
        <v>1.3422290716886601E-9</v>
      </c>
      <c r="H2850" s="10" t="s">
        <v>5713</v>
      </c>
      <c r="I2850" s="10" t="s">
        <v>18</v>
      </c>
    </row>
    <row r="2851" spans="1:9" x14ac:dyDescent="0.2">
      <c r="A2851" s="10" t="s">
        <v>5714</v>
      </c>
      <c r="B2851" s="10">
        <v>50.969117244207297</v>
      </c>
      <c r="C2851" s="10">
        <v>7.61714475486992</v>
      </c>
      <c r="D2851" s="10">
        <v>1.5156985296754399</v>
      </c>
      <c r="E2851" s="10">
        <v>5.0255011836034402</v>
      </c>
      <c r="F2851" s="4">
        <v>5.0211947028481105E-7</v>
      </c>
      <c r="G2851" s="4">
        <v>4.5362232118203797E-6</v>
      </c>
      <c r="H2851" s="10" t="s">
        <v>5715</v>
      </c>
      <c r="I2851" s="10" t="s">
        <v>18</v>
      </c>
    </row>
    <row r="2852" spans="1:9" x14ac:dyDescent="0.2">
      <c r="A2852" s="10" t="s">
        <v>5716</v>
      </c>
      <c r="B2852" s="10">
        <v>4189.5824766956803</v>
      </c>
      <c r="C2852" s="10">
        <v>-1.2886613980995201</v>
      </c>
      <c r="D2852" s="10">
        <v>0.18032828163525699</v>
      </c>
      <c r="E2852" s="10">
        <v>-7.1461968495105301</v>
      </c>
      <c r="F2852" s="4">
        <v>8.9215098778519501E-13</v>
      </c>
      <c r="G2852" s="4">
        <v>1.7795342579929101E-11</v>
      </c>
      <c r="H2852" s="10" t="s">
        <v>5717</v>
      </c>
      <c r="I2852" s="10" t="s">
        <v>18</v>
      </c>
    </row>
    <row r="2853" spans="1:9" x14ac:dyDescent="0.2">
      <c r="A2853" s="10" t="s">
        <v>5718</v>
      </c>
      <c r="B2853" s="10">
        <v>35.2614600259285</v>
      </c>
      <c r="C2853" s="10">
        <v>3.6651609711953701</v>
      </c>
      <c r="D2853" s="10">
        <v>0.72487354117146097</v>
      </c>
      <c r="E2853" s="10">
        <v>5.05627638894385</v>
      </c>
      <c r="F2853" s="4">
        <v>4.2752161516565602E-7</v>
      </c>
      <c r="G2853" s="4">
        <v>3.9076422168462303E-6</v>
      </c>
      <c r="H2853" s="10" t="s">
        <v>5719</v>
      </c>
      <c r="I2853" s="10" t="s">
        <v>18</v>
      </c>
    </row>
    <row r="2854" spans="1:9" x14ac:dyDescent="0.2">
      <c r="A2854" s="10" t="s">
        <v>5720</v>
      </c>
      <c r="B2854" s="10">
        <v>334.36862110396697</v>
      </c>
      <c r="C2854" s="10">
        <v>1.0904232906420399</v>
      </c>
      <c r="D2854" s="10">
        <v>0.25676581326354098</v>
      </c>
      <c r="E2854" s="10">
        <v>4.2467619687471698</v>
      </c>
      <c r="F2854" s="4">
        <v>2.1688216035874001E-5</v>
      </c>
      <c r="G2854" s="10">
        <v>1.4311911415099501E-4</v>
      </c>
      <c r="H2854" s="10" t="s">
        <v>5721</v>
      </c>
      <c r="I2854" s="10" t="s">
        <v>18</v>
      </c>
    </row>
    <row r="2855" spans="1:9" x14ac:dyDescent="0.2">
      <c r="A2855" s="10" t="s">
        <v>5722</v>
      </c>
      <c r="B2855" s="10">
        <v>5.0277419563543804</v>
      </c>
      <c r="C2855" s="10">
        <v>5.7249864720364698</v>
      </c>
      <c r="D2855" s="10">
        <v>2.0292551541625601</v>
      </c>
      <c r="E2855" s="10">
        <v>2.82122554193983</v>
      </c>
      <c r="F2855" s="10">
        <v>4.7840554620197E-3</v>
      </c>
      <c r="G2855" s="10">
        <v>1.7077316805142299E-2</v>
      </c>
      <c r="H2855" s="10" t="s">
        <v>5723</v>
      </c>
      <c r="I2855" s="10" t="s">
        <v>18</v>
      </c>
    </row>
    <row r="2856" spans="1:9" x14ac:dyDescent="0.2">
      <c r="A2856" s="10" t="s">
        <v>5724</v>
      </c>
      <c r="B2856" s="10">
        <v>8647.5093259368005</v>
      </c>
      <c r="C2856" s="10">
        <v>-1.2583444059239199</v>
      </c>
      <c r="D2856" s="10">
        <v>0.170319789387468</v>
      </c>
      <c r="E2856" s="10">
        <v>-7.3881280058494196</v>
      </c>
      <c r="F2856" s="4">
        <v>1.48910354643071E-13</v>
      </c>
      <c r="G2856" s="4">
        <v>3.27735091515328E-12</v>
      </c>
      <c r="H2856" s="10" t="s">
        <v>5725</v>
      </c>
      <c r="I2856" s="10" t="s">
        <v>18</v>
      </c>
    </row>
    <row r="2857" spans="1:9" x14ac:dyDescent="0.2">
      <c r="A2857" s="10" t="s">
        <v>5726</v>
      </c>
      <c r="B2857" s="10">
        <v>19.3077179389234</v>
      </c>
      <c r="C2857" s="10">
        <v>7.6683830466855998</v>
      </c>
      <c r="D2857" s="10">
        <v>1.6206972703342499</v>
      </c>
      <c r="E2857" s="10">
        <v>4.7315332647558899</v>
      </c>
      <c r="F2857" s="4">
        <v>2.2283029247737899E-6</v>
      </c>
      <c r="G2857" s="4">
        <v>1.7957577578027598E-5</v>
      </c>
      <c r="H2857" s="10" t="s">
        <v>5727</v>
      </c>
      <c r="I2857" s="10" t="s">
        <v>18</v>
      </c>
    </row>
    <row r="2858" spans="1:9" x14ac:dyDescent="0.2">
      <c r="A2858" s="10" t="s">
        <v>5728</v>
      </c>
      <c r="B2858" s="10">
        <v>7.2290803581149197</v>
      </c>
      <c r="C2858" s="10">
        <v>6.2480594941131198</v>
      </c>
      <c r="D2858" s="10">
        <v>1.87478034210473</v>
      </c>
      <c r="E2858" s="10">
        <v>3.3326888242804502</v>
      </c>
      <c r="F2858" s="10">
        <v>8.6011082883706298E-4</v>
      </c>
      <c r="G2858" s="10">
        <v>3.8704277049254302E-3</v>
      </c>
      <c r="H2858" s="10" t="s">
        <v>5729</v>
      </c>
      <c r="I2858" s="10" t="s">
        <v>18</v>
      </c>
    </row>
    <row r="2859" spans="1:9" x14ac:dyDescent="0.2">
      <c r="A2859" s="10" t="s">
        <v>5730</v>
      </c>
      <c r="B2859" s="10">
        <v>446.380828800399</v>
      </c>
      <c r="C2859" s="10">
        <v>1.43923138543759</v>
      </c>
      <c r="D2859" s="10">
        <v>0.235151866307204</v>
      </c>
      <c r="E2859" s="10">
        <v>6.1204336076047401</v>
      </c>
      <c r="F2859" s="4">
        <v>9.3321060502082699E-10</v>
      </c>
      <c r="G2859" s="4">
        <v>1.27839061613889E-8</v>
      </c>
      <c r="H2859" s="10" t="s">
        <v>5731</v>
      </c>
      <c r="I2859" s="10" t="s">
        <v>18</v>
      </c>
    </row>
    <row r="2860" spans="1:9" x14ac:dyDescent="0.2">
      <c r="A2860" s="10" t="s">
        <v>5732</v>
      </c>
      <c r="B2860" s="10">
        <v>4358.4212282443004</v>
      </c>
      <c r="C2860" s="10">
        <v>2.0718898220501201</v>
      </c>
      <c r="D2860" s="10">
        <v>0.19373966675606599</v>
      </c>
      <c r="E2860" s="10">
        <v>10.6941952401456</v>
      </c>
      <c r="F2860" s="4">
        <v>1.0835617741636399E-26</v>
      </c>
      <c r="G2860" s="4">
        <v>6.7870822208360297E-25</v>
      </c>
      <c r="H2860" s="10" t="s">
        <v>5733</v>
      </c>
      <c r="I2860" s="10" t="s">
        <v>18</v>
      </c>
    </row>
    <row r="2861" spans="1:9" x14ac:dyDescent="0.2">
      <c r="A2861" s="10" t="s">
        <v>5734</v>
      </c>
      <c r="B2861" s="10">
        <v>85.726761767131805</v>
      </c>
      <c r="C2861" s="10">
        <v>-1.07367717939495</v>
      </c>
      <c r="D2861" s="10">
        <v>0.42085163515770702</v>
      </c>
      <c r="E2861" s="10">
        <v>-2.5512011590322201</v>
      </c>
      <c r="F2861" s="10">
        <v>1.07352344529867E-2</v>
      </c>
      <c r="G2861" s="10">
        <v>3.3800304924121297E-2</v>
      </c>
      <c r="H2861" s="10" t="s">
        <v>5735</v>
      </c>
      <c r="I2861" s="10" t="s">
        <v>18</v>
      </c>
    </row>
    <row r="2862" spans="1:9" x14ac:dyDescent="0.2">
      <c r="A2862" s="10" t="s">
        <v>5736</v>
      </c>
      <c r="B2862" s="10">
        <v>690.69483376658604</v>
      </c>
      <c r="C2862" s="10">
        <v>2.24514025245267</v>
      </c>
      <c r="D2862" s="10">
        <v>0.22719935920689299</v>
      </c>
      <c r="E2862" s="10">
        <v>9.8818071507332004</v>
      </c>
      <c r="F2862" s="4">
        <v>4.9924325457198098E-23</v>
      </c>
      <c r="G2862" s="4">
        <v>2.4151675053260499E-21</v>
      </c>
      <c r="H2862" s="10" t="s">
        <v>5737</v>
      </c>
      <c r="I2862" s="10" t="s">
        <v>18</v>
      </c>
    </row>
    <row r="2863" spans="1:9" x14ac:dyDescent="0.2">
      <c r="A2863" s="10" t="s">
        <v>5738</v>
      </c>
      <c r="B2863" s="10">
        <v>3934.54600152376</v>
      </c>
      <c r="C2863" s="10">
        <v>2.14009938801934</v>
      </c>
      <c r="D2863" s="10">
        <v>0.181919560987334</v>
      </c>
      <c r="E2863" s="10">
        <v>11.7639872062375</v>
      </c>
      <c r="F2863" s="4">
        <v>5.9840130345393401E-32</v>
      </c>
      <c r="G2863" s="4">
        <v>5.2426496190383699E-30</v>
      </c>
      <c r="H2863" s="10" t="s">
        <v>5739</v>
      </c>
      <c r="I2863" s="10" t="s">
        <v>18</v>
      </c>
    </row>
    <row r="2864" spans="1:9" x14ac:dyDescent="0.2">
      <c r="A2864" s="10" t="s">
        <v>5740</v>
      </c>
      <c r="B2864" s="10">
        <v>12.296066209648901</v>
      </c>
      <c r="C2864" s="10">
        <v>7.0168555582280501</v>
      </c>
      <c r="D2864" s="10">
        <v>1.70849403015836</v>
      </c>
      <c r="E2864" s="10">
        <v>4.1070413091099001</v>
      </c>
      <c r="F2864" s="4">
        <v>4.0075957735880903E-5</v>
      </c>
      <c r="G2864" s="10">
        <v>2.4998846621555599E-4</v>
      </c>
      <c r="H2864" s="10" t="s">
        <v>5741</v>
      </c>
      <c r="I2864" s="10" t="s">
        <v>18</v>
      </c>
    </row>
    <row r="2865" spans="1:9" x14ac:dyDescent="0.2">
      <c r="A2865" s="10" t="s">
        <v>5742</v>
      </c>
      <c r="B2865" s="10">
        <v>104.836290045103</v>
      </c>
      <c r="C2865" s="10">
        <v>4.2693886166900903</v>
      </c>
      <c r="D2865" s="10">
        <v>0.47593761261466699</v>
      </c>
      <c r="E2865" s="10">
        <v>8.9704795408694</v>
      </c>
      <c r="F2865" s="4">
        <v>2.9522627700509802E-19</v>
      </c>
      <c r="G2865" s="4">
        <v>1.0570342141337599E-17</v>
      </c>
      <c r="H2865" s="10" t="s">
        <v>5743</v>
      </c>
      <c r="I2865" s="10" t="s">
        <v>18</v>
      </c>
    </row>
    <row r="2866" spans="1:9" x14ac:dyDescent="0.2">
      <c r="A2866" s="10" t="s">
        <v>5744</v>
      </c>
      <c r="B2866" s="10">
        <v>5.9457177380145003</v>
      </c>
      <c r="C2866" s="10">
        <v>5.9678110559896602</v>
      </c>
      <c r="D2866" s="10">
        <v>1.9490680149737301</v>
      </c>
      <c r="E2866" s="10">
        <v>3.0618793239342601</v>
      </c>
      <c r="F2866" s="10">
        <v>2.1995210751093899E-3</v>
      </c>
      <c r="G2866" s="10">
        <v>8.7349294175055308E-3</v>
      </c>
      <c r="H2866" s="10" t="s">
        <v>5745</v>
      </c>
      <c r="I2866" s="10" t="s">
        <v>18</v>
      </c>
    </row>
    <row r="2867" spans="1:9" x14ac:dyDescent="0.2">
      <c r="A2867" s="10" t="s">
        <v>5746</v>
      </c>
      <c r="B2867" s="10">
        <v>2003.27482224408</v>
      </c>
      <c r="C2867" s="10">
        <v>-2.26842858851048</v>
      </c>
      <c r="D2867" s="10">
        <v>0.19674245219283301</v>
      </c>
      <c r="E2867" s="10">
        <v>-11.529939589688199</v>
      </c>
      <c r="F2867" s="4">
        <v>9.3209095985521196E-31</v>
      </c>
      <c r="G2867" s="4">
        <v>7.7193563474695901E-29</v>
      </c>
      <c r="H2867" s="10" t="s">
        <v>5747</v>
      </c>
      <c r="I2867" s="10" t="s">
        <v>18</v>
      </c>
    </row>
    <row r="2868" spans="1:9" x14ac:dyDescent="0.2">
      <c r="A2868" s="10" t="s">
        <v>5748</v>
      </c>
      <c r="B2868" s="10">
        <v>10.309318545318501</v>
      </c>
      <c r="C2868" s="10">
        <v>5.2843039028978804</v>
      </c>
      <c r="D2868" s="10">
        <v>1.7396631771225</v>
      </c>
      <c r="E2868" s="10">
        <v>3.0375442628143698</v>
      </c>
      <c r="F2868" s="10">
        <v>2.3851437296919099E-3</v>
      </c>
      <c r="G2868" s="10">
        <v>9.3696671284480403E-3</v>
      </c>
      <c r="H2868" s="10" t="s">
        <v>5749</v>
      </c>
      <c r="I2868" s="10" t="s">
        <v>18</v>
      </c>
    </row>
    <row r="2869" spans="1:9" x14ac:dyDescent="0.2">
      <c r="A2869" s="10" t="s">
        <v>5750</v>
      </c>
      <c r="B2869" s="10">
        <v>964.41124097242698</v>
      </c>
      <c r="C2869" s="10">
        <v>-1.1735885895726801</v>
      </c>
      <c r="D2869" s="10">
        <v>0.25039424268208799</v>
      </c>
      <c r="E2869" s="10">
        <v>-4.6869631545910702</v>
      </c>
      <c r="F2869" s="4">
        <v>2.7728886435535002E-6</v>
      </c>
      <c r="G2869" s="4">
        <v>2.19057398871853E-5</v>
      </c>
      <c r="H2869" s="10" t="s">
        <v>5751</v>
      </c>
      <c r="I2869" s="10" t="s">
        <v>18</v>
      </c>
    </row>
    <row r="2870" spans="1:9" x14ac:dyDescent="0.2">
      <c r="A2870" s="10" t="s">
        <v>5752</v>
      </c>
      <c r="B2870" s="10">
        <v>896.60573658832504</v>
      </c>
      <c r="C2870" s="10">
        <v>-2.7301140626345402</v>
      </c>
      <c r="D2870" s="10">
        <v>0.24993233723107</v>
      </c>
      <c r="E2870" s="10">
        <v>-10.9234126839316</v>
      </c>
      <c r="F2870" s="4">
        <v>8.9084339260319896E-28</v>
      </c>
      <c r="G2870" s="4">
        <v>5.9346723516526598E-26</v>
      </c>
      <c r="H2870" s="10" t="s">
        <v>5753</v>
      </c>
      <c r="I2870" s="10" t="s">
        <v>18</v>
      </c>
    </row>
    <row r="2871" spans="1:9" x14ac:dyDescent="0.2">
      <c r="A2871" s="10" t="s">
        <v>5754</v>
      </c>
      <c r="B2871" s="10">
        <v>452.93604287948398</v>
      </c>
      <c r="C2871" s="10">
        <v>-1.5101311956078001</v>
      </c>
      <c r="D2871" s="10">
        <v>0.22814935202921399</v>
      </c>
      <c r="E2871" s="10">
        <v>-6.6190466121263798</v>
      </c>
      <c r="F2871" s="4">
        <v>3.6152285385868401E-11</v>
      </c>
      <c r="G2871" s="4">
        <v>5.9953823488055799E-10</v>
      </c>
      <c r="H2871" s="10" t="s">
        <v>5755</v>
      </c>
      <c r="I2871" s="10" t="s">
        <v>18</v>
      </c>
    </row>
    <row r="2872" spans="1:9" x14ac:dyDescent="0.2">
      <c r="A2872" s="10" t="s">
        <v>5756</v>
      </c>
      <c r="B2872" s="10">
        <v>1364.6837787989</v>
      </c>
      <c r="C2872" s="10">
        <v>1.84138588405874</v>
      </c>
      <c r="D2872" s="10">
        <v>0.18995983219565499</v>
      </c>
      <c r="E2872" s="10">
        <v>9.6935539623036995</v>
      </c>
      <c r="F2872" s="4">
        <v>3.2115458932075102E-22</v>
      </c>
      <c r="G2872" s="4">
        <v>1.47067211684412E-20</v>
      </c>
      <c r="H2872" s="10" t="s">
        <v>5757</v>
      </c>
      <c r="I2872" s="10" t="s">
        <v>18</v>
      </c>
    </row>
    <row r="2873" spans="1:9" x14ac:dyDescent="0.2">
      <c r="A2873" s="10" t="s">
        <v>5758</v>
      </c>
      <c r="B2873" s="10">
        <v>585.66613439066396</v>
      </c>
      <c r="C2873" s="10">
        <v>-1.64893682832762</v>
      </c>
      <c r="D2873" s="10">
        <v>0.228735734981412</v>
      </c>
      <c r="E2873" s="10">
        <v>-7.20891656243227</v>
      </c>
      <c r="F2873" s="4">
        <v>5.6398804779782204E-13</v>
      </c>
      <c r="G2873" s="4">
        <v>1.1571522845140999E-11</v>
      </c>
      <c r="H2873" s="10" t="s">
        <v>5759</v>
      </c>
      <c r="I2873" s="10" t="s">
        <v>18</v>
      </c>
    </row>
    <row r="2874" spans="1:9" x14ac:dyDescent="0.2">
      <c r="A2874" s="10" t="s">
        <v>5760</v>
      </c>
      <c r="B2874" s="10">
        <v>62.025354135206904</v>
      </c>
      <c r="C2874" s="10">
        <v>2.2840247366852702</v>
      </c>
      <c r="D2874" s="10">
        <v>0.47897249081026499</v>
      </c>
      <c r="E2874" s="10">
        <v>4.7685927281991702</v>
      </c>
      <c r="F2874" s="4">
        <v>1.8551727795872601E-6</v>
      </c>
      <c r="G2874" s="4">
        <v>1.51205183145121E-5</v>
      </c>
      <c r="H2874" s="10" t="s">
        <v>5761</v>
      </c>
      <c r="I2874" s="10" t="s">
        <v>18</v>
      </c>
    </row>
    <row r="2875" spans="1:9" x14ac:dyDescent="0.2">
      <c r="A2875" s="10" t="s">
        <v>5762</v>
      </c>
      <c r="B2875" s="10">
        <v>7.8571513013211103</v>
      </c>
      <c r="C2875" s="10">
        <v>6.3736980928424503</v>
      </c>
      <c r="D2875" s="10">
        <v>1.8548380440636101</v>
      </c>
      <c r="E2875" s="10">
        <v>3.43625585707679</v>
      </c>
      <c r="F2875" s="10">
        <v>5.8981367703012902E-4</v>
      </c>
      <c r="G2875" s="10">
        <v>2.77462936084944E-3</v>
      </c>
      <c r="H2875" s="10" t="s">
        <v>5763</v>
      </c>
      <c r="I2875" s="10" t="s">
        <v>18</v>
      </c>
    </row>
    <row r="2876" spans="1:9" x14ac:dyDescent="0.2">
      <c r="A2876" s="10" t="s">
        <v>5764</v>
      </c>
      <c r="B2876" s="10">
        <v>10.6050670655557</v>
      </c>
      <c r="C2876" s="10">
        <v>6.8009228913127302</v>
      </c>
      <c r="D2876" s="10">
        <v>1.7518865706715101</v>
      </c>
      <c r="E2876" s="10">
        <v>3.8820566383506701</v>
      </c>
      <c r="F2876" s="10">
        <v>1.0357674446690501E-4</v>
      </c>
      <c r="G2876" s="10">
        <v>5.9102734167324898E-4</v>
      </c>
      <c r="H2876" s="10" t="s">
        <v>5765</v>
      </c>
      <c r="I2876" s="10" t="s">
        <v>18</v>
      </c>
    </row>
    <row r="2877" spans="1:9" x14ac:dyDescent="0.2">
      <c r="A2877" s="10" t="s">
        <v>5766</v>
      </c>
      <c r="B2877" s="10">
        <v>412.68390753927201</v>
      </c>
      <c r="C2877" s="10">
        <v>1.3849040862265301</v>
      </c>
      <c r="D2877" s="10">
        <v>0.249041102376724</v>
      </c>
      <c r="E2877" s="10">
        <v>5.5609458559639497</v>
      </c>
      <c r="F2877" s="4">
        <v>2.6831643857534201E-8</v>
      </c>
      <c r="G2877" s="4">
        <v>3.0060929283973498E-7</v>
      </c>
      <c r="H2877" s="10" t="s">
        <v>5767</v>
      </c>
      <c r="I2877" s="10" t="s">
        <v>18</v>
      </c>
    </row>
    <row r="2878" spans="1:9" x14ac:dyDescent="0.2">
      <c r="A2878" s="10" t="s">
        <v>5768</v>
      </c>
      <c r="B2878" s="10">
        <v>19.341118152319801</v>
      </c>
      <c r="C2878" s="10">
        <v>6.2103855016405003</v>
      </c>
      <c r="D2878" s="10">
        <v>1.6108607390024701</v>
      </c>
      <c r="E2878" s="10">
        <v>3.8553211654325299</v>
      </c>
      <c r="F2878" s="10">
        <v>1.1557779501862399E-4</v>
      </c>
      <c r="G2878" s="10">
        <v>6.5267319810827695E-4</v>
      </c>
      <c r="H2878" s="10" t="s">
        <v>5769</v>
      </c>
      <c r="I2878" s="10" t="s">
        <v>18</v>
      </c>
    </row>
    <row r="2879" spans="1:9" x14ac:dyDescent="0.2">
      <c r="A2879" s="10" t="s">
        <v>5770</v>
      </c>
      <c r="B2879" s="10">
        <v>1898.1829907732599</v>
      </c>
      <c r="C2879" s="10">
        <v>10.238817451031</v>
      </c>
      <c r="D2879" s="10">
        <v>1.67414096394062</v>
      </c>
      <c r="E2879" s="10">
        <v>6.1158634019268598</v>
      </c>
      <c r="F2879" s="4">
        <v>9.6035563133589209E-10</v>
      </c>
      <c r="G2879" s="4">
        <v>1.31096241918883E-8</v>
      </c>
      <c r="H2879" s="10" t="s">
        <v>5771</v>
      </c>
      <c r="I2879" s="10" t="s">
        <v>18</v>
      </c>
    </row>
    <row r="2880" spans="1:9" x14ac:dyDescent="0.2">
      <c r="A2880" s="10" t="s">
        <v>5772</v>
      </c>
      <c r="B2880" s="10">
        <v>712.75811746913996</v>
      </c>
      <c r="C2880" s="10">
        <v>-1.15520562469864</v>
      </c>
      <c r="D2880" s="10">
        <v>0.241616641715268</v>
      </c>
      <c r="E2880" s="10">
        <v>-4.7811509029249004</v>
      </c>
      <c r="F2880" s="4">
        <v>1.74294463037105E-6</v>
      </c>
      <c r="G2880" s="4">
        <v>1.4308530383766201E-5</v>
      </c>
      <c r="H2880" s="10" t="s">
        <v>5773</v>
      </c>
      <c r="I2880" s="10" t="s">
        <v>18</v>
      </c>
    </row>
    <row r="2881" spans="1:9" x14ac:dyDescent="0.2">
      <c r="A2881" s="10" t="s">
        <v>5774</v>
      </c>
      <c r="B2881" s="10">
        <v>81.001799310187707</v>
      </c>
      <c r="C2881" s="10">
        <v>2.29525752041509</v>
      </c>
      <c r="D2881" s="10">
        <v>0.43235001187204702</v>
      </c>
      <c r="E2881" s="10">
        <v>5.3087948592317096</v>
      </c>
      <c r="F2881" s="4">
        <v>1.10352449821888E-7</v>
      </c>
      <c r="G2881" s="4">
        <v>1.1136197038136999E-6</v>
      </c>
      <c r="H2881" s="10" t="s">
        <v>5775</v>
      </c>
      <c r="I2881" s="10" t="s">
        <v>18</v>
      </c>
    </row>
    <row r="2882" spans="1:9" x14ac:dyDescent="0.2">
      <c r="A2882" s="10" t="s">
        <v>5776</v>
      </c>
      <c r="B2882" s="10">
        <v>3674.5383505591999</v>
      </c>
      <c r="C2882" s="10">
        <v>1.5820340674968201</v>
      </c>
      <c r="D2882" s="10">
        <v>0.198612431916976</v>
      </c>
      <c r="E2882" s="10">
        <v>7.9654332421554699</v>
      </c>
      <c r="F2882" s="4">
        <v>1.64645901599129E-15</v>
      </c>
      <c r="G2882" s="4">
        <v>4.3094206348428997E-14</v>
      </c>
      <c r="H2882" s="10" t="s">
        <v>5777</v>
      </c>
      <c r="I2882" s="10" t="s">
        <v>18</v>
      </c>
    </row>
    <row r="2883" spans="1:9" x14ac:dyDescent="0.2">
      <c r="A2883" s="10" t="s">
        <v>5778</v>
      </c>
      <c r="B2883" s="10">
        <v>122.581491408481</v>
      </c>
      <c r="C2883" s="10">
        <v>3.2238179558238</v>
      </c>
      <c r="D2883" s="10">
        <v>0.413218570465753</v>
      </c>
      <c r="E2883" s="10">
        <v>7.8017257360677901</v>
      </c>
      <c r="F2883" s="4">
        <v>6.1066252113852E-15</v>
      </c>
      <c r="G2883" s="4">
        <v>1.4989839381496599E-13</v>
      </c>
      <c r="H2883" s="10" t="s">
        <v>5779</v>
      </c>
      <c r="I2883" s="10" t="s">
        <v>18</v>
      </c>
    </row>
    <row r="2884" spans="1:9" x14ac:dyDescent="0.2">
      <c r="A2884" s="10" t="s">
        <v>5780</v>
      </c>
      <c r="B2884" s="10">
        <v>14.1078084063316</v>
      </c>
      <c r="C2884" s="10">
        <v>2.76512161478274</v>
      </c>
      <c r="D2884" s="10">
        <v>0.98476384605374001</v>
      </c>
      <c r="E2884" s="10">
        <v>2.8079032611356101</v>
      </c>
      <c r="F2884" s="10">
        <v>4.9865203764676101E-3</v>
      </c>
      <c r="G2884" s="10">
        <v>1.7677299075932001E-2</v>
      </c>
      <c r="H2884" s="10" t="s">
        <v>5781</v>
      </c>
      <c r="I2884" s="10" t="s">
        <v>18</v>
      </c>
    </row>
    <row r="2885" spans="1:9" x14ac:dyDescent="0.2">
      <c r="A2885" s="10" t="s">
        <v>5782</v>
      </c>
      <c r="B2885" s="10">
        <v>1567.2302334782601</v>
      </c>
      <c r="C2885" s="10">
        <v>-1.69459034946702</v>
      </c>
      <c r="D2885" s="10">
        <v>0.21574437469483301</v>
      </c>
      <c r="E2885" s="10">
        <v>-7.8546212473163903</v>
      </c>
      <c r="F2885" s="4">
        <v>4.0098200925042903E-15</v>
      </c>
      <c r="G2885" s="4">
        <v>1.0135024866462399E-13</v>
      </c>
      <c r="H2885" s="10" t="s">
        <v>5783</v>
      </c>
      <c r="I2885" s="10" t="s">
        <v>18</v>
      </c>
    </row>
    <row r="2886" spans="1:9" x14ac:dyDescent="0.2">
      <c r="A2886" s="10" t="s">
        <v>5784</v>
      </c>
      <c r="B2886" s="10">
        <v>11.1098984393647</v>
      </c>
      <c r="C2886" s="10">
        <v>3.74777978381782</v>
      </c>
      <c r="D2886" s="10">
        <v>1.28960457449606</v>
      </c>
      <c r="E2886" s="10">
        <v>2.9061464715122902</v>
      </c>
      <c r="F2886" s="10">
        <v>3.6591012118952198E-3</v>
      </c>
      <c r="G2886" s="10">
        <v>1.36034289426264E-2</v>
      </c>
      <c r="H2886" s="10" t="s">
        <v>5785</v>
      </c>
      <c r="I2886" s="10" t="s">
        <v>18</v>
      </c>
    </row>
    <row r="2887" spans="1:9" x14ac:dyDescent="0.2">
      <c r="A2887" s="10" t="s">
        <v>5786</v>
      </c>
      <c r="B2887" s="10">
        <v>22.906452580189899</v>
      </c>
      <c r="C2887" s="10">
        <v>1.98743052230824</v>
      </c>
      <c r="D2887" s="10">
        <v>0.81344246538723797</v>
      </c>
      <c r="E2887" s="10">
        <v>2.4432342874577202</v>
      </c>
      <c r="F2887" s="10">
        <v>1.4556284143348501E-2</v>
      </c>
      <c r="G2887" s="10">
        <v>4.3474967595607303E-2</v>
      </c>
      <c r="H2887" s="10" t="s">
        <v>5787</v>
      </c>
      <c r="I2887" s="10" t="s">
        <v>18</v>
      </c>
    </row>
    <row r="2888" spans="1:9" x14ac:dyDescent="0.2">
      <c r="A2888" s="10" t="s">
        <v>5788</v>
      </c>
      <c r="B2888" s="10">
        <v>69.412335203014294</v>
      </c>
      <c r="C2888" s="10">
        <v>1.95681826498515</v>
      </c>
      <c r="D2888" s="10">
        <v>0.45962044008658298</v>
      </c>
      <c r="E2888" s="10">
        <v>4.2574657137017899</v>
      </c>
      <c r="F2888" s="4">
        <v>2.06757357195244E-5</v>
      </c>
      <c r="G2888" s="10">
        <v>1.37068557457392E-4</v>
      </c>
      <c r="H2888" s="10" t="s">
        <v>5789</v>
      </c>
      <c r="I2888" s="10" t="s">
        <v>18</v>
      </c>
    </row>
    <row r="2889" spans="1:9" x14ac:dyDescent="0.2">
      <c r="A2889" s="10" t="s">
        <v>5790</v>
      </c>
      <c r="B2889" s="10">
        <v>190.89417445677299</v>
      </c>
      <c r="C2889" s="10">
        <v>6.9334704767277602</v>
      </c>
      <c r="D2889" s="10">
        <v>0.65421742398594795</v>
      </c>
      <c r="E2889" s="10">
        <v>10.598113444432901</v>
      </c>
      <c r="F2889" s="4">
        <v>3.0405171214189499E-26</v>
      </c>
      <c r="G2889" s="4">
        <v>1.8533550337203998E-24</v>
      </c>
      <c r="H2889" s="10" t="s">
        <v>5791</v>
      </c>
      <c r="I2889" s="10" t="s">
        <v>18</v>
      </c>
    </row>
    <row r="2890" spans="1:9" x14ac:dyDescent="0.2">
      <c r="A2890" s="10" t="s">
        <v>5792</v>
      </c>
      <c r="B2890" s="10">
        <v>3998.88458105068</v>
      </c>
      <c r="C2890" s="10">
        <v>1.63114992431952</v>
      </c>
      <c r="D2890" s="10">
        <v>0.18590670180173499</v>
      </c>
      <c r="E2890" s="10">
        <v>8.7740243278539705</v>
      </c>
      <c r="F2890" s="4">
        <v>1.7239196248967699E-18</v>
      </c>
      <c r="G2890" s="4">
        <v>5.8422435347714296E-17</v>
      </c>
      <c r="H2890" s="10" t="s">
        <v>5793</v>
      </c>
      <c r="I2890" s="10" t="s">
        <v>18</v>
      </c>
    </row>
    <row r="2891" spans="1:9" x14ac:dyDescent="0.2">
      <c r="A2891" s="10" t="s">
        <v>5794</v>
      </c>
      <c r="B2891" s="10">
        <v>1823.5908957118199</v>
      </c>
      <c r="C2891" s="10">
        <v>-1.1742060832153101</v>
      </c>
      <c r="D2891" s="10">
        <v>0.22297555461628699</v>
      </c>
      <c r="E2891" s="10">
        <v>-5.2660754011172699</v>
      </c>
      <c r="F2891" s="4">
        <v>1.39371060062408E-7</v>
      </c>
      <c r="G2891" s="4">
        <v>1.3803865043694799E-6</v>
      </c>
      <c r="H2891" s="10" t="s">
        <v>5795</v>
      </c>
      <c r="I2891" s="10" t="s">
        <v>18</v>
      </c>
    </row>
    <row r="2892" spans="1:9" x14ac:dyDescent="0.2">
      <c r="A2892" s="10" t="s">
        <v>5796</v>
      </c>
      <c r="B2892" s="10">
        <v>1498.7746703292901</v>
      </c>
      <c r="C2892" s="10">
        <v>-1.2115209531830999</v>
      </c>
      <c r="D2892" s="10">
        <v>0.21466992810560401</v>
      </c>
      <c r="E2892" s="10">
        <v>-5.6436454042464002</v>
      </c>
      <c r="F2892" s="4">
        <v>1.6648679357759601E-8</v>
      </c>
      <c r="G2892" s="4">
        <v>1.91889410516445E-7</v>
      </c>
      <c r="H2892" s="10" t="s">
        <v>5797</v>
      </c>
      <c r="I2892" s="10" t="s">
        <v>18</v>
      </c>
    </row>
    <row r="2893" spans="1:9" x14ac:dyDescent="0.2">
      <c r="A2893" s="10" t="s">
        <v>5798</v>
      </c>
      <c r="B2893" s="10">
        <v>2063.6379443745</v>
      </c>
      <c r="C2893" s="10">
        <v>-1.1187048355745099</v>
      </c>
      <c r="D2893" s="10">
        <v>0.23660538099506201</v>
      </c>
      <c r="E2893" s="10">
        <v>-4.7281462106639998</v>
      </c>
      <c r="F2893" s="4">
        <v>2.2657900667249401E-6</v>
      </c>
      <c r="G2893" s="4">
        <v>1.8227334498982698E-5</v>
      </c>
      <c r="H2893" s="10" t="s">
        <v>5799</v>
      </c>
      <c r="I2893" s="10" t="s">
        <v>18</v>
      </c>
    </row>
    <row r="2894" spans="1:9" x14ac:dyDescent="0.2">
      <c r="A2894" s="10" t="s">
        <v>5800</v>
      </c>
      <c r="B2894" s="10">
        <v>163.85493368677501</v>
      </c>
      <c r="C2894" s="10">
        <v>3.0832637327274899</v>
      </c>
      <c r="D2894" s="10">
        <v>0.34740389593094201</v>
      </c>
      <c r="E2894" s="10">
        <v>8.8751558886961508</v>
      </c>
      <c r="F2894" s="4">
        <v>6.9835528964865E-19</v>
      </c>
      <c r="G2894" s="4">
        <v>2.4363747217742299E-17</v>
      </c>
      <c r="H2894" s="10" t="s">
        <v>5801</v>
      </c>
      <c r="I2894" s="10" t="s">
        <v>18</v>
      </c>
    </row>
    <row r="2895" spans="1:9" x14ac:dyDescent="0.2">
      <c r="A2895" s="10" t="s">
        <v>5802</v>
      </c>
      <c r="B2895" s="10">
        <v>162.607087908674</v>
      </c>
      <c r="C2895" s="10">
        <v>3.3879247692129599</v>
      </c>
      <c r="D2895" s="10">
        <v>0.37226683712238501</v>
      </c>
      <c r="E2895" s="10">
        <v>9.1007966097693505</v>
      </c>
      <c r="F2895" s="4">
        <v>8.9671669475253797E-20</v>
      </c>
      <c r="G2895" s="4">
        <v>3.3840498312911901E-18</v>
      </c>
      <c r="H2895" s="10" t="s">
        <v>5803</v>
      </c>
      <c r="I2895" s="10" t="s">
        <v>18</v>
      </c>
    </row>
    <row r="2896" spans="1:9" x14ac:dyDescent="0.2">
      <c r="A2896" s="10" t="s">
        <v>5804</v>
      </c>
      <c r="B2896" s="10">
        <v>464.92259475206902</v>
      </c>
      <c r="C2896" s="10">
        <v>3.2915954106196899</v>
      </c>
      <c r="D2896" s="10">
        <v>0.26820237734404501</v>
      </c>
      <c r="E2896" s="10">
        <v>12.2728047499642</v>
      </c>
      <c r="F2896" s="4">
        <v>1.2678409004602401E-34</v>
      </c>
      <c r="G2896" s="4">
        <v>1.3035796609373701E-32</v>
      </c>
      <c r="H2896" s="10" t="s">
        <v>5805</v>
      </c>
      <c r="I2896" s="10" t="s">
        <v>18</v>
      </c>
    </row>
    <row r="2897" spans="1:9" x14ac:dyDescent="0.2">
      <c r="A2897" s="10" t="s">
        <v>5806</v>
      </c>
      <c r="B2897" s="10">
        <v>182.52469548004601</v>
      </c>
      <c r="C2897" s="10">
        <v>-2.0612578766523399</v>
      </c>
      <c r="D2897" s="10">
        <v>0.312106708515132</v>
      </c>
      <c r="E2897" s="10">
        <v>-6.6043369796788696</v>
      </c>
      <c r="F2897" s="4">
        <v>3.99300327279418E-11</v>
      </c>
      <c r="G2897" s="4">
        <v>6.5857966206914696E-10</v>
      </c>
      <c r="H2897" s="10" t="s">
        <v>5807</v>
      </c>
      <c r="I2897" s="10" t="s">
        <v>18</v>
      </c>
    </row>
    <row r="2898" spans="1:9" x14ac:dyDescent="0.2">
      <c r="A2898" s="10" t="s">
        <v>5808</v>
      </c>
      <c r="B2898" s="10">
        <v>295.87695844397302</v>
      </c>
      <c r="C2898" s="10">
        <v>-1.4794887605574301</v>
      </c>
      <c r="D2898" s="10">
        <v>0.25864509205254899</v>
      </c>
      <c r="E2898" s="10">
        <v>-5.7201501440314901</v>
      </c>
      <c r="F2898" s="4">
        <v>1.0642996147800299E-8</v>
      </c>
      <c r="G2898" s="4">
        <v>1.2586359203086601E-7</v>
      </c>
      <c r="H2898" s="10" t="s">
        <v>5809</v>
      </c>
      <c r="I2898" s="10" t="s">
        <v>18</v>
      </c>
    </row>
    <row r="2899" spans="1:9" x14ac:dyDescent="0.2">
      <c r="A2899" s="10" t="s">
        <v>5810</v>
      </c>
      <c r="B2899" s="10">
        <v>172.69121672385199</v>
      </c>
      <c r="C2899" s="10">
        <v>6.3683367077910704</v>
      </c>
      <c r="D2899" s="10">
        <v>0.59376816330849302</v>
      </c>
      <c r="E2899" s="10">
        <v>10.725291622754799</v>
      </c>
      <c r="F2899" s="4">
        <v>7.7442401422997904E-27</v>
      </c>
      <c r="G2899" s="4">
        <v>4.8957612797503996E-25</v>
      </c>
      <c r="H2899" s="10" t="s">
        <v>5811</v>
      </c>
      <c r="I2899" s="10" t="s">
        <v>18</v>
      </c>
    </row>
    <row r="2900" spans="1:9" x14ac:dyDescent="0.2">
      <c r="A2900" s="10" t="s">
        <v>5812</v>
      </c>
      <c r="B2900" s="10">
        <v>758.76163455535504</v>
      </c>
      <c r="C2900" s="10">
        <v>1.1158002781490399</v>
      </c>
      <c r="D2900" s="10">
        <v>0.212219082850197</v>
      </c>
      <c r="E2900" s="10">
        <v>5.2577754232246701</v>
      </c>
      <c r="F2900" s="4">
        <v>1.4580842405483499E-7</v>
      </c>
      <c r="G2900" s="4">
        <v>1.43787264937463E-6</v>
      </c>
      <c r="H2900" s="10" t="s">
        <v>5813</v>
      </c>
      <c r="I2900" s="10" t="s">
        <v>18</v>
      </c>
    </row>
    <row r="2901" spans="1:9" x14ac:dyDescent="0.2">
      <c r="A2901" s="10" t="s">
        <v>5814</v>
      </c>
      <c r="B2901" s="10">
        <v>2255.5685098981498</v>
      </c>
      <c r="C2901" s="10">
        <v>-1.49124817543614</v>
      </c>
      <c r="D2901" s="10">
        <v>0.21285923012339</v>
      </c>
      <c r="E2901" s="10">
        <v>-7.0057952129756904</v>
      </c>
      <c r="F2901" s="4">
        <v>2.4558691102311498E-12</v>
      </c>
      <c r="G2901" s="4">
        <v>4.6308003907590398E-11</v>
      </c>
      <c r="H2901" s="10" t="s">
        <v>5815</v>
      </c>
      <c r="I2901" s="10" t="s">
        <v>18</v>
      </c>
    </row>
    <row r="2902" spans="1:9" x14ac:dyDescent="0.2">
      <c r="A2902" s="10" t="s">
        <v>5816</v>
      </c>
      <c r="B2902" s="10">
        <v>24.673967374632699</v>
      </c>
      <c r="C2902" s="10">
        <v>3.2686664636431901</v>
      </c>
      <c r="D2902" s="10">
        <v>0.79775822917740302</v>
      </c>
      <c r="E2902" s="10">
        <v>4.0973146300397598</v>
      </c>
      <c r="F2902" s="4">
        <v>4.1797063209306299E-5</v>
      </c>
      <c r="G2902" s="10">
        <v>2.5971370154252401E-4</v>
      </c>
      <c r="H2902" s="10" t="s">
        <v>5817</v>
      </c>
      <c r="I2902" s="10" t="s">
        <v>18</v>
      </c>
    </row>
    <row r="2903" spans="1:9" x14ac:dyDescent="0.2">
      <c r="A2903" s="10" t="s">
        <v>5818</v>
      </c>
      <c r="B2903" s="10">
        <v>14.1624121959926</v>
      </c>
      <c r="C2903" s="10">
        <v>5.7517093719335701</v>
      </c>
      <c r="D2903" s="10">
        <v>1.6673646927277599</v>
      </c>
      <c r="E2903" s="10">
        <v>3.4495808847457101</v>
      </c>
      <c r="F2903" s="10">
        <v>5.6145750218663496E-4</v>
      </c>
      <c r="G2903" s="10">
        <v>2.6536049543936201E-3</v>
      </c>
      <c r="H2903" s="10" t="s">
        <v>5819</v>
      </c>
      <c r="I2903" s="10" t="s">
        <v>18</v>
      </c>
    </row>
    <row r="2904" spans="1:9" x14ac:dyDescent="0.2">
      <c r="A2904" s="10" t="s">
        <v>5820</v>
      </c>
      <c r="B2904" s="10">
        <v>783.04362065735597</v>
      </c>
      <c r="C2904" s="10">
        <v>-1.07735946942765</v>
      </c>
      <c r="D2904" s="10">
        <v>0.20448293893035299</v>
      </c>
      <c r="E2904" s="10">
        <v>-5.2687010225073196</v>
      </c>
      <c r="F2904" s="4">
        <v>1.3739252799655401E-7</v>
      </c>
      <c r="G2904" s="4">
        <v>1.36277182756538E-6</v>
      </c>
      <c r="H2904" s="10" t="s">
        <v>5821</v>
      </c>
      <c r="I2904" s="10" t="s">
        <v>18</v>
      </c>
    </row>
    <row r="2905" spans="1:9" x14ac:dyDescent="0.2">
      <c r="A2905" s="10" t="s">
        <v>5822</v>
      </c>
      <c r="B2905" s="10">
        <v>80.395859067141998</v>
      </c>
      <c r="C2905" s="10">
        <v>-1.12488011719808</v>
      </c>
      <c r="D2905" s="10">
        <v>0.41941975777613999</v>
      </c>
      <c r="E2905" s="10">
        <v>-2.6819912422878001</v>
      </c>
      <c r="F2905" s="10">
        <v>7.3185375660764999E-3</v>
      </c>
      <c r="G2905" s="10">
        <v>2.4457489074488199E-2</v>
      </c>
      <c r="H2905" s="10" t="s">
        <v>5823</v>
      </c>
      <c r="I2905" s="10" t="s">
        <v>18</v>
      </c>
    </row>
    <row r="2906" spans="1:9" x14ac:dyDescent="0.2">
      <c r="A2906" s="10" t="s">
        <v>5824</v>
      </c>
      <c r="B2906" s="10">
        <v>1137.42563608148</v>
      </c>
      <c r="C2906" s="10">
        <v>-1.7724620708746699</v>
      </c>
      <c r="D2906" s="10">
        <v>0.198017536337906</v>
      </c>
      <c r="E2906" s="10">
        <v>-8.9510358711364901</v>
      </c>
      <c r="F2906" s="4">
        <v>3.5216190471930801E-19</v>
      </c>
      <c r="G2906" s="4">
        <v>1.2526573652594E-17</v>
      </c>
      <c r="H2906" s="10" t="s">
        <v>5825</v>
      </c>
      <c r="I2906" s="10" t="s">
        <v>18</v>
      </c>
    </row>
    <row r="2907" spans="1:9" x14ac:dyDescent="0.2">
      <c r="A2907" s="10" t="s">
        <v>5826</v>
      </c>
      <c r="B2907" s="10">
        <v>478.36138216755</v>
      </c>
      <c r="C2907" s="10">
        <v>-1.1091679228597999</v>
      </c>
      <c r="D2907" s="10">
        <v>0.228118323269422</v>
      </c>
      <c r="E2907" s="10">
        <v>-4.8622482708230299</v>
      </c>
      <c r="F2907" s="4">
        <v>1.16059925985282E-6</v>
      </c>
      <c r="G2907" s="4">
        <v>9.8177112801024108E-6</v>
      </c>
      <c r="H2907" s="10" t="s">
        <v>5827</v>
      </c>
      <c r="I2907" s="10" t="s">
        <v>18</v>
      </c>
    </row>
    <row r="2908" spans="1:9" x14ac:dyDescent="0.2">
      <c r="A2908" s="10" t="s">
        <v>5828</v>
      </c>
      <c r="B2908" s="10">
        <v>13.6304468263156</v>
      </c>
      <c r="C2908" s="10">
        <v>4.6613292264468402</v>
      </c>
      <c r="D2908" s="10">
        <v>1.3427814071184601</v>
      </c>
      <c r="E2908" s="10">
        <v>3.4713983986789101</v>
      </c>
      <c r="F2908" s="10">
        <v>5.1775521922929699E-4</v>
      </c>
      <c r="G2908" s="10">
        <v>2.4732251855435899E-3</v>
      </c>
      <c r="H2908" s="10" t="s">
        <v>5829</v>
      </c>
      <c r="I2908" s="10" t="s">
        <v>18</v>
      </c>
    </row>
    <row r="2909" spans="1:9" x14ac:dyDescent="0.2">
      <c r="A2909" s="10" t="s">
        <v>5830</v>
      </c>
      <c r="B2909" s="10">
        <v>3839.6157560767001</v>
      </c>
      <c r="C2909" s="10">
        <v>-1.2545304031009901</v>
      </c>
      <c r="D2909" s="10">
        <v>0.206361110784862</v>
      </c>
      <c r="E2909" s="10">
        <v>-6.0792966190653903</v>
      </c>
      <c r="F2909" s="4">
        <v>1.2071088073393399E-9</v>
      </c>
      <c r="G2909" s="4">
        <v>1.6250046281410601E-8</v>
      </c>
      <c r="H2909" s="10" t="s">
        <v>5831</v>
      </c>
      <c r="I2909" s="10" t="s">
        <v>18</v>
      </c>
    </row>
    <row r="2910" spans="1:9" x14ac:dyDescent="0.2">
      <c r="A2910" s="10" t="s">
        <v>5832</v>
      </c>
      <c r="B2910" s="10">
        <v>98.3400390864484</v>
      </c>
      <c r="C2910" s="10">
        <v>-2.2948901755074802</v>
      </c>
      <c r="D2910" s="10">
        <v>0.39222159865248102</v>
      </c>
      <c r="E2910" s="10">
        <v>-5.8510040838949804</v>
      </c>
      <c r="F2910" s="4">
        <v>4.88614225636162E-9</v>
      </c>
      <c r="G2910" s="4">
        <v>6.0735729041553403E-8</v>
      </c>
      <c r="H2910" s="10" t="s">
        <v>5833</v>
      </c>
      <c r="I2910" s="10" t="s">
        <v>18</v>
      </c>
    </row>
    <row r="2911" spans="1:9" x14ac:dyDescent="0.2">
      <c r="A2911" s="10" t="s">
        <v>5834</v>
      </c>
      <c r="B2911" s="10">
        <v>1801.8754065231301</v>
      </c>
      <c r="C2911" s="10">
        <v>-1.46681685988912</v>
      </c>
      <c r="D2911" s="10">
        <v>0.215311874205349</v>
      </c>
      <c r="E2911" s="10">
        <v>-6.8125219071298098</v>
      </c>
      <c r="F2911" s="4">
        <v>9.5902446094866501E-12</v>
      </c>
      <c r="G2911" s="4">
        <v>1.6989947651149699E-10</v>
      </c>
      <c r="H2911" s="10" t="s">
        <v>5835</v>
      </c>
      <c r="I2911" s="10" t="s">
        <v>18</v>
      </c>
    </row>
    <row r="2912" spans="1:9" x14ac:dyDescent="0.2">
      <c r="A2912" s="10" t="s">
        <v>5836</v>
      </c>
      <c r="B2912" s="10">
        <v>58.316357400283799</v>
      </c>
      <c r="C2912" s="10">
        <v>3.91918115282752</v>
      </c>
      <c r="D2912" s="10">
        <v>0.605822993802694</v>
      </c>
      <c r="E2912" s="10">
        <v>6.4691852123789202</v>
      </c>
      <c r="F2912" s="4">
        <v>9.8532764678706398E-11</v>
      </c>
      <c r="G2912" s="4">
        <v>1.53588228787226E-9</v>
      </c>
      <c r="H2912" s="10" t="s">
        <v>5837</v>
      </c>
      <c r="I2912" s="10" t="s">
        <v>18</v>
      </c>
    </row>
    <row r="2913" spans="1:9" x14ac:dyDescent="0.2">
      <c r="A2913" s="10" t="s">
        <v>5838</v>
      </c>
      <c r="B2913" s="10">
        <v>970.37280061983699</v>
      </c>
      <c r="C2913" s="10">
        <v>-1.0297600051431499</v>
      </c>
      <c r="D2913" s="10">
        <v>0.195792046757779</v>
      </c>
      <c r="E2913" s="10">
        <v>-5.25945778797184</v>
      </c>
      <c r="F2913" s="4">
        <v>1.4448079001919201E-7</v>
      </c>
      <c r="G2913" s="4">
        <v>1.4258124178388E-6</v>
      </c>
      <c r="H2913" s="10" t="s">
        <v>5839</v>
      </c>
      <c r="I2913" s="10" t="s">
        <v>18</v>
      </c>
    </row>
    <row r="2914" spans="1:9" x14ac:dyDescent="0.2">
      <c r="A2914" s="10" t="s">
        <v>5840</v>
      </c>
      <c r="B2914" s="10">
        <v>17.317796585257501</v>
      </c>
      <c r="C2914" s="10">
        <v>7.5071893816449604</v>
      </c>
      <c r="D2914" s="10">
        <v>1.65596116089301</v>
      </c>
      <c r="E2914" s="10">
        <v>4.5334332464636802</v>
      </c>
      <c r="F2914" s="4">
        <v>5.8032611935974201E-6</v>
      </c>
      <c r="G2914" s="4">
        <v>4.3226204959526797E-5</v>
      </c>
      <c r="H2914" s="10" t="s">
        <v>5841</v>
      </c>
      <c r="I2914" s="10" t="s">
        <v>18</v>
      </c>
    </row>
    <row r="2915" spans="1:9" x14ac:dyDescent="0.2">
      <c r="A2915" s="10" t="s">
        <v>5842</v>
      </c>
      <c r="B2915" s="10">
        <v>57.539320132333103</v>
      </c>
      <c r="C2915" s="10">
        <v>4.5682640200310898</v>
      </c>
      <c r="D2915" s="10">
        <v>0.65456768337095605</v>
      </c>
      <c r="E2915" s="10">
        <v>6.9790552391847402</v>
      </c>
      <c r="F2915" s="4">
        <v>2.9717162701217601E-12</v>
      </c>
      <c r="G2915" s="4">
        <v>5.5573337825674403E-11</v>
      </c>
      <c r="H2915" s="10" t="s">
        <v>5843</v>
      </c>
      <c r="I2915" s="10" t="s">
        <v>18</v>
      </c>
    </row>
    <row r="2916" spans="1:9" x14ac:dyDescent="0.2">
      <c r="A2916" s="10" t="s">
        <v>5844</v>
      </c>
      <c r="B2916" s="10">
        <v>5.61356321400803</v>
      </c>
      <c r="C2916" s="10">
        <v>5.8815806399936301</v>
      </c>
      <c r="D2916" s="10">
        <v>1.9919118933064399</v>
      </c>
      <c r="E2916" s="10">
        <v>2.95273132298568</v>
      </c>
      <c r="F2916" s="10">
        <v>3.1497597753697899E-3</v>
      </c>
      <c r="G2916" s="10">
        <v>1.1936231515924999E-2</v>
      </c>
      <c r="H2916" s="10" t="s">
        <v>5845</v>
      </c>
      <c r="I2916" s="10" t="s">
        <v>18</v>
      </c>
    </row>
    <row r="2917" spans="1:9" x14ac:dyDescent="0.2">
      <c r="A2917" s="10" t="s">
        <v>5846</v>
      </c>
      <c r="B2917" s="10">
        <v>1378.8695975794401</v>
      </c>
      <c r="C2917" s="10">
        <v>-1.5654599706805701</v>
      </c>
      <c r="D2917" s="10">
        <v>0.19550546024287799</v>
      </c>
      <c r="E2917" s="10">
        <v>-8.0072442413413398</v>
      </c>
      <c r="F2917" s="4">
        <v>1.17307370356066E-15</v>
      </c>
      <c r="G2917" s="4">
        <v>3.1122433496511497E-14</v>
      </c>
      <c r="H2917" s="10" t="s">
        <v>5847</v>
      </c>
      <c r="I2917" s="10" t="s">
        <v>18</v>
      </c>
    </row>
    <row r="2918" spans="1:9" x14ac:dyDescent="0.2">
      <c r="A2918" s="10" t="s">
        <v>5848</v>
      </c>
      <c r="B2918" s="10">
        <v>5.6890452139944099</v>
      </c>
      <c r="C2918" s="10">
        <v>5.90458838774253</v>
      </c>
      <c r="D2918" s="10">
        <v>1.96865330632059</v>
      </c>
      <c r="E2918" s="10">
        <v>2.9993033150048101</v>
      </c>
      <c r="F2918" s="10">
        <v>2.70597772509573E-3</v>
      </c>
      <c r="G2918" s="10">
        <v>1.04610918098302E-2</v>
      </c>
      <c r="H2918" s="10" t="s">
        <v>5849</v>
      </c>
      <c r="I2918" s="10" t="s">
        <v>18</v>
      </c>
    </row>
    <row r="2919" spans="1:9" x14ac:dyDescent="0.2">
      <c r="A2919" s="10" t="s">
        <v>5850</v>
      </c>
      <c r="B2919" s="10">
        <v>8.6966392926219491</v>
      </c>
      <c r="C2919" s="10">
        <v>6.5144029355640098</v>
      </c>
      <c r="D2919" s="10">
        <v>1.8123678082977399</v>
      </c>
      <c r="E2919" s="10">
        <v>3.5944154965335899</v>
      </c>
      <c r="F2919" s="10">
        <v>3.25120643338362E-4</v>
      </c>
      <c r="G2919" s="10">
        <v>1.6365346700610299E-3</v>
      </c>
      <c r="H2919" s="10" t="s">
        <v>5851</v>
      </c>
      <c r="I2919" s="10" t="s">
        <v>18</v>
      </c>
    </row>
    <row r="2920" spans="1:9" x14ac:dyDescent="0.2">
      <c r="A2920" s="10" t="s">
        <v>5852</v>
      </c>
      <c r="B2920" s="10">
        <v>6821.5870825557604</v>
      </c>
      <c r="C2920" s="10">
        <v>-1.19736823744039</v>
      </c>
      <c r="D2920" s="10">
        <v>0.17569319131768199</v>
      </c>
      <c r="E2920" s="10">
        <v>-6.81510893199812</v>
      </c>
      <c r="F2920" s="4">
        <v>9.4192365543525503E-12</v>
      </c>
      <c r="G2920" s="4">
        <v>1.6697848952273501E-10</v>
      </c>
      <c r="H2920" s="10" t="s">
        <v>5853</v>
      </c>
      <c r="I2920" s="10" t="s">
        <v>18</v>
      </c>
    </row>
    <row r="2921" spans="1:9" x14ac:dyDescent="0.2">
      <c r="A2921" s="10" t="s">
        <v>5854</v>
      </c>
      <c r="B2921" s="10">
        <v>1230.6753595832599</v>
      </c>
      <c r="C2921" s="10">
        <v>-1.1914332855857299</v>
      </c>
      <c r="D2921" s="10">
        <v>0.19333366062305599</v>
      </c>
      <c r="E2921" s="10">
        <v>-6.1625755274384</v>
      </c>
      <c r="F2921" s="4">
        <v>7.1571174641731899E-10</v>
      </c>
      <c r="G2921" s="4">
        <v>9.9241719870904307E-9</v>
      </c>
      <c r="H2921" s="10" t="s">
        <v>5855</v>
      </c>
      <c r="I2921" s="10" t="s">
        <v>18</v>
      </c>
    </row>
    <row r="2922" spans="1:9" x14ac:dyDescent="0.2">
      <c r="A2922" s="10" t="s">
        <v>5856</v>
      </c>
      <c r="B2922" s="10">
        <v>1103.8215384647899</v>
      </c>
      <c r="C2922" s="10">
        <v>2.1508523969469802</v>
      </c>
      <c r="D2922" s="10">
        <v>0.205676285806356</v>
      </c>
      <c r="E2922" s="10">
        <v>10.457464206505501</v>
      </c>
      <c r="F2922" s="4">
        <v>1.3543167796730301E-25</v>
      </c>
      <c r="G2922" s="4">
        <v>7.9699933684127495E-24</v>
      </c>
      <c r="H2922" s="10" t="s">
        <v>5857</v>
      </c>
      <c r="I2922" s="10" t="s">
        <v>18</v>
      </c>
    </row>
    <row r="2923" spans="1:9" x14ac:dyDescent="0.2">
      <c r="A2923" s="10" t="s">
        <v>5858</v>
      </c>
      <c r="B2923" s="10">
        <v>18.824767313906701</v>
      </c>
      <c r="C2923" s="10">
        <v>6.1694452796158501</v>
      </c>
      <c r="D2923" s="10">
        <v>1.6143966197086801</v>
      </c>
      <c r="E2923" s="10">
        <v>3.8215177139860099</v>
      </c>
      <c r="F2923" s="10">
        <v>1.32632884882839E-4</v>
      </c>
      <c r="G2923" s="10">
        <v>7.3842423669855095E-4</v>
      </c>
      <c r="H2923" s="10" t="s">
        <v>5859</v>
      </c>
      <c r="I2923" s="10" t="s">
        <v>18</v>
      </c>
    </row>
    <row r="2924" spans="1:9" x14ac:dyDescent="0.2">
      <c r="A2924" s="10" t="s">
        <v>5860</v>
      </c>
      <c r="B2924" s="10">
        <v>424.62229595090901</v>
      </c>
      <c r="C2924" s="10">
        <v>-1.0720329271403299</v>
      </c>
      <c r="D2924" s="10">
        <v>0.24378268395711</v>
      </c>
      <c r="E2924" s="10">
        <v>-4.3974941523284699</v>
      </c>
      <c r="F2924" s="4">
        <v>1.0950783420958101E-5</v>
      </c>
      <c r="G2924" s="4">
        <v>7.7079823268107696E-5</v>
      </c>
      <c r="H2924" s="10" t="s">
        <v>5861</v>
      </c>
      <c r="I2924" s="10" t="s">
        <v>18</v>
      </c>
    </row>
    <row r="2925" spans="1:9" x14ac:dyDescent="0.2">
      <c r="A2925" s="10" t="s">
        <v>5862</v>
      </c>
      <c r="B2925" s="10">
        <v>1228.5475091629901</v>
      </c>
      <c r="C2925" s="10">
        <v>-2.1455842726748</v>
      </c>
      <c r="D2925" s="10">
        <v>0.20292779000407199</v>
      </c>
      <c r="E2925" s="10">
        <v>-10.5731416708956</v>
      </c>
      <c r="F2925" s="4">
        <v>3.9696907213515498E-26</v>
      </c>
      <c r="G2925" s="4">
        <v>2.4143339974255699E-24</v>
      </c>
      <c r="H2925" s="10" t="s">
        <v>5863</v>
      </c>
      <c r="I2925" s="10" t="s">
        <v>18</v>
      </c>
    </row>
    <row r="2926" spans="1:9" x14ac:dyDescent="0.2">
      <c r="A2926" s="10" t="s">
        <v>5864</v>
      </c>
      <c r="B2926" s="10">
        <v>4.1822423843077399</v>
      </c>
      <c r="C2926" s="10">
        <v>5.4559790170220399</v>
      </c>
      <c r="D2926" s="10">
        <v>2.1535693190750198</v>
      </c>
      <c r="E2926" s="10">
        <v>2.5334587415860099</v>
      </c>
      <c r="F2926" s="10">
        <v>1.12943035283908E-2</v>
      </c>
      <c r="G2926" s="10">
        <v>3.5206027712854998E-2</v>
      </c>
      <c r="H2926" s="10" t="s">
        <v>5865</v>
      </c>
      <c r="I2926" s="10" t="s">
        <v>18</v>
      </c>
    </row>
    <row r="2927" spans="1:9" x14ac:dyDescent="0.2">
      <c r="A2927" s="10" t="s">
        <v>5866</v>
      </c>
      <c r="B2927" s="10">
        <v>3618.3453463606102</v>
      </c>
      <c r="C2927" s="10">
        <v>1.4534683910013499</v>
      </c>
      <c r="D2927" s="10">
        <v>0.181426991223651</v>
      </c>
      <c r="E2927" s="10">
        <v>8.0113128768674304</v>
      </c>
      <c r="F2927" s="4">
        <v>1.1349031346605001E-15</v>
      </c>
      <c r="G2927" s="4">
        <v>3.0168493375701998E-14</v>
      </c>
      <c r="H2927" s="10" t="s">
        <v>5867</v>
      </c>
      <c r="I2927" s="10" t="s">
        <v>18</v>
      </c>
    </row>
    <row r="2928" spans="1:9" x14ac:dyDescent="0.2">
      <c r="A2928" s="10" t="s">
        <v>5868</v>
      </c>
      <c r="B2928" s="10">
        <v>10.7501873837452</v>
      </c>
      <c r="C2928" s="10">
        <v>5.3466505989389503</v>
      </c>
      <c r="D2928" s="10">
        <v>1.7277361324741001</v>
      </c>
      <c r="E2928" s="10">
        <v>3.0945990527399601</v>
      </c>
      <c r="F2928" s="10">
        <v>1.9707911541667201E-3</v>
      </c>
      <c r="G2928" s="10">
        <v>7.9529245523668104E-3</v>
      </c>
      <c r="H2928" s="10" t="s">
        <v>5869</v>
      </c>
      <c r="I2928" s="10" t="s">
        <v>18</v>
      </c>
    </row>
    <row r="2929" spans="1:9" x14ac:dyDescent="0.2">
      <c r="A2929" s="10" t="s">
        <v>5870</v>
      </c>
      <c r="B2929" s="10">
        <v>8.9650859180286204</v>
      </c>
      <c r="C2929" s="10">
        <v>4.0202500459949304</v>
      </c>
      <c r="D2929" s="10">
        <v>1.4778274930742099</v>
      </c>
      <c r="E2929" s="10">
        <v>2.7203784371556901</v>
      </c>
      <c r="F2929" s="10">
        <v>6.5207242531590002E-3</v>
      </c>
      <c r="G2929" s="10">
        <v>2.2203220910500299E-2</v>
      </c>
      <c r="H2929" s="10" t="s">
        <v>5871</v>
      </c>
      <c r="I2929" s="10" t="s">
        <v>18</v>
      </c>
    </row>
    <row r="2930" spans="1:9" x14ac:dyDescent="0.2">
      <c r="A2930" s="10" t="s">
        <v>5872</v>
      </c>
      <c r="B2930" s="10">
        <v>2198.2785543456198</v>
      </c>
      <c r="C2930" s="10">
        <v>-1.08989287947782</v>
      </c>
      <c r="D2930" s="10">
        <v>0.18923602380664101</v>
      </c>
      <c r="E2930" s="10">
        <v>-5.7594365890474304</v>
      </c>
      <c r="F2930" s="4">
        <v>8.4395155899761402E-9</v>
      </c>
      <c r="G2930" s="4">
        <v>1.01255606023813E-7</v>
      </c>
      <c r="H2930" s="10" t="s">
        <v>5873</v>
      </c>
      <c r="I2930" s="10" t="s">
        <v>18</v>
      </c>
    </row>
    <row r="2931" spans="1:9" x14ac:dyDescent="0.2">
      <c r="A2931" s="10" t="s">
        <v>5874</v>
      </c>
      <c r="B2931" s="10">
        <v>63.842507045942</v>
      </c>
      <c r="C2931" s="10">
        <v>3.0889879521110601</v>
      </c>
      <c r="D2931" s="10">
        <v>0.51278248525680703</v>
      </c>
      <c r="E2931" s="10">
        <v>6.0239732068150804</v>
      </c>
      <c r="F2931" s="4">
        <v>1.7018655132866501E-9</v>
      </c>
      <c r="G2931" s="4">
        <v>2.2358114580772102E-8</v>
      </c>
      <c r="H2931" s="10" t="s">
        <v>5875</v>
      </c>
      <c r="I2931" s="10" t="s">
        <v>18</v>
      </c>
    </row>
    <row r="2932" spans="1:9" x14ac:dyDescent="0.2">
      <c r="A2932" s="10" t="s">
        <v>5876</v>
      </c>
      <c r="B2932" s="10">
        <v>891.17774260625299</v>
      </c>
      <c r="C2932" s="10">
        <v>-1.3403582235929301</v>
      </c>
      <c r="D2932" s="10">
        <v>0.201998533393562</v>
      </c>
      <c r="E2932" s="10">
        <v>-6.6354849269200296</v>
      </c>
      <c r="F2932" s="4">
        <v>3.2343742137566401E-11</v>
      </c>
      <c r="G2932" s="4">
        <v>5.3933288985451205E-10</v>
      </c>
      <c r="H2932" s="10" t="s">
        <v>5877</v>
      </c>
      <c r="I2932" s="10" t="s">
        <v>18</v>
      </c>
    </row>
    <row r="2933" spans="1:9" x14ac:dyDescent="0.2">
      <c r="A2933" s="10" t="s">
        <v>5878</v>
      </c>
      <c r="B2933" s="10">
        <v>359.98950627715902</v>
      </c>
      <c r="C2933" s="10">
        <v>2.38445886085539</v>
      </c>
      <c r="D2933" s="10">
        <v>0.26071970338974598</v>
      </c>
      <c r="E2933" s="10">
        <v>9.1456795549161001</v>
      </c>
      <c r="F2933" s="4">
        <v>5.9256123802163694E-20</v>
      </c>
      <c r="G2933" s="4">
        <v>2.2708180101793998E-18</v>
      </c>
      <c r="H2933" s="10" t="s">
        <v>5879</v>
      </c>
      <c r="I2933" s="10" t="s">
        <v>18</v>
      </c>
    </row>
    <row r="2934" spans="1:9" x14ac:dyDescent="0.2">
      <c r="A2934" s="10" t="s">
        <v>5880</v>
      </c>
      <c r="B2934" s="10">
        <v>903.33825243326601</v>
      </c>
      <c r="C2934" s="10">
        <v>4.2023828347556798</v>
      </c>
      <c r="D2934" s="10">
        <v>0.243710251180525</v>
      </c>
      <c r="E2934" s="10">
        <v>17.243356873169901</v>
      </c>
      <c r="F2934" s="4">
        <v>1.25531217704006E-66</v>
      </c>
      <c r="G2934" s="4">
        <v>4.5604654517080599E-64</v>
      </c>
      <c r="H2934" s="10" t="s">
        <v>5881</v>
      </c>
      <c r="I2934" s="10" t="s">
        <v>18</v>
      </c>
    </row>
    <row r="2935" spans="1:9" x14ac:dyDescent="0.2">
      <c r="A2935" s="10" t="s">
        <v>5882</v>
      </c>
      <c r="B2935" s="10">
        <v>15.0773821872799</v>
      </c>
      <c r="C2935" s="10">
        <v>5.8419920411439801</v>
      </c>
      <c r="D2935" s="10">
        <v>1.6656922344656999</v>
      </c>
      <c r="E2935" s="10">
        <v>3.5072457686145802</v>
      </c>
      <c r="F2935" s="10">
        <v>4.52770764851306E-4</v>
      </c>
      <c r="G2935" s="10">
        <v>2.1945640987764701E-3</v>
      </c>
      <c r="H2935" s="10" t="s">
        <v>5883</v>
      </c>
      <c r="I2935" s="10" t="s">
        <v>18</v>
      </c>
    </row>
    <row r="2936" spans="1:9" x14ac:dyDescent="0.2">
      <c r="A2936" s="10" t="s">
        <v>5884</v>
      </c>
      <c r="B2936" s="10">
        <v>852.758733479797</v>
      </c>
      <c r="C2936" s="10">
        <v>-2.6321791937067802</v>
      </c>
      <c r="D2936" s="10">
        <v>0.211445013000222</v>
      </c>
      <c r="E2936" s="10">
        <v>-12.4485281367408</v>
      </c>
      <c r="F2936" s="4">
        <v>1.4244788428551401E-35</v>
      </c>
      <c r="G2936" s="4">
        <v>1.54632569845713E-33</v>
      </c>
      <c r="H2936" s="10" t="s">
        <v>5885</v>
      </c>
      <c r="I2936" s="10" t="s">
        <v>18</v>
      </c>
    </row>
    <row r="2937" spans="1:9" x14ac:dyDescent="0.2">
      <c r="A2937" s="10" t="s">
        <v>5886</v>
      </c>
      <c r="B2937" s="10">
        <v>4.4056825938939799</v>
      </c>
      <c r="C2937" s="10">
        <v>5.5386844559520796</v>
      </c>
      <c r="D2937" s="10">
        <v>2.1077177075898899</v>
      </c>
      <c r="E2937" s="10">
        <v>2.62781132217434</v>
      </c>
      <c r="F2937" s="10">
        <v>8.5936166095153897E-3</v>
      </c>
      <c r="G2937" s="10">
        <v>2.8031877380517899E-2</v>
      </c>
      <c r="H2937" s="10" t="s">
        <v>5887</v>
      </c>
      <c r="I2937" s="10" t="s">
        <v>18</v>
      </c>
    </row>
    <row r="2938" spans="1:9" x14ac:dyDescent="0.2">
      <c r="A2938" s="10" t="s">
        <v>5888</v>
      </c>
      <c r="B2938" s="10">
        <v>2814.6545581580999</v>
      </c>
      <c r="C2938" s="10">
        <v>1.19691645478631</v>
      </c>
      <c r="D2938" s="10">
        <v>0.23481277822159599</v>
      </c>
      <c r="E2938" s="10">
        <v>5.0973224875213701</v>
      </c>
      <c r="F2938" s="4">
        <v>3.44491192146956E-7</v>
      </c>
      <c r="G2938" s="4">
        <v>3.1948099089272002E-6</v>
      </c>
      <c r="H2938" s="10" t="s">
        <v>5889</v>
      </c>
      <c r="I2938" s="10" t="s">
        <v>18</v>
      </c>
    </row>
    <row r="2939" spans="1:9" x14ac:dyDescent="0.2">
      <c r="A2939" s="10" t="s">
        <v>5890</v>
      </c>
      <c r="B2939" s="10">
        <v>729.47039962478198</v>
      </c>
      <c r="C2939" s="10">
        <v>-1.71008034223656</v>
      </c>
      <c r="D2939" s="10">
        <v>0.20852513247639201</v>
      </c>
      <c r="E2939" s="10">
        <v>-8.2008356591269003</v>
      </c>
      <c r="F2939" s="4">
        <v>2.3872169604831302E-16</v>
      </c>
      <c r="G2939" s="4">
        <v>6.7403627484231901E-15</v>
      </c>
      <c r="H2939" s="10" t="s">
        <v>5891</v>
      </c>
      <c r="I2939" s="10" t="s">
        <v>18</v>
      </c>
    </row>
    <row r="2940" spans="1:9" x14ac:dyDescent="0.2">
      <c r="A2940" s="10" t="s">
        <v>5892</v>
      </c>
      <c r="B2940" s="10">
        <v>15.895579864496</v>
      </c>
      <c r="C2940" s="10">
        <v>3.8457676020328901</v>
      </c>
      <c r="D2940" s="10">
        <v>1.0653588314095701</v>
      </c>
      <c r="E2940" s="10">
        <v>3.60983312725212</v>
      </c>
      <c r="F2940" s="10">
        <v>3.0639405301380302E-4</v>
      </c>
      <c r="G2940" s="10">
        <v>1.5534646003846401E-3</v>
      </c>
      <c r="H2940" s="10" t="s">
        <v>5893</v>
      </c>
      <c r="I2940" s="10" t="s">
        <v>18</v>
      </c>
    </row>
    <row r="2941" spans="1:9" x14ac:dyDescent="0.2">
      <c r="A2941" s="10" t="s">
        <v>5894</v>
      </c>
      <c r="B2941" s="10">
        <v>144.30730921267201</v>
      </c>
      <c r="C2941" s="10">
        <v>-1.0609304402724899</v>
      </c>
      <c r="D2941" s="10">
        <v>0.32136544563069303</v>
      </c>
      <c r="E2941" s="10">
        <v>-3.3013208317725899</v>
      </c>
      <c r="F2941" s="10">
        <v>9.6230774124289196E-4</v>
      </c>
      <c r="G2941" s="10">
        <v>4.2689676043056101E-3</v>
      </c>
      <c r="H2941" s="10" t="s">
        <v>5895</v>
      </c>
      <c r="I2941" s="10" t="s">
        <v>18</v>
      </c>
    </row>
    <row r="2942" spans="1:9" x14ac:dyDescent="0.2">
      <c r="A2942" s="10" t="s">
        <v>5896</v>
      </c>
      <c r="B2942" s="10">
        <v>48.405907067944497</v>
      </c>
      <c r="C2942" s="10">
        <v>4.0055938583462396</v>
      </c>
      <c r="D2942" s="10">
        <v>0.65124267807025704</v>
      </c>
      <c r="E2942" s="10">
        <v>6.1506931182942397</v>
      </c>
      <c r="F2942" s="4">
        <v>7.7145060645445097E-10</v>
      </c>
      <c r="G2942" s="4">
        <v>1.0664492477962699E-8</v>
      </c>
      <c r="H2942" s="10" t="s">
        <v>5897</v>
      </c>
      <c r="I2942" s="10" t="s">
        <v>18</v>
      </c>
    </row>
    <row r="2943" spans="1:9" x14ac:dyDescent="0.2">
      <c r="A2943" s="10" t="s">
        <v>5898</v>
      </c>
      <c r="B2943" s="10">
        <v>866.70235856624095</v>
      </c>
      <c r="C2943" s="10">
        <v>-1.2205944379559599</v>
      </c>
      <c r="D2943" s="10">
        <v>0.20131496870423299</v>
      </c>
      <c r="E2943" s="10">
        <v>-6.0631082020990803</v>
      </c>
      <c r="F2943" s="4">
        <v>1.33515776094069E-9</v>
      </c>
      <c r="G2943" s="4">
        <v>1.78942663612154E-8</v>
      </c>
      <c r="H2943" s="10" t="s">
        <v>5899</v>
      </c>
      <c r="I2943" s="10" t="s">
        <v>18</v>
      </c>
    </row>
    <row r="2944" spans="1:9" x14ac:dyDescent="0.2">
      <c r="A2944" s="10" t="s">
        <v>5900</v>
      </c>
      <c r="B2944" s="10">
        <v>144.155257068406</v>
      </c>
      <c r="C2944" s="10">
        <v>1.38112720846988</v>
      </c>
      <c r="D2944" s="10">
        <v>0.33139181552650998</v>
      </c>
      <c r="E2944" s="10">
        <v>4.1676563625313596</v>
      </c>
      <c r="F2944" s="4">
        <v>3.0774740422523803E-5</v>
      </c>
      <c r="G2944" s="10">
        <v>1.9669700968625499E-4</v>
      </c>
      <c r="H2944" s="10" t="s">
        <v>5901</v>
      </c>
      <c r="I2944" s="10" t="s">
        <v>18</v>
      </c>
    </row>
    <row r="2945" spans="1:9" x14ac:dyDescent="0.2">
      <c r="A2945" s="10" t="s">
        <v>5902</v>
      </c>
      <c r="B2945" s="10">
        <v>4380.7735158118803</v>
      </c>
      <c r="C2945" s="10">
        <v>-1.32770271760699</v>
      </c>
      <c r="D2945" s="10">
        <v>0.20382926405829199</v>
      </c>
      <c r="E2945" s="10">
        <v>-6.5137983191034596</v>
      </c>
      <c r="F2945" s="4">
        <v>7.3273865295154403E-11</v>
      </c>
      <c r="G2945" s="4">
        <v>1.1648150569994601E-9</v>
      </c>
      <c r="H2945" s="10" t="s">
        <v>5903</v>
      </c>
      <c r="I2945" s="10" t="s">
        <v>18</v>
      </c>
    </row>
    <row r="2946" spans="1:9" x14ac:dyDescent="0.2">
      <c r="A2946" s="10" t="s">
        <v>5904</v>
      </c>
      <c r="B2946" s="10">
        <v>31.894452897373998</v>
      </c>
      <c r="C2946" s="10">
        <v>2.8558788027006501</v>
      </c>
      <c r="D2946" s="10">
        <v>0.69447002849805195</v>
      </c>
      <c r="E2946" s="10">
        <v>4.1123139739768702</v>
      </c>
      <c r="F2946" s="4">
        <v>3.9171307531429502E-5</v>
      </c>
      <c r="G2946" s="10">
        <v>2.44962271358471E-4</v>
      </c>
      <c r="H2946" s="10" t="s">
        <v>5905</v>
      </c>
      <c r="I2946" s="10" t="s">
        <v>18</v>
      </c>
    </row>
    <row r="2947" spans="1:9" x14ac:dyDescent="0.2">
      <c r="A2947" s="10" t="s">
        <v>5906</v>
      </c>
      <c r="B2947" s="10">
        <v>6.64325910046127</v>
      </c>
      <c r="C2947" s="10">
        <v>6.1281723100268497</v>
      </c>
      <c r="D2947" s="10">
        <v>1.9022887928487999</v>
      </c>
      <c r="E2947" s="10">
        <v>3.2214731711947402</v>
      </c>
      <c r="F2947" s="10">
        <v>1.27533402088571E-3</v>
      </c>
      <c r="G2947" s="10">
        <v>5.4508276183643902E-3</v>
      </c>
      <c r="H2947" s="10" t="s">
        <v>5907</v>
      </c>
      <c r="I2947" s="10" t="s">
        <v>18</v>
      </c>
    </row>
    <row r="2948" spans="1:9" x14ac:dyDescent="0.2">
      <c r="A2948" s="10" t="s">
        <v>5908</v>
      </c>
      <c r="B2948" s="10">
        <v>1331.00659676992</v>
      </c>
      <c r="C2948" s="10">
        <v>-1.2452579474968699</v>
      </c>
      <c r="D2948" s="10">
        <v>0.19428684341776301</v>
      </c>
      <c r="E2948" s="10">
        <v>-6.4093786567898201</v>
      </c>
      <c r="F2948" s="4">
        <v>1.46113886441261E-10</v>
      </c>
      <c r="G2948" s="4">
        <v>2.2228727324763002E-9</v>
      </c>
      <c r="H2948" s="10" t="s">
        <v>5909</v>
      </c>
      <c r="I2948" s="10" t="s">
        <v>18</v>
      </c>
    </row>
    <row r="2949" spans="1:9" x14ac:dyDescent="0.2">
      <c r="A2949" s="10" t="s">
        <v>5910</v>
      </c>
      <c r="B2949" s="10">
        <v>142.26669549490899</v>
      </c>
      <c r="C2949" s="10">
        <v>-2.0026774781737999</v>
      </c>
      <c r="D2949" s="10">
        <v>0.399614290274386</v>
      </c>
      <c r="E2949" s="10">
        <v>-5.0115261814053502</v>
      </c>
      <c r="F2949" s="4">
        <v>5.4000034619086797E-7</v>
      </c>
      <c r="G2949" s="4">
        <v>4.8511010328594102E-6</v>
      </c>
      <c r="H2949" s="10" t="s">
        <v>5911</v>
      </c>
      <c r="I2949" s="10" t="s">
        <v>18</v>
      </c>
    </row>
    <row r="2950" spans="1:9" x14ac:dyDescent="0.2">
      <c r="A2950" s="10" t="s">
        <v>5912</v>
      </c>
      <c r="B2950" s="10">
        <v>9.2100277095721506</v>
      </c>
      <c r="C2950" s="10">
        <v>4.0676445916447097</v>
      </c>
      <c r="D2950" s="10">
        <v>1.49165237729621</v>
      </c>
      <c r="E2950" s="10">
        <v>2.7269386980214398</v>
      </c>
      <c r="F2950" s="10">
        <v>6.3924913960237703E-3</v>
      </c>
      <c r="G2950" s="10">
        <v>2.1832064811664501E-2</v>
      </c>
      <c r="H2950" s="10" t="s">
        <v>5913</v>
      </c>
      <c r="I2950" s="10" t="s">
        <v>18</v>
      </c>
    </row>
    <row r="2951" spans="1:9" x14ac:dyDescent="0.2">
      <c r="A2951" s="10" t="s">
        <v>5914</v>
      </c>
      <c r="B2951" s="10">
        <v>371.244766836385</v>
      </c>
      <c r="C2951" s="10">
        <v>-1.5165249864574</v>
      </c>
      <c r="D2951" s="10">
        <v>0.24443389433927701</v>
      </c>
      <c r="E2951" s="10">
        <v>-6.2042336254416499</v>
      </c>
      <c r="F2951" s="4">
        <v>5.49640837240651E-10</v>
      </c>
      <c r="G2951" s="4">
        <v>7.6918664059044805E-9</v>
      </c>
      <c r="H2951" s="10" t="s">
        <v>5915</v>
      </c>
      <c r="I2951" s="10" t="s">
        <v>18</v>
      </c>
    </row>
    <row r="2952" spans="1:9" x14ac:dyDescent="0.2">
      <c r="A2952" s="10" t="s">
        <v>5916</v>
      </c>
      <c r="B2952" s="10">
        <v>3845.2286437091502</v>
      </c>
      <c r="C2952" s="10">
        <v>-1.6525835658055901</v>
      </c>
      <c r="D2952" s="10">
        <v>0.18235599817304399</v>
      </c>
      <c r="E2952" s="10">
        <v>-9.0624031145791903</v>
      </c>
      <c r="F2952" s="4">
        <v>1.2760761637176799E-19</v>
      </c>
      <c r="G2952" s="4">
        <v>4.7049049029520598E-18</v>
      </c>
      <c r="H2952" s="10" t="s">
        <v>5917</v>
      </c>
      <c r="I2952" s="10" t="s">
        <v>18</v>
      </c>
    </row>
    <row r="2953" spans="1:9" x14ac:dyDescent="0.2">
      <c r="A2953" s="10" t="s">
        <v>5918</v>
      </c>
      <c r="B2953" s="10">
        <v>4.0372899650807801</v>
      </c>
      <c r="C2953" s="10">
        <v>5.4095356733146298</v>
      </c>
      <c r="D2953" s="10">
        <v>2.1467512296701501</v>
      </c>
      <c r="E2953" s="10">
        <v>2.5198707696307201</v>
      </c>
      <c r="F2953" s="10">
        <v>1.17397926988685E-2</v>
      </c>
      <c r="G2953" s="10">
        <v>3.6345203007166198E-2</v>
      </c>
      <c r="H2953" s="10" t="s">
        <v>5919</v>
      </c>
      <c r="I2953" s="10" t="s">
        <v>18</v>
      </c>
    </row>
    <row r="2954" spans="1:9" x14ac:dyDescent="0.2">
      <c r="A2954" s="10" t="s">
        <v>5920</v>
      </c>
      <c r="B2954" s="10">
        <v>1284.5160377561299</v>
      </c>
      <c r="C2954" s="10">
        <v>-1.90722678176275</v>
      </c>
      <c r="D2954" s="10">
        <v>0.20588272504315</v>
      </c>
      <c r="E2954" s="10">
        <v>-9.2636561972988698</v>
      </c>
      <c r="F2954" s="4">
        <v>1.9754913077379701E-20</v>
      </c>
      <c r="G2954" s="4">
        <v>7.9742535795461502E-19</v>
      </c>
      <c r="H2954" s="10" t="s">
        <v>5921</v>
      </c>
      <c r="I2954" s="10" t="s">
        <v>18</v>
      </c>
    </row>
    <row r="2955" spans="1:9" x14ac:dyDescent="0.2">
      <c r="A2955" s="10" t="s">
        <v>5922</v>
      </c>
      <c r="B2955" s="10">
        <v>3602.6047819789001</v>
      </c>
      <c r="C2955" s="10">
        <v>1.0325131099940701</v>
      </c>
      <c r="D2955" s="10">
        <v>0.18198962009050801</v>
      </c>
      <c r="E2955" s="10">
        <v>5.6734725281616303</v>
      </c>
      <c r="F2955" s="4">
        <v>1.3993154993536E-8</v>
      </c>
      <c r="G2955" s="4">
        <v>1.6314569709408499E-7</v>
      </c>
      <c r="H2955" s="10" t="s">
        <v>5923</v>
      </c>
      <c r="I2955" s="10" t="s">
        <v>18</v>
      </c>
    </row>
    <row r="2956" spans="1:9" x14ac:dyDescent="0.2">
      <c r="A2956" s="10" t="s">
        <v>5924</v>
      </c>
      <c r="B2956" s="10">
        <v>3786.9627791164198</v>
      </c>
      <c r="C2956" s="10">
        <v>-1.1047942281182599</v>
      </c>
      <c r="D2956" s="10">
        <v>0.18067689020150299</v>
      </c>
      <c r="E2956" s="10">
        <v>-6.1147511830988099</v>
      </c>
      <c r="F2956" s="4">
        <v>9.6707733526764603E-10</v>
      </c>
      <c r="G2956" s="4">
        <v>1.31887113888186E-8</v>
      </c>
      <c r="H2956" s="10" t="s">
        <v>5925</v>
      </c>
      <c r="I2956" s="10" t="s">
        <v>18</v>
      </c>
    </row>
    <row r="2957" spans="1:9" x14ac:dyDescent="0.2">
      <c r="A2957" s="10" t="s">
        <v>5926</v>
      </c>
      <c r="B2957" s="10">
        <v>10.091722017515499</v>
      </c>
      <c r="C2957" s="10">
        <v>6.7297273601434204</v>
      </c>
      <c r="D2957" s="10">
        <v>1.7636644007934299</v>
      </c>
      <c r="E2957" s="10">
        <v>3.8157641312688799</v>
      </c>
      <c r="F2957" s="10">
        <v>1.35762143629137E-4</v>
      </c>
      <c r="G2957" s="10">
        <v>7.5399737616451302E-4</v>
      </c>
      <c r="H2957" s="10" t="s">
        <v>5927</v>
      </c>
      <c r="I2957" s="10" t="s">
        <v>18</v>
      </c>
    </row>
    <row r="2958" spans="1:9" x14ac:dyDescent="0.2">
      <c r="A2958" s="10" t="s">
        <v>5928</v>
      </c>
      <c r="B2958" s="10">
        <v>15927.746051591001</v>
      </c>
      <c r="C2958" s="10">
        <v>-1.0397240526604199</v>
      </c>
      <c r="D2958" s="10">
        <v>0.169358495281867</v>
      </c>
      <c r="E2958" s="10">
        <v>-6.1391904251982297</v>
      </c>
      <c r="F2958" s="4">
        <v>8.2943092603418099E-10</v>
      </c>
      <c r="G2958" s="4">
        <v>1.14081294506074E-8</v>
      </c>
      <c r="H2958" s="10" t="s">
        <v>5929</v>
      </c>
      <c r="I2958" s="10" t="s">
        <v>18</v>
      </c>
    </row>
    <row r="2959" spans="1:9" x14ac:dyDescent="0.2">
      <c r="A2959" s="10" t="s">
        <v>5930</v>
      </c>
      <c r="B2959" s="10">
        <v>52.967513560274</v>
      </c>
      <c r="C2959" s="10">
        <v>1.2720535370485999</v>
      </c>
      <c r="D2959" s="10">
        <v>0.49369159110635302</v>
      </c>
      <c r="E2959" s="10">
        <v>2.5766157657211699</v>
      </c>
      <c r="F2959" s="10">
        <v>9.9772789423628605E-3</v>
      </c>
      <c r="G2959" s="10">
        <v>3.1743451581335902E-2</v>
      </c>
      <c r="H2959" s="10" t="s">
        <v>5931</v>
      </c>
      <c r="I2959" s="10" t="s">
        <v>18</v>
      </c>
    </row>
    <row r="2960" spans="1:9" x14ac:dyDescent="0.2">
      <c r="A2960" s="10" t="s">
        <v>5932</v>
      </c>
      <c r="B2960" s="10">
        <v>13.356156519125699</v>
      </c>
      <c r="C2960" s="10">
        <v>5.6665059458537899</v>
      </c>
      <c r="D2960" s="10">
        <v>1.67719695530623</v>
      </c>
      <c r="E2960" s="10">
        <v>3.37855725764727</v>
      </c>
      <c r="F2960" s="10">
        <v>7.2867256509866901E-4</v>
      </c>
      <c r="G2960" s="10">
        <v>3.3526074605274301E-3</v>
      </c>
      <c r="H2960" s="10" t="s">
        <v>5933</v>
      </c>
      <c r="I2960" s="10" t="s">
        <v>18</v>
      </c>
    </row>
    <row r="2961" spans="1:9" x14ac:dyDescent="0.2">
      <c r="A2961" s="10" t="s">
        <v>5934</v>
      </c>
      <c r="B2961" s="10">
        <v>4.1097661746942604</v>
      </c>
      <c r="C2961" s="10">
        <v>5.4328693169605202</v>
      </c>
      <c r="D2961" s="10">
        <v>2.14332345947187</v>
      </c>
      <c r="E2961" s="10">
        <v>2.5347874082893802</v>
      </c>
      <c r="F2961" s="10">
        <v>1.1251558606317101E-2</v>
      </c>
      <c r="G2961" s="10">
        <v>3.5125024902190903E-2</v>
      </c>
      <c r="H2961" s="10" t="s">
        <v>5935</v>
      </c>
      <c r="I2961" s="10" t="s">
        <v>18</v>
      </c>
    </row>
    <row r="2962" spans="1:9" x14ac:dyDescent="0.2">
      <c r="A2962" s="10" t="s">
        <v>5936</v>
      </c>
      <c r="B2962" s="10">
        <v>578.93318611027598</v>
      </c>
      <c r="C2962" s="10">
        <v>-1.0726930303649</v>
      </c>
      <c r="D2962" s="10">
        <v>0.21424855827193101</v>
      </c>
      <c r="E2962" s="10">
        <v>-5.0067689557257298</v>
      </c>
      <c r="F2962" s="4">
        <v>5.5351300450200999E-7</v>
      </c>
      <c r="G2962" s="4">
        <v>4.9545232699297798E-6</v>
      </c>
      <c r="H2962" s="10" t="s">
        <v>5937</v>
      </c>
      <c r="I2962" s="10" t="s">
        <v>18</v>
      </c>
    </row>
    <row r="2963" spans="1:9" x14ac:dyDescent="0.2">
      <c r="A2963" s="10" t="s">
        <v>5938</v>
      </c>
      <c r="B2963" s="10">
        <v>40.477692374208097</v>
      </c>
      <c r="C2963" s="10">
        <v>4.6312477197339499</v>
      </c>
      <c r="D2963" s="10">
        <v>1.6906888348390099</v>
      </c>
      <c r="E2963" s="10">
        <v>2.7392667558338499</v>
      </c>
      <c r="F2963" s="10">
        <v>6.1576389504354604E-3</v>
      </c>
      <c r="G2963" s="10">
        <v>2.11492737277846E-2</v>
      </c>
      <c r="H2963" s="10" t="s">
        <v>5939</v>
      </c>
      <c r="I2963" s="10" t="s">
        <v>18</v>
      </c>
    </row>
    <row r="2964" spans="1:9" x14ac:dyDescent="0.2">
      <c r="A2964" s="10" t="s">
        <v>5940</v>
      </c>
      <c r="B2964" s="10">
        <v>126.963350284681</v>
      </c>
      <c r="C2964" s="10">
        <v>1.7165879181371599</v>
      </c>
      <c r="D2964" s="10">
        <v>0.35332337261156299</v>
      </c>
      <c r="E2964" s="10">
        <v>4.8584046547759598</v>
      </c>
      <c r="F2964" s="4">
        <v>1.1833536948384399E-6</v>
      </c>
      <c r="G2964" s="4">
        <v>9.9946801374032805E-6</v>
      </c>
      <c r="H2964" s="10" t="s">
        <v>5941</v>
      </c>
      <c r="I2964" s="10" t="s">
        <v>18</v>
      </c>
    </row>
    <row r="2965" spans="1:9" x14ac:dyDescent="0.2">
      <c r="A2965" s="10" t="s">
        <v>5942</v>
      </c>
      <c r="B2965" s="10">
        <v>538.18800326906296</v>
      </c>
      <c r="C2965" s="10">
        <v>-1.33441026901292</v>
      </c>
      <c r="D2965" s="10">
        <v>0.25609122471794299</v>
      </c>
      <c r="E2965" s="10">
        <v>-5.2106833042898302</v>
      </c>
      <c r="F2965" s="4">
        <v>1.8814638297505899E-7</v>
      </c>
      <c r="G2965" s="4">
        <v>1.82825410018596E-6</v>
      </c>
      <c r="H2965" s="10" t="s">
        <v>5943</v>
      </c>
      <c r="I2965" s="10" t="s">
        <v>18</v>
      </c>
    </row>
    <row r="2966" spans="1:9" x14ac:dyDescent="0.2">
      <c r="A2966" s="10" t="s">
        <v>5944</v>
      </c>
      <c r="B2966" s="10">
        <v>1632.72643723695</v>
      </c>
      <c r="C2966" s="10">
        <v>-1.5530052123621201</v>
      </c>
      <c r="D2966" s="10">
        <v>0.19250319447668299</v>
      </c>
      <c r="E2966" s="10">
        <v>-8.0674256683580801</v>
      </c>
      <c r="F2966" s="4">
        <v>7.1795888632423905E-16</v>
      </c>
      <c r="G2966" s="4">
        <v>1.9445552460911101E-14</v>
      </c>
      <c r="H2966" s="10" t="s">
        <v>5945</v>
      </c>
      <c r="I2966" s="10" t="s">
        <v>18</v>
      </c>
    </row>
    <row r="2967" spans="1:9" x14ac:dyDescent="0.2">
      <c r="A2967" s="10" t="s">
        <v>5946</v>
      </c>
      <c r="B2967" s="10">
        <v>7511.6136999419896</v>
      </c>
      <c r="C2967" s="10">
        <v>-1.76015983547152</v>
      </c>
      <c r="D2967" s="10">
        <v>0.175516972829559</v>
      </c>
      <c r="E2967" s="10">
        <v>-10.028430909532499</v>
      </c>
      <c r="F2967" s="4">
        <v>1.1431879946139999E-23</v>
      </c>
      <c r="G2967" s="4">
        <v>5.7575680756465304E-22</v>
      </c>
      <c r="H2967" s="10" t="s">
        <v>5947</v>
      </c>
      <c r="I2967" s="10" t="s">
        <v>18</v>
      </c>
    </row>
    <row r="2968" spans="1:9" x14ac:dyDescent="0.2">
      <c r="A2968" s="10" t="s">
        <v>5948</v>
      </c>
      <c r="B2968" s="10">
        <v>1404.1697148850899</v>
      </c>
      <c r="C2968" s="10">
        <v>-1.1295467904403</v>
      </c>
      <c r="D2968" s="10">
        <v>0.22707686498419799</v>
      </c>
      <c r="E2968" s="10">
        <v>-4.9742926938810097</v>
      </c>
      <c r="F2968" s="4">
        <v>6.5486301123844204E-7</v>
      </c>
      <c r="G2968" s="4">
        <v>5.7856849763987696E-6</v>
      </c>
      <c r="H2968" s="10" t="s">
        <v>5949</v>
      </c>
      <c r="I2968" s="10" t="s">
        <v>18</v>
      </c>
    </row>
    <row r="2969" spans="1:9" x14ac:dyDescent="0.2">
      <c r="A2969" s="10" t="s">
        <v>5950</v>
      </c>
      <c r="B2969" s="10">
        <v>327.94945925960599</v>
      </c>
      <c r="C2969" s="10">
        <v>-2.3842763354502399</v>
      </c>
      <c r="D2969" s="10">
        <v>0.291632370612601</v>
      </c>
      <c r="E2969" s="10">
        <v>-8.1756230642086898</v>
      </c>
      <c r="F2969" s="4">
        <v>2.9434083438013298E-16</v>
      </c>
      <c r="G2969" s="4">
        <v>8.2171154860199701E-15</v>
      </c>
      <c r="H2969" s="10" t="s">
        <v>5951</v>
      </c>
      <c r="I2969" s="10" t="s">
        <v>18</v>
      </c>
    </row>
    <row r="2970" spans="1:9" x14ac:dyDescent="0.2">
      <c r="A2970" s="10" t="s">
        <v>5952</v>
      </c>
      <c r="B2970" s="10">
        <v>136.493695884049</v>
      </c>
      <c r="C2970" s="10">
        <v>-1.2722469280966999</v>
      </c>
      <c r="D2970" s="10">
        <v>0.33690199072184701</v>
      </c>
      <c r="E2970" s="10">
        <v>-3.7763116963802501</v>
      </c>
      <c r="F2970" s="10">
        <v>1.5916778867977E-4</v>
      </c>
      <c r="G2970" s="10">
        <v>8.6945564117034597E-4</v>
      </c>
      <c r="H2970" s="10" t="s">
        <v>5953</v>
      </c>
      <c r="I2970" s="10" t="s">
        <v>18</v>
      </c>
    </row>
    <row r="2971" spans="1:9" x14ac:dyDescent="0.2">
      <c r="A2971" s="10" t="s">
        <v>5954</v>
      </c>
      <c r="B2971" s="10">
        <v>461.91891742332098</v>
      </c>
      <c r="C2971" s="10">
        <v>5.2776173533434196</v>
      </c>
      <c r="D2971" s="10">
        <v>0.31519671290032197</v>
      </c>
      <c r="E2971" s="10">
        <v>16.743884492895798</v>
      </c>
      <c r="F2971" s="4">
        <v>6.2755859042306397E-63</v>
      </c>
      <c r="G2971" s="4">
        <v>2.03560582300681E-60</v>
      </c>
      <c r="H2971" s="10" t="s">
        <v>5955</v>
      </c>
      <c r="I2971" s="10" t="s">
        <v>18</v>
      </c>
    </row>
    <row r="2972" spans="1:9" x14ac:dyDescent="0.2">
      <c r="A2972" s="10" t="s">
        <v>5956</v>
      </c>
      <c r="B2972" s="10">
        <v>3390.4322853431099</v>
      </c>
      <c r="C2972" s="10">
        <v>-1.1168599287860399</v>
      </c>
      <c r="D2972" s="10">
        <v>0.201184224443859</v>
      </c>
      <c r="E2972" s="10">
        <v>-5.55142895459828</v>
      </c>
      <c r="F2972" s="4">
        <v>2.8334386697410902E-8</v>
      </c>
      <c r="G2972" s="4">
        <v>3.1627490141104201E-7</v>
      </c>
      <c r="H2972" s="10" t="s">
        <v>5957</v>
      </c>
      <c r="I2972" s="10" t="s">
        <v>18</v>
      </c>
    </row>
    <row r="2973" spans="1:9" x14ac:dyDescent="0.2">
      <c r="A2973" s="10" t="s">
        <v>5958</v>
      </c>
      <c r="B2973" s="10">
        <v>18.667336260518699</v>
      </c>
      <c r="C2973" s="10">
        <v>3.00539336995215</v>
      </c>
      <c r="D2973" s="10">
        <v>0.89445503239796897</v>
      </c>
      <c r="E2973" s="10">
        <v>3.3600273474843201</v>
      </c>
      <c r="F2973" s="10">
        <v>7.7934757586245104E-4</v>
      </c>
      <c r="G2973" s="10">
        <v>3.5515777553979302E-3</v>
      </c>
      <c r="H2973" s="10" t="s">
        <v>5959</v>
      </c>
      <c r="I2973" s="10" t="s">
        <v>18</v>
      </c>
    </row>
    <row r="2974" spans="1:9" x14ac:dyDescent="0.2">
      <c r="A2974" s="10" t="s">
        <v>5960</v>
      </c>
      <c r="B2974" s="10">
        <v>247.267532711928</v>
      </c>
      <c r="C2974" s="10">
        <v>5.4782677745420401</v>
      </c>
      <c r="D2974" s="10">
        <v>0.41607007499309401</v>
      </c>
      <c r="E2974" s="10">
        <v>13.1666949963488</v>
      </c>
      <c r="F2974" s="4">
        <v>1.3644082288470201E-39</v>
      </c>
      <c r="G2974" s="4">
        <v>1.8403975748215199E-37</v>
      </c>
      <c r="H2974" s="10" t="s">
        <v>5961</v>
      </c>
      <c r="I2974" s="10" t="s">
        <v>18</v>
      </c>
    </row>
    <row r="2975" spans="1:9" x14ac:dyDescent="0.2">
      <c r="A2975" s="10" t="s">
        <v>5962</v>
      </c>
      <c r="B2975" s="10">
        <v>54.8786453662387</v>
      </c>
      <c r="C2975" s="10">
        <v>2.1144141882950498</v>
      </c>
      <c r="D2975" s="10">
        <v>0.50744753682688604</v>
      </c>
      <c r="E2975" s="10">
        <v>4.1667641181523303</v>
      </c>
      <c r="F2975" s="4">
        <v>3.0895389233656497E-5</v>
      </c>
      <c r="G2975" s="10">
        <v>1.9742182702847999E-4</v>
      </c>
      <c r="H2975" s="10" t="s">
        <v>5963</v>
      </c>
      <c r="I2975" s="10" t="s">
        <v>18</v>
      </c>
    </row>
    <row r="2976" spans="1:9" x14ac:dyDescent="0.2">
      <c r="A2976" s="10" t="s">
        <v>5964</v>
      </c>
      <c r="B2976" s="10">
        <v>4.3694444890872397</v>
      </c>
      <c r="C2976" s="10">
        <v>5.5278073040699196</v>
      </c>
      <c r="D2976" s="10">
        <v>2.1223585767351398</v>
      </c>
      <c r="E2976" s="10">
        <v>2.6045586097771598</v>
      </c>
      <c r="F2976" s="10">
        <v>9.1992685622235906E-3</v>
      </c>
      <c r="G2976" s="10">
        <v>2.9634957497624299E-2</v>
      </c>
      <c r="H2976" s="10" t="s">
        <v>5965</v>
      </c>
      <c r="I2976" s="10" t="s">
        <v>18</v>
      </c>
    </row>
    <row r="2977" spans="1:9" x14ac:dyDescent="0.2">
      <c r="A2977" s="10" t="s">
        <v>5966</v>
      </c>
      <c r="B2977" s="10">
        <v>3.9618079650943998</v>
      </c>
      <c r="C2977" s="10">
        <v>5.3771408192735599</v>
      </c>
      <c r="D2977" s="10">
        <v>2.19654804218851</v>
      </c>
      <c r="E2977" s="10">
        <v>2.4479959991751898</v>
      </c>
      <c r="F2977" s="10">
        <v>1.43653250707227E-2</v>
      </c>
      <c r="G2977" s="10">
        <v>4.3002857855634E-2</v>
      </c>
      <c r="H2977" s="10" t="s">
        <v>5967</v>
      </c>
      <c r="I2977" s="10" t="s">
        <v>18</v>
      </c>
    </row>
    <row r="2978" spans="1:9" x14ac:dyDescent="0.2">
      <c r="A2978" s="10" t="s">
        <v>5968</v>
      </c>
      <c r="B2978" s="10">
        <v>3963.0535814344698</v>
      </c>
      <c r="C2978" s="10">
        <v>2.79439615594542</v>
      </c>
      <c r="D2978" s="10">
        <v>0.18848114768369201</v>
      </c>
      <c r="E2978" s="10">
        <v>14.8258655588991</v>
      </c>
      <c r="F2978" s="4">
        <v>9.9686616982149309E-50</v>
      </c>
      <c r="G2978" s="4">
        <v>1.9971773918475201E-47</v>
      </c>
      <c r="H2978" s="10" t="s">
        <v>5969</v>
      </c>
      <c r="I2978" s="10" t="s">
        <v>18</v>
      </c>
    </row>
    <row r="2979" spans="1:9" x14ac:dyDescent="0.2">
      <c r="A2979" s="10" t="s">
        <v>5970</v>
      </c>
      <c r="B2979" s="10">
        <v>52.930799104659101</v>
      </c>
      <c r="C2979" s="10">
        <v>-1.2751745401249399</v>
      </c>
      <c r="D2979" s="10">
        <v>0.483555583713146</v>
      </c>
      <c r="E2979" s="10">
        <v>-2.6370795479871698</v>
      </c>
      <c r="F2979" s="10">
        <v>8.3623219137962303E-3</v>
      </c>
      <c r="G2979" s="10">
        <v>2.7382308038121101E-2</v>
      </c>
      <c r="H2979" s="10" t="s">
        <v>5971</v>
      </c>
      <c r="I2979" s="10" t="s">
        <v>18</v>
      </c>
    </row>
    <row r="2980" spans="1:9" x14ac:dyDescent="0.2">
      <c r="A2980" s="10" t="s">
        <v>5972</v>
      </c>
      <c r="B2980" s="10">
        <v>1588.18728639603</v>
      </c>
      <c r="C2980" s="10">
        <v>-1.33222564654554</v>
      </c>
      <c r="D2980" s="10">
        <v>0.21382712916287999</v>
      </c>
      <c r="E2980" s="10">
        <v>-6.2303864423617297</v>
      </c>
      <c r="F2980" s="4">
        <v>4.6528599507507501E-10</v>
      </c>
      <c r="G2980" s="4">
        <v>6.56532755453681E-9</v>
      </c>
      <c r="H2980" s="10" t="s">
        <v>5973</v>
      </c>
      <c r="I2980" s="10" t="s">
        <v>18</v>
      </c>
    </row>
    <row r="2981" spans="1:9" x14ac:dyDescent="0.2">
      <c r="A2981" s="10" t="s">
        <v>5974</v>
      </c>
      <c r="B2981" s="10">
        <v>55.5536230182921</v>
      </c>
      <c r="C2981" s="10">
        <v>-2.45450398780623</v>
      </c>
      <c r="D2981" s="10">
        <v>0.50179370485161101</v>
      </c>
      <c r="E2981" s="10">
        <v>-4.8914603034569204</v>
      </c>
      <c r="F2981" s="4">
        <v>1.0009058214871601E-6</v>
      </c>
      <c r="G2981" s="4">
        <v>8.5976295454163408E-6</v>
      </c>
      <c r="H2981" s="10" t="s">
        <v>5975</v>
      </c>
      <c r="I2981" s="10" t="s">
        <v>18</v>
      </c>
    </row>
    <row r="2982" spans="1:9" x14ac:dyDescent="0.2">
      <c r="A2982" s="10" t="s">
        <v>5976</v>
      </c>
      <c r="B2982" s="10">
        <v>17.6142600702549</v>
      </c>
      <c r="C2982" s="10">
        <v>3.6699847455574699</v>
      </c>
      <c r="D2982" s="10">
        <v>1.00897266843273</v>
      </c>
      <c r="E2982" s="10">
        <v>3.6373480277301899</v>
      </c>
      <c r="F2982" s="10">
        <v>2.7545962040555498E-4</v>
      </c>
      <c r="G2982" s="10">
        <v>1.41186009728935E-3</v>
      </c>
      <c r="H2982" s="10" t="s">
        <v>5977</v>
      </c>
      <c r="I2982" s="10" t="s">
        <v>18</v>
      </c>
    </row>
    <row r="2983" spans="1:9" x14ac:dyDescent="0.2">
      <c r="A2983" s="10" t="s">
        <v>5978</v>
      </c>
      <c r="B2983" s="10">
        <v>3793.12878284013</v>
      </c>
      <c r="C2983" s="10">
        <v>-1.28430409144323</v>
      </c>
      <c r="D2983" s="10">
        <v>0.21071898022694599</v>
      </c>
      <c r="E2983" s="10">
        <v>-6.0948666800685203</v>
      </c>
      <c r="F2983" s="4">
        <v>1.09528695240514E-9</v>
      </c>
      <c r="G2983" s="4">
        <v>1.4817916381421499E-8</v>
      </c>
      <c r="H2983" s="10" t="s">
        <v>5979</v>
      </c>
      <c r="I2983" s="10" t="s">
        <v>18</v>
      </c>
    </row>
    <row r="2984" spans="1:9" x14ac:dyDescent="0.2">
      <c r="A2984" s="10" t="s">
        <v>5980</v>
      </c>
      <c r="B2984" s="10">
        <v>63.942409680438601</v>
      </c>
      <c r="C2984" s="10">
        <v>3.3603410448681101</v>
      </c>
      <c r="D2984" s="10">
        <v>0.523403745030527</v>
      </c>
      <c r="E2984" s="10">
        <v>6.42017004420196</v>
      </c>
      <c r="F2984" s="4">
        <v>1.3612220730264399E-10</v>
      </c>
      <c r="G2984" s="4">
        <v>2.07782732906171E-9</v>
      </c>
      <c r="H2984" s="10" t="s">
        <v>5981</v>
      </c>
      <c r="I2984" s="10" t="s">
        <v>18</v>
      </c>
    </row>
    <row r="2985" spans="1:9" x14ac:dyDescent="0.2">
      <c r="A2985" s="10" t="s">
        <v>5982</v>
      </c>
      <c r="B2985" s="10">
        <v>8.6241630830084706</v>
      </c>
      <c r="C2985" s="10">
        <v>6.5033912896469896</v>
      </c>
      <c r="D2985" s="10">
        <v>1.80982836961607</v>
      </c>
      <c r="E2985" s="10">
        <v>3.5933745977396598</v>
      </c>
      <c r="F2985" s="10">
        <v>3.2642278224370301E-4</v>
      </c>
      <c r="G2985" s="10">
        <v>1.64182231686876E-3</v>
      </c>
      <c r="H2985" s="10" t="s">
        <v>5983</v>
      </c>
      <c r="I2985" s="10" t="s">
        <v>18</v>
      </c>
    </row>
    <row r="2986" spans="1:9" x14ac:dyDescent="0.2">
      <c r="A2986" s="10" t="s">
        <v>5984</v>
      </c>
      <c r="B2986" s="10">
        <v>26.935628717785001</v>
      </c>
      <c r="C2986" s="10">
        <v>5.07851956545026</v>
      </c>
      <c r="D2986" s="10">
        <v>1.0420263883326599</v>
      </c>
      <c r="E2986" s="10">
        <v>4.8736957358406201</v>
      </c>
      <c r="F2986" s="4">
        <v>1.0952964066487E-6</v>
      </c>
      <c r="G2986" s="4">
        <v>9.33193908441439E-6</v>
      </c>
      <c r="H2986" s="10" t="s">
        <v>5985</v>
      </c>
      <c r="I2986" s="10" t="s">
        <v>18</v>
      </c>
    </row>
    <row r="2987" spans="1:9" x14ac:dyDescent="0.2">
      <c r="A2987" s="10" t="s">
        <v>5986</v>
      </c>
      <c r="B2987" s="10">
        <v>4.1097661746942604</v>
      </c>
      <c r="C2987" s="10">
        <v>5.4328693169605202</v>
      </c>
      <c r="D2987" s="10">
        <v>2.14332345947187</v>
      </c>
      <c r="E2987" s="10">
        <v>2.5347874082893802</v>
      </c>
      <c r="F2987" s="10">
        <v>1.1251558606317101E-2</v>
      </c>
      <c r="G2987" s="10">
        <v>3.5125024902190903E-2</v>
      </c>
      <c r="H2987" s="10" t="s">
        <v>5987</v>
      </c>
      <c r="I2987" s="10" t="s">
        <v>18</v>
      </c>
    </row>
    <row r="2988" spans="1:9" x14ac:dyDescent="0.2">
      <c r="A2988" s="10" t="s">
        <v>5988</v>
      </c>
      <c r="B2988" s="10">
        <v>4026.6056530420801</v>
      </c>
      <c r="C2988" s="10">
        <v>2.1954494445036201</v>
      </c>
      <c r="D2988" s="10">
        <v>0.205533189029626</v>
      </c>
      <c r="E2988" s="10">
        <v>10.6817271452309</v>
      </c>
      <c r="F2988" s="4">
        <v>1.23943922558055E-26</v>
      </c>
      <c r="G2988" s="4">
        <v>7.7102741048842897E-25</v>
      </c>
      <c r="H2988" s="10" t="s">
        <v>5989</v>
      </c>
      <c r="I2988" s="10" t="s">
        <v>18</v>
      </c>
    </row>
    <row r="2989" spans="1:9" x14ac:dyDescent="0.2">
      <c r="A2989" s="10" t="s">
        <v>5990</v>
      </c>
      <c r="B2989" s="10">
        <v>6.9813006751610196</v>
      </c>
      <c r="C2989" s="10">
        <v>4.7018221056523801</v>
      </c>
      <c r="D2989" s="10">
        <v>1.8687806903439499</v>
      </c>
      <c r="E2989" s="10">
        <v>2.5159838872195301</v>
      </c>
      <c r="F2989" s="10">
        <v>1.18700609339923E-2</v>
      </c>
      <c r="G2989" s="10">
        <v>3.6685974395245999E-2</v>
      </c>
      <c r="H2989" s="10" t="s">
        <v>5991</v>
      </c>
      <c r="I2989" s="10" t="s">
        <v>18</v>
      </c>
    </row>
    <row r="2990" spans="1:9" x14ac:dyDescent="0.2">
      <c r="A2990" s="10" t="s">
        <v>5992</v>
      </c>
      <c r="B2990" s="10">
        <v>1652.13072853568</v>
      </c>
      <c r="C2990" s="10">
        <v>1.64982161597207</v>
      </c>
      <c r="D2990" s="10">
        <v>0.21306952234995299</v>
      </c>
      <c r="E2990" s="10">
        <v>7.7431140680099002</v>
      </c>
      <c r="F2990" s="4">
        <v>9.7010933838405892E-15</v>
      </c>
      <c r="G2990" s="4">
        <v>2.34123730229853E-13</v>
      </c>
      <c r="H2990" s="10" t="s">
        <v>5993</v>
      </c>
      <c r="I2990" s="10" t="s">
        <v>18</v>
      </c>
    </row>
    <row r="2991" spans="1:9" x14ac:dyDescent="0.2">
      <c r="A2991" s="10" t="s">
        <v>5994</v>
      </c>
      <c r="B2991" s="10">
        <v>10190.9897884197</v>
      </c>
      <c r="C2991" s="10">
        <v>2.8632911456640802</v>
      </c>
      <c r="D2991" s="10">
        <v>0.190056887207498</v>
      </c>
      <c r="E2991" s="10">
        <v>15.0654427089402</v>
      </c>
      <c r="F2991" s="4">
        <v>2.7332856343011401E-51</v>
      </c>
      <c r="G2991" s="4">
        <v>5.7287564367540802E-49</v>
      </c>
      <c r="H2991" s="10" t="s">
        <v>5995</v>
      </c>
      <c r="I2991" s="10" t="s">
        <v>18</v>
      </c>
    </row>
    <row r="2992" spans="1:9" x14ac:dyDescent="0.2">
      <c r="A2992" s="10" t="s">
        <v>5996</v>
      </c>
      <c r="B2992" s="10">
        <v>559.27900800067005</v>
      </c>
      <c r="C2992" s="10">
        <v>-1.07490055073202</v>
      </c>
      <c r="D2992" s="10">
        <v>0.23454588133468299</v>
      </c>
      <c r="E2992" s="10">
        <v>-4.5829009855781697</v>
      </c>
      <c r="F2992" s="4">
        <v>4.5856921058173703E-6</v>
      </c>
      <c r="G2992" s="4">
        <v>3.4881728868566698E-5</v>
      </c>
      <c r="H2992" s="10" t="s">
        <v>5997</v>
      </c>
      <c r="I2992" s="10" t="s">
        <v>18</v>
      </c>
    </row>
    <row r="2993" spans="1:9" x14ac:dyDescent="0.2">
      <c r="A2993" s="10" t="s">
        <v>5998</v>
      </c>
      <c r="B2993" s="10">
        <v>257.08060314066398</v>
      </c>
      <c r="C2993" s="10">
        <v>1.0328964851660201</v>
      </c>
      <c r="D2993" s="10">
        <v>0.276397318870854</v>
      </c>
      <c r="E2993" s="10">
        <v>3.73699893105199</v>
      </c>
      <c r="F2993" s="10">
        <v>1.8622971509955099E-4</v>
      </c>
      <c r="G2993" s="10">
        <v>1.00023675287157E-3</v>
      </c>
      <c r="H2993" s="10" t="s">
        <v>5999</v>
      </c>
      <c r="I2993" s="10" t="s">
        <v>18</v>
      </c>
    </row>
    <row r="2994" spans="1:9" x14ac:dyDescent="0.2">
      <c r="A2994" s="10" t="s">
        <v>6000</v>
      </c>
      <c r="B2994" s="10">
        <v>49.296662115916597</v>
      </c>
      <c r="C2994" s="10">
        <v>4.0356163136164698</v>
      </c>
      <c r="D2994" s="10">
        <v>0.64315000370831998</v>
      </c>
      <c r="E2994" s="10">
        <v>6.2747668356489701</v>
      </c>
      <c r="F2994" s="4">
        <v>3.5015863167713098E-10</v>
      </c>
      <c r="G2994" s="4">
        <v>5.0320528677778396E-9</v>
      </c>
      <c r="H2994" s="10" t="s">
        <v>6001</v>
      </c>
      <c r="I2994" s="10" t="s">
        <v>18</v>
      </c>
    </row>
    <row r="2995" spans="1:9" x14ac:dyDescent="0.2">
      <c r="A2995" s="10" t="s">
        <v>6002</v>
      </c>
      <c r="B2995" s="10">
        <v>33.947404977112001</v>
      </c>
      <c r="C2995" s="10">
        <v>6.02134330522538</v>
      </c>
      <c r="D2995" s="10">
        <v>1.16855210090467</v>
      </c>
      <c r="E2995" s="10">
        <v>5.1528239952363197</v>
      </c>
      <c r="F2995" s="4">
        <v>2.5659276811228298E-7</v>
      </c>
      <c r="G2995" s="4">
        <v>2.43178544443665E-6</v>
      </c>
      <c r="H2995" s="10" t="s">
        <v>6003</v>
      </c>
      <c r="I2995" s="10" t="s">
        <v>18</v>
      </c>
    </row>
    <row r="2996" spans="1:9" x14ac:dyDescent="0.2">
      <c r="A2996" s="10" t="s">
        <v>6004</v>
      </c>
      <c r="B2996" s="10">
        <v>8.5124429782153506</v>
      </c>
      <c r="C2996" s="10">
        <v>6.4827049885886003</v>
      </c>
      <c r="D2996" s="10">
        <v>1.8258597173722999</v>
      </c>
      <c r="E2996" s="10">
        <v>3.5504945571164899</v>
      </c>
      <c r="F2996" s="10">
        <v>3.8450808648691701E-4</v>
      </c>
      <c r="G2996" s="10">
        <v>1.90174112044092E-3</v>
      </c>
      <c r="H2996" s="10" t="s">
        <v>6005</v>
      </c>
      <c r="I2996" s="10" t="s">
        <v>18</v>
      </c>
    </row>
    <row r="2997" spans="1:9" x14ac:dyDescent="0.2">
      <c r="A2997" s="10" t="s">
        <v>6006</v>
      </c>
      <c r="B2997" s="10">
        <v>183.35303693220101</v>
      </c>
      <c r="C2997" s="10">
        <v>2.0273613837675901</v>
      </c>
      <c r="D2997" s="10">
        <v>0.32409967988458099</v>
      </c>
      <c r="E2997" s="10">
        <v>6.2553637340511399</v>
      </c>
      <c r="F2997" s="4">
        <v>3.96590491166804E-10</v>
      </c>
      <c r="G2997" s="4">
        <v>5.6575398496449797E-9</v>
      </c>
      <c r="H2997" s="10" t="s">
        <v>6007</v>
      </c>
      <c r="I2997" s="10" t="s">
        <v>18</v>
      </c>
    </row>
    <row r="2998" spans="1:9" x14ac:dyDescent="0.2">
      <c r="A2998" s="10" t="s">
        <v>6008</v>
      </c>
      <c r="B2998" s="10">
        <v>332.57010961957099</v>
      </c>
      <c r="C2998" s="10">
        <v>3.9572995599924101</v>
      </c>
      <c r="D2998" s="10">
        <v>0.29090688881919802</v>
      </c>
      <c r="E2998" s="10">
        <v>13.6033202103094</v>
      </c>
      <c r="F2998" s="4">
        <v>3.8265954106216998E-42</v>
      </c>
      <c r="G2998" s="4">
        <v>5.85748568276457E-40</v>
      </c>
      <c r="H2998" s="10" t="s">
        <v>6009</v>
      </c>
      <c r="I2998" s="10" t="s">
        <v>18</v>
      </c>
    </row>
    <row r="2999" spans="1:9" x14ac:dyDescent="0.2">
      <c r="A2999" s="10" t="s">
        <v>6010</v>
      </c>
      <c r="B2999" s="10">
        <v>5454.1204857378298</v>
      </c>
      <c r="C2999" s="10">
        <v>-1.33391024958962</v>
      </c>
      <c r="D2999" s="10">
        <v>0.21559466842258601</v>
      </c>
      <c r="E2999" s="10">
        <v>-6.1871207639283297</v>
      </c>
      <c r="F2999" s="4">
        <v>6.1273025148129104E-10</v>
      </c>
      <c r="G2999" s="4">
        <v>8.5484184137791706E-9</v>
      </c>
      <c r="H2999" s="10" t="s">
        <v>6011</v>
      </c>
      <c r="I2999" s="10" t="s">
        <v>18</v>
      </c>
    </row>
    <row r="3000" spans="1:9" x14ac:dyDescent="0.2">
      <c r="A3000" s="10" t="s">
        <v>6012</v>
      </c>
      <c r="B3000" s="10">
        <v>129.369728038597</v>
      </c>
      <c r="C3000" s="10">
        <v>-1.34749055644597</v>
      </c>
      <c r="D3000" s="10">
        <v>0.37629171260534899</v>
      </c>
      <c r="E3000" s="10">
        <v>-3.5809732484308099</v>
      </c>
      <c r="F3000" s="10">
        <v>3.4231670594374E-4</v>
      </c>
      <c r="G3000" s="10">
        <v>1.71254294784946E-3</v>
      </c>
      <c r="H3000" s="10" t="s">
        <v>6013</v>
      </c>
      <c r="I3000" s="10" t="s">
        <v>18</v>
      </c>
    </row>
    <row r="3001" spans="1:9" x14ac:dyDescent="0.2">
      <c r="A3001" s="10" t="s">
        <v>6014</v>
      </c>
      <c r="B3001" s="10">
        <v>683.15745733991298</v>
      </c>
      <c r="C3001" s="10">
        <v>-1.1885014868985599</v>
      </c>
      <c r="D3001" s="10">
        <v>0.22139849268234099</v>
      </c>
      <c r="E3001" s="10">
        <v>-5.3681552773884702</v>
      </c>
      <c r="F3001" s="4">
        <v>7.9546055717267702E-8</v>
      </c>
      <c r="G3001" s="4">
        <v>8.2160401066277198E-7</v>
      </c>
      <c r="H3001" s="10" t="s">
        <v>6015</v>
      </c>
      <c r="I3001" s="10" t="s">
        <v>18</v>
      </c>
    </row>
    <row r="3002" spans="1:9" x14ac:dyDescent="0.2">
      <c r="A3002" s="10" t="s">
        <v>6016</v>
      </c>
      <c r="B3002" s="10">
        <v>35.687900779184098</v>
      </c>
      <c r="C3002" s="10">
        <v>1.7344296925390701</v>
      </c>
      <c r="D3002" s="10">
        <v>0.59722102607899696</v>
      </c>
      <c r="E3002" s="10">
        <v>2.9041671622419498</v>
      </c>
      <c r="F3002" s="10">
        <v>3.6823149672444199E-3</v>
      </c>
      <c r="G3002" s="10">
        <v>1.3672940298788299E-2</v>
      </c>
      <c r="H3002" s="10" t="s">
        <v>6017</v>
      </c>
      <c r="I3002" s="10" t="s">
        <v>18</v>
      </c>
    </row>
    <row r="3003" spans="1:9" x14ac:dyDescent="0.2">
      <c r="A3003" s="10" t="s">
        <v>6018</v>
      </c>
      <c r="B3003" s="10">
        <v>305.41895345723498</v>
      </c>
      <c r="C3003" s="10">
        <v>1.1157896041676201</v>
      </c>
      <c r="D3003" s="10">
        <v>0.25725685170219698</v>
      </c>
      <c r="E3003" s="10">
        <v>4.3372590342482802</v>
      </c>
      <c r="F3003" s="4">
        <v>1.44270562627977E-5</v>
      </c>
      <c r="G3003" s="4">
        <v>9.9016121408677398E-5</v>
      </c>
      <c r="H3003" s="10" t="s">
        <v>6019</v>
      </c>
      <c r="I3003" s="10" t="s">
        <v>18</v>
      </c>
    </row>
    <row r="3004" spans="1:9" x14ac:dyDescent="0.2">
      <c r="A3004" s="10" t="s">
        <v>6020</v>
      </c>
      <c r="B3004" s="10">
        <v>6.0936759476143596</v>
      </c>
      <c r="C3004" s="10">
        <v>6.0052274683767202</v>
      </c>
      <c r="D3004" s="10">
        <v>1.9413763682855201</v>
      </c>
      <c r="E3004" s="10">
        <v>3.09328349024877</v>
      </c>
      <c r="F3004" s="10">
        <v>1.9795493731592298E-3</v>
      </c>
      <c r="G3004" s="10">
        <v>7.9823563372013705E-3</v>
      </c>
      <c r="H3004" s="10" t="s">
        <v>6021</v>
      </c>
      <c r="I3004" s="10" t="s">
        <v>18</v>
      </c>
    </row>
    <row r="3005" spans="1:9" x14ac:dyDescent="0.2">
      <c r="A3005" s="10" t="s">
        <v>6022</v>
      </c>
      <c r="B3005" s="10">
        <v>1438.8774955895699</v>
      </c>
      <c r="C3005" s="10">
        <v>-1.6292316736747099</v>
      </c>
      <c r="D3005" s="10">
        <v>0.18880007805382901</v>
      </c>
      <c r="E3005" s="10">
        <v>-8.6294014836699606</v>
      </c>
      <c r="F3005" s="4">
        <v>6.1673846753614302E-18</v>
      </c>
      <c r="G3005" s="4">
        <v>1.97930188750969E-16</v>
      </c>
      <c r="H3005" s="10" t="s">
        <v>6023</v>
      </c>
      <c r="I3005" s="10" t="s">
        <v>18</v>
      </c>
    </row>
    <row r="3006" spans="1:9" x14ac:dyDescent="0.2">
      <c r="A3006" s="10" t="s">
        <v>6024</v>
      </c>
      <c r="B3006" s="10">
        <v>2696.6953833380198</v>
      </c>
      <c r="C3006" s="10">
        <v>-1.7008614747794699</v>
      </c>
      <c r="D3006" s="10">
        <v>0.18251330101142901</v>
      </c>
      <c r="E3006" s="10">
        <v>-9.3191097051768192</v>
      </c>
      <c r="F3006" s="4">
        <v>1.17320573088433E-20</v>
      </c>
      <c r="G3006" s="4">
        <v>4.83605696662713E-19</v>
      </c>
      <c r="H3006" s="10" t="s">
        <v>6025</v>
      </c>
      <c r="I3006" s="10" t="s">
        <v>18</v>
      </c>
    </row>
    <row r="3007" spans="1:9" x14ac:dyDescent="0.2">
      <c r="A3007" s="10" t="s">
        <v>6026</v>
      </c>
      <c r="B3007" s="10">
        <v>834.63973894732806</v>
      </c>
      <c r="C3007" s="10">
        <v>1.24726953079266</v>
      </c>
      <c r="D3007" s="10">
        <v>0.20164288154742699</v>
      </c>
      <c r="E3007" s="10">
        <v>6.1855371299050699</v>
      </c>
      <c r="F3007" s="4">
        <v>6.1891364775871299E-10</v>
      </c>
      <c r="G3007" s="4">
        <v>8.6258517444918892E-9</v>
      </c>
      <c r="H3007" s="10" t="s">
        <v>6027</v>
      </c>
      <c r="I3007" s="10" t="s">
        <v>18</v>
      </c>
    </row>
    <row r="3008" spans="1:9" x14ac:dyDescent="0.2">
      <c r="A3008" s="10" t="s">
        <v>6028</v>
      </c>
      <c r="B3008" s="10">
        <v>21504.113817190399</v>
      </c>
      <c r="C3008" s="10">
        <v>-1.06646198405065</v>
      </c>
      <c r="D3008" s="10">
        <v>0.17297258264462001</v>
      </c>
      <c r="E3008" s="10">
        <v>-6.1654972582663401</v>
      </c>
      <c r="F3008" s="4">
        <v>7.0261987537046396E-10</v>
      </c>
      <c r="G3008" s="4">
        <v>9.7475986477693695E-9</v>
      </c>
      <c r="H3008" s="10" t="s">
        <v>6029</v>
      </c>
      <c r="I3008" s="10" t="s">
        <v>18</v>
      </c>
    </row>
    <row r="3009" spans="1:9" x14ac:dyDescent="0.2">
      <c r="A3009" s="10" t="s">
        <v>6030</v>
      </c>
      <c r="B3009" s="10">
        <v>95.737887081379199</v>
      </c>
      <c r="C3009" s="10">
        <v>1.42211637749925</v>
      </c>
      <c r="D3009" s="10">
        <v>0.411173351821915</v>
      </c>
      <c r="E3009" s="10">
        <v>3.4586783681331301</v>
      </c>
      <c r="F3009" s="10">
        <v>5.4283270811038102E-4</v>
      </c>
      <c r="G3009" s="10">
        <v>2.5776512369960901E-3</v>
      </c>
      <c r="H3009" s="10" t="s">
        <v>6031</v>
      </c>
      <c r="I3009" s="10" t="s">
        <v>18</v>
      </c>
    </row>
    <row r="3010" spans="1:9" x14ac:dyDescent="0.2">
      <c r="A3010" s="10" t="s">
        <v>6032</v>
      </c>
      <c r="B3010" s="10">
        <v>13.7577814623727</v>
      </c>
      <c r="C3010" s="10">
        <v>5.7084424573034998</v>
      </c>
      <c r="D3010" s="10">
        <v>1.67667991990635</v>
      </c>
      <c r="E3010" s="10">
        <v>3.4046107366887002</v>
      </c>
      <c r="F3010" s="10">
        <v>6.6258429638668096E-4</v>
      </c>
      <c r="G3010" s="10">
        <v>3.07868934577897E-3</v>
      </c>
      <c r="H3010" s="10" t="s">
        <v>6033</v>
      </c>
      <c r="I3010" s="10" t="s">
        <v>18</v>
      </c>
    </row>
    <row r="3011" spans="1:9" x14ac:dyDescent="0.2">
      <c r="A3011" s="10" t="s">
        <v>6034</v>
      </c>
      <c r="B3011" s="10">
        <v>6702.84999239846</v>
      </c>
      <c r="C3011" s="10">
        <v>1.71914476275085</v>
      </c>
      <c r="D3011" s="10">
        <v>0.18170949168551401</v>
      </c>
      <c r="E3011" s="10">
        <v>9.4609519117811605</v>
      </c>
      <c r="F3011" s="4">
        <v>3.05152406074441E-21</v>
      </c>
      <c r="G3011" s="4">
        <v>1.3135051513918301E-19</v>
      </c>
      <c r="H3011" s="10" t="s">
        <v>6035</v>
      </c>
      <c r="I3011" s="10" t="s">
        <v>18</v>
      </c>
    </row>
    <row r="3012" spans="1:9" x14ac:dyDescent="0.2">
      <c r="A3012" s="10" t="s">
        <v>6036</v>
      </c>
      <c r="B3012" s="10">
        <v>1534.90718740691</v>
      </c>
      <c r="C3012" s="10">
        <v>1.00979549644138</v>
      </c>
      <c r="D3012" s="10">
        <v>0.20892066995019901</v>
      </c>
      <c r="E3012" s="10">
        <v>4.8333920079908097</v>
      </c>
      <c r="F3012" s="4">
        <v>1.34226106383181E-6</v>
      </c>
      <c r="G3012" s="4">
        <v>1.1263500833454099E-5</v>
      </c>
      <c r="H3012" s="10" t="s">
        <v>6037</v>
      </c>
      <c r="I3012" s="10" t="s">
        <v>18</v>
      </c>
    </row>
    <row r="3013" spans="1:9" x14ac:dyDescent="0.2">
      <c r="A3013" s="10" t="s">
        <v>6038</v>
      </c>
      <c r="B3013" s="10">
        <v>1966.18348600948</v>
      </c>
      <c r="C3013" s="10">
        <v>-1.0758702310591599</v>
      </c>
      <c r="D3013" s="10">
        <v>0.19031258743680499</v>
      </c>
      <c r="E3013" s="10">
        <v>-5.6531743146858799</v>
      </c>
      <c r="F3013" s="4">
        <v>1.5751141936323199E-8</v>
      </c>
      <c r="G3013" s="4">
        <v>1.8223837126921401E-7</v>
      </c>
      <c r="H3013" s="10" t="s">
        <v>6039</v>
      </c>
      <c r="I3013" s="10" t="s">
        <v>18</v>
      </c>
    </row>
    <row r="3014" spans="1:9" x14ac:dyDescent="0.2">
      <c r="A3014" s="10" t="s">
        <v>6040</v>
      </c>
      <c r="B3014" s="10">
        <v>5.5773251092012899</v>
      </c>
      <c r="C3014" s="10">
        <v>5.8730172189294603</v>
      </c>
      <c r="D3014" s="10">
        <v>1.9878318593136</v>
      </c>
      <c r="E3014" s="10">
        <v>2.9544838973238998</v>
      </c>
      <c r="F3014" s="10">
        <v>3.13192497340763E-3</v>
      </c>
      <c r="G3014" s="10">
        <v>1.18835203663052E-2</v>
      </c>
      <c r="H3014" s="10" t="s">
        <v>6041</v>
      </c>
      <c r="I3014" s="10" t="s">
        <v>18</v>
      </c>
    </row>
    <row r="3015" spans="1:9" x14ac:dyDescent="0.2">
      <c r="A3015" s="10" t="s">
        <v>6042</v>
      </c>
      <c r="B3015" s="10">
        <v>3562.6033139791798</v>
      </c>
      <c r="C3015" s="10">
        <v>1.8624072877320801</v>
      </c>
      <c r="D3015" s="10">
        <v>0.193173088815564</v>
      </c>
      <c r="E3015" s="10">
        <v>9.6411322050674002</v>
      </c>
      <c r="F3015" s="4">
        <v>5.3593559595852997E-22</v>
      </c>
      <c r="G3015" s="4">
        <v>2.42568723971463E-20</v>
      </c>
      <c r="H3015" s="10" t="s">
        <v>6043</v>
      </c>
      <c r="I3015" s="10" t="s">
        <v>18</v>
      </c>
    </row>
    <row r="3016" spans="1:9" x14ac:dyDescent="0.2">
      <c r="A3016" s="10" t="s">
        <v>6044</v>
      </c>
      <c r="B3016" s="10">
        <v>1445.6184375179801</v>
      </c>
      <c r="C3016" s="10">
        <v>-1.26062662765251</v>
      </c>
      <c r="D3016" s="10">
        <v>0.22798070341594001</v>
      </c>
      <c r="E3016" s="10">
        <v>-5.5295321435716396</v>
      </c>
      <c r="F3016" s="4">
        <v>3.2108596576283402E-8</v>
      </c>
      <c r="G3016" s="4">
        <v>3.5505800767613402E-7</v>
      </c>
      <c r="H3016" s="10" t="s">
        <v>6045</v>
      </c>
      <c r="I3016" s="10" t="s">
        <v>18</v>
      </c>
    </row>
    <row r="3017" spans="1:9" x14ac:dyDescent="0.2">
      <c r="A3017" s="10" t="s">
        <v>6046</v>
      </c>
      <c r="B3017" s="10">
        <v>4.8073075371410301</v>
      </c>
      <c r="C3017" s="10">
        <v>5.6597867282439296</v>
      </c>
      <c r="D3017" s="10">
        <v>2.0539032196280198</v>
      </c>
      <c r="E3017" s="10">
        <v>2.7556248386761699</v>
      </c>
      <c r="F3017" s="10">
        <v>5.8580144965317896E-3</v>
      </c>
      <c r="G3017" s="10">
        <v>2.0291548561785101E-2</v>
      </c>
      <c r="H3017" s="10" t="s">
        <v>6047</v>
      </c>
      <c r="I3017" s="10" t="s">
        <v>18</v>
      </c>
    </row>
    <row r="3018" spans="1:9" x14ac:dyDescent="0.2">
      <c r="A3018" s="10" t="s">
        <v>6048</v>
      </c>
      <c r="B3018" s="10">
        <v>235.59280956975701</v>
      </c>
      <c r="C3018" s="10">
        <v>1.0845734735635699</v>
      </c>
      <c r="D3018" s="10">
        <v>0.28193483149380399</v>
      </c>
      <c r="E3018" s="10">
        <v>3.8468942195508999</v>
      </c>
      <c r="F3018" s="10">
        <v>1.19624585266642E-4</v>
      </c>
      <c r="G3018" s="10">
        <v>6.7357120784463699E-4</v>
      </c>
      <c r="H3018" s="10" t="s">
        <v>6049</v>
      </c>
      <c r="I3018" s="10" t="s">
        <v>18</v>
      </c>
    </row>
    <row r="3019" spans="1:9" x14ac:dyDescent="0.2">
      <c r="A3019" s="10" t="s">
        <v>6050</v>
      </c>
      <c r="B3019" s="10">
        <v>4.5506350131209503</v>
      </c>
      <c r="C3019" s="10">
        <v>5.5810926405007502</v>
      </c>
      <c r="D3019" s="10">
        <v>2.0811975347712699</v>
      </c>
      <c r="E3019" s="10">
        <v>2.6816736745337999</v>
      </c>
      <c r="F3019" s="10">
        <v>7.3254878825888504E-3</v>
      </c>
      <c r="G3019" s="10">
        <v>2.4457489074488199E-2</v>
      </c>
      <c r="H3019" s="10" t="s">
        <v>6051</v>
      </c>
      <c r="I3019" s="10" t="s">
        <v>18</v>
      </c>
    </row>
    <row r="3020" spans="1:9" x14ac:dyDescent="0.2">
      <c r="A3020" s="10" t="s">
        <v>6052</v>
      </c>
      <c r="B3020" s="10">
        <v>502.38022528532599</v>
      </c>
      <c r="C3020" s="10">
        <v>-1.2239640768720299</v>
      </c>
      <c r="D3020" s="10">
        <v>0.22258543063403899</v>
      </c>
      <c r="E3020" s="10">
        <v>-5.4988508160015002</v>
      </c>
      <c r="F3020" s="4">
        <v>3.8227437500012098E-8</v>
      </c>
      <c r="G3020" s="4">
        <v>4.1679991579144899E-7</v>
      </c>
      <c r="H3020" s="10" t="s">
        <v>6053</v>
      </c>
      <c r="I3020" s="10" t="s">
        <v>18</v>
      </c>
    </row>
    <row r="3021" spans="1:9" x14ac:dyDescent="0.2">
      <c r="A3021" s="10" t="s">
        <v>6054</v>
      </c>
      <c r="B3021" s="10">
        <v>386.91302012698497</v>
      </c>
      <c r="C3021" s="10">
        <v>-1.3596319663348899</v>
      </c>
      <c r="D3021" s="10">
        <v>0.246555571470924</v>
      </c>
      <c r="E3021" s="10">
        <v>-5.5145051406604804</v>
      </c>
      <c r="F3021" s="4">
        <v>3.4976268464824498E-8</v>
      </c>
      <c r="G3021" s="4">
        <v>3.8380925769676702E-7</v>
      </c>
      <c r="H3021" s="10" t="s">
        <v>6055</v>
      </c>
      <c r="I3021" s="10" t="s">
        <v>18</v>
      </c>
    </row>
    <row r="3022" spans="1:9" x14ac:dyDescent="0.2">
      <c r="A3022" s="10" t="s">
        <v>6056</v>
      </c>
      <c r="B3022" s="10">
        <v>2828.22889854506</v>
      </c>
      <c r="C3022" s="10">
        <v>-1.08319975465729</v>
      </c>
      <c r="D3022" s="10">
        <v>0.177553063728562</v>
      </c>
      <c r="E3022" s="10">
        <v>-6.1007100182357297</v>
      </c>
      <c r="F3022" s="4">
        <v>1.05598332468753E-9</v>
      </c>
      <c r="G3022" s="4">
        <v>1.43074975871512E-8</v>
      </c>
      <c r="H3022" s="10" t="s">
        <v>6057</v>
      </c>
      <c r="I3022" s="10" t="s">
        <v>18</v>
      </c>
    </row>
    <row r="3023" spans="1:9" x14ac:dyDescent="0.2">
      <c r="A3023" s="10" t="s">
        <v>6058</v>
      </c>
      <c r="B3023" s="10">
        <v>263.36293526848402</v>
      </c>
      <c r="C3023" s="10">
        <v>1.6000712290433201</v>
      </c>
      <c r="D3023" s="10">
        <v>0.29239564007221402</v>
      </c>
      <c r="E3023" s="10">
        <v>5.4722814220080203</v>
      </c>
      <c r="F3023" s="4">
        <v>4.4427856362938298E-8</v>
      </c>
      <c r="G3023" s="4">
        <v>4.7960610234587197E-7</v>
      </c>
      <c r="H3023" s="10" t="s">
        <v>6059</v>
      </c>
      <c r="I3023" s="10" t="s">
        <v>18</v>
      </c>
    </row>
    <row r="3024" spans="1:9" x14ac:dyDescent="0.2">
      <c r="A3024" s="10" t="s">
        <v>6060</v>
      </c>
      <c r="B3024" s="10">
        <v>15.5724049193757</v>
      </c>
      <c r="C3024" s="10">
        <v>2.50447182147939</v>
      </c>
      <c r="D3024" s="10">
        <v>0.958507796062535</v>
      </c>
      <c r="E3024" s="10">
        <v>2.6128862297912798</v>
      </c>
      <c r="F3024" s="10">
        <v>8.9781183702593997E-3</v>
      </c>
      <c r="G3024" s="10">
        <v>2.9097988727781399E-2</v>
      </c>
      <c r="H3024" s="10" t="s">
        <v>6061</v>
      </c>
      <c r="I3024" s="10" t="s">
        <v>18</v>
      </c>
    </row>
    <row r="3025" spans="1:9" x14ac:dyDescent="0.2">
      <c r="A3025" s="10" t="s">
        <v>6062</v>
      </c>
      <c r="B3025" s="10">
        <v>2627.8661280538099</v>
      </c>
      <c r="C3025" s="10">
        <v>-1.34668271185505</v>
      </c>
      <c r="D3025" s="10">
        <v>0.181482922819488</v>
      </c>
      <c r="E3025" s="10">
        <v>-7.4204376419181299</v>
      </c>
      <c r="F3025" s="4">
        <v>1.16733959456962E-13</v>
      </c>
      <c r="G3025" s="4">
        <v>2.5879985299624502E-12</v>
      </c>
      <c r="H3025" s="10" t="s">
        <v>6063</v>
      </c>
      <c r="I3025" s="10" t="s">
        <v>18</v>
      </c>
    </row>
    <row r="3026" spans="1:9" x14ac:dyDescent="0.2">
      <c r="A3026" s="10" t="s">
        <v>6064</v>
      </c>
      <c r="B3026" s="10">
        <v>14.9020353450294</v>
      </c>
      <c r="C3026" s="10">
        <v>7.2941232384298802</v>
      </c>
      <c r="D3026" s="10">
        <v>1.66613471413003</v>
      </c>
      <c r="E3026" s="10">
        <v>4.3778712348830098</v>
      </c>
      <c r="F3026" s="4">
        <v>1.1984411652579201E-5</v>
      </c>
      <c r="G3026" s="4">
        <v>8.36422295844843E-5</v>
      </c>
      <c r="H3026" s="10" t="s">
        <v>6065</v>
      </c>
      <c r="I3026" s="10" t="s">
        <v>18</v>
      </c>
    </row>
    <row r="3027" spans="1:9" x14ac:dyDescent="0.2">
      <c r="A3027" s="10" t="s">
        <v>6066</v>
      </c>
      <c r="B3027" s="10">
        <v>5178.2940087985899</v>
      </c>
      <c r="C3027" s="10">
        <v>-1.4783114988591799</v>
      </c>
      <c r="D3027" s="10">
        <v>0.19348184525779399</v>
      </c>
      <c r="E3027" s="10">
        <v>-7.6405695681136896</v>
      </c>
      <c r="F3027" s="4">
        <v>2.16262906301462E-14</v>
      </c>
      <c r="G3027" s="4">
        <v>5.0753793350524896E-13</v>
      </c>
      <c r="H3027" s="10" t="s">
        <v>6067</v>
      </c>
      <c r="I3027" s="10" t="s">
        <v>18</v>
      </c>
    </row>
    <row r="3028" spans="1:9" x14ac:dyDescent="0.2">
      <c r="A3028" s="10" t="s">
        <v>6068</v>
      </c>
      <c r="B3028" s="10">
        <v>2425.0429208516698</v>
      </c>
      <c r="C3028" s="10">
        <v>-1.0780816062165099</v>
      </c>
      <c r="D3028" s="10">
        <v>0.17990205992943101</v>
      </c>
      <c r="E3028" s="10">
        <v>-5.9926029009306498</v>
      </c>
      <c r="F3028" s="4">
        <v>2.0650868252873999E-9</v>
      </c>
      <c r="G3028" s="4">
        <v>2.68067750017178E-8</v>
      </c>
      <c r="H3028" s="10" t="s">
        <v>6069</v>
      </c>
      <c r="I3028" s="10" t="s">
        <v>18</v>
      </c>
    </row>
    <row r="3029" spans="1:9" x14ac:dyDescent="0.2">
      <c r="A3029" s="10" t="s">
        <v>6070</v>
      </c>
      <c r="B3029" s="10">
        <v>1700.50976513398</v>
      </c>
      <c r="C3029" s="10">
        <v>-1.3871863460242499</v>
      </c>
      <c r="D3029" s="10">
        <v>0.19762790929945501</v>
      </c>
      <c r="E3029" s="10">
        <v>-7.01918241680292</v>
      </c>
      <c r="F3029" s="4">
        <v>2.2317026059611499E-12</v>
      </c>
      <c r="G3029" s="4">
        <v>4.2315379891874399E-11</v>
      </c>
      <c r="H3029" s="10" t="s">
        <v>6071</v>
      </c>
      <c r="I3029" s="10" t="s">
        <v>18</v>
      </c>
    </row>
    <row r="3030" spans="1:9" x14ac:dyDescent="0.2">
      <c r="A3030" s="10" t="s">
        <v>6072</v>
      </c>
      <c r="B3030" s="10">
        <v>2342.40553122746</v>
      </c>
      <c r="C3030" s="10">
        <v>1.2240969038974501</v>
      </c>
      <c r="D3030" s="10">
        <v>0.19562031528097601</v>
      </c>
      <c r="E3030" s="10">
        <v>6.2575142164516002</v>
      </c>
      <c r="F3030" s="4">
        <v>3.91162008292818E-10</v>
      </c>
      <c r="G3030" s="4">
        <v>5.5842909689607604E-9</v>
      </c>
      <c r="H3030" s="10" t="s">
        <v>6073</v>
      </c>
      <c r="I3030" s="10" t="s">
        <v>18</v>
      </c>
    </row>
    <row r="3031" spans="1:9" x14ac:dyDescent="0.2">
      <c r="A3031" s="10" t="s">
        <v>6074</v>
      </c>
      <c r="B3031" s="10">
        <v>775.89734102282296</v>
      </c>
      <c r="C3031" s="10">
        <v>1.22621195504153</v>
      </c>
      <c r="D3031" s="10">
        <v>0.21972471069424801</v>
      </c>
      <c r="E3031" s="10">
        <v>5.5806738858235896</v>
      </c>
      <c r="F3031" s="4">
        <v>2.3958849087332599E-8</v>
      </c>
      <c r="G3031" s="4">
        <v>2.7064956927137297E-7</v>
      </c>
      <c r="H3031" s="10" t="s">
        <v>6075</v>
      </c>
      <c r="I3031" s="10" t="s">
        <v>18</v>
      </c>
    </row>
    <row r="3032" spans="1:9" x14ac:dyDescent="0.2">
      <c r="A3032" s="10" t="s">
        <v>6076</v>
      </c>
      <c r="B3032" s="10">
        <v>20.150975630944899</v>
      </c>
      <c r="C3032" s="10">
        <v>2.0719363899271501</v>
      </c>
      <c r="D3032" s="10">
        <v>0.814342487161269</v>
      </c>
      <c r="E3032" s="10">
        <v>2.5443058941327599</v>
      </c>
      <c r="F3032" s="10">
        <v>1.0949514912973799E-2</v>
      </c>
      <c r="G3032" s="10">
        <v>3.4335531457451697E-2</v>
      </c>
      <c r="H3032" s="10" t="s">
        <v>6077</v>
      </c>
      <c r="I3032" s="10" t="s">
        <v>18</v>
      </c>
    </row>
    <row r="3033" spans="1:9" x14ac:dyDescent="0.2">
      <c r="A3033" s="10" t="s">
        <v>6078</v>
      </c>
      <c r="B3033" s="10">
        <v>1647.1801508051301</v>
      </c>
      <c r="C3033" s="10">
        <v>1.0054161626162501</v>
      </c>
      <c r="D3033" s="10">
        <v>0.19161127921927401</v>
      </c>
      <c r="E3033" s="10">
        <v>5.2471658595091801</v>
      </c>
      <c r="F3033" s="4">
        <v>1.5445683689057201E-7</v>
      </c>
      <c r="G3033" s="4">
        <v>1.5187605322112701E-6</v>
      </c>
      <c r="H3033" s="10" t="s">
        <v>6079</v>
      </c>
      <c r="I3033" s="10" t="s">
        <v>18</v>
      </c>
    </row>
    <row r="3034" spans="1:9" x14ac:dyDescent="0.2">
      <c r="A3034" s="10" t="s">
        <v>6080</v>
      </c>
      <c r="B3034" s="10">
        <v>10.055695180581299</v>
      </c>
      <c r="C3034" s="10">
        <v>3.5862900693822599</v>
      </c>
      <c r="D3034" s="10">
        <v>1.27943796461116</v>
      </c>
      <c r="E3034" s="10">
        <v>2.80301989512418</v>
      </c>
      <c r="F3034" s="10">
        <v>5.0626546210804004E-3</v>
      </c>
      <c r="G3034" s="10">
        <v>1.7912238730110101E-2</v>
      </c>
      <c r="H3034" s="10" t="s">
        <v>6081</v>
      </c>
      <c r="I3034" s="10" t="s">
        <v>18</v>
      </c>
    </row>
    <row r="3035" spans="1:9" x14ac:dyDescent="0.2">
      <c r="A3035" s="10" t="s">
        <v>6082</v>
      </c>
      <c r="B3035" s="10">
        <v>48.592518738016402</v>
      </c>
      <c r="C3035" s="10">
        <v>5.5239194577699697</v>
      </c>
      <c r="D3035" s="10">
        <v>0.86981576577358</v>
      </c>
      <c r="E3035" s="10">
        <v>6.3506775516504996</v>
      </c>
      <c r="F3035" s="4">
        <v>2.1436862761166901E-10</v>
      </c>
      <c r="G3035" s="4">
        <v>3.1675173517001798E-9</v>
      </c>
      <c r="H3035" s="10" t="s">
        <v>6083</v>
      </c>
      <c r="I3035" s="10" t="s">
        <v>18</v>
      </c>
    </row>
    <row r="3036" spans="1:9" x14ac:dyDescent="0.2">
      <c r="A3036" s="10" t="s">
        <v>6084</v>
      </c>
      <c r="B3036" s="10">
        <v>17.103585014662499</v>
      </c>
      <c r="C3036" s="10">
        <v>4.4011083303040701</v>
      </c>
      <c r="D3036" s="10">
        <v>1.1274318137041099</v>
      </c>
      <c r="E3036" s="10">
        <v>3.9036580987053102</v>
      </c>
      <c r="F3036" s="4">
        <v>9.4749607015139105E-5</v>
      </c>
      <c r="G3036" s="10">
        <v>5.4545585090671805E-4</v>
      </c>
      <c r="H3036" s="10" t="s">
        <v>6085</v>
      </c>
      <c r="I3036" s="10" t="s">
        <v>18</v>
      </c>
    </row>
    <row r="3037" spans="1:9" x14ac:dyDescent="0.2">
      <c r="A3037" s="10" t="s">
        <v>6086</v>
      </c>
      <c r="B3037" s="10">
        <v>11.1938941135822</v>
      </c>
      <c r="C3037" s="10">
        <v>6.8804166641102098</v>
      </c>
      <c r="D3037" s="10">
        <v>1.7320910563340099</v>
      </c>
      <c r="E3037" s="10">
        <v>3.9723181058810302</v>
      </c>
      <c r="F3037" s="4">
        <v>7.1176582275353704E-5</v>
      </c>
      <c r="G3037" s="10">
        <v>4.2104827122374299E-4</v>
      </c>
      <c r="H3037" s="10" t="s">
        <v>6087</v>
      </c>
      <c r="I3037" s="10" t="s">
        <v>18</v>
      </c>
    </row>
    <row r="3038" spans="1:9" x14ac:dyDescent="0.2">
      <c r="A3038" s="10" t="s">
        <v>6088</v>
      </c>
      <c r="B3038" s="10">
        <v>4160.9856212921004</v>
      </c>
      <c r="C3038" s="10">
        <v>-1.86409564730315</v>
      </c>
      <c r="D3038" s="10">
        <v>0.20394721023908599</v>
      </c>
      <c r="E3038" s="10">
        <v>-9.1400889726213492</v>
      </c>
      <c r="F3038" s="4">
        <v>6.2400970031786302E-20</v>
      </c>
      <c r="G3038" s="4">
        <v>2.3713238918494899E-18</v>
      </c>
      <c r="H3038" s="10" t="s">
        <v>6089</v>
      </c>
      <c r="I3038" s="10" t="s">
        <v>18</v>
      </c>
    </row>
    <row r="3039" spans="1:9" x14ac:dyDescent="0.2">
      <c r="A3039" s="10" t="s">
        <v>6090</v>
      </c>
      <c r="B3039" s="10">
        <v>91.232896930608703</v>
      </c>
      <c r="C3039" s="10">
        <v>-2.02836365293587</v>
      </c>
      <c r="D3039" s="10">
        <v>0.405890746358888</v>
      </c>
      <c r="E3039" s="10">
        <v>-4.99731435400202</v>
      </c>
      <c r="F3039" s="4">
        <v>5.8134259575744998E-7</v>
      </c>
      <c r="G3039" s="4">
        <v>5.1814987591112998E-6</v>
      </c>
      <c r="H3039" s="10" t="s">
        <v>6091</v>
      </c>
      <c r="I3039" s="10" t="s">
        <v>18</v>
      </c>
    </row>
    <row r="3040" spans="1:9" x14ac:dyDescent="0.2">
      <c r="A3040" s="10" t="s">
        <v>6092</v>
      </c>
      <c r="B3040" s="10">
        <v>903.59582801438296</v>
      </c>
      <c r="C3040" s="10">
        <v>-1.09951241963288</v>
      </c>
      <c r="D3040" s="10">
        <v>0.23680947055182899</v>
      </c>
      <c r="E3040" s="10">
        <v>-4.6430255389310604</v>
      </c>
      <c r="F3040" s="4">
        <v>3.4334389112711601E-6</v>
      </c>
      <c r="G3040" s="4">
        <v>2.6767070104550901E-5</v>
      </c>
      <c r="H3040" s="10" t="s">
        <v>6093</v>
      </c>
      <c r="I3040" s="10" t="s">
        <v>18</v>
      </c>
    </row>
    <row r="3041" spans="1:9" x14ac:dyDescent="0.2">
      <c r="A3041" s="10" t="s">
        <v>6094</v>
      </c>
      <c r="B3041" s="10">
        <v>25.862100604590299</v>
      </c>
      <c r="C3041" s="10">
        <v>2.7346151545798598</v>
      </c>
      <c r="D3041" s="10">
        <v>0.80140496749867796</v>
      </c>
      <c r="E3041" s="10">
        <v>3.4122762716520998</v>
      </c>
      <c r="F3041" s="10">
        <v>6.4422785276707596E-4</v>
      </c>
      <c r="G3041" s="10">
        <v>2.9974857077090999E-3</v>
      </c>
      <c r="H3041" s="10" t="s">
        <v>6095</v>
      </c>
      <c r="I3041" s="10" t="s">
        <v>18</v>
      </c>
    </row>
    <row r="3042" spans="1:9" x14ac:dyDescent="0.2">
      <c r="A3042" s="10" t="s">
        <v>6096</v>
      </c>
      <c r="B3042" s="10">
        <v>378.95952581267898</v>
      </c>
      <c r="C3042" s="10">
        <v>1.21587666566638</v>
      </c>
      <c r="D3042" s="10">
        <v>0.26877361272762201</v>
      </c>
      <c r="E3042" s="10">
        <v>4.5237947777952598</v>
      </c>
      <c r="F3042" s="4">
        <v>6.0740622727782204E-6</v>
      </c>
      <c r="G3042" s="4">
        <v>4.5083076749220398E-5</v>
      </c>
      <c r="H3042" s="10" t="s">
        <v>6097</v>
      </c>
      <c r="I3042" s="10" t="s">
        <v>18</v>
      </c>
    </row>
    <row r="3043" spans="1:9" x14ac:dyDescent="0.2">
      <c r="A3043" s="10" t="s">
        <v>6098</v>
      </c>
      <c r="B3043" s="10">
        <v>782.91905400651501</v>
      </c>
      <c r="C3043" s="10">
        <v>-1.1718649371692</v>
      </c>
      <c r="D3043" s="10">
        <v>0.21014064347495001</v>
      </c>
      <c r="E3043" s="10">
        <v>-5.5765744207826096</v>
      </c>
      <c r="F3043" s="4">
        <v>2.4530099886652298E-8</v>
      </c>
      <c r="G3043" s="4">
        <v>2.7652942971105303E-7</v>
      </c>
      <c r="H3043" s="10" t="s">
        <v>6099</v>
      </c>
      <c r="I3043" s="10" t="s">
        <v>18</v>
      </c>
    </row>
    <row r="3044" spans="1:9" x14ac:dyDescent="0.2">
      <c r="A3044" s="10" t="s">
        <v>6100</v>
      </c>
      <c r="B3044" s="10">
        <v>978.46737654553397</v>
      </c>
      <c r="C3044" s="10">
        <v>1.2144620906010799</v>
      </c>
      <c r="D3044" s="10">
        <v>0.211029188158953</v>
      </c>
      <c r="E3044" s="10">
        <v>5.7549484087779899</v>
      </c>
      <c r="F3044" s="4">
        <v>8.6668258944404296E-9</v>
      </c>
      <c r="G3044" s="4">
        <v>1.0380000226189801E-7</v>
      </c>
      <c r="H3044" s="10" t="s">
        <v>6101</v>
      </c>
      <c r="I3044" s="10" t="s">
        <v>18</v>
      </c>
    </row>
    <row r="3045" spans="1:9" x14ac:dyDescent="0.2">
      <c r="A3045" s="10" t="s">
        <v>6102</v>
      </c>
      <c r="B3045" s="10">
        <v>13.9449835671522</v>
      </c>
      <c r="C3045" s="10">
        <v>5.7311467461249999</v>
      </c>
      <c r="D3045" s="10">
        <v>1.66835490251245</v>
      </c>
      <c r="E3045" s="10">
        <v>3.4352083825175401</v>
      </c>
      <c r="F3045" s="10">
        <v>5.92098340889849E-4</v>
      </c>
      <c r="G3045" s="10">
        <v>2.7834547091486698E-3</v>
      </c>
      <c r="H3045" s="10" t="s">
        <v>6103</v>
      </c>
      <c r="I3045" s="10" t="s">
        <v>18</v>
      </c>
    </row>
    <row r="3046" spans="1:9" x14ac:dyDescent="0.2">
      <c r="A3046" s="10" t="s">
        <v>6104</v>
      </c>
      <c r="B3046" s="10">
        <v>375.60270328157497</v>
      </c>
      <c r="C3046" s="10">
        <v>6.0234952695283299</v>
      </c>
      <c r="D3046" s="10">
        <v>0.39557186148989099</v>
      </c>
      <c r="E3046" s="10">
        <v>15.2273097657687</v>
      </c>
      <c r="F3046" s="4">
        <v>2.32982793390387E-52</v>
      </c>
      <c r="G3046" s="4">
        <v>5.0784657372062899E-50</v>
      </c>
      <c r="H3046" s="10" t="s">
        <v>6105</v>
      </c>
      <c r="I3046" s="10" t="s">
        <v>18</v>
      </c>
    </row>
    <row r="3047" spans="1:9" x14ac:dyDescent="0.2">
      <c r="A3047" s="10" t="s">
        <v>6106</v>
      </c>
      <c r="B3047" s="10">
        <v>1822.9296227232101</v>
      </c>
      <c r="C3047" s="10">
        <v>1.6676031155759601</v>
      </c>
      <c r="D3047" s="10">
        <v>0.19670426910705699</v>
      </c>
      <c r="E3047" s="10">
        <v>8.4777169460839907</v>
      </c>
      <c r="F3047" s="4">
        <v>2.2965586030366499E-17</v>
      </c>
      <c r="G3047" s="4">
        <v>7.0865608445005102E-16</v>
      </c>
      <c r="H3047" s="10" t="s">
        <v>6107</v>
      </c>
      <c r="I3047" s="10" t="s">
        <v>18</v>
      </c>
    </row>
    <row r="3048" spans="1:9" x14ac:dyDescent="0.2">
      <c r="A3048" s="10" t="s">
        <v>6108</v>
      </c>
      <c r="B3048" s="10">
        <v>11049.669258072499</v>
      </c>
      <c r="C3048" s="10">
        <v>-1.1631380155545601</v>
      </c>
      <c r="D3048" s="10">
        <v>0.18541443303358801</v>
      </c>
      <c r="E3048" s="10">
        <v>-6.2731794743500799</v>
      </c>
      <c r="F3048" s="4">
        <v>3.5374873870305898E-10</v>
      </c>
      <c r="G3048" s="4">
        <v>5.0782886635628299E-9</v>
      </c>
      <c r="H3048" s="10" t="s">
        <v>6109</v>
      </c>
      <c r="I3048" s="10" t="s">
        <v>18</v>
      </c>
    </row>
    <row r="3049" spans="1:9" x14ac:dyDescent="0.2">
      <c r="A3049" s="10" t="s">
        <v>6110</v>
      </c>
      <c r="B3049" s="10">
        <v>2694.7613182846599</v>
      </c>
      <c r="C3049" s="10">
        <v>2.3986330077061302</v>
      </c>
      <c r="D3049" s="10">
        <v>0.20109934173442801</v>
      </c>
      <c r="E3049" s="10">
        <v>11.927602482527099</v>
      </c>
      <c r="F3049" s="4">
        <v>8.4985997041724795E-33</v>
      </c>
      <c r="G3049" s="4">
        <v>7.8939367054757899E-31</v>
      </c>
      <c r="H3049" s="10" t="s">
        <v>6111</v>
      </c>
      <c r="I3049" s="10" t="s">
        <v>18</v>
      </c>
    </row>
    <row r="3050" spans="1:9" x14ac:dyDescent="0.2">
      <c r="A3050" s="10" t="s">
        <v>6112</v>
      </c>
      <c r="B3050" s="10">
        <v>3.8893317554809199</v>
      </c>
      <c r="C3050" s="10">
        <v>5.35263968609567</v>
      </c>
      <c r="D3050" s="10">
        <v>2.1805139762792298</v>
      </c>
      <c r="E3050" s="10">
        <v>2.4547605492670499</v>
      </c>
      <c r="F3050" s="10">
        <v>1.40978459500909E-2</v>
      </c>
      <c r="G3050" s="10">
        <v>4.2402473628670397E-2</v>
      </c>
      <c r="H3050" s="10" t="s">
        <v>6113</v>
      </c>
      <c r="I3050" s="10" t="s">
        <v>18</v>
      </c>
    </row>
    <row r="3051" spans="1:9" x14ac:dyDescent="0.2">
      <c r="A3051" s="10" t="s">
        <v>6114</v>
      </c>
      <c r="B3051" s="10">
        <v>1072.8555428843499</v>
      </c>
      <c r="C3051" s="10">
        <v>-3.30031223297703</v>
      </c>
      <c r="D3051" s="10">
        <v>0.23174026972943401</v>
      </c>
      <c r="E3051" s="10">
        <v>-14.2414274257568</v>
      </c>
      <c r="F3051" s="4">
        <v>5.0681154687994997E-46</v>
      </c>
      <c r="G3051" s="4">
        <v>8.5241322332333305E-44</v>
      </c>
      <c r="H3051" s="10" t="s">
        <v>6115</v>
      </c>
      <c r="I3051" s="10" t="s">
        <v>18</v>
      </c>
    </row>
    <row r="3052" spans="1:9" x14ac:dyDescent="0.2">
      <c r="A3052" s="10" t="s">
        <v>6116</v>
      </c>
      <c r="B3052" s="10">
        <v>16.668559858019101</v>
      </c>
      <c r="C3052" s="10">
        <v>4.9692702793295203</v>
      </c>
      <c r="D3052" s="10">
        <v>1.28185264660584</v>
      </c>
      <c r="E3052" s="10">
        <v>3.8766314462800602</v>
      </c>
      <c r="F3052" s="10">
        <v>1.05912602664413E-4</v>
      </c>
      <c r="G3052" s="10">
        <v>6.0334532402200598E-4</v>
      </c>
      <c r="H3052" s="10" t="s">
        <v>6117</v>
      </c>
      <c r="I3052" s="10" t="s">
        <v>18</v>
      </c>
    </row>
    <row r="3053" spans="1:9" x14ac:dyDescent="0.2">
      <c r="A3053" s="10" t="s">
        <v>6118</v>
      </c>
      <c r="B3053" s="10">
        <v>6.1661521572278399</v>
      </c>
      <c r="C3053" s="10">
        <v>6.0207072949405402</v>
      </c>
      <c r="D3053" s="10">
        <v>1.93317068918253</v>
      </c>
      <c r="E3053" s="10">
        <v>3.11442095032307</v>
      </c>
      <c r="F3053" s="10">
        <v>1.84306335590704E-3</v>
      </c>
      <c r="G3053" s="10">
        <v>7.5120339952728498E-3</v>
      </c>
      <c r="H3053" s="10" t="s">
        <v>6119</v>
      </c>
      <c r="I3053" s="10" t="s">
        <v>18</v>
      </c>
    </row>
    <row r="3054" spans="1:9" x14ac:dyDescent="0.2">
      <c r="A3054" s="10" t="s">
        <v>6120</v>
      </c>
      <c r="B3054" s="10">
        <v>960.78148800255701</v>
      </c>
      <c r="C3054" s="10">
        <v>2.1060396747808099</v>
      </c>
      <c r="D3054" s="10">
        <v>0.228366972376598</v>
      </c>
      <c r="E3054" s="10">
        <v>9.2221727724609899</v>
      </c>
      <c r="F3054" s="4">
        <v>2.91139869729575E-20</v>
      </c>
      <c r="G3054" s="4">
        <v>1.15468530284159E-18</v>
      </c>
      <c r="H3054" s="10" t="s">
        <v>6121</v>
      </c>
      <c r="I3054" s="10" t="s">
        <v>18</v>
      </c>
    </row>
    <row r="3055" spans="1:9" x14ac:dyDescent="0.2">
      <c r="A3055" s="10" t="s">
        <v>6122</v>
      </c>
      <c r="B3055" s="10">
        <v>7.6642734137208697</v>
      </c>
      <c r="C3055" s="10">
        <v>3.8012401979641699</v>
      </c>
      <c r="D3055" s="10">
        <v>1.53541644828465</v>
      </c>
      <c r="E3055" s="10">
        <v>2.4757063155151702</v>
      </c>
      <c r="F3055" s="10">
        <v>1.3297290869859601E-2</v>
      </c>
      <c r="G3055" s="10">
        <v>4.0355456040439198E-2</v>
      </c>
      <c r="H3055" s="10" t="s">
        <v>6123</v>
      </c>
      <c r="I3055" s="10" t="s">
        <v>18</v>
      </c>
    </row>
    <row r="3056" spans="1:9" x14ac:dyDescent="0.2">
      <c r="A3056" s="10" t="s">
        <v>6124</v>
      </c>
      <c r="B3056" s="10">
        <v>478.683037516642</v>
      </c>
      <c r="C3056" s="10">
        <v>-1.0733206991492099</v>
      </c>
      <c r="D3056" s="10">
        <v>0.22469349665994301</v>
      </c>
      <c r="E3056" s="10">
        <v>-4.7768213815889897</v>
      </c>
      <c r="F3056" s="4">
        <v>1.78087829542986E-6</v>
      </c>
      <c r="G3056" s="4">
        <v>1.45716489235968E-5</v>
      </c>
      <c r="H3056" s="10" t="s">
        <v>6125</v>
      </c>
      <c r="I3056" s="10" t="s">
        <v>18</v>
      </c>
    </row>
    <row r="3057" spans="1:9" x14ac:dyDescent="0.2">
      <c r="A3057" s="10" t="s">
        <v>6126</v>
      </c>
      <c r="B3057" s="10">
        <v>1943.76679112377</v>
      </c>
      <c r="C3057" s="10">
        <v>-1.69923940944952</v>
      </c>
      <c r="D3057" s="10">
        <v>0.19525507450878801</v>
      </c>
      <c r="E3057" s="10">
        <v>-8.7026645208805498</v>
      </c>
      <c r="F3057" s="4">
        <v>3.24181172664846E-18</v>
      </c>
      <c r="G3057" s="4">
        <v>1.06936615152531E-16</v>
      </c>
      <c r="H3057" s="10" t="s">
        <v>6127</v>
      </c>
      <c r="I3057" s="10" t="s">
        <v>18</v>
      </c>
    </row>
    <row r="3058" spans="1:9" x14ac:dyDescent="0.2">
      <c r="A3058" s="10" t="s">
        <v>6128</v>
      </c>
      <c r="B3058" s="10">
        <v>169.462163705747</v>
      </c>
      <c r="C3058" s="10">
        <v>2.5947989068504098</v>
      </c>
      <c r="D3058" s="10">
        <v>0.33667939217044301</v>
      </c>
      <c r="E3058" s="10">
        <v>7.7070321712378602</v>
      </c>
      <c r="F3058" s="4">
        <v>1.28777346140598E-14</v>
      </c>
      <c r="G3058" s="4">
        <v>3.0671296768294298E-13</v>
      </c>
      <c r="H3058" s="10" t="s">
        <v>6129</v>
      </c>
      <c r="I3058" s="10" t="s">
        <v>18</v>
      </c>
    </row>
    <row r="3059" spans="1:9" x14ac:dyDescent="0.2">
      <c r="A3059" s="10" t="s">
        <v>6130</v>
      </c>
      <c r="B3059" s="10">
        <v>719.45486765348198</v>
      </c>
      <c r="C3059" s="10">
        <v>-1.0405724718527301</v>
      </c>
      <c r="D3059" s="10">
        <v>0.20792639451283701</v>
      </c>
      <c r="E3059" s="10">
        <v>-5.00452323184245</v>
      </c>
      <c r="F3059" s="4">
        <v>5.6000458327812596E-7</v>
      </c>
      <c r="G3059" s="4">
        <v>5.0060514700062602E-6</v>
      </c>
      <c r="H3059" s="10" t="s">
        <v>6131</v>
      </c>
      <c r="I3059" s="10" t="s">
        <v>18</v>
      </c>
    </row>
    <row r="3060" spans="1:9" x14ac:dyDescent="0.2">
      <c r="A3060" s="10" t="s">
        <v>6132</v>
      </c>
      <c r="B3060" s="10">
        <v>266.39636584326701</v>
      </c>
      <c r="C3060" s="10">
        <v>2.5527180901703601</v>
      </c>
      <c r="D3060" s="10">
        <v>0.28873080644355098</v>
      </c>
      <c r="E3060" s="10">
        <v>8.8411698135489107</v>
      </c>
      <c r="F3060" s="4">
        <v>9.4721565077473694E-19</v>
      </c>
      <c r="G3060" s="4">
        <v>3.2793881622184602E-17</v>
      </c>
      <c r="H3060" s="10" t="s">
        <v>6133</v>
      </c>
      <c r="I3060" s="10" t="s">
        <v>18</v>
      </c>
    </row>
    <row r="3061" spans="1:9" x14ac:dyDescent="0.2">
      <c r="A3061" s="10" t="s">
        <v>6134</v>
      </c>
      <c r="B3061" s="10">
        <v>1829.12293299115</v>
      </c>
      <c r="C3061" s="10">
        <v>2.13060152923171</v>
      </c>
      <c r="D3061" s="10">
        <v>0.21234830971260299</v>
      </c>
      <c r="E3061" s="10">
        <v>10.033522433568301</v>
      </c>
      <c r="F3061" s="4">
        <v>1.0857271300554699E-23</v>
      </c>
      <c r="G3061" s="4">
        <v>5.4782976134484201E-22</v>
      </c>
      <c r="H3061" s="10" t="s">
        <v>6135</v>
      </c>
      <c r="I3061" s="10" t="s">
        <v>18</v>
      </c>
    </row>
    <row r="3062" spans="1:9" x14ac:dyDescent="0.2">
      <c r="A3062" s="10" t="s">
        <v>6136</v>
      </c>
      <c r="B3062" s="10">
        <v>437.48018912026902</v>
      </c>
      <c r="C3062" s="10">
        <v>-2.1720436939960899</v>
      </c>
      <c r="D3062" s="10">
        <v>0.24400060498276699</v>
      </c>
      <c r="E3062" s="10">
        <v>-8.9017963465684495</v>
      </c>
      <c r="F3062" s="4">
        <v>5.4950022972028501E-19</v>
      </c>
      <c r="G3062" s="4">
        <v>1.9269282830358599E-17</v>
      </c>
      <c r="H3062" s="10" t="s">
        <v>6137</v>
      </c>
      <c r="I3062" s="10" t="s">
        <v>18</v>
      </c>
    </row>
    <row r="3063" spans="1:9" x14ac:dyDescent="0.2">
      <c r="A3063" s="10" t="s">
        <v>6138</v>
      </c>
      <c r="B3063" s="10">
        <v>879.25474483529297</v>
      </c>
      <c r="C3063" s="10">
        <v>-1.3939872853398401</v>
      </c>
      <c r="D3063" s="10">
        <v>0.21789424611965</v>
      </c>
      <c r="E3063" s="10">
        <v>-6.3975405967093701</v>
      </c>
      <c r="F3063" s="4">
        <v>1.5789950755429E-10</v>
      </c>
      <c r="G3063" s="4">
        <v>2.3928186219865E-9</v>
      </c>
      <c r="H3063" s="10" t="s">
        <v>6139</v>
      </c>
      <c r="I3063" s="10" t="s">
        <v>18</v>
      </c>
    </row>
    <row r="3064" spans="1:9" x14ac:dyDescent="0.2">
      <c r="A3064" s="10" t="s">
        <v>6140</v>
      </c>
      <c r="B3064" s="10">
        <v>26.9960968549724</v>
      </c>
      <c r="C3064" s="10">
        <v>-1.8786991229644401</v>
      </c>
      <c r="D3064" s="10">
        <v>0.68347781005308506</v>
      </c>
      <c r="E3064" s="10">
        <v>-2.7487346265397101</v>
      </c>
      <c r="F3064" s="10">
        <v>5.9825800566680404E-3</v>
      </c>
      <c r="G3064" s="10">
        <v>2.0636455096092399E-2</v>
      </c>
      <c r="H3064" s="10" t="s">
        <v>6141</v>
      </c>
      <c r="I3064" s="10" t="s">
        <v>18</v>
      </c>
    </row>
    <row r="3065" spans="1:9" x14ac:dyDescent="0.2">
      <c r="A3065" s="10" t="s">
        <v>6142</v>
      </c>
      <c r="B3065" s="10">
        <v>18.676809104306901</v>
      </c>
      <c r="C3065" s="10">
        <v>6.1572676378607003</v>
      </c>
      <c r="D3065" s="10">
        <v>1.61703126446194</v>
      </c>
      <c r="E3065" s="10">
        <v>3.8077604145208102</v>
      </c>
      <c r="F3065" s="10">
        <v>1.40231034511139E-4</v>
      </c>
      <c r="G3065" s="10">
        <v>7.7628504618549601E-4</v>
      </c>
      <c r="H3065" s="10" t="s">
        <v>6143</v>
      </c>
      <c r="I3065" s="10" t="s">
        <v>18</v>
      </c>
    </row>
    <row r="3066" spans="1:9" x14ac:dyDescent="0.2">
      <c r="A3066" s="10" t="s">
        <v>6144</v>
      </c>
      <c r="B3066" s="10">
        <v>892.46309624704395</v>
      </c>
      <c r="C3066" s="10">
        <v>-2.4581330444309502</v>
      </c>
      <c r="D3066" s="10">
        <v>0.21579382289926599</v>
      </c>
      <c r="E3066" s="10">
        <v>-11.3911186678333</v>
      </c>
      <c r="F3066" s="4">
        <v>4.63006842479574E-30</v>
      </c>
      <c r="G3066" s="4">
        <v>3.6461119760234E-28</v>
      </c>
      <c r="H3066" s="10" t="s">
        <v>6145</v>
      </c>
      <c r="I3066" s="10" t="s">
        <v>18</v>
      </c>
    </row>
    <row r="3067" spans="1:9" x14ac:dyDescent="0.2">
      <c r="A3067" s="10" t="s">
        <v>6146</v>
      </c>
      <c r="B3067" s="10">
        <v>16.445542184177999</v>
      </c>
      <c r="C3067" s="10">
        <v>2.8045387233836201</v>
      </c>
      <c r="D3067" s="10">
        <v>0.92189347581207304</v>
      </c>
      <c r="E3067" s="10">
        <v>3.0421505271128702</v>
      </c>
      <c r="F3067" s="10">
        <v>2.34894397651771E-3</v>
      </c>
      <c r="G3067" s="10">
        <v>9.2487971861529E-3</v>
      </c>
      <c r="H3067" s="10" t="s">
        <v>6147</v>
      </c>
      <c r="I3067" s="10" t="s">
        <v>18</v>
      </c>
    </row>
    <row r="3068" spans="1:9" x14ac:dyDescent="0.2">
      <c r="A3068" s="10" t="s">
        <v>6148</v>
      </c>
      <c r="B3068" s="10">
        <v>3808.3787876985498</v>
      </c>
      <c r="C3068" s="10">
        <v>2.0529948847810302</v>
      </c>
      <c r="D3068" s="10">
        <v>0.19747813213288101</v>
      </c>
      <c r="E3068" s="10">
        <v>10.396061896107</v>
      </c>
      <c r="F3068" s="4">
        <v>2.5839253908058998E-25</v>
      </c>
      <c r="G3068" s="4">
        <v>1.4821940025955401E-23</v>
      </c>
      <c r="H3068" s="10" t="s">
        <v>6149</v>
      </c>
      <c r="I3068" s="10" t="s">
        <v>18</v>
      </c>
    </row>
    <row r="3069" spans="1:9" x14ac:dyDescent="0.2">
      <c r="A3069" s="10" t="s">
        <v>6150</v>
      </c>
      <c r="B3069" s="10">
        <v>27.013948609181799</v>
      </c>
      <c r="C3069" s="10">
        <v>5.6807163963260701</v>
      </c>
      <c r="D3069" s="10">
        <v>1.19316207246896</v>
      </c>
      <c r="E3069" s="10">
        <v>4.7610601505051102</v>
      </c>
      <c r="F3069" s="4">
        <v>1.9257863487046601E-6</v>
      </c>
      <c r="G3069" s="4">
        <v>1.5667930917633901E-5</v>
      </c>
      <c r="H3069" s="10" t="s">
        <v>6151</v>
      </c>
      <c r="I3069" s="10" t="s">
        <v>18</v>
      </c>
    </row>
    <row r="3070" spans="1:9" x14ac:dyDescent="0.2">
      <c r="A3070" s="10" t="s">
        <v>6152</v>
      </c>
      <c r="B3070" s="10">
        <v>634.98046883621498</v>
      </c>
      <c r="C3070" s="10">
        <v>2.9214788485379799</v>
      </c>
      <c r="D3070" s="10">
        <v>0.23911291677101601</v>
      </c>
      <c r="E3070" s="10">
        <v>12.2179884214942</v>
      </c>
      <c r="F3070" s="4">
        <v>2.4917411926205402E-34</v>
      </c>
      <c r="G3070" s="4">
        <v>2.5145360101974799E-32</v>
      </c>
      <c r="H3070" s="10" t="s">
        <v>6153</v>
      </c>
      <c r="I3070" s="10" t="s">
        <v>18</v>
      </c>
    </row>
    <row r="3071" spans="1:9" x14ac:dyDescent="0.2">
      <c r="A3071" s="10" t="s">
        <v>6154</v>
      </c>
      <c r="B3071" s="10">
        <v>20.4073501492724</v>
      </c>
      <c r="C3071" s="10">
        <v>3.1535364094584799</v>
      </c>
      <c r="D3071" s="10">
        <v>0.86271187311731101</v>
      </c>
      <c r="E3071" s="10">
        <v>3.6553761548030401</v>
      </c>
      <c r="F3071" s="10">
        <v>2.5680515898583701E-4</v>
      </c>
      <c r="G3071" s="10">
        <v>1.3257237906190099E-3</v>
      </c>
      <c r="H3071" s="10" t="s">
        <v>6155</v>
      </c>
      <c r="I3071" s="10" t="s">
        <v>18</v>
      </c>
    </row>
    <row r="3072" spans="1:9" x14ac:dyDescent="0.2">
      <c r="A3072" s="10" t="s">
        <v>6156</v>
      </c>
      <c r="B3072" s="10">
        <v>14.0802952436285</v>
      </c>
      <c r="C3072" s="10">
        <v>2.7575941563777202</v>
      </c>
      <c r="D3072" s="10">
        <v>0.99966300340871905</v>
      </c>
      <c r="E3072" s="10">
        <v>2.7585237694850102</v>
      </c>
      <c r="F3072" s="10">
        <v>5.8063082363339303E-3</v>
      </c>
      <c r="G3072" s="10">
        <v>2.0165460516304801E-2</v>
      </c>
      <c r="H3072" s="10" t="s">
        <v>6157</v>
      </c>
      <c r="I3072" s="10" t="s">
        <v>18</v>
      </c>
    </row>
    <row r="3073" spans="1:9" x14ac:dyDescent="0.2">
      <c r="A3073" s="10" t="s">
        <v>6158</v>
      </c>
      <c r="B3073" s="10">
        <v>938.46311702928097</v>
      </c>
      <c r="C3073" s="10">
        <v>-1.08233900877366</v>
      </c>
      <c r="D3073" s="10">
        <v>0.198941205716029</v>
      </c>
      <c r="E3073" s="10">
        <v>-5.4404968788547396</v>
      </c>
      <c r="F3073" s="4">
        <v>5.3132170793914098E-8</v>
      </c>
      <c r="G3073" s="4">
        <v>5.6616826657089497E-7</v>
      </c>
      <c r="H3073" s="10" t="s">
        <v>6159</v>
      </c>
      <c r="I3073" s="10" t="s">
        <v>18</v>
      </c>
    </row>
    <row r="3074" spans="1:9" x14ac:dyDescent="0.2">
      <c r="A3074" s="10" t="s">
        <v>6160</v>
      </c>
      <c r="B3074" s="10">
        <v>172.83528981860999</v>
      </c>
      <c r="C3074" s="10">
        <v>1.4612177774480399</v>
      </c>
      <c r="D3074" s="10">
        <v>0.31442152083288399</v>
      </c>
      <c r="E3074" s="10">
        <v>4.64732112985575</v>
      </c>
      <c r="F3074" s="4">
        <v>3.3627346033724398E-6</v>
      </c>
      <c r="G3074" s="4">
        <v>2.6260942888532201E-5</v>
      </c>
      <c r="H3074" s="10" t="s">
        <v>6161</v>
      </c>
      <c r="I3074" s="10" t="s">
        <v>18</v>
      </c>
    </row>
    <row r="3075" spans="1:9" x14ac:dyDescent="0.2">
      <c r="A3075" s="10" t="s">
        <v>6162</v>
      </c>
      <c r="B3075" s="10">
        <v>1601.16094916558</v>
      </c>
      <c r="C3075" s="10">
        <v>-1.6189910717729801</v>
      </c>
      <c r="D3075" s="10">
        <v>0.194677139351041</v>
      </c>
      <c r="E3075" s="10">
        <v>-8.31628755779907</v>
      </c>
      <c r="F3075" s="4">
        <v>9.0761456058244102E-17</v>
      </c>
      <c r="G3075" s="4">
        <v>2.66772102828369E-15</v>
      </c>
      <c r="H3075" s="10" t="s">
        <v>6163</v>
      </c>
      <c r="I3075" s="10" t="s">
        <v>18</v>
      </c>
    </row>
    <row r="3076" spans="1:9" x14ac:dyDescent="0.2">
      <c r="A3076" s="10" t="s">
        <v>6164</v>
      </c>
      <c r="B3076" s="10">
        <v>7.3045623581013004</v>
      </c>
      <c r="C3076" s="10">
        <v>6.2660001736162201</v>
      </c>
      <c r="D3076" s="10">
        <v>1.8664868521764999</v>
      </c>
      <c r="E3076" s="10">
        <v>3.35710919490778</v>
      </c>
      <c r="F3076" s="10">
        <v>7.8762000251612603E-4</v>
      </c>
      <c r="G3076" s="10">
        <v>3.5838814643548598E-3</v>
      </c>
      <c r="H3076" s="10" t="s">
        <v>6165</v>
      </c>
      <c r="I3076" s="10" t="s">
        <v>18</v>
      </c>
    </row>
    <row r="3077" spans="1:9" x14ac:dyDescent="0.2">
      <c r="A3077" s="10" t="s">
        <v>6166</v>
      </c>
      <c r="B3077" s="10">
        <v>12.5499875800787</v>
      </c>
      <c r="C3077" s="10">
        <v>3.123051785565</v>
      </c>
      <c r="D3077" s="10">
        <v>1.1144240822034199</v>
      </c>
      <c r="E3077" s="10">
        <v>2.80239079129566</v>
      </c>
      <c r="F3077" s="10">
        <v>5.0725387116587898E-3</v>
      </c>
      <c r="G3077" s="10">
        <v>1.7943334811251099E-2</v>
      </c>
      <c r="H3077" s="10" t="s">
        <v>6167</v>
      </c>
      <c r="I3077" s="10" t="s">
        <v>18</v>
      </c>
    </row>
    <row r="3078" spans="1:9" x14ac:dyDescent="0.2">
      <c r="A3078" s="10" t="s">
        <v>6168</v>
      </c>
      <c r="B3078" s="10">
        <v>1114.8361305851599</v>
      </c>
      <c r="C3078" s="10">
        <v>1.3974836192890201</v>
      </c>
      <c r="D3078" s="10">
        <v>0.21744935308452301</v>
      </c>
      <c r="E3078" s="10">
        <v>6.4267085620890096</v>
      </c>
      <c r="F3078" s="4">
        <v>1.30396474868256E-10</v>
      </c>
      <c r="G3078" s="4">
        <v>1.9948976702613001E-9</v>
      </c>
      <c r="H3078" s="10" t="s">
        <v>6169</v>
      </c>
      <c r="I3078" s="10" t="s">
        <v>18</v>
      </c>
    </row>
    <row r="3079" spans="1:9" x14ac:dyDescent="0.2">
      <c r="A3079" s="10" t="s">
        <v>6170</v>
      </c>
      <c r="B3079" s="10">
        <v>22.647466541557399</v>
      </c>
      <c r="C3079" s="10">
        <v>7.89830176371958</v>
      </c>
      <c r="D3079" s="10">
        <v>1.5964710940481699</v>
      </c>
      <c r="E3079" s="10">
        <v>4.9473503110487798</v>
      </c>
      <c r="F3079" s="4">
        <v>7.52305153835455E-7</v>
      </c>
      <c r="G3079" s="4">
        <v>6.5741047230771797E-6</v>
      </c>
      <c r="H3079" s="10" t="s">
        <v>6171</v>
      </c>
      <c r="I3079" s="10" t="s">
        <v>18</v>
      </c>
    </row>
    <row r="3080" spans="1:9" x14ac:dyDescent="0.2">
      <c r="A3080" s="10" t="s">
        <v>6172</v>
      </c>
      <c r="B3080" s="10">
        <v>890.08699818254104</v>
      </c>
      <c r="C3080" s="10">
        <v>1.4751137534908201</v>
      </c>
      <c r="D3080" s="10">
        <v>0.21716494645829901</v>
      </c>
      <c r="E3080" s="10">
        <v>6.7925960314873999</v>
      </c>
      <c r="F3080" s="4">
        <v>1.10133455612596E-11</v>
      </c>
      <c r="G3080" s="4">
        <v>1.9385053391966401E-10</v>
      </c>
      <c r="H3080" s="10" t="s">
        <v>6173</v>
      </c>
      <c r="I3080" s="10" t="s">
        <v>18</v>
      </c>
    </row>
    <row r="3081" spans="1:9" x14ac:dyDescent="0.2">
      <c r="A3081" s="10" t="s">
        <v>6174</v>
      </c>
      <c r="B3081" s="10">
        <v>40.7147109262282</v>
      </c>
      <c r="C3081" s="10">
        <v>3.1483372548406998</v>
      </c>
      <c r="D3081" s="10">
        <v>0.62097165562615797</v>
      </c>
      <c r="E3081" s="10">
        <v>5.0700176510730799</v>
      </c>
      <c r="F3081" s="4">
        <v>3.9777880923663297E-7</v>
      </c>
      <c r="G3081" s="4">
        <v>3.65417370710402E-6</v>
      </c>
      <c r="H3081" s="10" t="s">
        <v>6175</v>
      </c>
      <c r="I3081" s="10" t="s">
        <v>18</v>
      </c>
    </row>
    <row r="3082" spans="1:9" x14ac:dyDescent="0.2">
      <c r="A3082" s="10" t="s">
        <v>6176</v>
      </c>
      <c r="B3082" s="10">
        <v>97.517608959106695</v>
      </c>
      <c r="C3082" s="10">
        <v>5.7291609280835099</v>
      </c>
      <c r="D3082" s="10">
        <v>0.65402421683590095</v>
      </c>
      <c r="E3082" s="10">
        <v>8.7598605381931893</v>
      </c>
      <c r="F3082" s="4">
        <v>1.95492089398269E-18</v>
      </c>
      <c r="G3082" s="4">
        <v>6.5922932671220703E-17</v>
      </c>
      <c r="H3082" s="10" t="s">
        <v>6177</v>
      </c>
      <c r="I3082" s="10" t="s">
        <v>18</v>
      </c>
    </row>
    <row r="3083" spans="1:9" x14ac:dyDescent="0.2">
      <c r="A3083" s="10" t="s">
        <v>6178</v>
      </c>
      <c r="B3083" s="10">
        <v>501.18688022306901</v>
      </c>
      <c r="C3083" s="10">
        <v>1.8300257055834099</v>
      </c>
      <c r="D3083" s="10">
        <v>0.23045293292706201</v>
      </c>
      <c r="E3083" s="10">
        <v>7.9409955097538596</v>
      </c>
      <c r="F3083" s="4">
        <v>2.0056493741583101E-15</v>
      </c>
      <c r="G3083" s="4">
        <v>5.2194774114318499E-14</v>
      </c>
      <c r="H3083" s="10" t="s">
        <v>6179</v>
      </c>
      <c r="I3083" s="10" t="s">
        <v>18</v>
      </c>
    </row>
    <row r="3084" spans="1:9" x14ac:dyDescent="0.2">
      <c r="A3084" s="10" t="s">
        <v>6180</v>
      </c>
      <c r="B3084" s="10">
        <v>27.877249872024102</v>
      </c>
      <c r="C3084" s="10">
        <v>1.6562832504706999</v>
      </c>
      <c r="D3084" s="10">
        <v>0.68393669516919997</v>
      </c>
      <c r="E3084" s="10">
        <v>2.4216908701776099</v>
      </c>
      <c r="F3084" s="10">
        <v>1.5448485831293501E-2</v>
      </c>
      <c r="G3084" s="10">
        <v>4.5688146471861001E-2</v>
      </c>
      <c r="H3084" s="10" t="s">
        <v>6181</v>
      </c>
      <c r="I3084" s="10" t="s">
        <v>18</v>
      </c>
    </row>
    <row r="3085" spans="1:9" x14ac:dyDescent="0.2">
      <c r="A3085" s="10" t="s">
        <v>6182</v>
      </c>
      <c r="B3085" s="10">
        <v>4658.9735245124402</v>
      </c>
      <c r="C3085" s="10">
        <v>1.1996217830837199</v>
      </c>
      <c r="D3085" s="10">
        <v>0.21121600718233</v>
      </c>
      <c r="E3085" s="10">
        <v>5.6795969163840603</v>
      </c>
      <c r="F3085" s="4">
        <v>1.35012532820531E-8</v>
      </c>
      <c r="G3085" s="4">
        <v>1.5788353998974199E-7</v>
      </c>
      <c r="H3085" s="10" t="s">
        <v>6183</v>
      </c>
      <c r="I3085" s="10" t="s">
        <v>18</v>
      </c>
    </row>
    <row r="3086" spans="1:9" x14ac:dyDescent="0.2">
      <c r="A3086" s="10" t="s">
        <v>6184</v>
      </c>
      <c r="B3086" s="10">
        <v>1169.0550175650301</v>
      </c>
      <c r="C3086" s="10">
        <v>-1.2184193742015801</v>
      </c>
      <c r="D3086" s="10">
        <v>0.22405715139587201</v>
      </c>
      <c r="E3086" s="10">
        <v>-5.4379847579550704</v>
      </c>
      <c r="F3086" s="4">
        <v>5.3886583094824102E-8</v>
      </c>
      <c r="G3086" s="4">
        <v>5.7353426936901298E-7</v>
      </c>
      <c r="H3086" s="10" t="s">
        <v>6185</v>
      </c>
      <c r="I3086" s="10" t="s">
        <v>18</v>
      </c>
    </row>
    <row r="3087" spans="1:9" x14ac:dyDescent="0.2">
      <c r="A3087" s="10" t="s">
        <v>6186</v>
      </c>
      <c r="B3087" s="10">
        <v>2209.0173852999601</v>
      </c>
      <c r="C3087" s="10">
        <v>1.7037115366731701</v>
      </c>
      <c r="D3087" s="10">
        <v>0.185913142001399</v>
      </c>
      <c r="E3087" s="10">
        <v>9.1640188441350396</v>
      </c>
      <c r="F3087" s="4">
        <v>4.9999732130886997E-20</v>
      </c>
      <c r="G3087" s="4">
        <v>1.9296638829607301E-18</v>
      </c>
      <c r="H3087" s="10" t="s">
        <v>6187</v>
      </c>
      <c r="I3087" s="10" t="s">
        <v>18</v>
      </c>
    </row>
    <row r="3088" spans="1:9" x14ac:dyDescent="0.2">
      <c r="A3088" s="10" t="s">
        <v>6188</v>
      </c>
      <c r="B3088" s="10">
        <v>5376.0500191647598</v>
      </c>
      <c r="C3088" s="10">
        <v>1.5243446839119901</v>
      </c>
      <c r="D3088" s="10">
        <v>0.17506685224080501</v>
      </c>
      <c r="E3088" s="10">
        <v>8.7072147833860107</v>
      </c>
      <c r="F3088" s="4">
        <v>3.11432623322895E-18</v>
      </c>
      <c r="G3088" s="4">
        <v>1.0285581439610801E-16</v>
      </c>
      <c r="H3088" s="10" t="s">
        <v>6189</v>
      </c>
      <c r="I3088" s="10" t="s">
        <v>18</v>
      </c>
    </row>
    <row r="3089" spans="1:9" x14ac:dyDescent="0.2">
      <c r="A3089" s="10" t="s">
        <v>6190</v>
      </c>
      <c r="B3089" s="10">
        <v>2744.2551635824202</v>
      </c>
      <c r="C3089" s="10">
        <v>-2.3408076755259102</v>
      </c>
      <c r="D3089" s="10">
        <v>0.21253076694300399</v>
      </c>
      <c r="E3089" s="10">
        <v>-11.013970867350499</v>
      </c>
      <c r="F3089" s="4">
        <v>3.2725497494357699E-28</v>
      </c>
      <c r="G3089" s="4">
        <v>2.2403809804742901E-26</v>
      </c>
      <c r="H3089" s="10" t="s">
        <v>6191</v>
      </c>
      <c r="I3089" s="10" t="s">
        <v>18</v>
      </c>
    </row>
    <row r="3090" spans="1:9" x14ac:dyDescent="0.2">
      <c r="A3090" s="10" t="s">
        <v>6192</v>
      </c>
      <c r="B3090" s="10">
        <v>77.345402391650396</v>
      </c>
      <c r="C3090" s="10">
        <v>3.8840175908460099</v>
      </c>
      <c r="D3090" s="10">
        <v>0.520525952760727</v>
      </c>
      <c r="E3090" s="10">
        <v>7.4617174614373099</v>
      </c>
      <c r="F3090" s="4">
        <v>8.5401865525392905E-14</v>
      </c>
      <c r="G3090" s="4">
        <v>1.9136057812256399E-12</v>
      </c>
      <c r="H3090" s="10" t="s">
        <v>6193</v>
      </c>
      <c r="I3090" s="10" t="s">
        <v>18</v>
      </c>
    </row>
    <row r="3091" spans="1:9" x14ac:dyDescent="0.2">
      <c r="A3091" s="10" t="s">
        <v>6194</v>
      </c>
      <c r="B3091" s="10">
        <v>607.61969475986905</v>
      </c>
      <c r="C3091" s="10">
        <v>1.20402051092943</v>
      </c>
      <c r="D3091" s="10">
        <v>0.24562275484652399</v>
      </c>
      <c r="E3091" s="10">
        <v>4.9019094818057702</v>
      </c>
      <c r="F3091" s="4">
        <v>9.4909569533170202E-7</v>
      </c>
      <c r="G3091" s="4">
        <v>8.1887303390446108E-6</v>
      </c>
      <c r="H3091" s="10" t="s">
        <v>6195</v>
      </c>
      <c r="I3091" s="10" t="s">
        <v>18</v>
      </c>
    </row>
    <row r="3092" spans="1:9" x14ac:dyDescent="0.2">
      <c r="A3092" s="10" t="s">
        <v>6196</v>
      </c>
      <c r="B3092" s="10">
        <v>203.739254248533</v>
      </c>
      <c r="C3092" s="10">
        <v>4.7111689872881897</v>
      </c>
      <c r="D3092" s="10">
        <v>0.389166604834838</v>
      </c>
      <c r="E3092" s="10">
        <v>12.105789471035401</v>
      </c>
      <c r="F3092" s="4">
        <v>9.8417909935336307E-34</v>
      </c>
      <c r="G3092" s="4">
        <v>9.6114436989537897E-32</v>
      </c>
      <c r="H3092" s="10" t="s">
        <v>6197</v>
      </c>
      <c r="I3092" s="10" t="s">
        <v>18</v>
      </c>
    </row>
    <row r="3093" spans="1:9" x14ac:dyDescent="0.2">
      <c r="A3093" s="10" t="s">
        <v>6198</v>
      </c>
      <c r="B3093" s="10">
        <v>16.7194533245328</v>
      </c>
      <c r="C3093" s="10">
        <v>3.5720611944581999</v>
      </c>
      <c r="D3093" s="10">
        <v>1.01378570314163</v>
      </c>
      <c r="E3093" s="10">
        <v>3.5234874425519198</v>
      </c>
      <c r="F3093" s="10">
        <v>4.2590727856393098E-4</v>
      </c>
      <c r="G3093" s="10">
        <v>2.07969455538197E-3</v>
      </c>
      <c r="H3093" s="10" t="s">
        <v>6199</v>
      </c>
      <c r="I3093" s="10" t="s">
        <v>18</v>
      </c>
    </row>
    <row r="3094" spans="1:9" x14ac:dyDescent="0.2">
      <c r="A3094" s="10" t="s">
        <v>6200</v>
      </c>
      <c r="B3094" s="10">
        <v>2200.05072231755</v>
      </c>
      <c r="C3094" s="10">
        <v>1.29754124390055</v>
      </c>
      <c r="D3094" s="10">
        <v>0.17987604658268699</v>
      </c>
      <c r="E3094" s="10">
        <v>7.2135299199167298</v>
      </c>
      <c r="F3094" s="4">
        <v>5.4519737591151905E-13</v>
      </c>
      <c r="G3094" s="4">
        <v>1.1219783158203301E-11</v>
      </c>
      <c r="H3094" s="10" t="s">
        <v>6201</v>
      </c>
      <c r="I3094" s="10" t="s">
        <v>18</v>
      </c>
    </row>
    <row r="3095" spans="1:9" x14ac:dyDescent="0.2">
      <c r="A3095" s="10" t="s">
        <v>6202</v>
      </c>
      <c r="B3095" s="10">
        <v>240.509460511187</v>
      </c>
      <c r="C3095" s="10">
        <v>-1.3435619370345699</v>
      </c>
      <c r="D3095" s="10">
        <v>0.28841074692125501</v>
      </c>
      <c r="E3095" s="10">
        <v>-4.6585016382950801</v>
      </c>
      <c r="F3095" s="4">
        <v>3.1851927231995499E-6</v>
      </c>
      <c r="G3095" s="4">
        <v>2.49387776232811E-5</v>
      </c>
      <c r="H3095" s="10" t="s">
        <v>6203</v>
      </c>
      <c r="I3095" s="10" t="s">
        <v>18</v>
      </c>
    </row>
    <row r="3096" spans="1:9" x14ac:dyDescent="0.2">
      <c r="A3096" s="10" t="s">
        <v>6204</v>
      </c>
      <c r="B3096" s="10">
        <v>5407.6544906722402</v>
      </c>
      <c r="C3096" s="10">
        <v>-1.6659459802490899</v>
      </c>
      <c r="D3096" s="10">
        <v>0.214420905318076</v>
      </c>
      <c r="E3096" s="10">
        <v>-7.7695128549979602</v>
      </c>
      <c r="F3096" s="4">
        <v>7.8788547234892294E-15</v>
      </c>
      <c r="G3096" s="4">
        <v>1.9167424522402801E-13</v>
      </c>
      <c r="H3096" s="10" t="s">
        <v>6205</v>
      </c>
      <c r="I3096" s="10" t="s">
        <v>18</v>
      </c>
    </row>
    <row r="3097" spans="1:9" x14ac:dyDescent="0.2">
      <c r="A3097" s="10" t="s">
        <v>6206</v>
      </c>
      <c r="B3097" s="10">
        <v>758.08450638405895</v>
      </c>
      <c r="C3097" s="10">
        <v>-1.6597948669582401</v>
      </c>
      <c r="D3097" s="10">
        <v>0.23128297381205201</v>
      </c>
      <c r="E3097" s="10">
        <v>-7.1764680278931703</v>
      </c>
      <c r="F3097" s="4">
        <v>7.15353708689053E-13</v>
      </c>
      <c r="G3097" s="4">
        <v>1.44916301120079E-11</v>
      </c>
      <c r="H3097" s="10" t="s">
        <v>6207</v>
      </c>
      <c r="I3097" s="10" t="s">
        <v>18</v>
      </c>
    </row>
    <row r="3098" spans="1:9" x14ac:dyDescent="0.2">
      <c r="A3098" s="10" t="s">
        <v>6208</v>
      </c>
      <c r="B3098" s="10">
        <v>753.93887159902897</v>
      </c>
      <c r="C3098" s="10">
        <v>-1.3626570777508999</v>
      </c>
      <c r="D3098" s="10">
        <v>0.22873290323479101</v>
      </c>
      <c r="E3098" s="10">
        <v>-5.9574160887213896</v>
      </c>
      <c r="F3098" s="4">
        <v>2.5625721213393399E-9</v>
      </c>
      <c r="G3098" s="4">
        <v>3.2888555153147903E-8</v>
      </c>
      <c r="H3098" s="10" t="s">
        <v>6209</v>
      </c>
      <c r="I3098" s="10" t="s">
        <v>18</v>
      </c>
    </row>
    <row r="3099" spans="1:9" x14ac:dyDescent="0.2">
      <c r="A3099" s="10" t="s">
        <v>6210</v>
      </c>
      <c r="B3099" s="10">
        <v>10.568828960748901</v>
      </c>
      <c r="C3099" s="10">
        <v>6.7964142631009201</v>
      </c>
      <c r="D3099" s="10">
        <v>1.7506232326000499</v>
      </c>
      <c r="E3099" s="10">
        <v>3.88228268455389</v>
      </c>
      <c r="F3099" s="10">
        <v>1.03480481591609E-4</v>
      </c>
      <c r="G3099" s="10">
        <v>5.9072547285282998E-4</v>
      </c>
      <c r="H3099" s="10" t="s">
        <v>6211</v>
      </c>
      <c r="I3099" s="10" t="s">
        <v>18</v>
      </c>
    </row>
    <row r="3100" spans="1:9" x14ac:dyDescent="0.2">
      <c r="A3100" s="10" t="s">
        <v>6212</v>
      </c>
      <c r="B3100" s="10">
        <v>404.52581713338901</v>
      </c>
      <c r="C3100" s="10">
        <v>9.6115427761358294</v>
      </c>
      <c r="D3100" s="10">
        <v>1.0465639207517099</v>
      </c>
      <c r="E3100" s="10">
        <v>9.1839041892751592</v>
      </c>
      <c r="F3100" s="4">
        <v>4.15738499613294E-20</v>
      </c>
      <c r="G3100" s="4">
        <v>1.62519754647969E-18</v>
      </c>
      <c r="H3100" s="10" t="s">
        <v>6213</v>
      </c>
      <c r="I3100" s="10" t="s">
        <v>18</v>
      </c>
    </row>
    <row r="3101" spans="1:9" x14ac:dyDescent="0.2">
      <c r="A3101" s="10" t="s">
        <v>6214</v>
      </c>
      <c r="B3101" s="10">
        <v>2123.7578493176702</v>
      </c>
      <c r="C3101" s="10">
        <v>-1.16869597311241</v>
      </c>
      <c r="D3101" s="10">
        <v>0.214002179578555</v>
      </c>
      <c r="E3101" s="10">
        <v>-5.4611405146152103</v>
      </c>
      <c r="F3101" s="4">
        <v>4.7308540640046599E-8</v>
      </c>
      <c r="G3101" s="4">
        <v>5.0868816370140103E-7</v>
      </c>
      <c r="H3101" s="10" t="s">
        <v>6215</v>
      </c>
      <c r="I3101" s="10" t="s">
        <v>18</v>
      </c>
    </row>
    <row r="3102" spans="1:9" x14ac:dyDescent="0.2">
      <c r="A3102" s="10" t="s">
        <v>6216</v>
      </c>
      <c r="B3102" s="10">
        <v>118.524212578906</v>
      </c>
      <c r="C3102" s="10">
        <v>1.7605385200364601</v>
      </c>
      <c r="D3102" s="10">
        <v>0.37825664193550701</v>
      </c>
      <c r="E3102" s="10">
        <v>4.6543492561767801</v>
      </c>
      <c r="F3102" s="4">
        <v>3.25005506885653E-6</v>
      </c>
      <c r="G3102" s="4">
        <v>2.5418166560310899E-5</v>
      </c>
      <c r="H3102" s="10" t="s">
        <v>6217</v>
      </c>
      <c r="I3102" s="10" t="s">
        <v>18</v>
      </c>
    </row>
    <row r="3103" spans="1:9" x14ac:dyDescent="0.2">
      <c r="A3103" s="10" t="s">
        <v>6218</v>
      </c>
      <c r="B3103" s="10">
        <v>1343.27507189019</v>
      </c>
      <c r="C3103" s="10">
        <v>-1.6713985764435699</v>
      </c>
      <c r="D3103" s="10">
        <v>0.25347003215365499</v>
      </c>
      <c r="E3103" s="10">
        <v>-6.5940677966630599</v>
      </c>
      <c r="F3103" s="4">
        <v>4.2793613411790697E-11</v>
      </c>
      <c r="G3103" s="4">
        <v>7.0029884962826596E-10</v>
      </c>
      <c r="H3103" s="10" t="s">
        <v>6219</v>
      </c>
      <c r="I3103" s="10" t="s">
        <v>18</v>
      </c>
    </row>
    <row r="3104" spans="1:9" x14ac:dyDescent="0.2">
      <c r="A3104" s="10" t="s">
        <v>6220</v>
      </c>
      <c r="B3104" s="10">
        <v>3878.8779629519599</v>
      </c>
      <c r="C3104" s="10">
        <v>-1.1556643348016999</v>
      </c>
      <c r="D3104" s="10">
        <v>0.22657358500653499</v>
      </c>
      <c r="E3104" s="10">
        <v>-5.1006137135022502</v>
      </c>
      <c r="F3104" s="4">
        <v>3.3855390228257802E-7</v>
      </c>
      <c r="G3104" s="4">
        <v>3.1429567889244998E-6</v>
      </c>
      <c r="H3104" s="10" t="s">
        <v>6221</v>
      </c>
      <c r="I3104" s="10" t="s">
        <v>18</v>
      </c>
    </row>
    <row r="3105" spans="1:9" x14ac:dyDescent="0.2">
      <c r="A3105" s="10" t="s">
        <v>6222</v>
      </c>
      <c r="B3105" s="10">
        <v>5083.3489361217298</v>
      </c>
      <c r="C3105" s="10">
        <v>1.1639928045986101</v>
      </c>
      <c r="D3105" s="10">
        <v>0.21095072510684801</v>
      </c>
      <c r="E3105" s="10">
        <v>5.5178421596277802</v>
      </c>
      <c r="F3105" s="4">
        <v>3.4318745196196302E-8</v>
      </c>
      <c r="G3105" s="4">
        <v>3.7765866331210001E-7</v>
      </c>
      <c r="H3105" s="10" t="s">
        <v>6223</v>
      </c>
      <c r="I3105" s="10" t="s">
        <v>18</v>
      </c>
    </row>
    <row r="3106" spans="1:9" x14ac:dyDescent="0.2">
      <c r="A3106" s="10" t="s">
        <v>6224</v>
      </c>
      <c r="B3106" s="10">
        <v>505.83719284397</v>
      </c>
      <c r="C3106" s="10">
        <v>4.9126453897867801</v>
      </c>
      <c r="D3106" s="10">
        <v>0.288383151115577</v>
      </c>
      <c r="E3106" s="10">
        <v>17.035133192708301</v>
      </c>
      <c r="F3106" s="4">
        <v>4.5071436668625197E-65</v>
      </c>
      <c r="G3106" s="4">
        <v>1.5545081454557301E-62</v>
      </c>
      <c r="H3106" s="10" t="s">
        <v>6225</v>
      </c>
      <c r="I3106" s="10" t="s">
        <v>18</v>
      </c>
    </row>
    <row r="3107" spans="1:9" x14ac:dyDescent="0.2">
      <c r="A3107" s="10" t="s">
        <v>6226</v>
      </c>
      <c r="B3107" s="10">
        <v>102.177969233844</v>
      </c>
      <c r="C3107" s="10">
        <v>1.9320331636549499</v>
      </c>
      <c r="D3107" s="10">
        <v>0.39363404402291502</v>
      </c>
      <c r="E3107" s="10">
        <v>4.9081963132804596</v>
      </c>
      <c r="F3107" s="4">
        <v>9.1917823043127904E-7</v>
      </c>
      <c r="G3107" s="4">
        <v>7.9507457919241499E-6</v>
      </c>
      <c r="H3107" s="10" t="s">
        <v>6227</v>
      </c>
      <c r="I3107" s="10" t="s">
        <v>18</v>
      </c>
    </row>
    <row r="3108" spans="1:9" x14ac:dyDescent="0.2">
      <c r="A3108" s="10" t="s">
        <v>6228</v>
      </c>
      <c r="B3108" s="10">
        <v>1387.4322202788301</v>
      </c>
      <c r="C3108" s="10">
        <v>-1.40556318914</v>
      </c>
      <c r="D3108" s="10">
        <v>0.22111169394593999</v>
      </c>
      <c r="E3108" s="10">
        <v>-6.3568016872217097</v>
      </c>
      <c r="F3108" s="4">
        <v>2.0599765527701799E-10</v>
      </c>
      <c r="G3108" s="4">
        <v>3.05210337864758E-9</v>
      </c>
      <c r="H3108" s="10" t="s">
        <v>6229</v>
      </c>
      <c r="I3108" s="10" t="s">
        <v>18</v>
      </c>
    </row>
    <row r="3109" spans="1:9" x14ac:dyDescent="0.2">
      <c r="A3109" s="10" t="s">
        <v>6230</v>
      </c>
      <c r="B3109" s="10">
        <v>97.328451826639494</v>
      </c>
      <c r="C3109" s="10">
        <v>4.5996372699746404</v>
      </c>
      <c r="D3109" s="10">
        <v>0.53944838961874897</v>
      </c>
      <c r="E3109" s="10">
        <v>8.5265566799177801</v>
      </c>
      <c r="F3109" s="4">
        <v>1.50768319063941E-17</v>
      </c>
      <c r="G3109" s="4">
        <v>4.7218211373967896E-16</v>
      </c>
      <c r="H3109" s="10" t="s">
        <v>6231</v>
      </c>
      <c r="I3109" s="10" t="s">
        <v>18</v>
      </c>
    </row>
    <row r="3110" spans="1:9" x14ac:dyDescent="0.2">
      <c r="A3110" s="10" t="s">
        <v>6232</v>
      </c>
      <c r="B3110" s="10">
        <v>380.11589298059602</v>
      </c>
      <c r="C3110" s="10">
        <v>-1.7486699099732801</v>
      </c>
      <c r="D3110" s="10">
        <v>0.27122147269390301</v>
      </c>
      <c r="E3110" s="10">
        <v>-6.4473874159174898</v>
      </c>
      <c r="F3110" s="4">
        <v>1.13794643126688E-10</v>
      </c>
      <c r="G3110" s="4">
        <v>1.7566927146022E-9</v>
      </c>
      <c r="H3110" s="10" t="s">
        <v>6233</v>
      </c>
      <c r="I3110" s="10" t="s">
        <v>18</v>
      </c>
    </row>
    <row r="3111" spans="1:9" x14ac:dyDescent="0.2">
      <c r="A3111" s="10" t="s">
        <v>6234</v>
      </c>
      <c r="B3111" s="10">
        <v>89.107590242622706</v>
      </c>
      <c r="C3111" s="10">
        <v>-3.0061187718156099</v>
      </c>
      <c r="D3111" s="10">
        <v>0.435902009687123</v>
      </c>
      <c r="E3111" s="10">
        <v>-6.8963177618137204</v>
      </c>
      <c r="F3111" s="4">
        <v>5.3367749898816502E-12</v>
      </c>
      <c r="G3111" s="4">
        <v>9.6747244277648304E-11</v>
      </c>
      <c r="H3111" s="10" t="s">
        <v>6235</v>
      </c>
      <c r="I3111" s="10" t="s">
        <v>18</v>
      </c>
    </row>
    <row r="3112" spans="1:9" x14ac:dyDescent="0.2">
      <c r="A3112" s="10" t="s">
        <v>6236</v>
      </c>
      <c r="B3112" s="10">
        <v>230.350835959297</v>
      </c>
      <c r="C3112" s="10">
        <v>-1.1390694446296601</v>
      </c>
      <c r="D3112" s="10">
        <v>0.28329973196987701</v>
      </c>
      <c r="E3112" s="10">
        <v>-4.0207219283595297</v>
      </c>
      <c r="F3112" s="4">
        <v>5.8020060331179001E-5</v>
      </c>
      <c r="G3112" s="10">
        <v>3.50603811009899E-4</v>
      </c>
      <c r="H3112" s="10" t="s">
        <v>6237</v>
      </c>
      <c r="I3112" s="10" t="s">
        <v>18</v>
      </c>
    </row>
    <row r="3113" spans="1:9" x14ac:dyDescent="0.2">
      <c r="A3113" s="10" t="s">
        <v>6238</v>
      </c>
      <c r="B3113" s="10">
        <v>3.7806174410606901</v>
      </c>
      <c r="C3113" s="10">
        <v>5.3154478000652503</v>
      </c>
      <c r="D3113" s="10">
        <v>2.1865395084011801</v>
      </c>
      <c r="E3113" s="10">
        <v>2.43098639637752</v>
      </c>
      <c r="F3113" s="10">
        <v>1.5057779905063901E-2</v>
      </c>
      <c r="G3113" s="10">
        <v>4.4683002512881202E-2</v>
      </c>
      <c r="H3113" s="10" t="s">
        <v>6239</v>
      </c>
      <c r="I3113" s="10" t="s">
        <v>18</v>
      </c>
    </row>
    <row r="3114" spans="1:9" x14ac:dyDescent="0.2">
      <c r="A3114" s="10" t="s">
        <v>6240</v>
      </c>
      <c r="B3114" s="10">
        <v>1934.8687912446101</v>
      </c>
      <c r="C3114" s="10">
        <v>-1.45046508126082</v>
      </c>
      <c r="D3114" s="10">
        <v>0.219689927438215</v>
      </c>
      <c r="E3114" s="10">
        <v>-6.6023285554079099</v>
      </c>
      <c r="F3114" s="4">
        <v>4.0474923618745401E-11</v>
      </c>
      <c r="G3114" s="4">
        <v>6.6675951864568098E-10</v>
      </c>
      <c r="H3114" s="10" t="s">
        <v>6241</v>
      </c>
      <c r="I3114" s="10" t="s">
        <v>18</v>
      </c>
    </row>
    <row r="3115" spans="1:9" x14ac:dyDescent="0.2">
      <c r="A3115" s="10" t="s">
        <v>6242</v>
      </c>
      <c r="B3115" s="10">
        <v>52.057088531638698</v>
      </c>
      <c r="C3115" s="10">
        <v>1.6781312160619599</v>
      </c>
      <c r="D3115" s="10">
        <v>0.499742374972452</v>
      </c>
      <c r="E3115" s="10">
        <v>3.3579926380156699</v>
      </c>
      <c r="F3115" s="10">
        <v>7.8510704136624903E-4</v>
      </c>
      <c r="G3115" s="10">
        <v>3.5754323175841798E-3</v>
      </c>
      <c r="H3115" s="10" t="s">
        <v>6243</v>
      </c>
      <c r="I3115" s="10" t="s">
        <v>18</v>
      </c>
    </row>
    <row r="3116" spans="1:9" x14ac:dyDescent="0.2">
      <c r="A3116" s="10" t="s">
        <v>6244</v>
      </c>
      <c r="B3116" s="10">
        <v>215.68771423416999</v>
      </c>
      <c r="C3116" s="10">
        <v>1.79214191488056</v>
      </c>
      <c r="D3116" s="10">
        <v>0.296682672278545</v>
      </c>
      <c r="E3116" s="10">
        <v>6.0406019034302698</v>
      </c>
      <c r="F3116" s="4">
        <v>1.53540377032271E-9</v>
      </c>
      <c r="G3116" s="4">
        <v>2.03379419202639E-8</v>
      </c>
      <c r="H3116" s="10" t="s">
        <v>6245</v>
      </c>
      <c r="I3116" s="10" t="s">
        <v>18</v>
      </c>
    </row>
    <row r="3117" spans="1:9" x14ac:dyDescent="0.2">
      <c r="A3117" s="10" t="s">
        <v>6246</v>
      </c>
      <c r="B3117" s="10">
        <v>29.779482156586202</v>
      </c>
      <c r="C3117" s="10">
        <v>5.2200840002255804</v>
      </c>
      <c r="D3117" s="10">
        <v>1.03404490609233</v>
      </c>
      <c r="E3117" s="10">
        <v>5.0482178960219004</v>
      </c>
      <c r="F3117" s="4">
        <v>4.4595035745727398E-7</v>
      </c>
      <c r="G3117" s="4">
        <v>4.0624571680502597E-6</v>
      </c>
      <c r="H3117" s="10" t="s">
        <v>6247</v>
      </c>
      <c r="I3117" s="10" t="s">
        <v>18</v>
      </c>
    </row>
    <row r="3118" spans="1:9" x14ac:dyDescent="0.2">
      <c r="A3118" s="10" t="s">
        <v>6248</v>
      </c>
      <c r="B3118" s="10">
        <v>6.9754136244677296</v>
      </c>
      <c r="C3118" s="10">
        <v>6.20122432996419</v>
      </c>
      <c r="D3118" s="10">
        <v>1.8919127084438101</v>
      </c>
      <c r="E3118" s="10">
        <v>3.27775393774114</v>
      </c>
      <c r="F3118" s="10">
        <v>1.04636565522329E-3</v>
      </c>
      <c r="G3118" s="10">
        <v>4.5895565048082801E-3</v>
      </c>
      <c r="H3118" s="10" t="s">
        <v>6249</v>
      </c>
      <c r="I3118" s="10" t="s">
        <v>18</v>
      </c>
    </row>
    <row r="3119" spans="1:9" x14ac:dyDescent="0.2">
      <c r="A3119" s="10" t="s">
        <v>6250</v>
      </c>
      <c r="B3119" s="10">
        <v>462.26770466173502</v>
      </c>
      <c r="C3119" s="10">
        <v>-1.04564880251772</v>
      </c>
      <c r="D3119" s="10">
        <v>0.23507878873472601</v>
      </c>
      <c r="E3119" s="10">
        <v>-4.4480780598954199</v>
      </c>
      <c r="F3119" s="4">
        <v>8.6642045210359902E-6</v>
      </c>
      <c r="G3119" s="4">
        <v>6.2502933699938498E-5</v>
      </c>
      <c r="H3119" s="10" t="s">
        <v>6251</v>
      </c>
      <c r="I3119" s="10" t="s">
        <v>18</v>
      </c>
    </row>
    <row r="3120" spans="1:9" x14ac:dyDescent="0.2">
      <c r="A3120" s="10" t="s">
        <v>6252</v>
      </c>
      <c r="B3120" s="10">
        <v>2194.6351952292698</v>
      </c>
      <c r="C3120" s="10">
        <v>1.0334285169392201</v>
      </c>
      <c r="D3120" s="10">
        <v>0.22097317003244299</v>
      </c>
      <c r="E3120" s="10">
        <v>4.6767149006709401</v>
      </c>
      <c r="F3120" s="4">
        <v>2.9150709029178999E-6</v>
      </c>
      <c r="G3120" s="4">
        <v>2.2962398638856301E-5</v>
      </c>
      <c r="H3120" s="10" t="s">
        <v>6253</v>
      </c>
      <c r="I3120" s="10" t="s">
        <v>18</v>
      </c>
    </row>
    <row r="3121" spans="1:9" x14ac:dyDescent="0.2">
      <c r="A3121" s="10" t="s">
        <v>6254</v>
      </c>
      <c r="B3121" s="10">
        <v>1012.62566244083</v>
      </c>
      <c r="C3121" s="10">
        <v>-1.27950145894976</v>
      </c>
      <c r="D3121" s="10">
        <v>0.20472212518135199</v>
      </c>
      <c r="E3121" s="10">
        <v>-6.2499422464295202</v>
      </c>
      <c r="F3121" s="4">
        <v>4.1060448903284399E-10</v>
      </c>
      <c r="G3121" s="4">
        <v>5.8391130024415003E-9</v>
      </c>
      <c r="H3121" s="10" t="s">
        <v>6255</v>
      </c>
      <c r="I3121" s="10" t="s">
        <v>18</v>
      </c>
    </row>
    <row r="3122" spans="1:9" x14ac:dyDescent="0.2">
      <c r="A3122" s="10" t="s">
        <v>6256</v>
      </c>
      <c r="B3122" s="10">
        <v>9.1492822324352208</v>
      </c>
      <c r="C3122" s="10">
        <v>4.0524759251747398</v>
      </c>
      <c r="D3122" s="10">
        <v>1.4659299740645899</v>
      </c>
      <c r="E3122" s="10">
        <v>2.7644403190272699</v>
      </c>
      <c r="F3122" s="10">
        <v>5.7020536887699503E-3</v>
      </c>
      <c r="G3122" s="10">
        <v>1.9859881996409898E-2</v>
      </c>
      <c r="H3122" s="10" t="s">
        <v>6257</v>
      </c>
      <c r="I3122" s="10" t="s">
        <v>18</v>
      </c>
    </row>
    <row r="3123" spans="1:9" x14ac:dyDescent="0.2">
      <c r="A3123" s="10" t="s">
        <v>6258</v>
      </c>
      <c r="B3123" s="10">
        <v>3.9618079650943998</v>
      </c>
      <c r="C3123" s="10">
        <v>5.3771408192735599</v>
      </c>
      <c r="D3123" s="10">
        <v>2.19654804218851</v>
      </c>
      <c r="E3123" s="10">
        <v>2.4479959991751898</v>
      </c>
      <c r="F3123" s="10">
        <v>1.43653250707227E-2</v>
      </c>
      <c r="G3123" s="10">
        <v>4.3002857855634E-2</v>
      </c>
      <c r="H3123" s="10" t="s">
        <v>6259</v>
      </c>
      <c r="I3123" s="10" t="s">
        <v>18</v>
      </c>
    </row>
    <row r="3124" spans="1:9" x14ac:dyDescent="0.2">
      <c r="A3124" s="10" t="s">
        <v>6260</v>
      </c>
      <c r="B3124" s="10">
        <v>22104.606301027001</v>
      </c>
      <c r="C3124" s="10">
        <v>-2.1672619641231199</v>
      </c>
      <c r="D3124" s="10">
        <v>0.23836777436242099</v>
      </c>
      <c r="E3124" s="10">
        <v>-9.0920929639925294</v>
      </c>
      <c r="F3124" s="4">
        <v>9.7150574839738295E-20</v>
      </c>
      <c r="G3124" s="4">
        <v>3.6612195195827801E-18</v>
      </c>
      <c r="H3124" s="10" t="s">
        <v>6261</v>
      </c>
      <c r="I3124" s="10" t="s">
        <v>18</v>
      </c>
    </row>
    <row r="3125" spans="1:9" x14ac:dyDescent="0.2">
      <c r="A3125" s="10" t="s">
        <v>6262</v>
      </c>
      <c r="B3125" s="10">
        <v>20.7501517061459</v>
      </c>
      <c r="C3125" s="10">
        <v>2.36468821889282</v>
      </c>
      <c r="D3125" s="10">
        <v>0.83192715067558398</v>
      </c>
      <c r="E3125" s="10">
        <v>2.8424222204702998</v>
      </c>
      <c r="F3125" s="10">
        <v>4.4772154204763097E-3</v>
      </c>
      <c r="G3125" s="10">
        <v>1.6136334465835699E-2</v>
      </c>
      <c r="H3125" s="10" t="s">
        <v>6263</v>
      </c>
      <c r="I3125" s="10" t="s">
        <v>18</v>
      </c>
    </row>
    <row r="3126" spans="1:9" x14ac:dyDescent="0.2">
      <c r="A3126" s="10" t="s">
        <v>6264</v>
      </c>
      <c r="B3126" s="10">
        <v>47.949352969096999</v>
      </c>
      <c r="C3126" s="10">
        <v>2.3760315367074298</v>
      </c>
      <c r="D3126" s="10">
        <v>0.54240401542551797</v>
      </c>
      <c r="E3126" s="10">
        <v>4.3805566867778802</v>
      </c>
      <c r="F3126" s="4">
        <v>1.18376490654967E-5</v>
      </c>
      <c r="G3126" s="4">
        <v>8.2787583184699105E-5</v>
      </c>
      <c r="H3126" s="10" t="s">
        <v>6265</v>
      </c>
      <c r="I3126" s="10" t="s">
        <v>18</v>
      </c>
    </row>
    <row r="3127" spans="1:9" x14ac:dyDescent="0.2">
      <c r="A3127" s="10" t="s">
        <v>6266</v>
      </c>
      <c r="B3127" s="10">
        <v>237.527499303279</v>
      </c>
      <c r="C3127" s="10">
        <v>1.99944505748559</v>
      </c>
      <c r="D3127" s="10">
        <v>0.29705918622053201</v>
      </c>
      <c r="E3127" s="10">
        <v>6.7307969261089804</v>
      </c>
      <c r="F3127" s="4">
        <v>1.6873633063785001E-11</v>
      </c>
      <c r="G3127" s="4">
        <v>2.8970124769310001E-10</v>
      </c>
      <c r="H3127" s="10" t="s">
        <v>6267</v>
      </c>
      <c r="I3127" s="10" t="s">
        <v>18</v>
      </c>
    </row>
    <row r="3128" spans="1:9" x14ac:dyDescent="0.2">
      <c r="A3128" s="10" t="s">
        <v>6268</v>
      </c>
      <c r="B3128" s="10">
        <v>814.46293668078795</v>
      </c>
      <c r="C3128" s="10">
        <v>-1.8634404437205101</v>
      </c>
      <c r="D3128" s="10">
        <v>0.23482617511549</v>
      </c>
      <c r="E3128" s="10">
        <v>-7.93540346515484</v>
      </c>
      <c r="F3128" s="4">
        <v>2.0981213165309499E-15</v>
      </c>
      <c r="G3128" s="4">
        <v>5.45491522056476E-14</v>
      </c>
      <c r="H3128" s="10" t="s">
        <v>6269</v>
      </c>
      <c r="I3128" s="10" t="s">
        <v>18</v>
      </c>
    </row>
    <row r="3129" spans="1:9" x14ac:dyDescent="0.2">
      <c r="A3129" s="10" t="s">
        <v>6270</v>
      </c>
      <c r="B3129" s="10">
        <v>1659.9700976583599</v>
      </c>
      <c r="C3129" s="10">
        <v>-2.3246371086691902</v>
      </c>
      <c r="D3129" s="10">
        <v>0.20242414723298999</v>
      </c>
      <c r="E3129" s="10">
        <v>-11.4839911168974</v>
      </c>
      <c r="F3129" s="4">
        <v>1.5877811875409399E-30</v>
      </c>
      <c r="G3129" s="4">
        <v>1.29141116468442E-28</v>
      </c>
      <c r="H3129" s="10" t="s">
        <v>6271</v>
      </c>
      <c r="I3129" s="10" t="s">
        <v>18</v>
      </c>
    </row>
    <row r="3130" spans="1:9" x14ac:dyDescent="0.2">
      <c r="A3130" s="10" t="s">
        <v>6272</v>
      </c>
      <c r="B3130" s="10">
        <v>38.313225880871997</v>
      </c>
      <c r="C3130" s="10">
        <v>3.1497455497335101</v>
      </c>
      <c r="D3130" s="10">
        <v>0.64196483973771401</v>
      </c>
      <c r="E3130" s="10">
        <v>4.9064144245351304</v>
      </c>
      <c r="F3130" s="4">
        <v>9.2756431020742497E-7</v>
      </c>
      <c r="G3130" s="4">
        <v>8.0156500983893804E-6</v>
      </c>
      <c r="H3130" s="10" t="s">
        <v>6273</v>
      </c>
      <c r="I3130" s="10" t="s">
        <v>18</v>
      </c>
    </row>
    <row r="3131" spans="1:9" x14ac:dyDescent="0.2">
      <c r="A3131" s="10" t="s">
        <v>6274</v>
      </c>
      <c r="B3131" s="10">
        <v>3.8923375458538101</v>
      </c>
      <c r="C3131" s="10">
        <v>5.3615434764946199</v>
      </c>
      <c r="D3131" s="10">
        <v>2.1957923110067701</v>
      </c>
      <c r="E3131" s="10">
        <v>2.44173524500428</v>
      </c>
      <c r="F3131" s="10">
        <v>1.4616861732854E-2</v>
      </c>
      <c r="G3131" s="10">
        <v>4.3592998208742503E-2</v>
      </c>
      <c r="H3131" s="10" t="s">
        <v>6275</v>
      </c>
      <c r="I3131" s="10" t="s">
        <v>18</v>
      </c>
    </row>
    <row r="3132" spans="1:9" x14ac:dyDescent="0.2">
      <c r="A3132" s="10" t="s">
        <v>6276</v>
      </c>
      <c r="B3132" s="10">
        <v>77.475732386094705</v>
      </c>
      <c r="C3132" s="10">
        <v>6.6304033038646404</v>
      </c>
      <c r="D3132" s="10">
        <v>0.92181378575655504</v>
      </c>
      <c r="E3132" s="10">
        <v>7.1927795030998602</v>
      </c>
      <c r="F3132" s="4">
        <v>6.3485425578828196E-13</v>
      </c>
      <c r="G3132" s="4">
        <v>1.28992348303231E-11</v>
      </c>
      <c r="H3132" s="10" t="s">
        <v>6277</v>
      </c>
      <c r="I3132" s="10" t="s">
        <v>18</v>
      </c>
    </row>
    <row r="3133" spans="1:9" x14ac:dyDescent="0.2">
      <c r="A3133" s="10" t="s">
        <v>6278</v>
      </c>
      <c r="B3133" s="10">
        <v>7.5671219328146799</v>
      </c>
      <c r="C3133" s="10">
        <v>4.82033408964804</v>
      </c>
      <c r="D3133" s="10">
        <v>1.8300607674228599</v>
      </c>
      <c r="E3133" s="10">
        <v>2.6339748796626901</v>
      </c>
      <c r="F3133" s="10">
        <v>8.4391731347117499E-3</v>
      </c>
      <c r="G3133" s="10">
        <v>2.7597473643961999E-2</v>
      </c>
      <c r="H3133" s="10" t="s">
        <v>6279</v>
      </c>
      <c r="I3133" s="10" t="s">
        <v>18</v>
      </c>
    </row>
    <row r="3134" spans="1:9" x14ac:dyDescent="0.2">
      <c r="A3134" s="10" t="s">
        <v>6280</v>
      </c>
      <c r="B3134" s="10">
        <v>1946.15200230746</v>
      </c>
      <c r="C3134" s="10">
        <v>1.1205167960075599</v>
      </c>
      <c r="D3134" s="10">
        <v>0.21246941501415301</v>
      </c>
      <c r="E3134" s="10">
        <v>5.2737792681027402</v>
      </c>
      <c r="F3134" s="4">
        <v>1.3364263427274799E-7</v>
      </c>
      <c r="G3134" s="4">
        <v>1.33051847809549E-6</v>
      </c>
      <c r="H3134" s="10" t="s">
        <v>6281</v>
      </c>
      <c r="I3134" s="10" t="s">
        <v>18</v>
      </c>
    </row>
    <row r="3135" spans="1:9" x14ac:dyDescent="0.2">
      <c r="A3135" s="10" t="s">
        <v>6282</v>
      </c>
      <c r="B3135" s="10">
        <v>355.54075362177502</v>
      </c>
      <c r="C3135" s="10">
        <v>-1.1769777916189099</v>
      </c>
      <c r="D3135" s="10">
        <v>0.27246284951396899</v>
      </c>
      <c r="E3135" s="10">
        <v>-4.3197734800118699</v>
      </c>
      <c r="F3135" s="4">
        <v>1.5618944057476299E-5</v>
      </c>
      <c r="G3135" s="10">
        <v>1.0633917259721601E-4</v>
      </c>
      <c r="H3135" s="10" t="s">
        <v>6283</v>
      </c>
      <c r="I3135" s="10" t="s">
        <v>18</v>
      </c>
    </row>
    <row r="3136" spans="1:9" x14ac:dyDescent="0.2">
      <c r="A3136" s="10" t="s">
        <v>6284</v>
      </c>
      <c r="B3136" s="10">
        <v>146.97117107127701</v>
      </c>
      <c r="C3136" s="10">
        <v>4.2740773190325898</v>
      </c>
      <c r="D3136" s="10">
        <v>0.411243518116231</v>
      </c>
      <c r="E3136" s="10">
        <v>10.39305698631</v>
      </c>
      <c r="F3136" s="4">
        <v>2.6666643686761801E-25</v>
      </c>
      <c r="G3136" s="4">
        <v>1.5200544781029299E-23</v>
      </c>
      <c r="H3136" s="10" t="s">
        <v>6285</v>
      </c>
      <c r="I3136" s="10" t="s">
        <v>18</v>
      </c>
    </row>
    <row r="3137" spans="1:9" x14ac:dyDescent="0.2">
      <c r="A3137" s="10" t="s">
        <v>6286</v>
      </c>
      <c r="B3137" s="10">
        <v>1599.7601988758599</v>
      </c>
      <c r="C3137" s="10">
        <v>-1.0030431664284301</v>
      </c>
      <c r="D3137" s="10">
        <v>0.18539790133263201</v>
      </c>
      <c r="E3137" s="10">
        <v>-5.4102185581314304</v>
      </c>
      <c r="F3137" s="4">
        <v>6.2947877927274396E-8</v>
      </c>
      <c r="G3137" s="4">
        <v>6.6196095325528599E-7</v>
      </c>
      <c r="H3137" s="10" t="s">
        <v>6287</v>
      </c>
      <c r="I3137" s="10" t="s">
        <v>18</v>
      </c>
    </row>
    <row r="3138" spans="1:9" x14ac:dyDescent="0.2">
      <c r="A3138" s="10" t="s">
        <v>6288</v>
      </c>
      <c r="B3138" s="10">
        <v>221.20576252175201</v>
      </c>
      <c r="C3138" s="10">
        <v>4.8347046243967204</v>
      </c>
      <c r="D3138" s="10">
        <v>0.38009789918479298</v>
      </c>
      <c r="E3138" s="10">
        <v>12.719629955245299</v>
      </c>
      <c r="F3138" s="4">
        <v>4.6003360295167503E-37</v>
      </c>
      <c r="G3138" s="4">
        <v>5.5462546812496895E-35</v>
      </c>
      <c r="H3138" s="10" t="s">
        <v>6289</v>
      </c>
      <c r="I3138" s="10" t="s">
        <v>18</v>
      </c>
    </row>
    <row r="3139" spans="1:9" x14ac:dyDescent="0.2">
      <c r="A3139" s="10" t="s">
        <v>6290</v>
      </c>
      <c r="B3139" s="10">
        <v>19.1383015162763</v>
      </c>
      <c r="C3139" s="10">
        <v>5.16942993325973</v>
      </c>
      <c r="D3139" s="10">
        <v>1.2690391621036201</v>
      </c>
      <c r="E3139" s="10">
        <v>4.0734991382698196</v>
      </c>
      <c r="F3139" s="4">
        <v>4.6312022960853603E-5</v>
      </c>
      <c r="G3139" s="10">
        <v>2.8568342531455198E-4</v>
      </c>
      <c r="H3139" s="10" t="s">
        <v>6291</v>
      </c>
      <c r="I3139" s="10" t="s">
        <v>18</v>
      </c>
    </row>
    <row r="3140" spans="1:9" x14ac:dyDescent="0.2">
      <c r="A3140" s="10" t="s">
        <v>6292</v>
      </c>
      <c r="B3140" s="10">
        <v>26.5903343957531</v>
      </c>
      <c r="C3140" s="10">
        <v>1.9556827325597601</v>
      </c>
      <c r="D3140" s="10">
        <v>0.71025946468024503</v>
      </c>
      <c r="E3140" s="10">
        <v>2.7534764826262399</v>
      </c>
      <c r="F3140" s="10">
        <v>5.8966006480778701E-3</v>
      </c>
      <c r="G3140" s="10">
        <v>2.0396683744849299E-2</v>
      </c>
      <c r="H3140" s="10" t="s">
        <v>6293</v>
      </c>
      <c r="I3140" s="10" t="s">
        <v>18</v>
      </c>
    </row>
    <row r="3141" spans="1:9" x14ac:dyDescent="0.2">
      <c r="A3141" s="10" t="s">
        <v>6294</v>
      </c>
      <c r="B3141" s="10">
        <v>250.247725860103</v>
      </c>
      <c r="C3141" s="10">
        <v>-2.2439233539336798</v>
      </c>
      <c r="D3141" s="10">
        <v>0.28503596667664599</v>
      </c>
      <c r="E3141" s="10">
        <v>-7.8724217862627004</v>
      </c>
      <c r="F3141" s="4">
        <v>3.4784113503741199E-15</v>
      </c>
      <c r="G3141" s="4">
        <v>8.8246065236167295E-14</v>
      </c>
      <c r="H3141" s="10" t="s">
        <v>6295</v>
      </c>
      <c r="I3141" s="10" t="s">
        <v>18</v>
      </c>
    </row>
    <row r="3142" spans="1:9" x14ac:dyDescent="0.2">
      <c r="A3142" s="10" t="s">
        <v>6296</v>
      </c>
      <c r="B3142" s="10">
        <v>708.91158020438297</v>
      </c>
      <c r="C3142" s="10">
        <v>2.4448120723795101</v>
      </c>
      <c r="D3142" s="10">
        <v>0.23148389942724301</v>
      </c>
      <c r="E3142" s="10">
        <v>10.5614778324915</v>
      </c>
      <c r="F3142" s="4">
        <v>4.4952820326346198E-26</v>
      </c>
      <c r="G3142" s="4">
        <v>2.7158081938624301E-24</v>
      </c>
      <c r="H3142" s="10" t="s">
        <v>6297</v>
      </c>
      <c r="I3142" s="10" t="s">
        <v>18</v>
      </c>
    </row>
    <row r="3143" spans="1:9" x14ac:dyDescent="0.2">
      <c r="A3143" s="10" t="s">
        <v>6298</v>
      </c>
      <c r="B3143" s="10">
        <v>7670.8912049967003</v>
      </c>
      <c r="C3143" s="10">
        <v>1.07839562071974</v>
      </c>
      <c r="D3143" s="10">
        <v>0.1698199965752</v>
      </c>
      <c r="E3143" s="10">
        <v>6.3502275495701497</v>
      </c>
      <c r="F3143" s="4">
        <v>2.1499666721249001E-10</v>
      </c>
      <c r="G3143" s="4">
        <v>3.1733554667056901E-9</v>
      </c>
      <c r="H3143" s="10" t="s">
        <v>6299</v>
      </c>
      <c r="I3143" s="10" t="s">
        <v>18</v>
      </c>
    </row>
    <row r="3144" spans="1:9" x14ac:dyDescent="0.2">
      <c r="A3144" s="10" t="s">
        <v>6300</v>
      </c>
      <c r="B3144" s="10">
        <v>1990.6614053814301</v>
      </c>
      <c r="C3144" s="10">
        <v>-1.62694257173019</v>
      </c>
      <c r="D3144" s="10">
        <v>0.20870051266939199</v>
      </c>
      <c r="E3144" s="10">
        <v>-7.7955849313483601</v>
      </c>
      <c r="F3144" s="4">
        <v>6.4110799145649598E-15</v>
      </c>
      <c r="G3144" s="4">
        <v>1.5680672749744299E-13</v>
      </c>
      <c r="H3144" s="10" t="s">
        <v>6301</v>
      </c>
      <c r="I3144" s="10" t="s">
        <v>18</v>
      </c>
    </row>
    <row r="3145" spans="1:9" x14ac:dyDescent="0.2">
      <c r="A3145" s="10" t="s">
        <v>6302</v>
      </c>
      <c r="B3145" s="10">
        <v>124.413235448042</v>
      </c>
      <c r="C3145" s="10">
        <v>7.9060050933204398</v>
      </c>
      <c r="D3145" s="10">
        <v>1.0741813233713799</v>
      </c>
      <c r="E3145" s="10">
        <v>7.3600284433422898</v>
      </c>
      <c r="F3145" s="4">
        <v>1.8387104594640999E-13</v>
      </c>
      <c r="G3145" s="4">
        <v>3.98880126504922E-12</v>
      </c>
      <c r="H3145" s="10" t="s">
        <v>6303</v>
      </c>
      <c r="I3145" s="10" t="s">
        <v>18</v>
      </c>
    </row>
    <row r="3146" spans="1:9" x14ac:dyDescent="0.2">
      <c r="A3146" s="10" t="s">
        <v>6304</v>
      </c>
      <c r="B3146" s="10">
        <v>38.316513668274197</v>
      </c>
      <c r="C3146" s="10">
        <v>8.6557989089264904</v>
      </c>
      <c r="D3146" s="10">
        <v>1.5390165971240699</v>
      </c>
      <c r="E3146" s="10">
        <v>5.6242401317187802</v>
      </c>
      <c r="F3146" s="4">
        <v>1.86326312071425E-8</v>
      </c>
      <c r="G3146" s="4">
        <v>2.1340197667129501E-7</v>
      </c>
      <c r="H3146" s="10" t="s">
        <v>6305</v>
      </c>
      <c r="I3146" s="10" t="s">
        <v>18</v>
      </c>
    </row>
    <row r="3147" spans="1:9" x14ac:dyDescent="0.2">
      <c r="A3147" s="10" t="s">
        <v>6306</v>
      </c>
      <c r="B3147" s="10">
        <v>27.9260373401486</v>
      </c>
      <c r="C3147" s="10">
        <v>6.7442691815578897</v>
      </c>
      <c r="D3147" s="10">
        <v>1.5627825459397799</v>
      </c>
      <c r="E3147" s="10">
        <v>4.3155518975304599</v>
      </c>
      <c r="F3147" s="4">
        <v>1.59204641971691E-5</v>
      </c>
      <c r="G3147" s="10">
        <v>1.08202765772079E-4</v>
      </c>
      <c r="H3147" s="10" t="s">
        <v>6307</v>
      </c>
      <c r="I3147" s="10" t="s">
        <v>18</v>
      </c>
    </row>
    <row r="3148" spans="1:9" x14ac:dyDescent="0.2">
      <c r="A3148" s="10" t="s">
        <v>6308</v>
      </c>
      <c r="B3148" s="10">
        <v>146.83384830223</v>
      </c>
      <c r="C3148" s="10">
        <v>-2.0042187168799499</v>
      </c>
      <c r="D3148" s="10">
        <v>0.34372143707422897</v>
      </c>
      <c r="E3148" s="10">
        <v>-5.8309389543461201</v>
      </c>
      <c r="F3148" s="4">
        <v>5.5116347177009498E-9</v>
      </c>
      <c r="G3148" s="4">
        <v>6.7860601515227202E-8</v>
      </c>
      <c r="H3148" s="10" t="s">
        <v>6309</v>
      </c>
      <c r="I3148" s="10" t="s">
        <v>18</v>
      </c>
    </row>
    <row r="3149" spans="1:9" x14ac:dyDescent="0.2">
      <c r="A3149" s="10" t="s">
        <v>6310</v>
      </c>
      <c r="B3149" s="10">
        <v>12.196374843025</v>
      </c>
      <c r="C3149" s="10">
        <v>2.5177703950355501</v>
      </c>
      <c r="D3149" s="10">
        <v>1.0428683914199599</v>
      </c>
      <c r="E3149" s="10">
        <v>2.4142743377305398</v>
      </c>
      <c r="F3149" s="10">
        <v>1.57665861244707E-2</v>
      </c>
      <c r="G3149" s="10">
        <v>4.6442396987400401E-2</v>
      </c>
      <c r="H3149" s="10" t="s">
        <v>6311</v>
      </c>
      <c r="I3149" s="10" t="s">
        <v>18</v>
      </c>
    </row>
    <row r="3150" spans="1:9" x14ac:dyDescent="0.2">
      <c r="A3150" s="10" t="s">
        <v>6312</v>
      </c>
      <c r="B3150" s="10">
        <v>226.14133647592601</v>
      </c>
      <c r="C3150" s="10">
        <v>1.2465211359177799</v>
      </c>
      <c r="D3150" s="10">
        <v>0.27833089697197499</v>
      </c>
      <c r="E3150" s="10">
        <v>4.4785582537870097</v>
      </c>
      <c r="F3150" s="4">
        <v>7.5148863941339797E-6</v>
      </c>
      <c r="G3150" s="4">
        <v>5.4704277205709E-5</v>
      </c>
      <c r="H3150" s="10" t="s">
        <v>6313</v>
      </c>
      <c r="I3150" s="10" t="s">
        <v>18</v>
      </c>
    </row>
    <row r="3151" spans="1:9" x14ac:dyDescent="0.2">
      <c r="A3151" s="10" t="s">
        <v>6314</v>
      </c>
      <c r="B3151" s="10">
        <v>911.57311802651202</v>
      </c>
      <c r="C3151" s="10">
        <v>1.17770978443217</v>
      </c>
      <c r="D3151" s="10">
        <v>0.20083925335858599</v>
      </c>
      <c r="E3151" s="10">
        <v>5.8639422559963599</v>
      </c>
      <c r="F3151" s="4">
        <v>4.5200472591987301E-9</v>
      </c>
      <c r="G3151" s="4">
        <v>5.6365092755783899E-8</v>
      </c>
      <c r="H3151" s="10" t="s">
        <v>6315</v>
      </c>
      <c r="I3151" s="10" t="s">
        <v>18</v>
      </c>
    </row>
    <row r="3152" spans="1:9" x14ac:dyDescent="0.2">
      <c r="A3152" s="10" t="s">
        <v>6316</v>
      </c>
      <c r="B3152" s="10">
        <v>4.4389149083278303</v>
      </c>
      <c r="C3152" s="10">
        <v>5.5416549708147302</v>
      </c>
      <c r="D3152" s="10">
        <v>2.1243404820932601</v>
      </c>
      <c r="E3152" s="10">
        <v>2.6086472566554701</v>
      </c>
      <c r="F3152" s="10">
        <v>9.0900891388015007E-3</v>
      </c>
      <c r="G3152" s="10">
        <v>2.93596086729403E-2</v>
      </c>
      <c r="H3152" s="10" t="s">
        <v>6317</v>
      </c>
      <c r="I3152" s="10" t="s">
        <v>18</v>
      </c>
    </row>
    <row r="3153" spans="1:9" x14ac:dyDescent="0.2">
      <c r="A3153" s="10" t="s">
        <v>6318</v>
      </c>
      <c r="B3153" s="10">
        <v>1163.6265754870899</v>
      </c>
      <c r="C3153" s="10">
        <v>-2.66341815004948</v>
      </c>
      <c r="D3153" s="10">
        <v>0.21005870715081501</v>
      </c>
      <c r="E3153" s="10">
        <v>-12.6793989460158</v>
      </c>
      <c r="F3153" s="4">
        <v>7.6919431220409401E-37</v>
      </c>
      <c r="G3153" s="4">
        <v>8.9949516843883902E-35</v>
      </c>
      <c r="H3153" s="10" t="s">
        <v>6319</v>
      </c>
      <c r="I3153" s="10" t="s">
        <v>18</v>
      </c>
    </row>
    <row r="3154" spans="1:9" x14ac:dyDescent="0.2">
      <c r="A3154" s="10" t="s">
        <v>6320</v>
      </c>
      <c r="B3154" s="10">
        <v>528.282727850573</v>
      </c>
      <c r="C3154" s="10">
        <v>2.4883195908870399</v>
      </c>
      <c r="D3154" s="10">
        <v>0.23937044539746699</v>
      </c>
      <c r="E3154" s="10">
        <v>10.395266578358299</v>
      </c>
      <c r="F3154" s="4">
        <v>2.60557327597875E-25</v>
      </c>
      <c r="G3154" s="4">
        <v>1.49147174476036E-23</v>
      </c>
      <c r="H3154" s="10" t="s">
        <v>6321</v>
      </c>
      <c r="I3154" s="10" t="s">
        <v>18</v>
      </c>
    </row>
    <row r="3155" spans="1:9" x14ac:dyDescent="0.2">
      <c r="A3155" s="10" t="s">
        <v>6322</v>
      </c>
      <c r="B3155" s="10">
        <v>19.0782661485914</v>
      </c>
      <c r="C3155" s="10">
        <v>7.6466521243727996</v>
      </c>
      <c r="D3155" s="10">
        <v>1.6436240568712399</v>
      </c>
      <c r="E3155" s="10">
        <v>4.6523121223528099</v>
      </c>
      <c r="F3155" s="4">
        <v>3.2823375065091699E-6</v>
      </c>
      <c r="G3155" s="4">
        <v>2.5655149179533998E-5</v>
      </c>
      <c r="H3155" s="10" t="s">
        <v>6323</v>
      </c>
      <c r="I3155" s="10" t="s">
        <v>18</v>
      </c>
    </row>
    <row r="3156" spans="1:9" x14ac:dyDescent="0.2">
      <c r="A3156" s="10" t="s">
        <v>6324</v>
      </c>
      <c r="B3156" s="10">
        <v>48.929747258552403</v>
      </c>
      <c r="C3156" s="10">
        <v>2.0355367891703602</v>
      </c>
      <c r="D3156" s="10">
        <v>0.55182893640194697</v>
      </c>
      <c r="E3156" s="10">
        <v>3.6887097701735998</v>
      </c>
      <c r="F3156" s="10">
        <v>2.25394151339357E-4</v>
      </c>
      <c r="G3156" s="10">
        <v>1.1821586990458999E-3</v>
      </c>
      <c r="H3156" s="10" t="s">
        <v>6325</v>
      </c>
      <c r="I3156" s="10" t="s">
        <v>18</v>
      </c>
    </row>
    <row r="3157" spans="1:9" x14ac:dyDescent="0.2">
      <c r="A3157" s="10" t="s">
        <v>6326</v>
      </c>
      <c r="B3157" s="10">
        <v>4.2909566987279701</v>
      </c>
      <c r="C3157" s="10">
        <v>5.4906776166512303</v>
      </c>
      <c r="D3157" s="10">
        <v>2.2108381641221801</v>
      </c>
      <c r="E3157" s="10">
        <v>2.4835276076534099</v>
      </c>
      <c r="F3157" s="10">
        <v>1.30088250259493E-2</v>
      </c>
      <c r="G3157" s="10">
        <v>3.9643379429822101E-2</v>
      </c>
      <c r="H3157" s="10" t="s">
        <v>6327</v>
      </c>
      <c r="I3157" s="10" t="s">
        <v>18</v>
      </c>
    </row>
    <row r="3158" spans="1:9" x14ac:dyDescent="0.2">
      <c r="A3158" s="10" t="s">
        <v>6328</v>
      </c>
      <c r="B3158" s="10">
        <v>61.802893775088101</v>
      </c>
      <c r="C3158" s="10">
        <v>3.8976452465923099</v>
      </c>
      <c r="D3158" s="10">
        <v>0.582568979379677</v>
      </c>
      <c r="E3158" s="10">
        <v>6.6904441955397997</v>
      </c>
      <c r="F3158" s="4">
        <v>2.2249419408599901E-11</v>
      </c>
      <c r="G3158" s="4">
        <v>3.7747816352809602E-10</v>
      </c>
      <c r="H3158" s="10" t="s">
        <v>6329</v>
      </c>
      <c r="I3158" s="10" t="s">
        <v>18</v>
      </c>
    </row>
    <row r="3159" spans="1:9" x14ac:dyDescent="0.2">
      <c r="A3159" s="10" t="s">
        <v>6330</v>
      </c>
      <c r="B3159" s="10">
        <v>4.5506350131209503</v>
      </c>
      <c r="C3159" s="10">
        <v>5.5810926405007502</v>
      </c>
      <c r="D3159" s="10">
        <v>2.0811975347712699</v>
      </c>
      <c r="E3159" s="10">
        <v>2.6816736745337999</v>
      </c>
      <c r="F3159" s="10">
        <v>7.3254878825888504E-3</v>
      </c>
      <c r="G3159" s="10">
        <v>2.4457489074488199E-2</v>
      </c>
      <c r="H3159" s="10" t="s">
        <v>6331</v>
      </c>
      <c r="I3159" s="10" t="s">
        <v>18</v>
      </c>
    </row>
    <row r="3160" spans="1:9" x14ac:dyDescent="0.2">
      <c r="A3160" s="10" t="s">
        <v>6332</v>
      </c>
      <c r="B3160" s="10">
        <v>1488.0644090011399</v>
      </c>
      <c r="C3160" s="10">
        <v>1.32958873284889</v>
      </c>
      <c r="D3160" s="10">
        <v>0.19991008936141999</v>
      </c>
      <c r="E3160" s="10">
        <v>6.6509336126858303</v>
      </c>
      <c r="F3160" s="4">
        <v>2.91239635529801E-11</v>
      </c>
      <c r="G3160" s="4">
        <v>4.8833269841726097E-10</v>
      </c>
      <c r="H3160" s="10" t="s">
        <v>6333</v>
      </c>
      <c r="I3160" s="10" t="s">
        <v>18</v>
      </c>
    </row>
    <row r="3161" spans="1:9" x14ac:dyDescent="0.2">
      <c r="A3161" s="10" t="s">
        <v>6334</v>
      </c>
      <c r="B3161" s="10">
        <v>151.30265325782699</v>
      </c>
      <c r="C3161" s="10">
        <v>1.80727767126835</v>
      </c>
      <c r="D3161" s="10">
        <v>0.33080383686926501</v>
      </c>
      <c r="E3161" s="10">
        <v>5.4632911406725899</v>
      </c>
      <c r="F3161" s="4">
        <v>4.6738710591015902E-8</v>
      </c>
      <c r="G3161" s="4">
        <v>5.0355462533547299E-7</v>
      </c>
      <c r="H3161" s="10" t="s">
        <v>6335</v>
      </c>
      <c r="I3161" s="10" t="s">
        <v>18</v>
      </c>
    </row>
    <row r="3162" spans="1:9" x14ac:dyDescent="0.2">
      <c r="A3162" s="10" t="s">
        <v>6336</v>
      </c>
      <c r="B3162" s="10">
        <v>182.66257646824599</v>
      </c>
      <c r="C3162" s="10">
        <v>1.7424006943614101</v>
      </c>
      <c r="D3162" s="10">
        <v>0.31464348829275501</v>
      </c>
      <c r="E3162" s="10">
        <v>5.53769824958278</v>
      </c>
      <c r="F3162" s="4">
        <v>3.06472693090879E-8</v>
      </c>
      <c r="G3162" s="4">
        <v>3.4028216977071502E-7</v>
      </c>
      <c r="H3162" s="10" t="s">
        <v>6337</v>
      </c>
      <c r="I3162" s="10" t="s">
        <v>18</v>
      </c>
    </row>
    <row r="3163" spans="1:9" x14ac:dyDescent="0.2">
      <c r="A3163" s="10" t="s">
        <v>6338</v>
      </c>
      <c r="B3163" s="10">
        <v>48.9123474094241</v>
      </c>
      <c r="C3163" s="10">
        <v>-1.8699645408044201</v>
      </c>
      <c r="D3163" s="10">
        <v>0.52062329460870505</v>
      </c>
      <c r="E3163" s="10">
        <v>-3.5917803912517199</v>
      </c>
      <c r="F3163" s="10">
        <v>3.2842656099370498E-4</v>
      </c>
      <c r="G3163" s="10">
        <v>1.6505202488883799E-3</v>
      </c>
      <c r="H3163" s="10" t="s">
        <v>6339</v>
      </c>
      <c r="I3163" s="10" t="s">
        <v>18</v>
      </c>
    </row>
    <row r="3164" spans="1:9" x14ac:dyDescent="0.2">
      <c r="A3164" s="10" t="s">
        <v>6340</v>
      </c>
      <c r="B3164" s="10">
        <v>32.433674766032603</v>
      </c>
      <c r="C3164" s="10">
        <v>3.8716931097030698</v>
      </c>
      <c r="D3164" s="10">
        <v>0.77345358357505201</v>
      </c>
      <c r="E3164" s="10">
        <v>5.0057213411661401</v>
      </c>
      <c r="F3164" s="4">
        <v>5.5653220117626503E-7</v>
      </c>
      <c r="G3164" s="4">
        <v>4.9782069352808104E-6</v>
      </c>
      <c r="H3164" s="10" t="s">
        <v>6341</v>
      </c>
      <c r="I3164" s="10" t="s">
        <v>18</v>
      </c>
    </row>
    <row r="3165" spans="1:9" x14ac:dyDescent="0.2">
      <c r="A3165" s="10" t="s">
        <v>6342</v>
      </c>
      <c r="B3165" s="10">
        <v>21.729577497717401</v>
      </c>
      <c r="C3165" s="10">
        <v>4.3230485536469399</v>
      </c>
      <c r="D3165" s="10">
        <v>0.99586543025827301</v>
      </c>
      <c r="E3165" s="10">
        <v>4.3409967072818096</v>
      </c>
      <c r="F3165" s="4">
        <v>1.41837849150706E-5</v>
      </c>
      <c r="G3165" s="4">
        <v>9.7469252857737595E-5</v>
      </c>
      <c r="H3165" s="10" t="s">
        <v>6343</v>
      </c>
      <c r="I3165" s="10" t="s">
        <v>18</v>
      </c>
    </row>
    <row r="3166" spans="1:9" x14ac:dyDescent="0.2">
      <c r="A3166" s="10" t="s">
        <v>6344</v>
      </c>
      <c r="B3166" s="10">
        <v>699.09953068753498</v>
      </c>
      <c r="C3166" s="10">
        <v>1.09854443568367</v>
      </c>
      <c r="D3166" s="10">
        <v>0.21476977844723999</v>
      </c>
      <c r="E3166" s="10">
        <v>5.1149861196767201</v>
      </c>
      <c r="F3166" s="4">
        <v>3.13764028006925E-7</v>
      </c>
      <c r="G3166" s="4">
        <v>2.9267814005836001E-6</v>
      </c>
      <c r="H3166" s="10" t="s">
        <v>6345</v>
      </c>
      <c r="I3166" s="10" t="s">
        <v>18</v>
      </c>
    </row>
    <row r="3167" spans="1:9" x14ac:dyDescent="0.2">
      <c r="A3167" s="10" t="s">
        <v>6346</v>
      </c>
      <c r="B3167" s="10">
        <v>996.25452637271701</v>
      </c>
      <c r="C3167" s="10">
        <v>2.3602065012389901</v>
      </c>
      <c r="D3167" s="10">
        <v>0.215123769221224</v>
      </c>
      <c r="E3167" s="10">
        <v>10.971388748827</v>
      </c>
      <c r="F3167" s="4">
        <v>5.2460378077570003E-28</v>
      </c>
      <c r="G3167" s="4">
        <v>3.53808891455334E-26</v>
      </c>
      <c r="H3167" s="10" t="s">
        <v>6347</v>
      </c>
      <c r="I3167" s="10" t="s">
        <v>18</v>
      </c>
    </row>
    <row r="3168" spans="1:9" x14ac:dyDescent="0.2">
      <c r="A3168" s="10" t="s">
        <v>6348</v>
      </c>
      <c r="B3168" s="10">
        <v>269.39844865622302</v>
      </c>
      <c r="C3168" s="10">
        <v>-1.0813016139850999</v>
      </c>
      <c r="D3168" s="10">
        <v>0.26333571880846801</v>
      </c>
      <c r="E3168" s="10">
        <v>-4.1061714638550999</v>
      </c>
      <c r="F3168" s="4">
        <v>4.0227092474474502E-5</v>
      </c>
      <c r="G3168" s="10">
        <v>2.5087379003250299E-4</v>
      </c>
      <c r="H3168" s="10" t="s">
        <v>6349</v>
      </c>
      <c r="I3168" s="10" t="s">
        <v>18</v>
      </c>
    </row>
    <row r="3169" spans="1:9" x14ac:dyDescent="0.2">
      <c r="A3169" s="10" t="s">
        <v>6350</v>
      </c>
      <c r="B3169" s="10">
        <v>406.09404125418399</v>
      </c>
      <c r="C3169" s="10">
        <v>1.0766565670375901</v>
      </c>
      <c r="D3169" s="10">
        <v>0.23267785348828901</v>
      </c>
      <c r="E3169" s="10">
        <v>4.6272412732730297</v>
      </c>
      <c r="F3169" s="4">
        <v>3.7056872324112199E-6</v>
      </c>
      <c r="G3169" s="4">
        <v>2.8692486507959199E-5</v>
      </c>
      <c r="H3169" s="10" t="s">
        <v>6351</v>
      </c>
      <c r="I3169" s="10" t="s">
        <v>18</v>
      </c>
    </row>
    <row r="3170" spans="1:9" x14ac:dyDescent="0.2">
      <c r="A3170" s="10" t="s">
        <v>6352</v>
      </c>
      <c r="B3170" s="10">
        <v>3627.18310833344</v>
      </c>
      <c r="C3170" s="10">
        <v>-1.3343717477664701</v>
      </c>
      <c r="D3170" s="10">
        <v>0.19792466796109601</v>
      </c>
      <c r="E3170" s="10">
        <v>-6.7418162754162303</v>
      </c>
      <c r="F3170" s="4">
        <v>1.5641879957137E-11</v>
      </c>
      <c r="G3170" s="4">
        <v>2.6940221440715E-10</v>
      </c>
      <c r="H3170" s="10" t="s">
        <v>6353</v>
      </c>
      <c r="I3170" s="10" t="s">
        <v>18</v>
      </c>
    </row>
    <row r="3171" spans="1:9" x14ac:dyDescent="0.2">
      <c r="A3171" s="10" t="s">
        <v>6354</v>
      </c>
      <c r="B3171" s="10">
        <v>555.03544266459801</v>
      </c>
      <c r="C3171" s="10">
        <v>2.4525740462613301</v>
      </c>
      <c r="D3171" s="10">
        <v>0.24366265983673499</v>
      </c>
      <c r="E3171" s="10">
        <v>10.0654488788092</v>
      </c>
      <c r="F3171" s="4">
        <v>7.8528282267615902E-24</v>
      </c>
      <c r="G3171" s="4">
        <v>4.0143716828250101E-22</v>
      </c>
      <c r="H3171" s="10" t="s">
        <v>6355</v>
      </c>
      <c r="I3171" s="10" t="s">
        <v>18</v>
      </c>
    </row>
    <row r="3172" spans="1:9" x14ac:dyDescent="0.2">
      <c r="A3172" s="10" t="s">
        <v>6356</v>
      </c>
      <c r="B3172" s="10">
        <v>1328.1268810229601</v>
      </c>
      <c r="C3172" s="10">
        <v>-3.58948950290331</v>
      </c>
      <c r="D3172" s="10">
        <v>0.21998284151917599</v>
      </c>
      <c r="E3172" s="10">
        <v>-16.317134000609801</v>
      </c>
      <c r="F3172" s="4">
        <v>7.4554570505417005E-60</v>
      </c>
      <c r="G3172" s="4">
        <v>2.1610514708096801E-57</v>
      </c>
      <c r="H3172" s="10" t="s">
        <v>6357</v>
      </c>
      <c r="I3172" s="10" t="s">
        <v>18</v>
      </c>
    </row>
    <row r="3173" spans="1:9" x14ac:dyDescent="0.2">
      <c r="A3173" s="10" t="s">
        <v>6358</v>
      </c>
      <c r="B3173" s="10">
        <v>4.9915038515476402</v>
      </c>
      <c r="C3173" s="10">
        <v>5.7155107172183204</v>
      </c>
      <c r="D3173" s="10">
        <v>2.03125899621197</v>
      </c>
      <c r="E3173" s="10">
        <v>2.81377742960253</v>
      </c>
      <c r="F3173" s="10">
        <v>4.8963116077231396E-3</v>
      </c>
      <c r="G3173" s="10">
        <v>1.7423247012620099E-2</v>
      </c>
      <c r="H3173" s="10" t="s">
        <v>6359</v>
      </c>
      <c r="I3173" s="10" t="s">
        <v>18</v>
      </c>
    </row>
    <row r="3174" spans="1:9" x14ac:dyDescent="0.2">
      <c r="A3174" s="10" t="s">
        <v>6360</v>
      </c>
      <c r="B3174" s="10">
        <v>367.66047977903298</v>
      </c>
      <c r="C3174" s="10">
        <v>-1.12338982055569</v>
      </c>
      <c r="D3174" s="10">
        <v>0.251881824057129</v>
      </c>
      <c r="E3174" s="10">
        <v>-4.4599876341251701</v>
      </c>
      <c r="F3174" s="4">
        <v>8.1964381949185804E-6</v>
      </c>
      <c r="G3174" s="4">
        <v>5.93012085759284E-5</v>
      </c>
      <c r="H3174" s="10" t="s">
        <v>6361</v>
      </c>
      <c r="I3174" s="10" t="s">
        <v>18</v>
      </c>
    </row>
    <row r="3175" spans="1:9" x14ac:dyDescent="0.2">
      <c r="A3175" s="10" t="s">
        <v>6362</v>
      </c>
      <c r="B3175" s="10">
        <v>3114.4021058236399</v>
      </c>
      <c r="C3175" s="10">
        <v>-1.2165018533224901</v>
      </c>
      <c r="D3175" s="10">
        <v>0.18489911313748</v>
      </c>
      <c r="E3175" s="10">
        <v>-6.5792735978023398</v>
      </c>
      <c r="F3175" s="4">
        <v>4.7275215860311E-11</v>
      </c>
      <c r="G3175" s="4">
        <v>7.6839795097948402E-10</v>
      </c>
      <c r="H3175" s="10" t="s">
        <v>6363</v>
      </c>
      <c r="I3175" s="10" t="s">
        <v>18</v>
      </c>
    </row>
    <row r="3176" spans="1:9" x14ac:dyDescent="0.2">
      <c r="A3176" s="10" t="s">
        <v>6364</v>
      </c>
      <c r="B3176" s="10">
        <v>1602.2390584985301</v>
      </c>
      <c r="C3176" s="10">
        <v>-1.43110969532444</v>
      </c>
      <c r="D3176" s="10">
        <v>0.21266563622817899</v>
      </c>
      <c r="E3176" s="10">
        <v>-6.7293885401820797</v>
      </c>
      <c r="F3176" s="4">
        <v>1.70377540114398E-11</v>
      </c>
      <c r="G3176" s="4">
        <v>2.9233481331845101E-10</v>
      </c>
      <c r="H3176" s="10" t="s">
        <v>6365</v>
      </c>
      <c r="I3176" s="10" t="s">
        <v>18</v>
      </c>
    </row>
    <row r="3177" spans="1:9" x14ac:dyDescent="0.2">
      <c r="A3177" s="10" t="s">
        <v>6366</v>
      </c>
      <c r="B3177" s="10">
        <v>2353.5476334892201</v>
      </c>
      <c r="C3177" s="10">
        <v>-1.34961119895183</v>
      </c>
      <c r="D3177" s="10">
        <v>0.18391933215067099</v>
      </c>
      <c r="E3177" s="10">
        <v>-7.3380605680222599</v>
      </c>
      <c r="F3177" s="4">
        <v>2.1671110210405301E-13</v>
      </c>
      <c r="G3177" s="4">
        <v>4.6567250780986796E-12</v>
      </c>
      <c r="H3177" s="10" t="s">
        <v>6367</v>
      </c>
      <c r="I3177" s="10" t="s">
        <v>18</v>
      </c>
    </row>
    <row r="3178" spans="1:9" x14ac:dyDescent="0.2">
      <c r="A3178" s="10" t="s">
        <v>6368</v>
      </c>
      <c r="B3178" s="10">
        <v>6018.1181161198201</v>
      </c>
      <c r="C3178" s="10">
        <v>1.1393780927025501</v>
      </c>
      <c r="D3178" s="10">
        <v>0.18261682943750299</v>
      </c>
      <c r="E3178" s="10">
        <v>6.2391735537850597</v>
      </c>
      <c r="F3178" s="4">
        <v>4.39888728584418E-10</v>
      </c>
      <c r="G3178" s="4">
        <v>6.2263107468777402E-9</v>
      </c>
      <c r="H3178" s="10" t="s">
        <v>6369</v>
      </c>
      <c r="I3178" s="10" t="s">
        <v>18</v>
      </c>
    </row>
    <row r="3179" spans="1:9" x14ac:dyDescent="0.2">
      <c r="A3179" s="10" t="s">
        <v>6370</v>
      </c>
      <c r="B3179" s="10">
        <v>17.775789941952201</v>
      </c>
      <c r="C3179" s="10">
        <v>2.0924797556461798</v>
      </c>
      <c r="D3179" s="10">
        <v>0.87423794255926801</v>
      </c>
      <c r="E3179" s="10">
        <v>2.3934899799939999</v>
      </c>
      <c r="F3179" s="10">
        <v>1.6688937167083501E-2</v>
      </c>
      <c r="G3179" s="10">
        <v>4.8686030430255801E-2</v>
      </c>
      <c r="H3179" s="10" t="s">
        <v>6371</v>
      </c>
      <c r="I3179" s="10" t="s">
        <v>18</v>
      </c>
    </row>
    <row r="3180" spans="1:9" x14ac:dyDescent="0.2">
      <c r="A3180" s="10" t="s">
        <v>6372</v>
      </c>
      <c r="B3180" s="10">
        <v>13884.8251402809</v>
      </c>
      <c r="C3180" s="10">
        <v>-1.3312371372921501</v>
      </c>
      <c r="D3180" s="10">
        <v>0.21072850581174801</v>
      </c>
      <c r="E3180" s="10">
        <v>-6.3173092418801504</v>
      </c>
      <c r="F3180" s="4">
        <v>2.66156659520736E-10</v>
      </c>
      <c r="G3180" s="4">
        <v>3.8780590919580201E-9</v>
      </c>
      <c r="H3180" s="10" t="s">
        <v>6373</v>
      </c>
      <c r="I3180" s="10" t="s">
        <v>18</v>
      </c>
    </row>
    <row r="3181" spans="1:9" x14ac:dyDescent="0.2">
      <c r="A3181" s="10" t="s">
        <v>6374</v>
      </c>
      <c r="B3181" s="10">
        <v>1679.56717206557</v>
      </c>
      <c r="C3181" s="10">
        <v>1.41023033647582</v>
      </c>
      <c r="D3181" s="10">
        <v>0.19131755147440899</v>
      </c>
      <c r="E3181" s="10">
        <v>7.3711498271210898</v>
      </c>
      <c r="F3181" s="4">
        <v>1.6916259460296601E-13</v>
      </c>
      <c r="G3181" s="4">
        <v>3.6902908047614201E-12</v>
      </c>
      <c r="H3181" s="10" t="s">
        <v>6375</v>
      </c>
      <c r="I3181" s="10" t="s">
        <v>18</v>
      </c>
    </row>
    <row r="3182" spans="1:9" x14ac:dyDescent="0.2">
      <c r="A3182" s="10" t="s">
        <v>6376</v>
      </c>
      <c r="B3182" s="10">
        <v>109.24844992617</v>
      </c>
      <c r="C3182" s="10">
        <v>2.00985760701675</v>
      </c>
      <c r="D3182" s="10">
        <v>0.38359604547112103</v>
      </c>
      <c r="E3182" s="10">
        <v>5.2395159719342201</v>
      </c>
      <c r="F3182" s="4">
        <v>1.6099831254602101E-7</v>
      </c>
      <c r="G3182" s="4">
        <v>1.5796618732234199E-6</v>
      </c>
      <c r="H3182" s="10" t="s">
        <v>6377</v>
      </c>
      <c r="I3182" s="10" t="s">
        <v>18</v>
      </c>
    </row>
    <row r="3183" spans="1:9" x14ac:dyDescent="0.2">
      <c r="A3183" s="10" t="s">
        <v>6378</v>
      </c>
      <c r="B3183" s="10">
        <v>380.348180325915</v>
      </c>
      <c r="C3183" s="10">
        <v>2.70024820528646</v>
      </c>
      <c r="D3183" s="10">
        <v>0.267721922018613</v>
      </c>
      <c r="E3183" s="10">
        <v>10.086018301851</v>
      </c>
      <c r="F3183" s="4">
        <v>6.3701219343260802E-24</v>
      </c>
      <c r="G3183" s="4">
        <v>3.2748436291430699E-22</v>
      </c>
      <c r="H3183" s="10" t="s">
        <v>6379</v>
      </c>
      <c r="I3183" s="10" t="s">
        <v>18</v>
      </c>
    </row>
    <row r="3184" spans="1:9" x14ac:dyDescent="0.2">
      <c r="A3184" s="10" t="s">
        <v>6380</v>
      </c>
      <c r="B3184" s="10">
        <v>542.31139289766099</v>
      </c>
      <c r="C3184" s="10">
        <v>-1.2291082979885899</v>
      </c>
      <c r="D3184" s="10">
        <v>0.253537103396756</v>
      </c>
      <c r="E3184" s="10">
        <v>-4.84784389157109</v>
      </c>
      <c r="F3184" s="4">
        <v>1.2481055240462801E-6</v>
      </c>
      <c r="G3184" s="4">
        <v>1.0505755703950901E-5</v>
      </c>
      <c r="H3184" s="10" t="s">
        <v>6381</v>
      </c>
      <c r="I3184" s="10" t="s">
        <v>18</v>
      </c>
    </row>
    <row r="3185" spans="1:9" x14ac:dyDescent="0.2">
      <c r="A3185" s="10" t="s">
        <v>6382</v>
      </c>
      <c r="B3185" s="10">
        <v>371.98127240093601</v>
      </c>
      <c r="C3185" s="10">
        <v>-1.1249430792151001</v>
      </c>
      <c r="D3185" s="10">
        <v>0.244498474207029</v>
      </c>
      <c r="E3185" s="10">
        <v>-4.6010229015276103</v>
      </c>
      <c r="F3185" s="4">
        <v>4.20421195501099E-6</v>
      </c>
      <c r="G3185" s="4">
        <v>3.2250045928542902E-5</v>
      </c>
      <c r="H3185" s="10" t="s">
        <v>6383</v>
      </c>
      <c r="I3185" s="10" t="s">
        <v>18</v>
      </c>
    </row>
    <row r="3186" spans="1:9" x14ac:dyDescent="0.2">
      <c r="A3186" s="10" t="s">
        <v>6384</v>
      </c>
      <c r="B3186" s="10">
        <v>5738.3013988692701</v>
      </c>
      <c r="C3186" s="10">
        <v>-2.7682829799175099</v>
      </c>
      <c r="D3186" s="10">
        <v>0.19566983968656601</v>
      </c>
      <c r="E3186" s="10">
        <v>-14.1477244748188</v>
      </c>
      <c r="F3186" s="4">
        <v>1.9289869971287301E-45</v>
      </c>
      <c r="G3186" s="4">
        <v>3.1854005279252399E-43</v>
      </c>
      <c r="H3186" s="10" t="s">
        <v>6385</v>
      </c>
      <c r="I3186" s="10" t="s">
        <v>18</v>
      </c>
    </row>
    <row r="3187" spans="1:9" x14ac:dyDescent="0.2">
      <c r="A3187" s="10" t="s">
        <v>6386</v>
      </c>
      <c r="B3187" s="10">
        <v>1007.85036970924</v>
      </c>
      <c r="C3187" s="10">
        <v>4.5862152883273302</v>
      </c>
      <c r="D3187" s="10">
        <v>0.23003501456025499</v>
      </c>
      <c r="E3187" s="10">
        <v>19.937031312796201</v>
      </c>
      <c r="F3187" s="4">
        <v>1.9425644629126001E-88</v>
      </c>
      <c r="G3187" s="4">
        <v>1.70738883616063E-85</v>
      </c>
      <c r="H3187" s="10" t="s">
        <v>6387</v>
      </c>
      <c r="I3187" s="10" t="s">
        <v>18</v>
      </c>
    </row>
    <row r="3188" spans="1:9" x14ac:dyDescent="0.2">
      <c r="A3188" s="10" t="s">
        <v>6388</v>
      </c>
      <c r="B3188" s="10">
        <v>9.6538589694617105</v>
      </c>
      <c r="C3188" s="10">
        <v>6.6684028122708501</v>
      </c>
      <c r="D3188" s="10">
        <v>1.7739601857798399</v>
      </c>
      <c r="E3188" s="10">
        <v>3.75904874626</v>
      </c>
      <c r="F3188" s="10">
        <v>1.7056060757053701E-4</v>
      </c>
      <c r="G3188" s="10">
        <v>9.2409323413689202E-4</v>
      </c>
      <c r="H3188" s="10" t="s">
        <v>6389</v>
      </c>
      <c r="I3188" s="10" t="s">
        <v>18</v>
      </c>
    </row>
    <row r="3189" spans="1:9" x14ac:dyDescent="0.2">
      <c r="A3189" s="10" t="s">
        <v>6390</v>
      </c>
      <c r="B3189" s="10">
        <v>1330.6988117041401</v>
      </c>
      <c r="C3189" s="10">
        <v>-1.5347221350719999</v>
      </c>
      <c r="D3189" s="10">
        <v>0.18950802457949301</v>
      </c>
      <c r="E3189" s="10">
        <v>-8.0984546088613296</v>
      </c>
      <c r="F3189" s="4">
        <v>5.5661724261726996E-16</v>
      </c>
      <c r="G3189" s="4">
        <v>1.5186871137686499E-14</v>
      </c>
      <c r="H3189" s="10" t="s">
        <v>6391</v>
      </c>
      <c r="I3189" s="10" t="s">
        <v>18</v>
      </c>
    </row>
    <row r="3190" spans="1:9" x14ac:dyDescent="0.2">
      <c r="A3190" s="10" t="s">
        <v>6392</v>
      </c>
      <c r="B3190" s="10">
        <v>971.694186330202</v>
      </c>
      <c r="C3190" s="10">
        <v>-1.6750026154199</v>
      </c>
      <c r="D3190" s="10">
        <v>0.20369342825837899</v>
      </c>
      <c r="E3190" s="10">
        <v>-8.2231549134477309</v>
      </c>
      <c r="F3190" s="4">
        <v>1.9821853414639399E-16</v>
      </c>
      <c r="G3190" s="4">
        <v>5.6200420394243502E-15</v>
      </c>
      <c r="H3190" s="10" t="s">
        <v>6393</v>
      </c>
      <c r="I3190" s="10" t="s">
        <v>18</v>
      </c>
    </row>
    <row r="3191" spans="1:9" x14ac:dyDescent="0.2">
      <c r="A3191" s="10" t="s">
        <v>6394</v>
      </c>
      <c r="B3191" s="10">
        <v>5371.5102202071803</v>
      </c>
      <c r="C3191" s="10">
        <v>1.18145275038811</v>
      </c>
      <c r="D3191" s="10">
        <v>0.17449169329480699</v>
      </c>
      <c r="E3191" s="10">
        <v>6.7708251784342703</v>
      </c>
      <c r="F3191" s="4">
        <v>1.28049929538357E-11</v>
      </c>
      <c r="G3191" s="4">
        <v>2.2265325016793899E-10</v>
      </c>
      <c r="H3191" s="10" t="s">
        <v>6395</v>
      </c>
      <c r="I3191" s="10" t="s">
        <v>18</v>
      </c>
    </row>
    <row r="3192" spans="1:9" x14ac:dyDescent="0.2">
      <c r="A3192" s="10" t="s">
        <v>6396</v>
      </c>
      <c r="B3192" s="10">
        <v>298.68112011485903</v>
      </c>
      <c r="C3192" s="10">
        <v>-1.13737855217906</v>
      </c>
      <c r="D3192" s="10">
        <v>0.25458083982826302</v>
      </c>
      <c r="E3192" s="10">
        <v>-4.4676518191483696</v>
      </c>
      <c r="F3192" s="4">
        <v>7.9082884100072102E-6</v>
      </c>
      <c r="G3192" s="4">
        <v>5.7307748486028303E-5</v>
      </c>
      <c r="H3192" s="10" t="s">
        <v>6397</v>
      </c>
      <c r="I3192" s="10" t="s">
        <v>18</v>
      </c>
    </row>
    <row r="3193" spans="1:9" x14ac:dyDescent="0.2">
      <c r="A3193" s="10" t="s">
        <v>6398</v>
      </c>
      <c r="B3193" s="10">
        <v>86.078939820949998</v>
      </c>
      <c r="C3193" s="10">
        <v>-1.1277422477966299</v>
      </c>
      <c r="D3193" s="10">
        <v>0.41956338962786499</v>
      </c>
      <c r="E3193" s="10">
        <v>-2.6878947869996299</v>
      </c>
      <c r="F3193" s="10">
        <v>7.1904048698977797E-3</v>
      </c>
      <c r="G3193" s="10">
        <v>2.4136622088222801E-2</v>
      </c>
      <c r="H3193" s="10" t="s">
        <v>6399</v>
      </c>
      <c r="I3193" s="10" t="s">
        <v>18</v>
      </c>
    </row>
    <row r="3194" spans="1:9" x14ac:dyDescent="0.2">
      <c r="A3194" s="10" t="s">
        <v>6400</v>
      </c>
      <c r="B3194" s="10">
        <v>935.06967282353105</v>
      </c>
      <c r="C3194" s="10">
        <v>-1.41045977844714</v>
      </c>
      <c r="D3194" s="10">
        <v>0.215283418281457</v>
      </c>
      <c r="E3194" s="10">
        <v>-6.5516415045172396</v>
      </c>
      <c r="F3194" s="4">
        <v>5.6908026760135599E-11</v>
      </c>
      <c r="G3194" s="4">
        <v>9.18585903515056E-10</v>
      </c>
      <c r="H3194" s="10" t="s">
        <v>6401</v>
      </c>
      <c r="I3194" s="10" t="s">
        <v>18</v>
      </c>
    </row>
    <row r="3195" spans="1:9" x14ac:dyDescent="0.2">
      <c r="A3195" s="10" t="s">
        <v>6402</v>
      </c>
      <c r="B3195" s="10">
        <v>7.52499677731464</v>
      </c>
      <c r="C3195" s="10">
        <v>6.3091617375997604</v>
      </c>
      <c r="D3195" s="10">
        <v>1.8562154266706801</v>
      </c>
      <c r="E3195" s="10">
        <v>3.39893831661335</v>
      </c>
      <c r="F3195" s="10">
        <v>6.7647971212428902E-4</v>
      </c>
      <c r="G3195" s="10">
        <v>3.1368350436096898E-3</v>
      </c>
      <c r="H3195" s="10" t="s">
        <v>6403</v>
      </c>
      <c r="I3195" s="10" t="s">
        <v>18</v>
      </c>
    </row>
    <row r="3196" spans="1:9" x14ac:dyDescent="0.2">
      <c r="A3196" s="10" t="s">
        <v>6404</v>
      </c>
      <c r="B3196" s="10">
        <v>117.214160098191</v>
      </c>
      <c r="C3196" s="10">
        <v>3.54312639044038</v>
      </c>
      <c r="D3196" s="10">
        <v>0.427619813247268</v>
      </c>
      <c r="E3196" s="10">
        <v>8.28569275949706</v>
      </c>
      <c r="F3196" s="4">
        <v>1.1742355875607501E-16</v>
      </c>
      <c r="G3196" s="4">
        <v>3.4072840313384099E-15</v>
      </c>
      <c r="H3196" s="10" t="s">
        <v>6405</v>
      </c>
      <c r="I3196" s="10" t="s">
        <v>18</v>
      </c>
    </row>
    <row r="3197" spans="1:9" x14ac:dyDescent="0.2">
      <c r="A3197" s="10" t="s">
        <v>6406</v>
      </c>
      <c r="B3197" s="10">
        <v>694.55193439167897</v>
      </c>
      <c r="C3197" s="10">
        <v>-2.1740030979899898</v>
      </c>
      <c r="D3197" s="10">
        <v>0.22565940081211899</v>
      </c>
      <c r="E3197" s="10">
        <v>-9.6340019080349908</v>
      </c>
      <c r="F3197" s="4">
        <v>5.7447548342286998E-22</v>
      </c>
      <c r="G3197" s="4">
        <v>2.59580986680314E-20</v>
      </c>
      <c r="H3197" s="10" t="s">
        <v>6407</v>
      </c>
      <c r="I3197" s="10" t="s">
        <v>18</v>
      </c>
    </row>
    <row r="3198" spans="1:9" x14ac:dyDescent="0.2">
      <c r="A3198" s="10" t="s">
        <v>6408</v>
      </c>
      <c r="B3198" s="10">
        <v>39.578993406802198</v>
      </c>
      <c r="C3198" s="10">
        <v>1.6111544462216201</v>
      </c>
      <c r="D3198" s="10">
        <v>0.59774406460310603</v>
      </c>
      <c r="E3198" s="10">
        <v>2.6953917932943501</v>
      </c>
      <c r="F3198" s="10">
        <v>7.0305908872210698E-3</v>
      </c>
      <c r="G3198" s="10">
        <v>2.3708231423776299E-2</v>
      </c>
      <c r="H3198" s="10" t="s">
        <v>6409</v>
      </c>
      <c r="I3198" s="10" t="s">
        <v>18</v>
      </c>
    </row>
    <row r="3199" spans="1:9" x14ac:dyDescent="0.2">
      <c r="A3199" s="10" t="s">
        <v>6410</v>
      </c>
      <c r="B3199" s="10">
        <v>16.668391959056599</v>
      </c>
      <c r="C3199" s="10">
        <v>5.9879433377106199</v>
      </c>
      <c r="D3199" s="10">
        <v>1.63379983977026</v>
      </c>
      <c r="E3199" s="10">
        <v>3.66504096276116</v>
      </c>
      <c r="F3199" s="10">
        <v>2.4729899839893499E-4</v>
      </c>
      <c r="G3199" s="10">
        <v>1.2819931144170101E-3</v>
      </c>
      <c r="H3199" s="10" t="s">
        <v>6411</v>
      </c>
      <c r="I3199" s="10" t="s">
        <v>18</v>
      </c>
    </row>
    <row r="3200" spans="1:9" x14ac:dyDescent="0.2">
      <c r="A3200" s="10" t="s">
        <v>6412</v>
      </c>
      <c r="B3200" s="10">
        <v>14.8355329239293</v>
      </c>
      <c r="C3200" s="10">
        <v>3.3859695482747698</v>
      </c>
      <c r="D3200" s="10">
        <v>1.04343227744642</v>
      </c>
      <c r="E3200" s="10">
        <v>3.2450304839727599</v>
      </c>
      <c r="F3200" s="10">
        <v>1.1743805108006399E-3</v>
      </c>
      <c r="G3200" s="10">
        <v>5.0774906026317002E-3</v>
      </c>
      <c r="H3200" s="10" t="s">
        <v>6413</v>
      </c>
      <c r="I3200" s="10" t="s">
        <v>18</v>
      </c>
    </row>
    <row r="3201" spans="1:9" x14ac:dyDescent="0.2">
      <c r="A3201" s="10" t="s">
        <v>6414</v>
      </c>
      <c r="B3201" s="10">
        <v>6.9813006751610196</v>
      </c>
      <c r="C3201" s="10">
        <v>4.7018221056523801</v>
      </c>
      <c r="D3201" s="10">
        <v>1.8687806903439499</v>
      </c>
      <c r="E3201" s="10">
        <v>2.5159838872195301</v>
      </c>
      <c r="F3201" s="10">
        <v>1.18700609339923E-2</v>
      </c>
      <c r="G3201" s="10">
        <v>3.6685974395245999E-2</v>
      </c>
      <c r="H3201" s="10" t="s">
        <v>6415</v>
      </c>
      <c r="I3201" s="10" t="s">
        <v>18</v>
      </c>
    </row>
    <row r="3202" spans="1:9" x14ac:dyDescent="0.2">
      <c r="A3202" s="10" t="s">
        <v>6416</v>
      </c>
      <c r="B3202" s="10">
        <v>866.95975099119801</v>
      </c>
      <c r="C3202" s="10">
        <v>2.6210384287413402</v>
      </c>
      <c r="D3202" s="10">
        <v>0.21825761690586601</v>
      </c>
      <c r="E3202" s="10">
        <v>12.008920769403399</v>
      </c>
      <c r="F3202" s="4">
        <v>3.1898059253379098E-33</v>
      </c>
      <c r="G3202" s="4">
        <v>3.0389035681007698E-31</v>
      </c>
      <c r="H3202" s="10" t="s">
        <v>6417</v>
      </c>
      <c r="I3202" s="10" t="s">
        <v>18</v>
      </c>
    </row>
    <row r="3203" spans="1:9" x14ac:dyDescent="0.2">
      <c r="A3203" s="10" t="s">
        <v>6418</v>
      </c>
      <c r="B3203" s="10">
        <v>20.446128139796901</v>
      </c>
      <c r="C3203" s="10">
        <v>7.7512725300566299</v>
      </c>
      <c r="D3203" s="10">
        <v>1.61256550892749</v>
      </c>
      <c r="E3203" s="10">
        <v>4.8067954369258103</v>
      </c>
      <c r="F3203" s="4">
        <v>1.53368776142232E-6</v>
      </c>
      <c r="G3203" s="4">
        <v>1.2736479864514999E-5</v>
      </c>
      <c r="H3203" s="10" t="s">
        <v>6419</v>
      </c>
      <c r="I3203" s="10" t="s">
        <v>18</v>
      </c>
    </row>
    <row r="3204" spans="1:9" x14ac:dyDescent="0.2">
      <c r="A3204" s="10" t="s">
        <v>6420</v>
      </c>
      <c r="B3204" s="10">
        <v>5.0277419563543804</v>
      </c>
      <c r="C3204" s="10">
        <v>5.7249864720364698</v>
      </c>
      <c r="D3204" s="10">
        <v>2.0292551541625601</v>
      </c>
      <c r="E3204" s="10">
        <v>2.82122554193983</v>
      </c>
      <c r="F3204" s="10">
        <v>4.7840554620197E-3</v>
      </c>
      <c r="G3204" s="10">
        <v>1.7077316805142299E-2</v>
      </c>
      <c r="H3204" s="10" t="s">
        <v>6421</v>
      </c>
      <c r="I3204" s="10" t="s">
        <v>18</v>
      </c>
    </row>
    <row r="3205" spans="1:9" x14ac:dyDescent="0.2">
      <c r="A3205" s="10" t="s">
        <v>6422</v>
      </c>
      <c r="B3205" s="10">
        <v>5.5803308995741903</v>
      </c>
      <c r="C3205" s="10">
        <v>5.8793071768343896</v>
      </c>
      <c r="D3205" s="10">
        <v>1.98610001956419</v>
      </c>
      <c r="E3205" s="10">
        <v>2.9602271380695502</v>
      </c>
      <c r="F3205" s="10">
        <v>3.0741230308199102E-3</v>
      </c>
      <c r="G3205" s="10">
        <v>1.1701680667889101E-2</v>
      </c>
      <c r="H3205" s="10" t="s">
        <v>6423</v>
      </c>
      <c r="I3205" s="10" t="s">
        <v>18</v>
      </c>
    </row>
    <row r="3206" spans="1:9" x14ac:dyDescent="0.2">
      <c r="A3206" s="10" t="s">
        <v>6424</v>
      </c>
      <c r="B3206" s="10">
        <v>170.97429739023099</v>
      </c>
      <c r="C3206" s="10">
        <v>5.6452599719928198</v>
      </c>
      <c r="D3206" s="10">
        <v>0.50280555214177303</v>
      </c>
      <c r="E3206" s="10">
        <v>11.227521151956299</v>
      </c>
      <c r="F3206" s="4">
        <v>2.98742352028709E-29</v>
      </c>
      <c r="G3206" s="4">
        <v>2.1881271144425301E-27</v>
      </c>
      <c r="H3206" s="10" t="s">
        <v>6425</v>
      </c>
      <c r="I3206" s="10" t="s">
        <v>18</v>
      </c>
    </row>
    <row r="3207" spans="1:9" x14ac:dyDescent="0.2">
      <c r="A3207" s="10" t="s">
        <v>6426</v>
      </c>
      <c r="B3207" s="10">
        <v>1637.26265422697</v>
      </c>
      <c r="C3207" s="10">
        <v>1.76255967376527</v>
      </c>
      <c r="D3207" s="10">
        <v>0.22023382150581799</v>
      </c>
      <c r="E3207" s="10">
        <v>8.0031289550079894</v>
      </c>
      <c r="F3207" s="4">
        <v>1.2129679348828599E-15</v>
      </c>
      <c r="G3207" s="4">
        <v>3.2118306435134497E-14</v>
      </c>
      <c r="H3207" s="10" t="s">
        <v>6427</v>
      </c>
      <c r="I3207" s="10" t="s">
        <v>18</v>
      </c>
    </row>
    <row r="3208" spans="1:9" x14ac:dyDescent="0.2">
      <c r="A3208" s="10" t="s">
        <v>6428</v>
      </c>
      <c r="B3208" s="10">
        <v>249.32729412511401</v>
      </c>
      <c r="C3208" s="10">
        <v>3.8934228036570802</v>
      </c>
      <c r="D3208" s="10">
        <v>0.32232421733802602</v>
      </c>
      <c r="E3208" s="10">
        <v>12.079212774676501</v>
      </c>
      <c r="F3208" s="4">
        <v>1.36015688141306E-33</v>
      </c>
      <c r="G3208" s="4">
        <v>1.31886813337585E-31</v>
      </c>
      <c r="H3208" s="10" t="s">
        <v>6429</v>
      </c>
      <c r="I3208" s="10" t="s">
        <v>18</v>
      </c>
    </row>
    <row r="3209" spans="1:9" x14ac:dyDescent="0.2">
      <c r="A3209" s="10" t="s">
        <v>6430</v>
      </c>
      <c r="B3209" s="10">
        <v>12.329509791955299</v>
      </c>
      <c r="C3209" s="10">
        <v>3.9003497400238301</v>
      </c>
      <c r="D3209" s="10">
        <v>1.22079213585723</v>
      </c>
      <c r="E3209" s="10">
        <v>3.1949335398405299</v>
      </c>
      <c r="F3209" s="10">
        <v>1.3986304406669601E-3</v>
      </c>
      <c r="G3209" s="10">
        <v>5.9183854040771398E-3</v>
      </c>
      <c r="H3209" s="10" t="s">
        <v>6431</v>
      </c>
      <c r="I3209" s="10" t="s">
        <v>18</v>
      </c>
    </row>
    <row r="3210" spans="1:9" x14ac:dyDescent="0.2">
      <c r="A3210" s="10" t="s">
        <v>6432</v>
      </c>
      <c r="B3210" s="10">
        <v>279.95980479486798</v>
      </c>
      <c r="C3210" s="10">
        <v>1.423096990061</v>
      </c>
      <c r="D3210" s="10">
        <v>0.26421177837291299</v>
      </c>
      <c r="E3210" s="10">
        <v>5.3861981431138704</v>
      </c>
      <c r="F3210" s="4">
        <v>7.19636276330935E-8</v>
      </c>
      <c r="G3210" s="4">
        <v>7.4953859408214802E-7</v>
      </c>
      <c r="H3210" s="10" t="s">
        <v>6433</v>
      </c>
      <c r="I3210" s="10" t="s">
        <v>18</v>
      </c>
    </row>
    <row r="3211" spans="1:9" x14ac:dyDescent="0.2">
      <c r="A3211" s="10" t="s">
        <v>6434</v>
      </c>
      <c r="B3211" s="10">
        <v>3090.7440636759602</v>
      </c>
      <c r="C3211" s="10">
        <v>-1.13734139910069</v>
      </c>
      <c r="D3211" s="10">
        <v>0.19494437391875499</v>
      </c>
      <c r="E3211" s="10">
        <v>-5.8341842661983501</v>
      </c>
      <c r="F3211" s="4">
        <v>5.4054359024232498E-9</v>
      </c>
      <c r="G3211" s="4">
        <v>6.6667073780083805E-8</v>
      </c>
      <c r="H3211" s="10" t="s">
        <v>6435</v>
      </c>
      <c r="I3211" s="10" t="s">
        <v>18</v>
      </c>
    </row>
    <row r="3212" spans="1:9" x14ac:dyDescent="0.2">
      <c r="A3212" s="10" t="s">
        <v>6436</v>
      </c>
      <c r="B3212" s="10">
        <v>1400.13983779152</v>
      </c>
      <c r="C3212" s="10">
        <v>-1.0033111384193001</v>
      </c>
      <c r="D3212" s="10">
        <v>0.222603898868383</v>
      </c>
      <c r="E3212" s="10">
        <v>-4.5071588751125899</v>
      </c>
      <c r="F3212" s="4">
        <v>6.57014389159247E-6</v>
      </c>
      <c r="G3212" s="4">
        <v>4.8422155968141802E-5</v>
      </c>
      <c r="H3212" s="10" t="s">
        <v>6437</v>
      </c>
      <c r="I3212" s="10" t="s">
        <v>18</v>
      </c>
    </row>
    <row r="3213" spans="1:9" x14ac:dyDescent="0.2">
      <c r="A3213" s="10" t="s">
        <v>6438</v>
      </c>
      <c r="B3213" s="10">
        <v>377.57905854982101</v>
      </c>
      <c r="C3213" s="10">
        <v>6.1018686083006797</v>
      </c>
      <c r="D3213" s="10">
        <v>0.39576268802002801</v>
      </c>
      <c r="E3213" s="10">
        <v>15.417998697219</v>
      </c>
      <c r="F3213" s="4">
        <v>1.2388427959644E-53</v>
      </c>
      <c r="G3213" s="4">
        <v>2.84069897316161E-51</v>
      </c>
      <c r="H3213" s="10" t="s">
        <v>6439</v>
      </c>
      <c r="I3213" s="10" t="s">
        <v>18</v>
      </c>
    </row>
    <row r="3214" spans="1:9" x14ac:dyDescent="0.2">
      <c r="A3214" s="10" t="s">
        <v>6440</v>
      </c>
      <c r="B3214" s="10">
        <v>24.5921757882079</v>
      </c>
      <c r="C3214" s="10">
        <v>5.5426185621181396</v>
      </c>
      <c r="D3214" s="10">
        <v>1.2066740062725501</v>
      </c>
      <c r="E3214" s="10">
        <v>4.5933023611235502</v>
      </c>
      <c r="F3214" s="4">
        <v>4.3628621016312901E-6</v>
      </c>
      <c r="G3214" s="4">
        <v>3.3366146784549602E-5</v>
      </c>
      <c r="H3214" s="10" t="s">
        <v>6441</v>
      </c>
      <c r="I3214" s="10" t="s">
        <v>18</v>
      </c>
    </row>
    <row r="3215" spans="1:9" x14ac:dyDescent="0.2">
      <c r="A3215" s="10" t="s">
        <v>6442</v>
      </c>
      <c r="B3215" s="10">
        <v>7357.6437152491399</v>
      </c>
      <c r="C3215" s="10">
        <v>1.0695505537102199</v>
      </c>
      <c r="D3215" s="10">
        <v>0.176152005348093</v>
      </c>
      <c r="E3215" s="10">
        <v>6.07174781573839</v>
      </c>
      <c r="F3215" s="4">
        <v>1.2652551914035099E-9</v>
      </c>
      <c r="G3215" s="4">
        <v>1.6990836964106199E-8</v>
      </c>
      <c r="H3215" s="10" t="s">
        <v>6443</v>
      </c>
      <c r="I3215" s="10" t="s">
        <v>18</v>
      </c>
    </row>
    <row r="3216" spans="1:9" x14ac:dyDescent="0.2">
      <c r="A3216" s="10" t="s">
        <v>6444</v>
      </c>
      <c r="B3216" s="10">
        <v>5.9094796332077504</v>
      </c>
      <c r="C3216" s="10">
        <v>5.9598090719970296</v>
      </c>
      <c r="D3216" s="10">
        <v>1.95187301083798</v>
      </c>
      <c r="E3216" s="10">
        <v>3.0533795174709502</v>
      </c>
      <c r="F3216" s="10">
        <v>2.2627956517912002E-3</v>
      </c>
      <c r="G3216" s="10">
        <v>8.9561872638516601E-3</v>
      </c>
      <c r="H3216" s="10" t="s">
        <v>6445</v>
      </c>
      <c r="I3216" s="10" t="s">
        <v>18</v>
      </c>
    </row>
    <row r="3217" spans="1:9" x14ac:dyDescent="0.2">
      <c r="A3217" s="10" t="s">
        <v>6446</v>
      </c>
      <c r="B3217" s="10">
        <v>300.11416282417002</v>
      </c>
      <c r="C3217" s="10">
        <v>-1.72974506408319</v>
      </c>
      <c r="D3217" s="10">
        <v>0.28162131789648198</v>
      </c>
      <c r="E3217" s="10">
        <v>-6.1420956233114801</v>
      </c>
      <c r="F3217" s="4">
        <v>8.1439803399574301E-10</v>
      </c>
      <c r="G3217" s="4">
        <v>1.1218353504692601E-8</v>
      </c>
      <c r="H3217" s="10" t="s">
        <v>6447</v>
      </c>
      <c r="I3217" s="10" t="s">
        <v>18</v>
      </c>
    </row>
    <row r="3218" spans="1:9" x14ac:dyDescent="0.2">
      <c r="A3218" s="10" t="s">
        <v>6448</v>
      </c>
      <c r="B3218" s="10">
        <v>2038.5220016312001</v>
      </c>
      <c r="C3218" s="10">
        <v>1.3605251085221</v>
      </c>
      <c r="D3218" s="10">
        <v>0.19348640351964899</v>
      </c>
      <c r="E3218" s="10">
        <v>7.0316315967076903</v>
      </c>
      <c r="F3218" s="4">
        <v>2.0413220583986099E-12</v>
      </c>
      <c r="G3218" s="4">
        <v>3.8949511292147798E-11</v>
      </c>
      <c r="H3218" s="10" t="s">
        <v>6449</v>
      </c>
      <c r="I3218" s="10" t="s">
        <v>18</v>
      </c>
    </row>
    <row r="3219" spans="1:9" x14ac:dyDescent="0.2">
      <c r="A3219" s="10" t="s">
        <v>6450</v>
      </c>
      <c r="B3219" s="10">
        <v>62.105315039935498</v>
      </c>
      <c r="C3219" s="10">
        <v>6.3056329290033997</v>
      </c>
      <c r="D3219" s="10">
        <v>0.93842049346702106</v>
      </c>
      <c r="E3219" s="10">
        <v>6.7194109388074601</v>
      </c>
      <c r="F3219" s="4">
        <v>1.8246066419455801E-11</v>
      </c>
      <c r="G3219" s="4">
        <v>3.1208447691833798E-10</v>
      </c>
      <c r="H3219" s="10" t="s">
        <v>6451</v>
      </c>
      <c r="I3219" s="10" t="s">
        <v>18</v>
      </c>
    </row>
    <row r="3220" spans="1:9" x14ac:dyDescent="0.2">
      <c r="A3220" s="10" t="s">
        <v>6452</v>
      </c>
      <c r="B3220" s="10">
        <v>4.8073075371410301</v>
      </c>
      <c r="C3220" s="10">
        <v>5.6597867282439296</v>
      </c>
      <c r="D3220" s="10">
        <v>2.0539032196280198</v>
      </c>
      <c r="E3220" s="10">
        <v>2.7556248386761699</v>
      </c>
      <c r="F3220" s="10">
        <v>5.8580144965317896E-3</v>
      </c>
      <c r="G3220" s="10">
        <v>2.0291548561785101E-2</v>
      </c>
      <c r="H3220" s="10" t="s">
        <v>6453</v>
      </c>
      <c r="I3220" s="10" t="s">
        <v>18</v>
      </c>
    </row>
    <row r="3221" spans="1:9" x14ac:dyDescent="0.2">
      <c r="A3221" s="10" t="s">
        <v>6454</v>
      </c>
      <c r="B3221" s="10">
        <v>1592.7838465342199</v>
      </c>
      <c r="C3221" s="10">
        <v>7.1543799434602402</v>
      </c>
      <c r="D3221" s="10">
        <v>0.30751113653988699</v>
      </c>
      <c r="E3221" s="10">
        <v>23.265433648879402</v>
      </c>
      <c r="F3221" s="4">
        <v>9.9285121362280505E-120</v>
      </c>
      <c r="G3221" s="4">
        <v>2.25435141813171E-116</v>
      </c>
      <c r="H3221" s="10" t="s">
        <v>6455</v>
      </c>
      <c r="I3221" s="10" t="s">
        <v>18</v>
      </c>
    </row>
    <row r="3222" spans="1:9" x14ac:dyDescent="0.2">
      <c r="A3222" s="10" t="s">
        <v>6456</v>
      </c>
      <c r="B3222" s="10">
        <v>255.41715698893</v>
      </c>
      <c r="C3222" s="10">
        <v>2.4647004144822202</v>
      </c>
      <c r="D3222" s="10">
        <v>0.28949847004067603</v>
      </c>
      <c r="E3222" s="10">
        <v>8.5136906393181295</v>
      </c>
      <c r="F3222" s="4">
        <v>1.6848313977923801E-17</v>
      </c>
      <c r="G3222" s="4">
        <v>5.2524715212413196E-16</v>
      </c>
      <c r="H3222" s="10" t="s">
        <v>6457</v>
      </c>
      <c r="I3222" s="10" t="s">
        <v>18</v>
      </c>
    </row>
    <row r="3223" spans="1:9" x14ac:dyDescent="0.2">
      <c r="A3223" s="10" t="s">
        <v>6458</v>
      </c>
      <c r="B3223" s="10">
        <v>2612.9987156603902</v>
      </c>
      <c r="C3223" s="10">
        <v>-1.5585020402390499</v>
      </c>
      <c r="D3223" s="10">
        <v>0.20701488627103801</v>
      </c>
      <c r="E3223" s="10">
        <v>-7.5284539595792603</v>
      </c>
      <c r="F3223" s="4">
        <v>5.1344615284400602E-14</v>
      </c>
      <c r="G3223" s="4">
        <v>1.17168068061479E-12</v>
      </c>
      <c r="H3223" s="10" t="s">
        <v>6459</v>
      </c>
      <c r="I3223" s="10" t="s">
        <v>18</v>
      </c>
    </row>
    <row r="3224" spans="1:9" x14ac:dyDescent="0.2">
      <c r="A3224" s="10" t="s">
        <v>6460</v>
      </c>
      <c r="B3224" s="10">
        <v>26.363812995390099</v>
      </c>
      <c r="C3224" s="10">
        <v>-2.1085879280789901</v>
      </c>
      <c r="D3224" s="10">
        <v>0.68874769298553096</v>
      </c>
      <c r="E3224" s="10">
        <v>-3.0614809306131301</v>
      </c>
      <c r="F3224" s="10">
        <v>2.2024502063179101E-3</v>
      </c>
      <c r="G3224" s="10">
        <v>8.7452872007496608E-3</v>
      </c>
      <c r="H3224" s="10" t="s">
        <v>6461</v>
      </c>
      <c r="I3224" s="10" t="s">
        <v>18</v>
      </c>
    </row>
    <row r="3225" spans="1:9" x14ac:dyDescent="0.2">
      <c r="A3225" s="10" t="s">
        <v>6462</v>
      </c>
      <c r="B3225" s="10">
        <v>75.084467166613294</v>
      </c>
      <c r="C3225" s="10">
        <v>2.44947050333325</v>
      </c>
      <c r="D3225" s="10">
        <v>0.44300193350247402</v>
      </c>
      <c r="E3225" s="10">
        <v>5.5292546557690496</v>
      </c>
      <c r="F3225" s="4">
        <v>3.2159422198085999E-8</v>
      </c>
      <c r="G3225" s="4">
        <v>3.5533162069393798E-7</v>
      </c>
      <c r="H3225" s="10" t="s">
        <v>6463</v>
      </c>
      <c r="I3225" s="10" t="s">
        <v>18</v>
      </c>
    </row>
    <row r="3226" spans="1:9" x14ac:dyDescent="0.2">
      <c r="A3226" s="10" t="s">
        <v>6464</v>
      </c>
      <c r="B3226" s="10">
        <v>112.531427538152</v>
      </c>
      <c r="C3226" s="10">
        <v>3.1486077069807199</v>
      </c>
      <c r="D3226" s="10">
        <v>0.438050271957242</v>
      </c>
      <c r="E3226" s="10">
        <v>7.1877770852932104</v>
      </c>
      <c r="F3226" s="4">
        <v>6.5854662469521002E-13</v>
      </c>
      <c r="G3226" s="4">
        <v>1.33507588415702E-11</v>
      </c>
      <c r="H3226" s="10" t="s">
        <v>6465</v>
      </c>
      <c r="I3226" s="10" t="s">
        <v>18</v>
      </c>
    </row>
    <row r="3227" spans="1:9" x14ac:dyDescent="0.2">
      <c r="A3227" s="10" t="s">
        <v>6466</v>
      </c>
      <c r="B3227" s="10">
        <v>2922.3020327314398</v>
      </c>
      <c r="C3227" s="10">
        <v>-2.2855325955421999</v>
      </c>
      <c r="D3227" s="10">
        <v>0.23136844430999901</v>
      </c>
      <c r="E3227" s="10">
        <v>-9.8783246019492896</v>
      </c>
      <c r="F3227" s="4">
        <v>5.1689867938310399E-23</v>
      </c>
      <c r="G3227" s="4">
        <v>2.49273244551353E-21</v>
      </c>
      <c r="H3227" s="10" t="s">
        <v>6467</v>
      </c>
      <c r="I3227" s="10" t="s">
        <v>18</v>
      </c>
    </row>
    <row r="3228" spans="1:9" x14ac:dyDescent="0.2">
      <c r="A3228" s="10" t="s">
        <v>6468</v>
      </c>
      <c r="B3228" s="10">
        <v>15.158919136922099</v>
      </c>
      <c r="C3228" s="10">
        <v>4.2189257060148</v>
      </c>
      <c r="D3228" s="10">
        <v>1.1579155719484999</v>
      </c>
      <c r="E3228" s="10">
        <v>3.6435520932803001</v>
      </c>
      <c r="F3228" s="10">
        <v>2.6890119813484598E-4</v>
      </c>
      <c r="G3228" s="10">
        <v>1.3824058387887099E-3</v>
      </c>
      <c r="H3228" s="10" t="s">
        <v>6469</v>
      </c>
      <c r="I3228" s="10" t="s">
        <v>18</v>
      </c>
    </row>
    <row r="3229" spans="1:9" x14ac:dyDescent="0.2">
      <c r="A3229" s="10" t="s">
        <v>6470</v>
      </c>
      <c r="B3229" s="10">
        <v>155.225411667353</v>
      </c>
      <c r="C3229" s="10">
        <v>1.36433792736141</v>
      </c>
      <c r="D3229" s="10">
        <v>0.32499091179446998</v>
      </c>
      <c r="E3229" s="10">
        <v>4.1980802473154597</v>
      </c>
      <c r="F3229" s="4">
        <v>2.69187249475279E-5</v>
      </c>
      <c r="G3229" s="10">
        <v>1.74175848645285E-4</v>
      </c>
      <c r="H3229" s="10" t="s">
        <v>6471</v>
      </c>
      <c r="I3229" s="10" t="s">
        <v>18</v>
      </c>
    </row>
    <row r="3230" spans="1:9" x14ac:dyDescent="0.2">
      <c r="A3230" s="10" t="s">
        <v>6472</v>
      </c>
      <c r="B3230" s="10">
        <v>4.8073075371410301</v>
      </c>
      <c r="C3230" s="10">
        <v>5.6597867282439296</v>
      </c>
      <c r="D3230" s="10">
        <v>2.0539032196280198</v>
      </c>
      <c r="E3230" s="10">
        <v>2.7556248386761699</v>
      </c>
      <c r="F3230" s="10">
        <v>5.8580144965317896E-3</v>
      </c>
      <c r="G3230" s="10">
        <v>2.0291548561785101E-2</v>
      </c>
      <c r="H3230" s="10" t="s">
        <v>6473</v>
      </c>
      <c r="I3230" s="10" t="s">
        <v>18</v>
      </c>
    </row>
    <row r="3231" spans="1:9" x14ac:dyDescent="0.2">
      <c r="A3231" s="10" t="s">
        <v>6474</v>
      </c>
      <c r="B3231" s="10">
        <v>62.499651452707198</v>
      </c>
      <c r="C3231" s="10">
        <v>1.2181349274542601</v>
      </c>
      <c r="D3231" s="10">
        <v>0.484047187920567</v>
      </c>
      <c r="E3231" s="10">
        <v>2.5165623473349501</v>
      </c>
      <c r="F3231" s="10">
        <v>1.18505931086433E-2</v>
      </c>
      <c r="G3231" s="10">
        <v>3.6646590674294002E-2</v>
      </c>
      <c r="H3231" s="10" t="s">
        <v>6475</v>
      </c>
      <c r="I3231" s="10" t="s">
        <v>18</v>
      </c>
    </row>
    <row r="3232" spans="1:9" x14ac:dyDescent="0.2">
      <c r="A3232" s="10" t="s">
        <v>6476</v>
      </c>
      <c r="B3232" s="10">
        <v>2972.4568164329398</v>
      </c>
      <c r="C3232" s="10">
        <v>-1.0995570563285699</v>
      </c>
      <c r="D3232" s="10">
        <v>0.19438218214668701</v>
      </c>
      <c r="E3232" s="10">
        <v>-5.6566761633471501</v>
      </c>
      <c r="F3232" s="4">
        <v>1.54332563262605E-8</v>
      </c>
      <c r="G3232" s="4">
        <v>1.7878823772177701E-7</v>
      </c>
      <c r="H3232" s="10" t="s">
        <v>6477</v>
      </c>
      <c r="I3232" s="10" t="s">
        <v>18</v>
      </c>
    </row>
    <row r="3233" spans="1:9" x14ac:dyDescent="0.2">
      <c r="A3233" s="10" t="s">
        <v>6478</v>
      </c>
      <c r="B3233" s="10">
        <v>786.51576184476903</v>
      </c>
      <c r="C3233" s="10">
        <v>2.08877094005644</v>
      </c>
      <c r="D3233" s="10">
        <v>0.22113794782274199</v>
      </c>
      <c r="E3233" s="10">
        <v>9.4455563173207207</v>
      </c>
      <c r="F3233" s="4">
        <v>3.5352133997776701E-21</v>
      </c>
      <c r="G3233" s="4">
        <v>1.5121500707023901E-19</v>
      </c>
      <c r="H3233" s="10" t="s">
        <v>6479</v>
      </c>
      <c r="I3233" s="10" t="s">
        <v>18</v>
      </c>
    </row>
    <row r="3234" spans="1:9" x14ac:dyDescent="0.2">
      <c r="A3234" s="10" t="s">
        <v>6480</v>
      </c>
      <c r="B3234" s="10">
        <v>1788.7976353428501</v>
      </c>
      <c r="C3234" s="10">
        <v>-1.1438403997545099</v>
      </c>
      <c r="D3234" s="10">
        <v>0.196065823018677</v>
      </c>
      <c r="E3234" s="10">
        <v>-5.8339611776477298</v>
      </c>
      <c r="F3234" s="4">
        <v>5.4126720270615602E-9</v>
      </c>
      <c r="G3234" s="4">
        <v>6.6702430900654099E-8</v>
      </c>
      <c r="H3234" s="10" t="s">
        <v>6481</v>
      </c>
      <c r="I3234" s="10" t="s">
        <v>18</v>
      </c>
    </row>
    <row r="3235" spans="1:9" x14ac:dyDescent="0.2">
      <c r="A3235" s="10" t="s">
        <v>6482</v>
      </c>
      <c r="B3235" s="10">
        <v>122.57866151517599</v>
      </c>
      <c r="C3235" s="10">
        <v>-1.40362626384399</v>
      </c>
      <c r="D3235" s="10">
        <v>0.34940402560796002</v>
      </c>
      <c r="E3235" s="10">
        <v>-4.0172011796421003</v>
      </c>
      <c r="F3235" s="4">
        <v>5.8893443801907299E-5</v>
      </c>
      <c r="G3235" s="10">
        <v>3.55251198421645E-4</v>
      </c>
      <c r="H3235" s="10" t="s">
        <v>6483</v>
      </c>
      <c r="I3235" s="10" t="s">
        <v>18</v>
      </c>
    </row>
    <row r="3236" spans="1:9" x14ac:dyDescent="0.2">
      <c r="A3236" s="10" t="s">
        <v>6484</v>
      </c>
      <c r="B3236" s="10">
        <v>5223.9944553842297</v>
      </c>
      <c r="C3236" s="10">
        <v>-1.31648840784479</v>
      </c>
      <c r="D3236" s="10">
        <v>0.215488839095068</v>
      </c>
      <c r="E3236" s="10">
        <v>-6.1093113377625698</v>
      </c>
      <c r="F3236" s="4">
        <v>1.0006196201166E-9</v>
      </c>
      <c r="G3236" s="4">
        <v>1.3584396008628299E-8</v>
      </c>
      <c r="H3236" s="10" t="s">
        <v>6485</v>
      </c>
      <c r="I3236" s="10" t="s">
        <v>18</v>
      </c>
    </row>
    <row r="3237" spans="1:9" x14ac:dyDescent="0.2">
      <c r="A3237" s="10" t="s">
        <v>6486</v>
      </c>
      <c r="B3237" s="10">
        <v>785.31607468896902</v>
      </c>
      <c r="C3237" s="10">
        <v>-1.3169559284446799</v>
      </c>
      <c r="D3237" s="10">
        <v>0.24167926640204901</v>
      </c>
      <c r="E3237" s="10">
        <v>-5.44918870389915</v>
      </c>
      <c r="F3237" s="4">
        <v>5.0600104213814697E-8</v>
      </c>
      <c r="G3237" s="4">
        <v>5.4151651198499999E-7</v>
      </c>
      <c r="H3237" s="10" t="s">
        <v>6487</v>
      </c>
      <c r="I3237" s="10" t="s">
        <v>18</v>
      </c>
    </row>
    <row r="3238" spans="1:9" x14ac:dyDescent="0.2">
      <c r="A3238" s="10" t="s">
        <v>6488</v>
      </c>
      <c r="B3238" s="10">
        <v>5430.0711608144302</v>
      </c>
      <c r="C3238" s="10">
        <v>1.15472260679955</v>
      </c>
      <c r="D3238" s="10">
        <v>0.216030134636571</v>
      </c>
      <c r="E3238" s="10">
        <v>5.3451922748747496</v>
      </c>
      <c r="F3238" s="4">
        <v>9.0321123600901003E-8</v>
      </c>
      <c r="G3238" s="4">
        <v>9.2068075374251701E-7</v>
      </c>
      <c r="H3238" s="10" t="s">
        <v>6489</v>
      </c>
      <c r="I3238" s="10" t="s">
        <v>18</v>
      </c>
    </row>
    <row r="3239" spans="1:9" x14ac:dyDescent="0.2">
      <c r="A3239" s="10" t="s">
        <v>6490</v>
      </c>
      <c r="B3239" s="10">
        <v>133.99867831436899</v>
      </c>
      <c r="C3239" s="10">
        <v>2.47229772222633</v>
      </c>
      <c r="D3239" s="10">
        <v>0.37052665627416898</v>
      </c>
      <c r="E3239" s="10">
        <v>6.6723882893784898</v>
      </c>
      <c r="F3239" s="4">
        <v>2.5167361391580801E-11</v>
      </c>
      <c r="G3239" s="4">
        <v>4.2445878378998998E-10</v>
      </c>
      <c r="H3239" s="10" t="s">
        <v>6491</v>
      </c>
      <c r="I3239" s="10" t="s">
        <v>18</v>
      </c>
    </row>
    <row r="3240" spans="1:9" x14ac:dyDescent="0.2">
      <c r="A3240" s="10" t="s">
        <v>6492</v>
      </c>
      <c r="B3240" s="10">
        <v>1617.7969277058601</v>
      </c>
      <c r="C3240" s="10">
        <v>-1.0934856850465999</v>
      </c>
      <c r="D3240" s="10">
        <v>0.21801694151229301</v>
      </c>
      <c r="E3240" s="10">
        <v>-5.0155996018545004</v>
      </c>
      <c r="F3240" s="4">
        <v>5.2868327274939197E-7</v>
      </c>
      <c r="G3240" s="4">
        <v>4.7572764638714301E-6</v>
      </c>
      <c r="H3240" s="10" t="s">
        <v>6493</v>
      </c>
      <c r="I3240" s="10" t="s">
        <v>18</v>
      </c>
    </row>
    <row r="3241" spans="1:9" x14ac:dyDescent="0.2">
      <c r="A3241" s="10" t="s">
        <v>6494</v>
      </c>
      <c r="B3241" s="10">
        <v>8.1500619301479293</v>
      </c>
      <c r="C3241" s="10">
        <v>6.4255588067260998</v>
      </c>
      <c r="D3241" s="10">
        <v>1.83422848902311</v>
      </c>
      <c r="E3241" s="10">
        <v>3.50313979156887</v>
      </c>
      <c r="F3241" s="10">
        <v>4.5980808452777402E-4</v>
      </c>
      <c r="G3241" s="10">
        <v>2.2244719662634599E-3</v>
      </c>
      <c r="H3241" s="10" t="s">
        <v>6495</v>
      </c>
      <c r="I3241" s="10" t="s">
        <v>18</v>
      </c>
    </row>
    <row r="3242" spans="1:9" x14ac:dyDescent="0.2">
      <c r="A3242" s="10" t="s">
        <v>6496</v>
      </c>
      <c r="B3242" s="10">
        <v>7.1233718340675898</v>
      </c>
      <c r="C3242" s="10">
        <v>6.2329345355589201</v>
      </c>
      <c r="D3242" s="10">
        <v>1.89828527042024</v>
      </c>
      <c r="E3242" s="10">
        <v>3.28345514379884</v>
      </c>
      <c r="F3242" s="10">
        <v>1.02542962073083E-3</v>
      </c>
      <c r="G3242" s="10">
        <v>4.5151714408618203E-3</v>
      </c>
      <c r="H3242" s="10" t="s">
        <v>6497</v>
      </c>
      <c r="I3242" s="10" t="s">
        <v>18</v>
      </c>
    </row>
    <row r="3243" spans="1:9" x14ac:dyDescent="0.2">
      <c r="A3243" s="10" t="s">
        <v>6498</v>
      </c>
      <c r="B3243" s="10">
        <v>252.642777933415</v>
      </c>
      <c r="C3243" s="10">
        <v>9.9338808501896398</v>
      </c>
      <c r="D3243" s="10">
        <v>1.4654223386183201</v>
      </c>
      <c r="E3243" s="10">
        <v>6.77885179473643</v>
      </c>
      <c r="F3243" s="4">
        <v>1.21134708714649E-11</v>
      </c>
      <c r="G3243" s="4">
        <v>2.11574192842823E-10</v>
      </c>
      <c r="H3243" s="10" t="s">
        <v>6499</v>
      </c>
      <c r="I3243" s="10" t="s">
        <v>18</v>
      </c>
    </row>
    <row r="3244" spans="1:9" x14ac:dyDescent="0.2">
      <c r="A3244" s="10" t="s">
        <v>6500</v>
      </c>
      <c r="B3244" s="10">
        <v>146.330902330611</v>
      </c>
      <c r="C3244" s="10">
        <v>-2.0526927306411502</v>
      </c>
      <c r="D3244" s="10">
        <v>0.32867333186943998</v>
      </c>
      <c r="E3244" s="10">
        <v>-6.2453887541339999</v>
      </c>
      <c r="F3244" s="4">
        <v>4.22747329285372E-10</v>
      </c>
      <c r="G3244" s="4">
        <v>5.9930262648483399E-9</v>
      </c>
      <c r="H3244" s="10" t="s">
        <v>6501</v>
      </c>
      <c r="I3244" s="10" t="s">
        <v>18</v>
      </c>
    </row>
    <row r="3245" spans="1:9" x14ac:dyDescent="0.2">
      <c r="A3245" s="10" t="s">
        <v>6502</v>
      </c>
      <c r="B3245" s="10">
        <v>976.69325126020794</v>
      </c>
      <c r="C3245" s="10">
        <v>-1.61420483948597</v>
      </c>
      <c r="D3245" s="10">
        <v>0.206361749007275</v>
      </c>
      <c r="E3245" s="10">
        <v>-7.8222095289038398</v>
      </c>
      <c r="F3245" s="4">
        <v>5.1904120302172502E-15</v>
      </c>
      <c r="G3245" s="4">
        <v>1.2833317294675999E-13</v>
      </c>
      <c r="H3245" s="10" t="s">
        <v>6503</v>
      </c>
      <c r="I3245" s="10" t="s">
        <v>18</v>
      </c>
    </row>
    <row r="3246" spans="1:9" x14ac:dyDescent="0.2">
      <c r="A3246" s="10" t="s">
        <v>6504</v>
      </c>
      <c r="B3246" s="10">
        <v>245.41182908720401</v>
      </c>
      <c r="C3246" s="10">
        <v>3.6761159829897001</v>
      </c>
      <c r="D3246" s="10">
        <v>0.324031684734289</v>
      </c>
      <c r="E3246" s="10">
        <v>11.3449275369604</v>
      </c>
      <c r="F3246" s="4">
        <v>7.8591319825696801E-30</v>
      </c>
      <c r="G3246" s="4">
        <v>6.0662257543647596E-28</v>
      </c>
      <c r="H3246" s="10" t="s">
        <v>6505</v>
      </c>
      <c r="I3246" s="10" t="s">
        <v>18</v>
      </c>
    </row>
    <row r="3247" spans="1:9" x14ac:dyDescent="0.2">
      <c r="A3247" s="10" t="s">
        <v>6506</v>
      </c>
      <c r="B3247" s="10">
        <v>1496.9526610529299</v>
      </c>
      <c r="C3247" s="10">
        <v>1.1567659756789801</v>
      </c>
      <c r="D3247" s="10">
        <v>0.186078607826967</v>
      </c>
      <c r="E3247" s="10">
        <v>6.2165446592046996</v>
      </c>
      <c r="F3247" s="4">
        <v>5.0822178449986801E-10</v>
      </c>
      <c r="G3247" s="4">
        <v>7.1342189398598202E-9</v>
      </c>
      <c r="H3247" s="10" t="s">
        <v>6507</v>
      </c>
      <c r="I3247" s="10" t="s">
        <v>18</v>
      </c>
    </row>
    <row r="3248" spans="1:9" x14ac:dyDescent="0.2">
      <c r="A3248" s="10" t="s">
        <v>6508</v>
      </c>
      <c r="B3248" s="10">
        <v>693.71950343377603</v>
      </c>
      <c r="C3248" s="10">
        <v>1.1683039691010999</v>
      </c>
      <c r="D3248" s="10">
        <v>0.22723390225374501</v>
      </c>
      <c r="E3248" s="10">
        <v>5.1414157725307099</v>
      </c>
      <c r="F3248" s="4">
        <v>2.7267588818600101E-7</v>
      </c>
      <c r="G3248" s="4">
        <v>2.5663557600704602E-6</v>
      </c>
      <c r="H3248" s="10" t="s">
        <v>6509</v>
      </c>
      <c r="I3248" s="10" t="s">
        <v>18</v>
      </c>
    </row>
    <row r="3249" spans="1:9" x14ac:dyDescent="0.2">
      <c r="A3249" s="10" t="s">
        <v>6510</v>
      </c>
      <c r="B3249" s="10">
        <v>30.2774239412349</v>
      </c>
      <c r="C3249" s="10">
        <v>3.9711138198834299</v>
      </c>
      <c r="D3249" s="10">
        <v>0.82309564189191897</v>
      </c>
      <c r="E3249" s="10">
        <v>4.8246080015144601</v>
      </c>
      <c r="F3249" s="4">
        <v>1.4027888816693099E-6</v>
      </c>
      <c r="G3249" s="4">
        <v>1.1728072617012499E-5</v>
      </c>
      <c r="H3249" s="10" t="s">
        <v>6511</v>
      </c>
      <c r="I3249" s="10" t="s">
        <v>18</v>
      </c>
    </row>
    <row r="3250" spans="1:9" x14ac:dyDescent="0.2">
      <c r="A3250" s="10" t="s">
        <v>6512</v>
      </c>
      <c r="B3250" s="10">
        <v>135.172359041763</v>
      </c>
      <c r="C3250" s="10">
        <v>6.4301100582067203</v>
      </c>
      <c r="D3250" s="10">
        <v>0.67252474218063896</v>
      </c>
      <c r="E3250" s="10">
        <v>9.5611501776979999</v>
      </c>
      <c r="F3250" s="4">
        <v>1.1645518307072599E-21</v>
      </c>
      <c r="G3250" s="4">
        <v>5.1594380050862898E-20</v>
      </c>
      <c r="H3250" s="10" t="s">
        <v>6513</v>
      </c>
      <c r="I3250" s="10" t="s">
        <v>18</v>
      </c>
    </row>
    <row r="3251" spans="1:9" x14ac:dyDescent="0.2">
      <c r="A3251" s="10" t="s">
        <v>6514</v>
      </c>
      <c r="B3251" s="10">
        <v>387.60300552289402</v>
      </c>
      <c r="C3251" s="10">
        <v>-1.3547153484057199</v>
      </c>
      <c r="D3251" s="10">
        <v>0.28245503499076102</v>
      </c>
      <c r="E3251" s="10">
        <v>-4.7962159656669998</v>
      </c>
      <c r="F3251" s="4">
        <v>1.6169095341093799E-6</v>
      </c>
      <c r="G3251" s="4">
        <v>1.33462387385272E-5</v>
      </c>
      <c r="H3251" s="10" t="s">
        <v>6515</v>
      </c>
      <c r="I3251" s="10" t="s">
        <v>18</v>
      </c>
    </row>
    <row r="3252" spans="1:9" x14ac:dyDescent="0.2">
      <c r="A3252" s="10" t="s">
        <v>6516</v>
      </c>
      <c r="B3252" s="10">
        <v>443.535346864313</v>
      </c>
      <c r="C3252" s="10">
        <v>-1.5003613494655601</v>
      </c>
      <c r="D3252" s="10">
        <v>0.24538984616051901</v>
      </c>
      <c r="E3252" s="10">
        <v>-6.11419491450396</v>
      </c>
      <c r="F3252" s="4">
        <v>9.7045633795840597E-10</v>
      </c>
      <c r="G3252" s="4">
        <v>1.32276257330429E-8</v>
      </c>
      <c r="H3252" s="10" t="s">
        <v>6517</v>
      </c>
      <c r="I3252" s="10" t="s">
        <v>18</v>
      </c>
    </row>
    <row r="3253" spans="1:9" x14ac:dyDescent="0.2">
      <c r="A3253" s="10" t="s">
        <v>6518</v>
      </c>
      <c r="B3253" s="10">
        <v>878.02073483020797</v>
      </c>
      <c r="C3253" s="10">
        <v>-1.8334541411383001</v>
      </c>
      <c r="D3253" s="10">
        <v>0.24545688345358299</v>
      </c>
      <c r="E3253" s="10">
        <v>-7.4695568335324998</v>
      </c>
      <c r="F3253" s="4">
        <v>8.04653503576037E-14</v>
      </c>
      <c r="G3253" s="4">
        <v>1.80894340032478E-12</v>
      </c>
      <c r="H3253" s="10" t="s">
        <v>6519</v>
      </c>
      <c r="I3253" s="10" t="s">
        <v>18</v>
      </c>
    </row>
    <row r="3254" spans="1:9" x14ac:dyDescent="0.2">
      <c r="A3254" s="10" t="s">
        <v>6520</v>
      </c>
      <c r="B3254" s="10">
        <v>854.50130835807795</v>
      </c>
      <c r="C3254" s="10">
        <v>1.4597106829538999</v>
      </c>
      <c r="D3254" s="10">
        <v>0.24449375834252399</v>
      </c>
      <c r="E3254" s="10">
        <v>5.9703392546688798</v>
      </c>
      <c r="F3254" s="4">
        <v>2.36760750521984E-9</v>
      </c>
      <c r="G3254" s="4">
        <v>3.0501277397033097E-8</v>
      </c>
      <c r="H3254" s="10" t="s">
        <v>6521</v>
      </c>
      <c r="I3254" s="10" t="s">
        <v>18</v>
      </c>
    </row>
    <row r="3255" spans="1:9" x14ac:dyDescent="0.2">
      <c r="A3255" s="10" t="s">
        <v>6522</v>
      </c>
      <c r="B3255" s="10">
        <v>110.229869332289</v>
      </c>
      <c r="C3255" s="10">
        <v>-1.2791660355066099</v>
      </c>
      <c r="D3255" s="10">
        <v>0.42328294985088</v>
      </c>
      <c r="E3255" s="10">
        <v>-3.0220117204277899</v>
      </c>
      <c r="F3255" s="10">
        <v>2.5110082561213502E-3</v>
      </c>
      <c r="G3255" s="10">
        <v>9.8015026740434393E-3</v>
      </c>
      <c r="H3255" s="10" t="s">
        <v>6523</v>
      </c>
      <c r="I3255" s="10" t="s">
        <v>18</v>
      </c>
    </row>
    <row r="3256" spans="1:9" x14ac:dyDescent="0.2">
      <c r="A3256" s="10" t="s">
        <v>6524</v>
      </c>
      <c r="B3256" s="10">
        <v>40.158600224566598</v>
      </c>
      <c r="C3256" s="10">
        <v>-1.3644964238469299</v>
      </c>
      <c r="D3256" s="10">
        <v>0.56284797273410303</v>
      </c>
      <c r="E3256" s="10">
        <v>-2.4242717215782501</v>
      </c>
      <c r="F3256" s="10">
        <v>1.5339123616687701E-2</v>
      </c>
      <c r="G3256" s="10">
        <v>4.5414006430934399E-2</v>
      </c>
      <c r="H3256" s="10" t="s">
        <v>6525</v>
      </c>
      <c r="I3256" s="10" t="s">
        <v>18</v>
      </c>
    </row>
    <row r="3257" spans="1:9" x14ac:dyDescent="0.2">
      <c r="A3257" s="10" t="s">
        <v>6526</v>
      </c>
      <c r="B3257" s="10">
        <v>1961.59293600509</v>
      </c>
      <c r="C3257" s="10">
        <v>-1.54109291999755</v>
      </c>
      <c r="D3257" s="10">
        <v>0.21981737741829299</v>
      </c>
      <c r="E3257" s="10">
        <v>-7.0107874914046802</v>
      </c>
      <c r="F3257" s="4">
        <v>2.3698045000824499E-12</v>
      </c>
      <c r="G3257" s="4">
        <v>4.4778129829227903E-11</v>
      </c>
      <c r="H3257" s="10" t="s">
        <v>6527</v>
      </c>
      <c r="I3257" s="10" t="s">
        <v>18</v>
      </c>
    </row>
    <row r="3258" spans="1:9" x14ac:dyDescent="0.2">
      <c r="A3258" s="10" t="s">
        <v>6528</v>
      </c>
      <c r="B3258" s="10">
        <v>1986.4795173192399</v>
      </c>
      <c r="C3258" s="10">
        <v>-2.8030367246325598</v>
      </c>
      <c r="D3258" s="10">
        <v>0.21119830021578501</v>
      </c>
      <c r="E3258" s="10">
        <v>-13.272061005077401</v>
      </c>
      <c r="F3258" s="4">
        <v>3.3620499845587799E-40</v>
      </c>
      <c r="G3258" s="4">
        <v>4.6977320989370802E-38</v>
      </c>
      <c r="H3258" s="10" t="s">
        <v>6529</v>
      </c>
      <c r="I3258" s="10" t="s">
        <v>18</v>
      </c>
    </row>
    <row r="3259" spans="1:9" x14ac:dyDescent="0.2">
      <c r="A3259" s="10" t="s">
        <v>6530</v>
      </c>
      <c r="B3259" s="10">
        <v>2430.9429849529001</v>
      </c>
      <c r="C3259" s="10">
        <v>-1.4601171030106099</v>
      </c>
      <c r="D3259" s="10">
        <v>0.21216898694764399</v>
      </c>
      <c r="E3259" s="10">
        <v>-6.8818592387911997</v>
      </c>
      <c r="F3259" s="4">
        <v>5.9076374429204901E-12</v>
      </c>
      <c r="G3259" s="4">
        <v>1.06458596168819E-10</v>
      </c>
      <c r="H3259" s="10" t="s">
        <v>6531</v>
      </c>
      <c r="I3259" s="10" t="s">
        <v>18</v>
      </c>
    </row>
    <row r="3260" spans="1:9" x14ac:dyDescent="0.2">
      <c r="A3260" s="10" t="s">
        <v>6532</v>
      </c>
      <c r="B3260" s="10">
        <v>920.15376280959504</v>
      </c>
      <c r="C3260" s="10">
        <v>-1.1204733741797499</v>
      </c>
      <c r="D3260" s="10">
        <v>0.21919277772342399</v>
      </c>
      <c r="E3260" s="10">
        <v>-5.1118170307306503</v>
      </c>
      <c r="F3260" s="4">
        <v>3.19074793797631E-7</v>
      </c>
      <c r="G3260" s="4">
        <v>2.9712340760779401E-6</v>
      </c>
      <c r="H3260" s="10" t="s">
        <v>6533</v>
      </c>
      <c r="I3260" s="10" t="s">
        <v>18</v>
      </c>
    </row>
    <row r="3261" spans="1:9" x14ac:dyDescent="0.2">
      <c r="A3261" s="10" t="s">
        <v>6534</v>
      </c>
      <c r="B3261" s="10">
        <v>1034.6869963824499</v>
      </c>
      <c r="C3261" s="10">
        <v>-1.1440595648546199</v>
      </c>
      <c r="D3261" s="10">
        <v>0.25149119385208102</v>
      </c>
      <c r="E3261" s="10">
        <v>-4.5491038764860896</v>
      </c>
      <c r="F3261" s="4">
        <v>5.3874845646096697E-6</v>
      </c>
      <c r="G3261" s="4">
        <v>4.0449928887274599E-5</v>
      </c>
      <c r="H3261" s="10" t="s">
        <v>6535</v>
      </c>
      <c r="I3261" s="10" t="s">
        <v>18</v>
      </c>
    </row>
    <row r="3262" spans="1:9" x14ac:dyDescent="0.2">
      <c r="A3262" s="10" t="s">
        <v>6536</v>
      </c>
      <c r="B3262" s="10">
        <v>107.53402708102099</v>
      </c>
      <c r="C3262" s="10">
        <v>-1.2727901347114401</v>
      </c>
      <c r="D3262" s="10">
        <v>0.36841849159524098</v>
      </c>
      <c r="E3262" s="10">
        <v>-3.4547400951572702</v>
      </c>
      <c r="F3262" s="10">
        <v>5.5082353258007399E-4</v>
      </c>
      <c r="G3262" s="10">
        <v>2.60981755213313E-3</v>
      </c>
      <c r="H3262" s="10" t="s">
        <v>6537</v>
      </c>
      <c r="I3262" s="10" t="s">
        <v>18</v>
      </c>
    </row>
    <row r="3263" spans="1:9" x14ac:dyDescent="0.2">
      <c r="A3263" s="10" t="s">
        <v>6538</v>
      </c>
      <c r="B3263" s="10">
        <v>259.22730702487098</v>
      </c>
      <c r="C3263" s="10">
        <v>-1.97265627074275</v>
      </c>
      <c r="D3263" s="10">
        <v>0.28326689210725298</v>
      </c>
      <c r="E3263" s="10">
        <v>-6.96394928495861</v>
      </c>
      <c r="F3263" s="4">
        <v>3.3086375802055301E-12</v>
      </c>
      <c r="G3263" s="4">
        <v>6.1368582809979598E-11</v>
      </c>
      <c r="H3263" s="10" t="s">
        <v>6539</v>
      </c>
      <c r="I3263" s="10" t="s">
        <v>18</v>
      </c>
    </row>
    <row r="3264" spans="1:9" x14ac:dyDescent="0.2">
      <c r="A3264" s="10" t="s">
        <v>6540</v>
      </c>
      <c r="B3264" s="10">
        <v>126.151595825719</v>
      </c>
      <c r="C3264" s="10">
        <v>-2.3780926690701998</v>
      </c>
      <c r="D3264" s="10">
        <v>0.35389851757405399</v>
      </c>
      <c r="E3264" s="10">
        <v>-6.7197022620264901</v>
      </c>
      <c r="F3264" s="4">
        <v>1.8209625673009001E-11</v>
      </c>
      <c r="G3264" s="4">
        <v>3.11751001429204E-10</v>
      </c>
      <c r="H3264" s="10" t="s">
        <v>6541</v>
      </c>
      <c r="I3264" s="10" t="s">
        <v>18</v>
      </c>
    </row>
    <row r="3265" spans="1:9" x14ac:dyDescent="0.2">
      <c r="A3265" s="10" t="s">
        <v>6542</v>
      </c>
      <c r="B3265" s="10">
        <v>585.97087356067402</v>
      </c>
      <c r="C3265" s="10">
        <v>-1.61927528885711</v>
      </c>
      <c r="D3265" s="10">
        <v>0.22946099736333</v>
      </c>
      <c r="E3265" s="10">
        <v>-7.0568650335514</v>
      </c>
      <c r="F3265" s="4">
        <v>1.7030088427238499E-12</v>
      </c>
      <c r="G3265" s="4">
        <v>3.2816040974325902E-11</v>
      </c>
      <c r="H3265" s="10" t="s">
        <v>6543</v>
      </c>
      <c r="I3265" s="10" t="s">
        <v>18</v>
      </c>
    </row>
    <row r="3266" spans="1:9" x14ac:dyDescent="0.2">
      <c r="A3266" s="10" t="s">
        <v>6544</v>
      </c>
      <c r="B3266" s="10">
        <v>29.767735401279001</v>
      </c>
      <c r="C3266" s="10">
        <v>-1.7453543545739401</v>
      </c>
      <c r="D3266" s="10">
        <v>0.64103413075956295</v>
      </c>
      <c r="E3266" s="10">
        <v>-2.7227167335159899</v>
      </c>
      <c r="F3266" s="10">
        <v>6.4747547882677801E-3</v>
      </c>
      <c r="G3266" s="10">
        <v>2.2078310037708201E-2</v>
      </c>
      <c r="H3266" s="10" t="s">
        <v>6545</v>
      </c>
      <c r="I3266" s="10" t="s">
        <v>18</v>
      </c>
    </row>
    <row r="3267" spans="1:9" x14ac:dyDescent="0.2">
      <c r="A3267" s="10" t="s">
        <v>6546</v>
      </c>
      <c r="B3267" s="10">
        <v>44.120934589715603</v>
      </c>
      <c r="C3267" s="10">
        <v>2.17640782423504</v>
      </c>
      <c r="D3267" s="10">
        <v>0.55661500323374402</v>
      </c>
      <c r="E3267" s="10">
        <v>3.91007754298905</v>
      </c>
      <c r="F3267" s="4">
        <v>9.2266496817094097E-5</v>
      </c>
      <c r="G3267" s="10">
        <v>5.3307575037645502E-4</v>
      </c>
      <c r="H3267" s="10" t="s">
        <v>6547</v>
      </c>
      <c r="I3267" s="10" t="s">
        <v>18</v>
      </c>
    </row>
    <row r="3268" spans="1:9" x14ac:dyDescent="0.2">
      <c r="A3268" s="10" t="s">
        <v>6548</v>
      </c>
      <c r="B3268" s="10">
        <v>1204.7483223403899</v>
      </c>
      <c r="C3268" s="10">
        <v>-1.5706493826485901</v>
      </c>
      <c r="D3268" s="10">
        <v>0.21730120910891801</v>
      </c>
      <c r="E3268" s="10">
        <v>-7.2279827115979698</v>
      </c>
      <c r="F3268" s="4">
        <v>4.9022111268429198E-13</v>
      </c>
      <c r="G3268" s="4">
        <v>1.0134335855317801E-11</v>
      </c>
      <c r="H3268" s="10" t="s">
        <v>6549</v>
      </c>
      <c r="I3268" s="10" t="s">
        <v>18</v>
      </c>
    </row>
    <row r="3269" spans="1:9" x14ac:dyDescent="0.2">
      <c r="A3269" s="10" t="s">
        <v>6550</v>
      </c>
      <c r="B3269" s="10">
        <v>172.51043717158399</v>
      </c>
      <c r="C3269" s="10">
        <v>1.02713857165547</v>
      </c>
      <c r="D3269" s="10">
        <v>0.30525671278633598</v>
      </c>
      <c r="E3269" s="10">
        <v>3.3648353291886801</v>
      </c>
      <c r="F3269" s="10">
        <v>7.6589354178608303E-4</v>
      </c>
      <c r="G3269" s="10">
        <v>3.4996312817450002E-3</v>
      </c>
      <c r="H3269" s="10" t="s">
        <v>6551</v>
      </c>
      <c r="I3269" s="10" t="s">
        <v>18</v>
      </c>
    </row>
    <row r="3270" spans="1:9" x14ac:dyDescent="0.2">
      <c r="A3270" s="10" t="s">
        <v>6552</v>
      </c>
      <c r="B3270" s="10">
        <v>1186.6022770890199</v>
      </c>
      <c r="C3270" s="10">
        <v>-1.1804857090326999</v>
      </c>
      <c r="D3270" s="10">
        <v>0.23298882623324901</v>
      </c>
      <c r="E3270" s="10">
        <v>-5.0667052498513296</v>
      </c>
      <c r="F3270" s="4">
        <v>4.0476028252060402E-7</v>
      </c>
      <c r="G3270" s="4">
        <v>3.7157451833462098E-6</v>
      </c>
      <c r="H3270" s="10" t="s">
        <v>6553</v>
      </c>
      <c r="I3270" s="10" t="s">
        <v>18</v>
      </c>
    </row>
    <row r="3271" spans="1:9" x14ac:dyDescent="0.2">
      <c r="A3271" s="10" t="s">
        <v>6554</v>
      </c>
      <c r="B3271" s="10">
        <v>1071.1311627949001</v>
      </c>
      <c r="C3271" s="10">
        <v>-1.1551084222187</v>
      </c>
      <c r="D3271" s="10">
        <v>0.23464122511213301</v>
      </c>
      <c r="E3271" s="10">
        <v>-4.9228707430533101</v>
      </c>
      <c r="F3271" s="4">
        <v>8.5283786159887604E-7</v>
      </c>
      <c r="G3271" s="4">
        <v>7.4051221207726501E-6</v>
      </c>
      <c r="H3271" s="10" t="s">
        <v>6555</v>
      </c>
      <c r="I3271" s="10" t="s">
        <v>18</v>
      </c>
    </row>
    <row r="3272" spans="1:9" x14ac:dyDescent="0.2">
      <c r="A3272" s="10" t="s">
        <v>6556</v>
      </c>
      <c r="B3272" s="10">
        <v>1702.2153285022</v>
      </c>
      <c r="C3272" s="10">
        <v>-1.6404867093053099</v>
      </c>
      <c r="D3272" s="10">
        <v>0.20953798699361301</v>
      </c>
      <c r="E3272" s="10">
        <v>-7.8290659027630802</v>
      </c>
      <c r="F3272" s="4">
        <v>4.9150796796600698E-15</v>
      </c>
      <c r="G3272" s="4">
        <v>1.22302443864564E-13</v>
      </c>
      <c r="H3272" s="10" t="s">
        <v>6557</v>
      </c>
      <c r="I3272" s="10" t="s">
        <v>18</v>
      </c>
    </row>
    <row r="3273" spans="1:9" x14ac:dyDescent="0.2">
      <c r="A3273" s="10" t="s">
        <v>6558</v>
      </c>
      <c r="B3273" s="10">
        <v>197.983760414334</v>
      </c>
      <c r="C3273" s="10">
        <v>3.81006342863652</v>
      </c>
      <c r="D3273" s="10">
        <v>0.35316660988672299</v>
      </c>
      <c r="E3273" s="10">
        <v>10.7882889321235</v>
      </c>
      <c r="F3273" s="4">
        <v>3.9100145576863498E-27</v>
      </c>
      <c r="G3273" s="4">
        <v>2.5245537121630302E-25</v>
      </c>
      <c r="H3273" s="10" t="s">
        <v>6559</v>
      </c>
      <c r="I3273" s="10" t="s">
        <v>18</v>
      </c>
    </row>
    <row r="3274" spans="1:9" x14ac:dyDescent="0.2">
      <c r="A3274" s="10" t="s">
        <v>6560</v>
      </c>
      <c r="B3274" s="10">
        <v>6.3141103668277001</v>
      </c>
      <c r="C3274" s="10">
        <v>6.0567841273156002</v>
      </c>
      <c r="D3274" s="10">
        <v>1.9275502235198401</v>
      </c>
      <c r="E3274" s="10">
        <v>3.1422185805646601</v>
      </c>
      <c r="F3274" s="10">
        <v>1.67672811368565E-3</v>
      </c>
      <c r="G3274" s="10">
        <v>6.9357538960972999E-3</v>
      </c>
      <c r="H3274" s="10" t="s">
        <v>6561</v>
      </c>
      <c r="I3274" s="10" t="s">
        <v>18</v>
      </c>
    </row>
    <row r="3275" spans="1:9" x14ac:dyDescent="0.2">
      <c r="A3275" s="10" t="s">
        <v>6562</v>
      </c>
      <c r="B3275" s="10">
        <v>1342.4997254756699</v>
      </c>
      <c r="C3275" s="10">
        <v>-1.1862599739035</v>
      </c>
      <c r="D3275" s="10">
        <v>0.24328957698310999</v>
      </c>
      <c r="E3275" s="10">
        <v>-4.8759177791897397</v>
      </c>
      <c r="F3275" s="4">
        <v>1.08303715820691E-6</v>
      </c>
      <c r="G3275" s="4">
        <v>9.2303764309238495E-6</v>
      </c>
      <c r="H3275" s="10" t="s">
        <v>6563</v>
      </c>
      <c r="I3275" s="10" t="s">
        <v>18</v>
      </c>
    </row>
    <row r="3276" spans="1:9" x14ac:dyDescent="0.2">
      <c r="A3276" s="10" t="s">
        <v>6564</v>
      </c>
      <c r="B3276" s="10">
        <v>1546.6982171828399</v>
      </c>
      <c r="C3276" s="10">
        <v>-1.2261833273087901</v>
      </c>
      <c r="D3276" s="10">
        <v>0.26003357553364698</v>
      </c>
      <c r="E3276" s="10">
        <v>-4.7154807789432098</v>
      </c>
      <c r="F3276" s="4">
        <v>2.4114065833338599E-6</v>
      </c>
      <c r="G3276" s="4">
        <v>1.9267916473929001E-5</v>
      </c>
      <c r="H3276" s="10" t="s">
        <v>6565</v>
      </c>
      <c r="I3276" s="10" t="s">
        <v>18</v>
      </c>
    </row>
    <row r="3277" spans="1:9" x14ac:dyDescent="0.2">
      <c r="A3277" s="10" t="s">
        <v>6566</v>
      </c>
      <c r="B3277" s="10">
        <v>901.41917816707996</v>
      </c>
      <c r="C3277" s="10">
        <v>-1.0546706746413299</v>
      </c>
      <c r="D3277" s="10">
        <v>0.244319822585534</v>
      </c>
      <c r="E3277" s="10">
        <v>-4.3167626084539297</v>
      </c>
      <c r="F3277" s="4">
        <v>1.5833428243582701E-5</v>
      </c>
      <c r="G3277" s="10">
        <v>1.0767701590707501E-4</v>
      </c>
      <c r="H3277" s="10" t="s">
        <v>6567</v>
      </c>
      <c r="I3277" s="10" t="s">
        <v>18</v>
      </c>
    </row>
    <row r="3278" spans="1:9" x14ac:dyDescent="0.2">
      <c r="A3278" s="10" t="s">
        <v>6568</v>
      </c>
      <c r="B3278" s="10">
        <v>191.49486050481099</v>
      </c>
      <c r="C3278" s="10">
        <v>2.28774789800483</v>
      </c>
      <c r="D3278" s="10">
        <v>0.32045712026149098</v>
      </c>
      <c r="E3278" s="10">
        <v>7.1390140937983997</v>
      </c>
      <c r="F3278" s="4">
        <v>9.4002696847221802E-13</v>
      </c>
      <c r="G3278" s="4">
        <v>1.8722890942955101E-11</v>
      </c>
      <c r="H3278" s="10" t="s">
        <v>6569</v>
      </c>
      <c r="I3278" s="10" t="s">
        <v>18</v>
      </c>
    </row>
    <row r="3279" spans="1:9" x14ac:dyDescent="0.2">
      <c r="A3279" s="10" t="s">
        <v>6570</v>
      </c>
      <c r="B3279" s="10">
        <v>63.095898852164503</v>
      </c>
      <c r="C3279" s="10">
        <v>-1.8844758286368699</v>
      </c>
      <c r="D3279" s="10">
        <v>0.51239173462337595</v>
      </c>
      <c r="E3279" s="10">
        <v>-3.6778029411852602</v>
      </c>
      <c r="F3279" s="10">
        <v>2.3525159258988901E-4</v>
      </c>
      <c r="G3279" s="10">
        <v>1.2279502190223599E-3</v>
      </c>
      <c r="H3279" s="10" t="s">
        <v>6571</v>
      </c>
      <c r="I3279" s="10" t="s">
        <v>18</v>
      </c>
    </row>
    <row r="3280" spans="1:9" x14ac:dyDescent="0.2">
      <c r="A3280" s="10" t="s">
        <v>6572</v>
      </c>
      <c r="B3280" s="10">
        <v>874.96549281217801</v>
      </c>
      <c r="C3280" s="10">
        <v>-1.7740719592646499</v>
      </c>
      <c r="D3280" s="10">
        <v>0.22910510662814901</v>
      </c>
      <c r="E3280" s="10">
        <v>-7.7434850116373601</v>
      </c>
      <c r="F3280" s="4">
        <v>9.6728195628523192E-15</v>
      </c>
      <c r="G3280" s="4">
        <v>2.3385564740819599E-13</v>
      </c>
      <c r="H3280" s="10" t="s">
        <v>6573</v>
      </c>
      <c r="I3280" s="10" t="s">
        <v>18</v>
      </c>
    </row>
    <row r="3281" spans="1:9" x14ac:dyDescent="0.2">
      <c r="A3281" s="10" t="s">
        <v>6574</v>
      </c>
      <c r="B3281" s="10">
        <v>499.41984780092002</v>
      </c>
      <c r="C3281" s="10">
        <v>-2.43130273620962</v>
      </c>
      <c r="D3281" s="10">
        <v>0.27819472735510797</v>
      </c>
      <c r="E3281" s="10">
        <v>-8.7395715919019903</v>
      </c>
      <c r="F3281" s="4">
        <v>2.3399606191040101E-18</v>
      </c>
      <c r="G3281" s="4">
        <v>7.8229333728499399E-17</v>
      </c>
      <c r="H3281" s="10" t="s">
        <v>6575</v>
      </c>
      <c r="I3281" s="10" t="s">
        <v>18</v>
      </c>
    </row>
    <row r="3282" spans="1:9" x14ac:dyDescent="0.2">
      <c r="A3282" s="10" t="s">
        <v>6576</v>
      </c>
      <c r="B3282" s="10">
        <v>2157.8951862218801</v>
      </c>
      <c r="C3282" s="10">
        <v>-1.6250568604659601</v>
      </c>
      <c r="D3282" s="10">
        <v>0.21006090758249499</v>
      </c>
      <c r="E3282" s="10">
        <v>-7.73612224743803</v>
      </c>
      <c r="F3282" s="4">
        <v>1.02494914263658E-14</v>
      </c>
      <c r="G3282" s="4">
        <v>2.4648534236027299E-13</v>
      </c>
      <c r="H3282" s="10" t="s">
        <v>6577</v>
      </c>
      <c r="I3282" s="10" t="s">
        <v>18</v>
      </c>
    </row>
    <row r="3283" spans="1:9" x14ac:dyDescent="0.2">
      <c r="A3283" s="10" t="s">
        <v>6578</v>
      </c>
      <c r="B3283" s="10">
        <v>324.71002321453102</v>
      </c>
      <c r="C3283" s="10">
        <v>1.18948036914077</v>
      </c>
      <c r="D3283" s="10">
        <v>0.25898302477504398</v>
      </c>
      <c r="E3283" s="10">
        <v>4.5928893222788201</v>
      </c>
      <c r="F3283" s="4">
        <v>4.37150934865611E-6</v>
      </c>
      <c r="G3283" s="4">
        <v>3.34204588167321E-5</v>
      </c>
      <c r="H3283" s="10" t="s">
        <v>6579</v>
      </c>
      <c r="I3283" s="10" t="s">
        <v>18</v>
      </c>
    </row>
    <row r="3284" spans="1:9" x14ac:dyDescent="0.2">
      <c r="A3284" s="10" t="s">
        <v>6580</v>
      </c>
      <c r="B3284" s="10">
        <v>1063.7691724746101</v>
      </c>
      <c r="C3284" s="10">
        <v>-1.21047366002463</v>
      </c>
      <c r="D3284" s="10">
        <v>0.24163564140617699</v>
      </c>
      <c r="E3284" s="10">
        <v>-5.00949964574919</v>
      </c>
      <c r="F3284" s="4">
        <v>5.45717272277409E-7</v>
      </c>
      <c r="G3284" s="4">
        <v>4.8911705650468999E-6</v>
      </c>
      <c r="H3284" s="10" t="s">
        <v>6581</v>
      </c>
      <c r="I3284" s="10" t="s">
        <v>18</v>
      </c>
    </row>
    <row r="3285" spans="1:9" x14ac:dyDescent="0.2">
      <c r="A3285" s="10" t="s">
        <v>6582</v>
      </c>
      <c r="B3285" s="10">
        <v>77.248404597736993</v>
      </c>
      <c r="C3285" s="10">
        <v>-1.14963499533974</v>
      </c>
      <c r="D3285" s="10">
        <v>0.44229589990393497</v>
      </c>
      <c r="E3285" s="10">
        <v>-2.59924407074412</v>
      </c>
      <c r="F3285" s="10">
        <v>9.3429317667851394E-3</v>
      </c>
      <c r="G3285" s="10">
        <v>3.0016137466052899E-2</v>
      </c>
      <c r="H3285" s="10" t="s">
        <v>6583</v>
      </c>
      <c r="I3285" s="10" t="s">
        <v>18</v>
      </c>
    </row>
    <row r="3286" spans="1:9" x14ac:dyDescent="0.2">
      <c r="A3286" s="10" t="s">
        <v>6584</v>
      </c>
      <c r="B3286" s="10">
        <v>497.65842543266302</v>
      </c>
      <c r="C3286" s="10">
        <v>-1.0883074031606501</v>
      </c>
      <c r="D3286" s="10">
        <v>0.23104662675596399</v>
      </c>
      <c r="E3286" s="10">
        <v>-4.7103366902220198</v>
      </c>
      <c r="F3286" s="4">
        <v>2.4730789803308998E-6</v>
      </c>
      <c r="G3286" s="4">
        <v>1.9697159595754399E-5</v>
      </c>
      <c r="H3286" s="10" t="s">
        <v>6585</v>
      </c>
      <c r="I3286" s="10" t="s">
        <v>18</v>
      </c>
    </row>
    <row r="3287" spans="1:9" x14ac:dyDescent="0.2">
      <c r="A3287" s="10" t="s">
        <v>6586</v>
      </c>
      <c r="B3287" s="10">
        <v>1332.5013736251899</v>
      </c>
      <c r="C3287" s="10">
        <v>-1.1463519182097699</v>
      </c>
      <c r="D3287" s="10">
        <v>0.21998340664183799</v>
      </c>
      <c r="E3287" s="10">
        <v>-5.2110835799364699</v>
      </c>
      <c r="F3287" s="4">
        <v>1.8774084290599099E-7</v>
      </c>
      <c r="G3287" s="4">
        <v>1.82561554127749E-6</v>
      </c>
      <c r="H3287" s="10" t="s">
        <v>6587</v>
      </c>
      <c r="I3287" s="10" t="s">
        <v>18</v>
      </c>
    </row>
    <row r="3288" spans="1:9" x14ac:dyDescent="0.2">
      <c r="A3288" s="10" t="s">
        <v>6588</v>
      </c>
      <c r="B3288" s="10">
        <v>102.01817864894301</v>
      </c>
      <c r="C3288" s="10">
        <v>2.7591485255111401</v>
      </c>
      <c r="D3288" s="10">
        <v>0.43251676152387503</v>
      </c>
      <c r="E3288" s="10">
        <v>6.3792869339673599</v>
      </c>
      <c r="F3288" s="4">
        <v>1.7791442100094699E-10</v>
      </c>
      <c r="G3288" s="4">
        <v>2.6694021084872302E-9</v>
      </c>
      <c r="H3288" s="10" t="s">
        <v>6589</v>
      </c>
      <c r="I3288" s="10" t="s">
        <v>18</v>
      </c>
    </row>
    <row r="3289" spans="1:9" x14ac:dyDescent="0.2">
      <c r="A3289" s="10" t="s">
        <v>6590</v>
      </c>
      <c r="B3289" s="10">
        <v>47.806993132824701</v>
      </c>
      <c r="C3289" s="10">
        <v>1.66900331285409</v>
      </c>
      <c r="D3289" s="10">
        <v>0.59865375940885901</v>
      </c>
      <c r="E3289" s="10">
        <v>2.78792755682709</v>
      </c>
      <c r="F3289" s="10">
        <v>5.3046404442410903E-3</v>
      </c>
      <c r="G3289" s="10">
        <v>1.8652153591977898E-2</v>
      </c>
      <c r="H3289" s="10" t="s">
        <v>6591</v>
      </c>
      <c r="I3289" s="10" t="s">
        <v>18</v>
      </c>
    </row>
    <row r="3290" spans="1:9" x14ac:dyDescent="0.2">
      <c r="A3290" s="10" t="s">
        <v>6592</v>
      </c>
      <c r="B3290" s="10">
        <v>796.63151803073902</v>
      </c>
      <c r="C3290" s="10">
        <v>-1.3132248872291401</v>
      </c>
      <c r="D3290" s="10">
        <v>0.21504757182968601</v>
      </c>
      <c r="E3290" s="10">
        <v>-6.1066715427467901</v>
      </c>
      <c r="F3290" s="4">
        <v>1.0173028927353099E-9</v>
      </c>
      <c r="G3290" s="4">
        <v>1.3797138834424601E-8</v>
      </c>
      <c r="H3290" s="10" t="s">
        <v>6593</v>
      </c>
      <c r="I3290" s="10" t="s">
        <v>18</v>
      </c>
    </row>
    <row r="3291" spans="1:9" x14ac:dyDescent="0.2">
      <c r="A3291" s="10" t="s">
        <v>6594</v>
      </c>
      <c r="B3291" s="10">
        <v>140.59487413026901</v>
      </c>
      <c r="C3291" s="10">
        <v>1.9836901762624299</v>
      </c>
      <c r="D3291" s="10">
        <v>0.33798113089017601</v>
      </c>
      <c r="E3291" s="10">
        <v>5.8692335014022197</v>
      </c>
      <c r="F3291" s="4">
        <v>4.3781447251733901E-9</v>
      </c>
      <c r="G3291" s="4">
        <v>5.4720784094862E-8</v>
      </c>
      <c r="H3291" s="10" t="s">
        <v>6595</v>
      </c>
      <c r="I3291" s="10" t="s">
        <v>18</v>
      </c>
    </row>
    <row r="3292" spans="1:9" x14ac:dyDescent="0.2">
      <c r="A3292" s="10" t="s">
        <v>6596</v>
      </c>
      <c r="B3292" s="10">
        <v>1772.0822102465399</v>
      </c>
      <c r="C3292" s="10">
        <v>1.6585033006550201</v>
      </c>
      <c r="D3292" s="10">
        <v>0.21031037125566801</v>
      </c>
      <c r="E3292" s="10">
        <v>7.8859796155217996</v>
      </c>
      <c r="F3292" s="4">
        <v>3.1207755470030999E-15</v>
      </c>
      <c r="G3292" s="4">
        <v>7.9543284685868497E-14</v>
      </c>
      <c r="H3292" s="10" t="s">
        <v>6597</v>
      </c>
      <c r="I3292" s="10" t="s">
        <v>18</v>
      </c>
    </row>
    <row r="3293" spans="1:9" x14ac:dyDescent="0.2">
      <c r="A3293" s="10" t="s">
        <v>6598</v>
      </c>
      <c r="B3293" s="10">
        <v>167.06701468747801</v>
      </c>
      <c r="C3293" s="10">
        <v>1.9062270053147199</v>
      </c>
      <c r="D3293" s="10">
        <v>0.33099224288054802</v>
      </c>
      <c r="E3293" s="10">
        <v>5.7591289412865603</v>
      </c>
      <c r="F3293" s="4">
        <v>8.4549100213136201E-9</v>
      </c>
      <c r="G3293" s="4">
        <v>1.01395657284653E-7</v>
      </c>
      <c r="H3293" s="10" t="s">
        <v>6599</v>
      </c>
      <c r="I3293" s="10" t="s">
        <v>18</v>
      </c>
    </row>
    <row r="3294" spans="1:9" x14ac:dyDescent="0.2">
      <c r="A3294" s="10" t="s">
        <v>6600</v>
      </c>
      <c r="B3294" s="10">
        <v>658.93028690518997</v>
      </c>
      <c r="C3294" s="10">
        <v>-1.9705254412762701</v>
      </c>
      <c r="D3294" s="10">
        <v>0.254746442994291</v>
      </c>
      <c r="E3294" s="10">
        <v>-7.7352422201256497</v>
      </c>
      <c r="F3294" s="4">
        <v>1.0320641744422499E-14</v>
      </c>
      <c r="G3294" s="4">
        <v>2.4797753581153399E-13</v>
      </c>
      <c r="H3294" s="10" t="s">
        <v>6601</v>
      </c>
      <c r="I3294" s="10" t="s">
        <v>18</v>
      </c>
    </row>
    <row r="3295" spans="1:9" x14ac:dyDescent="0.2">
      <c r="A3295" s="10" t="s">
        <v>6602</v>
      </c>
      <c r="B3295" s="10">
        <v>701.31681385515003</v>
      </c>
      <c r="C3295" s="10">
        <v>-1.4841559436360801</v>
      </c>
      <c r="D3295" s="10">
        <v>0.27350011136618901</v>
      </c>
      <c r="E3295" s="10">
        <v>-5.4265277488276604</v>
      </c>
      <c r="F3295" s="4">
        <v>5.7460895480860297E-8</v>
      </c>
      <c r="G3295" s="4">
        <v>6.0919728372256804E-7</v>
      </c>
      <c r="H3295" s="10" t="s">
        <v>6603</v>
      </c>
      <c r="I3295" s="10" t="s">
        <v>18</v>
      </c>
    </row>
    <row r="3296" spans="1:9" x14ac:dyDescent="0.2">
      <c r="A3296" s="10" t="s">
        <v>6604</v>
      </c>
      <c r="B3296" s="10">
        <v>1000.71128309967</v>
      </c>
      <c r="C3296" s="10">
        <v>-1.45279924676549</v>
      </c>
      <c r="D3296" s="10">
        <v>0.233465836689809</v>
      </c>
      <c r="E3296" s="10">
        <v>-6.2227487642902002</v>
      </c>
      <c r="F3296" s="4">
        <v>4.8851932462560004E-10</v>
      </c>
      <c r="G3296" s="4">
        <v>6.8718048725212802E-9</v>
      </c>
      <c r="H3296" s="10" t="s">
        <v>6605</v>
      </c>
      <c r="I3296" s="10" t="s">
        <v>18</v>
      </c>
    </row>
    <row r="3297" spans="1:9" x14ac:dyDescent="0.2">
      <c r="A3297" s="10" t="s">
        <v>6606</v>
      </c>
      <c r="B3297" s="10">
        <v>4685.1984171991899</v>
      </c>
      <c r="C3297" s="10">
        <v>1.0874876656990899</v>
      </c>
      <c r="D3297" s="10">
        <v>0.259963059076252</v>
      </c>
      <c r="E3297" s="10">
        <v>4.1832392246934802</v>
      </c>
      <c r="F3297" s="4">
        <v>2.8738470245758499E-5</v>
      </c>
      <c r="G3297" s="10">
        <v>1.8529036885617199E-4</v>
      </c>
      <c r="H3297" s="10" t="s">
        <v>6607</v>
      </c>
      <c r="I3297" s="10" t="s">
        <v>18</v>
      </c>
    </row>
    <row r="3298" spans="1:9" x14ac:dyDescent="0.2">
      <c r="A3298" s="10" t="s">
        <v>6608</v>
      </c>
      <c r="B3298" s="10">
        <v>891.29966410765201</v>
      </c>
      <c r="C3298" s="10">
        <v>1.1617955239265101</v>
      </c>
      <c r="D3298" s="10">
        <v>0.220034894211496</v>
      </c>
      <c r="E3298" s="10">
        <v>5.2800512759117204</v>
      </c>
      <c r="F3298" s="4">
        <v>1.29147739123235E-7</v>
      </c>
      <c r="G3298" s="4">
        <v>1.2903881363735899E-6</v>
      </c>
      <c r="H3298" s="10" t="s">
        <v>6609</v>
      </c>
      <c r="I3298" s="10" t="s">
        <v>18</v>
      </c>
    </row>
    <row r="3299" spans="1:9" x14ac:dyDescent="0.2">
      <c r="A3299" s="10" t="s">
        <v>6610</v>
      </c>
      <c r="B3299" s="10">
        <v>5320.88311131929</v>
      </c>
      <c r="C3299" s="10">
        <v>-1.5398894595885</v>
      </c>
      <c r="D3299" s="10">
        <v>0.194396093982041</v>
      </c>
      <c r="E3299" s="10">
        <v>-7.9214012382921499</v>
      </c>
      <c r="F3299" s="4">
        <v>2.34848755169768E-15</v>
      </c>
      <c r="G3299" s="4">
        <v>6.0768509326787005E-14</v>
      </c>
      <c r="H3299" s="10" t="s">
        <v>6611</v>
      </c>
      <c r="I3299" s="10" t="s">
        <v>18</v>
      </c>
    </row>
    <row r="3300" spans="1:9" x14ac:dyDescent="0.2">
      <c r="A3300" s="10" t="s">
        <v>6612</v>
      </c>
      <c r="B3300" s="10">
        <v>840.44183081610004</v>
      </c>
      <c r="C3300" s="10">
        <v>-2.2240816153318299</v>
      </c>
      <c r="D3300" s="10">
        <v>0.22914922849887601</v>
      </c>
      <c r="E3300" s="10">
        <v>-9.7058219654566198</v>
      </c>
      <c r="F3300" s="4">
        <v>2.8477163192223001E-22</v>
      </c>
      <c r="G3300" s="4">
        <v>1.30846081871585E-20</v>
      </c>
      <c r="H3300" s="10" t="s">
        <v>6613</v>
      </c>
      <c r="I3300" s="10" t="s">
        <v>18</v>
      </c>
    </row>
    <row r="3301" spans="1:9" x14ac:dyDescent="0.2">
      <c r="A3301" s="10" t="s">
        <v>6614</v>
      </c>
      <c r="B3301" s="10">
        <v>338.33686239588201</v>
      </c>
      <c r="C3301" s="10">
        <v>1.83660423612957</v>
      </c>
      <c r="D3301" s="10">
        <v>0.287579131315301</v>
      </c>
      <c r="E3301" s="10">
        <v>6.3864308502828102</v>
      </c>
      <c r="F3301" s="4">
        <v>1.6980216258749101E-10</v>
      </c>
      <c r="G3301" s="4">
        <v>2.5589599137286302E-9</v>
      </c>
      <c r="H3301" s="10" t="s">
        <v>6615</v>
      </c>
      <c r="I3301" s="10" t="s">
        <v>18</v>
      </c>
    </row>
    <row r="3302" spans="1:9" x14ac:dyDescent="0.2">
      <c r="A3302" s="10" t="s">
        <v>6616</v>
      </c>
      <c r="B3302" s="10">
        <v>1015.65736254988</v>
      </c>
      <c r="C3302" s="10">
        <v>-1.7257840824547199</v>
      </c>
      <c r="D3302" s="10">
        <v>0.233557868130914</v>
      </c>
      <c r="E3302" s="10">
        <v>-7.3891070177407903</v>
      </c>
      <c r="F3302" s="4">
        <v>1.4781816334252399E-13</v>
      </c>
      <c r="G3302" s="4">
        <v>3.2559430045220402E-12</v>
      </c>
      <c r="H3302" s="10" t="s">
        <v>6617</v>
      </c>
      <c r="I3302" s="10" t="s">
        <v>18</v>
      </c>
    </row>
    <row r="3303" spans="1:9" x14ac:dyDescent="0.2">
      <c r="A3303" s="10" t="s">
        <v>6618</v>
      </c>
      <c r="B3303" s="10">
        <v>10354.386439591601</v>
      </c>
      <c r="C3303" s="10">
        <v>2.09724084692825</v>
      </c>
      <c r="D3303" s="10">
        <v>0.217895958505644</v>
      </c>
      <c r="E3303" s="10">
        <v>9.62496441563842</v>
      </c>
      <c r="F3303" s="4">
        <v>6.2728632521946104E-22</v>
      </c>
      <c r="G3303" s="4">
        <v>2.8204076738043999E-20</v>
      </c>
      <c r="H3303" s="10" t="s">
        <v>6619</v>
      </c>
      <c r="I3303" s="10" t="s">
        <v>18</v>
      </c>
    </row>
    <row r="3304" spans="1:9" x14ac:dyDescent="0.2">
      <c r="A3304" s="10" t="s">
        <v>6620</v>
      </c>
      <c r="B3304" s="10">
        <v>11.2390250594551</v>
      </c>
      <c r="C3304" s="10">
        <v>5.4099370191426797</v>
      </c>
      <c r="D3304" s="10">
        <v>1.7207308307068601</v>
      </c>
      <c r="E3304" s="10">
        <v>3.1439763399371001</v>
      </c>
      <c r="F3304" s="10">
        <v>1.6666891472807599E-3</v>
      </c>
      <c r="G3304" s="10">
        <v>6.8994650859858604E-3</v>
      </c>
      <c r="H3304" s="10" t="s">
        <v>6621</v>
      </c>
      <c r="I3304" s="10" t="s">
        <v>18</v>
      </c>
    </row>
    <row r="3305" spans="1:9" x14ac:dyDescent="0.2">
      <c r="A3305" s="10" t="s">
        <v>6622</v>
      </c>
      <c r="B3305" s="10">
        <v>70.402927733003693</v>
      </c>
      <c r="C3305" s="10">
        <v>1.3708529512454399</v>
      </c>
      <c r="D3305" s="10">
        <v>0.463038877293597</v>
      </c>
      <c r="E3305" s="10">
        <v>2.9605569175052899</v>
      </c>
      <c r="F3305" s="10">
        <v>3.07083373910332E-3</v>
      </c>
      <c r="G3305" s="10">
        <v>1.1692426899014599E-2</v>
      </c>
      <c r="H3305" s="10" t="s">
        <v>6623</v>
      </c>
      <c r="I3305" s="10" t="s">
        <v>18</v>
      </c>
    </row>
    <row r="3306" spans="1:9" x14ac:dyDescent="0.2">
      <c r="A3306" s="10" t="s">
        <v>6624</v>
      </c>
      <c r="B3306" s="10">
        <v>1300.7365051786601</v>
      </c>
      <c r="C3306" s="10">
        <v>-1.4382241002137599</v>
      </c>
      <c r="D3306" s="10">
        <v>0.207877846954546</v>
      </c>
      <c r="E3306" s="10">
        <v>-6.9186020602197402</v>
      </c>
      <c r="F3306" s="4">
        <v>4.5612212986569E-12</v>
      </c>
      <c r="G3306" s="4">
        <v>8.3297316839480195E-11</v>
      </c>
      <c r="H3306" s="10" t="s">
        <v>6625</v>
      </c>
      <c r="I3306" s="10" t="s">
        <v>18</v>
      </c>
    </row>
    <row r="3307" spans="1:9" x14ac:dyDescent="0.2">
      <c r="A3307" s="10" t="s">
        <v>6626</v>
      </c>
      <c r="B3307" s="10">
        <v>47.083494892275901</v>
      </c>
      <c r="C3307" s="10">
        <v>1.4481585973808699</v>
      </c>
      <c r="D3307" s="10">
        <v>0.53678795100510601</v>
      </c>
      <c r="E3307" s="10">
        <v>2.6978224728578102</v>
      </c>
      <c r="F3307" s="10">
        <v>6.9794649815422697E-3</v>
      </c>
      <c r="G3307" s="10">
        <v>2.3553317110736001E-2</v>
      </c>
      <c r="H3307" s="10" t="s">
        <v>6627</v>
      </c>
      <c r="I3307" s="10" t="s">
        <v>18</v>
      </c>
    </row>
    <row r="3308" spans="1:9" x14ac:dyDescent="0.2">
      <c r="A3308" s="10" t="s">
        <v>6628</v>
      </c>
      <c r="B3308" s="10">
        <v>18.962748982830899</v>
      </c>
      <c r="C3308" s="10">
        <v>3.7606642435883302</v>
      </c>
      <c r="D3308" s="10">
        <v>1.02923260235419</v>
      </c>
      <c r="E3308" s="10">
        <v>3.6538526228050601</v>
      </c>
      <c r="F3308" s="10">
        <v>2.5833458617340998E-4</v>
      </c>
      <c r="G3308" s="10">
        <v>1.3331141040656999E-3</v>
      </c>
      <c r="H3308" s="10" t="s">
        <v>6629</v>
      </c>
      <c r="I3308" s="10" t="s">
        <v>18</v>
      </c>
    </row>
    <row r="3309" spans="1:9" x14ac:dyDescent="0.2">
      <c r="A3309" s="10" t="s">
        <v>6630</v>
      </c>
      <c r="B3309" s="10">
        <v>20.995586762591302</v>
      </c>
      <c r="C3309" s="10">
        <v>6.3241384813185597</v>
      </c>
      <c r="D3309" s="10">
        <v>1.6033793453204599</v>
      </c>
      <c r="E3309" s="10">
        <v>3.9442559240742798</v>
      </c>
      <c r="F3309" s="4">
        <v>8.0048135821110601E-5</v>
      </c>
      <c r="G3309" s="10">
        <v>4.6924947433687602E-4</v>
      </c>
      <c r="H3309" s="10" t="s">
        <v>6631</v>
      </c>
      <c r="I3309" s="10" t="s">
        <v>18</v>
      </c>
    </row>
    <row r="3310" spans="1:9" x14ac:dyDescent="0.2">
      <c r="A3310" s="10" t="s">
        <v>6632</v>
      </c>
      <c r="B3310" s="10">
        <v>1064.29283932618</v>
      </c>
      <c r="C3310" s="10">
        <v>-1.7208533695892001</v>
      </c>
      <c r="D3310" s="10">
        <v>0.21408631721902299</v>
      </c>
      <c r="E3310" s="10">
        <v>-8.0381286947388997</v>
      </c>
      <c r="F3310" s="4">
        <v>9.12207980315687E-16</v>
      </c>
      <c r="G3310" s="4">
        <v>2.4439460019332899E-14</v>
      </c>
      <c r="H3310" s="10" t="s">
        <v>6633</v>
      </c>
      <c r="I3310" s="10" t="s">
        <v>18</v>
      </c>
    </row>
    <row r="3311" spans="1:9" x14ac:dyDescent="0.2">
      <c r="A3311" s="10" t="s">
        <v>6634</v>
      </c>
      <c r="B3311" s="10">
        <v>78.357442702701306</v>
      </c>
      <c r="C3311" s="10">
        <v>3.6077359895376402</v>
      </c>
      <c r="D3311" s="10">
        <v>0.48741501694832601</v>
      </c>
      <c r="E3311" s="10">
        <v>7.4017743895652597</v>
      </c>
      <c r="F3311" s="4">
        <v>1.3437666707395101E-13</v>
      </c>
      <c r="G3311" s="4">
        <v>2.9670672996466398E-12</v>
      </c>
      <c r="H3311" s="10" t="s">
        <v>6635</v>
      </c>
      <c r="I3311" s="10" t="s">
        <v>18</v>
      </c>
    </row>
    <row r="3312" spans="1:9" x14ac:dyDescent="0.2">
      <c r="A3312" s="10" t="s">
        <v>6636</v>
      </c>
      <c r="B3312" s="10">
        <v>498.15719327647901</v>
      </c>
      <c r="C3312" s="10">
        <v>1.1128401397427199</v>
      </c>
      <c r="D3312" s="10">
        <v>0.230603479921658</v>
      </c>
      <c r="E3312" s="10">
        <v>4.8257734016884104</v>
      </c>
      <c r="F3312" s="4">
        <v>1.3946100252577199E-6</v>
      </c>
      <c r="G3312" s="4">
        <v>1.16704359208222E-5</v>
      </c>
      <c r="H3312" s="10" t="s">
        <v>6637</v>
      </c>
      <c r="I3312" s="10" t="s">
        <v>18</v>
      </c>
    </row>
    <row r="3313" spans="1:9" x14ac:dyDescent="0.2">
      <c r="A3313" s="10" t="s">
        <v>6638</v>
      </c>
      <c r="B3313" s="10">
        <v>81.716120064650497</v>
      </c>
      <c r="C3313" s="10">
        <v>2.63222584849921</v>
      </c>
      <c r="D3313" s="10">
        <v>0.43455582612815502</v>
      </c>
      <c r="E3313" s="10">
        <v>6.05727892766288</v>
      </c>
      <c r="F3313" s="4">
        <v>1.3844341273813899E-9</v>
      </c>
      <c r="G3313" s="4">
        <v>1.8481958191455498E-8</v>
      </c>
      <c r="H3313" s="10" t="s">
        <v>6639</v>
      </c>
      <c r="I3313" s="10" t="s">
        <v>18</v>
      </c>
    </row>
    <row r="3314" spans="1:9" x14ac:dyDescent="0.2">
      <c r="A3314" s="10" t="s">
        <v>6640</v>
      </c>
      <c r="B3314" s="10">
        <v>984.00627901329597</v>
      </c>
      <c r="C3314" s="10">
        <v>1.5050151110541199</v>
      </c>
      <c r="D3314" s="10">
        <v>0.21549403942791601</v>
      </c>
      <c r="E3314" s="10">
        <v>6.9840219945274002</v>
      </c>
      <c r="F3314" s="4">
        <v>2.86847126193912E-12</v>
      </c>
      <c r="G3314" s="4">
        <v>5.37532575474932E-11</v>
      </c>
      <c r="H3314" s="10" t="s">
        <v>6641</v>
      </c>
      <c r="I3314" s="10" t="s">
        <v>18</v>
      </c>
    </row>
    <row r="3315" spans="1:9" x14ac:dyDescent="0.2">
      <c r="A3315" s="10" t="s">
        <v>6642</v>
      </c>
      <c r="B3315" s="10">
        <v>2400.2738202688001</v>
      </c>
      <c r="C3315" s="10">
        <v>-1.0797324310106899</v>
      </c>
      <c r="D3315" s="10">
        <v>0.178498389583089</v>
      </c>
      <c r="E3315" s="10">
        <v>-6.0489757556501198</v>
      </c>
      <c r="F3315" s="4">
        <v>1.4576959156954299E-9</v>
      </c>
      <c r="G3315" s="4">
        <v>1.9384012013154399E-8</v>
      </c>
      <c r="H3315" s="10" t="s">
        <v>6643</v>
      </c>
      <c r="I3315" s="10" t="s">
        <v>18</v>
      </c>
    </row>
    <row r="3316" spans="1:9" x14ac:dyDescent="0.2">
      <c r="A3316" s="10" t="s">
        <v>6644</v>
      </c>
      <c r="B3316" s="10">
        <v>31.640292898824899</v>
      </c>
      <c r="C3316" s="10">
        <v>1.82249996923543</v>
      </c>
      <c r="D3316" s="10">
        <v>0.62598959054568304</v>
      </c>
      <c r="E3316" s="10">
        <v>2.9113902160045999</v>
      </c>
      <c r="F3316" s="10">
        <v>3.59824330958622E-3</v>
      </c>
      <c r="G3316" s="10">
        <v>1.34119473948421E-2</v>
      </c>
      <c r="H3316" s="10" t="s">
        <v>6645</v>
      </c>
      <c r="I3316" s="10" t="s">
        <v>18</v>
      </c>
    </row>
    <row r="3317" spans="1:9" x14ac:dyDescent="0.2">
      <c r="A3317" s="10" t="s">
        <v>6646</v>
      </c>
      <c r="B3317" s="10">
        <v>1375.82861739023</v>
      </c>
      <c r="C3317" s="10">
        <v>1.21900521800166</v>
      </c>
      <c r="D3317" s="10">
        <v>0.19098423450188501</v>
      </c>
      <c r="E3317" s="10">
        <v>6.3827531166695799</v>
      </c>
      <c r="F3317" s="4">
        <v>1.7393219887085901E-10</v>
      </c>
      <c r="G3317" s="4">
        <v>2.6154142509019398E-9</v>
      </c>
      <c r="H3317" s="10" t="s">
        <v>6647</v>
      </c>
      <c r="I3317" s="10" t="s">
        <v>18</v>
      </c>
    </row>
    <row r="3318" spans="1:9" x14ac:dyDescent="0.2">
      <c r="A3318" s="10" t="s">
        <v>6648</v>
      </c>
      <c r="B3318" s="10">
        <v>5308.9472210389204</v>
      </c>
      <c r="C3318" s="10">
        <v>-1.0732148958222301</v>
      </c>
      <c r="D3318" s="10">
        <v>0.180631380841144</v>
      </c>
      <c r="E3318" s="10">
        <v>-5.94146427284449</v>
      </c>
      <c r="F3318" s="4">
        <v>2.8248730884664E-9</v>
      </c>
      <c r="G3318" s="4">
        <v>3.6110860636547602E-8</v>
      </c>
      <c r="H3318" s="10" t="s">
        <v>6649</v>
      </c>
      <c r="I3318" s="10" t="s">
        <v>18</v>
      </c>
    </row>
    <row r="3319" spans="1:9" x14ac:dyDescent="0.2">
      <c r="A3319" s="10" t="s">
        <v>6650</v>
      </c>
      <c r="B3319" s="10">
        <v>8.0296602521611806</v>
      </c>
      <c r="C3319" s="10">
        <v>3.8706625826476602</v>
      </c>
      <c r="D3319" s="10">
        <v>1.52867293576029</v>
      </c>
      <c r="E3319" s="10">
        <v>2.5320410220532801</v>
      </c>
      <c r="F3319" s="10">
        <v>1.1340072345756199E-2</v>
      </c>
      <c r="G3319" s="10">
        <v>3.5332527296148497E-2</v>
      </c>
      <c r="H3319" s="10" t="s">
        <v>6651</v>
      </c>
      <c r="I3319" s="10" t="s">
        <v>18</v>
      </c>
    </row>
    <row r="3320" spans="1:9" x14ac:dyDescent="0.2">
      <c r="A3320" s="10" t="s">
        <v>6652</v>
      </c>
      <c r="B3320" s="10">
        <v>1622.79817106269</v>
      </c>
      <c r="C3320" s="10">
        <v>1.8287881133234001</v>
      </c>
      <c r="D3320" s="10">
        <v>0.18989855966303101</v>
      </c>
      <c r="E3320" s="10">
        <v>9.6303422025344894</v>
      </c>
      <c r="F3320" s="4">
        <v>5.9530894130203802E-22</v>
      </c>
      <c r="G3320" s="4">
        <v>2.6854938284199701E-20</v>
      </c>
      <c r="H3320" s="10" t="s">
        <v>6653</v>
      </c>
      <c r="I3320" s="10" t="s">
        <v>18</v>
      </c>
    </row>
    <row r="3321" spans="1:9" x14ac:dyDescent="0.2">
      <c r="A3321" s="10" t="s">
        <v>6654</v>
      </c>
      <c r="B3321" s="10">
        <v>46.376708882174597</v>
      </c>
      <c r="C3321" s="10">
        <v>2.6981238486368699</v>
      </c>
      <c r="D3321" s="10">
        <v>0.55949372590226298</v>
      </c>
      <c r="E3321" s="10">
        <v>4.8224380787930503</v>
      </c>
      <c r="F3321" s="4">
        <v>1.4181406070286399E-6</v>
      </c>
      <c r="G3321" s="4">
        <v>1.18310095283862E-5</v>
      </c>
      <c r="H3321" s="10" t="s">
        <v>6655</v>
      </c>
      <c r="I3321" s="10" t="s">
        <v>18</v>
      </c>
    </row>
    <row r="3322" spans="1:9" x14ac:dyDescent="0.2">
      <c r="A3322" s="10" t="s">
        <v>6656</v>
      </c>
      <c r="B3322" s="10">
        <v>5399.1223980467303</v>
      </c>
      <c r="C3322" s="10">
        <v>1.76932512545444</v>
      </c>
      <c r="D3322" s="10">
        <v>0.17297353338220001</v>
      </c>
      <c r="E3322" s="10">
        <v>10.228877741341901</v>
      </c>
      <c r="F3322" s="4">
        <v>1.47215433919451E-24</v>
      </c>
      <c r="G3322" s="4">
        <v>7.9115955187441402E-23</v>
      </c>
      <c r="H3322" s="10" t="s">
        <v>6657</v>
      </c>
      <c r="I3322" s="10" t="s">
        <v>18</v>
      </c>
    </row>
    <row r="3323" spans="1:9" x14ac:dyDescent="0.2">
      <c r="A3323" s="10" t="s">
        <v>6658</v>
      </c>
      <c r="B3323" s="10">
        <v>32.733810781944797</v>
      </c>
      <c r="C3323" s="10">
        <v>3.7127676347437601</v>
      </c>
      <c r="D3323" s="10">
        <v>0.74704661162777797</v>
      </c>
      <c r="E3323" s="10">
        <v>4.9699276818267304</v>
      </c>
      <c r="F3323" s="4">
        <v>6.6977878252168498E-7</v>
      </c>
      <c r="G3323" s="4">
        <v>5.9078868524986601E-6</v>
      </c>
      <c r="H3323" s="10" t="s">
        <v>6659</v>
      </c>
      <c r="I3323" s="10" t="s">
        <v>18</v>
      </c>
    </row>
    <row r="3324" spans="1:9" x14ac:dyDescent="0.2">
      <c r="A3324" s="10" t="s">
        <v>6660</v>
      </c>
      <c r="B3324" s="10">
        <v>11.7827211616088</v>
      </c>
      <c r="C3324" s="10">
        <v>6.9557857474085596</v>
      </c>
      <c r="D3324" s="10">
        <v>1.7196444725229201</v>
      </c>
      <c r="E3324" s="10">
        <v>4.0448975695561202</v>
      </c>
      <c r="F3324" s="4">
        <v>5.2346005938135803E-5</v>
      </c>
      <c r="G3324" s="10">
        <v>3.1900506011997001E-4</v>
      </c>
      <c r="H3324" s="10" t="s">
        <v>6661</v>
      </c>
      <c r="I3324" s="10" t="s">
        <v>18</v>
      </c>
    </row>
    <row r="3325" spans="1:9" x14ac:dyDescent="0.2">
      <c r="A3325" s="10" t="s">
        <v>6662</v>
      </c>
      <c r="B3325" s="10">
        <v>11641.992918247201</v>
      </c>
      <c r="C3325" s="10">
        <v>1.1582440472998099</v>
      </c>
      <c r="D3325" s="10">
        <v>0.18164344783261599</v>
      </c>
      <c r="E3325" s="10">
        <v>6.3764702835145801</v>
      </c>
      <c r="F3325" s="4">
        <v>1.8121589231711199E-10</v>
      </c>
      <c r="G3325" s="4">
        <v>2.71594577445784E-9</v>
      </c>
      <c r="H3325" s="10" t="s">
        <v>6663</v>
      </c>
      <c r="I3325" s="10" t="s">
        <v>18</v>
      </c>
    </row>
    <row r="3326" spans="1:9" x14ac:dyDescent="0.2">
      <c r="A3326" s="10" t="s">
        <v>6664</v>
      </c>
      <c r="B3326" s="10">
        <v>5323.2940882284001</v>
      </c>
      <c r="C3326" s="10">
        <v>2.90255294147335</v>
      </c>
      <c r="D3326" s="10">
        <v>0.22572403109170699</v>
      </c>
      <c r="E3326" s="10">
        <v>12.8588565755948</v>
      </c>
      <c r="F3326" s="4">
        <v>7.6702884007425496E-38</v>
      </c>
      <c r="G3326" s="4">
        <v>9.5868049566528501E-36</v>
      </c>
      <c r="H3326" s="10" t="s">
        <v>6665</v>
      </c>
      <c r="I3326" s="10" t="s">
        <v>18</v>
      </c>
    </row>
    <row r="3327" spans="1:9" x14ac:dyDescent="0.2">
      <c r="A3327" s="10" t="s">
        <v>6666</v>
      </c>
      <c r="B3327" s="10">
        <v>51.9285948097355</v>
      </c>
      <c r="C3327" s="10">
        <v>4.5900934646218596</v>
      </c>
      <c r="D3327" s="10">
        <v>0.69439350560102897</v>
      </c>
      <c r="E3327" s="10">
        <v>6.6102194614405603</v>
      </c>
      <c r="F3327" s="4">
        <v>3.8375069364333799E-11</v>
      </c>
      <c r="G3327" s="4">
        <v>6.3408460580352003E-10</v>
      </c>
      <c r="H3327" s="10" t="s">
        <v>6667</v>
      </c>
      <c r="I3327" s="10" t="s">
        <v>18</v>
      </c>
    </row>
    <row r="3328" spans="1:9" x14ac:dyDescent="0.2">
      <c r="A3328" s="10" t="s">
        <v>6668</v>
      </c>
      <c r="B3328" s="10">
        <v>14.2496682973656</v>
      </c>
      <c r="C3328" s="10">
        <v>4.11846846990837</v>
      </c>
      <c r="D3328" s="10">
        <v>1.1731120174316201</v>
      </c>
      <c r="E3328" s="10">
        <v>3.5107205524373102</v>
      </c>
      <c r="F3328" s="10">
        <v>4.4689391737224497E-4</v>
      </c>
      <c r="G3328" s="10">
        <v>2.1697288964079701E-3</v>
      </c>
      <c r="H3328" s="10" t="s">
        <v>6669</v>
      </c>
      <c r="I3328" s="10" t="s">
        <v>18</v>
      </c>
    </row>
    <row r="3329" spans="1:9" x14ac:dyDescent="0.2">
      <c r="A3329" s="10" t="s">
        <v>6670</v>
      </c>
      <c r="B3329" s="10">
        <v>2224.2668272760998</v>
      </c>
      <c r="C3329" s="10">
        <v>1.1000437883488601</v>
      </c>
      <c r="D3329" s="10">
        <v>0.19478608311676501</v>
      </c>
      <c r="E3329" s="10">
        <v>5.64744549891397</v>
      </c>
      <c r="F3329" s="4">
        <v>1.6284943726534601E-8</v>
      </c>
      <c r="G3329" s="4">
        <v>1.87935561930067E-7</v>
      </c>
      <c r="H3329" s="10" t="s">
        <v>6671</v>
      </c>
      <c r="I3329" s="10" t="s">
        <v>18</v>
      </c>
    </row>
    <row r="3330" spans="1:9" x14ac:dyDescent="0.2">
      <c r="A3330" s="10" t="s">
        <v>6672</v>
      </c>
      <c r="B3330" s="10">
        <v>28.543899794896099</v>
      </c>
      <c r="C3330" s="10">
        <v>1.86132844521928</v>
      </c>
      <c r="D3330" s="10">
        <v>0.68740347371312704</v>
      </c>
      <c r="E3330" s="10">
        <v>2.7077670049657998</v>
      </c>
      <c r="F3330" s="10">
        <v>6.7737558744035099E-3</v>
      </c>
      <c r="G3330" s="10">
        <v>2.2938668445174299E-2</v>
      </c>
      <c r="H3330" s="10" t="s">
        <v>6673</v>
      </c>
      <c r="I3330" s="10" t="s">
        <v>18</v>
      </c>
    </row>
    <row r="3331" spans="1:9" x14ac:dyDescent="0.2">
      <c r="A3331" s="10" t="s">
        <v>6674</v>
      </c>
      <c r="B3331" s="10">
        <v>150.67206998737799</v>
      </c>
      <c r="C3331" s="10">
        <v>3.0716620675650099</v>
      </c>
      <c r="D3331" s="10">
        <v>0.356815722268288</v>
      </c>
      <c r="E3331" s="10">
        <v>8.6085390185117294</v>
      </c>
      <c r="F3331" s="4">
        <v>7.3997572640147096E-18</v>
      </c>
      <c r="G3331" s="4">
        <v>2.3581425283345999E-16</v>
      </c>
      <c r="H3331" s="10" t="s">
        <v>6675</v>
      </c>
      <c r="I3331" s="10" t="s">
        <v>18</v>
      </c>
    </row>
    <row r="3332" spans="1:9" x14ac:dyDescent="0.2">
      <c r="A3332" s="10" t="s">
        <v>6676</v>
      </c>
      <c r="B3332" s="10">
        <v>22.1501198486961</v>
      </c>
      <c r="C3332" s="10">
        <v>-1.8233606319186699</v>
      </c>
      <c r="D3332" s="10">
        <v>0.755890138410376</v>
      </c>
      <c r="E3332" s="10">
        <v>-2.41220322804207</v>
      </c>
      <c r="F3332" s="10">
        <v>1.5856440348298001E-2</v>
      </c>
      <c r="G3332" s="10">
        <v>4.66290853781509E-2</v>
      </c>
      <c r="H3332" s="10" t="s">
        <v>6677</v>
      </c>
      <c r="I3332" s="10" t="s">
        <v>18</v>
      </c>
    </row>
    <row r="3333" spans="1:9" x14ac:dyDescent="0.2">
      <c r="A3333" s="10" t="s">
        <v>6678</v>
      </c>
      <c r="B3333" s="10">
        <v>42.485230393217698</v>
      </c>
      <c r="C3333" s="10">
        <v>-1.4451600309325801</v>
      </c>
      <c r="D3333" s="10">
        <v>0.54676193507197401</v>
      </c>
      <c r="E3333" s="10">
        <v>-2.6431248011848898</v>
      </c>
      <c r="F3333" s="10">
        <v>8.2144751083052994E-3</v>
      </c>
      <c r="G3333" s="10">
        <v>2.6966241358553598E-2</v>
      </c>
      <c r="H3333" s="10" t="s">
        <v>6679</v>
      </c>
      <c r="I3333" s="10" t="s">
        <v>18</v>
      </c>
    </row>
    <row r="3334" spans="1:9" x14ac:dyDescent="0.2">
      <c r="A3334" s="10" t="s">
        <v>6680</v>
      </c>
      <c r="B3334" s="10">
        <v>788.75636224192999</v>
      </c>
      <c r="C3334" s="10">
        <v>1.8224978241977099</v>
      </c>
      <c r="D3334" s="10">
        <v>0.207466654563839</v>
      </c>
      <c r="E3334" s="10">
        <v>8.7845337267773402</v>
      </c>
      <c r="F3334" s="4">
        <v>1.57014466008726E-18</v>
      </c>
      <c r="G3334" s="4">
        <v>5.3343804929423499E-17</v>
      </c>
      <c r="H3334" s="10" t="s">
        <v>6681</v>
      </c>
      <c r="I3334" s="10" t="s">
        <v>18</v>
      </c>
    </row>
    <row r="3335" spans="1:9" x14ac:dyDescent="0.2">
      <c r="A3335" s="10" t="s">
        <v>6682</v>
      </c>
      <c r="B3335" s="10">
        <v>198.68740659162199</v>
      </c>
      <c r="C3335" s="10">
        <v>7.2552686781630804</v>
      </c>
      <c r="D3335" s="10">
        <v>0.704685079586025</v>
      </c>
      <c r="E3335" s="10">
        <v>10.295760316686801</v>
      </c>
      <c r="F3335" s="4">
        <v>7.3635531816546604E-25</v>
      </c>
      <c r="G3335" s="4">
        <v>4.06143185304746E-23</v>
      </c>
      <c r="H3335" s="10" t="s">
        <v>6683</v>
      </c>
      <c r="I3335" s="10" t="s">
        <v>18</v>
      </c>
    </row>
    <row r="3336" spans="1:9" x14ac:dyDescent="0.2">
      <c r="A3336" s="10" t="s">
        <v>6684</v>
      </c>
      <c r="B3336" s="10">
        <v>604.29131618047995</v>
      </c>
      <c r="C3336" s="10">
        <v>-2.2912476187526201</v>
      </c>
      <c r="D3336" s="10">
        <v>0.21852923315857301</v>
      </c>
      <c r="E3336" s="10">
        <v>-10.4848563537036</v>
      </c>
      <c r="F3336" s="4">
        <v>1.01399629932218E-25</v>
      </c>
      <c r="G3336" s="4">
        <v>5.9931360450393498E-24</v>
      </c>
      <c r="H3336" s="10" t="s">
        <v>6685</v>
      </c>
      <c r="I3336" s="10" t="s">
        <v>18</v>
      </c>
    </row>
    <row r="3337" spans="1:9" x14ac:dyDescent="0.2">
      <c r="A3337" s="10" t="s">
        <v>6686</v>
      </c>
      <c r="B3337" s="10">
        <v>5.9457177380145003</v>
      </c>
      <c r="C3337" s="10">
        <v>5.9678110559896602</v>
      </c>
      <c r="D3337" s="10">
        <v>1.9490680149737301</v>
      </c>
      <c r="E3337" s="10">
        <v>3.0618793239342601</v>
      </c>
      <c r="F3337" s="10">
        <v>2.1995210751093899E-3</v>
      </c>
      <c r="G3337" s="10">
        <v>8.7349294175055308E-3</v>
      </c>
      <c r="H3337" s="10" t="s">
        <v>6687</v>
      </c>
      <c r="I3337" s="10" t="s">
        <v>18</v>
      </c>
    </row>
    <row r="3338" spans="1:9" x14ac:dyDescent="0.2">
      <c r="A3338" s="10" t="s">
        <v>6688</v>
      </c>
      <c r="B3338" s="10">
        <v>233.061410510336</v>
      </c>
      <c r="C3338" s="10">
        <v>5.9881616536061903</v>
      </c>
      <c r="D3338" s="10">
        <v>0.490459551665402</v>
      </c>
      <c r="E3338" s="10">
        <v>12.209287459634201</v>
      </c>
      <c r="F3338" s="4">
        <v>2.7730707752776898E-34</v>
      </c>
      <c r="G3338" s="4">
        <v>2.76768715802166E-32</v>
      </c>
      <c r="H3338" s="10" t="s">
        <v>6689</v>
      </c>
      <c r="I3338" s="10" t="s">
        <v>18</v>
      </c>
    </row>
    <row r="3339" spans="1:9" x14ac:dyDescent="0.2">
      <c r="A3339" s="10" t="s">
        <v>6690</v>
      </c>
      <c r="B3339" s="10">
        <v>1439.3264715410701</v>
      </c>
      <c r="C3339" s="10">
        <v>1.75287981354762</v>
      </c>
      <c r="D3339" s="10">
        <v>0.19913715327408699</v>
      </c>
      <c r="E3339" s="10">
        <v>8.8023745681199195</v>
      </c>
      <c r="F3339" s="4">
        <v>1.3395123504360699E-18</v>
      </c>
      <c r="G3339" s="4">
        <v>4.5622116265414703E-17</v>
      </c>
      <c r="H3339" s="10" t="s">
        <v>6691</v>
      </c>
      <c r="I3339" s="10" t="s">
        <v>18</v>
      </c>
    </row>
    <row r="3340" spans="1:9" x14ac:dyDescent="0.2">
      <c r="A3340" s="10" t="s">
        <v>6692</v>
      </c>
      <c r="B3340" s="10">
        <v>4.5506350131209503</v>
      </c>
      <c r="C3340" s="10">
        <v>5.5810926405007502</v>
      </c>
      <c r="D3340" s="10">
        <v>2.0811975347712699</v>
      </c>
      <c r="E3340" s="10">
        <v>2.6816736745337999</v>
      </c>
      <c r="F3340" s="10">
        <v>7.3254878825888504E-3</v>
      </c>
      <c r="G3340" s="10">
        <v>2.4457489074488199E-2</v>
      </c>
      <c r="H3340" s="10" t="s">
        <v>6693</v>
      </c>
      <c r="I3340" s="10" t="s">
        <v>18</v>
      </c>
    </row>
    <row r="3341" spans="1:9" x14ac:dyDescent="0.2">
      <c r="A3341" s="10" t="s">
        <v>6694</v>
      </c>
      <c r="B3341" s="10">
        <v>7890.7013910229298</v>
      </c>
      <c r="C3341" s="10">
        <v>1.2976170773551501</v>
      </c>
      <c r="D3341" s="10">
        <v>0.17648731562338199</v>
      </c>
      <c r="E3341" s="10">
        <v>7.3524665088352199</v>
      </c>
      <c r="F3341" s="4">
        <v>1.9458229915910899E-13</v>
      </c>
      <c r="G3341" s="4">
        <v>4.2077650041176597E-12</v>
      </c>
      <c r="H3341" s="10" t="s">
        <v>6695</v>
      </c>
      <c r="I3341" s="10" t="s">
        <v>18</v>
      </c>
    </row>
    <row r="3342" spans="1:9" x14ac:dyDescent="0.2">
      <c r="A3342" s="10" t="s">
        <v>6696</v>
      </c>
      <c r="B3342" s="10">
        <v>6.6794972052680102</v>
      </c>
      <c r="C3342" s="10">
        <v>6.1352958256241097</v>
      </c>
      <c r="D3342" s="10">
        <v>1.90077386166819</v>
      </c>
      <c r="E3342" s="10">
        <v>3.2277884020561798</v>
      </c>
      <c r="F3342" s="10">
        <v>1.24751216202795E-3</v>
      </c>
      <c r="G3342" s="10">
        <v>5.3520648525863098E-3</v>
      </c>
      <c r="H3342" s="10" t="s">
        <v>6697</v>
      </c>
      <c r="I3342" s="10" t="s">
        <v>18</v>
      </c>
    </row>
    <row r="3343" spans="1:9" x14ac:dyDescent="0.2">
      <c r="A3343" s="10" t="s">
        <v>6698</v>
      </c>
      <c r="B3343" s="10">
        <v>6.7187411004476498</v>
      </c>
      <c r="C3343" s="10">
        <v>6.1475902193816498</v>
      </c>
      <c r="D3343" s="10">
        <v>1.9102196707338199</v>
      </c>
      <c r="E3343" s="10">
        <v>3.2182634874763001</v>
      </c>
      <c r="F3343" s="10">
        <v>1.2896928399225001E-3</v>
      </c>
      <c r="G3343" s="10">
        <v>5.5052891758371201E-3</v>
      </c>
      <c r="H3343" s="10" t="s">
        <v>6699</v>
      </c>
      <c r="I3343" s="10" t="s">
        <v>18</v>
      </c>
    </row>
    <row r="3344" spans="1:9" x14ac:dyDescent="0.2">
      <c r="A3344" s="10" t="s">
        <v>6700</v>
      </c>
      <c r="B3344" s="10">
        <v>14.9412792402091</v>
      </c>
      <c r="C3344" s="10">
        <v>7.2996061598841298</v>
      </c>
      <c r="D3344" s="10">
        <v>1.6714917539739</v>
      </c>
      <c r="E3344" s="10">
        <v>4.3671206528716704</v>
      </c>
      <c r="F3344" s="4">
        <v>1.25895190510076E-5</v>
      </c>
      <c r="G3344" s="4">
        <v>8.7417590617432396E-5</v>
      </c>
      <c r="H3344" s="10" t="s">
        <v>6701</v>
      </c>
      <c r="I3344" s="10" t="s">
        <v>18</v>
      </c>
    </row>
    <row r="3345" spans="1:9" x14ac:dyDescent="0.2">
      <c r="A3345" s="10" t="s">
        <v>6702</v>
      </c>
      <c r="B3345" s="10">
        <v>47.633499463041801</v>
      </c>
      <c r="C3345" s="10">
        <v>-3.3536246990151999</v>
      </c>
      <c r="D3345" s="10">
        <v>0.58588300589389797</v>
      </c>
      <c r="E3345" s="10">
        <v>-5.7240518418835</v>
      </c>
      <c r="F3345" s="4">
        <v>1.04012987462908E-8</v>
      </c>
      <c r="G3345" s="4">
        <v>1.2316566142554699E-7</v>
      </c>
      <c r="H3345" s="10" t="s">
        <v>6703</v>
      </c>
      <c r="I3345" s="10" t="s">
        <v>18</v>
      </c>
    </row>
    <row r="3346" spans="1:9" x14ac:dyDescent="0.2">
      <c r="A3346" s="10" t="s">
        <v>6704</v>
      </c>
      <c r="B3346" s="10">
        <v>14.829770403288499</v>
      </c>
      <c r="C3346" s="10">
        <v>4.1865523642957703</v>
      </c>
      <c r="D3346" s="10">
        <v>1.1672401705637501</v>
      </c>
      <c r="E3346" s="10">
        <v>3.5867103188144802</v>
      </c>
      <c r="F3346" s="10">
        <v>3.3487598386226802E-4</v>
      </c>
      <c r="G3346" s="10">
        <v>1.6791251255604E-3</v>
      </c>
      <c r="H3346" s="10" t="s">
        <v>6705</v>
      </c>
      <c r="I3346" s="10" t="s">
        <v>18</v>
      </c>
    </row>
    <row r="3347" spans="1:9" x14ac:dyDescent="0.2">
      <c r="A3347" s="10" t="s">
        <v>6706</v>
      </c>
      <c r="B3347" s="10">
        <v>11.5230428472158</v>
      </c>
      <c r="C3347" s="10">
        <v>6.9211974248678496</v>
      </c>
      <c r="D3347" s="10">
        <v>1.7275865941767901</v>
      </c>
      <c r="E3347" s="10">
        <v>4.0062810444334698</v>
      </c>
      <c r="F3347" s="4">
        <v>6.1682250785573199E-5</v>
      </c>
      <c r="G3347" s="10">
        <v>3.7035176006049202E-4</v>
      </c>
      <c r="H3347" s="10" t="s">
        <v>6707</v>
      </c>
      <c r="I3347" s="10" t="s">
        <v>18</v>
      </c>
    </row>
    <row r="3348" spans="1:9" x14ac:dyDescent="0.2">
      <c r="A3348" s="10" t="s">
        <v>6708</v>
      </c>
      <c r="B3348" s="10">
        <v>64.055601980003203</v>
      </c>
      <c r="C3348" s="10">
        <v>2.3330861639415499</v>
      </c>
      <c r="D3348" s="10">
        <v>0.47742580609444102</v>
      </c>
      <c r="E3348" s="10">
        <v>4.8868036334844396</v>
      </c>
      <c r="F3348" s="4">
        <v>1.02486220422848E-6</v>
      </c>
      <c r="G3348" s="4">
        <v>8.7832226761714392E-6</v>
      </c>
      <c r="H3348" s="10" t="s">
        <v>6709</v>
      </c>
      <c r="I3348" s="10" t="s">
        <v>18</v>
      </c>
    </row>
    <row r="3349" spans="1:9" x14ac:dyDescent="0.2">
      <c r="A3349" s="10" t="s">
        <v>6710</v>
      </c>
      <c r="B3349" s="10">
        <v>330.46651951889601</v>
      </c>
      <c r="C3349" s="10">
        <v>2.2260317450803</v>
      </c>
      <c r="D3349" s="10">
        <v>0.278300683653745</v>
      </c>
      <c r="E3349" s="10">
        <v>7.9986571209788204</v>
      </c>
      <c r="F3349" s="4">
        <v>1.25783443720594E-15</v>
      </c>
      <c r="G3349" s="4">
        <v>3.3241721542725699E-14</v>
      </c>
      <c r="H3349" s="10" t="s">
        <v>6711</v>
      </c>
      <c r="I3349" s="10" t="s">
        <v>18</v>
      </c>
    </row>
    <row r="3350" spans="1:9" x14ac:dyDescent="0.2">
      <c r="A3350" s="10" t="s">
        <v>6712</v>
      </c>
      <c r="B3350" s="10">
        <v>29.119614405143999</v>
      </c>
      <c r="C3350" s="10">
        <v>2.0507393300542098</v>
      </c>
      <c r="D3350" s="10">
        <v>0.66929895139050499</v>
      </c>
      <c r="E3350" s="10">
        <v>3.0640109711716801</v>
      </c>
      <c r="F3350" s="10">
        <v>2.1839090094265701E-3</v>
      </c>
      <c r="G3350" s="10">
        <v>8.6926200351946196E-3</v>
      </c>
      <c r="H3350" s="10" t="s">
        <v>6713</v>
      </c>
      <c r="I3350" s="10" t="s">
        <v>18</v>
      </c>
    </row>
    <row r="3351" spans="1:9" x14ac:dyDescent="0.2">
      <c r="A3351" s="10" t="s">
        <v>6714</v>
      </c>
      <c r="B3351" s="10">
        <v>37.6933432459575</v>
      </c>
      <c r="C3351" s="10">
        <v>2.2681755918805102</v>
      </c>
      <c r="D3351" s="10">
        <v>0.61741250297236405</v>
      </c>
      <c r="E3351" s="10">
        <v>3.6736793974223101</v>
      </c>
      <c r="F3351" s="10">
        <v>2.3908268178781701E-4</v>
      </c>
      <c r="G3351" s="10">
        <v>1.2453232327800899E-3</v>
      </c>
      <c r="H3351" s="10" t="s">
        <v>6715</v>
      </c>
      <c r="I3351" s="10" t="s">
        <v>18</v>
      </c>
    </row>
    <row r="3352" spans="1:9" x14ac:dyDescent="0.2">
      <c r="A3352" s="10" t="s">
        <v>6716</v>
      </c>
      <c r="B3352" s="10">
        <v>2833.4967004810001</v>
      </c>
      <c r="C3352" s="10">
        <v>2.28701850145469</v>
      </c>
      <c r="D3352" s="10">
        <v>0.22753948651945699</v>
      </c>
      <c r="E3352" s="10">
        <v>10.0510840401283</v>
      </c>
      <c r="F3352" s="4">
        <v>9.0862325108777793E-24</v>
      </c>
      <c r="G3352" s="4">
        <v>4.61889136611729E-22</v>
      </c>
      <c r="H3352" s="10" t="s">
        <v>6717</v>
      </c>
      <c r="I3352" s="10" t="s">
        <v>18</v>
      </c>
    </row>
    <row r="3353" spans="1:9" x14ac:dyDescent="0.2">
      <c r="A3353" s="10" t="s">
        <v>6718</v>
      </c>
      <c r="B3353" s="10">
        <v>28.031675135039201</v>
      </c>
      <c r="C3353" s="10">
        <v>2.2352610011280998</v>
      </c>
      <c r="D3353" s="10">
        <v>0.68079241960100101</v>
      </c>
      <c r="E3353" s="10">
        <v>3.2833224001497299</v>
      </c>
      <c r="F3353" s="10">
        <v>1.0259126430381901E-3</v>
      </c>
      <c r="G3353" s="10">
        <v>4.5158387374574496E-3</v>
      </c>
      <c r="H3353" s="10" t="s">
        <v>6719</v>
      </c>
      <c r="I3353" s="10" t="s">
        <v>18</v>
      </c>
    </row>
    <row r="3354" spans="1:9" x14ac:dyDescent="0.2">
      <c r="A3354" s="10" t="s">
        <v>6720</v>
      </c>
      <c r="B3354" s="10">
        <v>143.955307509048</v>
      </c>
      <c r="C3354" s="10">
        <v>1.73450328010778</v>
      </c>
      <c r="D3354" s="10">
        <v>0.33965277456689502</v>
      </c>
      <c r="E3354" s="10">
        <v>5.1066954548494898</v>
      </c>
      <c r="F3354" s="4">
        <v>3.2784148234631501E-7</v>
      </c>
      <c r="G3354" s="4">
        <v>3.04974287111302E-6</v>
      </c>
      <c r="H3354" s="10" t="s">
        <v>6721</v>
      </c>
      <c r="I3354" s="10" t="s">
        <v>18</v>
      </c>
    </row>
    <row r="3355" spans="1:9" x14ac:dyDescent="0.2">
      <c r="A3355" s="10" t="s">
        <v>6722</v>
      </c>
      <c r="B3355" s="10">
        <v>11016.285561516701</v>
      </c>
      <c r="C3355" s="10">
        <v>-1.0208370465841301</v>
      </c>
      <c r="D3355" s="10">
        <v>0.19169721479681401</v>
      </c>
      <c r="E3355" s="10">
        <v>-5.32525758220405</v>
      </c>
      <c r="F3355" s="4">
        <v>1.0081008028255899E-7</v>
      </c>
      <c r="G3355" s="4">
        <v>1.02311811125609E-6</v>
      </c>
      <c r="H3355" s="10" t="s">
        <v>6723</v>
      </c>
      <c r="I3355" s="10" t="s">
        <v>18</v>
      </c>
    </row>
    <row r="3356" spans="1:9" x14ac:dyDescent="0.2">
      <c r="A3356" s="10" t="s">
        <v>6724</v>
      </c>
      <c r="B3356" s="10">
        <v>32.7650208929551</v>
      </c>
      <c r="C3356" s="10">
        <v>-2.2184433225569098</v>
      </c>
      <c r="D3356" s="10">
        <v>0.65386924165646498</v>
      </c>
      <c r="E3356" s="10">
        <v>-3.3927935147046702</v>
      </c>
      <c r="F3356" s="10">
        <v>6.9183767883850998E-4</v>
      </c>
      <c r="G3356" s="10">
        <v>3.2042327444013101E-3</v>
      </c>
      <c r="H3356" s="10" t="s">
        <v>6725</v>
      </c>
      <c r="I3356" s="10" t="s">
        <v>18</v>
      </c>
    </row>
    <row r="3357" spans="1:9" x14ac:dyDescent="0.2">
      <c r="A3357" s="10" t="s">
        <v>6726</v>
      </c>
      <c r="B3357" s="10">
        <v>438.31893846152599</v>
      </c>
      <c r="C3357" s="10">
        <v>2.58532712441504</v>
      </c>
      <c r="D3357" s="10">
        <v>0.26402500728574002</v>
      </c>
      <c r="E3357" s="10">
        <v>9.7919782333992398</v>
      </c>
      <c r="F3357" s="4">
        <v>1.21887442057348E-22</v>
      </c>
      <c r="G3357" s="4">
        <v>5.7161224332815002E-21</v>
      </c>
      <c r="H3357" s="10" t="s">
        <v>6727</v>
      </c>
      <c r="I3357" s="10" t="s">
        <v>18</v>
      </c>
    </row>
    <row r="3358" spans="1:9" x14ac:dyDescent="0.2">
      <c r="A3358" s="10" t="s">
        <v>6728</v>
      </c>
      <c r="B3358" s="10">
        <v>763.72042811614006</v>
      </c>
      <c r="C3358" s="10">
        <v>1.55131382431523</v>
      </c>
      <c r="D3358" s="10">
        <v>0.22097635527412299</v>
      </c>
      <c r="E3358" s="10">
        <v>7.0202706637586196</v>
      </c>
      <c r="F3358" s="4">
        <v>2.2143885284539599E-12</v>
      </c>
      <c r="G3358" s="4">
        <v>4.20163260687919E-11</v>
      </c>
      <c r="H3358" s="10" t="s">
        <v>6729</v>
      </c>
      <c r="I3358" s="10" t="s">
        <v>18</v>
      </c>
    </row>
    <row r="3359" spans="1:9" x14ac:dyDescent="0.2">
      <c r="A3359" s="10" t="s">
        <v>6730</v>
      </c>
      <c r="B3359" s="10">
        <v>489.53772700645601</v>
      </c>
      <c r="C3359" s="10">
        <v>2.87604245497426</v>
      </c>
      <c r="D3359" s="10">
        <v>0.24846644846413099</v>
      </c>
      <c r="E3359" s="10">
        <v>11.5751743253554</v>
      </c>
      <c r="F3359" s="4">
        <v>5.5059228110646504E-31</v>
      </c>
      <c r="G3359" s="4">
        <v>4.6475683189641401E-29</v>
      </c>
      <c r="H3359" s="10" t="s">
        <v>6731</v>
      </c>
      <c r="I3359" s="10" t="s">
        <v>18</v>
      </c>
    </row>
    <row r="3360" spans="1:9" x14ac:dyDescent="0.2">
      <c r="A3360" s="10" t="s">
        <v>6732</v>
      </c>
      <c r="B3360" s="10">
        <v>7712.6256554113397</v>
      </c>
      <c r="C3360" s="10">
        <v>-2.0826559244029599</v>
      </c>
      <c r="D3360" s="10">
        <v>0.21988901197747299</v>
      </c>
      <c r="E3360" s="10">
        <v>-9.4713960723800206</v>
      </c>
      <c r="F3360" s="4">
        <v>2.7612817012091302E-21</v>
      </c>
      <c r="G3360" s="4">
        <v>1.19045320431717E-19</v>
      </c>
      <c r="H3360" s="10" t="s">
        <v>6733</v>
      </c>
      <c r="I3360" s="10" t="s">
        <v>18</v>
      </c>
    </row>
    <row r="3361" spans="1:9" x14ac:dyDescent="0.2">
      <c r="A3361" s="10" t="s">
        <v>6734</v>
      </c>
      <c r="B3361" s="10">
        <v>1222.7314720335701</v>
      </c>
      <c r="C3361" s="10">
        <v>1.51258161715248</v>
      </c>
      <c r="D3361" s="10">
        <v>0.207496772986936</v>
      </c>
      <c r="E3361" s="10">
        <v>7.2896633300784499</v>
      </c>
      <c r="F3361" s="4">
        <v>3.10730526281806E-13</v>
      </c>
      <c r="G3361" s="4">
        <v>6.5631586431010501E-12</v>
      </c>
      <c r="H3361" s="10" t="s">
        <v>6735</v>
      </c>
      <c r="I3361" s="10" t="s">
        <v>18</v>
      </c>
    </row>
    <row r="3362" spans="1:9" x14ac:dyDescent="0.2">
      <c r="A3362" s="10" t="s">
        <v>6736</v>
      </c>
      <c r="B3362" s="10">
        <v>549.27862697156399</v>
      </c>
      <c r="C3362" s="10">
        <v>-1.76278159769764</v>
      </c>
      <c r="D3362" s="10">
        <v>0.23383948835818499</v>
      </c>
      <c r="E3362" s="10">
        <v>-7.5384256528884004</v>
      </c>
      <c r="F3362" s="4">
        <v>4.7567904401420699E-14</v>
      </c>
      <c r="G3362" s="4">
        <v>1.0892101377934599E-12</v>
      </c>
      <c r="H3362" s="10" t="s">
        <v>6737</v>
      </c>
      <c r="I3362" s="10" t="s">
        <v>18</v>
      </c>
    </row>
    <row r="3363" spans="1:9" x14ac:dyDescent="0.2">
      <c r="A3363" s="10" t="s">
        <v>6738</v>
      </c>
      <c r="B3363" s="10">
        <v>7.56428404140431</v>
      </c>
      <c r="C3363" s="10">
        <v>3.7723966223521002</v>
      </c>
      <c r="D3363" s="10">
        <v>1.50666124825488</v>
      </c>
      <c r="E3363" s="10">
        <v>2.50381207236966</v>
      </c>
      <c r="F3363" s="10">
        <v>1.22863274533834E-2</v>
      </c>
      <c r="G3363" s="10">
        <v>3.7758353724603698E-2</v>
      </c>
      <c r="H3363" s="10" t="s">
        <v>6739</v>
      </c>
      <c r="I3363" s="10" t="s">
        <v>18</v>
      </c>
    </row>
    <row r="3364" spans="1:9" x14ac:dyDescent="0.2">
      <c r="A3364" s="10" t="s">
        <v>6740</v>
      </c>
      <c r="B3364" s="10">
        <v>34.740584890606598</v>
      </c>
      <c r="C3364" s="10">
        <v>-2.02119889874644</v>
      </c>
      <c r="D3364" s="10">
        <v>0.684277418504456</v>
      </c>
      <c r="E3364" s="10">
        <v>-2.9537711520043</v>
      </c>
      <c r="F3364" s="10">
        <v>3.1391669795247301E-3</v>
      </c>
      <c r="G3364" s="10">
        <v>1.19093403914105E-2</v>
      </c>
      <c r="H3364" s="10" t="s">
        <v>6741</v>
      </c>
      <c r="I3364" s="10" t="s">
        <v>18</v>
      </c>
    </row>
    <row r="3365" spans="1:9" x14ac:dyDescent="0.2">
      <c r="A3365" s="10" t="s">
        <v>6742</v>
      </c>
      <c r="B3365" s="10">
        <v>1071.45165181382</v>
      </c>
      <c r="C3365" s="10">
        <v>2.3310528988656301</v>
      </c>
      <c r="D3365" s="10">
        <v>0.21756354558441501</v>
      </c>
      <c r="E3365" s="10">
        <v>10.714354248107099</v>
      </c>
      <c r="F3365" s="4">
        <v>8.7163392834091705E-27</v>
      </c>
      <c r="G3365" s="4">
        <v>5.4722142040334002E-25</v>
      </c>
      <c r="H3365" s="10" t="s">
        <v>6743</v>
      </c>
      <c r="I3365" s="10" t="s">
        <v>18</v>
      </c>
    </row>
    <row r="3366" spans="1:9" x14ac:dyDescent="0.2">
      <c r="A3366" s="10" t="s">
        <v>6744</v>
      </c>
      <c r="B3366" s="10">
        <v>1521.44431425019</v>
      </c>
      <c r="C3366" s="10">
        <v>-1.0805206353779999</v>
      </c>
      <c r="D3366" s="10">
        <v>0.22130618959874501</v>
      </c>
      <c r="E3366" s="10">
        <v>-4.8824691136615597</v>
      </c>
      <c r="F3366" s="4">
        <v>1.0476565311596599E-6</v>
      </c>
      <c r="G3366" s="4">
        <v>8.9512378502688294E-6</v>
      </c>
      <c r="H3366" s="10" t="s">
        <v>6745</v>
      </c>
      <c r="I3366" s="10" t="s">
        <v>18</v>
      </c>
    </row>
    <row r="3367" spans="1:9" x14ac:dyDescent="0.2">
      <c r="A3367" s="10" t="s">
        <v>6746</v>
      </c>
      <c r="B3367" s="10">
        <v>79.315139621612303</v>
      </c>
      <c r="C3367" s="10">
        <v>1.12113182633793</v>
      </c>
      <c r="D3367" s="10">
        <v>0.41592945754308902</v>
      </c>
      <c r="E3367" s="10">
        <v>2.6954855108375901</v>
      </c>
      <c r="F3367" s="10">
        <v>7.0286134547219896E-3</v>
      </c>
      <c r="G3367" s="10">
        <v>2.3704496942791201E-2</v>
      </c>
      <c r="H3367" s="10" t="s">
        <v>6747</v>
      </c>
      <c r="I3367" s="10" t="s">
        <v>18</v>
      </c>
    </row>
    <row r="3368" spans="1:9" x14ac:dyDescent="0.2">
      <c r="A3368" s="10" t="s">
        <v>6748</v>
      </c>
      <c r="B3368" s="10">
        <v>238.473661470292</v>
      </c>
      <c r="C3368" s="10">
        <v>1.5268247593545301</v>
      </c>
      <c r="D3368" s="10">
        <v>0.274447122564141</v>
      </c>
      <c r="E3368" s="10">
        <v>5.5632747943921199</v>
      </c>
      <c r="F3368" s="4">
        <v>2.6475847631276701E-8</v>
      </c>
      <c r="G3368" s="4">
        <v>2.96745133858246E-7</v>
      </c>
      <c r="H3368" s="10" t="s">
        <v>6749</v>
      </c>
      <c r="I3368" s="10" t="s">
        <v>18</v>
      </c>
    </row>
    <row r="3369" spans="1:9" x14ac:dyDescent="0.2">
      <c r="A3369" s="10" t="s">
        <v>6750</v>
      </c>
      <c r="B3369" s="10">
        <v>248.53931602255699</v>
      </c>
      <c r="C3369" s="10">
        <v>-1.0644330481050901</v>
      </c>
      <c r="D3369" s="10">
        <v>0.27716869717480103</v>
      </c>
      <c r="E3369" s="10">
        <v>-3.8403797360774301</v>
      </c>
      <c r="F3369" s="10">
        <v>1.2284414170396599E-4</v>
      </c>
      <c r="G3369" s="10">
        <v>6.8998852381116696E-4</v>
      </c>
      <c r="H3369" s="10" t="s">
        <v>6751</v>
      </c>
      <c r="I3369" s="10" t="s">
        <v>18</v>
      </c>
    </row>
    <row r="3370" spans="1:9" x14ac:dyDescent="0.2">
      <c r="A3370" s="10" t="s">
        <v>6752</v>
      </c>
      <c r="B3370" s="10">
        <v>1898.2370798477</v>
      </c>
      <c r="C3370" s="10">
        <v>-1.5693358092466601</v>
      </c>
      <c r="D3370" s="10">
        <v>0.21660467698969499</v>
      </c>
      <c r="E3370" s="10">
        <v>-7.2451612359289896</v>
      </c>
      <c r="F3370" s="4">
        <v>4.3192506243466302E-13</v>
      </c>
      <c r="G3370" s="4">
        <v>8.9837115848528799E-12</v>
      </c>
      <c r="H3370" s="10" t="s">
        <v>6753</v>
      </c>
      <c r="I3370" s="10" t="s">
        <v>18</v>
      </c>
    </row>
    <row r="3371" spans="1:9" x14ac:dyDescent="0.2">
      <c r="A3371" s="10" t="s">
        <v>6754</v>
      </c>
      <c r="B3371" s="10">
        <v>6493.2955865794302</v>
      </c>
      <c r="C3371" s="10">
        <v>-1.2432149309885301</v>
      </c>
      <c r="D3371" s="10">
        <v>0.194883048566623</v>
      </c>
      <c r="E3371" s="10">
        <v>-6.3792871680346801</v>
      </c>
      <c r="F3371" s="4">
        <v>1.7791414910169301E-10</v>
      </c>
      <c r="G3371" s="4">
        <v>2.6694021084872302E-9</v>
      </c>
      <c r="H3371" s="10" t="s">
        <v>6755</v>
      </c>
      <c r="I3371" s="10" t="s">
        <v>18</v>
      </c>
    </row>
    <row r="3372" spans="1:9" x14ac:dyDescent="0.2">
      <c r="A3372" s="10" t="s">
        <v>6756</v>
      </c>
      <c r="B3372" s="10">
        <v>1343.93666480713</v>
      </c>
      <c r="C3372" s="10">
        <v>-1.23059772629624</v>
      </c>
      <c r="D3372" s="10">
        <v>0.203263801159835</v>
      </c>
      <c r="E3372" s="10">
        <v>-6.0541902654303197</v>
      </c>
      <c r="F3372" s="4">
        <v>1.4112572949180601E-9</v>
      </c>
      <c r="G3372" s="4">
        <v>1.8812391151972801E-8</v>
      </c>
      <c r="H3372" s="10" t="s">
        <v>6757</v>
      </c>
      <c r="I3372" s="10" t="s">
        <v>18</v>
      </c>
    </row>
    <row r="3373" spans="1:9" x14ac:dyDescent="0.2">
      <c r="A3373" s="10" t="s">
        <v>6758</v>
      </c>
      <c r="B3373" s="10">
        <v>44.5785921484851</v>
      </c>
      <c r="C3373" s="10">
        <v>1.6347545546542599</v>
      </c>
      <c r="D3373" s="10">
        <v>0.55092612210179703</v>
      </c>
      <c r="E3373" s="10">
        <v>2.9672845215936299</v>
      </c>
      <c r="F3373" s="10">
        <v>3.0044279215076901E-3</v>
      </c>
      <c r="G3373" s="10">
        <v>1.14668227451072E-2</v>
      </c>
      <c r="H3373" s="10" t="s">
        <v>6759</v>
      </c>
      <c r="I3373" s="10" t="s">
        <v>18</v>
      </c>
    </row>
    <row r="3374" spans="1:9" x14ac:dyDescent="0.2">
      <c r="A3374" s="10" t="s">
        <v>6760</v>
      </c>
      <c r="B3374" s="10">
        <v>1197.13978586383</v>
      </c>
      <c r="C3374" s="10">
        <v>-1.1445909210326699</v>
      </c>
      <c r="D3374" s="10">
        <v>0.21554896612614499</v>
      </c>
      <c r="E3374" s="10">
        <v>-5.31012020889409</v>
      </c>
      <c r="F3374" s="4">
        <v>1.09552952532322E-7</v>
      </c>
      <c r="G3374" s="4">
        <v>1.1063711258888699E-6</v>
      </c>
      <c r="H3374" s="10" t="s">
        <v>6761</v>
      </c>
      <c r="I3374" s="10" t="s">
        <v>18</v>
      </c>
    </row>
    <row r="3375" spans="1:9" x14ac:dyDescent="0.2">
      <c r="A3375" s="10" t="s">
        <v>6762</v>
      </c>
      <c r="B3375" s="10">
        <v>710.12573221132197</v>
      </c>
      <c r="C3375" s="10">
        <v>3.0259850579287502</v>
      </c>
      <c r="D3375" s="10">
        <v>0.23055860500113201</v>
      </c>
      <c r="E3375" s="10">
        <v>13.1245808757122</v>
      </c>
      <c r="F3375" s="4">
        <v>2.3809638770977799E-39</v>
      </c>
      <c r="G3375" s="4">
        <v>3.1492292601593802E-37</v>
      </c>
      <c r="H3375" s="10" t="s">
        <v>6763</v>
      </c>
      <c r="I3375" s="10" t="s">
        <v>18</v>
      </c>
    </row>
    <row r="3376" spans="1:9" x14ac:dyDescent="0.2">
      <c r="A3376" s="10" t="s">
        <v>6764</v>
      </c>
      <c r="B3376" s="10">
        <v>479.758294273074</v>
      </c>
      <c r="C3376" s="10">
        <v>2.79367509061175</v>
      </c>
      <c r="D3376" s="10">
        <v>0.24612987601762701</v>
      </c>
      <c r="E3376" s="10">
        <v>11.350410343568701</v>
      </c>
      <c r="F3376" s="4">
        <v>7.3815463852897205E-30</v>
      </c>
      <c r="G3376" s="4">
        <v>5.7137782488633202E-28</v>
      </c>
      <c r="H3376" s="10" t="s">
        <v>6765</v>
      </c>
      <c r="I3376" s="10" t="s">
        <v>18</v>
      </c>
    </row>
    <row r="3377" spans="1:9" x14ac:dyDescent="0.2">
      <c r="A3377" s="10" t="s">
        <v>6766</v>
      </c>
      <c r="B3377" s="10">
        <v>68.993086687524098</v>
      </c>
      <c r="C3377" s="10">
        <v>-1.9037927575486899</v>
      </c>
      <c r="D3377" s="10">
        <v>0.45066798328122798</v>
      </c>
      <c r="E3377" s="10">
        <v>-4.2243798720457901</v>
      </c>
      <c r="F3377" s="4">
        <v>2.3959961267390901E-5</v>
      </c>
      <c r="G3377" s="10">
        <v>1.5674359295380499E-4</v>
      </c>
      <c r="H3377" s="10" t="s">
        <v>6767</v>
      </c>
      <c r="I3377" s="10" t="s">
        <v>18</v>
      </c>
    </row>
    <row r="3378" spans="1:9" x14ac:dyDescent="0.2">
      <c r="A3378" s="10" t="s">
        <v>6768</v>
      </c>
      <c r="B3378" s="10">
        <v>416.81072108177398</v>
      </c>
      <c r="C3378" s="10">
        <v>-1.6771925786188999</v>
      </c>
      <c r="D3378" s="10">
        <v>0.25541802467194802</v>
      </c>
      <c r="E3378" s="10">
        <v>-6.5664613167886001</v>
      </c>
      <c r="F3378" s="4">
        <v>5.1525024605948397E-11</v>
      </c>
      <c r="G3378" s="4">
        <v>8.3416657482963499E-10</v>
      </c>
      <c r="H3378" s="10" t="s">
        <v>6769</v>
      </c>
      <c r="I3378" s="10" t="s">
        <v>18</v>
      </c>
    </row>
    <row r="3379" spans="1:9" x14ac:dyDescent="0.2">
      <c r="A3379" s="10" t="s">
        <v>6770</v>
      </c>
      <c r="B3379" s="10">
        <v>327.84772339955202</v>
      </c>
      <c r="C3379" s="10">
        <v>1.3386187696133001</v>
      </c>
      <c r="D3379" s="10">
        <v>0.339816733257508</v>
      </c>
      <c r="E3379" s="10">
        <v>3.9392373553273798</v>
      </c>
      <c r="F3379" s="4">
        <v>8.1741031833421697E-5</v>
      </c>
      <c r="G3379" s="10">
        <v>4.7814467461683999E-4</v>
      </c>
      <c r="H3379" s="10" t="s">
        <v>6771</v>
      </c>
      <c r="I3379" s="10" t="s">
        <v>18</v>
      </c>
    </row>
    <row r="3380" spans="1:9" x14ac:dyDescent="0.2">
      <c r="A3380" s="10" t="s">
        <v>6772</v>
      </c>
      <c r="B3380" s="10">
        <v>188.65835142063699</v>
      </c>
      <c r="C3380" s="10">
        <v>6.0296242875319299</v>
      </c>
      <c r="D3380" s="10">
        <v>0.53951971883941496</v>
      </c>
      <c r="E3380" s="10">
        <v>11.1759108647642</v>
      </c>
      <c r="F3380" s="4">
        <v>5.3498674733008999E-29</v>
      </c>
      <c r="G3380" s="4">
        <v>3.85629203822829E-27</v>
      </c>
      <c r="H3380" s="10" t="s">
        <v>6773</v>
      </c>
      <c r="I3380" s="10" t="s">
        <v>18</v>
      </c>
    </row>
    <row r="3381" spans="1:9" x14ac:dyDescent="0.2">
      <c r="A3381" s="10" t="s">
        <v>6774</v>
      </c>
      <c r="B3381" s="10">
        <v>50.649576316400001</v>
      </c>
      <c r="C3381" s="10">
        <v>4.5615494330847097</v>
      </c>
      <c r="D3381" s="10">
        <v>0.70228806190010595</v>
      </c>
      <c r="E3381" s="10">
        <v>6.4952683671469602</v>
      </c>
      <c r="F3381" s="4">
        <v>8.2885524266306105E-11</v>
      </c>
      <c r="G3381" s="4">
        <v>1.3031632312083299E-9</v>
      </c>
      <c r="H3381" s="10" t="s">
        <v>6775</v>
      </c>
      <c r="I3381" s="10" t="s">
        <v>18</v>
      </c>
    </row>
    <row r="3382" spans="1:9" x14ac:dyDescent="0.2">
      <c r="A3382" s="10" t="s">
        <v>6776</v>
      </c>
      <c r="B3382" s="10">
        <v>588.29136084651498</v>
      </c>
      <c r="C3382" s="10">
        <v>-1.88814024353208</v>
      </c>
      <c r="D3382" s="10">
        <v>0.22581892451258501</v>
      </c>
      <c r="E3382" s="10">
        <v>-8.3613020813357792</v>
      </c>
      <c r="F3382" s="4">
        <v>6.2029790345900095E-17</v>
      </c>
      <c r="G3382" s="4">
        <v>1.8370931495160199E-15</v>
      </c>
      <c r="H3382" s="10" t="s">
        <v>6777</v>
      </c>
      <c r="I3382" s="10" t="s">
        <v>18</v>
      </c>
    </row>
    <row r="3383" spans="1:9" x14ac:dyDescent="0.2">
      <c r="A3383" s="10" t="s">
        <v>6778</v>
      </c>
      <c r="B3383" s="10">
        <v>212.265984504138</v>
      </c>
      <c r="C3383" s="10">
        <v>-1.26911219009333</v>
      </c>
      <c r="D3383" s="10">
        <v>0.31682704602037098</v>
      </c>
      <c r="E3383" s="10">
        <v>-4.00569397731193</v>
      </c>
      <c r="F3383" s="4">
        <v>6.1835664046792997E-5</v>
      </c>
      <c r="G3383" s="10">
        <v>3.7110932561298899E-4</v>
      </c>
      <c r="H3383" s="10" t="s">
        <v>6779</v>
      </c>
      <c r="I3383" s="10" t="s">
        <v>18</v>
      </c>
    </row>
    <row r="3384" spans="1:9" x14ac:dyDescent="0.2">
      <c r="A3384" s="10" t="s">
        <v>6780</v>
      </c>
      <c r="B3384" s="10">
        <v>1211.0377996879499</v>
      </c>
      <c r="C3384" s="10">
        <v>1.8587329921470399</v>
      </c>
      <c r="D3384" s="10">
        <v>0.19492099907378599</v>
      </c>
      <c r="E3384" s="10">
        <v>9.5358273402007203</v>
      </c>
      <c r="F3384" s="4">
        <v>1.4869513570757E-21</v>
      </c>
      <c r="G3384" s="4">
        <v>6.5136597469841801E-20</v>
      </c>
      <c r="H3384" s="10" t="s">
        <v>6781</v>
      </c>
      <c r="I3384" s="10" t="s">
        <v>18</v>
      </c>
    </row>
    <row r="3385" spans="1:9" x14ac:dyDescent="0.2">
      <c r="A3385" s="10" t="s">
        <v>6782</v>
      </c>
      <c r="B3385" s="10">
        <v>3.7081412314472102</v>
      </c>
      <c r="C3385" s="10">
        <v>5.2900887480517502</v>
      </c>
      <c r="D3385" s="10">
        <v>2.20912909971939</v>
      </c>
      <c r="E3385" s="10">
        <v>2.39464898123143</v>
      </c>
      <c r="F3385" s="10">
        <v>1.66362833632147E-2</v>
      </c>
      <c r="G3385" s="10">
        <v>4.8568393099487003E-2</v>
      </c>
      <c r="H3385" s="10" t="s">
        <v>6783</v>
      </c>
      <c r="I3385" s="10" t="s">
        <v>18</v>
      </c>
    </row>
    <row r="3386" spans="1:9" x14ac:dyDescent="0.2">
      <c r="A3386" s="10" t="s">
        <v>6784</v>
      </c>
      <c r="B3386" s="10">
        <v>165.32313595145499</v>
      </c>
      <c r="C3386" s="10">
        <v>3.9063394731668799</v>
      </c>
      <c r="D3386" s="10">
        <v>0.37527996583163797</v>
      </c>
      <c r="E3386" s="10">
        <v>10.409134056784101</v>
      </c>
      <c r="F3386" s="4">
        <v>2.25261299664456E-25</v>
      </c>
      <c r="G3386" s="4">
        <v>1.29760985876478E-23</v>
      </c>
      <c r="H3386" s="10" t="s">
        <v>6785</v>
      </c>
      <c r="I3386" s="10" t="s">
        <v>18</v>
      </c>
    </row>
    <row r="3387" spans="1:9" x14ac:dyDescent="0.2">
      <c r="A3387" s="10" t="s">
        <v>6786</v>
      </c>
      <c r="B3387" s="10">
        <v>5654.6521297843101</v>
      </c>
      <c r="C3387" s="10">
        <v>1.1108010245437301</v>
      </c>
      <c r="D3387" s="10">
        <v>0.172037496840413</v>
      </c>
      <c r="E3387" s="10">
        <v>6.4567378911246696</v>
      </c>
      <c r="F3387" s="4">
        <v>1.06983953281324E-10</v>
      </c>
      <c r="G3387" s="4">
        <v>1.65530481263841E-9</v>
      </c>
      <c r="H3387" s="10" t="s">
        <v>6787</v>
      </c>
      <c r="I3387" s="10" t="s">
        <v>18</v>
      </c>
    </row>
    <row r="3388" spans="1:9" x14ac:dyDescent="0.2">
      <c r="A3388" s="10" t="s">
        <v>6788</v>
      </c>
      <c r="B3388" s="10">
        <v>320.85887165566299</v>
      </c>
      <c r="C3388" s="10">
        <v>4.7655681016873199</v>
      </c>
      <c r="D3388" s="10">
        <v>0.34483250867365201</v>
      </c>
      <c r="E3388" s="10">
        <v>13.819950212981301</v>
      </c>
      <c r="F3388" s="4">
        <v>1.9320342546415399E-43</v>
      </c>
      <c r="G3388" s="4">
        <v>3.02541019173666E-41</v>
      </c>
      <c r="H3388" s="10" t="s">
        <v>6789</v>
      </c>
      <c r="I3388" s="10" t="s">
        <v>18</v>
      </c>
    </row>
    <row r="3389" spans="1:9" x14ac:dyDescent="0.2">
      <c r="A3389" s="10" t="s">
        <v>6790</v>
      </c>
      <c r="B3389" s="10">
        <v>853.28438699573496</v>
      </c>
      <c r="C3389" s="10">
        <v>1.43221211033089</v>
      </c>
      <c r="D3389" s="10">
        <v>0.20446669650910601</v>
      </c>
      <c r="E3389" s="10">
        <v>7.0046229277593</v>
      </c>
      <c r="F3389" s="4">
        <v>2.47651901022385E-12</v>
      </c>
      <c r="G3389" s="4">
        <v>4.6665085388360398E-11</v>
      </c>
      <c r="H3389" s="10" t="s">
        <v>6791</v>
      </c>
      <c r="I3389" s="10" t="s">
        <v>18</v>
      </c>
    </row>
    <row r="3390" spans="1:9" x14ac:dyDescent="0.2">
      <c r="A3390" s="10" t="s">
        <v>6792</v>
      </c>
      <c r="B3390" s="10">
        <v>2274.9273978555798</v>
      </c>
      <c r="C3390" s="10">
        <v>-1.6663960608091499</v>
      </c>
      <c r="D3390" s="10">
        <v>0.21361982195392001</v>
      </c>
      <c r="E3390" s="10">
        <v>-7.8007557799042102</v>
      </c>
      <c r="F3390" s="4">
        <v>6.1537502425017101E-15</v>
      </c>
      <c r="G3390" s="4">
        <v>1.5091920149184901E-13</v>
      </c>
      <c r="H3390" s="10" t="s">
        <v>6793</v>
      </c>
      <c r="I3390" s="10" t="s">
        <v>18</v>
      </c>
    </row>
    <row r="3391" spans="1:9" x14ac:dyDescent="0.2">
      <c r="A3391" s="10" t="s">
        <v>6794</v>
      </c>
      <c r="B3391" s="10">
        <v>1278.9707721774801</v>
      </c>
      <c r="C3391" s="10">
        <v>-2.8354199444907402</v>
      </c>
      <c r="D3391" s="10">
        <v>0.19588084449128701</v>
      </c>
      <c r="E3391" s="10">
        <v>-14.475228304505601</v>
      </c>
      <c r="F3391" s="4">
        <v>1.7374788038689301E-47</v>
      </c>
      <c r="G3391" s="4">
        <v>3.1340016117535998E-45</v>
      </c>
      <c r="H3391" s="10" t="s">
        <v>6795</v>
      </c>
      <c r="I3391" s="10" t="s">
        <v>18</v>
      </c>
    </row>
    <row r="3392" spans="1:9" x14ac:dyDescent="0.2">
      <c r="A3392" s="10" t="s">
        <v>6796</v>
      </c>
      <c r="B3392" s="10">
        <v>188.228798180648</v>
      </c>
      <c r="C3392" s="10">
        <v>6.9318316988190603</v>
      </c>
      <c r="D3392" s="10">
        <v>1.6046534321280199</v>
      </c>
      <c r="E3392" s="10">
        <v>4.3198310364290897</v>
      </c>
      <c r="F3392" s="4">
        <v>1.5614871041343799E-5</v>
      </c>
      <c r="G3392" s="10">
        <v>1.0633801331254501E-4</v>
      </c>
      <c r="H3392" s="10" t="s">
        <v>6797</v>
      </c>
      <c r="I3392" s="10" t="s">
        <v>18</v>
      </c>
    </row>
    <row r="3393" spans="1:9" x14ac:dyDescent="0.2">
      <c r="A3393" s="10" t="s">
        <v>6798</v>
      </c>
      <c r="B3393" s="10">
        <v>1391.0788439314199</v>
      </c>
      <c r="C3393" s="10">
        <v>-1.0548202356923999</v>
      </c>
      <c r="D3393" s="10">
        <v>0.20353086943947199</v>
      </c>
      <c r="E3393" s="10">
        <v>-5.1826056587750102</v>
      </c>
      <c r="F3393" s="4">
        <v>2.18807338440119E-7</v>
      </c>
      <c r="G3393" s="4">
        <v>2.1044276563635398E-6</v>
      </c>
      <c r="H3393" s="10" t="s">
        <v>6799</v>
      </c>
      <c r="I3393" s="10" t="s">
        <v>18</v>
      </c>
    </row>
    <row r="3394" spans="1:9" x14ac:dyDescent="0.2">
      <c r="A3394" s="10" t="s">
        <v>6800</v>
      </c>
      <c r="B3394" s="10">
        <v>390.12364188378803</v>
      </c>
      <c r="C3394" s="10">
        <v>2.6023676394746702</v>
      </c>
      <c r="D3394" s="10">
        <v>0.25489149981139803</v>
      </c>
      <c r="E3394" s="10">
        <v>10.2097074300251</v>
      </c>
      <c r="F3394" s="4">
        <v>1.79404969322058E-24</v>
      </c>
      <c r="G3394" s="4">
        <v>9.6036290748882597E-23</v>
      </c>
      <c r="H3394" s="10" t="s">
        <v>6801</v>
      </c>
      <c r="I3394" s="10" t="s">
        <v>18</v>
      </c>
    </row>
    <row r="3395" spans="1:9" x14ac:dyDescent="0.2">
      <c r="A3395" s="10" t="s">
        <v>6802</v>
      </c>
      <c r="B3395" s="10">
        <v>13280.193137902201</v>
      </c>
      <c r="C3395" s="10">
        <v>1.87410399539087</v>
      </c>
      <c r="D3395" s="10">
        <v>0.21869264021750701</v>
      </c>
      <c r="E3395" s="10">
        <v>8.56957963252413</v>
      </c>
      <c r="F3395" s="4">
        <v>1.0386347817734E-17</v>
      </c>
      <c r="G3395" s="4">
        <v>3.2792215410173599E-16</v>
      </c>
      <c r="H3395" s="10" t="s">
        <v>6803</v>
      </c>
      <c r="I3395" s="10" t="s">
        <v>18</v>
      </c>
    </row>
    <row r="3396" spans="1:9" x14ac:dyDescent="0.2">
      <c r="A3396" s="10" t="s">
        <v>6804</v>
      </c>
      <c r="B3396" s="10">
        <v>4.7710694323342899</v>
      </c>
      <c r="C3396" s="10">
        <v>5.6498655801083801</v>
      </c>
      <c r="D3396" s="10">
        <v>2.0548781453748601</v>
      </c>
      <c r="E3396" s="10">
        <v>2.7494893518747898</v>
      </c>
      <c r="F3396" s="10">
        <v>5.9688202149847996E-3</v>
      </c>
      <c r="G3396" s="10">
        <v>2.05942059513348E-2</v>
      </c>
      <c r="H3396" s="10" t="s">
        <v>6805</v>
      </c>
      <c r="I3396" s="10" t="s">
        <v>18</v>
      </c>
    </row>
    <row r="3397" spans="1:9" x14ac:dyDescent="0.2">
      <c r="A3397" s="10" t="s">
        <v>6806</v>
      </c>
      <c r="B3397" s="10">
        <v>38.1515007499654</v>
      </c>
      <c r="C3397" s="10">
        <v>2.2311817595989401</v>
      </c>
      <c r="D3397" s="10">
        <v>0.59205804259228001</v>
      </c>
      <c r="E3397" s="10">
        <v>3.76851862332598</v>
      </c>
      <c r="F3397" s="10">
        <v>1.6421923502540401E-4</v>
      </c>
      <c r="G3397" s="10">
        <v>8.9489629934743503E-4</v>
      </c>
      <c r="H3397" s="10" t="s">
        <v>6807</v>
      </c>
      <c r="I3397" s="10" t="s">
        <v>18</v>
      </c>
    </row>
    <row r="3398" spans="1:9" x14ac:dyDescent="0.2">
      <c r="A3398" s="10" t="s">
        <v>6808</v>
      </c>
      <c r="B3398" s="10">
        <v>7896.4153644553799</v>
      </c>
      <c r="C3398" s="10">
        <v>1.54742509307359</v>
      </c>
      <c r="D3398" s="10">
        <v>0.18622890871707401</v>
      </c>
      <c r="E3398" s="10">
        <v>8.3092636032384206</v>
      </c>
      <c r="F3398" s="4">
        <v>9.6297789756946E-17</v>
      </c>
      <c r="G3398" s="4">
        <v>2.8152638170681401E-15</v>
      </c>
      <c r="H3398" s="10" t="s">
        <v>6809</v>
      </c>
      <c r="I3398" s="10" t="s">
        <v>18</v>
      </c>
    </row>
    <row r="3399" spans="1:9" x14ac:dyDescent="0.2">
      <c r="A3399" s="10" t="s">
        <v>6810</v>
      </c>
      <c r="B3399" s="10">
        <v>1235.3309994307499</v>
      </c>
      <c r="C3399" s="10">
        <v>-1.62702490209842</v>
      </c>
      <c r="D3399" s="10">
        <v>0.22049806169480701</v>
      </c>
      <c r="E3399" s="10">
        <v>-7.3788626058327997</v>
      </c>
      <c r="F3399" s="4">
        <v>1.59647473059427E-13</v>
      </c>
      <c r="G3399" s="4">
        <v>3.4998720592296999E-12</v>
      </c>
      <c r="H3399" s="10" t="s">
        <v>6811</v>
      </c>
      <c r="I3399" s="10" t="s">
        <v>18</v>
      </c>
    </row>
    <row r="3400" spans="1:9" x14ac:dyDescent="0.2">
      <c r="A3400" s="10" t="s">
        <v>6812</v>
      </c>
      <c r="B3400" s="10">
        <v>202.74186487705799</v>
      </c>
      <c r="C3400" s="10">
        <v>-3.7405965201561</v>
      </c>
      <c r="D3400" s="10">
        <v>0.40581578820514602</v>
      </c>
      <c r="E3400" s="10">
        <v>-9.2174741074025892</v>
      </c>
      <c r="F3400" s="4">
        <v>3.0418100998097102E-20</v>
      </c>
      <c r="G3400" s="4">
        <v>1.20290565732243E-18</v>
      </c>
      <c r="H3400" s="10" t="s">
        <v>6813</v>
      </c>
      <c r="I3400" s="10" t="s">
        <v>18</v>
      </c>
    </row>
    <row r="3401" spans="1:9" x14ac:dyDescent="0.2">
      <c r="A3401" s="10" t="s">
        <v>6814</v>
      </c>
      <c r="B3401" s="10">
        <v>341.86711928920801</v>
      </c>
      <c r="C3401" s="10">
        <v>-4.6467392485571297</v>
      </c>
      <c r="D3401" s="10">
        <v>0.37449787613782098</v>
      </c>
      <c r="E3401" s="10">
        <v>-12.4079188284824</v>
      </c>
      <c r="F3401" s="4">
        <v>2.3672621820522201E-35</v>
      </c>
      <c r="G3401" s="4">
        <v>2.5195622138428501E-33</v>
      </c>
      <c r="H3401" s="10" t="s">
        <v>6815</v>
      </c>
      <c r="I3401" s="10" t="s">
        <v>18</v>
      </c>
    </row>
    <row r="3402" spans="1:9" x14ac:dyDescent="0.2">
      <c r="A3402" s="10" t="s">
        <v>6816</v>
      </c>
      <c r="B3402" s="10">
        <v>403.52046152331701</v>
      </c>
      <c r="C3402" s="10">
        <v>-2.1767663939292299</v>
      </c>
      <c r="D3402" s="10">
        <v>0.28235975769951299</v>
      </c>
      <c r="E3402" s="10">
        <v>-7.7091948642544903</v>
      </c>
      <c r="F3402" s="4">
        <v>1.2661396259729699E-14</v>
      </c>
      <c r="G3402" s="4">
        <v>3.0208849727570501E-13</v>
      </c>
      <c r="H3402" s="10" t="s">
        <v>6817</v>
      </c>
      <c r="I3402" s="10" t="s">
        <v>18</v>
      </c>
    </row>
    <row r="3403" spans="1:9" x14ac:dyDescent="0.2">
      <c r="A3403" s="10" t="s">
        <v>6818</v>
      </c>
      <c r="B3403" s="10">
        <v>68.265331058030299</v>
      </c>
      <c r="C3403" s="10">
        <v>-2.3061577034663401</v>
      </c>
      <c r="D3403" s="10">
        <v>0.45970063127076699</v>
      </c>
      <c r="E3403" s="10">
        <v>-5.0166511564087797</v>
      </c>
      <c r="F3403" s="4">
        <v>5.2579911474030698E-7</v>
      </c>
      <c r="G3403" s="4">
        <v>4.7328868448394903E-6</v>
      </c>
      <c r="H3403" s="10" t="s">
        <v>6819</v>
      </c>
      <c r="I3403" s="10" t="s">
        <v>18</v>
      </c>
    </row>
    <row r="3404" spans="1:9" x14ac:dyDescent="0.2">
      <c r="A3404" s="10" t="s">
        <v>6820</v>
      </c>
      <c r="B3404" s="10">
        <v>11.154861486275101</v>
      </c>
      <c r="C3404" s="10">
        <v>3.7454837557790301</v>
      </c>
      <c r="D3404" s="10">
        <v>1.25387965527163</v>
      </c>
      <c r="E3404" s="10">
        <v>2.9871158209099802</v>
      </c>
      <c r="F3404" s="10">
        <v>2.81623006946345E-3</v>
      </c>
      <c r="G3404" s="10">
        <v>1.08304616376387E-2</v>
      </c>
      <c r="H3404" s="10" t="s">
        <v>6821</v>
      </c>
      <c r="I3404" s="10" t="s">
        <v>18</v>
      </c>
    </row>
    <row r="3405" spans="1:9" x14ac:dyDescent="0.2">
      <c r="A3405" s="10" t="s">
        <v>6822</v>
      </c>
      <c r="B3405" s="10">
        <v>1516.70103597104</v>
      </c>
      <c r="C3405" s="10">
        <v>-1.6567922458939901</v>
      </c>
      <c r="D3405" s="10">
        <v>0.222469648272524</v>
      </c>
      <c r="E3405" s="10">
        <v>-7.4472731842701902</v>
      </c>
      <c r="F3405" s="4">
        <v>9.5289175663968201E-14</v>
      </c>
      <c r="G3405" s="4">
        <v>2.1298967754849401E-12</v>
      </c>
      <c r="H3405" s="10" t="s">
        <v>6823</v>
      </c>
      <c r="I3405" s="10" t="s">
        <v>18</v>
      </c>
    </row>
    <row r="3406" spans="1:9" x14ac:dyDescent="0.2">
      <c r="A3406" s="10" t="s">
        <v>6824</v>
      </c>
      <c r="B3406" s="10">
        <v>7.5974729869281301</v>
      </c>
      <c r="C3406" s="10">
        <v>6.3217104747599198</v>
      </c>
      <c r="D3406" s="10">
        <v>1.8511442131981699</v>
      </c>
      <c r="E3406" s="10">
        <v>3.4150286237494698</v>
      </c>
      <c r="F3406" s="10">
        <v>6.3775309221655895E-4</v>
      </c>
      <c r="G3406" s="10">
        <v>2.97091101104882E-3</v>
      </c>
      <c r="H3406" s="10" t="s">
        <v>6825</v>
      </c>
      <c r="I3406" s="10" t="s">
        <v>18</v>
      </c>
    </row>
    <row r="3407" spans="1:9" x14ac:dyDescent="0.2">
      <c r="A3407" s="10" t="s">
        <v>6826</v>
      </c>
      <c r="B3407" s="10">
        <v>6311.3651163250497</v>
      </c>
      <c r="C3407" s="10">
        <v>5.1637487040764496</v>
      </c>
      <c r="D3407" s="10">
        <v>0.21378659908762301</v>
      </c>
      <c r="E3407" s="10">
        <v>24.153752976630798</v>
      </c>
      <c r="F3407" s="4">
        <v>6.8185555269306996E-129</v>
      </c>
      <c r="G3407" s="4">
        <v>2.6540740348897302E-125</v>
      </c>
      <c r="H3407" s="10" t="s">
        <v>6827</v>
      </c>
      <c r="I3407" s="10" t="s">
        <v>18</v>
      </c>
    </row>
    <row r="3408" spans="1:9" x14ac:dyDescent="0.2">
      <c r="A3408" s="10" t="s">
        <v>6828</v>
      </c>
      <c r="B3408" s="10">
        <v>34.697680721525998</v>
      </c>
      <c r="C3408" s="10">
        <v>-3.1568747259029202</v>
      </c>
      <c r="D3408" s="10">
        <v>0.67607347068841295</v>
      </c>
      <c r="E3408" s="10">
        <v>-4.6694255325363203</v>
      </c>
      <c r="F3408" s="4">
        <v>3.0204315901576599E-6</v>
      </c>
      <c r="G3408" s="4">
        <v>2.3744287229378501E-5</v>
      </c>
      <c r="H3408" s="10" t="s">
        <v>6829</v>
      </c>
      <c r="I3408" s="10" t="s">
        <v>18</v>
      </c>
    </row>
    <row r="3409" spans="1:9" x14ac:dyDescent="0.2">
      <c r="A3409" s="10" t="s">
        <v>6830</v>
      </c>
      <c r="B3409" s="10">
        <v>1276.1191998418201</v>
      </c>
      <c r="C3409" s="10">
        <v>-1.4295702265009</v>
      </c>
      <c r="D3409" s="10">
        <v>0.22969078987578101</v>
      </c>
      <c r="E3409" s="10">
        <v>-6.2238900709690101</v>
      </c>
      <c r="F3409" s="4">
        <v>4.8497694730719197E-10</v>
      </c>
      <c r="G3409" s="4">
        <v>6.8290268130641198E-9</v>
      </c>
      <c r="H3409" s="10" t="s">
        <v>6831</v>
      </c>
      <c r="I3409" s="10" t="s">
        <v>18</v>
      </c>
    </row>
    <row r="3410" spans="1:9" x14ac:dyDescent="0.2">
      <c r="A3410" s="10" t="s">
        <v>6832</v>
      </c>
      <c r="B3410" s="10">
        <v>317.69557052315002</v>
      </c>
      <c r="C3410" s="10">
        <v>7.9374991884320902</v>
      </c>
      <c r="D3410" s="10">
        <v>0.69181635985447398</v>
      </c>
      <c r="E3410" s="10">
        <v>11.473419319112001</v>
      </c>
      <c r="F3410" s="4">
        <v>1.7942652876930101E-30</v>
      </c>
      <c r="G3410" s="4">
        <v>1.45069276836117E-28</v>
      </c>
      <c r="H3410" s="10" t="s">
        <v>6833</v>
      </c>
      <c r="I3410" s="10" t="s">
        <v>18</v>
      </c>
    </row>
    <row r="3411" spans="1:9" x14ac:dyDescent="0.2">
      <c r="A3411" s="10" t="s">
        <v>6834</v>
      </c>
      <c r="B3411" s="10">
        <v>7.9267896195242198</v>
      </c>
      <c r="C3411" s="10">
        <v>4.89874357564329</v>
      </c>
      <c r="D3411" s="10">
        <v>1.82307952564318</v>
      </c>
      <c r="E3411" s="10">
        <v>2.68707069918687</v>
      </c>
      <c r="F3411" s="10">
        <v>7.2081694069455002E-3</v>
      </c>
      <c r="G3411" s="10">
        <v>2.4181358265334199E-2</v>
      </c>
      <c r="H3411" s="10" t="s">
        <v>6835</v>
      </c>
      <c r="I3411" s="10" t="s">
        <v>18</v>
      </c>
    </row>
    <row r="3412" spans="1:9" x14ac:dyDescent="0.2">
      <c r="A3412" s="10" t="s">
        <v>6836</v>
      </c>
      <c r="B3412" s="10">
        <v>4481.09873662054</v>
      </c>
      <c r="C3412" s="10">
        <v>1.12029623055184</v>
      </c>
      <c r="D3412" s="10">
        <v>0.201800170874678</v>
      </c>
      <c r="E3412" s="10">
        <v>5.5515127945435099</v>
      </c>
      <c r="F3412" s="4">
        <v>2.8320798326515301E-8</v>
      </c>
      <c r="G3412" s="4">
        <v>3.1625278360760799E-7</v>
      </c>
      <c r="H3412" s="10" t="s">
        <v>6837</v>
      </c>
      <c r="I3412" s="10" t="s">
        <v>18</v>
      </c>
    </row>
    <row r="3413" spans="1:9" x14ac:dyDescent="0.2">
      <c r="A3413" s="10" t="s">
        <v>6838</v>
      </c>
      <c r="B3413" s="10">
        <v>79.758353100714899</v>
      </c>
      <c r="C3413" s="10">
        <v>9.71413334912247</v>
      </c>
      <c r="D3413" s="10">
        <v>1.4949279488805101</v>
      </c>
      <c r="E3413" s="10">
        <v>6.49806123191222</v>
      </c>
      <c r="F3413" s="4">
        <v>8.1361691093699405E-11</v>
      </c>
      <c r="G3413" s="4">
        <v>1.2829062483970099E-9</v>
      </c>
      <c r="H3413" s="10" t="s">
        <v>6839</v>
      </c>
      <c r="I3413" s="10" t="s">
        <v>18</v>
      </c>
    </row>
    <row r="3414" spans="1:9" x14ac:dyDescent="0.2">
      <c r="A3414" s="10" t="s">
        <v>6840</v>
      </c>
      <c r="B3414" s="10">
        <v>982.05150547280903</v>
      </c>
      <c r="C3414" s="10">
        <v>-1.3526038674271801</v>
      </c>
      <c r="D3414" s="10">
        <v>0.20701405724722299</v>
      </c>
      <c r="E3414" s="10">
        <v>-6.5338744885902003</v>
      </c>
      <c r="F3414" s="4">
        <v>6.4089660534123E-11</v>
      </c>
      <c r="G3414" s="4">
        <v>1.02841636076163E-9</v>
      </c>
      <c r="H3414" s="10" t="s">
        <v>6841</v>
      </c>
      <c r="I3414" s="10" t="s">
        <v>18</v>
      </c>
    </row>
    <row r="3415" spans="1:9" x14ac:dyDescent="0.2">
      <c r="A3415" s="10" t="s">
        <v>6842</v>
      </c>
      <c r="B3415" s="10">
        <v>188.184387054843</v>
      </c>
      <c r="C3415" s="10">
        <v>5.2295391236519002</v>
      </c>
      <c r="D3415" s="10">
        <v>0.46494860300451901</v>
      </c>
      <c r="E3415" s="10">
        <v>11.247563902457999</v>
      </c>
      <c r="F3415" s="4">
        <v>2.3807693513386799E-29</v>
      </c>
      <c r="G3415" s="4">
        <v>1.7579626698082601E-27</v>
      </c>
      <c r="H3415" s="10" t="s">
        <v>6843</v>
      </c>
      <c r="I3415" s="10" t="s">
        <v>18</v>
      </c>
    </row>
    <row r="3416" spans="1:9" x14ac:dyDescent="0.2">
      <c r="A3416" s="10" t="s">
        <v>6844</v>
      </c>
      <c r="B3416" s="10">
        <v>4661.6769278887296</v>
      </c>
      <c r="C3416" s="10">
        <v>2.0400206003341701</v>
      </c>
      <c r="D3416" s="10">
        <v>0.22114758949552801</v>
      </c>
      <c r="E3416" s="10">
        <v>9.2247019512524702</v>
      </c>
      <c r="F3416" s="4">
        <v>2.8435059514826302E-20</v>
      </c>
      <c r="G3416" s="4">
        <v>1.1327047757316801E-18</v>
      </c>
      <c r="H3416" s="10" t="s">
        <v>6845</v>
      </c>
      <c r="I3416" s="10" t="s">
        <v>18</v>
      </c>
    </row>
    <row r="3417" spans="1:9" x14ac:dyDescent="0.2">
      <c r="A3417" s="10" t="s">
        <v>6846</v>
      </c>
      <c r="B3417" s="10">
        <v>21.765604334651499</v>
      </c>
      <c r="C3417" s="10">
        <v>6.3765305387548201</v>
      </c>
      <c r="D3417" s="10">
        <v>1.6001488447941601</v>
      </c>
      <c r="E3417" s="10">
        <v>3.9849608737961502</v>
      </c>
      <c r="F3417" s="4">
        <v>6.7491245403266306E-5</v>
      </c>
      <c r="G3417" s="10">
        <v>4.0116360460357701E-4</v>
      </c>
      <c r="H3417" s="10" t="s">
        <v>6847</v>
      </c>
      <c r="I3417" s="10" t="s">
        <v>18</v>
      </c>
    </row>
    <row r="3418" spans="1:9" x14ac:dyDescent="0.2">
      <c r="A3418" s="10" t="s">
        <v>6848</v>
      </c>
      <c r="B3418" s="10">
        <v>1739.84693649683</v>
      </c>
      <c r="C3418" s="10">
        <v>-1.2312890645496699</v>
      </c>
      <c r="D3418" s="10">
        <v>0.204197350346731</v>
      </c>
      <c r="E3418" s="10">
        <v>-6.0298973637949604</v>
      </c>
      <c r="F3418" s="4">
        <v>1.64063840318678E-9</v>
      </c>
      <c r="G3418" s="4">
        <v>2.16581756645495E-8</v>
      </c>
      <c r="H3418" s="10" t="s">
        <v>6849</v>
      </c>
      <c r="I3418" s="10" t="s">
        <v>18</v>
      </c>
    </row>
    <row r="3419" spans="1:9" x14ac:dyDescent="0.2">
      <c r="A3419" s="10" t="s">
        <v>6850</v>
      </c>
      <c r="B3419" s="10">
        <v>245.379750989141</v>
      </c>
      <c r="C3419" s="10">
        <v>1.81979011546473</v>
      </c>
      <c r="D3419" s="10">
        <v>0.27850728790017598</v>
      </c>
      <c r="E3419" s="10">
        <v>6.53408436520695</v>
      </c>
      <c r="F3419" s="4">
        <v>6.3999863602654394E-11</v>
      </c>
      <c r="G3419" s="4">
        <v>1.0275806031712E-9</v>
      </c>
      <c r="H3419" s="10" t="s">
        <v>6851</v>
      </c>
      <c r="I3419" s="10" t="s">
        <v>18</v>
      </c>
    </row>
    <row r="3420" spans="1:9" x14ac:dyDescent="0.2">
      <c r="A3420" s="10" t="s">
        <v>6852</v>
      </c>
      <c r="B3420" s="10">
        <v>17.469183120975401</v>
      </c>
      <c r="C3420" s="10">
        <v>3.3654464465945901</v>
      </c>
      <c r="D3420" s="10">
        <v>0.95398791447041797</v>
      </c>
      <c r="E3420" s="10">
        <v>3.5277663328291098</v>
      </c>
      <c r="F3420" s="10">
        <v>4.1908192690199198E-4</v>
      </c>
      <c r="G3420" s="10">
        <v>2.0518823472234701E-3</v>
      </c>
      <c r="H3420" s="10" t="s">
        <v>6853</v>
      </c>
      <c r="I3420" s="10" t="s">
        <v>18</v>
      </c>
    </row>
    <row r="3421" spans="1:9" x14ac:dyDescent="0.2">
      <c r="A3421" s="10" t="s">
        <v>6854</v>
      </c>
      <c r="B3421" s="10">
        <v>63.8522827507309</v>
      </c>
      <c r="C3421" s="10">
        <v>2.6542198020266099</v>
      </c>
      <c r="D3421" s="10">
        <v>0.49623646660701098</v>
      </c>
      <c r="E3421" s="10">
        <v>5.3486996233362003</v>
      </c>
      <c r="F3421" s="4">
        <v>8.8588428282948196E-8</v>
      </c>
      <c r="G3421" s="4">
        <v>9.0471098404253802E-7</v>
      </c>
      <c r="H3421" s="10" t="s">
        <v>6855</v>
      </c>
      <c r="I3421" s="10" t="s">
        <v>18</v>
      </c>
    </row>
    <row r="3422" spans="1:9" x14ac:dyDescent="0.2">
      <c r="A3422" s="10" t="s">
        <v>6856</v>
      </c>
      <c r="B3422" s="10">
        <v>801.17773963563502</v>
      </c>
      <c r="C3422" s="10">
        <v>-1.57676976391724</v>
      </c>
      <c r="D3422" s="10">
        <v>0.24139011236572999</v>
      </c>
      <c r="E3422" s="10">
        <v>-6.5320395622844796</v>
      </c>
      <c r="F3422" s="4">
        <v>6.4880010769165401E-11</v>
      </c>
      <c r="G3422" s="4">
        <v>1.0398739137808499E-9</v>
      </c>
      <c r="H3422" s="10" t="s">
        <v>6857</v>
      </c>
      <c r="I3422" s="10" t="s">
        <v>18</v>
      </c>
    </row>
    <row r="3423" spans="1:9" x14ac:dyDescent="0.2">
      <c r="A3423" s="10" t="s">
        <v>6858</v>
      </c>
      <c r="B3423" s="10">
        <v>424.80272603554698</v>
      </c>
      <c r="C3423" s="10">
        <v>-1.18490269885503</v>
      </c>
      <c r="D3423" s="10">
        <v>0.23025561391213101</v>
      </c>
      <c r="E3423" s="10">
        <v>-5.1460317458631302</v>
      </c>
      <c r="F3423" s="4">
        <v>2.6605441750026799E-7</v>
      </c>
      <c r="G3423" s="4">
        <v>2.5101055102596302E-6</v>
      </c>
      <c r="H3423" s="10" t="s">
        <v>6859</v>
      </c>
      <c r="I3423" s="10" t="s">
        <v>18</v>
      </c>
    </row>
    <row r="3424" spans="1:9" x14ac:dyDescent="0.2">
      <c r="A3424" s="10" t="s">
        <v>6860</v>
      </c>
      <c r="B3424" s="10">
        <v>9.3306406554314503</v>
      </c>
      <c r="C3424" s="10">
        <v>3.46138839238461</v>
      </c>
      <c r="D3424" s="10">
        <v>1.3048844147802201</v>
      </c>
      <c r="E3424" s="10">
        <v>2.6526398454744302</v>
      </c>
      <c r="F3424" s="10">
        <v>7.9865036680570392E-3</v>
      </c>
      <c r="G3424" s="10">
        <v>2.6338448976464601E-2</v>
      </c>
      <c r="H3424" s="10" t="s">
        <v>6861</v>
      </c>
      <c r="I3424" s="10" t="s">
        <v>18</v>
      </c>
    </row>
    <row r="3425" spans="1:9" x14ac:dyDescent="0.2">
      <c r="A3425" s="10" t="s">
        <v>6862</v>
      </c>
      <c r="B3425" s="10">
        <v>1638.6298926483901</v>
      </c>
      <c r="C3425" s="10">
        <v>-1.01625616453572</v>
      </c>
      <c r="D3425" s="10">
        <v>0.192611960439659</v>
      </c>
      <c r="E3425" s="10">
        <v>-5.2761841072382003</v>
      </c>
      <c r="F3425" s="4">
        <v>1.3190157661028399E-7</v>
      </c>
      <c r="G3425" s="4">
        <v>1.31645503952396E-6</v>
      </c>
      <c r="H3425" s="10" t="s">
        <v>6863</v>
      </c>
      <c r="I3425" s="10" t="s">
        <v>18</v>
      </c>
    </row>
    <row r="3426" spans="1:9" x14ac:dyDescent="0.2">
      <c r="A3426" s="10" t="s">
        <v>6864</v>
      </c>
      <c r="B3426" s="10">
        <v>93.757410277489498</v>
      </c>
      <c r="C3426" s="10">
        <v>-1.7200617974499399</v>
      </c>
      <c r="D3426" s="10">
        <v>0.387958244115722</v>
      </c>
      <c r="E3426" s="10">
        <v>-4.4336261016195104</v>
      </c>
      <c r="F3426" s="4">
        <v>9.2661268667362096E-6</v>
      </c>
      <c r="G3426" s="4">
        <v>6.6440568088937295E-5</v>
      </c>
      <c r="H3426" s="10" t="s">
        <v>6865</v>
      </c>
      <c r="I3426" s="10" t="s">
        <v>18</v>
      </c>
    </row>
    <row r="3427" spans="1:9" x14ac:dyDescent="0.2">
      <c r="A3427" s="10" t="s">
        <v>6866</v>
      </c>
      <c r="B3427" s="10">
        <v>2280.9660691046702</v>
      </c>
      <c r="C3427" s="10">
        <v>1.8238900944702201</v>
      </c>
      <c r="D3427" s="10">
        <v>0.20705382579484999</v>
      </c>
      <c r="E3427" s="10">
        <v>8.8087727308035007</v>
      </c>
      <c r="F3427" s="4">
        <v>1.26523410701998E-18</v>
      </c>
      <c r="G3427" s="4">
        <v>4.3308836324087198E-17</v>
      </c>
      <c r="H3427" s="10" t="s">
        <v>6867</v>
      </c>
      <c r="I3427" s="10" t="s">
        <v>18</v>
      </c>
    </row>
    <row r="3428" spans="1:9" x14ac:dyDescent="0.2">
      <c r="A3428" s="10" t="s">
        <v>6868</v>
      </c>
      <c r="B3428" s="10">
        <v>24.379973046196302</v>
      </c>
      <c r="C3428" s="10">
        <v>2.5154217706500801</v>
      </c>
      <c r="D3428" s="10">
        <v>0.76576731207947801</v>
      </c>
      <c r="E3428" s="10">
        <v>3.2848382674096199</v>
      </c>
      <c r="F3428" s="10">
        <v>1.02040927229012E-3</v>
      </c>
      <c r="G3428" s="10">
        <v>4.4996102026361902E-3</v>
      </c>
      <c r="H3428" s="10" t="s">
        <v>6869</v>
      </c>
      <c r="I3428" s="10" t="s">
        <v>18</v>
      </c>
    </row>
    <row r="3429" spans="1:9" x14ac:dyDescent="0.2">
      <c r="A3429" s="10" t="s">
        <v>6870</v>
      </c>
      <c r="B3429" s="10">
        <v>731.50973587392502</v>
      </c>
      <c r="C3429" s="10">
        <v>-1.04410964735884</v>
      </c>
      <c r="D3429" s="10">
        <v>0.21953181287774001</v>
      </c>
      <c r="E3429" s="10">
        <v>-4.75607445532422</v>
      </c>
      <c r="F3429" s="4">
        <v>1.9739369238101799E-6</v>
      </c>
      <c r="G3429" s="4">
        <v>1.60405187483018E-5</v>
      </c>
      <c r="H3429" s="10" t="s">
        <v>6871</v>
      </c>
      <c r="I3429" s="10" t="s">
        <v>18</v>
      </c>
    </row>
    <row r="3430" spans="1:9" x14ac:dyDescent="0.2">
      <c r="A3430" s="10" t="s">
        <v>6872</v>
      </c>
      <c r="B3430" s="10">
        <v>53.8431491527449</v>
      </c>
      <c r="C3430" s="10">
        <v>-1.38117884833472</v>
      </c>
      <c r="D3430" s="10">
        <v>0.48501223165302298</v>
      </c>
      <c r="E3430" s="10">
        <v>-2.84771962065239</v>
      </c>
      <c r="F3430" s="10">
        <v>4.4033699909377302E-3</v>
      </c>
      <c r="G3430" s="10">
        <v>1.5905955474357698E-2</v>
      </c>
      <c r="H3430" s="10" t="s">
        <v>6873</v>
      </c>
      <c r="I3430" s="10" t="s">
        <v>18</v>
      </c>
    </row>
    <row r="3431" spans="1:9" x14ac:dyDescent="0.2">
      <c r="A3431" s="10" t="s">
        <v>6874</v>
      </c>
      <c r="B3431" s="10">
        <v>5684.2094241841196</v>
      </c>
      <c r="C3431" s="10">
        <v>1.2037478826811601</v>
      </c>
      <c r="D3431" s="10">
        <v>0.200060192474458</v>
      </c>
      <c r="E3431" s="10">
        <v>6.0169285443172198</v>
      </c>
      <c r="F3431" s="4">
        <v>1.77757498160732E-9</v>
      </c>
      <c r="G3431" s="4">
        <v>2.3263009377451799E-8</v>
      </c>
      <c r="H3431" s="10" t="s">
        <v>6875</v>
      </c>
      <c r="I3431" s="10" t="s">
        <v>18</v>
      </c>
    </row>
    <row r="3432" spans="1:9" x14ac:dyDescent="0.2">
      <c r="A3432" s="10" t="s">
        <v>6876</v>
      </c>
      <c r="B3432" s="10">
        <v>14.600443143009</v>
      </c>
      <c r="C3432" s="10">
        <v>4.7756100337445799</v>
      </c>
      <c r="D3432" s="10">
        <v>1.32323676211646</v>
      </c>
      <c r="E3432" s="10">
        <v>3.60903669733767</v>
      </c>
      <c r="F3432" s="10">
        <v>3.0733613582884103E-4</v>
      </c>
      <c r="G3432" s="10">
        <v>1.55737171153588E-3</v>
      </c>
      <c r="H3432" s="10" t="s">
        <v>6877</v>
      </c>
      <c r="I3432" s="10" t="s">
        <v>18</v>
      </c>
    </row>
    <row r="3433" spans="1:9" x14ac:dyDescent="0.2">
      <c r="A3433" s="10" t="s">
        <v>6878</v>
      </c>
      <c r="B3433" s="10">
        <v>1704.06517757353</v>
      </c>
      <c r="C3433" s="10">
        <v>2.9866588654327102</v>
      </c>
      <c r="D3433" s="10">
        <v>0.220706370011231</v>
      </c>
      <c r="E3433" s="10">
        <v>13.5322730616281</v>
      </c>
      <c r="F3433" s="4">
        <v>1.0085611520035E-41</v>
      </c>
      <c r="G3433" s="4">
        <v>1.5016538638600799E-39</v>
      </c>
      <c r="H3433" s="10" t="s">
        <v>6879</v>
      </c>
      <c r="I3433" s="10" t="s">
        <v>18</v>
      </c>
    </row>
    <row r="3434" spans="1:9" x14ac:dyDescent="0.2">
      <c r="A3434" s="10" t="s">
        <v>6880</v>
      </c>
      <c r="B3434" s="10">
        <v>47.6444843312578</v>
      </c>
      <c r="C3434" s="10">
        <v>5.1679639886223203</v>
      </c>
      <c r="D3434" s="10">
        <v>0.80345461598599499</v>
      </c>
      <c r="E3434" s="10">
        <v>6.4321790998489998</v>
      </c>
      <c r="F3434" s="4">
        <v>1.25787397419354E-10</v>
      </c>
      <c r="G3434" s="4">
        <v>1.9308896999916199E-9</v>
      </c>
      <c r="H3434" s="10" t="s">
        <v>6881</v>
      </c>
      <c r="I3434" s="10" t="s">
        <v>18</v>
      </c>
    </row>
    <row r="3435" spans="1:9" x14ac:dyDescent="0.2">
      <c r="A3435" s="10" t="s">
        <v>6882</v>
      </c>
      <c r="B3435" s="10">
        <v>749.51525894927704</v>
      </c>
      <c r="C3435" s="10">
        <v>2.4948861010582801</v>
      </c>
      <c r="D3435" s="10">
        <v>0.28680767406984298</v>
      </c>
      <c r="E3435" s="10">
        <v>8.6988122237298509</v>
      </c>
      <c r="F3435" s="4">
        <v>3.3537594530611398E-18</v>
      </c>
      <c r="G3435" s="4">
        <v>1.10096245563322E-16</v>
      </c>
      <c r="H3435" s="10" t="s">
        <v>6883</v>
      </c>
      <c r="I3435" s="10" t="s">
        <v>18</v>
      </c>
    </row>
    <row r="3436" spans="1:9" x14ac:dyDescent="0.2">
      <c r="A3436" s="10" t="s">
        <v>6884</v>
      </c>
      <c r="B3436" s="10">
        <v>77.928953557735099</v>
      </c>
      <c r="C3436" s="10">
        <v>-2.1035903222244898</v>
      </c>
      <c r="D3436" s="10">
        <v>0.454902166930722</v>
      </c>
      <c r="E3436" s="10">
        <v>-4.6242697334630503</v>
      </c>
      <c r="F3436" s="4">
        <v>3.75920426634447E-6</v>
      </c>
      <c r="G3436" s="4">
        <v>2.9057315927684499E-5</v>
      </c>
      <c r="H3436" s="10" t="s">
        <v>6885</v>
      </c>
      <c r="I3436" s="10" t="s">
        <v>18</v>
      </c>
    </row>
    <row r="3437" spans="1:9" x14ac:dyDescent="0.2">
      <c r="A3437" s="10" t="s">
        <v>6886</v>
      </c>
      <c r="B3437" s="10">
        <v>4906.0368907537404</v>
      </c>
      <c r="C3437" s="10">
        <v>-1.2325030044752501</v>
      </c>
      <c r="D3437" s="10">
        <v>0.19576053149782399</v>
      </c>
      <c r="E3437" s="10">
        <v>-6.29597291673144</v>
      </c>
      <c r="F3437" s="4">
        <v>3.0547770974929701E-10</v>
      </c>
      <c r="G3437" s="4">
        <v>4.4249607429766499E-9</v>
      </c>
      <c r="H3437" s="10" t="s">
        <v>6887</v>
      </c>
      <c r="I3437" s="10" t="s">
        <v>18</v>
      </c>
    </row>
    <row r="3438" spans="1:9" x14ac:dyDescent="0.2">
      <c r="A3438" s="10" t="s">
        <v>6888</v>
      </c>
      <c r="B3438" s="10">
        <v>17.5442859541267</v>
      </c>
      <c r="C3438" s="10">
        <v>5.0420505598354799</v>
      </c>
      <c r="D3438" s="10">
        <v>1.2697213573700701</v>
      </c>
      <c r="E3438" s="10">
        <v>3.9709898006905302</v>
      </c>
      <c r="F3438" s="4">
        <v>7.1574643795234994E-5</v>
      </c>
      <c r="G3438" s="10">
        <v>4.2312742883245102E-4</v>
      </c>
      <c r="H3438" s="10" t="s">
        <v>6889</v>
      </c>
      <c r="I3438" s="10" t="s">
        <v>18</v>
      </c>
    </row>
    <row r="3439" spans="1:9" x14ac:dyDescent="0.2">
      <c r="A3439" s="10" t="s">
        <v>6890</v>
      </c>
      <c r="B3439" s="10">
        <v>91.002803765059596</v>
      </c>
      <c r="C3439" s="10">
        <v>1.0575631675399699</v>
      </c>
      <c r="D3439" s="10">
        <v>0.42511871136356399</v>
      </c>
      <c r="E3439" s="10">
        <v>2.4876890601870798</v>
      </c>
      <c r="F3439" s="10">
        <v>1.28576093027049E-2</v>
      </c>
      <c r="G3439" s="10">
        <v>3.9257203123128602E-2</v>
      </c>
      <c r="H3439" s="10" t="s">
        <v>6891</v>
      </c>
      <c r="I3439" s="10" t="s">
        <v>18</v>
      </c>
    </row>
    <row r="3440" spans="1:9" x14ac:dyDescent="0.2">
      <c r="A3440" s="10" t="s">
        <v>6892</v>
      </c>
      <c r="B3440" s="10">
        <v>116.72824325756</v>
      </c>
      <c r="C3440" s="10">
        <v>-1.75747684518729</v>
      </c>
      <c r="D3440" s="10">
        <v>0.368451952710798</v>
      </c>
      <c r="E3440" s="10">
        <v>-4.7698942352105203</v>
      </c>
      <c r="F3440" s="4">
        <v>1.8432267152638601E-6</v>
      </c>
      <c r="G3440" s="4">
        <v>1.5041149539021999E-5</v>
      </c>
      <c r="H3440" s="10" t="s">
        <v>6893</v>
      </c>
      <c r="I3440" s="10" t="s">
        <v>18</v>
      </c>
    </row>
    <row r="3441" spans="1:9" x14ac:dyDescent="0.2">
      <c r="A3441" s="10" t="s">
        <v>6894</v>
      </c>
      <c r="B3441" s="10">
        <v>220.40896072298801</v>
      </c>
      <c r="C3441" s="10">
        <v>1.4634714055490801</v>
      </c>
      <c r="D3441" s="10">
        <v>0.286623584329813</v>
      </c>
      <c r="E3441" s="10">
        <v>5.1059001616038797</v>
      </c>
      <c r="F3441" s="4">
        <v>3.2922348941897101E-7</v>
      </c>
      <c r="G3441" s="4">
        <v>3.0605091832817199E-6</v>
      </c>
      <c r="H3441" s="10" t="s">
        <v>6895</v>
      </c>
      <c r="I3441" s="10" t="s">
        <v>18</v>
      </c>
    </row>
    <row r="3442" spans="1:9" x14ac:dyDescent="0.2">
      <c r="A3442" s="10" t="s">
        <v>6896</v>
      </c>
      <c r="B3442" s="10">
        <v>6.7157353100747503</v>
      </c>
      <c r="C3442" s="10">
        <v>6.14239025792617</v>
      </c>
      <c r="D3442" s="10">
        <v>1.90050470221933</v>
      </c>
      <c r="E3442" s="10">
        <v>3.23197845853965</v>
      </c>
      <c r="F3442" s="10">
        <v>1.22936323297014E-3</v>
      </c>
      <c r="G3442" s="10">
        <v>5.28418678162762E-3</v>
      </c>
      <c r="H3442" s="10" t="s">
        <v>6897</v>
      </c>
      <c r="I3442" s="10" t="s">
        <v>18</v>
      </c>
    </row>
    <row r="3443" spans="1:9" x14ac:dyDescent="0.2">
      <c r="A3443" s="10" t="s">
        <v>6898</v>
      </c>
      <c r="B3443" s="10">
        <v>414.16541428902002</v>
      </c>
      <c r="C3443" s="10">
        <v>-1.1798030762826399</v>
      </c>
      <c r="D3443" s="10">
        <v>0.24685189998284399</v>
      </c>
      <c r="E3443" s="10">
        <v>-4.7793963763885499</v>
      </c>
      <c r="F3443" s="4">
        <v>1.75822261705757E-6</v>
      </c>
      <c r="G3443" s="4">
        <v>1.43992460616073E-5</v>
      </c>
      <c r="H3443" s="10" t="s">
        <v>6899</v>
      </c>
      <c r="I3443" s="10" t="s">
        <v>18</v>
      </c>
    </row>
    <row r="3444" spans="1:9" x14ac:dyDescent="0.2">
      <c r="A3444" s="10" t="s">
        <v>6900</v>
      </c>
      <c r="B3444" s="10">
        <v>381.521983660876</v>
      </c>
      <c r="C3444" s="10">
        <v>-3.37803370896737</v>
      </c>
      <c r="D3444" s="10">
        <v>0.28399807050923798</v>
      </c>
      <c r="E3444" s="10">
        <v>-11.894565702190199</v>
      </c>
      <c r="F3444" s="4">
        <v>1.2630835763200599E-32</v>
      </c>
      <c r="G3444" s="4">
        <v>1.1548737652346499E-30</v>
      </c>
      <c r="H3444" s="10" t="s">
        <v>6901</v>
      </c>
      <c r="I3444" s="10" t="s">
        <v>18</v>
      </c>
    </row>
    <row r="3445" spans="1:9" x14ac:dyDescent="0.2">
      <c r="A3445" s="10" t="s">
        <v>6902</v>
      </c>
      <c r="B3445" s="10">
        <v>59.129890227707897</v>
      </c>
      <c r="C3445" s="10">
        <v>-2.8954026338171501</v>
      </c>
      <c r="D3445" s="10">
        <v>0.52324800284363904</v>
      </c>
      <c r="E3445" s="10">
        <v>-5.5335187484363404</v>
      </c>
      <c r="F3445" s="4">
        <v>3.1386941593283502E-8</v>
      </c>
      <c r="G3445" s="4">
        <v>3.4792514141260999E-7</v>
      </c>
      <c r="H3445" s="10" t="s">
        <v>6903</v>
      </c>
      <c r="I3445" s="10" t="s">
        <v>18</v>
      </c>
    </row>
    <row r="3446" spans="1:9" x14ac:dyDescent="0.2">
      <c r="A3446" s="10" t="s">
        <v>6904</v>
      </c>
      <c r="B3446" s="10">
        <v>109.90896746155801</v>
      </c>
      <c r="C3446" s="10">
        <v>-1.45819817639778</v>
      </c>
      <c r="D3446" s="10">
        <v>0.36045098473579101</v>
      </c>
      <c r="E3446" s="10">
        <v>-4.0454825708594804</v>
      </c>
      <c r="F3446" s="4">
        <v>5.2215450641167998E-5</v>
      </c>
      <c r="G3446" s="10">
        <v>3.1828062273375898E-4</v>
      </c>
      <c r="H3446" s="10" t="s">
        <v>6905</v>
      </c>
      <c r="I3446" s="10" t="s">
        <v>18</v>
      </c>
    </row>
    <row r="3447" spans="1:9" x14ac:dyDescent="0.2">
      <c r="A3447" s="10" t="s">
        <v>6906</v>
      </c>
      <c r="B3447" s="10">
        <v>6528.4439260260997</v>
      </c>
      <c r="C3447" s="10">
        <v>-1.07365864437225</v>
      </c>
      <c r="D3447" s="10">
        <v>0.17496360841650499</v>
      </c>
      <c r="E3447" s="10">
        <v>-6.1364683438420098</v>
      </c>
      <c r="F3447" s="4">
        <v>8.4376167952869195E-10</v>
      </c>
      <c r="G3447" s="4">
        <v>1.15935322653143E-8</v>
      </c>
      <c r="H3447" s="10" t="s">
        <v>6907</v>
      </c>
      <c r="I3447" s="10" t="s">
        <v>18</v>
      </c>
    </row>
    <row r="3448" spans="1:9" x14ac:dyDescent="0.2">
      <c r="A3448" s="10" t="s">
        <v>6908</v>
      </c>
      <c r="B3448" s="10">
        <v>186.49526973289801</v>
      </c>
      <c r="C3448" s="10">
        <v>-2.8631085880204199</v>
      </c>
      <c r="D3448" s="10">
        <v>0.31535151345203699</v>
      </c>
      <c r="E3448" s="10">
        <v>-9.0791020999995506</v>
      </c>
      <c r="F3448" s="4">
        <v>1.0947420736094601E-19</v>
      </c>
      <c r="G3448" s="4">
        <v>4.0860872985804002E-18</v>
      </c>
      <c r="H3448" s="10" t="s">
        <v>6909</v>
      </c>
      <c r="I3448" s="10" t="s">
        <v>18</v>
      </c>
    </row>
    <row r="3449" spans="1:9" x14ac:dyDescent="0.2">
      <c r="A3449" s="10" t="s">
        <v>6910</v>
      </c>
      <c r="B3449" s="10">
        <v>19.27736688481</v>
      </c>
      <c r="C3449" s="10">
        <v>6.2027498496194102</v>
      </c>
      <c r="D3449" s="10">
        <v>1.61236656667391</v>
      </c>
      <c r="E3449" s="10">
        <v>3.8469849089061801</v>
      </c>
      <c r="F3449" s="10">
        <v>1.19580331879505E-4</v>
      </c>
      <c r="G3449" s="10">
        <v>6.7346120353883095E-4</v>
      </c>
      <c r="H3449" s="10" t="s">
        <v>6911</v>
      </c>
      <c r="I3449" s="10" t="s">
        <v>18</v>
      </c>
    </row>
    <row r="3450" spans="1:9" x14ac:dyDescent="0.2">
      <c r="A3450" s="10" t="s">
        <v>6912</v>
      </c>
      <c r="B3450" s="10">
        <v>1637.52727705597</v>
      </c>
      <c r="C3450" s="10">
        <v>-1.0667318629396401</v>
      </c>
      <c r="D3450" s="10">
        <v>0.196272104339756</v>
      </c>
      <c r="E3450" s="10">
        <v>-5.4349642121994002</v>
      </c>
      <c r="F3450" s="4">
        <v>5.4807431528034699E-8</v>
      </c>
      <c r="G3450" s="4">
        <v>5.82517676364731E-7</v>
      </c>
      <c r="H3450" s="10" t="s">
        <v>6913</v>
      </c>
      <c r="I3450" s="10" t="s">
        <v>18</v>
      </c>
    </row>
    <row r="3451" spans="1:9" x14ac:dyDescent="0.2">
      <c r="A3451" s="10" t="s">
        <v>6914</v>
      </c>
      <c r="B3451" s="10">
        <v>3.7443793362539499</v>
      </c>
      <c r="C3451" s="10">
        <v>5.3028405840866704</v>
      </c>
      <c r="D3451" s="10">
        <v>2.1958005004532399</v>
      </c>
      <c r="E3451" s="10">
        <v>2.4149919735386298</v>
      </c>
      <c r="F3451" s="10">
        <v>1.5735556439619401E-2</v>
      </c>
      <c r="G3451" s="10">
        <v>4.6361019280959197E-2</v>
      </c>
      <c r="H3451" s="10" t="s">
        <v>6915</v>
      </c>
      <c r="I3451" s="10" t="s">
        <v>18</v>
      </c>
    </row>
    <row r="3452" spans="1:9" x14ac:dyDescent="0.2">
      <c r="A3452" s="10" t="s">
        <v>6916</v>
      </c>
      <c r="B3452" s="10">
        <v>412.32737542475297</v>
      </c>
      <c r="C3452" s="10">
        <v>1.90193509970359</v>
      </c>
      <c r="D3452" s="10">
        <v>0.26516430221311399</v>
      </c>
      <c r="E3452" s="10">
        <v>7.1726664706737102</v>
      </c>
      <c r="F3452" s="4">
        <v>7.3550892899080097E-13</v>
      </c>
      <c r="G3452" s="4">
        <v>1.4877811275584499E-11</v>
      </c>
      <c r="H3452" s="10" t="s">
        <v>6917</v>
      </c>
      <c r="I3452" s="10" t="s">
        <v>18</v>
      </c>
    </row>
    <row r="3453" spans="1:9" x14ac:dyDescent="0.2">
      <c r="A3453" s="10" t="s">
        <v>6918</v>
      </c>
      <c r="B3453" s="10">
        <v>1459.76215781777</v>
      </c>
      <c r="C3453" s="10">
        <v>1.24654714301133</v>
      </c>
      <c r="D3453" s="10">
        <v>0.19273977738742401</v>
      </c>
      <c r="E3453" s="10">
        <v>6.4675136596513596</v>
      </c>
      <c r="F3453" s="4">
        <v>9.9628537620418002E-11</v>
      </c>
      <c r="G3453" s="4">
        <v>1.5511878654534399E-9</v>
      </c>
      <c r="H3453" s="10" t="s">
        <v>6919</v>
      </c>
      <c r="I3453" s="10" t="s">
        <v>18</v>
      </c>
    </row>
    <row r="3454" spans="1:9" x14ac:dyDescent="0.2">
      <c r="A3454" s="10" t="s">
        <v>6920</v>
      </c>
      <c r="B3454" s="10">
        <v>3.8893317554809199</v>
      </c>
      <c r="C3454" s="10">
        <v>5.35263968609567</v>
      </c>
      <c r="D3454" s="10">
        <v>2.1805139762792298</v>
      </c>
      <c r="E3454" s="10">
        <v>2.4547605492670499</v>
      </c>
      <c r="F3454" s="10">
        <v>1.40978459500909E-2</v>
      </c>
      <c r="G3454" s="10">
        <v>4.2402473628670397E-2</v>
      </c>
      <c r="H3454" s="10" t="s">
        <v>6921</v>
      </c>
      <c r="I3454" s="10" t="s">
        <v>18</v>
      </c>
    </row>
    <row r="3455" spans="1:9" x14ac:dyDescent="0.2">
      <c r="A3455" s="10" t="s">
        <v>6922</v>
      </c>
      <c r="B3455" s="10">
        <v>26.266147583839</v>
      </c>
      <c r="C3455" s="10">
        <v>3.56145961585174</v>
      </c>
      <c r="D3455" s="10">
        <v>0.83894205168947</v>
      </c>
      <c r="E3455" s="10">
        <v>4.2451795194669701</v>
      </c>
      <c r="F3455" s="4">
        <v>2.1841848173202401E-5</v>
      </c>
      <c r="G3455" s="10">
        <v>1.43958596317185E-4</v>
      </c>
      <c r="H3455" s="10" t="s">
        <v>6923</v>
      </c>
      <c r="I3455" s="10" t="s">
        <v>18</v>
      </c>
    </row>
    <row r="3456" spans="1:9" x14ac:dyDescent="0.2">
      <c r="A3456" s="10" t="s">
        <v>6924</v>
      </c>
      <c r="B3456" s="10">
        <v>1927.8037871409399</v>
      </c>
      <c r="C3456" s="10">
        <v>2.0630864302773002</v>
      </c>
      <c r="D3456" s="10">
        <v>0.20402053483179</v>
      </c>
      <c r="E3456" s="10">
        <v>10.1121508772549</v>
      </c>
      <c r="F3456" s="4">
        <v>4.8800932186989399E-24</v>
      </c>
      <c r="G3456" s="4">
        <v>2.5183314380660998E-22</v>
      </c>
      <c r="H3456" s="10" t="s">
        <v>6925</v>
      </c>
      <c r="I3456" s="10" t="s">
        <v>18</v>
      </c>
    </row>
    <row r="3457" spans="1:9" x14ac:dyDescent="0.2">
      <c r="A3457" s="10" t="s">
        <v>6926</v>
      </c>
      <c r="B3457" s="10">
        <v>10.094603277835899</v>
      </c>
      <c r="C3457" s="10">
        <v>5.2439632415885002</v>
      </c>
      <c r="D3457" s="10">
        <v>1.77067716529166</v>
      </c>
      <c r="E3457" s="10">
        <v>2.96155806624679</v>
      </c>
      <c r="F3457" s="10">
        <v>3.0608677162015899E-3</v>
      </c>
      <c r="G3457" s="10">
        <v>1.1662629375380301E-2</v>
      </c>
      <c r="H3457" s="10" t="s">
        <v>6927</v>
      </c>
      <c r="I3457" s="10" t="s">
        <v>18</v>
      </c>
    </row>
    <row r="3458" spans="1:9" x14ac:dyDescent="0.2">
      <c r="A3458" s="10" t="s">
        <v>6928</v>
      </c>
      <c r="B3458" s="10">
        <v>428.92358429624602</v>
      </c>
      <c r="C3458" s="10">
        <v>1.0037805612341399</v>
      </c>
      <c r="D3458" s="10">
        <v>0.24833674698101099</v>
      </c>
      <c r="E3458" s="10">
        <v>4.04201381163658</v>
      </c>
      <c r="F3458" s="4">
        <v>5.2994110367516302E-5</v>
      </c>
      <c r="G3458" s="10">
        <v>3.2244987163548898E-4</v>
      </c>
      <c r="H3458" s="10" t="s">
        <v>6929</v>
      </c>
      <c r="I3458" s="10" t="s">
        <v>18</v>
      </c>
    </row>
    <row r="3459" spans="1:9" x14ac:dyDescent="0.2">
      <c r="A3459" s="10" t="s">
        <v>6930</v>
      </c>
      <c r="B3459" s="10">
        <v>29.258089338969999</v>
      </c>
      <c r="C3459" s="10">
        <v>2.82751372806979</v>
      </c>
      <c r="D3459" s="10">
        <v>0.70638042876389195</v>
      </c>
      <c r="E3459" s="10">
        <v>4.0028200286037201</v>
      </c>
      <c r="F3459" s="4">
        <v>6.2591915739078694E-5</v>
      </c>
      <c r="G3459" s="10">
        <v>3.7513808454610098E-4</v>
      </c>
      <c r="H3459" s="10" t="s">
        <v>6931</v>
      </c>
      <c r="I3459" s="10" t="s">
        <v>18</v>
      </c>
    </row>
    <row r="3460" spans="1:9" x14ac:dyDescent="0.2">
      <c r="A3460" s="10" t="s">
        <v>6932</v>
      </c>
      <c r="B3460" s="10">
        <v>8.4762048734086104</v>
      </c>
      <c r="C3460" s="10">
        <v>6.4770558149072102</v>
      </c>
      <c r="D3460" s="10">
        <v>1.8229169800052201</v>
      </c>
      <c r="E3460" s="10">
        <v>3.55312715057855</v>
      </c>
      <c r="F3460" s="10">
        <v>3.8068041528367599E-4</v>
      </c>
      <c r="G3460" s="10">
        <v>1.88589077731533E-3</v>
      </c>
      <c r="H3460" s="10" t="s">
        <v>6933</v>
      </c>
      <c r="I3460" s="10" t="s">
        <v>18</v>
      </c>
    </row>
    <row r="3461" spans="1:9" x14ac:dyDescent="0.2">
      <c r="A3461" s="10" t="s">
        <v>6934</v>
      </c>
      <c r="B3461" s="10">
        <v>416.94322311834998</v>
      </c>
      <c r="C3461" s="10">
        <v>-2.5215474186553499</v>
      </c>
      <c r="D3461" s="10">
        <v>0.26568216316531801</v>
      </c>
      <c r="E3461" s="10">
        <v>-9.4908419466847995</v>
      </c>
      <c r="F3461" s="4">
        <v>2.29175656116514E-21</v>
      </c>
      <c r="G3461" s="4">
        <v>9.9274230559724196E-20</v>
      </c>
      <c r="H3461" s="10" t="s">
        <v>6935</v>
      </c>
      <c r="I3461" s="10" t="s">
        <v>18</v>
      </c>
    </row>
    <row r="3462" spans="1:9" x14ac:dyDescent="0.2">
      <c r="A3462" s="10" t="s">
        <v>6936</v>
      </c>
      <c r="B3462" s="10">
        <v>92.519470155181295</v>
      </c>
      <c r="C3462" s="10">
        <v>4.7317151574909904</v>
      </c>
      <c r="D3462" s="10">
        <v>0.54180447084159999</v>
      </c>
      <c r="E3462" s="10">
        <v>8.7332523302015002</v>
      </c>
      <c r="F3462" s="4">
        <v>2.4745220801968502E-18</v>
      </c>
      <c r="G3462" s="4">
        <v>8.2525462814104898E-17</v>
      </c>
      <c r="H3462" s="10" t="s">
        <v>6937</v>
      </c>
      <c r="I3462" s="10" t="s">
        <v>18</v>
      </c>
    </row>
    <row r="3463" spans="1:9" x14ac:dyDescent="0.2">
      <c r="A3463" s="10" t="s">
        <v>6938</v>
      </c>
      <c r="B3463" s="10">
        <v>192.13856958787801</v>
      </c>
      <c r="C3463" s="10">
        <v>2.8283700061101702</v>
      </c>
      <c r="D3463" s="10">
        <v>0.31837768145643403</v>
      </c>
      <c r="E3463" s="10">
        <v>8.8836943380316402</v>
      </c>
      <c r="F3463" s="4">
        <v>6.4675841920776301E-19</v>
      </c>
      <c r="G3463" s="4">
        <v>2.2592598266864001E-17</v>
      </c>
      <c r="H3463" s="10" t="s">
        <v>6939</v>
      </c>
      <c r="I3463" s="10" t="s">
        <v>18</v>
      </c>
    </row>
    <row r="3464" spans="1:9" x14ac:dyDescent="0.2">
      <c r="A3464" s="10" t="s">
        <v>6940</v>
      </c>
      <c r="B3464" s="10">
        <v>8.5213358192815392</v>
      </c>
      <c r="C3464" s="10">
        <v>4.9975541040620897</v>
      </c>
      <c r="D3464" s="10">
        <v>1.7916388257006901</v>
      </c>
      <c r="E3464" s="10">
        <v>2.7893758677101701</v>
      </c>
      <c r="F3464" s="10">
        <v>5.2809736423606096E-3</v>
      </c>
      <c r="G3464" s="10">
        <v>1.8576128173689602E-2</v>
      </c>
      <c r="H3464" s="10" t="s">
        <v>6941</v>
      </c>
      <c r="I3464" s="10" t="s">
        <v>18</v>
      </c>
    </row>
    <row r="3465" spans="1:9" x14ac:dyDescent="0.2">
      <c r="A3465" s="10" t="s">
        <v>6942</v>
      </c>
      <c r="B3465" s="10">
        <v>778.69806013567199</v>
      </c>
      <c r="C3465" s="10">
        <v>-1.6481243122533999</v>
      </c>
      <c r="D3465" s="10">
        <v>0.23855609352500601</v>
      </c>
      <c r="E3465" s="10">
        <v>-6.9087495854749097</v>
      </c>
      <c r="F3465" s="4">
        <v>4.8894415939053303E-12</v>
      </c>
      <c r="G3465" s="4">
        <v>8.8933654946020397E-11</v>
      </c>
      <c r="H3465" s="10" t="s">
        <v>6943</v>
      </c>
      <c r="I3465" s="10" t="s">
        <v>18</v>
      </c>
    </row>
    <row r="3466" spans="1:9" x14ac:dyDescent="0.2">
      <c r="A3466" s="10" t="s">
        <v>6944</v>
      </c>
      <c r="B3466" s="10">
        <v>28.994809222819001</v>
      </c>
      <c r="C3466" s="10">
        <v>8.2537924061484294</v>
      </c>
      <c r="D3466" s="10">
        <v>1.56549730716447</v>
      </c>
      <c r="E3466" s="10">
        <v>5.2723133846191104</v>
      </c>
      <c r="F3466" s="4">
        <v>1.34714789599493E-7</v>
      </c>
      <c r="G3466" s="4">
        <v>1.33913676476373E-6</v>
      </c>
      <c r="H3466" s="10" t="s">
        <v>6945</v>
      </c>
      <c r="I3466" s="10" t="s">
        <v>18</v>
      </c>
    </row>
    <row r="3467" spans="1:9" x14ac:dyDescent="0.2">
      <c r="A3467" s="10" t="s">
        <v>6946</v>
      </c>
      <c r="B3467" s="10">
        <v>1880.44331188311</v>
      </c>
      <c r="C3467" s="10">
        <v>1.0076033564810101</v>
      </c>
      <c r="D3467" s="10">
        <v>0.19006396702028999</v>
      </c>
      <c r="E3467" s="10">
        <v>5.3013907490074201</v>
      </c>
      <c r="F3467" s="4">
        <v>1.14923813957666E-7</v>
      </c>
      <c r="G3467" s="4">
        <v>1.1563253910282599E-6</v>
      </c>
      <c r="H3467" s="10" t="s">
        <v>6947</v>
      </c>
      <c r="I3467" s="10" t="s">
        <v>18</v>
      </c>
    </row>
    <row r="3468" spans="1:9" x14ac:dyDescent="0.2">
      <c r="A3468" s="10" t="s">
        <v>6948</v>
      </c>
      <c r="B3468" s="10">
        <v>20372.165710652698</v>
      </c>
      <c r="C3468" s="10">
        <v>-1.1381614147369501</v>
      </c>
      <c r="D3468" s="10">
        <v>0.20470989356545</v>
      </c>
      <c r="E3468" s="10">
        <v>-5.5598749767951601</v>
      </c>
      <c r="F3468" s="4">
        <v>2.69967971154666E-8</v>
      </c>
      <c r="G3468" s="4">
        <v>3.0233527784838398E-7</v>
      </c>
      <c r="H3468" s="10" t="s">
        <v>6949</v>
      </c>
      <c r="I3468" s="10" t="s">
        <v>18</v>
      </c>
    </row>
    <row r="3469" spans="1:9" x14ac:dyDescent="0.2">
      <c r="A3469" s="10" t="s">
        <v>6950</v>
      </c>
      <c r="B3469" s="10">
        <v>296.69999963179902</v>
      </c>
      <c r="C3469" s="10">
        <v>-1.82460989171278</v>
      </c>
      <c r="D3469" s="10">
        <v>0.30331302438093499</v>
      </c>
      <c r="E3469" s="10">
        <v>-6.0156002052230599</v>
      </c>
      <c r="F3469" s="4">
        <v>1.79221396284848E-9</v>
      </c>
      <c r="G3469" s="4">
        <v>2.34208411730132E-8</v>
      </c>
      <c r="H3469" s="10" t="s">
        <v>6951</v>
      </c>
      <c r="I3469" s="10" t="s">
        <v>18</v>
      </c>
    </row>
    <row r="3470" spans="1:9" x14ac:dyDescent="0.2">
      <c r="A3470" s="10" t="s">
        <v>6952</v>
      </c>
      <c r="B3470" s="10">
        <v>13.205360418115401</v>
      </c>
      <c r="C3470" s="10">
        <v>4.6252618513182604</v>
      </c>
      <c r="D3470" s="10">
        <v>1.35135051504148</v>
      </c>
      <c r="E3470" s="10">
        <v>3.4226958881769298</v>
      </c>
      <c r="F3470" s="10">
        <v>6.2003404034158098E-4</v>
      </c>
      <c r="G3470" s="10">
        <v>2.8962913590240098E-3</v>
      </c>
      <c r="H3470" s="10" t="s">
        <v>6953</v>
      </c>
      <c r="I3470" s="10" t="s">
        <v>18</v>
      </c>
    </row>
    <row r="3471" spans="1:9" x14ac:dyDescent="0.2">
      <c r="A3471" s="10" t="s">
        <v>6954</v>
      </c>
      <c r="B3471" s="10">
        <v>1112.65160902196</v>
      </c>
      <c r="C3471" s="10">
        <v>-2.27035130244654</v>
      </c>
      <c r="D3471" s="10">
        <v>0.24356616843678</v>
      </c>
      <c r="E3471" s="10">
        <v>-9.3212916925933094</v>
      </c>
      <c r="F3471" s="4">
        <v>1.14932449293028E-20</v>
      </c>
      <c r="G3471" s="4">
        <v>4.7519946068090002E-19</v>
      </c>
      <c r="H3471" s="10" t="s">
        <v>6955</v>
      </c>
      <c r="I3471" s="10" t="s">
        <v>18</v>
      </c>
    </row>
    <row r="3472" spans="1:9" x14ac:dyDescent="0.2">
      <c r="A3472" s="10" t="s">
        <v>6956</v>
      </c>
      <c r="B3472" s="10">
        <v>136.97717313568401</v>
      </c>
      <c r="C3472" s="10">
        <v>4.6724946556025602</v>
      </c>
      <c r="D3472" s="10">
        <v>0.46896485211973699</v>
      </c>
      <c r="E3472" s="10">
        <v>9.9634218523685298</v>
      </c>
      <c r="F3472" s="4">
        <v>2.20345386284669E-23</v>
      </c>
      <c r="G3472" s="4">
        <v>1.08566921159102E-21</v>
      </c>
      <c r="H3472" s="10" t="s">
        <v>6957</v>
      </c>
      <c r="I3472" s="10" t="s">
        <v>18</v>
      </c>
    </row>
    <row r="3473" spans="1:9" x14ac:dyDescent="0.2">
      <c r="A3473" s="10" t="s">
        <v>6958</v>
      </c>
      <c r="B3473" s="10">
        <v>535.67628368852502</v>
      </c>
      <c r="C3473" s="10">
        <v>-1.0735198311646199</v>
      </c>
      <c r="D3473" s="10">
        <v>0.247809964095211</v>
      </c>
      <c r="E3473" s="10">
        <v>-4.3320285166264103</v>
      </c>
      <c r="F3473" s="4">
        <v>1.47741800314904E-5</v>
      </c>
      <c r="G3473" s="10">
        <v>1.01118332910831E-4</v>
      </c>
      <c r="H3473" s="10" t="s">
        <v>6959</v>
      </c>
      <c r="I3473" s="10" t="s">
        <v>18</v>
      </c>
    </row>
    <row r="3474" spans="1:9" x14ac:dyDescent="0.2">
      <c r="A3474" s="10" t="s">
        <v>6960</v>
      </c>
      <c r="B3474" s="10">
        <v>4321.7899664797096</v>
      </c>
      <c r="C3474" s="10">
        <v>-1.1727684501653799</v>
      </c>
      <c r="D3474" s="10">
        <v>0.22372132933799699</v>
      </c>
      <c r="E3474" s="10">
        <v>-5.2420949474762404</v>
      </c>
      <c r="F3474" s="4">
        <v>1.58763632973167E-7</v>
      </c>
      <c r="G3474" s="4">
        <v>1.5594205867411301E-6</v>
      </c>
      <c r="H3474" s="10" t="s">
        <v>6961</v>
      </c>
      <c r="I3474" s="10" t="s">
        <v>18</v>
      </c>
    </row>
    <row r="3475" spans="1:9" x14ac:dyDescent="0.2">
      <c r="A3475" s="10" t="s">
        <v>6962</v>
      </c>
      <c r="B3475" s="10">
        <v>7.5975163558381498</v>
      </c>
      <c r="C3475" s="10">
        <v>3.77336519883543</v>
      </c>
      <c r="D3475" s="10">
        <v>1.5227578440099301</v>
      </c>
      <c r="E3475" s="10">
        <v>2.47798112725454</v>
      </c>
      <c r="F3475" s="10">
        <v>1.3212813395733001E-2</v>
      </c>
      <c r="G3475" s="10">
        <v>4.0154555201173399E-2</v>
      </c>
      <c r="H3475" s="10" t="s">
        <v>6963</v>
      </c>
      <c r="I3475" s="10" t="s">
        <v>18</v>
      </c>
    </row>
    <row r="3476" spans="1:9" x14ac:dyDescent="0.2">
      <c r="A3476" s="10" t="s">
        <v>6964</v>
      </c>
      <c r="B3476" s="10">
        <v>1226.63434849492</v>
      </c>
      <c r="C3476" s="10">
        <v>-1.21564593291968</v>
      </c>
      <c r="D3476" s="10">
        <v>0.21997427821448301</v>
      </c>
      <c r="E3476" s="10">
        <v>-5.5263094521186797</v>
      </c>
      <c r="F3476" s="4">
        <v>3.27037087808573E-8</v>
      </c>
      <c r="G3476" s="4">
        <v>3.6105265524798199E-7</v>
      </c>
      <c r="H3476" s="10" t="s">
        <v>6965</v>
      </c>
      <c r="I3476" s="10" t="s">
        <v>18</v>
      </c>
    </row>
    <row r="3477" spans="1:9" x14ac:dyDescent="0.2">
      <c r="A3477" s="10" t="s">
        <v>6966</v>
      </c>
      <c r="B3477" s="10">
        <v>470.18482387430902</v>
      </c>
      <c r="C3477" s="10">
        <v>-1.4199862536971799</v>
      </c>
      <c r="D3477" s="10">
        <v>0.26182517487502699</v>
      </c>
      <c r="E3477" s="10">
        <v>-5.4234137507020099</v>
      </c>
      <c r="F3477" s="4">
        <v>5.8471434980091097E-8</v>
      </c>
      <c r="G3477" s="4">
        <v>6.1846707643732204E-7</v>
      </c>
      <c r="H3477" s="10" t="s">
        <v>6967</v>
      </c>
      <c r="I3477" s="10" t="s">
        <v>18</v>
      </c>
    </row>
    <row r="3478" spans="1:9" x14ac:dyDescent="0.2">
      <c r="A3478" s="10" t="s">
        <v>6968</v>
      </c>
      <c r="B3478" s="10">
        <v>245.821737951763</v>
      </c>
      <c r="C3478" s="10">
        <v>-1.0833100015999</v>
      </c>
      <c r="D3478" s="10">
        <v>0.27644599951640503</v>
      </c>
      <c r="E3478" s="10">
        <v>-3.9187038463025701</v>
      </c>
      <c r="F3478" s="4">
        <v>8.9026419676473503E-5</v>
      </c>
      <c r="G3478" s="10">
        <v>5.1654660496696595E-4</v>
      </c>
      <c r="H3478" s="10" t="s">
        <v>6969</v>
      </c>
      <c r="I3478" s="10" t="s">
        <v>18</v>
      </c>
    </row>
    <row r="3479" spans="1:9" x14ac:dyDescent="0.2">
      <c r="A3479" s="10" t="s">
        <v>6970</v>
      </c>
      <c r="B3479" s="10">
        <v>2890.9378635821199</v>
      </c>
      <c r="C3479" s="10">
        <v>-1.6438887580599999</v>
      </c>
      <c r="D3479" s="10">
        <v>0.20898681654505499</v>
      </c>
      <c r="E3479" s="10">
        <v>-7.8659926268870404</v>
      </c>
      <c r="F3479" s="4">
        <v>3.66182110243356E-15</v>
      </c>
      <c r="G3479" s="4">
        <v>9.2640333870016006E-14</v>
      </c>
      <c r="H3479" s="10" t="s">
        <v>6971</v>
      </c>
      <c r="I3479" s="10" t="s">
        <v>18</v>
      </c>
    </row>
    <row r="3480" spans="1:9" x14ac:dyDescent="0.2">
      <c r="A3480" s="10" t="s">
        <v>6972</v>
      </c>
      <c r="B3480" s="10">
        <v>1085.4526958290601</v>
      </c>
      <c r="C3480" s="10">
        <v>-1.1167970804893099</v>
      </c>
      <c r="D3480" s="10">
        <v>0.234064423075413</v>
      </c>
      <c r="E3480" s="10">
        <v>-4.7713234921203602</v>
      </c>
      <c r="F3480" s="4">
        <v>1.83019323752431E-6</v>
      </c>
      <c r="G3480" s="4">
        <v>1.4943744423981099E-5</v>
      </c>
      <c r="H3480" s="10" t="s">
        <v>6973</v>
      </c>
      <c r="I3480" s="10" t="s">
        <v>18</v>
      </c>
    </row>
    <row r="3481" spans="1:9" x14ac:dyDescent="0.2">
      <c r="A3481" s="10" t="s">
        <v>6974</v>
      </c>
      <c r="B3481" s="10">
        <v>35.841366872642098</v>
      </c>
      <c r="C3481" s="10">
        <v>1.9212336486280099</v>
      </c>
      <c r="D3481" s="10">
        <v>0.60534862436345904</v>
      </c>
      <c r="E3481" s="10">
        <v>3.1737639622923699</v>
      </c>
      <c r="F3481" s="10">
        <v>1.5047600667199301E-3</v>
      </c>
      <c r="G3481" s="10">
        <v>6.3019055545524101E-3</v>
      </c>
      <c r="H3481" s="10" t="s">
        <v>6975</v>
      </c>
      <c r="I3481" s="10" t="s">
        <v>18</v>
      </c>
    </row>
    <row r="3482" spans="1:9" x14ac:dyDescent="0.2">
      <c r="A3482" s="10" t="s">
        <v>6976</v>
      </c>
      <c r="B3482" s="10">
        <v>408.47893951124701</v>
      </c>
      <c r="C3482" s="10">
        <v>-1.4512265764049901</v>
      </c>
      <c r="D3482" s="10">
        <v>0.31012517235159598</v>
      </c>
      <c r="E3482" s="10">
        <v>-4.6794865615091199</v>
      </c>
      <c r="F3482" s="4">
        <v>2.8759420787575399E-6</v>
      </c>
      <c r="G3482" s="4">
        <v>2.2667281984352499E-5</v>
      </c>
      <c r="H3482" s="10" t="s">
        <v>6977</v>
      </c>
      <c r="I3482" s="10" t="s">
        <v>18</v>
      </c>
    </row>
    <row r="3483" spans="1:9" x14ac:dyDescent="0.2">
      <c r="A3483" s="10" t="s">
        <v>6978</v>
      </c>
      <c r="B3483" s="10">
        <v>1114.0847657168299</v>
      </c>
      <c r="C3483" s="10">
        <v>-1.62924726842039</v>
      </c>
      <c r="D3483" s="10">
        <v>0.20821347714942601</v>
      </c>
      <c r="E3483" s="10">
        <v>-7.8248886226089196</v>
      </c>
      <c r="F3483" s="4">
        <v>5.0810655514152602E-15</v>
      </c>
      <c r="G3483" s="4">
        <v>1.25743681271037E-13</v>
      </c>
      <c r="H3483" s="10" t="s">
        <v>6979</v>
      </c>
      <c r="I3483" s="10" t="s">
        <v>18</v>
      </c>
    </row>
    <row r="3484" spans="1:9" x14ac:dyDescent="0.2">
      <c r="A3484" s="10" t="s">
        <v>6980</v>
      </c>
      <c r="B3484" s="10">
        <v>1314.82887774288</v>
      </c>
      <c r="C3484" s="10">
        <v>-1.4203650801215699</v>
      </c>
      <c r="D3484" s="10">
        <v>0.22163731123650601</v>
      </c>
      <c r="E3484" s="10">
        <v>-6.4085106979389304</v>
      </c>
      <c r="F3484" s="4">
        <v>1.4694797043583099E-10</v>
      </c>
      <c r="G3484" s="4">
        <v>2.2334761276867199E-9</v>
      </c>
      <c r="H3484" s="10" t="s">
        <v>6981</v>
      </c>
      <c r="I3484" s="10" t="s">
        <v>18</v>
      </c>
    </row>
    <row r="3485" spans="1:9" x14ac:dyDescent="0.2">
      <c r="A3485" s="10" t="s">
        <v>6982</v>
      </c>
      <c r="B3485" s="10">
        <v>609.94639281145805</v>
      </c>
      <c r="C3485" s="10">
        <v>1.1325004032807799</v>
      </c>
      <c r="D3485" s="10">
        <v>0.23020407372118401</v>
      </c>
      <c r="E3485" s="10">
        <v>4.9195497932518197</v>
      </c>
      <c r="F3485" s="4">
        <v>8.6743499912892705E-7</v>
      </c>
      <c r="G3485" s="4">
        <v>7.5222792556543099E-6</v>
      </c>
      <c r="H3485" s="10" t="s">
        <v>6983</v>
      </c>
      <c r="I3485" s="10" t="s">
        <v>18</v>
      </c>
    </row>
    <row r="3486" spans="1:9" x14ac:dyDescent="0.2">
      <c r="A3486" s="10" t="s">
        <v>6984</v>
      </c>
      <c r="B3486" s="10">
        <v>12.601130106697401</v>
      </c>
      <c r="C3486" s="10">
        <v>2.83946577608913</v>
      </c>
      <c r="D3486" s="10">
        <v>1.0748293812418701</v>
      </c>
      <c r="E3486" s="10">
        <v>2.6417828035258899</v>
      </c>
      <c r="F3486" s="10">
        <v>8.2470924017215997E-3</v>
      </c>
      <c r="G3486" s="10">
        <v>2.70537595316288E-2</v>
      </c>
      <c r="H3486" s="10" t="s">
        <v>6985</v>
      </c>
      <c r="I3486" s="10" t="s">
        <v>18</v>
      </c>
    </row>
    <row r="3487" spans="1:9" x14ac:dyDescent="0.2">
      <c r="A3487" s="10" t="s">
        <v>6986</v>
      </c>
      <c r="B3487" s="10">
        <v>6175.9631327880898</v>
      </c>
      <c r="C3487" s="10">
        <v>-1.12646422039771</v>
      </c>
      <c r="D3487" s="10">
        <v>0.20671740598101199</v>
      </c>
      <c r="E3487" s="10">
        <v>-5.4492954526585997</v>
      </c>
      <c r="F3487" s="4">
        <v>5.05697456806676E-8</v>
      </c>
      <c r="G3487" s="4">
        <v>5.41404267411061E-7</v>
      </c>
      <c r="H3487" s="10" t="s">
        <v>6987</v>
      </c>
      <c r="I3487" s="10" t="s">
        <v>18</v>
      </c>
    </row>
    <row r="3488" spans="1:9" x14ac:dyDescent="0.2">
      <c r="A3488" s="10" t="s">
        <v>6988</v>
      </c>
      <c r="B3488" s="10">
        <v>585.27511513463105</v>
      </c>
      <c r="C3488" s="10">
        <v>-1.4536880036395301</v>
      </c>
      <c r="D3488" s="10">
        <v>0.23459269351449699</v>
      </c>
      <c r="E3488" s="10">
        <v>-6.1966465445340004</v>
      </c>
      <c r="F3488" s="4">
        <v>5.7678827291339803E-10</v>
      </c>
      <c r="G3488" s="4">
        <v>8.0634941365168505E-9</v>
      </c>
      <c r="H3488" s="10" t="s">
        <v>6989</v>
      </c>
      <c r="I3488" s="10" t="s">
        <v>18</v>
      </c>
    </row>
    <row r="3489" spans="1:9" x14ac:dyDescent="0.2">
      <c r="A3489" s="10" t="s">
        <v>6990</v>
      </c>
      <c r="B3489" s="10">
        <v>358.81184871510999</v>
      </c>
      <c r="C3489" s="10">
        <v>1.93433227119023</v>
      </c>
      <c r="D3489" s="10">
        <v>0.27028455784789501</v>
      </c>
      <c r="E3489" s="10">
        <v>7.1566510739351896</v>
      </c>
      <c r="F3489" s="4">
        <v>8.2671764879345004E-13</v>
      </c>
      <c r="G3489" s="4">
        <v>1.6550753693368899E-11</v>
      </c>
      <c r="H3489" s="10" t="s">
        <v>6991</v>
      </c>
      <c r="I3489" s="10" t="s">
        <v>18</v>
      </c>
    </row>
    <row r="3490" spans="1:9" x14ac:dyDescent="0.2">
      <c r="A3490" s="10" t="s">
        <v>6992</v>
      </c>
      <c r="B3490" s="10">
        <v>112.988778441769</v>
      </c>
      <c r="C3490" s="10">
        <v>-2.0117171347799601</v>
      </c>
      <c r="D3490" s="10">
        <v>0.36333971628838901</v>
      </c>
      <c r="E3490" s="10">
        <v>-5.53673888263629</v>
      </c>
      <c r="F3490" s="4">
        <v>3.0815544260062802E-8</v>
      </c>
      <c r="G3490" s="4">
        <v>3.4200860873887198E-7</v>
      </c>
      <c r="H3490" s="10" t="s">
        <v>6993</v>
      </c>
      <c r="I3490" s="10" t="s">
        <v>18</v>
      </c>
    </row>
    <row r="3491" spans="1:9" x14ac:dyDescent="0.2">
      <c r="A3491" s="10" t="s">
        <v>6994</v>
      </c>
      <c r="B3491" s="10">
        <v>34.825323809428802</v>
      </c>
      <c r="C3491" s="10">
        <v>1.5635804023761699</v>
      </c>
      <c r="D3491" s="10">
        <v>0.60097306113666105</v>
      </c>
      <c r="E3491" s="10">
        <v>2.6017479043384402</v>
      </c>
      <c r="F3491" s="10">
        <v>9.2750003420819203E-3</v>
      </c>
      <c r="G3491" s="10">
        <v>2.9815471250673201E-2</v>
      </c>
      <c r="H3491" s="10" t="s">
        <v>6995</v>
      </c>
      <c r="I3491" s="10" t="s">
        <v>18</v>
      </c>
    </row>
    <row r="3492" spans="1:9" x14ac:dyDescent="0.2">
      <c r="A3492" s="10" t="s">
        <v>6996</v>
      </c>
      <c r="B3492" s="10">
        <v>39.385540187727102</v>
      </c>
      <c r="C3492" s="10">
        <v>5.2144653185269796</v>
      </c>
      <c r="D3492" s="10">
        <v>0.88928998476152699</v>
      </c>
      <c r="E3492" s="10">
        <v>5.8636276219002896</v>
      </c>
      <c r="F3492" s="4">
        <v>4.5286247618235004E-9</v>
      </c>
      <c r="G3492" s="4">
        <v>5.6446220899087402E-8</v>
      </c>
      <c r="H3492" s="10" t="s">
        <v>6997</v>
      </c>
      <c r="I3492" s="10" t="s">
        <v>18</v>
      </c>
    </row>
    <row r="3493" spans="1:9" x14ac:dyDescent="0.2">
      <c r="A3493" s="10" t="s">
        <v>6998</v>
      </c>
      <c r="B3493" s="10">
        <v>36.601305157543401</v>
      </c>
      <c r="C3493" s="10">
        <v>4.2643138251981503</v>
      </c>
      <c r="D3493" s="10">
        <v>0.76904249671037495</v>
      </c>
      <c r="E3493" s="10">
        <v>5.5449651266854696</v>
      </c>
      <c r="F3493" s="4">
        <v>2.9401276351422599E-8</v>
      </c>
      <c r="G3493" s="4">
        <v>3.27111709574199E-7</v>
      </c>
      <c r="H3493" s="10" t="s">
        <v>6999</v>
      </c>
      <c r="I3493" s="10" t="s">
        <v>18</v>
      </c>
    </row>
    <row r="3494" spans="1:9" x14ac:dyDescent="0.2">
      <c r="A3494" s="10" t="s">
        <v>7000</v>
      </c>
      <c r="B3494" s="10">
        <v>3885.9709645598</v>
      </c>
      <c r="C3494" s="10">
        <v>-1.43962864909404</v>
      </c>
      <c r="D3494" s="10">
        <v>0.19984395154273901</v>
      </c>
      <c r="E3494" s="10">
        <v>-7.20376392670636</v>
      </c>
      <c r="F3494" s="4">
        <v>5.8572741164878297E-13</v>
      </c>
      <c r="G3494" s="4">
        <v>1.1972479208697999E-11</v>
      </c>
      <c r="H3494" s="10" t="s">
        <v>7001</v>
      </c>
      <c r="I3494" s="10" t="s">
        <v>18</v>
      </c>
    </row>
    <row r="3495" spans="1:9" x14ac:dyDescent="0.2">
      <c r="A3495" s="10" t="s">
        <v>7002</v>
      </c>
      <c r="B3495" s="10">
        <v>110.654055352106</v>
      </c>
      <c r="C3495" s="10">
        <v>3.5323808368463201</v>
      </c>
      <c r="D3495" s="10">
        <v>0.43902093553388799</v>
      </c>
      <c r="E3495" s="10">
        <v>8.0460418876166795</v>
      </c>
      <c r="F3495" s="4">
        <v>8.5514733772173203E-16</v>
      </c>
      <c r="G3495" s="4">
        <v>2.2933267235141799E-14</v>
      </c>
      <c r="H3495" s="10" t="s">
        <v>7003</v>
      </c>
      <c r="I3495" s="10" t="s">
        <v>18</v>
      </c>
    </row>
    <row r="3496" spans="1:9" x14ac:dyDescent="0.2">
      <c r="A3496" s="10" t="s">
        <v>7004</v>
      </c>
      <c r="B3496" s="10">
        <v>23.263058850602601</v>
      </c>
      <c r="C3496" s="10">
        <v>3.5677052768070601</v>
      </c>
      <c r="D3496" s="10">
        <v>0.89361277014363605</v>
      </c>
      <c r="E3496" s="10">
        <v>3.9924510884435902</v>
      </c>
      <c r="F3496" s="4">
        <v>6.5393824323635205E-5</v>
      </c>
      <c r="G3496" s="10">
        <v>3.8997275800964901E-4</v>
      </c>
      <c r="H3496" s="10" t="s">
        <v>7005</v>
      </c>
      <c r="I3496" s="10" t="s">
        <v>18</v>
      </c>
    </row>
    <row r="3497" spans="1:9" x14ac:dyDescent="0.2">
      <c r="A3497" s="10" t="s">
        <v>7006</v>
      </c>
      <c r="B3497" s="10">
        <v>557.52556270783805</v>
      </c>
      <c r="C3497" s="10">
        <v>-1.22331090833467</v>
      </c>
      <c r="D3497" s="10">
        <v>0.26874940561180699</v>
      </c>
      <c r="E3497" s="10">
        <v>-4.5518646098949</v>
      </c>
      <c r="F3497" s="4">
        <v>5.3172550673189202E-6</v>
      </c>
      <c r="G3497" s="4">
        <v>3.9933640799128602E-5</v>
      </c>
      <c r="H3497" s="10" t="s">
        <v>7007</v>
      </c>
      <c r="I3497" s="10" t="s">
        <v>18</v>
      </c>
    </row>
    <row r="3498" spans="1:9" x14ac:dyDescent="0.2">
      <c r="A3498" s="10" t="s">
        <v>7008</v>
      </c>
      <c r="B3498" s="10">
        <v>866.41233278444804</v>
      </c>
      <c r="C3498" s="10">
        <v>-1.14472479750432</v>
      </c>
      <c r="D3498" s="10">
        <v>0.23876635273808999</v>
      </c>
      <c r="E3498" s="10">
        <v>-4.7943304589487301</v>
      </c>
      <c r="F3498" s="4">
        <v>1.63219032395535E-6</v>
      </c>
      <c r="G3498" s="4">
        <v>1.34601361249429E-5</v>
      </c>
      <c r="H3498" s="10" t="s">
        <v>7009</v>
      </c>
      <c r="I3498" s="10" t="s">
        <v>18</v>
      </c>
    </row>
    <row r="3499" spans="1:9" x14ac:dyDescent="0.2">
      <c r="A3499" s="10" t="s">
        <v>7010</v>
      </c>
      <c r="B3499" s="10">
        <v>238.057337103393</v>
      </c>
      <c r="C3499" s="10">
        <v>5.6490095423120197</v>
      </c>
      <c r="D3499" s="10">
        <v>0.43999794788985302</v>
      </c>
      <c r="E3499" s="10">
        <v>12.8387179290349</v>
      </c>
      <c r="F3499" s="4">
        <v>9.9508733580797104E-38</v>
      </c>
      <c r="G3499" s="4">
        <v>1.2213128215657601E-35</v>
      </c>
      <c r="H3499" s="10" t="s">
        <v>7011</v>
      </c>
      <c r="I3499" s="10" t="s">
        <v>18</v>
      </c>
    </row>
    <row r="3500" spans="1:9" x14ac:dyDescent="0.2">
      <c r="A3500" s="10" t="s">
        <v>7012</v>
      </c>
      <c r="B3500" s="10">
        <v>405.04026125251499</v>
      </c>
      <c r="C3500" s="10">
        <v>1.04919957937271</v>
      </c>
      <c r="D3500" s="10">
        <v>0.25319984946138402</v>
      </c>
      <c r="E3500" s="10">
        <v>4.1437606760217296</v>
      </c>
      <c r="F3500" s="4">
        <v>3.4165629966164299E-5</v>
      </c>
      <c r="G3500" s="10">
        <v>2.1649091155536701E-4</v>
      </c>
      <c r="H3500" s="10" t="s">
        <v>7013</v>
      </c>
      <c r="I3500" s="10" t="s">
        <v>18</v>
      </c>
    </row>
    <row r="3501" spans="1:9" x14ac:dyDescent="0.2">
      <c r="A3501" s="10" t="s">
        <v>7014</v>
      </c>
      <c r="B3501" s="10">
        <v>4161.6530090384504</v>
      </c>
      <c r="C3501" s="10">
        <v>-1.1852741790839201</v>
      </c>
      <c r="D3501" s="10">
        <v>0.183318803975206</v>
      </c>
      <c r="E3501" s="10">
        <v>-6.4656442949749398</v>
      </c>
      <c r="F3501" s="4">
        <v>1.00868098540748E-10</v>
      </c>
      <c r="G3501" s="4">
        <v>1.56869468090169E-9</v>
      </c>
      <c r="H3501" s="10" t="s">
        <v>7015</v>
      </c>
      <c r="I3501" s="10" t="s">
        <v>18</v>
      </c>
    </row>
    <row r="3502" spans="1:9" x14ac:dyDescent="0.2">
      <c r="A3502" s="10" t="s">
        <v>7016</v>
      </c>
      <c r="B3502" s="10">
        <v>3459.3646040460299</v>
      </c>
      <c r="C3502" s="10">
        <v>-1.43657798427099</v>
      </c>
      <c r="D3502" s="10">
        <v>0.184232062888986</v>
      </c>
      <c r="E3502" s="10">
        <v>-7.7976545544986804</v>
      </c>
      <c r="F3502" s="4">
        <v>6.3068371407379402E-15</v>
      </c>
      <c r="G3502" s="4">
        <v>1.5439567976072501E-13</v>
      </c>
      <c r="H3502" s="10" t="s">
        <v>7017</v>
      </c>
      <c r="I3502" s="10" t="s">
        <v>18</v>
      </c>
    </row>
    <row r="3503" spans="1:9" x14ac:dyDescent="0.2">
      <c r="A3503" s="10" t="s">
        <v>7018</v>
      </c>
      <c r="B3503" s="10">
        <v>100.37288467853899</v>
      </c>
      <c r="C3503" s="10">
        <v>1.6709604727668499</v>
      </c>
      <c r="D3503" s="10">
        <v>0.37649832747687501</v>
      </c>
      <c r="E3503" s="10">
        <v>4.4381617415537802</v>
      </c>
      <c r="F3503" s="4">
        <v>9.0730431314058305E-6</v>
      </c>
      <c r="G3503" s="4">
        <v>6.51761682576891E-5</v>
      </c>
      <c r="H3503" s="10" t="s">
        <v>7019</v>
      </c>
      <c r="I3503" s="10" t="s">
        <v>18</v>
      </c>
    </row>
    <row r="3504" spans="1:9" x14ac:dyDescent="0.2">
      <c r="A3504" s="10" t="s">
        <v>7020</v>
      </c>
      <c r="B3504" s="10">
        <v>1611.1810219014701</v>
      </c>
      <c r="C3504" s="10">
        <v>1.36158687113621</v>
      </c>
      <c r="D3504" s="10">
        <v>0.19108348841951001</v>
      </c>
      <c r="E3504" s="10">
        <v>7.1256123823056203</v>
      </c>
      <c r="F3504" s="4">
        <v>1.0361894519115E-12</v>
      </c>
      <c r="G3504" s="4">
        <v>2.04884281540149E-11</v>
      </c>
      <c r="H3504" s="10" t="s">
        <v>7021</v>
      </c>
      <c r="I3504" s="10" t="s">
        <v>18</v>
      </c>
    </row>
    <row r="3505" spans="1:9" x14ac:dyDescent="0.2">
      <c r="A3505" s="10" t="s">
        <v>7022</v>
      </c>
      <c r="B3505" s="10">
        <v>110.949003075193</v>
      </c>
      <c r="C3505" s="10">
        <v>2.2633588408467</v>
      </c>
      <c r="D3505" s="10">
        <v>0.37611705171556398</v>
      </c>
      <c r="E3505" s="10">
        <v>6.0176980291719104</v>
      </c>
      <c r="F3505" s="4">
        <v>1.76914822672154E-9</v>
      </c>
      <c r="G3505" s="4">
        <v>2.3197296310626501E-8</v>
      </c>
      <c r="H3505" s="10" t="s">
        <v>7023</v>
      </c>
      <c r="I3505" s="10" t="s">
        <v>18</v>
      </c>
    </row>
    <row r="3506" spans="1:9" x14ac:dyDescent="0.2">
      <c r="A3506" s="10" t="s">
        <v>7024</v>
      </c>
      <c r="B3506" s="10">
        <v>266.65292261579998</v>
      </c>
      <c r="C3506" s="10">
        <v>-1.75557660745398</v>
      </c>
      <c r="D3506" s="10">
        <v>0.32058314904018997</v>
      </c>
      <c r="E3506" s="10">
        <v>-5.4761974006122598</v>
      </c>
      <c r="F3506" s="4">
        <v>4.3456289891637601E-8</v>
      </c>
      <c r="G3506" s="4">
        <v>4.7042253900574002E-7</v>
      </c>
      <c r="H3506" s="10" t="s">
        <v>7025</v>
      </c>
      <c r="I3506" s="10" t="s">
        <v>18</v>
      </c>
    </row>
    <row r="3507" spans="1:9" x14ac:dyDescent="0.2">
      <c r="A3507" s="10" t="s">
        <v>7026</v>
      </c>
      <c r="B3507" s="10">
        <v>6100.0150558485902</v>
      </c>
      <c r="C3507" s="10">
        <v>-1.64692973254904</v>
      </c>
      <c r="D3507" s="10">
        <v>0.23336492188065999</v>
      </c>
      <c r="E3507" s="10">
        <v>-7.0573148666758803</v>
      </c>
      <c r="F3507" s="4">
        <v>1.69750694929229E-12</v>
      </c>
      <c r="G3507" s="4">
        <v>3.2733171866501898E-11</v>
      </c>
      <c r="H3507" s="10" t="s">
        <v>7027</v>
      </c>
      <c r="I3507" s="10" t="s">
        <v>18</v>
      </c>
    </row>
    <row r="3508" spans="1:9" x14ac:dyDescent="0.2">
      <c r="A3508" s="10" t="s">
        <v>7028</v>
      </c>
      <c r="B3508" s="10">
        <v>6840.2539236367402</v>
      </c>
      <c r="C3508" s="10">
        <v>-2.3836427822398099</v>
      </c>
      <c r="D3508" s="10">
        <v>0.22689019541531399</v>
      </c>
      <c r="E3508" s="10">
        <v>-10.505710825788</v>
      </c>
      <c r="F3508" s="4">
        <v>8.1307913728816197E-26</v>
      </c>
      <c r="G3508" s="4">
        <v>4.8371107540809098E-24</v>
      </c>
      <c r="H3508" s="10" t="s">
        <v>7029</v>
      </c>
      <c r="I3508" s="10" t="s">
        <v>18</v>
      </c>
    </row>
    <row r="3509" spans="1:9" x14ac:dyDescent="0.2">
      <c r="A3509" s="10" t="s">
        <v>7030</v>
      </c>
      <c r="B3509" s="10">
        <v>2481.7078106008298</v>
      </c>
      <c r="C3509" s="10">
        <v>-1.05345171065369</v>
      </c>
      <c r="D3509" s="10">
        <v>0.203439202362205</v>
      </c>
      <c r="E3509" s="10">
        <v>-5.1782139254464399</v>
      </c>
      <c r="F3509" s="4">
        <v>2.2402026358445201E-7</v>
      </c>
      <c r="G3509" s="4">
        <v>2.1500106100336601E-6</v>
      </c>
      <c r="H3509" s="10" t="s">
        <v>7031</v>
      </c>
      <c r="I3509" s="10" t="s">
        <v>18</v>
      </c>
    </row>
    <row r="3510" spans="1:9" x14ac:dyDescent="0.2">
      <c r="A3510" s="10" t="s">
        <v>7032</v>
      </c>
      <c r="B3510" s="10">
        <v>1188.5958858361</v>
      </c>
      <c r="C3510" s="10">
        <v>-1.72707615627656</v>
      </c>
      <c r="D3510" s="10">
        <v>0.24847483028484399</v>
      </c>
      <c r="E3510" s="10">
        <v>-6.9507086665345197</v>
      </c>
      <c r="F3510" s="4">
        <v>3.6345576066059799E-12</v>
      </c>
      <c r="G3510" s="4">
        <v>6.7139519394707298E-11</v>
      </c>
      <c r="H3510" s="10" t="s">
        <v>7033</v>
      </c>
      <c r="I3510" s="10" t="s">
        <v>18</v>
      </c>
    </row>
    <row r="3511" spans="1:9" x14ac:dyDescent="0.2">
      <c r="A3511" s="10" t="s">
        <v>7034</v>
      </c>
      <c r="B3511" s="10">
        <v>236.06544083847101</v>
      </c>
      <c r="C3511" s="10">
        <v>-2.2243118903696701</v>
      </c>
      <c r="D3511" s="10">
        <v>0.30235957399994001</v>
      </c>
      <c r="E3511" s="10">
        <v>-7.3565121849593398</v>
      </c>
      <c r="F3511" s="4">
        <v>1.8877765752897699E-13</v>
      </c>
      <c r="G3511" s="4">
        <v>4.0887319830620403E-12</v>
      </c>
      <c r="H3511" s="10" t="s">
        <v>7035</v>
      </c>
      <c r="I3511" s="10" t="s">
        <v>18</v>
      </c>
    </row>
    <row r="3512" spans="1:9" x14ac:dyDescent="0.2">
      <c r="A3512" s="10" t="s">
        <v>7036</v>
      </c>
      <c r="B3512" s="10">
        <v>14095.8380153773</v>
      </c>
      <c r="C3512" s="10">
        <v>-1.3999530519585801</v>
      </c>
      <c r="D3512" s="10">
        <v>0.227868970106264</v>
      </c>
      <c r="E3512" s="10">
        <v>-6.1436756891722997</v>
      </c>
      <c r="F3512" s="4">
        <v>8.0633392890708098E-10</v>
      </c>
      <c r="G3512" s="4">
        <v>1.1112888498194899E-8</v>
      </c>
      <c r="H3512" s="10" t="s">
        <v>7037</v>
      </c>
      <c r="I3512" s="10" t="s">
        <v>18</v>
      </c>
    </row>
    <row r="3513" spans="1:9" x14ac:dyDescent="0.2">
      <c r="A3513" s="10" t="s">
        <v>7038</v>
      </c>
      <c r="B3513" s="10">
        <v>225.918684806475</v>
      </c>
      <c r="C3513" s="10">
        <v>1.6634426754257601</v>
      </c>
      <c r="D3513" s="10">
        <v>0.28876154683188798</v>
      </c>
      <c r="E3513" s="10">
        <v>5.7606100731763599</v>
      </c>
      <c r="F3513" s="4">
        <v>8.3810452770091802E-9</v>
      </c>
      <c r="G3513" s="4">
        <v>1.00598387957123E-7</v>
      </c>
      <c r="H3513" s="10" t="s">
        <v>7039</v>
      </c>
      <c r="I3513" s="10" t="s">
        <v>18</v>
      </c>
    </row>
    <row r="3514" spans="1:9" x14ac:dyDescent="0.2">
      <c r="A3514" s="10" t="s">
        <v>7040</v>
      </c>
      <c r="B3514" s="10">
        <v>127.110037731795</v>
      </c>
      <c r="C3514" s="10">
        <v>-1.7598523538219999</v>
      </c>
      <c r="D3514" s="10">
        <v>0.34873898719937901</v>
      </c>
      <c r="E3514" s="10">
        <v>-5.04633097651302</v>
      </c>
      <c r="F3514" s="4">
        <v>4.5037495281024302E-7</v>
      </c>
      <c r="G3514" s="4">
        <v>4.1000221647914101E-6</v>
      </c>
      <c r="H3514" s="10" t="s">
        <v>7041</v>
      </c>
      <c r="I3514" s="10" t="s">
        <v>18</v>
      </c>
    </row>
    <row r="3515" spans="1:9" x14ac:dyDescent="0.2">
      <c r="A3515" s="10" t="s">
        <v>7042</v>
      </c>
      <c r="B3515" s="10">
        <v>139.24675304711201</v>
      </c>
      <c r="C3515" s="10">
        <v>3.3573666178281201</v>
      </c>
      <c r="D3515" s="10">
        <v>0.38029745920133501</v>
      </c>
      <c r="E3515" s="10">
        <v>8.82826465598521</v>
      </c>
      <c r="F3515" s="4">
        <v>1.06312259697384E-18</v>
      </c>
      <c r="G3515" s="4">
        <v>3.6574370454225102E-17</v>
      </c>
      <c r="H3515" s="10" t="s">
        <v>7043</v>
      </c>
      <c r="I3515" s="10" t="s">
        <v>18</v>
      </c>
    </row>
    <row r="3516" spans="1:9" x14ac:dyDescent="0.2">
      <c r="A3516" s="10" t="s">
        <v>7044</v>
      </c>
      <c r="B3516" s="10">
        <v>63.385964298678097</v>
      </c>
      <c r="C3516" s="10">
        <v>6.3382079114006098</v>
      </c>
      <c r="D3516" s="10">
        <v>0.93571061798814703</v>
      </c>
      <c r="E3516" s="10">
        <v>6.7736838607520102</v>
      </c>
      <c r="F3516" s="4">
        <v>1.25543848973131E-11</v>
      </c>
      <c r="G3516" s="4">
        <v>2.18714402363869E-10</v>
      </c>
      <c r="H3516" s="10" t="s">
        <v>7045</v>
      </c>
      <c r="I3516" s="10" t="s">
        <v>18</v>
      </c>
    </row>
    <row r="3517" spans="1:9" x14ac:dyDescent="0.2">
      <c r="A3517" s="10" t="s">
        <v>7046</v>
      </c>
      <c r="B3517" s="10">
        <v>124.56425475074001</v>
      </c>
      <c r="C3517" s="10">
        <v>-1.65898187944688</v>
      </c>
      <c r="D3517" s="10">
        <v>0.35309237847347102</v>
      </c>
      <c r="E3517" s="10">
        <v>-4.69843582186388</v>
      </c>
      <c r="F3517" s="4">
        <v>2.6216154103851199E-6</v>
      </c>
      <c r="G3517" s="4">
        <v>2.0801151743378899E-5</v>
      </c>
      <c r="H3517" s="10" t="s">
        <v>7047</v>
      </c>
      <c r="I3517" s="10" t="s">
        <v>18</v>
      </c>
    </row>
    <row r="3518" spans="1:9" x14ac:dyDescent="0.2">
      <c r="A3518" s="10" t="s">
        <v>7048</v>
      </c>
      <c r="B3518" s="10">
        <v>17.656130588972299</v>
      </c>
      <c r="C3518" s="10">
        <v>6.0791786382708803</v>
      </c>
      <c r="D3518" s="10">
        <v>1.63583417636631</v>
      </c>
      <c r="E3518" s="10">
        <v>3.7162560399456801</v>
      </c>
      <c r="F3518" s="10">
        <v>2.02196687160838E-4</v>
      </c>
      <c r="G3518" s="10">
        <v>1.0777099247009699E-3</v>
      </c>
      <c r="H3518" s="10" t="s">
        <v>7049</v>
      </c>
      <c r="I3518" s="10" t="s">
        <v>18</v>
      </c>
    </row>
    <row r="3519" spans="1:9" x14ac:dyDescent="0.2">
      <c r="A3519" s="10" t="s">
        <v>7050</v>
      </c>
      <c r="B3519" s="10">
        <v>221.16667424018601</v>
      </c>
      <c r="C3519" s="10">
        <v>1.3873206110402201</v>
      </c>
      <c r="D3519" s="10">
        <v>0.28717712089187197</v>
      </c>
      <c r="E3519" s="10">
        <v>4.8308883616204703</v>
      </c>
      <c r="F3519" s="4">
        <v>1.3592520652752799E-6</v>
      </c>
      <c r="G3519" s="4">
        <v>1.13955510838633E-5</v>
      </c>
      <c r="H3519" s="10" t="s">
        <v>7051</v>
      </c>
      <c r="I3519" s="10" t="s">
        <v>18</v>
      </c>
    </row>
    <row r="3520" spans="1:9" x14ac:dyDescent="0.2">
      <c r="A3520" s="10" t="s">
        <v>7052</v>
      </c>
      <c r="B3520" s="10">
        <v>1424.41492069882</v>
      </c>
      <c r="C3520" s="10">
        <v>-1.3916150782427099</v>
      </c>
      <c r="D3520" s="10">
        <v>0.25231652556863698</v>
      </c>
      <c r="E3520" s="10">
        <v>-5.5153544743312901</v>
      </c>
      <c r="F3520" s="4">
        <v>3.4807766598811101E-8</v>
      </c>
      <c r="G3520" s="4">
        <v>3.82576529454541E-7</v>
      </c>
      <c r="H3520" s="10" t="s">
        <v>7053</v>
      </c>
      <c r="I3520" s="10" t="s">
        <v>18</v>
      </c>
    </row>
    <row r="3521" spans="1:9" x14ac:dyDescent="0.2">
      <c r="A3521" s="10" t="s">
        <v>7054</v>
      </c>
      <c r="B3521" s="10">
        <v>3387.3548257372299</v>
      </c>
      <c r="C3521" s="10">
        <v>-1.82598746159477</v>
      </c>
      <c r="D3521" s="10">
        <v>0.19161537602238299</v>
      </c>
      <c r="E3521" s="10">
        <v>-9.5294412144747298</v>
      </c>
      <c r="F3521" s="4">
        <v>1.58132086013237E-21</v>
      </c>
      <c r="G3521" s="4">
        <v>6.9159308950283697E-20</v>
      </c>
      <c r="H3521" s="10" t="s">
        <v>7055</v>
      </c>
      <c r="I3521" s="10" t="s">
        <v>18</v>
      </c>
    </row>
    <row r="3522" spans="1:9" x14ac:dyDescent="0.2">
      <c r="A3522" s="10" t="s">
        <v>7056</v>
      </c>
      <c r="B3522" s="10">
        <v>390.24660573253902</v>
      </c>
      <c r="C3522" s="10">
        <v>-1.0536507786752001</v>
      </c>
      <c r="D3522" s="10">
        <v>0.27256656770525201</v>
      </c>
      <c r="E3522" s="10">
        <v>-3.8656640377648901</v>
      </c>
      <c r="F3522" s="10">
        <v>1.10787356518286E-4</v>
      </c>
      <c r="G3522" s="10">
        <v>6.2796403225582199E-4</v>
      </c>
      <c r="H3522" s="10" t="s">
        <v>7057</v>
      </c>
      <c r="I3522" s="10" t="s">
        <v>18</v>
      </c>
    </row>
    <row r="3523" spans="1:9" x14ac:dyDescent="0.2">
      <c r="A3523" s="10" t="s">
        <v>7058</v>
      </c>
      <c r="B3523" s="10">
        <v>74.250773713279798</v>
      </c>
      <c r="C3523" s="10">
        <v>1.10905287712187</v>
      </c>
      <c r="D3523" s="10">
        <v>0.41941282632117299</v>
      </c>
      <c r="E3523" s="10">
        <v>2.6442989043749399</v>
      </c>
      <c r="F3523" s="10">
        <v>8.1860332283929006E-3</v>
      </c>
      <c r="G3523" s="10">
        <v>2.6889071413384098E-2</v>
      </c>
      <c r="H3523" s="10" t="s">
        <v>7059</v>
      </c>
      <c r="I3523" s="10" t="s">
        <v>18</v>
      </c>
    </row>
    <row r="3524" spans="1:9" x14ac:dyDescent="0.2">
      <c r="A3524" s="10" t="s">
        <v>7060</v>
      </c>
      <c r="B3524" s="10">
        <v>9889.2213659837707</v>
      </c>
      <c r="C3524" s="10">
        <v>-1.1593875158143501</v>
      </c>
      <c r="D3524" s="10">
        <v>0.183099633247993</v>
      </c>
      <c r="E3524" s="10">
        <v>-6.3320034849226703</v>
      </c>
      <c r="F3524" s="4">
        <v>2.41998019803932E-10</v>
      </c>
      <c r="G3524" s="4">
        <v>3.5488267199126699E-9</v>
      </c>
      <c r="H3524" s="10" t="s">
        <v>7061</v>
      </c>
      <c r="I3524" s="10" t="s">
        <v>18</v>
      </c>
    </row>
    <row r="3525" spans="1:9" x14ac:dyDescent="0.2">
      <c r="A3525" s="10" t="s">
        <v>7062</v>
      </c>
      <c r="B3525" s="10">
        <v>4.9915038515476402</v>
      </c>
      <c r="C3525" s="10">
        <v>5.7155107172183204</v>
      </c>
      <c r="D3525" s="10">
        <v>2.03125899621197</v>
      </c>
      <c r="E3525" s="10">
        <v>2.81377742960253</v>
      </c>
      <c r="F3525" s="10">
        <v>4.8963116077231396E-3</v>
      </c>
      <c r="G3525" s="10">
        <v>1.7423247012620099E-2</v>
      </c>
      <c r="H3525" s="10" t="s">
        <v>7063</v>
      </c>
      <c r="I3525" s="10" t="s">
        <v>18</v>
      </c>
    </row>
    <row r="3526" spans="1:9" x14ac:dyDescent="0.2">
      <c r="A3526" s="10" t="s">
        <v>7064</v>
      </c>
      <c r="B3526" s="10">
        <v>945.56099982737703</v>
      </c>
      <c r="C3526" s="10">
        <v>8.653849868999</v>
      </c>
      <c r="D3526" s="10">
        <v>0.95406171256736405</v>
      </c>
      <c r="E3526" s="10">
        <v>9.0705346991775198</v>
      </c>
      <c r="F3526" s="4">
        <v>1.1843437572619101E-19</v>
      </c>
      <c r="G3526" s="4">
        <v>4.3964324733127003E-18</v>
      </c>
      <c r="H3526" s="10" t="s">
        <v>7065</v>
      </c>
      <c r="I3526" s="10" t="s">
        <v>18</v>
      </c>
    </row>
    <row r="3527" spans="1:9" x14ac:dyDescent="0.2">
      <c r="A3527" s="10" t="s">
        <v>7066</v>
      </c>
      <c r="B3527" s="10">
        <v>54.333312922000403</v>
      </c>
      <c r="C3527" s="10">
        <v>2.3771548095324802</v>
      </c>
      <c r="D3527" s="10">
        <v>0.51380298789491996</v>
      </c>
      <c r="E3527" s="10">
        <v>4.6265881389125898</v>
      </c>
      <c r="F3527" s="4">
        <v>3.7173870974569801E-6</v>
      </c>
      <c r="G3527" s="4">
        <v>2.8766727135589399E-5</v>
      </c>
      <c r="H3527" s="10" t="s">
        <v>7067</v>
      </c>
      <c r="I3527" s="10" t="s">
        <v>18</v>
      </c>
    </row>
    <row r="3528" spans="1:9" x14ac:dyDescent="0.2">
      <c r="A3528" s="10" t="s">
        <v>7068</v>
      </c>
      <c r="B3528" s="10">
        <v>4.6261170131073301</v>
      </c>
      <c r="C3528" s="10">
        <v>5.6094325569646601</v>
      </c>
      <c r="D3528" s="10">
        <v>2.08410562928304</v>
      </c>
      <c r="E3528" s="10">
        <v>2.6915298716862002</v>
      </c>
      <c r="F3528" s="10">
        <v>7.1125128459038501E-3</v>
      </c>
      <c r="G3528" s="10">
        <v>2.39370846729672E-2</v>
      </c>
      <c r="H3528" s="10" t="s">
        <v>7069</v>
      </c>
      <c r="I3528" s="10" t="s">
        <v>18</v>
      </c>
    </row>
    <row r="3529" spans="1:9" x14ac:dyDescent="0.2">
      <c r="A3529" s="10" t="s">
        <v>7070</v>
      </c>
      <c r="B3529" s="10">
        <v>17.734325950316599</v>
      </c>
      <c r="C3529" s="10">
        <v>6.0797993170037197</v>
      </c>
      <c r="D3529" s="10">
        <v>1.62363866207615</v>
      </c>
      <c r="E3529" s="10">
        <v>3.7445519492800599</v>
      </c>
      <c r="F3529" s="10">
        <v>1.8071598362138E-4</v>
      </c>
      <c r="G3529" s="10">
        <v>9.7350106874886E-4</v>
      </c>
      <c r="H3529" s="10" t="s">
        <v>7071</v>
      </c>
      <c r="I3529" s="10" t="s">
        <v>18</v>
      </c>
    </row>
    <row r="3530" spans="1:9" x14ac:dyDescent="0.2">
      <c r="A3530" s="10" t="s">
        <v>7072</v>
      </c>
      <c r="B3530" s="10">
        <v>38.8956187982402</v>
      </c>
      <c r="C3530" s="10">
        <v>-1.79139369429472</v>
      </c>
      <c r="D3530" s="10">
        <v>0.56763568189491098</v>
      </c>
      <c r="E3530" s="10">
        <v>-3.1558863394820298</v>
      </c>
      <c r="F3530" s="10">
        <v>1.60011200693815E-3</v>
      </c>
      <c r="G3530" s="10">
        <v>6.6491157317437304E-3</v>
      </c>
      <c r="H3530" s="10" t="s">
        <v>7073</v>
      </c>
      <c r="I3530" s="10" t="s">
        <v>18</v>
      </c>
    </row>
    <row r="3531" spans="1:9" x14ac:dyDescent="0.2">
      <c r="A3531" s="10" t="s">
        <v>7074</v>
      </c>
      <c r="B3531" s="10">
        <v>1856.38580346096</v>
      </c>
      <c r="C3531" s="10">
        <v>-1.98292696553456</v>
      </c>
      <c r="D3531" s="10">
        <v>0.19921033660127199</v>
      </c>
      <c r="E3531" s="10">
        <v>-9.9539361228201209</v>
      </c>
      <c r="F3531" s="4">
        <v>2.4240158456691099E-23</v>
      </c>
      <c r="G3531" s="4">
        <v>1.19218699904235E-21</v>
      </c>
      <c r="H3531" s="10" t="s">
        <v>7075</v>
      </c>
      <c r="I3531" s="10" t="s">
        <v>18</v>
      </c>
    </row>
    <row r="3532" spans="1:9" x14ac:dyDescent="0.2">
      <c r="A3532" s="10" t="s">
        <v>7076</v>
      </c>
      <c r="B3532" s="10">
        <v>107.730836512702</v>
      </c>
      <c r="C3532" s="10">
        <v>-3.7284284469041098</v>
      </c>
      <c r="D3532" s="10">
        <v>0.44228894062528301</v>
      </c>
      <c r="E3532" s="10">
        <v>-8.4298477860040304</v>
      </c>
      <c r="F3532" s="4">
        <v>3.4611512959923499E-17</v>
      </c>
      <c r="G3532" s="4">
        <v>1.04552094636257E-15</v>
      </c>
      <c r="H3532" s="10" t="s">
        <v>7077</v>
      </c>
      <c r="I3532" s="10" t="s">
        <v>18</v>
      </c>
    </row>
    <row r="3533" spans="1:9" x14ac:dyDescent="0.2">
      <c r="A3533" s="10" t="s">
        <v>7078</v>
      </c>
      <c r="B3533" s="10">
        <v>1588.3434057935899</v>
      </c>
      <c r="C3533" s="10">
        <v>-2.4339616140499598</v>
      </c>
      <c r="D3533" s="10">
        <v>0.21126973456223</v>
      </c>
      <c r="E3533" s="10">
        <v>-11.520635547222801</v>
      </c>
      <c r="F3533" s="4">
        <v>1.0384221974839101E-30</v>
      </c>
      <c r="G3533" s="4">
        <v>8.5739059438921698E-29</v>
      </c>
      <c r="H3533" s="10" t="s">
        <v>7079</v>
      </c>
      <c r="I3533" s="10" t="s">
        <v>18</v>
      </c>
    </row>
    <row r="3534" spans="1:9" x14ac:dyDescent="0.2">
      <c r="A3534" s="10" t="s">
        <v>7080</v>
      </c>
      <c r="B3534" s="10">
        <v>11.507515053771799</v>
      </c>
      <c r="C3534" s="10">
        <v>2.9753869922813099</v>
      </c>
      <c r="D3534" s="10">
        <v>1.13240502095151</v>
      </c>
      <c r="E3534" s="10">
        <v>2.6274936416135199</v>
      </c>
      <c r="F3534" s="10">
        <v>8.6016449371499604E-3</v>
      </c>
      <c r="G3534" s="10">
        <v>2.8051348845305201E-2</v>
      </c>
      <c r="H3534" s="10" t="s">
        <v>7081</v>
      </c>
      <c r="I3534" s="10" t="s">
        <v>18</v>
      </c>
    </row>
    <row r="3535" spans="1:9" x14ac:dyDescent="0.2">
      <c r="A3535" s="10" t="s">
        <v>7082</v>
      </c>
      <c r="B3535" s="10">
        <v>12.7310913662924</v>
      </c>
      <c r="C3535" s="10">
        <v>5.5950720719676896</v>
      </c>
      <c r="D3535" s="10">
        <v>1.6900156917412501</v>
      </c>
      <c r="E3535" s="10">
        <v>3.3106627940258999</v>
      </c>
      <c r="F3535" s="10">
        <v>9.3075295056835403E-4</v>
      </c>
      <c r="G3535" s="10">
        <v>4.1431507342159701E-3</v>
      </c>
      <c r="H3535" s="10" t="s">
        <v>7083</v>
      </c>
      <c r="I3535" s="10" t="s">
        <v>18</v>
      </c>
    </row>
    <row r="3536" spans="1:9" x14ac:dyDescent="0.2">
      <c r="A3536" s="10" t="s">
        <v>7084</v>
      </c>
      <c r="B3536" s="10">
        <v>350.77859734725303</v>
      </c>
      <c r="C3536" s="10">
        <v>-1.1555482572589799</v>
      </c>
      <c r="D3536" s="10">
        <v>0.25209732975100202</v>
      </c>
      <c r="E3536" s="10">
        <v>-4.5837385838252196</v>
      </c>
      <c r="F3536" s="4">
        <v>4.5673519501713701E-6</v>
      </c>
      <c r="G3536" s="4">
        <v>3.4781061650732003E-5</v>
      </c>
      <c r="H3536" s="10" t="s">
        <v>7085</v>
      </c>
      <c r="I3536" s="10" t="s">
        <v>18</v>
      </c>
    </row>
    <row r="3537" spans="1:9" x14ac:dyDescent="0.2">
      <c r="A3537" s="10" t="s">
        <v>7086</v>
      </c>
      <c r="B3537" s="10">
        <v>1439.1852145456501</v>
      </c>
      <c r="C3537" s="10">
        <v>1.2344436551798399</v>
      </c>
      <c r="D3537" s="10">
        <v>0.22776713321226599</v>
      </c>
      <c r="E3537" s="10">
        <v>5.4197620076703696</v>
      </c>
      <c r="F3537" s="4">
        <v>5.9678427822925503E-8</v>
      </c>
      <c r="G3537" s="4">
        <v>6.3025508639195798E-7</v>
      </c>
      <c r="H3537" s="10" t="s">
        <v>7087</v>
      </c>
      <c r="I3537" s="10" t="s">
        <v>18</v>
      </c>
    </row>
    <row r="3538" spans="1:9" x14ac:dyDescent="0.2">
      <c r="A3538" s="10" t="s">
        <v>7088</v>
      </c>
      <c r="B3538" s="10">
        <v>562.78961118013899</v>
      </c>
      <c r="C3538" s="10">
        <v>-1.1553475855981601</v>
      </c>
      <c r="D3538" s="10">
        <v>0.23706467506248199</v>
      </c>
      <c r="E3538" s="10">
        <v>-4.8735543804392298</v>
      </c>
      <c r="F3538" s="4">
        <v>1.09608078062472E-6</v>
      </c>
      <c r="G3538" s="4">
        <v>9.3357027288783494E-6</v>
      </c>
      <c r="H3538" s="10" t="s">
        <v>7089</v>
      </c>
      <c r="I3538" s="10" t="s">
        <v>18</v>
      </c>
    </row>
    <row r="3539" spans="1:9" x14ac:dyDescent="0.2">
      <c r="A3539" s="10" t="s">
        <v>7090</v>
      </c>
      <c r="B3539" s="10">
        <v>2584.3784883183298</v>
      </c>
      <c r="C3539" s="10">
        <v>-1.31015171304717</v>
      </c>
      <c r="D3539" s="10">
        <v>0.20487228926773501</v>
      </c>
      <c r="E3539" s="10">
        <v>-6.3949678979523101</v>
      </c>
      <c r="F3539" s="4">
        <v>1.60581089077407E-10</v>
      </c>
      <c r="G3539" s="4">
        <v>2.4294019622943401E-9</v>
      </c>
      <c r="H3539" s="10" t="s">
        <v>7091</v>
      </c>
      <c r="I3539" s="10" t="s">
        <v>18</v>
      </c>
    </row>
    <row r="3540" spans="1:9" x14ac:dyDescent="0.2">
      <c r="A3540" s="10" t="s">
        <v>7092</v>
      </c>
      <c r="B3540" s="10">
        <v>542.00295258955703</v>
      </c>
      <c r="C3540" s="10">
        <v>1.09474417719772</v>
      </c>
      <c r="D3540" s="10">
        <v>0.23371844221346</v>
      </c>
      <c r="E3540" s="10">
        <v>4.6840299243388896</v>
      </c>
      <c r="F3540" s="4">
        <v>2.81288914928649E-6</v>
      </c>
      <c r="G3540" s="4">
        <v>2.2208864285890701E-5</v>
      </c>
      <c r="H3540" s="10" t="s">
        <v>7093</v>
      </c>
      <c r="I3540" s="10" t="s">
        <v>18</v>
      </c>
    </row>
    <row r="3541" spans="1:9" x14ac:dyDescent="0.2">
      <c r="A3541" s="10" t="s">
        <v>7094</v>
      </c>
      <c r="B3541" s="10">
        <v>67.697154052530195</v>
      </c>
      <c r="C3541" s="10">
        <v>2.3869434535957601</v>
      </c>
      <c r="D3541" s="10">
        <v>0.46977728400274499</v>
      </c>
      <c r="E3541" s="10">
        <v>5.0810107999641296</v>
      </c>
      <c r="F3541" s="4">
        <v>3.7543177075498702E-7</v>
      </c>
      <c r="G3541" s="4">
        <v>3.4628941969401299E-6</v>
      </c>
      <c r="H3541" s="10" t="s">
        <v>7095</v>
      </c>
      <c r="I3541" s="10" t="s">
        <v>18</v>
      </c>
    </row>
    <row r="3542" spans="1:9" x14ac:dyDescent="0.2">
      <c r="A3542" s="10" t="s">
        <v>7096</v>
      </c>
      <c r="B3542" s="10">
        <v>18.713848911693798</v>
      </c>
      <c r="C3542" s="10">
        <v>2.4934286894458002</v>
      </c>
      <c r="D3542" s="10">
        <v>0.86668128947395995</v>
      </c>
      <c r="E3542" s="10">
        <v>2.87698456137112</v>
      </c>
      <c r="F3542" s="10">
        <v>4.0149523808878998E-3</v>
      </c>
      <c r="G3542" s="10">
        <v>1.4695782848207E-2</v>
      </c>
      <c r="H3542" s="10" t="s">
        <v>7097</v>
      </c>
      <c r="I3542" s="10" t="s">
        <v>18</v>
      </c>
    </row>
    <row r="3543" spans="1:9" x14ac:dyDescent="0.2">
      <c r="A3543" s="10" t="s">
        <v>7098</v>
      </c>
      <c r="B3543" s="10">
        <v>3760.5212051252201</v>
      </c>
      <c r="C3543" s="10">
        <v>-1.05715159379058</v>
      </c>
      <c r="D3543" s="10">
        <v>0.19498282548406601</v>
      </c>
      <c r="E3543" s="10">
        <v>-5.4217677437286502</v>
      </c>
      <c r="F3543" s="4">
        <v>5.9012524547303702E-8</v>
      </c>
      <c r="G3543" s="4">
        <v>6.23948101024596E-7</v>
      </c>
      <c r="H3543" s="10" t="s">
        <v>7099</v>
      </c>
      <c r="I3543" s="10" t="s">
        <v>18</v>
      </c>
    </row>
    <row r="3544" spans="1:9" x14ac:dyDescent="0.2">
      <c r="A3544" s="10" t="s">
        <v>7100</v>
      </c>
      <c r="B3544" s="10">
        <v>1227.26448140209</v>
      </c>
      <c r="C3544" s="10">
        <v>-2.5367330912022599</v>
      </c>
      <c r="D3544" s="10">
        <v>0.22224145468832901</v>
      </c>
      <c r="E3544" s="10">
        <v>-11.414311046333699</v>
      </c>
      <c r="F3544" s="4">
        <v>3.5470340627758803E-30</v>
      </c>
      <c r="G3544" s="4">
        <v>2.8176687203631001E-28</v>
      </c>
      <c r="H3544" s="10" t="s">
        <v>7101</v>
      </c>
      <c r="I3544" s="10" t="s">
        <v>18</v>
      </c>
    </row>
    <row r="3545" spans="1:9" x14ac:dyDescent="0.2">
      <c r="A3545" s="10" t="s">
        <v>7102</v>
      </c>
      <c r="B3545" s="10">
        <v>1683.7489710551199</v>
      </c>
      <c r="C3545" s="10">
        <v>1.3361022480245199</v>
      </c>
      <c r="D3545" s="10">
        <v>0.18796653219409001</v>
      </c>
      <c r="E3545" s="10">
        <v>7.1081922533149999</v>
      </c>
      <c r="F3545" s="4">
        <v>1.1757271132913499E-12</v>
      </c>
      <c r="G3545" s="4">
        <v>2.30302204571167E-11</v>
      </c>
      <c r="H3545" s="10" t="s">
        <v>7103</v>
      </c>
      <c r="I3545" s="10" t="s">
        <v>18</v>
      </c>
    </row>
    <row r="3546" spans="1:9" x14ac:dyDescent="0.2">
      <c r="A3546" s="10" t="s">
        <v>7104</v>
      </c>
      <c r="B3546" s="10">
        <v>32.9327002502908</v>
      </c>
      <c r="C3546" s="10">
        <v>4.1095763287129001</v>
      </c>
      <c r="D3546" s="10">
        <v>0.78881850645328999</v>
      </c>
      <c r="E3546" s="10">
        <v>5.2097869092733404</v>
      </c>
      <c r="F3546" s="4">
        <v>1.89057641218138E-7</v>
      </c>
      <c r="G3546" s="4">
        <v>1.8357995546224499E-6</v>
      </c>
      <c r="H3546" s="10" t="s">
        <v>7105</v>
      </c>
      <c r="I3546" s="10" t="s">
        <v>18</v>
      </c>
    </row>
    <row r="3547" spans="1:9" x14ac:dyDescent="0.2">
      <c r="A3547" s="10" t="s">
        <v>7106</v>
      </c>
      <c r="B3547" s="10">
        <v>288.17027457919897</v>
      </c>
      <c r="C3547" s="10">
        <v>1.4524007663553</v>
      </c>
      <c r="D3547" s="10">
        <v>0.264458622994449</v>
      </c>
      <c r="E3547" s="10">
        <v>5.4919773456802297</v>
      </c>
      <c r="F3547" s="4">
        <v>3.9745838556597597E-8</v>
      </c>
      <c r="G3547" s="4">
        <v>4.3283567671926998E-7</v>
      </c>
      <c r="H3547" s="10" t="s">
        <v>7107</v>
      </c>
      <c r="I3547" s="10" t="s">
        <v>18</v>
      </c>
    </row>
    <row r="3548" spans="1:9" x14ac:dyDescent="0.2">
      <c r="A3548" s="10" t="s">
        <v>7108</v>
      </c>
      <c r="B3548" s="10">
        <v>3248.67784149098</v>
      </c>
      <c r="C3548" s="10">
        <v>-1.01290185395601</v>
      </c>
      <c r="D3548" s="10">
        <v>0.17656384334969799</v>
      </c>
      <c r="E3548" s="10">
        <v>-5.7367456141622402</v>
      </c>
      <c r="F3548" s="4">
        <v>9.6513049498641392E-9</v>
      </c>
      <c r="G3548" s="4">
        <v>1.14733466827639E-7</v>
      </c>
      <c r="H3548" s="10" t="s">
        <v>7109</v>
      </c>
      <c r="I3548" s="10" t="s">
        <v>18</v>
      </c>
    </row>
    <row r="3549" spans="1:9" x14ac:dyDescent="0.2">
      <c r="A3549" s="10" t="s">
        <v>7110</v>
      </c>
      <c r="B3549" s="10">
        <v>12.045324105232201</v>
      </c>
      <c r="C3549" s="10">
        <v>3.8582405277011702</v>
      </c>
      <c r="D3549" s="10">
        <v>1.2238325563505501</v>
      </c>
      <c r="E3549" s="10">
        <v>3.1525885691473801</v>
      </c>
      <c r="F3549" s="10">
        <v>1.61829719839009E-3</v>
      </c>
      <c r="G3549" s="10">
        <v>6.7164880067836601E-3</v>
      </c>
      <c r="H3549" s="10" t="s">
        <v>7111</v>
      </c>
      <c r="I3549" s="10" t="s">
        <v>18</v>
      </c>
    </row>
    <row r="3550" spans="1:9" x14ac:dyDescent="0.2">
      <c r="A3550" s="10" t="s">
        <v>7112</v>
      </c>
      <c r="B3550" s="10">
        <v>1815.5887803298799</v>
      </c>
      <c r="C3550" s="10">
        <v>1.3211936546313201</v>
      </c>
      <c r="D3550" s="10">
        <v>0.18884552978729699</v>
      </c>
      <c r="E3550" s="10">
        <v>6.9961605981323496</v>
      </c>
      <c r="F3550" s="4">
        <v>2.6307197232324901E-12</v>
      </c>
      <c r="G3550" s="4">
        <v>4.9502223963339602E-11</v>
      </c>
      <c r="H3550" s="10" t="s">
        <v>7113</v>
      </c>
      <c r="I3550" s="10" t="s">
        <v>18</v>
      </c>
    </row>
    <row r="3551" spans="1:9" x14ac:dyDescent="0.2">
      <c r="A3551" s="10" t="s">
        <v>7114</v>
      </c>
      <c r="B3551" s="10">
        <v>587.98842388348601</v>
      </c>
      <c r="C3551" s="10">
        <v>3.6415987361486599</v>
      </c>
      <c r="D3551" s="10">
        <v>0.244519884585544</v>
      </c>
      <c r="E3551" s="10">
        <v>14.892853161292299</v>
      </c>
      <c r="F3551" s="4">
        <v>3.6677753590628602E-50</v>
      </c>
      <c r="G3551" s="4">
        <v>7.4579011349541702E-48</v>
      </c>
      <c r="H3551" s="10" t="s">
        <v>7115</v>
      </c>
      <c r="I3551" s="10" t="s">
        <v>18</v>
      </c>
    </row>
    <row r="3552" spans="1:9" x14ac:dyDescent="0.2">
      <c r="A3552" s="10" t="s">
        <v>7116</v>
      </c>
      <c r="B3552" s="10">
        <v>8.0745799301615602</v>
      </c>
      <c r="C3552" s="10">
        <v>6.4095409579650902</v>
      </c>
      <c r="D3552" s="10">
        <v>1.8297258268735599</v>
      </c>
      <c r="E3552" s="10">
        <v>3.5030062230236001</v>
      </c>
      <c r="F3552" s="10">
        <v>4.6003871540105699E-4</v>
      </c>
      <c r="G3552" s="10">
        <v>2.2244719662634599E-3</v>
      </c>
      <c r="H3552" s="10" t="s">
        <v>7117</v>
      </c>
      <c r="I3552" s="10" t="s">
        <v>18</v>
      </c>
    </row>
    <row r="3553" spans="1:9" x14ac:dyDescent="0.2">
      <c r="A3553" s="10" t="s">
        <v>7118</v>
      </c>
      <c r="B3553" s="10">
        <v>674.89145139521702</v>
      </c>
      <c r="C3553" s="10">
        <v>-1.37183743205606</v>
      </c>
      <c r="D3553" s="10">
        <v>0.224307408709985</v>
      </c>
      <c r="E3553" s="10">
        <v>-6.1158810578110003</v>
      </c>
      <c r="F3553" s="4">
        <v>9.6024929606609408E-10</v>
      </c>
      <c r="G3553" s="4">
        <v>1.31096241918883E-8</v>
      </c>
      <c r="H3553" s="10" t="s">
        <v>7119</v>
      </c>
      <c r="I3553" s="10" t="s">
        <v>18</v>
      </c>
    </row>
    <row r="3554" spans="1:9" x14ac:dyDescent="0.2">
      <c r="A3554" s="10" t="s">
        <v>7120</v>
      </c>
      <c r="B3554" s="10">
        <v>7847.99257420922</v>
      </c>
      <c r="C3554" s="10">
        <v>1.6187794150110699</v>
      </c>
      <c r="D3554" s="10">
        <v>0.18017380961969601</v>
      </c>
      <c r="E3554" s="10">
        <v>8.9845434163151996</v>
      </c>
      <c r="F3554" s="4">
        <v>2.5981077918099098E-19</v>
      </c>
      <c r="G3554" s="4">
        <v>9.3391349608766003E-18</v>
      </c>
      <c r="H3554" s="10" t="s">
        <v>7121</v>
      </c>
      <c r="I3554" s="10" t="s">
        <v>18</v>
      </c>
    </row>
    <row r="3555" spans="1:9" x14ac:dyDescent="0.2">
      <c r="A3555" s="10" t="s">
        <v>7122</v>
      </c>
      <c r="B3555" s="10">
        <v>51.623617650507001</v>
      </c>
      <c r="C3555" s="10">
        <v>5.0091951973867799</v>
      </c>
      <c r="D3555" s="10">
        <v>0.76104343503694605</v>
      </c>
      <c r="E3555" s="10">
        <v>6.5820096025709702</v>
      </c>
      <c r="F3555" s="4">
        <v>4.6413160263568901E-11</v>
      </c>
      <c r="G3555" s="4">
        <v>7.5589920962430495E-10</v>
      </c>
      <c r="H3555" s="10" t="s">
        <v>7123</v>
      </c>
      <c r="I3555" s="10" t="s">
        <v>18</v>
      </c>
    </row>
    <row r="3556" spans="1:9" x14ac:dyDescent="0.2">
      <c r="A3556" s="10" t="s">
        <v>7124</v>
      </c>
      <c r="B3556" s="10">
        <v>3173.3897680771101</v>
      </c>
      <c r="C3556" s="10">
        <v>-1.0199765565130099</v>
      </c>
      <c r="D3556" s="10">
        <v>0.19826933021401899</v>
      </c>
      <c r="E3556" s="10">
        <v>-5.1443990626891498</v>
      </c>
      <c r="F3556" s="4">
        <v>2.6837850162563599E-7</v>
      </c>
      <c r="G3556" s="4">
        <v>2.5285300946727899E-6</v>
      </c>
      <c r="H3556" s="10" t="s">
        <v>7125</v>
      </c>
      <c r="I3556" s="10" t="s">
        <v>18</v>
      </c>
    </row>
    <row r="3557" spans="1:9" x14ac:dyDescent="0.2">
      <c r="A3557" s="10" t="s">
        <v>7126</v>
      </c>
      <c r="B3557" s="10">
        <v>118.08125751657001</v>
      </c>
      <c r="C3557" s="10">
        <v>6.8267880334808302</v>
      </c>
      <c r="D3557" s="10">
        <v>0.79811044894621896</v>
      </c>
      <c r="E3557" s="10">
        <v>8.5536883303489404</v>
      </c>
      <c r="F3557" s="4">
        <v>1.19216533439051E-17</v>
      </c>
      <c r="G3557" s="4">
        <v>3.75525189203911E-16</v>
      </c>
      <c r="H3557" s="10" t="s">
        <v>7127</v>
      </c>
      <c r="I3557" s="10" t="s">
        <v>18</v>
      </c>
    </row>
    <row r="3558" spans="1:9" x14ac:dyDescent="0.2">
      <c r="A3558" s="10" t="s">
        <v>7128</v>
      </c>
      <c r="B3558" s="10">
        <v>432.00519598663601</v>
      </c>
      <c r="C3558" s="10">
        <v>-2.7749688590182502</v>
      </c>
      <c r="D3558" s="10">
        <v>0.260432718188983</v>
      </c>
      <c r="E3558" s="10">
        <v>-10.6552236535987</v>
      </c>
      <c r="F3558" s="4">
        <v>1.64847945230774E-26</v>
      </c>
      <c r="G3558" s="4">
        <v>1.01850611421834E-24</v>
      </c>
      <c r="H3558" s="10" t="s">
        <v>7129</v>
      </c>
      <c r="I3558" s="10" t="s">
        <v>18</v>
      </c>
    </row>
    <row r="3559" spans="1:9" x14ac:dyDescent="0.2">
      <c r="A3559" s="10" t="s">
        <v>7130</v>
      </c>
      <c r="B3559" s="10">
        <v>7225.5572182860296</v>
      </c>
      <c r="C3559" s="10">
        <v>-1.02422447512166</v>
      </c>
      <c r="D3559" s="10">
        <v>0.19776935395651399</v>
      </c>
      <c r="E3559" s="10">
        <v>-5.1788836573075399</v>
      </c>
      <c r="F3559" s="4">
        <v>2.2321761794521899E-7</v>
      </c>
      <c r="G3559" s="4">
        <v>2.1438175664974901E-6</v>
      </c>
      <c r="H3559" s="10" t="s">
        <v>7131</v>
      </c>
      <c r="I3559" s="10" t="s">
        <v>18</v>
      </c>
    </row>
    <row r="3560" spans="1:9" x14ac:dyDescent="0.2">
      <c r="A3560" s="10" t="s">
        <v>7132</v>
      </c>
      <c r="B3560" s="10">
        <v>578.68722311026602</v>
      </c>
      <c r="C3560" s="10">
        <v>1.9900994117936199</v>
      </c>
      <c r="D3560" s="10">
        <v>0.23923311342925799</v>
      </c>
      <c r="E3560" s="10">
        <v>8.3186620082261094</v>
      </c>
      <c r="F3560" s="4">
        <v>8.8961839376732397E-17</v>
      </c>
      <c r="G3560" s="4">
        <v>2.6204791756733299E-15</v>
      </c>
      <c r="H3560" s="10" t="s">
        <v>7133</v>
      </c>
      <c r="I3560" s="10" t="s">
        <v>18</v>
      </c>
    </row>
    <row r="3561" spans="1:9" x14ac:dyDescent="0.2">
      <c r="A3561" s="10" t="s">
        <v>7134</v>
      </c>
      <c r="B3561" s="10">
        <v>956.69731029177797</v>
      </c>
      <c r="C3561" s="10">
        <v>1.3825682579221701</v>
      </c>
      <c r="D3561" s="10">
        <v>0.20829396529205399</v>
      </c>
      <c r="E3561" s="10">
        <v>6.6375819193015797</v>
      </c>
      <c r="F3561" s="4">
        <v>3.18870754249629E-11</v>
      </c>
      <c r="G3561" s="4">
        <v>5.3236957359311504E-10</v>
      </c>
      <c r="H3561" s="10" t="s">
        <v>7135</v>
      </c>
      <c r="I3561" s="10" t="s">
        <v>18</v>
      </c>
    </row>
    <row r="3562" spans="1:9" x14ac:dyDescent="0.2">
      <c r="A3562" s="10" t="s">
        <v>7136</v>
      </c>
      <c r="B3562" s="10">
        <v>4.6623551179140703</v>
      </c>
      <c r="C3562" s="10">
        <v>5.61968301665675</v>
      </c>
      <c r="D3562" s="10">
        <v>2.07268783865596</v>
      </c>
      <c r="E3562" s="10">
        <v>2.7113021613041601</v>
      </c>
      <c r="F3562" s="10">
        <v>6.7019521803354997E-3</v>
      </c>
      <c r="G3562" s="10">
        <v>2.27181004052751E-2</v>
      </c>
      <c r="H3562" s="10" t="s">
        <v>7137</v>
      </c>
      <c r="I3562" s="10" t="s">
        <v>18</v>
      </c>
    </row>
    <row r="3563" spans="1:9" x14ac:dyDescent="0.2">
      <c r="A3563" s="10" t="s">
        <v>7138</v>
      </c>
      <c r="B3563" s="10">
        <v>235.39343636306401</v>
      </c>
      <c r="C3563" s="10">
        <v>1.2451784391699701</v>
      </c>
      <c r="D3563" s="10">
        <v>0.28386610153465602</v>
      </c>
      <c r="E3563" s="10">
        <v>4.3864992418545503</v>
      </c>
      <c r="F3563" s="4">
        <v>1.15189566289549E-5</v>
      </c>
      <c r="G3563" s="4">
        <v>8.0745307761547096E-5</v>
      </c>
      <c r="H3563" s="10" t="s">
        <v>7139</v>
      </c>
      <c r="I3563" s="10" t="s">
        <v>18</v>
      </c>
    </row>
    <row r="3564" spans="1:9" x14ac:dyDescent="0.2">
      <c r="A3564" s="10" t="s">
        <v>7140</v>
      </c>
      <c r="B3564" s="10">
        <v>262.626249305513</v>
      </c>
      <c r="C3564" s="10">
        <v>1.73345639427452</v>
      </c>
      <c r="D3564" s="10">
        <v>0.28677571508605898</v>
      </c>
      <c r="E3564" s="10">
        <v>6.0446415197825498</v>
      </c>
      <c r="F3564" s="4">
        <v>1.4974256663904601E-9</v>
      </c>
      <c r="G3564" s="4">
        <v>1.9854188385470001E-8</v>
      </c>
      <c r="H3564" s="10" t="s">
        <v>7141</v>
      </c>
      <c r="I3564" s="10" t="s">
        <v>18</v>
      </c>
    </row>
    <row r="3565" spans="1:9" x14ac:dyDescent="0.2">
      <c r="A3565" s="10" t="s">
        <v>7142</v>
      </c>
      <c r="B3565" s="10">
        <v>36.867265698128001</v>
      </c>
      <c r="C3565" s="10">
        <v>1.6775025126235501</v>
      </c>
      <c r="D3565" s="10">
        <v>0.58145454773845195</v>
      </c>
      <c r="E3565" s="10">
        <v>2.8850105638491299</v>
      </c>
      <c r="F3565" s="10">
        <v>3.9140052803365898E-3</v>
      </c>
      <c r="G3565" s="10">
        <v>1.43803805115064E-2</v>
      </c>
      <c r="H3565" s="10" t="s">
        <v>7143</v>
      </c>
      <c r="I3565" s="10" t="s">
        <v>18</v>
      </c>
    </row>
    <row r="3566" spans="1:9" x14ac:dyDescent="0.2">
      <c r="A3566" s="10" t="s">
        <v>7144</v>
      </c>
      <c r="B3566" s="10">
        <v>12.181340314482901</v>
      </c>
      <c r="C3566" s="10">
        <v>6.9996136172798202</v>
      </c>
      <c r="D3566" s="10">
        <v>1.7269705392197401</v>
      </c>
      <c r="E3566" s="10">
        <v>4.0531169804681797</v>
      </c>
      <c r="F3566" s="4">
        <v>5.0539714444008598E-5</v>
      </c>
      <c r="G3566" s="10">
        <v>3.0924221860676002E-4</v>
      </c>
      <c r="H3566" s="10" t="s">
        <v>7145</v>
      </c>
      <c r="I3566" s="10" t="s">
        <v>18</v>
      </c>
    </row>
    <row r="3567" spans="1:9" x14ac:dyDescent="0.2">
      <c r="A3567" s="10" t="s">
        <v>7146</v>
      </c>
      <c r="B3567" s="10">
        <v>76.198823430402001</v>
      </c>
      <c r="C3567" s="10">
        <v>-1.2635760398765701</v>
      </c>
      <c r="D3567" s="10">
        <v>0.418394017054392</v>
      </c>
      <c r="E3567" s="10">
        <v>-3.0200624013997501</v>
      </c>
      <c r="F3567" s="10">
        <v>2.5272261119435799E-3</v>
      </c>
      <c r="G3567" s="10">
        <v>9.8595833150238593E-3</v>
      </c>
      <c r="H3567" s="10" t="s">
        <v>7147</v>
      </c>
      <c r="I3567" s="10" t="s">
        <v>18</v>
      </c>
    </row>
    <row r="3568" spans="1:9" x14ac:dyDescent="0.2">
      <c r="A3568" s="10" t="s">
        <v>7148</v>
      </c>
      <c r="B3568" s="10">
        <v>10.4178649607762</v>
      </c>
      <c r="C3568" s="10">
        <v>6.7722747258183498</v>
      </c>
      <c r="D3568" s="10">
        <v>1.7985892961245</v>
      </c>
      <c r="E3568" s="10">
        <v>3.7653258253070199</v>
      </c>
      <c r="F3568" s="10">
        <v>1.6633203836128501E-4</v>
      </c>
      <c r="G3568" s="10">
        <v>9.0460060862873105E-4</v>
      </c>
      <c r="H3568" s="10" t="s">
        <v>7149</v>
      </c>
      <c r="I3568" s="10" t="s">
        <v>18</v>
      </c>
    </row>
    <row r="3569" spans="1:9" x14ac:dyDescent="0.2">
      <c r="A3569" s="10" t="s">
        <v>7150</v>
      </c>
      <c r="B3569" s="10">
        <v>5.3931287947946904</v>
      </c>
      <c r="C3569" s="10">
        <v>5.8232739963666802</v>
      </c>
      <c r="D3569" s="10">
        <v>2.0163845420733102</v>
      </c>
      <c r="E3569" s="10">
        <v>2.8879779004747701</v>
      </c>
      <c r="F3569" s="10">
        <v>3.8772711269785E-3</v>
      </c>
      <c r="G3569" s="10">
        <v>1.42685043755785E-2</v>
      </c>
      <c r="H3569" s="10" t="s">
        <v>7151</v>
      </c>
      <c r="I3569" s="10" t="s">
        <v>18</v>
      </c>
    </row>
    <row r="3570" spans="1:9" x14ac:dyDescent="0.2">
      <c r="A3570" s="10" t="s">
        <v>7152</v>
      </c>
      <c r="B3570" s="10">
        <v>2327.9780972753401</v>
      </c>
      <c r="C3570" s="10">
        <v>-1.9015197546315199</v>
      </c>
      <c r="D3570" s="10">
        <v>0.24270000396436001</v>
      </c>
      <c r="E3570" s="10">
        <v>-7.83485671022384</v>
      </c>
      <c r="F3570" s="4">
        <v>4.6937768274677298E-15</v>
      </c>
      <c r="G3570" s="4">
        <v>1.17116609174005E-13</v>
      </c>
      <c r="H3570" s="10" t="s">
        <v>7153</v>
      </c>
      <c r="I3570" s="10" t="s">
        <v>18</v>
      </c>
    </row>
    <row r="3571" spans="1:9" x14ac:dyDescent="0.2">
      <c r="A3571" s="10" t="s">
        <v>7154</v>
      </c>
      <c r="B3571" s="10">
        <v>318.13125588327301</v>
      </c>
      <c r="C3571" s="10">
        <v>-1.10412286353943</v>
      </c>
      <c r="D3571" s="10">
        <v>0.25749754103629602</v>
      </c>
      <c r="E3571" s="10">
        <v>-4.2878967274635196</v>
      </c>
      <c r="F3571" s="4">
        <v>1.8037291328913701E-5</v>
      </c>
      <c r="G3571" s="10">
        <v>1.20869026623912E-4</v>
      </c>
      <c r="H3571" s="10" t="s">
        <v>7155</v>
      </c>
      <c r="I3571" s="10" t="s">
        <v>18</v>
      </c>
    </row>
    <row r="3572" spans="1:9" x14ac:dyDescent="0.2">
      <c r="A3572" s="10" t="s">
        <v>7156</v>
      </c>
      <c r="B3572" s="10">
        <v>207.16443532101599</v>
      </c>
      <c r="C3572" s="10">
        <v>-1.1765468622986699</v>
      </c>
      <c r="D3572" s="10">
        <v>0.29407241675208901</v>
      </c>
      <c r="E3572" s="10">
        <v>-4.0008745984854999</v>
      </c>
      <c r="F3572" s="4">
        <v>6.3108797272390407E-5</v>
      </c>
      <c r="G3572" s="10">
        <v>3.77751625501059E-4</v>
      </c>
      <c r="H3572" s="10" t="s">
        <v>7157</v>
      </c>
      <c r="I3572" s="10" t="s">
        <v>18</v>
      </c>
    </row>
    <row r="3573" spans="1:9" x14ac:dyDescent="0.2">
      <c r="A3573" s="10" t="s">
        <v>7158</v>
      </c>
      <c r="B3573" s="10">
        <v>1666.7128766072999</v>
      </c>
      <c r="C3573" s="10">
        <v>-1.17650023877146</v>
      </c>
      <c r="D3573" s="10">
        <v>0.20725871325505099</v>
      </c>
      <c r="E3573" s="10">
        <v>-5.6764814385567997</v>
      </c>
      <c r="F3573" s="4">
        <v>1.37493466612156E-8</v>
      </c>
      <c r="G3573" s="4">
        <v>1.6050918957932299E-7</v>
      </c>
      <c r="H3573" s="10" t="s">
        <v>7159</v>
      </c>
      <c r="I3573" s="10" t="s">
        <v>18</v>
      </c>
    </row>
    <row r="3574" spans="1:9" x14ac:dyDescent="0.2">
      <c r="A3574" s="10" t="s">
        <v>7160</v>
      </c>
      <c r="B3574" s="10">
        <v>32.004515980172002</v>
      </c>
      <c r="C3574" s="10">
        <v>1.65780530466069</v>
      </c>
      <c r="D3574" s="10">
        <v>0.64826745146811904</v>
      </c>
      <c r="E3574" s="10">
        <v>2.5572860412878802</v>
      </c>
      <c r="F3574" s="10">
        <v>1.0549243200959501E-2</v>
      </c>
      <c r="G3574" s="10">
        <v>3.3279521766417103E-2</v>
      </c>
      <c r="H3574" s="10" t="s">
        <v>7161</v>
      </c>
      <c r="I3574" s="10" t="s">
        <v>18</v>
      </c>
    </row>
    <row r="3575" spans="1:9" x14ac:dyDescent="0.2">
      <c r="A3575" s="10" t="s">
        <v>7162</v>
      </c>
      <c r="B3575" s="10">
        <v>1385.9963389284101</v>
      </c>
      <c r="C3575" s="10">
        <v>-1.4171283803268</v>
      </c>
      <c r="D3575" s="10">
        <v>0.18972870720586901</v>
      </c>
      <c r="E3575" s="10">
        <v>-7.46923542144369</v>
      </c>
      <c r="F3575" s="4">
        <v>8.0662116279793998E-14</v>
      </c>
      <c r="G3575" s="4">
        <v>1.81187195570944E-12</v>
      </c>
      <c r="H3575" s="10" t="s">
        <v>7163</v>
      </c>
      <c r="I3575" s="10" t="s">
        <v>18</v>
      </c>
    </row>
    <row r="3576" spans="1:9" x14ac:dyDescent="0.2">
      <c r="A3576" s="10" t="s">
        <v>7164</v>
      </c>
      <c r="B3576" s="10">
        <v>969.69235066552699</v>
      </c>
      <c r="C3576" s="10">
        <v>9.5510935389017906</v>
      </c>
      <c r="D3576" s="10">
        <v>0.67598310569198805</v>
      </c>
      <c r="E3576" s="10">
        <v>14.129189706782</v>
      </c>
      <c r="F3576" s="4">
        <v>2.5101591640867199E-45</v>
      </c>
      <c r="G3576" s="4">
        <v>4.1201389604741497E-43</v>
      </c>
      <c r="H3576" s="10" t="s">
        <v>7165</v>
      </c>
      <c r="I3576" s="10" t="s">
        <v>18</v>
      </c>
    </row>
    <row r="3577" spans="1:9" x14ac:dyDescent="0.2">
      <c r="A3577" s="10" t="s">
        <v>7166</v>
      </c>
      <c r="B3577" s="10">
        <v>98.305081992051896</v>
      </c>
      <c r="C3577" s="10">
        <v>4.7092017616437101</v>
      </c>
      <c r="D3577" s="10">
        <v>0.53162814685075699</v>
      </c>
      <c r="E3577" s="10">
        <v>8.85807455745136</v>
      </c>
      <c r="F3577" s="4">
        <v>8.1408265199937103E-19</v>
      </c>
      <c r="G3577" s="4">
        <v>2.8292487269166901E-17</v>
      </c>
      <c r="H3577" s="10" t="s">
        <v>7167</v>
      </c>
      <c r="I3577" s="10" t="s">
        <v>18</v>
      </c>
    </row>
    <row r="3578" spans="1:9" x14ac:dyDescent="0.2">
      <c r="A3578" s="10" t="s">
        <v>7168</v>
      </c>
      <c r="B3578" s="10">
        <v>434.54800165539098</v>
      </c>
      <c r="C3578" s="10">
        <v>-1.9678136572045699</v>
      </c>
      <c r="D3578" s="10">
        <v>0.25094645310832098</v>
      </c>
      <c r="E3578" s="10">
        <v>-7.8415679234771201</v>
      </c>
      <c r="F3578" s="4">
        <v>4.4495513108398399E-15</v>
      </c>
      <c r="G3578" s="4">
        <v>1.1173910098290601E-13</v>
      </c>
      <c r="H3578" s="10" t="s">
        <v>7169</v>
      </c>
      <c r="I3578" s="10" t="s">
        <v>18</v>
      </c>
    </row>
    <row r="3579" spans="1:9" x14ac:dyDescent="0.2">
      <c r="A3579" s="10" t="s">
        <v>7170</v>
      </c>
      <c r="B3579" s="10">
        <v>68.491982777519198</v>
      </c>
      <c r="C3579" s="10">
        <v>9.4946785094745199</v>
      </c>
      <c r="D3579" s="10">
        <v>1.5020037927774901</v>
      </c>
      <c r="E3579" s="10">
        <v>6.3213412343766802</v>
      </c>
      <c r="F3579" s="4">
        <v>2.5930270495833499E-10</v>
      </c>
      <c r="G3579" s="4">
        <v>3.78426395393666E-9</v>
      </c>
      <c r="H3579" s="10" t="s">
        <v>7171</v>
      </c>
      <c r="I3579" s="10" t="s">
        <v>18</v>
      </c>
    </row>
    <row r="3580" spans="1:9" x14ac:dyDescent="0.2">
      <c r="A3580" s="10" t="s">
        <v>7172</v>
      </c>
      <c r="B3580" s="10">
        <v>58.816076065733</v>
      </c>
      <c r="C3580" s="10">
        <v>1.98512539950356</v>
      </c>
      <c r="D3580" s="10">
        <v>0.49061152082474702</v>
      </c>
      <c r="E3580" s="10">
        <v>4.0462266278754404</v>
      </c>
      <c r="F3580" s="4">
        <v>5.2049844516248399E-5</v>
      </c>
      <c r="G3580" s="10">
        <v>3.1741318566119497E-4</v>
      </c>
      <c r="H3580" s="10" t="s">
        <v>7173</v>
      </c>
      <c r="I3580" s="10" t="s">
        <v>18</v>
      </c>
    </row>
    <row r="3581" spans="1:9" x14ac:dyDescent="0.2">
      <c r="A3581" s="10" t="s">
        <v>7174</v>
      </c>
      <c r="B3581" s="10">
        <v>113.234556004811</v>
      </c>
      <c r="C3581" s="10">
        <v>1.2990360591362899</v>
      </c>
      <c r="D3581" s="10">
        <v>0.37641893475995097</v>
      </c>
      <c r="E3581" s="10">
        <v>3.4510380301796202</v>
      </c>
      <c r="F3581" s="10">
        <v>5.5843487448017297E-4</v>
      </c>
      <c r="G3581" s="10">
        <v>2.64161024738911E-3</v>
      </c>
      <c r="H3581" s="10" t="s">
        <v>7175</v>
      </c>
      <c r="I3581" s="10" t="s">
        <v>18</v>
      </c>
    </row>
    <row r="3582" spans="1:9" x14ac:dyDescent="0.2">
      <c r="A3582" s="10" t="s">
        <v>7176</v>
      </c>
      <c r="B3582" s="10">
        <v>5694.7520739557403</v>
      </c>
      <c r="C3582" s="10">
        <v>-1.3074545036615699</v>
      </c>
      <c r="D3582" s="10">
        <v>0.17350749110612901</v>
      </c>
      <c r="E3582" s="10">
        <v>-7.5354354750126902</v>
      </c>
      <c r="F3582" s="4">
        <v>4.8670781452492402E-14</v>
      </c>
      <c r="G3582" s="4">
        <v>1.11346161396815E-12</v>
      </c>
      <c r="H3582" s="10" t="s">
        <v>7177</v>
      </c>
      <c r="I3582" s="10" t="s">
        <v>18</v>
      </c>
    </row>
    <row r="3583" spans="1:9" x14ac:dyDescent="0.2">
      <c r="A3583" s="10" t="s">
        <v>7178</v>
      </c>
      <c r="B3583" s="10">
        <v>4.5868731179276896</v>
      </c>
      <c r="C3583" s="10">
        <v>5.5915059184507401</v>
      </c>
      <c r="D3583" s="10">
        <v>2.0812331718906201</v>
      </c>
      <c r="E3583" s="10">
        <v>2.6866311732727901</v>
      </c>
      <c r="F3583" s="10">
        <v>7.2176601926175997E-3</v>
      </c>
      <c r="G3583" s="10">
        <v>2.4195323236743602E-2</v>
      </c>
      <c r="H3583" s="10" t="s">
        <v>7179</v>
      </c>
      <c r="I3583" s="10" t="s">
        <v>18</v>
      </c>
    </row>
    <row r="3584" spans="1:9" x14ac:dyDescent="0.2">
      <c r="A3584" s="10" t="s">
        <v>7180</v>
      </c>
      <c r="B3584" s="10">
        <v>680.74954749222502</v>
      </c>
      <c r="C3584" s="10">
        <v>-1.53533045635617</v>
      </c>
      <c r="D3584" s="10">
        <v>0.22424025485982399</v>
      </c>
      <c r="E3584" s="10">
        <v>-6.8468101649096402</v>
      </c>
      <c r="F3584" s="4">
        <v>7.5514817136434005E-12</v>
      </c>
      <c r="G3584" s="4">
        <v>1.34833042104614E-10</v>
      </c>
      <c r="H3584" s="10" t="s">
        <v>7181</v>
      </c>
      <c r="I3584" s="10" t="s">
        <v>18</v>
      </c>
    </row>
    <row r="3585" spans="1:9" x14ac:dyDescent="0.2">
      <c r="A3585" s="10" t="s">
        <v>7182</v>
      </c>
      <c r="B3585" s="10">
        <v>10.828718543014499</v>
      </c>
      <c r="C3585" s="10">
        <v>3.7042587507106099</v>
      </c>
      <c r="D3585" s="10">
        <v>1.2599692161037801</v>
      </c>
      <c r="E3585" s="10">
        <v>2.9399597254965699</v>
      </c>
      <c r="F3585" s="10">
        <v>3.2825491088103401E-3</v>
      </c>
      <c r="G3585" s="10">
        <v>1.2375759729867901E-2</v>
      </c>
      <c r="H3585" s="10" t="s">
        <v>7183</v>
      </c>
      <c r="I3585" s="10" t="s">
        <v>18</v>
      </c>
    </row>
    <row r="3586" spans="1:9" x14ac:dyDescent="0.2">
      <c r="A3586" s="10" t="s">
        <v>7184</v>
      </c>
      <c r="B3586" s="10">
        <v>2075.7145795805</v>
      </c>
      <c r="C3586" s="10">
        <v>-1.21727677649127</v>
      </c>
      <c r="D3586" s="10">
        <v>0.18414075638444699</v>
      </c>
      <c r="E3586" s="10">
        <v>-6.6105776928050304</v>
      </c>
      <c r="F3586" s="4">
        <v>3.8282313670788702E-11</v>
      </c>
      <c r="G3586" s="4">
        <v>6.3293580132765796E-10</v>
      </c>
      <c r="H3586" s="10" t="s">
        <v>7185</v>
      </c>
      <c r="I3586" s="10" t="s">
        <v>18</v>
      </c>
    </row>
    <row r="3587" spans="1:9" x14ac:dyDescent="0.2">
      <c r="A3587" s="10" t="s">
        <v>7186</v>
      </c>
      <c r="B3587" s="10">
        <v>272.02055659635897</v>
      </c>
      <c r="C3587" s="10">
        <v>2.11195888778831</v>
      </c>
      <c r="D3587" s="10">
        <v>0.326937026792959</v>
      </c>
      <c r="E3587" s="10">
        <v>6.4598338967759599</v>
      </c>
      <c r="F3587" s="4">
        <v>1.04817968375025E-10</v>
      </c>
      <c r="G3587" s="4">
        <v>1.62397434693065E-9</v>
      </c>
      <c r="H3587" s="10" t="s">
        <v>7187</v>
      </c>
      <c r="I3587" s="10" t="s">
        <v>18</v>
      </c>
    </row>
    <row r="3588" spans="1:9" x14ac:dyDescent="0.2">
      <c r="A3588" s="10" t="s">
        <v>7188</v>
      </c>
      <c r="B3588" s="10">
        <v>377.03573112584701</v>
      </c>
      <c r="C3588" s="10">
        <v>1.2030200549914301</v>
      </c>
      <c r="D3588" s="10">
        <v>0.26853191120265901</v>
      </c>
      <c r="E3588" s="10">
        <v>4.4799891737392903</v>
      </c>
      <c r="F3588" s="4">
        <v>7.4646825353961604E-6</v>
      </c>
      <c r="G3588" s="4">
        <v>5.43824077652244E-5</v>
      </c>
      <c r="H3588" s="10" t="s">
        <v>7189</v>
      </c>
      <c r="I3588" s="10" t="s">
        <v>18</v>
      </c>
    </row>
    <row r="3589" spans="1:9" x14ac:dyDescent="0.2">
      <c r="A3589" s="10" t="s">
        <v>7190</v>
      </c>
      <c r="B3589" s="10">
        <v>2894.9633785660699</v>
      </c>
      <c r="C3589" s="10">
        <v>-3.1963664489827699</v>
      </c>
      <c r="D3589" s="10">
        <v>0.19531999114288401</v>
      </c>
      <c r="E3589" s="10">
        <v>-16.364768553796001</v>
      </c>
      <c r="F3589" s="4">
        <v>3.41322889525697E-60</v>
      </c>
      <c r="G3589" s="4">
        <v>1.00000266353835E-57</v>
      </c>
      <c r="H3589" s="10" t="s">
        <v>7191</v>
      </c>
      <c r="I3589" s="10" t="s">
        <v>18</v>
      </c>
    </row>
    <row r="3590" spans="1:9" x14ac:dyDescent="0.2">
      <c r="A3590" s="10" t="s">
        <v>7192</v>
      </c>
      <c r="B3590" s="10">
        <v>7332.9025633185802</v>
      </c>
      <c r="C3590" s="10">
        <v>-1.8218501056540799</v>
      </c>
      <c r="D3590" s="10">
        <v>0.18957610518903401</v>
      </c>
      <c r="E3590" s="10">
        <v>-9.6101251992567605</v>
      </c>
      <c r="F3590" s="4">
        <v>7.2460825196172101E-22</v>
      </c>
      <c r="G3590" s="4">
        <v>3.2526196114004999E-20</v>
      </c>
      <c r="H3590" s="10" t="s">
        <v>7193</v>
      </c>
      <c r="I3590" s="10" t="s">
        <v>18</v>
      </c>
    </row>
    <row r="3591" spans="1:9" x14ac:dyDescent="0.2">
      <c r="A3591" s="10" t="s">
        <v>7194</v>
      </c>
      <c r="B3591" s="10">
        <v>1105.57119626649</v>
      </c>
      <c r="C3591" s="10">
        <v>-2.3027340278777002</v>
      </c>
      <c r="D3591" s="10">
        <v>0.23784574291396901</v>
      </c>
      <c r="E3591" s="10">
        <v>-9.6816280992282504</v>
      </c>
      <c r="F3591" s="4">
        <v>3.6092189819655402E-22</v>
      </c>
      <c r="G3591" s="4">
        <v>1.64724270689473E-20</v>
      </c>
      <c r="H3591" s="10" t="s">
        <v>7195</v>
      </c>
      <c r="I3591" s="10" t="s">
        <v>18</v>
      </c>
    </row>
    <row r="3592" spans="1:9" x14ac:dyDescent="0.2">
      <c r="A3592" s="10" t="s">
        <v>7196</v>
      </c>
      <c r="B3592" s="10">
        <v>2884.0560605453602</v>
      </c>
      <c r="C3592" s="10">
        <v>-1.0236298509469599</v>
      </c>
      <c r="D3592" s="10">
        <v>0.20744378752368101</v>
      </c>
      <c r="E3592" s="10">
        <v>-4.93449267951737</v>
      </c>
      <c r="F3592" s="4">
        <v>8.0359359402101105E-7</v>
      </c>
      <c r="G3592" s="4">
        <v>7.0020833566646901E-6</v>
      </c>
      <c r="H3592" s="10" t="s">
        <v>7197</v>
      </c>
      <c r="I3592" s="10" t="s">
        <v>18</v>
      </c>
    </row>
    <row r="3593" spans="1:9" x14ac:dyDescent="0.2">
      <c r="A3593" s="10" t="s">
        <v>7198</v>
      </c>
      <c r="B3593" s="10">
        <v>20.449009400117301</v>
      </c>
      <c r="C3593" s="10">
        <v>6.2875476440580096</v>
      </c>
      <c r="D3593" s="10">
        <v>1.6011285693751101</v>
      </c>
      <c r="E3593" s="10">
        <v>3.9269473821904901</v>
      </c>
      <c r="F3593" s="4">
        <v>8.60307924577107E-5</v>
      </c>
      <c r="G3593" s="10">
        <v>5.0087200899471E-4</v>
      </c>
      <c r="H3593" s="10" t="s">
        <v>7199</v>
      </c>
      <c r="I3593" s="10" t="s">
        <v>18</v>
      </c>
    </row>
    <row r="3594" spans="1:9" x14ac:dyDescent="0.2">
      <c r="A3594" s="10" t="s">
        <v>7200</v>
      </c>
      <c r="B3594" s="10">
        <v>3972.6789281372598</v>
      </c>
      <c r="C3594" s="10">
        <v>-2.16736438585728</v>
      </c>
      <c r="D3594" s="10">
        <v>0.21234277104552399</v>
      </c>
      <c r="E3594" s="10">
        <v>-10.2069139212308</v>
      </c>
      <c r="F3594" s="4">
        <v>1.8464430314884102E-24</v>
      </c>
      <c r="G3594" s="4">
        <v>9.8647124076401306E-23</v>
      </c>
      <c r="H3594" s="10" t="s">
        <v>7201</v>
      </c>
      <c r="I3594" s="10" t="s">
        <v>18</v>
      </c>
    </row>
    <row r="3595" spans="1:9" x14ac:dyDescent="0.2">
      <c r="A3595" s="10" t="s">
        <v>7202</v>
      </c>
      <c r="B3595" s="10">
        <v>14.938273449836201</v>
      </c>
      <c r="C3595" s="10">
        <v>7.2973062067763399</v>
      </c>
      <c r="D3595" s="10">
        <v>1.66547345760285</v>
      </c>
      <c r="E3595" s="10">
        <v>4.3815205660974801</v>
      </c>
      <c r="F3595" s="4">
        <v>1.1785391691652599E-5</v>
      </c>
      <c r="G3595" s="4">
        <v>8.2464449774642798E-5</v>
      </c>
      <c r="H3595" s="10" t="s">
        <v>7203</v>
      </c>
      <c r="I3595" s="10" t="s">
        <v>18</v>
      </c>
    </row>
    <row r="3596" spans="1:9" x14ac:dyDescent="0.2">
      <c r="A3596" s="10" t="s">
        <v>7204</v>
      </c>
      <c r="B3596" s="10">
        <v>2218.6681237654202</v>
      </c>
      <c r="C3596" s="10">
        <v>-1.24179530567861</v>
      </c>
      <c r="D3596" s="10">
        <v>0.209244763643921</v>
      </c>
      <c r="E3596" s="10">
        <v>-5.9346541536007704</v>
      </c>
      <c r="F3596" s="4">
        <v>2.9446554819248598E-9</v>
      </c>
      <c r="G3596" s="4">
        <v>3.7597482622308698E-8</v>
      </c>
      <c r="H3596" s="10" t="s">
        <v>7205</v>
      </c>
      <c r="I3596" s="10" t="s">
        <v>18</v>
      </c>
    </row>
    <row r="3597" spans="1:9" x14ac:dyDescent="0.2">
      <c r="A3597" s="10" t="s">
        <v>7206</v>
      </c>
      <c r="B3597" s="10">
        <v>78.251718169990696</v>
      </c>
      <c r="C3597" s="10">
        <v>8.2399061240606795</v>
      </c>
      <c r="D3597" s="10">
        <v>1.4897150174884199</v>
      </c>
      <c r="E3597" s="10">
        <v>5.53119625386653</v>
      </c>
      <c r="F3597" s="4">
        <v>3.1805423322750501E-8</v>
      </c>
      <c r="G3597" s="4">
        <v>3.5184830258830001E-7</v>
      </c>
      <c r="H3597" s="10" t="s">
        <v>7207</v>
      </c>
      <c r="I3597" s="10" t="s">
        <v>18</v>
      </c>
    </row>
    <row r="3598" spans="1:9" x14ac:dyDescent="0.2">
      <c r="A3598" s="10" t="s">
        <v>7208</v>
      </c>
      <c r="B3598" s="10">
        <v>1876.79163823811</v>
      </c>
      <c r="C3598" s="10">
        <v>-1.2298920353640399</v>
      </c>
      <c r="D3598" s="10">
        <v>0.18649723477010399</v>
      </c>
      <c r="E3598" s="10">
        <v>-6.5946931431993301</v>
      </c>
      <c r="F3598" s="4">
        <v>4.2613631880879502E-11</v>
      </c>
      <c r="G3598" s="4">
        <v>6.9819219955401195E-10</v>
      </c>
      <c r="H3598" s="10" t="s">
        <v>7209</v>
      </c>
      <c r="I3598" s="10" t="s">
        <v>18</v>
      </c>
    </row>
    <row r="3599" spans="1:9" x14ac:dyDescent="0.2">
      <c r="A3599" s="10" t="s">
        <v>7210</v>
      </c>
      <c r="B3599" s="10">
        <v>1188.0477785263699</v>
      </c>
      <c r="C3599" s="10">
        <v>-1.0135000682233299</v>
      </c>
      <c r="D3599" s="10">
        <v>0.240464763160122</v>
      </c>
      <c r="E3599" s="10">
        <v>-4.2147550223333798</v>
      </c>
      <c r="F3599" s="4">
        <v>2.5004946062313701E-5</v>
      </c>
      <c r="G3599" s="10">
        <v>1.6264257946045901E-4</v>
      </c>
      <c r="H3599" s="10" t="s">
        <v>7211</v>
      </c>
      <c r="I3599" s="10" t="s">
        <v>18</v>
      </c>
    </row>
    <row r="3600" spans="1:9" x14ac:dyDescent="0.2">
      <c r="A3600" s="10" t="s">
        <v>7212</v>
      </c>
      <c r="B3600" s="10">
        <v>6.8246175234575004</v>
      </c>
      <c r="C3600" s="10">
        <v>4.6739633373093001</v>
      </c>
      <c r="D3600" s="10">
        <v>1.86825711350827</v>
      </c>
      <c r="E3600" s="10">
        <v>2.5017773536172401</v>
      </c>
      <c r="F3600" s="10">
        <v>1.23571609320062E-2</v>
      </c>
      <c r="G3600" s="10">
        <v>3.7958913631834602E-2</v>
      </c>
      <c r="H3600" s="10" t="s">
        <v>7213</v>
      </c>
      <c r="I3600" s="10" t="s">
        <v>18</v>
      </c>
    </row>
    <row r="3601" spans="1:9" x14ac:dyDescent="0.2">
      <c r="A3601" s="10" t="s">
        <v>7214</v>
      </c>
      <c r="B3601" s="10">
        <v>5371.9462986995304</v>
      </c>
      <c r="C3601" s="10">
        <v>1.41069626617945</v>
      </c>
      <c r="D3601" s="10">
        <v>0.17511978663538999</v>
      </c>
      <c r="E3601" s="10">
        <v>8.0556074974931704</v>
      </c>
      <c r="F3601" s="4">
        <v>7.9085029898443296E-16</v>
      </c>
      <c r="G3601" s="4">
        <v>2.1292784680265701E-14</v>
      </c>
      <c r="H3601" s="10" t="s">
        <v>7215</v>
      </c>
      <c r="I3601" s="10" t="s">
        <v>18</v>
      </c>
    </row>
    <row r="3602" spans="1:9" x14ac:dyDescent="0.2">
      <c r="A3602" s="10" t="s">
        <v>7216</v>
      </c>
      <c r="B3602" s="10">
        <v>4591.0389849739804</v>
      </c>
      <c r="C3602" s="10">
        <v>1.2737337839877501</v>
      </c>
      <c r="D3602" s="10">
        <v>0.17659551559192899</v>
      </c>
      <c r="E3602" s="10">
        <v>7.2127187359108698</v>
      </c>
      <c r="F3602" s="4">
        <v>5.4845627525744102E-13</v>
      </c>
      <c r="G3602" s="4">
        <v>1.1278330665614699E-11</v>
      </c>
      <c r="H3602" s="10" t="s">
        <v>7217</v>
      </c>
      <c r="I3602" s="10" t="s">
        <v>18</v>
      </c>
    </row>
    <row r="3603" spans="1:9" x14ac:dyDescent="0.2">
      <c r="A3603" s="10" t="s">
        <v>7218</v>
      </c>
      <c r="B3603" s="10">
        <v>439.47193099099599</v>
      </c>
      <c r="C3603" s="10">
        <v>1.9190783986259801</v>
      </c>
      <c r="D3603" s="10">
        <v>0.28559166715777801</v>
      </c>
      <c r="E3603" s="10">
        <v>6.7196582369672697</v>
      </c>
      <c r="F3603" s="4">
        <v>1.8215128060898201E-11</v>
      </c>
      <c r="G3603" s="4">
        <v>3.11751001429204E-10</v>
      </c>
      <c r="H3603" s="10" t="s">
        <v>7219</v>
      </c>
      <c r="I3603" s="10" t="s">
        <v>18</v>
      </c>
    </row>
    <row r="3604" spans="1:9" x14ac:dyDescent="0.2">
      <c r="A3604" s="10" t="s">
        <v>7220</v>
      </c>
      <c r="B3604" s="10">
        <v>8.8445975022218093</v>
      </c>
      <c r="C3604" s="10">
        <v>6.5400861294468999</v>
      </c>
      <c r="D3604" s="10">
        <v>1.80089783948938</v>
      </c>
      <c r="E3604" s="10">
        <v>3.63156975706142</v>
      </c>
      <c r="F3604" s="10">
        <v>2.8170248806125297E-4</v>
      </c>
      <c r="G3604" s="10">
        <v>1.44141740698685E-3</v>
      </c>
      <c r="H3604" s="10" t="s">
        <v>7221</v>
      </c>
      <c r="I3604" s="10" t="s">
        <v>18</v>
      </c>
    </row>
    <row r="3605" spans="1:9" x14ac:dyDescent="0.2">
      <c r="A3605" s="10" t="s">
        <v>7222</v>
      </c>
      <c r="B3605" s="10">
        <v>189.16680242989599</v>
      </c>
      <c r="C3605" s="10">
        <v>3.9726953093679498</v>
      </c>
      <c r="D3605" s="10">
        <v>0.36777638764793402</v>
      </c>
      <c r="E3605" s="10">
        <v>10.801931398518599</v>
      </c>
      <c r="F3605" s="4">
        <v>3.3703824314099901E-27</v>
      </c>
      <c r="G3605" s="4">
        <v>2.1864954787768498E-25</v>
      </c>
      <c r="H3605" s="10" t="s">
        <v>7223</v>
      </c>
      <c r="I3605" s="10" t="s">
        <v>18</v>
      </c>
    </row>
    <row r="3606" spans="1:9" x14ac:dyDescent="0.2">
      <c r="A3606" s="10" t="s">
        <v>7224</v>
      </c>
      <c r="B3606" s="10">
        <v>25.168648732125899</v>
      </c>
      <c r="C3606" s="10">
        <v>3.4839051815099098</v>
      </c>
      <c r="D3606" s="10">
        <v>0.84390914175810405</v>
      </c>
      <c r="E3606" s="10">
        <v>4.1282941600228904</v>
      </c>
      <c r="F3606" s="4">
        <v>3.65464392999513E-5</v>
      </c>
      <c r="G3606" s="10">
        <v>2.2981325446705999E-4</v>
      </c>
      <c r="H3606" s="10" t="s">
        <v>7225</v>
      </c>
      <c r="I3606" s="10" t="s">
        <v>18</v>
      </c>
    </row>
    <row r="3607" spans="1:9" x14ac:dyDescent="0.2">
      <c r="A3607" s="10" t="s">
        <v>7226</v>
      </c>
      <c r="B3607" s="10">
        <v>103.402451113254</v>
      </c>
      <c r="C3607" s="10">
        <v>8.6436329509862606</v>
      </c>
      <c r="D3607" s="10">
        <v>1.48156456988378</v>
      </c>
      <c r="E3607" s="10">
        <v>5.8341250369292199</v>
      </c>
      <c r="F3607" s="4">
        <v>5.4073561512821699E-9</v>
      </c>
      <c r="G3607" s="4">
        <v>6.6667073780083805E-8</v>
      </c>
      <c r="H3607" s="10" t="s">
        <v>7227</v>
      </c>
      <c r="I3607" s="10" t="s">
        <v>18</v>
      </c>
    </row>
    <row r="3608" spans="1:9" x14ac:dyDescent="0.2">
      <c r="A3608" s="10" t="s">
        <v>7228</v>
      </c>
      <c r="B3608" s="10">
        <v>140.55911795294901</v>
      </c>
      <c r="C3608" s="10">
        <v>3.9999224715519399</v>
      </c>
      <c r="D3608" s="10">
        <v>0.40215047764197598</v>
      </c>
      <c r="E3608" s="10">
        <v>9.9463327633119505</v>
      </c>
      <c r="F3608" s="4">
        <v>2.6164789214824201E-23</v>
      </c>
      <c r="G3608" s="4">
        <v>1.28452614727264E-21</v>
      </c>
      <c r="H3608" s="10" t="s">
        <v>7229</v>
      </c>
      <c r="I3608" s="10" t="s">
        <v>18</v>
      </c>
    </row>
    <row r="3609" spans="1:9" x14ac:dyDescent="0.2">
      <c r="A3609" s="10" t="s">
        <v>7230</v>
      </c>
      <c r="B3609" s="10">
        <v>1120.0738403027899</v>
      </c>
      <c r="C3609" s="10">
        <v>-1.2511988742759901</v>
      </c>
      <c r="D3609" s="10">
        <v>0.212140600058212</v>
      </c>
      <c r="E3609" s="10">
        <v>-5.8979699026620001</v>
      </c>
      <c r="F3609" s="4">
        <v>3.6800107680113001E-9</v>
      </c>
      <c r="G3609" s="4">
        <v>4.6550256915507798E-8</v>
      </c>
      <c r="H3609" s="10" t="s">
        <v>7231</v>
      </c>
      <c r="I3609" s="10" t="s">
        <v>18</v>
      </c>
    </row>
    <row r="3610" spans="1:9" x14ac:dyDescent="0.2">
      <c r="A3610" s="10" t="s">
        <v>7232</v>
      </c>
      <c r="B3610" s="10">
        <v>12952.290730823701</v>
      </c>
      <c r="C3610" s="10">
        <v>-1.05205423645455</v>
      </c>
      <c r="D3610" s="10">
        <v>0.19819379085345901</v>
      </c>
      <c r="E3610" s="10">
        <v>-5.30820986835261</v>
      </c>
      <c r="F3610" s="4">
        <v>1.10707130247859E-7</v>
      </c>
      <c r="G3610" s="4">
        <v>1.11678533056772E-6</v>
      </c>
      <c r="H3610" s="10" t="s">
        <v>7233</v>
      </c>
      <c r="I3610" s="10" t="s">
        <v>18</v>
      </c>
    </row>
    <row r="3611" spans="1:9" x14ac:dyDescent="0.2">
      <c r="A3611" s="10" t="s">
        <v>7234</v>
      </c>
      <c r="B3611" s="10">
        <v>36.306656345579</v>
      </c>
      <c r="C3611" s="10">
        <v>2.2123854560155101</v>
      </c>
      <c r="D3611" s="10">
        <v>0.61000467203062103</v>
      </c>
      <c r="E3611" s="10">
        <v>3.6268336251438602</v>
      </c>
      <c r="F3611" s="10">
        <v>2.8691803309527798E-4</v>
      </c>
      <c r="G3611" s="10">
        <v>1.4642546633727401E-3</v>
      </c>
      <c r="H3611" s="10" t="s">
        <v>7235</v>
      </c>
      <c r="I3611" s="10" t="s">
        <v>18</v>
      </c>
    </row>
    <row r="3612" spans="1:9" x14ac:dyDescent="0.2">
      <c r="A3612" s="10" t="s">
        <v>7236</v>
      </c>
      <c r="B3612" s="10">
        <v>5360.7573654175503</v>
      </c>
      <c r="C3612" s="10">
        <v>-1.5626902401179901</v>
      </c>
      <c r="D3612" s="10">
        <v>0.21454703273866299</v>
      </c>
      <c r="E3612" s="10">
        <v>-7.2836721168802496</v>
      </c>
      <c r="F3612" s="4">
        <v>3.2485400188334098E-13</v>
      </c>
      <c r="G3612" s="4">
        <v>6.8455506491224999E-12</v>
      </c>
      <c r="H3612" s="10" t="s">
        <v>7237</v>
      </c>
      <c r="I3612" s="10" t="s">
        <v>18</v>
      </c>
    </row>
    <row r="3613" spans="1:9" x14ac:dyDescent="0.2">
      <c r="A3613" s="10" t="s">
        <v>7238</v>
      </c>
      <c r="B3613" s="10">
        <v>97.744799705500199</v>
      </c>
      <c r="C3613" s="10">
        <v>-1.5713685308594101</v>
      </c>
      <c r="D3613" s="10">
        <v>0.38030850781751302</v>
      </c>
      <c r="E3613" s="10">
        <v>-4.1318258691530998</v>
      </c>
      <c r="F3613" s="4">
        <v>3.5989302052112201E-5</v>
      </c>
      <c r="G3613" s="10">
        <v>2.2651894502515599E-4</v>
      </c>
      <c r="H3613" s="10" t="s">
        <v>7239</v>
      </c>
      <c r="I3613" s="10" t="s">
        <v>18</v>
      </c>
    </row>
    <row r="3614" spans="1:9" x14ac:dyDescent="0.2">
      <c r="A3614" s="10" t="s">
        <v>7240</v>
      </c>
      <c r="B3614" s="10">
        <v>2757.6574462466301</v>
      </c>
      <c r="C3614" s="10">
        <v>-1.10964447772793</v>
      </c>
      <c r="D3614" s="10">
        <v>0.19868783260492201</v>
      </c>
      <c r="E3614" s="10">
        <v>-5.5848637693602097</v>
      </c>
      <c r="F3614" s="4">
        <v>2.33883477021615E-8</v>
      </c>
      <c r="G3614" s="4">
        <v>2.6475376395546098E-7</v>
      </c>
      <c r="H3614" s="10" t="s">
        <v>7241</v>
      </c>
      <c r="I3614" s="10" t="s">
        <v>18</v>
      </c>
    </row>
    <row r="3615" spans="1:9" x14ac:dyDescent="0.2">
      <c r="A3615" s="10" t="s">
        <v>7242</v>
      </c>
      <c r="B3615" s="10">
        <v>92.597790046578098</v>
      </c>
      <c r="C3615" s="10">
        <v>4.8521501959666198</v>
      </c>
      <c r="D3615" s="10">
        <v>0.55617632137315198</v>
      </c>
      <c r="E3615" s="10">
        <v>8.7241222064022406</v>
      </c>
      <c r="F3615" s="4">
        <v>2.68253288072541E-18</v>
      </c>
      <c r="G3615" s="4">
        <v>8.9135333416006505E-17</v>
      </c>
      <c r="H3615" s="10" t="s">
        <v>7243</v>
      </c>
      <c r="I3615" s="10" t="s">
        <v>18</v>
      </c>
    </row>
    <row r="3616" spans="1:9" x14ac:dyDescent="0.2">
      <c r="A3616" s="10" t="s">
        <v>7244</v>
      </c>
      <c r="B3616" s="10">
        <v>11519.639810136699</v>
      </c>
      <c r="C3616" s="10">
        <v>1.3091501381356501</v>
      </c>
      <c r="D3616" s="10">
        <v>0.186320097991234</v>
      </c>
      <c r="E3616" s="10">
        <v>7.0263495578305104</v>
      </c>
      <c r="F3616" s="4">
        <v>2.1200693544869499E-12</v>
      </c>
      <c r="G3616" s="4">
        <v>4.0367246472191398E-11</v>
      </c>
      <c r="H3616" s="10" t="s">
        <v>7245</v>
      </c>
      <c r="I3616" s="10" t="s">
        <v>18</v>
      </c>
    </row>
    <row r="3617" spans="1:9" x14ac:dyDescent="0.2">
      <c r="A3617" s="10" t="s">
        <v>7246</v>
      </c>
      <c r="B3617" s="10">
        <v>1809.8030920788599</v>
      </c>
      <c r="C3617" s="10">
        <v>-2.16529206022962</v>
      </c>
      <c r="D3617" s="10">
        <v>0.19138524774854301</v>
      </c>
      <c r="E3617" s="10">
        <v>-11.3137876910688</v>
      </c>
      <c r="F3617" s="4">
        <v>1.12141678492466E-29</v>
      </c>
      <c r="G3617" s="4">
        <v>8.5829334659668792E-28</v>
      </c>
      <c r="H3617" s="10" t="s">
        <v>7247</v>
      </c>
      <c r="I3617" s="10" t="s">
        <v>18</v>
      </c>
    </row>
    <row r="3618" spans="1:9" x14ac:dyDescent="0.2">
      <c r="A3618" s="10" t="s">
        <v>7248</v>
      </c>
      <c r="B3618" s="10">
        <v>339.59370265037802</v>
      </c>
      <c r="C3618" s="10">
        <v>-1.7363953551782301</v>
      </c>
      <c r="D3618" s="10">
        <v>0.31260112813773</v>
      </c>
      <c r="E3618" s="10">
        <v>-5.5546675903651304</v>
      </c>
      <c r="F3618" s="4">
        <v>2.7814054657049702E-8</v>
      </c>
      <c r="G3618" s="4">
        <v>3.1097642480124499E-7</v>
      </c>
      <c r="H3618" s="10" t="s">
        <v>7249</v>
      </c>
      <c r="I3618" s="10" t="s">
        <v>18</v>
      </c>
    </row>
    <row r="3619" spans="1:9" x14ac:dyDescent="0.2">
      <c r="A3619" s="10" t="s">
        <v>7250</v>
      </c>
      <c r="B3619" s="10">
        <v>791.98710114995697</v>
      </c>
      <c r="C3619" s="10">
        <v>-2.5171512539921301</v>
      </c>
      <c r="D3619" s="10">
        <v>0.22572840003108599</v>
      </c>
      <c r="E3619" s="10">
        <v>-11.1512386285708</v>
      </c>
      <c r="F3619" s="4">
        <v>7.0616454150043299E-29</v>
      </c>
      <c r="G3619" s="4">
        <v>5.0633855953321799E-27</v>
      </c>
      <c r="H3619" s="10" t="s">
        <v>7251</v>
      </c>
      <c r="I3619" s="10" t="s">
        <v>18</v>
      </c>
    </row>
    <row r="3620" spans="1:9" x14ac:dyDescent="0.2">
      <c r="A3620" s="10" t="s">
        <v>7252</v>
      </c>
      <c r="B3620" s="10">
        <v>91.5712949831439</v>
      </c>
      <c r="C3620" s="10">
        <v>-1.5588241235882301</v>
      </c>
      <c r="D3620" s="10">
        <v>0.38648865318905601</v>
      </c>
      <c r="E3620" s="10">
        <v>-4.0332985476437999</v>
      </c>
      <c r="F3620" s="4">
        <v>5.4999332038517198E-5</v>
      </c>
      <c r="G3620" s="10">
        <v>3.33607925212261E-4</v>
      </c>
      <c r="H3620" s="10" t="s">
        <v>7253</v>
      </c>
      <c r="I3620" s="10" t="s">
        <v>18</v>
      </c>
    </row>
    <row r="3621" spans="1:9" x14ac:dyDescent="0.2">
      <c r="A3621" s="10" t="s">
        <v>7254</v>
      </c>
      <c r="B3621" s="10">
        <v>828.53814972234602</v>
      </c>
      <c r="C3621" s="10">
        <v>-1.35526195434604</v>
      </c>
      <c r="D3621" s="10">
        <v>0.21383236803672301</v>
      </c>
      <c r="E3621" s="10">
        <v>-6.33796448493377</v>
      </c>
      <c r="F3621" s="4">
        <v>2.32820475806638E-10</v>
      </c>
      <c r="G3621" s="4">
        <v>3.4160794315042902E-9</v>
      </c>
      <c r="H3621" s="10" t="s">
        <v>7255</v>
      </c>
      <c r="I3621" s="10" t="s">
        <v>18</v>
      </c>
    </row>
    <row r="3622" spans="1:9" x14ac:dyDescent="0.2">
      <c r="A3622" s="10" t="s">
        <v>7256</v>
      </c>
      <c r="B3622" s="10">
        <v>32.209697922634398</v>
      </c>
      <c r="C3622" s="10">
        <v>2.5600412734287099</v>
      </c>
      <c r="D3622" s="10">
        <v>0.68082608518543197</v>
      </c>
      <c r="E3622" s="10">
        <v>3.76019857219696</v>
      </c>
      <c r="F3622" s="10">
        <v>1.6977853661600501E-4</v>
      </c>
      <c r="G3622" s="10">
        <v>9.2106013825248804E-4</v>
      </c>
      <c r="H3622" s="10" t="s">
        <v>7257</v>
      </c>
      <c r="I3622" s="10" t="s">
        <v>18</v>
      </c>
    </row>
    <row r="3623" spans="1:9" x14ac:dyDescent="0.2">
      <c r="A3623" s="10" t="s">
        <v>7258</v>
      </c>
      <c r="B3623" s="10">
        <v>479.85083436943199</v>
      </c>
      <c r="C3623" s="10">
        <v>-1.46267892517839</v>
      </c>
      <c r="D3623" s="10">
        <v>0.256815564925303</v>
      </c>
      <c r="E3623" s="10">
        <v>-5.6954450000093297</v>
      </c>
      <c r="F3623" s="4">
        <v>1.2305054917112599E-8</v>
      </c>
      <c r="G3623" s="4">
        <v>1.4445318023548799E-7</v>
      </c>
      <c r="H3623" s="10" t="s">
        <v>7259</v>
      </c>
      <c r="I3623" s="10" t="s">
        <v>18</v>
      </c>
    </row>
    <row r="3624" spans="1:9" x14ac:dyDescent="0.2">
      <c r="A3624" s="10" t="s">
        <v>7260</v>
      </c>
      <c r="B3624" s="10">
        <v>6515.7803209275999</v>
      </c>
      <c r="C3624" s="10">
        <v>-1.36788224393192</v>
      </c>
      <c r="D3624" s="10">
        <v>0.18775297342443201</v>
      </c>
      <c r="E3624" s="10">
        <v>-7.2855423750851003</v>
      </c>
      <c r="F3624" s="4">
        <v>3.2037875067447302E-13</v>
      </c>
      <c r="G3624" s="4">
        <v>6.7564704486279998E-12</v>
      </c>
      <c r="H3624" s="10" t="s">
        <v>7261</v>
      </c>
      <c r="I3624" s="10" t="s">
        <v>18</v>
      </c>
    </row>
    <row r="3625" spans="1:9" x14ac:dyDescent="0.2">
      <c r="A3625" s="10" t="s">
        <v>7262</v>
      </c>
      <c r="B3625" s="10">
        <v>1447.10192541368</v>
      </c>
      <c r="C3625" s="10">
        <v>-1.1514717034652999</v>
      </c>
      <c r="D3625" s="10">
        <v>0.195582937382897</v>
      </c>
      <c r="E3625" s="10">
        <v>-5.8873832189719</v>
      </c>
      <c r="F3625" s="4">
        <v>3.9235822342616697E-9</v>
      </c>
      <c r="G3625" s="4">
        <v>4.9447661950475398E-8</v>
      </c>
      <c r="H3625" s="10" t="s">
        <v>7263</v>
      </c>
      <c r="I3625" s="10" t="s">
        <v>18</v>
      </c>
    </row>
    <row r="3626" spans="1:9" x14ac:dyDescent="0.2">
      <c r="A3626" s="10" t="s">
        <v>7264</v>
      </c>
      <c r="B3626" s="10">
        <v>334.75144265254499</v>
      </c>
      <c r="C3626" s="10">
        <v>-1.64107781334762</v>
      </c>
      <c r="D3626" s="10">
        <v>0.24983721879755</v>
      </c>
      <c r="E3626" s="10">
        <v>-6.5685882241485798</v>
      </c>
      <c r="F3626" s="4">
        <v>5.07945343586689E-11</v>
      </c>
      <c r="G3626" s="4">
        <v>8.2282917816328899E-10</v>
      </c>
      <c r="H3626" s="10" t="s">
        <v>7265</v>
      </c>
      <c r="I3626" s="10" t="s">
        <v>18</v>
      </c>
    </row>
    <row r="3627" spans="1:9" x14ac:dyDescent="0.2">
      <c r="A3627" s="10" t="s">
        <v>7266</v>
      </c>
      <c r="B3627" s="10">
        <v>4.7348313275275498</v>
      </c>
      <c r="C3627" s="10">
        <v>5.6398842652474501</v>
      </c>
      <c r="D3627" s="10">
        <v>2.05830840027062</v>
      </c>
      <c r="E3627" s="10">
        <v>2.7400579351986001</v>
      </c>
      <c r="F3627" s="10">
        <v>6.1428355245557601E-3</v>
      </c>
      <c r="G3627" s="10">
        <v>2.1109072964758599E-2</v>
      </c>
      <c r="H3627" s="10" t="s">
        <v>7267</v>
      </c>
      <c r="I3627" s="10" t="s">
        <v>18</v>
      </c>
    </row>
    <row r="3628" spans="1:9" x14ac:dyDescent="0.2">
      <c r="A3628" s="10" t="s">
        <v>7268</v>
      </c>
      <c r="B3628" s="10">
        <v>3316.5725835721801</v>
      </c>
      <c r="C3628" s="10">
        <v>-1.02488094808949</v>
      </c>
      <c r="D3628" s="10">
        <v>0.206809105358642</v>
      </c>
      <c r="E3628" s="10">
        <v>-4.9556858065420801</v>
      </c>
      <c r="F3628" s="4">
        <v>7.2075606507005896E-7</v>
      </c>
      <c r="G3628" s="4">
        <v>6.3186745511466797E-6</v>
      </c>
      <c r="H3628" s="10" t="s">
        <v>7269</v>
      </c>
      <c r="I3628" s="10" t="s">
        <v>18</v>
      </c>
    </row>
    <row r="3629" spans="1:9" x14ac:dyDescent="0.2">
      <c r="A3629" s="10" t="s">
        <v>7270</v>
      </c>
      <c r="B3629" s="10">
        <v>4024.5448951537301</v>
      </c>
      <c r="C3629" s="10">
        <v>-1.0253421155070701</v>
      </c>
      <c r="D3629" s="10">
        <v>0.194528875212027</v>
      </c>
      <c r="E3629" s="10">
        <v>-5.2708993170782596</v>
      </c>
      <c r="F3629" s="4">
        <v>1.3575692826453399E-7</v>
      </c>
      <c r="G3629" s="4">
        <v>1.34752969924363E-6</v>
      </c>
      <c r="H3629" s="10" t="s">
        <v>7271</v>
      </c>
      <c r="I3629" s="10" t="s">
        <v>18</v>
      </c>
    </row>
    <row r="3630" spans="1:9" x14ac:dyDescent="0.2">
      <c r="A3630" s="10" t="s">
        <v>7272</v>
      </c>
      <c r="B3630" s="10">
        <v>10765.7160366507</v>
      </c>
      <c r="C3630" s="10">
        <v>1.4092021123134999</v>
      </c>
      <c r="D3630" s="10">
        <v>0.22446010829542901</v>
      </c>
      <c r="E3630" s="10">
        <v>6.2781851216909299</v>
      </c>
      <c r="F3630" s="4">
        <v>3.4254791692981101E-10</v>
      </c>
      <c r="G3630" s="4">
        <v>4.9252786768266797E-9</v>
      </c>
      <c r="H3630" s="10" t="s">
        <v>7273</v>
      </c>
      <c r="I3630" s="10" t="s">
        <v>18</v>
      </c>
    </row>
    <row r="3631" spans="1:9" x14ac:dyDescent="0.2">
      <c r="A3631" s="10" t="s">
        <v>7274</v>
      </c>
      <c r="B3631" s="10">
        <v>192.35047807584601</v>
      </c>
      <c r="C3631" s="10">
        <v>2.9383459126782201</v>
      </c>
      <c r="D3631" s="10">
        <v>0.32368769495927602</v>
      </c>
      <c r="E3631" s="10">
        <v>9.0777189199234307</v>
      </c>
      <c r="F3631" s="4">
        <v>1.10874054954471E-19</v>
      </c>
      <c r="G3631" s="4">
        <v>4.1326749320717901E-18</v>
      </c>
      <c r="H3631" s="10" t="s">
        <v>7275</v>
      </c>
      <c r="I3631" s="10" t="s">
        <v>18</v>
      </c>
    </row>
    <row r="3632" spans="1:9" x14ac:dyDescent="0.2">
      <c r="A3632" s="10" t="s">
        <v>7276</v>
      </c>
      <c r="B3632" s="10">
        <v>23.164028647843001</v>
      </c>
      <c r="C3632" s="10">
        <v>4.85799925382591</v>
      </c>
      <c r="D3632" s="10">
        <v>1.07314657863676</v>
      </c>
      <c r="E3632" s="10">
        <v>4.5268739150220396</v>
      </c>
      <c r="F3632" s="4">
        <v>5.98626320672039E-6</v>
      </c>
      <c r="G3632" s="4">
        <v>4.4492011345747597E-5</v>
      </c>
      <c r="H3632" s="10" t="s">
        <v>7277</v>
      </c>
      <c r="I3632" s="10" t="s">
        <v>18</v>
      </c>
    </row>
    <row r="3633" spans="1:9" x14ac:dyDescent="0.2">
      <c r="A3633" s="10" t="s">
        <v>7278</v>
      </c>
      <c r="B3633" s="10">
        <v>1287.4554096331001</v>
      </c>
      <c r="C3633" s="10">
        <v>-1.0206664420720899</v>
      </c>
      <c r="D3633" s="10">
        <v>0.18909944247197399</v>
      </c>
      <c r="E3633" s="10">
        <v>-5.3975116411216399</v>
      </c>
      <c r="F3633" s="4">
        <v>6.7571490838016805E-8</v>
      </c>
      <c r="G3633" s="4">
        <v>7.0676407326811596E-7</v>
      </c>
      <c r="H3633" s="10" t="s">
        <v>7279</v>
      </c>
      <c r="I3633" s="10" t="s">
        <v>18</v>
      </c>
    </row>
    <row r="3634" spans="1:9" x14ac:dyDescent="0.2">
      <c r="A3634" s="10" t="s">
        <v>7280</v>
      </c>
      <c r="B3634" s="10">
        <v>2345.3033246897598</v>
      </c>
      <c r="C3634" s="10">
        <v>-1.29315536465031</v>
      </c>
      <c r="D3634" s="10">
        <v>0.23630140775574199</v>
      </c>
      <c r="E3634" s="10">
        <v>-5.4724826945889697</v>
      </c>
      <c r="F3634" s="4">
        <v>4.4377410705244098E-8</v>
      </c>
      <c r="G3634" s="4">
        <v>4.7925141081481799E-7</v>
      </c>
      <c r="H3634" s="10" t="s">
        <v>7281</v>
      </c>
      <c r="I3634" s="10" t="s">
        <v>18</v>
      </c>
    </row>
    <row r="3635" spans="1:9" x14ac:dyDescent="0.2">
      <c r="A3635" s="10" t="s">
        <v>7282</v>
      </c>
      <c r="B3635" s="10">
        <v>52.6782821426984</v>
      </c>
      <c r="C3635" s="10">
        <v>1.3376171471929601</v>
      </c>
      <c r="D3635" s="10">
        <v>0.50393851652271804</v>
      </c>
      <c r="E3635" s="10">
        <v>2.6543260801392998</v>
      </c>
      <c r="F3635" s="10">
        <v>7.9466992959035202E-3</v>
      </c>
      <c r="G3635" s="10">
        <v>2.6235758598749898E-2</v>
      </c>
      <c r="H3635" s="10" t="s">
        <v>7283</v>
      </c>
      <c r="I3635" s="10" t="s">
        <v>18</v>
      </c>
    </row>
    <row r="3636" spans="1:9" x14ac:dyDescent="0.2">
      <c r="A3636" s="10" t="s">
        <v>7284</v>
      </c>
      <c r="B3636" s="10">
        <v>52.781032916530002</v>
      </c>
      <c r="C3636" s="10">
        <v>3.5548334074660799</v>
      </c>
      <c r="D3636" s="10">
        <v>0.62922190821660295</v>
      </c>
      <c r="E3636" s="10">
        <v>5.6495703042850298</v>
      </c>
      <c r="F3636" s="4">
        <v>1.6084939249987099E-8</v>
      </c>
      <c r="G3636" s="4">
        <v>1.8570607616288099E-7</v>
      </c>
      <c r="H3636" s="10" t="s">
        <v>7285</v>
      </c>
      <c r="I3636" s="10" t="s">
        <v>18</v>
      </c>
    </row>
    <row r="3637" spans="1:9" x14ac:dyDescent="0.2">
      <c r="A3637" s="10" t="s">
        <v>7286</v>
      </c>
      <c r="B3637" s="10">
        <v>681.79601838014401</v>
      </c>
      <c r="C3637" s="10">
        <v>-1.5387915279493301</v>
      </c>
      <c r="D3637" s="10">
        <v>0.23518954875249001</v>
      </c>
      <c r="E3637" s="10">
        <v>-6.54277171801</v>
      </c>
      <c r="F3637" s="4">
        <v>6.0388976742805206E-11</v>
      </c>
      <c r="G3637" s="4">
        <v>9.7304461816156905E-10</v>
      </c>
      <c r="H3637" s="10" t="s">
        <v>7287</v>
      </c>
      <c r="I3637" s="10" t="s">
        <v>18</v>
      </c>
    </row>
    <row r="3638" spans="1:9" x14ac:dyDescent="0.2">
      <c r="A3638" s="10" t="s">
        <v>7288</v>
      </c>
      <c r="B3638" s="10">
        <v>93.397074973142196</v>
      </c>
      <c r="C3638" s="10">
        <v>4.4293886913351201</v>
      </c>
      <c r="D3638" s="10">
        <v>0.52637456688345097</v>
      </c>
      <c r="E3638" s="10">
        <v>8.4148987622266098</v>
      </c>
      <c r="F3638" s="4">
        <v>3.9323437204570902E-17</v>
      </c>
      <c r="G3638" s="4">
        <v>1.1813072695842799E-15</v>
      </c>
      <c r="H3638" s="10" t="s">
        <v>7289</v>
      </c>
      <c r="I3638" s="10" t="s">
        <v>18</v>
      </c>
    </row>
    <row r="3639" spans="1:9" x14ac:dyDescent="0.2">
      <c r="A3639" s="10" t="s">
        <v>7290</v>
      </c>
      <c r="B3639" s="10">
        <v>4716.0032669193497</v>
      </c>
      <c r="C3639" s="10">
        <v>2.0116829117204</v>
      </c>
      <c r="D3639" s="10">
        <v>0.19249862847928401</v>
      </c>
      <c r="E3639" s="10">
        <v>10.450375296761599</v>
      </c>
      <c r="F3639" s="4">
        <v>1.45946544005092E-25</v>
      </c>
      <c r="G3639" s="4">
        <v>8.5334881641775496E-24</v>
      </c>
      <c r="H3639" s="10" t="s">
        <v>7291</v>
      </c>
      <c r="I3639" s="10" t="s">
        <v>18</v>
      </c>
    </row>
    <row r="3640" spans="1:9" x14ac:dyDescent="0.2">
      <c r="A3640" s="10" t="s">
        <v>7292</v>
      </c>
      <c r="B3640" s="10">
        <v>7.2653184629216598</v>
      </c>
      <c r="C3640" s="10">
        <v>6.2546498169165003</v>
      </c>
      <c r="D3640" s="10">
        <v>1.87690904629221</v>
      </c>
      <c r="E3640" s="10">
        <v>3.3324203052206598</v>
      </c>
      <c r="F3640" s="10">
        <v>8.6094124409860596E-4</v>
      </c>
      <c r="G3640" s="10">
        <v>3.8716068786853802E-3</v>
      </c>
      <c r="H3640" s="10" t="s">
        <v>7293</v>
      </c>
      <c r="I3640" s="10" t="s">
        <v>18</v>
      </c>
    </row>
    <row r="3641" spans="1:9" x14ac:dyDescent="0.2">
      <c r="A3641" s="10" t="s">
        <v>7294</v>
      </c>
      <c r="B3641" s="10">
        <v>2135.75815207303</v>
      </c>
      <c r="C3641" s="10">
        <v>-1.1339111265914099</v>
      </c>
      <c r="D3641" s="10">
        <v>0.21448285164276801</v>
      </c>
      <c r="E3641" s="10">
        <v>-5.2867216092408098</v>
      </c>
      <c r="F3641" s="4">
        <v>1.2452793279987699E-7</v>
      </c>
      <c r="G3641" s="4">
        <v>1.2453521997073601E-6</v>
      </c>
      <c r="H3641" s="10" t="s">
        <v>7295</v>
      </c>
      <c r="I3641" s="10" t="s">
        <v>18</v>
      </c>
    </row>
    <row r="3642" spans="1:9" x14ac:dyDescent="0.2">
      <c r="A3642" s="10" t="s">
        <v>7296</v>
      </c>
      <c r="B3642" s="10">
        <v>19919.815616518299</v>
      </c>
      <c r="C3642" s="10">
        <v>-1.45432603143322</v>
      </c>
      <c r="D3642" s="10">
        <v>0.17775925025734299</v>
      </c>
      <c r="E3642" s="10">
        <v>-8.1814365740617507</v>
      </c>
      <c r="F3642" s="4">
        <v>2.80479721050246E-16</v>
      </c>
      <c r="G3642" s="4">
        <v>7.8542969778582399E-15</v>
      </c>
      <c r="H3642" s="10" t="s">
        <v>7297</v>
      </c>
      <c r="I3642" s="10" t="s">
        <v>18</v>
      </c>
    </row>
    <row r="3643" spans="1:9" x14ac:dyDescent="0.2">
      <c r="A3643" s="10" t="s">
        <v>7298</v>
      </c>
      <c r="B3643" s="10">
        <v>15.4154237619796</v>
      </c>
      <c r="C3643" s="10">
        <v>4.8490649491854496</v>
      </c>
      <c r="D3643" s="10">
        <v>1.2987091733568401</v>
      </c>
      <c r="E3643" s="10">
        <v>3.7337573712918601</v>
      </c>
      <c r="F3643" s="10">
        <v>1.8864423206485899E-4</v>
      </c>
      <c r="G3643" s="10">
        <v>1.0114107420447101E-3</v>
      </c>
      <c r="H3643" s="10" t="s">
        <v>7299</v>
      </c>
      <c r="I3643" s="10" t="s">
        <v>18</v>
      </c>
    </row>
    <row r="3644" spans="1:9" x14ac:dyDescent="0.2">
      <c r="A3644" s="10" t="s">
        <v>7300</v>
      </c>
      <c r="B3644" s="10">
        <v>33.101569607140299</v>
      </c>
      <c r="C3644" s="10">
        <v>8.44377579850741</v>
      </c>
      <c r="D3644" s="10">
        <v>1.5549342377948101</v>
      </c>
      <c r="E3644" s="10">
        <v>5.4303105515782297</v>
      </c>
      <c r="F3644" s="4">
        <v>5.6256070699395098E-8</v>
      </c>
      <c r="G3644" s="4">
        <v>5.9688830153676697E-7</v>
      </c>
      <c r="H3644" s="10" t="s">
        <v>7301</v>
      </c>
      <c r="I3644" s="10" t="s">
        <v>18</v>
      </c>
    </row>
    <row r="3645" spans="1:9" x14ac:dyDescent="0.2">
      <c r="A3645" s="10" t="s">
        <v>7302</v>
      </c>
      <c r="B3645" s="10">
        <v>645.58546403637001</v>
      </c>
      <c r="C3645" s="10">
        <v>1.26754546086728</v>
      </c>
      <c r="D3645" s="10">
        <v>0.260256079759491</v>
      </c>
      <c r="E3645" s="10">
        <v>4.8703779064014396</v>
      </c>
      <c r="F3645" s="4">
        <v>1.1138501028702199E-6</v>
      </c>
      <c r="G3645" s="4">
        <v>9.4663361674687996E-6</v>
      </c>
      <c r="H3645" s="10" t="s">
        <v>7303</v>
      </c>
      <c r="I3645" s="10" t="s">
        <v>18</v>
      </c>
    </row>
    <row r="3646" spans="1:9" x14ac:dyDescent="0.2">
      <c r="A3646" s="10" t="s">
        <v>7304</v>
      </c>
      <c r="B3646" s="10">
        <v>610.48111985756498</v>
      </c>
      <c r="C3646" s="10">
        <v>-1.7168923744817099</v>
      </c>
      <c r="D3646" s="10">
        <v>0.22299097948673799</v>
      </c>
      <c r="E3646" s="10">
        <v>-7.6993803894377502</v>
      </c>
      <c r="F3646" s="4">
        <v>1.3672758689736701E-14</v>
      </c>
      <c r="G3646" s="4">
        <v>3.2394926610370102E-13</v>
      </c>
      <c r="H3646" s="10" t="s">
        <v>7305</v>
      </c>
      <c r="I3646" s="10" t="s">
        <v>18</v>
      </c>
    </row>
    <row r="3647" spans="1:9" x14ac:dyDescent="0.2">
      <c r="A3647" s="10" t="s">
        <v>7306</v>
      </c>
      <c r="B3647" s="10">
        <v>1383.5643779757299</v>
      </c>
      <c r="C3647" s="10">
        <v>6.3472735259733604</v>
      </c>
      <c r="D3647" s="10">
        <v>0.26297913738499901</v>
      </c>
      <c r="E3647" s="10">
        <v>24.136034474403999</v>
      </c>
      <c r="F3647" s="4">
        <v>1.04666116455415E-128</v>
      </c>
      <c r="G3647" s="4">
        <v>3.56479709382587E-125</v>
      </c>
      <c r="H3647" s="10" t="s">
        <v>7307</v>
      </c>
      <c r="I3647" s="10" t="s">
        <v>18</v>
      </c>
    </row>
    <row r="3648" spans="1:9" x14ac:dyDescent="0.2">
      <c r="A3648" s="10" t="s">
        <v>7308</v>
      </c>
      <c r="B3648" s="10">
        <v>503.51352708592202</v>
      </c>
      <c r="C3648" s="10">
        <v>-1.17472726890571</v>
      </c>
      <c r="D3648" s="10">
        <v>0.27353748020597202</v>
      </c>
      <c r="E3648" s="10">
        <v>-4.29457516396345</v>
      </c>
      <c r="F3648" s="4">
        <v>1.7502817641507299E-5</v>
      </c>
      <c r="G3648" s="10">
        <v>1.17723839120748E-4</v>
      </c>
      <c r="H3648" s="10" t="s">
        <v>7309</v>
      </c>
      <c r="I3648" s="10" t="s">
        <v>18</v>
      </c>
    </row>
    <row r="3649" spans="1:9" x14ac:dyDescent="0.2">
      <c r="A3649" s="10" t="s">
        <v>7310</v>
      </c>
      <c r="B3649" s="10">
        <v>1089.71459236135</v>
      </c>
      <c r="C3649" s="10">
        <v>-1.48512083318038</v>
      </c>
      <c r="D3649" s="10">
        <v>0.195779778156495</v>
      </c>
      <c r="E3649" s="10">
        <v>-7.5856702217389502</v>
      </c>
      <c r="F3649" s="4">
        <v>3.3077274795907302E-14</v>
      </c>
      <c r="G3649" s="4">
        <v>7.6768015874283399E-13</v>
      </c>
      <c r="H3649" s="10" t="s">
        <v>7311</v>
      </c>
      <c r="I3649" s="10" t="s">
        <v>18</v>
      </c>
    </row>
    <row r="3650" spans="1:9" x14ac:dyDescent="0.2">
      <c r="A3650" s="10" t="s">
        <v>7312</v>
      </c>
      <c r="B3650" s="10">
        <v>53.264420260926897</v>
      </c>
      <c r="C3650" s="10">
        <v>1.6750655087683199</v>
      </c>
      <c r="D3650" s="10">
        <v>0.55147850374358298</v>
      </c>
      <c r="E3650" s="10">
        <v>3.0374085252598899</v>
      </c>
      <c r="F3650" s="10">
        <v>2.38621817067054E-3</v>
      </c>
      <c r="G3650" s="10">
        <v>9.3725366147124293E-3</v>
      </c>
      <c r="H3650" s="10" t="s">
        <v>7313</v>
      </c>
      <c r="I3650" s="10" t="s">
        <v>18</v>
      </c>
    </row>
    <row r="3651" spans="1:9" x14ac:dyDescent="0.2">
      <c r="A3651" s="10" t="s">
        <v>7314</v>
      </c>
      <c r="B3651" s="10">
        <v>403.270237189444</v>
      </c>
      <c r="C3651" s="10">
        <v>2.3914728353807799</v>
      </c>
      <c r="D3651" s="10">
        <v>0.242993264459504</v>
      </c>
      <c r="E3651" s="10">
        <v>9.8417247930727694</v>
      </c>
      <c r="F3651" s="4">
        <v>7.4423819075126504E-23</v>
      </c>
      <c r="G3651" s="4">
        <v>3.5327975580835702E-21</v>
      </c>
      <c r="H3651" s="10" t="s">
        <v>7315</v>
      </c>
      <c r="I3651" s="10" t="s">
        <v>18</v>
      </c>
    </row>
    <row r="3652" spans="1:9" x14ac:dyDescent="0.2">
      <c r="A3652" s="10" t="s">
        <v>7316</v>
      </c>
      <c r="B3652" s="10">
        <v>25.839679470336701</v>
      </c>
      <c r="C3652" s="10">
        <v>3.9752060743997699</v>
      </c>
      <c r="D3652" s="10">
        <v>0.86222883720725996</v>
      </c>
      <c r="E3652" s="10">
        <v>4.6103840452325597</v>
      </c>
      <c r="F3652" s="4">
        <v>4.01925775313014E-6</v>
      </c>
      <c r="G3652" s="4">
        <v>3.0927059022744202E-5</v>
      </c>
      <c r="H3652" s="10" t="s">
        <v>7317</v>
      </c>
      <c r="I3652" s="10" t="s">
        <v>18</v>
      </c>
    </row>
    <row r="3653" spans="1:9" x14ac:dyDescent="0.2">
      <c r="A3653" s="10" t="s">
        <v>7318</v>
      </c>
      <c r="B3653" s="10">
        <v>3833.1359467628699</v>
      </c>
      <c r="C3653" s="10">
        <v>9.4547826506750692</v>
      </c>
      <c r="D3653" s="10">
        <v>0.72775518553137797</v>
      </c>
      <c r="E3653" s="10">
        <v>12.991707704248901</v>
      </c>
      <c r="F3653" s="4">
        <v>1.3635027468462201E-38</v>
      </c>
      <c r="G3653" s="4">
        <v>1.7524226105339101E-36</v>
      </c>
      <c r="H3653" s="10" t="s">
        <v>7319</v>
      </c>
      <c r="I3653" s="10" t="s">
        <v>18</v>
      </c>
    </row>
    <row r="3654" spans="1:9" x14ac:dyDescent="0.2">
      <c r="A3654" s="10" t="s">
        <v>7320</v>
      </c>
      <c r="B3654" s="10">
        <v>2041.3407139149599</v>
      </c>
      <c r="C3654" s="10">
        <v>-1.11658939739898</v>
      </c>
      <c r="D3654" s="10">
        <v>0.18471922172517599</v>
      </c>
      <c r="E3654" s="10">
        <v>-6.0447926694939902</v>
      </c>
      <c r="F3654" s="4">
        <v>1.4960225613396E-9</v>
      </c>
      <c r="G3654" s="4">
        <v>1.9845241834868599E-8</v>
      </c>
      <c r="H3654" s="10" t="s">
        <v>7321</v>
      </c>
      <c r="I3654" s="10" t="s">
        <v>18</v>
      </c>
    </row>
    <row r="3655" spans="1:9" x14ac:dyDescent="0.2">
      <c r="A3655" s="10" t="s">
        <v>7322</v>
      </c>
      <c r="B3655" s="10">
        <v>4.1097661746942604</v>
      </c>
      <c r="C3655" s="10">
        <v>5.4328693169605202</v>
      </c>
      <c r="D3655" s="10">
        <v>2.14332345947187</v>
      </c>
      <c r="E3655" s="10">
        <v>2.5347874082893802</v>
      </c>
      <c r="F3655" s="10">
        <v>1.1251558606317101E-2</v>
      </c>
      <c r="G3655" s="10">
        <v>3.5125024902190903E-2</v>
      </c>
      <c r="H3655" s="10" t="s">
        <v>7323</v>
      </c>
      <c r="I3655" s="10" t="s">
        <v>18</v>
      </c>
    </row>
    <row r="3656" spans="1:9" x14ac:dyDescent="0.2">
      <c r="A3656" s="10" t="s">
        <v>7324</v>
      </c>
      <c r="B3656" s="10">
        <v>907.705641953498</v>
      </c>
      <c r="C3656" s="10">
        <v>-1.0432275182700901</v>
      </c>
      <c r="D3656" s="10">
        <v>0.207203317291003</v>
      </c>
      <c r="E3656" s="10">
        <v>-5.0348012373033004</v>
      </c>
      <c r="F3656" s="4">
        <v>4.7834490417134797E-7</v>
      </c>
      <c r="G3656" s="4">
        <v>4.33870293074458E-6</v>
      </c>
      <c r="H3656" s="10" t="s">
        <v>7325</v>
      </c>
      <c r="I3656" s="10" t="s">
        <v>18</v>
      </c>
    </row>
    <row r="3657" spans="1:9" x14ac:dyDescent="0.2">
      <c r="A3657" s="10" t="s">
        <v>7326</v>
      </c>
      <c r="B3657" s="10">
        <v>17.329695216696599</v>
      </c>
      <c r="C3657" s="10">
        <v>6.0454267220581803</v>
      </c>
      <c r="D3657" s="10">
        <v>1.6270143129821699</v>
      </c>
      <c r="E3657" s="10">
        <v>3.7156567547199102</v>
      </c>
      <c r="F3657" s="10">
        <v>2.0267656702964001E-4</v>
      </c>
      <c r="G3657" s="10">
        <v>1.0800564095162499E-3</v>
      </c>
      <c r="H3657" s="10" t="s">
        <v>7327</v>
      </c>
      <c r="I3657" s="10" t="s">
        <v>18</v>
      </c>
    </row>
    <row r="3658" spans="1:9" x14ac:dyDescent="0.2">
      <c r="A3658" s="10" t="s">
        <v>7328</v>
      </c>
      <c r="B3658" s="10">
        <v>3117.1648803120302</v>
      </c>
      <c r="C3658" s="10">
        <v>-1.22090870412802</v>
      </c>
      <c r="D3658" s="10">
        <v>0.19225852242635</v>
      </c>
      <c r="E3658" s="10">
        <v>-6.35034894016583</v>
      </c>
      <c r="F3658" s="4">
        <v>2.14827073182533E-10</v>
      </c>
      <c r="G3658" s="4">
        <v>3.17257087425718E-9</v>
      </c>
      <c r="H3658" s="10" t="s">
        <v>7329</v>
      </c>
      <c r="I3658" s="10" t="s">
        <v>18</v>
      </c>
    </row>
    <row r="3659" spans="1:9" x14ac:dyDescent="0.2">
      <c r="A3659" s="10" t="s">
        <v>7330</v>
      </c>
      <c r="B3659" s="10">
        <v>5629.1210810741704</v>
      </c>
      <c r="C3659" s="10">
        <v>-1.1316116305245201</v>
      </c>
      <c r="D3659" s="10">
        <v>0.184290031753822</v>
      </c>
      <c r="E3659" s="10">
        <v>-6.1403843699812404</v>
      </c>
      <c r="F3659" s="4">
        <v>8.2322040503848905E-10</v>
      </c>
      <c r="G3659" s="4">
        <v>1.13284274626685E-8</v>
      </c>
      <c r="H3659" s="10" t="s">
        <v>7331</v>
      </c>
      <c r="I3659" s="10" t="s">
        <v>18</v>
      </c>
    </row>
    <row r="3660" spans="1:9" x14ac:dyDescent="0.2">
      <c r="A3660" s="10" t="s">
        <v>7332</v>
      </c>
      <c r="B3660" s="10">
        <v>21.906975617863399</v>
      </c>
      <c r="C3660" s="10">
        <v>-2.63483071071497</v>
      </c>
      <c r="D3660" s="10">
        <v>0.79701631444477306</v>
      </c>
      <c r="E3660" s="10">
        <v>-3.3058679765551302</v>
      </c>
      <c r="F3660" s="10">
        <v>9.4682688794461704E-4</v>
      </c>
      <c r="G3660" s="10">
        <v>4.20576984281496E-3</v>
      </c>
      <c r="H3660" s="10" t="s">
        <v>7333</v>
      </c>
      <c r="I3660" s="10" t="s">
        <v>18</v>
      </c>
    </row>
    <row r="3661" spans="1:9" x14ac:dyDescent="0.2">
      <c r="A3661" s="10" t="s">
        <v>7334</v>
      </c>
      <c r="B3661" s="10">
        <v>1247.6278171694701</v>
      </c>
      <c r="C3661" s="10">
        <v>-2.2706723863645801</v>
      </c>
      <c r="D3661" s="10">
        <v>0.19566928839764999</v>
      </c>
      <c r="E3661" s="10">
        <v>-11.6046437586566</v>
      </c>
      <c r="F3661" s="4">
        <v>3.90309635861012E-31</v>
      </c>
      <c r="G3661" s="4">
        <v>3.34426624160535E-29</v>
      </c>
      <c r="H3661" s="10" t="s">
        <v>7335</v>
      </c>
      <c r="I3661" s="10" t="s">
        <v>18</v>
      </c>
    </row>
    <row r="3662" spans="1:9" x14ac:dyDescent="0.2">
      <c r="A3662" s="10" t="s">
        <v>7336</v>
      </c>
      <c r="B3662" s="10">
        <v>2659.7936311213898</v>
      </c>
      <c r="C3662" s="10">
        <v>-1.58801623800978</v>
      </c>
      <c r="D3662" s="10">
        <v>0.188026860863996</v>
      </c>
      <c r="E3662" s="10">
        <v>-8.4456881889786093</v>
      </c>
      <c r="F3662" s="4">
        <v>3.0225948512054199E-17</v>
      </c>
      <c r="G3662" s="4">
        <v>9.2121523390150101E-16</v>
      </c>
      <c r="H3662" s="10" t="s">
        <v>7337</v>
      </c>
      <c r="I3662" s="10" t="s">
        <v>18</v>
      </c>
    </row>
    <row r="3663" spans="1:9" x14ac:dyDescent="0.2">
      <c r="A3663" s="10" t="s">
        <v>7338</v>
      </c>
      <c r="B3663" s="10">
        <v>81.057259522922493</v>
      </c>
      <c r="C3663" s="10">
        <v>4.1273009544724797</v>
      </c>
      <c r="D3663" s="10">
        <v>0.51629026933070499</v>
      </c>
      <c r="E3663" s="10">
        <v>7.9941482527317902</v>
      </c>
      <c r="F3663" s="4">
        <v>1.3047268820958399E-15</v>
      </c>
      <c r="G3663" s="4">
        <v>3.4414223965600501E-14</v>
      </c>
      <c r="H3663" s="10" t="s">
        <v>7339</v>
      </c>
      <c r="I3663" s="10" t="s">
        <v>18</v>
      </c>
    </row>
    <row r="3664" spans="1:9" x14ac:dyDescent="0.2">
      <c r="A3664" s="10" t="s">
        <v>7340</v>
      </c>
      <c r="B3664" s="10">
        <v>16.8530108092083</v>
      </c>
      <c r="C3664" s="10">
        <v>3.0610098945686501</v>
      </c>
      <c r="D3664" s="10">
        <v>0.93411854573506103</v>
      </c>
      <c r="E3664" s="10">
        <v>3.2768966086204099</v>
      </c>
      <c r="F3664" s="10">
        <v>1.04954794297091E-3</v>
      </c>
      <c r="G3664" s="10">
        <v>4.60055225259465E-3</v>
      </c>
      <c r="H3664" s="10" t="s">
        <v>7341</v>
      </c>
      <c r="I3664" s="10" t="s">
        <v>18</v>
      </c>
    </row>
    <row r="3665" spans="1:9" x14ac:dyDescent="0.2">
      <c r="A3665" s="10" t="s">
        <v>7342</v>
      </c>
      <c r="B3665" s="10">
        <v>2840.6277866543101</v>
      </c>
      <c r="C3665" s="10">
        <v>2.5339709251388798</v>
      </c>
      <c r="D3665" s="10">
        <v>0.18978798307208</v>
      </c>
      <c r="E3665" s="10">
        <v>13.351587830387</v>
      </c>
      <c r="F3665" s="4">
        <v>1.15950733184975E-40</v>
      </c>
      <c r="G3665" s="4">
        <v>1.65408880999529E-38</v>
      </c>
      <c r="H3665" s="10" t="s">
        <v>7343</v>
      </c>
      <c r="I3665" s="10" t="s">
        <v>18</v>
      </c>
    </row>
    <row r="3666" spans="1:9" x14ac:dyDescent="0.2">
      <c r="A3666" s="10" t="s">
        <v>7344</v>
      </c>
      <c r="B3666" s="10">
        <v>20.9989717197993</v>
      </c>
      <c r="C3666" s="10">
        <v>3.9360762094199599</v>
      </c>
      <c r="D3666" s="10">
        <v>0.946371440337341</v>
      </c>
      <c r="E3666" s="10">
        <v>4.1591240412083001</v>
      </c>
      <c r="F3666" s="4">
        <v>3.1947038447366402E-5</v>
      </c>
      <c r="G3666" s="10">
        <v>2.0352138334706399E-4</v>
      </c>
      <c r="H3666" s="10" t="s">
        <v>7345</v>
      </c>
      <c r="I3666" s="10" t="s">
        <v>18</v>
      </c>
    </row>
    <row r="3667" spans="1:9" x14ac:dyDescent="0.2">
      <c r="A3667" s="10" t="s">
        <v>7346</v>
      </c>
      <c r="B3667" s="10">
        <v>16317.338251527401</v>
      </c>
      <c r="C3667" s="10">
        <v>1.18463410796059</v>
      </c>
      <c r="D3667" s="10">
        <v>0.18661123129968099</v>
      </c>
      <c r="E3667" s="10">
        <v>6.3481393896285701</v>
      </c>
      <c r="F3667" s="4">
        <v>2.1793458039899101E-10</v>
      </c>
      <c r="G3667" s="4">
        <v>3.2143097475366199E-9</v>
      </c>
      <c r="H3667" s="10" t="s">
        <v>7347</v>
      </c>
      <c r="I3667" s="10" t="s">
        <v>18</v>
      </c>
    </row>
    <row r="3668" spans="1:9" x14ac:dyDescent="0.2">
      <c r="A3668" s="10" t="s">
        <v>7348</v>
      </c>
      <c r="B3668" s="10">
        <v>16.7351490169393</v>
      </c>
      <c r="C3668" s="10">
        <v>5.9988763304945696</v>
      </c>
      <c r="D3668" s="10">
        <v>1.63473614309778</v>
      </c>
      <c r="E3668" s="10">
        <v>3.66962971720125</v>
      </c>
      <c r="F3668" s="10">
        <v>2.4290205672839401E-4</v>
      </c>
      <c r="G3668" s="10">
        <v>1.2628033466282301E-3</v>
      </c>
      <c r="H3668" s="10" t="s">
        <v>7349</v>
      </c>
      <c r="I3668" s="10" t="s">
        <v>18</v>
      </c>
    </row>
    <row r="3669" spans="1:9" x14ac:dyDescent="0.2">
      <c r="A3669" s="10" t="s">
        <v>7350</v>
      </c>
      <c r="B3669" s="10">
        <v>3236.6869174700901</v>
      </c>
      <c r="C3669" s="10">
        <v>1.6607941099922201</v>
      </c>
      <c r="D3669" s="10">
        <v>0.18155253463221999</v>
      </c>
      <c r="E3669" s="10">
        <v>9.1477329873503201</v>
      </c>
      <c r="F3669" s="4">
        <v>5.8140794398968005E-20</v>
      </c>
      <c r="G3669" s="4">
        <v>2.2312144013925101E-18</v>
      </c>
      <c r="H3669" s="10" t="s">
        <v>7351</v>
      </c>
      <c r="I3669" s="10" t="s">
        <v>18</v>
      </c>
    </row>
    <row r="3670" spans="1:9" x14ac:dyDescent="0.2">
      <c r="A3670" s="10" t="s">
        <v>7352</v>
      </c>
      <c r="B3670" s="10">
        <v>916.24236103512806</v>
      </c>
      <c r="C3670" s="10">
        <v>-1.6889385582199801</v>
      </c>
      <c r="D3670" s="10">
        <v>0.20064456083200999</v>
      </c>
      <c r="E3670" s="10">
        <v>-8.4175646287967307</v>
      </c>
      <c r="F3670" s="4">
        <v>3.8439123211364602E-17</v>
      </c>
      <c r="G3670" s="4">
        <v>1.1572936907624899E-15</v>
      </c>
      <c r="H3670" s="10" t="s">
        <v>7353</v>
      </c>
      <c r="I3670" s="10" t="s">
        <v>18</v>
      </c>
    </row>
    <row r="3671" spans="1:9" x14ac:dyDescent="0.2">
      <c r="A3671" s="10" t="s">
        <v>7354</v>
      </c>
      <c r="B3671" s="10">
        <v>46.043064117309399</v>
      </c>
      <c r="C3671" s="10">
        <v>-2.5864583918750199</v>
      </c>
      <c r="D3671" s="10">
        <v>0.55746539580226595</v>
      </c>
      <c r="E3671" s="10">
        <v>-4.63967523607948</v>
      </c>
      <c r="F3671" s="4">
        <v>3.4895712923042801E-6</v>
      </c>
      <c r="G3671" s="4">
        <v>2.7173577879798401E-5</v>
      </c>
      <c r="H3671" s="10" t="s">
        <v>7355</v>
      </c>
      <c r="I3671" s="10" t="s">
        <v>18</v>
      </c>
    </row>
    <row r="3672" spans="1:9" x14ac:dyDescent="0.2">
      <c r="A3672" s="10" t="s">
        <v>7356</v>
      </c>
      <c r="B3672" s="10">
        <v>8.1832942445817807</v>
      </c>
      <c r="C3672" s="10">
        <v>6.4270843652397902</v>
      </c>
      <c r="D3672" s="10">
        <v>1.8297971749098501</v>
      </c>
      <c r="E3672" s="10">
        <v>3.5124572566664098</v>
      </c>
      <c r="F3672" s="10">
        <v>4.4398341346852998E-4</v>
      </c>
      <c r="G3672" s="10">
        <v>2.1563665003167601E-3</v>
      </c>
      <c r="H3672" s="10" t="s">
        <v>7357</v>
      </c>
      <c r="I3672" s="10" t="s">
        <v>18</v>
      </c>
    </row>
    <row r="3673" spans="1:9" x14ac:dyDescent="0.2">
      <c r="A3673" s="10" t="s">
        <v>7358</v>
      </c>
      <c r="B3673" s="10">
        <v>219.27915874649599</v>
      </c>
      <c r="C3673" s="10">
        <v>6.5457449889214496</v>
      </c>
      <c r="D3673" s="10">
        <v>0.55277072608651801</v>
      </c>
      <c r="E3673" s="10">
        <v>11.841699786209199</v>
      </c>
      <c r="F3673" s="4">
        <v>2.3758827600876001E-32</v>
      </c>
      <c r="G3673" s="4">
        <v>2.1155450184348601E-30</v>
      </c>
      <c r="H3673" s="10" t="s">
        <v>7359</v>
      </c>
      <c r="I3673" s="10" t="s">
        <v>18</v>
      </c>
    </row>
    <row r="3674" spans="1:9" x14ac:dyDescent="0.2">
      <c r="A3674" s="10" t="s">
        <v>7360</v>
      </c>
      <c r="B3674" s="10">
        <v>170.633552489702</v>
      </c>
      <c r="C3674" s="10">
        <v>1.9067882931083999</v>
      </c>
      <c r="D3674" s="10">
        <v>0.3198568971147</v>
      </c>
      <c r="E3674" s="10">
        <v>5.9613793240313599</v>
      </c>
      <c r="F3674" s="4">
        <v>2.5011759639130702E-9</v>
      </c>
      <c r="G3674" s="4">
        <v>3.2130854072955899E-8</v>
      </c>
      <c r="H3674" s="10" t="s">
        <v>7361</v>
      </c>
      <c r="I3674" s="10" t="s">
        <v>18</v>
      </c>
    </row>
    <row r="3675" spans="1:9" x14ac:dyDescent="0.2">
      <c r="A3675" s="10" t="s">
        <v>7362</v>
      </c>
      <c r="B3675" s="10">
        <v>10.502239801828701</v>
      </c>
      <c r="C3675" s="10">
        <v>5.3068862765966802</v>
      </c>
      <c r="D3675" s="10">
        <v>1.73268681502428</v>
      </c>
      <c r="E3675" s="10">
        <v>3.0628075602470202</v>
      </c>
      <c r="F3675" s="10">
        <v>2.1927101931774199E-3</v>
      </c>
      <c r="G3675" s="10">
        <v>8.7231383608563692E-3</v>
      </c>
      <c r="H3675" s="10" t="s">
        <v>7363</v>
      </c>
      <c r="I3675" s="10" t="s">
        <v>18</v>
      </c>
    </row>
    <row r="3676" spans="1:9" x14ac:dyDescent="0.2">
      <c r="A3676" s="10" t="s">
        <v>7364</v>
      </c>
      <c r="B3676" s="10">
        <v>459.21595949419799</v>
      </c>
      <c r="C3676" s="10">
        <v>1.3590045799400901</v>
      </c>
      <c r="D3676" s="10">
        <v>0.25417602149371599</v>
      </c>
      <c r="E3676" s="10">
        <v>5.3467064751176396</v>
      </c>
      <c r="F3676" s="4">
        <v>8.9569092886960706E-8</v>
      </c>
      <c r="G3676" s="4">
        <v>9.1404085164457599E-7</v>
      </c>
      <c r="H3676" s="10" t="s">
        <v>7365</v>
      </c>
      <c r="I3676" s="10" t="s">
        <v>18</v>
      </c>
    </row>
    <row r="3677" spans="1:9" x14ac:dyDescent="0.2">
      <c r="A3677" s="10" t="s">
        <v>7366</v>
      </c>
      <c r="B3677" s="10">
        <v>953.36447533253204</v>
      </c>
      <c r="C3677" s="10">
        <v>1.18161782529255</v>
      </c>
      <c r="D3677" s="10">
        <v>0.23497783398685401</v>
      </c>
      <c r="E3677" s="10">
        <v>5.02863527697109</v>
      </c>
      <c r="F3677" s="4">
        <v>4.9398295835542896E-7</v>
      </c>
      <c r="G3677" s="4">
        <v>4.4686433155080999E-6</v>
      </c>
      <c r="H3677" s="10" t="s">
        <v>7367</v>
      </c>
      <c r="I3677" s="10" t="s">
        <v>18</v>
      </c>
    </row>
    <row r="3678" spans="1:9" x14ac:dyDescent="0.2">
      <c r="A3678" s="10" t="s">
        <v>7368</v>
      </c>
      <c r="B3678" s="10">
        <v>2778.2839469043502</v>
      </c>
      <c r="C3678" s="10">
        <v>-1.1417189199019899</v>
      </c>
      <c r="D3678" s="10">
        <v>0.201605587587148</v>
      </c>
      <c r="E3678" s="10">
        <v>-5.6631313326494999</v>
      </c>
      <c r="F3678" s="4">
        <v>1.4863530977741199E-8</v>
      </c>
      <c r="G3678" s="4">
        <v>1.72628571419657E-7</v>
      </c>
      <c r="H3678" s="10" t="s">
        <v>7369</v>
      </c>
      <c r="I3678" s="10" t="s">
        <v>18</v>
      </c>
    </row>
    <row r="3679" spans="1:9" x14ac:dyDescent="0.2">
      <c r="A3679" s="10" t="s">
        <v>7370</v>
      </c>
      <c r="B3679" s="10">
        <v>30.863993100573001</v>
      </c>
      <c r="C3679" s="10">
        <v>8.3430934151193803</v>
      </c>
      <c r="D3679" s="10">
        <v>1.5606486480525701</v>
      </c>
      <c r="E3679" s="10">
        <v>5.3459139733534196</v>
      </c>
      <c r="F3679" s="4">
        <v>8.9961931216557006E-8</v>
      </c>
      <c r="G3679" s="4">
        <v>9.17706005188142E-7</v>
      </c>
      <c r="H3679" s="10" t="s">
        <v>7371</v>
      </c>
      <c r="I3679" s="10" t="s">
        <v>18</v>
      </c>
    </row>
    <row r="3680" spans="1:9" x14ac:dyDescent="0.2">
      <c r="A3680" s="10" t="s">
        <v>7372</v>
      </c>
      <c r="B3680" s="10">
        <v>45.149980663887902</v>
      </c>
      <c r="C3680" s="10">
        <v>8.8940153316261608</v>
      </c>
      <c r="D3680" s="10">
        <v>1.52788137925815</v>
      </c>
      <c r="E3680" s="10">
        <v>5.8211425653636697</v>
      </c>
      <c r="F3680" s="4">
        <v>5.8446687180165602E-9</v>
      </c>
      <c r="G3680" s="4">
        <v>7.1572893734740305E-8</v>
      </c>
      <c r="H3680" s="10" t="s">
        <v>7373</v>
      </c>
      <c r="I3680" s="10" t="s">
        <v>18</v>
      </c>
    </row>
    <row r="3681" spans="1:9" x14ac:dyDescent="0.2">
      <c r="A3681" s="10" t="s">
        <v>7374</v>
      </c>
      <c r="B3681" s="10">
        <v>33.503530348312403</v>
      </c>
      <c r="C3681" s="10">
        <v>6.0010450821472903</v>
      </c>
      <c r="D3681" s="10">
        <v>1.16856306751227</v>
      </c>
      <c r="E3681" s="10">
        <v>5.13540539572484</v>
      </c>
      <c r="F3681" s="4">
        <v>2.8153647699401799E-7</v>
      </c>
      <c r="G3681" s="4">
        <v>2.6442690067755898E-6</v>
      </c>
      <c r="H3681" s="10" t="s">
        <v>7375</v>
      </c>
      <c r="I3681" s="10" t="s">
        <v>18</v>
      </c>
    </row>
    <row r="3682" spans="1:9" x14ac:dyDescent="0.2">
      <c r="A3682" s="10" t="s">
        <v>7376</v>
      </c>
      <c r="B3682" s="10">
        <v>12.2050564162186</v>
      </c>
      <c r="C3682" s="10">
        <v>3.07119179070988</v>
      </c>
      <c r="D3682" s="10">
        <v>1.1118274639425401</v>
      </c>
      <c r="E3682" s="10">
        <v>2.7622917136975902</v>
      </c>
      <c r="F3682" s="10">
        <v>5.7397170691777097E-3</v>
      </c>
      <c r="G3682" s="10">
        <v>1.9979122250218799E-2</v>
      </c>
      <c r="H3682" s="10" t="s">
        <v>7377</v>
      </c>
      <c r="I3682" s="10" t="s">
        <v>18</v>
      </c>
    </row>
    <row r="3683" spans="1:9" x14ac:dyDescent="0.2">
      <c r="A3683" s="10" t="s">
        <v>7378</v>
      </c>
      <c r="B3683" s="10">
        <v>66.292533317201901</v>
      </c>
      <c r="C3683" s="10">
        <v>-1.2795227544498899</v>
      </c>
      <c r="D3683" s="10">
        <v>0.463972257433372</v>
      </c>
      <c r="E3683" s="10">
        <v>-2.7577570295431499</v>
      </c>
      <c r="F3683" s="10">
        <v>5.8199438805511703E-3</v>
      </c>
      <c r="G3683" s="10">
        <v>2.0193048632799901E-2</v>
      </c>
      <c r="H3683" s="10" t="s">
        <v>7379</v>
      </c>
      <c r="I3683" s="10" t="s">
        <v>18</v>
      </c>
    </row>
    <row r="3684" spans="1:9" x14ac:dyDescent="0.2">
      <c r="A3684" s="10" t="s">
        <v>7380</v>
      </c>
      <c r="B3684" s="10">
        <v>3261.8811912848701</v>
      </c>
      <c r="C3684" s="10">
        <v>1.09164054166596</v>
      </c>
      <c r="D3684" s="10">
        <v>0.20530552119381301</v>
      </c>
      <c r="E3684" s="10">
        <v>5.31715141082557</v>
      </c>
      <c r="F3684" s="4">
        <v>1.05404355516348E-7</v>
      </c>
      <c r="G3684" s="4">
        <v>1.06724358036193E-6</v>
      </c>
      <c r="H3684" s="10" t="s">
        <v>7381</v>
      </c>
      <c r="I3684" s="10" t="s">
        <v>18</v>
      </c>
    </row>
    <row r="3685" spans="1:9" x14ac:dyDescent="0.2">
      <c r="A3685" s="10" t="s">
        <v>7382</v>
      </c>
      <c r="B3685" s="10">
        <v>4636.4057339024603</v>
      </c>
      <c r="C3685" s="10">
        <v>-1.1516066564030001</v>
      </c>
      <c r="D3685" s="10">
        <v>0.17321349876934</v>
      </c>
      <c r="E3685" s="10">
        <v>-6.6484810051469703</v>
      </c>
      <c r="F3685" s="4">
        <v>2.9613318803046698E-11</v>
      </c>
      <c r="G3685" s="4">
        <v>4.9623253224268904E-10</v>
      </c>
      <c r="H3685" s="10" t="s">
        <v>7383</v>
      </c>
      <c r="I3685" s="10" t="s">
        <v>18</v>
      </c>
    </row>
    <row r="3686" spans="1:9" x14ac:dyDescent="0.2">
      <c r="A3686" s="10" t="s">
        <v>7384</v>
      </c>
      <c r="B3686" s="10">
        <v>12323.1723613633</v>
      </c>
      <c r="C3686" s="10">
        <v>-1.8679876249229601</v>
      </c>
      <c r="D3686" s="10">
        <v>0.20080130703761601</v>
      </c>
      <c r="E3686" s="10">
        <v>-9.3026666632854003</v>
      </c>
      <c r="F3686" s="4">
        <v>1.3696657011314701E-20</v>
      </c>
      <c r="G3686" s="4">
        <v>5.6034956995089004E-19</v>
      </c>
      <c r="H3686" s="10" t="s">
        <v>7385</v>
      </c>
      <c r="I3686" s="10" t="s">
        <v>18</v>
      </c>
    </row>
    <row r="3687" spans="1:9" x14ac:dyDescent="0.2">
      <c r="A3687" s="10" t="s">
        <v>7386</v>
      </c>
      <c r="B3687" s="10">
        <v>3959.3841991271802</v>
      </c>
      <c r="C3687" s="10">
        <v>-1.2342364290685499</v>
      </c>
      <c r="D3687" s="10">
        <v>0.17328121330929999</v>
      </c>
      <c r="E3687" s="10">
        <v>-7.1227365361615496</v>
      </c>
      <c r="F3687" s="4">
        <v>1.0580495503903499E-12</v>
      </c>
      <c r="G3687" s="4">
        <v>2.0904642605470098E-11</v>
      </c>
      <c r="H3687" s="10" t="s">
        <v>7387</v>
      </c>
      <c r="I3687" s="10" t="s">
        <v>18</v>
      </c>
    </row>
    <row r="3688" spans="1:9" x14ac:dyDescent="0.2">
      <c r="A3688" s="10" t="s">
        <v>7388</v>
      </c>
      <c r="B3688" s="10">
        <v>24.987941026841099</v>
      </c>
      <c r="C3688" s="10">
        <v>-3.4501876715857298</v>
      </c>
      <c r="D3688" s="10">
        <v>0.81575068084285995</v>
      </c>
      <c r="E3688" s="10">
        <v>-4.2294634287290798</v>
      </c>
      <c r="F3688" s="4">
        <v>2.3424935344955099E-5</v>
      </c>
      <c r="G3688" s="10">
        <v>1.5350149431072501E-4</v>
      </c>
      <c r="H3688" s="10" t="s">
        <v>7389</v>
      </c>
      <c r="I3688" s="10" t="s">
        <v>18</v>
      </c>
    </row>
    <row r="3689" spans="1:9" x14ac:dyDescent="0.2">
      <c r="A3689" s="10" t="s">
        <v>7390</v>
      </c>
      <c r="B3689" s="10">
        <v>23.4174841136177</v>
      </c>
      <c r="C3689" s="10">
        <v>7.9461935006929201</v>
      </c>
      <c r="D3689" s="10">
        <v>1.5913802858833901</v>
      </c>
      <c r="E3689" s="10">
        <v>4.9932712948507501</v>
      </c>
      <c r="F3689" s="4">
        <v>5.9365074939034305E-7</v>
      </c>
      <c r="G3689" s="4">
        <v>5.2817501951359097E-6</v>
      </c>
      <c r="H3689" s="10" t="s">
        <v>7391</v>
      </c>
      <c r="I3689" s="10" t="s">
        <v>18</v>
      </c>
    </row>
    <row r="3690" spans="1:9" x14ac:dyDescent="0.2">
      <c r="A3690" s="10" t="s">
        <v>7392</v>
      </c>
      <c r="B3690" s="10">
        <v>400.86800319287801</v>
      </c>
      <c r="C3690" s="10">
        <v>1.05991465902411</v>
      </c>
      <c r="D3690" s="10">
        <v>0.24234758262091399</v>
      </c>
      <c r="E3690" s="10">
        <v>4.3735309738246997</v>
      </c>
      <c r="F3690" s="4">
        <v>1.2225288999385099E-5</v>
      </c>
      <c r="G3690" s="4">
        <v>8.5170659515787996E-5</v>
      </c>
      <c r="H3690" s="10" t="s">
        <v>7393</v>
      </c>
      <c r="I3690" s="10" t="s">
        <v>18</v>
      </c>
    </row>
    <row r="3691" spans="1:9" x14ac:dyDescent="0.2">
      <c r="A3691" s="10" t="s">
        <v>7394</v>
      </c>
      <c r="B3691" s="10">
        <v>2149.5229555245601</v>
      </c>
      <c r="C3691" s="10">
        <v>1.47048307707605</v>
      </c>
      <c r="D3691" s="10">
        <v>0.21117246155522901</v>
      </c>
      <c r="E3691" s="10">
        <v>6.9634225326841204</v>
      </c>
      <c r="F3691" s="4">
        <v>3.3210381780617399E-12</v>
      </c>
      <c r="G3691" s="4">
        <v>6.1556685195678994E-11</v>
      </c>
      <c r="H3691" s="10" t="s">
        <v>7395</v>
      </c>
      <c r="I3691" s="10" t="s">
        <v>18</v>
      </c>
    </row>
    <row r="3692" spans="1:9" x14ac:dyDescent="0.2">
      <c r="A3692" s="10" t="s">
        <v>7396</v>
      </c>
      <c r="B3692" s="10">
        <v>21.928597072793501</v>
      </c>
      <c r="C3692" s="10">
        <v>3.2610190056741302</v>
      </c>
      <c r="D3692" s="10">
        <v>0.84741609404638296</v>
      </c>
      <c r="E3692" s="10">
        <v>3.8481910227865401</v>
      </c>
      <c r="F3692" s="10">
        <v>1.18993254292505E-4</v>
      </c>
      <c r="G3692" s="10">
        <v>6.7029340494271096E-4</v>
      </c>
      <c r="H3692" s="10" t="s">
        <v>7397</v>
      </c>
      <c r="I3692" s="10" t="s">
        <v>18</v>
      </c>
    </row>
    <row r="3693" spans="1:9" x14ac:dyDescent="0.2">
      <c r="A3693" s="10" t="s">
        <v>7398</v>
      </c>
      <c r="B3693" s="10">
        <v>32.075047410022499</v>
      </c>
      <c r="C3693" s="10">
        <v>6.9463135671627398</v>
      </c>
      <c r="D3693" s="10">
        <v>1.54775268621472</v>
      </c>
      <c r="E3693" s="10">
        <v>4.4879996843365602</v>
      </c>
      <c r="F3693" s="4">
        <v>7.1895035415395799E-6</v>
      </c>
      <c r="G3693" s="4">
        <v>5.2433726712079501E-5</v>
      </c>
      <c r="H3693" s="10" t="s">
        <v>7399</v>
      </c>
      <c r="I3693" s="10" t="s">
        <v>18</v>
      </c>
    </row>
    <row r="3694" spans="1:9" x14ac:dyDescent="0.2">
      <c r="A3694" s="10" t="s">
        <v>7400</v>
      </c>
      <c r="B3694" s="10">
        <v>27.122495024639498</v>
      </c>
      <c r="C3694" s="10">
        <v>6.6975572599219104</v>
      </c>
      <c r="D3694" s="10">
        <v>1.57419813924139</v>
      </c>
      <c r="E3694" s="10">
        <v>4.2545833926277403</v>
      </c>
      <c r="F3694" s="4">
        <v>2.0943859443025302E-5</v>
      </c>
      <c r="G3694" s="10">
        <v>1.3874479412694099E-4</v>
      </c>
      <c r="H3694" s="10" t="s">
        <v>7401</v>
      </c>
      <c r="I3694" s="10" t="s">
        <v>18</v>
      </c>
    </row>
    <row r="3695" spans="1:9" x14ac:dyDescent="0.2">
      <c r="A3695" s="10" t="s">
        <v>7402</v>
      </c>
      <c r="B3695" s="10">
        <v>36.809629677445102</v>
      </c>
      <c r="C3695" s="10">
        <v>5.5355112496632701</v>
      </c>
      <c r="D3695" s="10">
        <v>1.0150112075873301</v>
      </c>
      <c r="E3695" s="10">
        <v>5.4536454457691201</v>
      </c>
      <c r="F3695" s="4">
        <v>4.9347547432816403E-8</v>
      </c>
      <c r="G3695" s="4">
        <v>5.2873481120800205E-7</v>
      </c>
      <c r="H3695" s="10" t="s">
        <v>7403</v>
      </c>
      <c r="I3695" s="10" t="s">
        <v>18</v>
      </c>
    </row>
    <row r="3696" spans="1:9" x14ac:dyDescent="0.2">
      <c r="A3696" s="10" t="s">
        <v>7404</v>
      </c>
      <c r="B3696" s="10">
        <v>1506.1249001006599</v>
      </c>
      <c r="C3696" s="10">
        <v>3.3980727979481098</v>
      </c>
      <c r="D3696" s="10">
        <v>0.217921756522374</v>
      </c>
      <c r="E3696" s="10">
        <v>15.5930864920283</v>
      </c>
      <c r="F3696" s="4">
        <v>8.1117742407451705E-55</v>
      </c>
      <c r="G3696" s="4">
        <v>1.97340636372842E-52</v>
      </c>
      <c r="H3696" s="10" t="s">
        <v>7405</v>
      </c>
      <c r="I3696" s="10" t="s">
        <v>18</v>
      </c>
    </row>
    <row r="3697" spans="1:9" x14ac:dyDescent="0.2">
      <c r="A3697" s="10" t="s">
        <v>7406</v>
      </c>
      <c r="B3697" s="10">
        <v>561.21151488941598</v>
      </c>
      <c r="C3697" s="10">
        <v>-2.0644620732887602</v>
      </c>
      <c r="D3697" s="10">
        <v>0.222221365700775</v>
      </c>
      <c r="E3697" s="10">
        <v>-9.2901151371222799</v>
      </c>
      <c r="F3697" s="4">
        <v>1.5412151493685901E-20</v>
      </c>
      <c r="G3697" s="4">
        <v>6.2958754385076497E-19</v>
      </c>
      <c r="H3697" s="10" t="s">
        <v>7407</v>
      </c>
      <c r="I3697" s="10" t="s">
        <v>18</v>
      </c>
    </row>
    <row r="3698" spans="1:9" x14ac:dyDescent="0.2">
      <c r="A3698" s="10" t="s">
        <v>7408</v>
      </c>
      <c r="B3698" s="10">
        <v>7.6729983558245296</v>
      </c>
      <c r="C3698" s="10">
        <v>3.79208403944885</v>
      </c>
      <c r="D3698" s="10">
        <v>1.4999079443108501</v>
      </c>
      <c r="E3698" s="10">
        <v>2.5282111837811199</v>
      </c>
      <c r="F3698" s="10">
        <v>1.1464536873162399E-2</v>
      </c>
      <c r="G3698" s="10">
        <v>3.5643681717484797E-2</v>
      </c>
      <c r="H3698" s="10" t="s">
        <v>7409</v>
      </c>
      <c r="I3698" s="10" t="s">
        <v>18</v>
      </c>
    </row>
    <row r="3699" spans="1:9" x14ac:dyDescent="0.2">
      <c r="A3699" s="10" t="s">
        <v>7410</v>
      </c>
      <c r="B3699" s="10">
        <v>6331.7072150050699</v>
      </c>
      <c r="C3699" s="10">
        <v>2.57546644448496</v>
      </c>
      <c r="D3699" s="10">
        <v>0.17310564866744099</v>
      </c>
      <c r="E3699" s="10">
        <v>14.878003486950201</v>
      </c>
      <c r="F3699" s="4">
        <v>4.5796284133833905E-50</v>
      </c>
      <c r="G3699" s="4">
        <v>9.2430470651449806E-48</v>
      </c>
      <c r="H3699" s="10" t="s">
        <v>7411</v>
      </c>
      <c r="I3699" s="10" t="s">
        <v>18</v>
      </c>
    </row>
    <row r="3700" spans="1:9" x14ac:dyDescent="0.2">
      <c r="A3700" s="10" t="s">
        <v>7412</v>
      </c>
      <c r="B3700" s="10">
        <v>3395.2224732292102</v>
      </c>
      <c r="C3700" s="10">
        <v>2.3050518088777601</v>
      </c>
      <c r="D3700" s="10">
        <v>0.189851058793745</v>
      </c>
      <c r="E3700" s="10">
        <v>12.1413692582141</v>
      </c>
      <c r="F3700" s="4">
        <v>6.3750198883705098E-34</v>
      </c>
      <c r="G3700" s="4">
        <v>6.2707641479578102E-32</v>
      </c>
      <c r="H3700" s="10" t="s">
        <v>7413</v>
      </c>
      <c r="I3700" s="10" t="s">
        <v>18</v>
      </c>
    </row>
    <row r="3701" spans="1:9" x14ac:dyDescent="0.2">
      <c r="A3701" s="10" t="s">
        <v>7414</v>
      </c>
      <c r="B3701" s="10">
        <v>34.435993592716997</v>
      </c>
      <c r="C3701" s="10">
        <v>5.0108985383691804</v>
      </c>
      <c r="D3701" s="10">
        <v>0.91716029012446698</v>
      </c>
      <c r="E3701" s="10">
        <v>5.46349268750956</v>
      </c>
      <c r="F3701" s="4">
        <v>4.6685651010300301E-8</v>
      </c>
      <c r="G3701" s="4">
        <v>5.0318193555286901E-7</v>
      </c>
      <c r="H3701" s="10" t="s">
        <v>7415</v>
      </c>
      <c r="I3701" s="10" t="s">
        <v>18</v>
      </c>
    </row>
    <row r="3702" spans="1:9" x14ac:dyDescent="0.2">
      <c r="A3702" s="10" t="s">
        <v>7416</v>
      </c>
      <c r="B3702" s="10">
        <v>201.643786693104</v>
      </c>
      <c r="C3702" s="10">
        <v>5.0425106797298396</v>
      </c>
      <c r="D3702" s="10">
        <v>0.41972061100457198</v>
      </c>
      <c r="E3702" s="10">
        <v>12.013969644380699</v>
      </c>
      <c r="F3702" s="4">
        <v>3.0008665212163601E-33</v>
      </c>
      <c r="G3702" s="4">
        <v>2.8689336878449799E-31</v>
      </c>
      <c r="H3702" s="10" t="s">
        <v>7417</v>
      </c>
      <c r="I3702" s="10" t="s">
        <v>18</v>
      </c>
    </row>
    <row r="3703" spans="1:9" x14ac:dyDescent="0.2">
      <c r="A3703" s="10" t="s">
        <v>7418</v>
      </c>
      <c r="B3703" s="10">
        <v>6414.9693318385798</v>
      </c>
      <c r="C3703" s="10">
        <v>-1.14768137436512</v>
      </c>
      <c r="D3703" s="10">
        <v>0.204517137153097</v>
      </c>
      <c r="E3703" s="10">
        <v>-5.6116636011093304</v>
      </c>
      <c r="F3703" s="4">
        <v>2.00390708669475E-8</v>
      </c>
      <c r="G3703" s="4">
        <v>2.2883678286325101E-7</v>
      </c>
      <c r="H3703" s="10" t="s">
        <v>7419</v>
      </c>
      <c r="I3703" s="10" t="s">
        <v>18</v>
      </c>
    </row>
    <row r="3704" spans="1:9" x14ac:dyDescent="0.2">
      <c r="A3704" s="10" t="s">
        <v>7420</v>
      </c>
      <c r="B3704" s="10">
        <v>412.22545622017998</v>
      </c>
      <c r="C3704" s="10">
        <v>7.0435716247205997</v>
      </c>
      <c r="D3704" s="10">
        <v>0.47883371257288398</v>
      </c>
      <c r="E3704" s="10">
        <v>14.709849034801399</v>
      </c>
      <c r="F3704" s="4">
        <v>5.5731606210762903E-49</v>
      </c>
      <c r="G3704" s="4">
        <v>1.06190145064661E-46</v>
      </c>
      <c r="H3704" s="10" t="s">
        <v>7421</v>
      </c>
      <c r="I3704" s="10" t="s">
        <v>18</v>
      </c>
    </row>
    <row r="3705" spans="1:9" x14ac:dyDescent="0.2">
      <c r="A3705" s="10" t="s">
        <v>7422</v>
      </c>
      <c r="B3705" s="10">
        <v>13740.653224444801</v>
      </c>
      <c r="C3705" s="10">
        <v>3.1930164384826298</v>
      </c>
      <c r="D3705" s="10">
        <v>0.21785901416550699</v>
      </c>
      <c r="E3705" s="10">
        <v>14.6563430056509</v>
      </c>
      <c r="F3705" s="4">
        <v>1.22706165570854E-48</v>
      </c>
      <c r="G3705" s="4">
        <v>2.2899828036363302E-46</v>
      </c>
      <c r="H3705" s="10" t="s">
        <v>7423</v>
      </c>
      <c r="I3705" s="10" t="s">
        <v>18</v>
      </c>
    </row>
    <row r="3706" spans="1:9" x14ac:dyDescent="0.2">
      <c r="A3706" s="10" t="s">
        <v>7424</v>
      </c>
      <c r="B3706" s="10">
        <v>147.23195862049801</v>
      </c>
      <c r="C3706" s="10">
        <v>5.9610494363001898</v>
      </c>
      <c r="D3706" s="10">
        <v>0.58160141203816096</v>
      </c>
      <c r="E3706" s="10">
        <v>10.2493723586577</v>
      </c>
      <c r="F3706" s="4">
        <v>1.1911447232649399E-24</v>
      </c>
      <c r="G3706" s="4">
        <v>6.4523101937971601E-23</v>
      </c>
      <c r="H3706" s="10" t="s">
        <v>7425</v>
      </c>
      <c r="I3706" s="10" t="s">
        <v>18</v>
      </c>
    </row>
    <row r="3707" spans="1:9" x14ac:dyDescent="0.2">
      <c r="A3707" s="10" t="s">
        <v>7426</v>
      </c>
      <c r="B3707" s="10">
        <v>11.9669174760154</v>
      </c>
      <c r="C3707" s="10">
        <v>6.9787263653550902</v>
      </c>
      <c r="D3707" s="10">
        <v>1.71759106860666</v>
      </c>
      <c r="E3707" s="10">
        <v>4.0630895752248897</v>
      </c>
      <c r="F3707" s="4">
        <v>4.8427434887250102E-5</v>
      </c>
      <c r="G3707" s="10">
        <v>2.9778883285328498E-4</v>
      </c>
      <c r="H3707" s="10" t="s">
        <v>7427</v>
      </c>
      <c r="I3707" s="10" t="s">
        <v>18</v>
      </c>
    </row>
    <row r="3708" spans="1:9" x14ac:dyDescent="0.2">
      <c r="A3708" s="10" t="s">
        <v>7428</v>
      </c>
      <c r="B3708" s="10">
        <v>327.331256109945</v>
      </c>
      <c r="C3708" s="10">
        <v>2.2583849784821401</v>
      </c>
      <c r="D3708" s="10">
        <v>0.28323242958544997</v>
      </c>
      <c r="E3708" s="10">
        <v>7.9736101610525498</v>
      </c>
      <c r="F3708" s="4">
        <v>1.5410512269772801E-15</v>
      </c>
      <c r="G3708" s="4">
        <v>4.0412918942685298E-14</v>
      </c>
      <c r="H3708" s="10" t="s">
        <v>7429</v>
      </c>
      <c r="I3708" s="10" t="s">
        <v>18</v>
      </c>
    </row>
    <row r="3709" spans="1:9" x14ac:dyDescent="0.2">
      <c r="A3709" s="10" t="s">
        <v>7430</v>
      </c>
      <c r="B3709" s="10">
        <v>851.82302106978898</v>
      </c>
      <c r="C3709" s="10">
        <v>2.1917869482927101</v>
      </c>
      <c r="D3709" s="10">
        <v>0.23841558557779599</v>
      </c>
      <c r="E3709" s="10">
        <v>9.1931361910797502</v>
      </c>
      <c r="F3709" s="4">
        <v>3.8155148321870397E-20</v>
      </c>
      <c r="G3709" s="4">
        <v>1.4958465126992901E-18</v>
      </c>
      <c r="H3709" s="10" t="s">
        <v>7431</v>
      </c>
      <c r="I3709" s="10" t="s">
        <v>18</v>
      </c>
    </row>
    <row r="3710" spans="1:9" x14ac:dyDescent="0.2">
      <c r="A3710" s="10" t="s">
        <v>7432</v>
      </c>
      <c r="B3710" s="10">
        <v>456.62107145557798</v>
      </c>
      <c r="C3710" s="10">
        <v>-1.0766966625044301</v>
      </c>
      <c r="D3710" s="10">
        <v>0.26712501511326903</v>
      </c>
      <c r="E3710" s="10">
        <v>-4.0306845169400498</v>
      </c>
      <c r="F3710" s="4">
        <v>5.5614649942921802E-5</v>
      </c>
      <c r="G3710" s="10">
        <v>3.3696516944513901E-4</v>
      </c>
      <c r="H3710" s="10" t="s">
        <v>7433</v>
      </c>
      <c r="I3710" s="10" t="s">
        <v>18</v>
      </c>
    </row>
    <row r="3711" spans="1:9" x14ac:dyDescent="0.2">
      <c r="A3711" s="10" t="s">
        <v>7434</v>
      </c>
      <c r="B3711" s="10">
        <v>1621.8612279498</v>
      </c>
      <c r="C3711" s="10">
        <v>-1.00110557265081</v>
      </c>
      <c r="D3711" s="10">
        <v>0.19163264735079999</v>
      </c>
      <c r="E3711" s="10">
        <v>-5.2240867435192202</v>
      </c>
      <c r="F3711" s="4">
        <v>1.7501672599314099E-7</v>
      </c>
      <c r="G3711" s="4">
        <v>1.70981740162607E-6</v>
      </c>
      <c r="H3711" s="10" t="s">
        <v>7435</v>
      </c>
      <c r="I3711" s="10" t="s">
        <v>18</v>
      </c>
    </row>
    <row r="3712" spans="1:9" x14ac:dyDescent="0.2">
      <c r="A3712" s="10" t="s">
        <v>7436</v>
      </c>
      <c r="B3712" s="10">
        <v>851.34853535340903</v>
      </c>
      <c r="C3712" s="10">
        <v>-1.09035289487793</v>
      </c>
      <c r="D3712" s="10">
        <v>0.24420669968243999</v>
      </c>
      <c r="E3712" s="10">
        <v>-4.4648770746085003</v>
      </c>
      <c r="F3712" s="4">
        <v>8.0114735565879506E-6</v>
      </c>
      <c r="G3712" s="4">
        <v>5.8024619882071202E-5</v>
      </c>
      <c r="H3712" s="10" t="s">
        <v>7437</v>
      </c>
      <c r="I3712" s="10" t="s">
        <v>18</v>
      </c>
    </row>
    <row r="3713" spans="1:9" x14ac:dyDescent="0.2">
      <c r="A3713" s="10" t="s">
        <v>7438</v>
      </c>
      <c r="B3713" s="10">
        <v>362.98181065315299</v>
      </c>
      <c r="C3713" s="10">
        <v>2.1080826825005001</v>
      </c>
      <c r="D3713" s="10">
        <v>0.259905353193773</v>
      </c>
      <c r="E3713" s="10">
        <v>8.1109629201396807</v>
      </c>
      <c r="F3713" s="4">
        <v>5.0220180217060603E-16</v>
      </c>
      <c r="G3713" s="4">
        <v>1.37522537726055E-14</v>
      </c>
      <c r="H3713" s="10" t="s">
        <v>7439</v>
      </c>
      <c r="I3713" s="10" t="s">
        <v>18</v>
      </c>
    </row>
    <row r="3714" spans="1:9" x14ac:dyDescent="0.2">
      <c r="A3714" s="10" t="s">
        <v>7440</v>
      </c>
      <c r="B3714" s="10">
        <v>247.63439841130801</v>
      </c>
      <c r="C3714" s="10">
        <v>2.4340216022738699</v>
      </c>
      <c r="D3714" s="10">
        <v>0.30055548403659599</v>
      </c>
      <c r="E3714" s="10">
        <v>8.09841021559102</v>
      </c>
      <c r="F3714" s="4">
        <v>5.5682035697687298E-16</v>
      </c>
      <c r="G3714" s="4">
        <v>1.5186871137686499E-14</v>
      </c>
      <c r="H3714" s="10" t="s">
        <v>7441</v>
      </c>
      <c r="I3714" s="10" t="s">
        <v>18</v>
      </c>
    </row>
    <row r="3715" spans="1:9" x14ac:dyDescent="0.2">
      <c r="A3715" s="10" t="s">
        <v>7442</v>
      </c>
      <c r="B3715" s="10">
        <v>1059.2494216550799</v>
      </c>
      <c r="C3715" s="10">
        <v>-1.4985681355906399</v>
      </c>
      <c r="D3715" s="10">
        <v>0.20773604972003601</v>
      </c>
      <c r="E3715" s="10">
        <v>-7.2138087616965896</v>
      </c>
      <c r="F3715" s="4">
        <v>5.4408153701668804E-13</v>
      </c>
      <c r="G3715" s="4">
        <v>1.1205283173918101E-11</v>
      </c>
      <c r="H3715" s="10" t="s">
        <v>7443</v>
      </c>
      <c r="I3715" s="10" t="s">
        <v>18</v>
      </c>
    </row>
    <row r="3716" spans="1:9" x14ac:dyDescent="0.2">
      <c r="A3716" s="10" t="s">
        <v>7444</v>
      </c>
      <c r="B3716" s="10">
        <v>21.971269294091101</v>
      </c>
      <c r="C3716" s="10">
        <v>2.34773363361704</v>
      </c>
      <c r="D3716" s="10">
        <v>0.78614261613672998</v>
      </c>
      <c r="E3716" s="10">
        <v>2.98639659703769</v>
      </c>
      <c r="F3716" s="10">
        <v>2.82286285705861E-3</v>
      </c>
      <c r="G3716" s="10">
        <v>1.08529059215854E-2</v>
      </c>
      <c r="H3716" s="10" t="s">
        <v>7445</v>
      </c>
      <c r="I3716" s="10" t="s">
        <v>18</v>
      </c>
    </row>
    <row r="3717" spans="1:9" x14ac:dyDescent="0.2">
      <c r="A3717" s="10" t="s">
        <v>7446</v>
      </c>
      <c r="B3717" s="10">
        <v>75.541923889496005</v>
      </c>
      <c r="C3717" s="10">
        <v>1.7217162271365301</v>
      </c>
      <c r="D3717" s="10">
        <v>0.461736005631876</v>
      </c>
      <c r="E3717" s="10">
        <v>3.72878919152167</v>
      </c>
      <c r="F3717" s="10">
        <v>1.92402020475404E-4</v>
      </c>
      <c r="G3717" s="10">
        <v>1.0287240682679199E-3</v>
      </c>
      <c r="H3717" s="10" t="s">
        <v>7447</v>
      </c>
      <c r="I3717" s="10" t="s">
        <v>18</v>
      </c>
    </row>
    <row r="3718" spans="1:9" x14ac:dyDescent="0.2">
      <c r="A3718" s="10" t="s">
        <v>7448</v>
      </c>
      <c r="B3718" s="10">
        <v>9871.9893674526902</v>
      </c>
      <c r="C3718" s="10">
        <v>1.15365191749269</v>
      </c>
      <c r="D3718" s="10">
        <v>0.185833348473912</v>
      </c>
      <c r="E3718" s="10">
        <v>6.2079918753368402</v>
      </c>
      <c r="F3718" s="4">
        <v>5.36659246936964E-10</v>
      </c>
      <c r="G3718" s="4">
        <v>7.5179200520778695E-9</v>
      </c>
      <c r="H3718" s="10" t="s">
        <v>7449</v>
      </c>
      <c r="I3718" s="10" t="s">
        <v>18</v>
      </c>
    </row>
    <row r="3719" spans="1:9" x14ac:dyDescent="0.2">
      <c r="A3719" s="10" t="s">
        <v>7450</v>
      </c>
      <c r="B3719" s="10">
        <v>488.93592156309097</v>
      </c>
      <c r="C3719" s="10">
        <v>2.42985408028128</v>
      </c>
      <c r="D3719" s="10">
        <v>0.25982231050579602</v>
      </c>
      <c r="E3719" s="10">
        <v>9.3519839599266401</v>
      </c>
      <c r="F3719" s="4">
        <v>8.6018819537024198E-21</v>
      </c>
      <c r="G3719" s="4">
        <v>3.6014887122515698E-19</v>
      </c>
      <c r="H3719" s="10" t="s">
        <v>7451</v>
      </c>
      <c r="I3719" s="10" t="s">
        <v>18</v>
      </c>
    </row>
    <row r="3720" spans="1:9" x14ac:dyDescent="0.2">
      <c r="A3720" s="10" t="s">
        <v>7452</v>
      </c>
      <c r="B3720" s="10">
        <v>1751.41052936494</v>
      </c>
      <c r="C3720" s="10">
        <v>1.15272952282816</v>
      </c>
      <c r="D3720" s="10">
        <v>0.25014865716824403</v>
      </c>
      <c r="E3720" s="10">
        <v>4.60817793658138</v>
      </c>
      <c r="F3720" s="4">
        <v>4.0621297070122404E-6</v>
      </c>
      <c r="G3720" s="4">
        <v>3.1230487620474703E-5</v>
      </c>
      <c r="H3720" s="10" t="s">
        <v>7453</v>
      </c>
      <c r="I3720" s="10" t="s">
        <v>18</v>
      </c>
    </row>
    <row r="3721" spans="1:9" x14ac:dyDescent="0.2">
      <c r="A3721" s="10" t="s">
        <v>7454</v>
      </c>
      <c r="B3721" s="10">
        <v>3332.09245672304</v>
      </c>
      <c r="C3721" s="10">
        <v>-1.1080786551269199</v>
      </c>
      <c r="D3721" s="10">
        <v>0.21167797544924799</v>
      </c>
      <c r="E3721" s="10">
        <v>-5.2347375903195603</v>
      </c>
      <c r="F3721" s="4">
        <v>1.6521942117394699E-7</v>
      </c>
      <c r="G3721" s="4">
        <v>1.61874633898832E-6</v>
      </c>
      <c r="H3721" s="10" t="s">
        <v>7455</v>
      </c>
      <c r="I3721" s="10" t="s">
        <v>18</v>
      </c>
    </row>
    <row r="3722" spans="1:9" x14ac:dyDescent="0.2">
      <c r="A3722" s="10" t="s">
        <v>7456</v>
      </c>
      <c r="B3722" s="10">
        <v>1440.2365288092999</v>
      </c>
      <c r="C3722" s="10">
        <v>1.0709726320300701</v>
      </c>
      <c r="D3722" s="10">
        <v>0.20791875102479601</v>
      </c>
      <c r="E3722" s="10">
        <v>5.1509189370916699</v>
      </c>
      <c r="F3722" s="4">
        <v>2.59213217423783E-7</v>
      </c>
      <c r="G3722" s="4">
        <v>2.4549122471831099E-6</v>
      </c>
      <c r="H3722" s="10" t="s">
        <v>7457</v>
      </c>
      <c r="I3722" s="10" t="s">
        <v>18</v>
      </c>
    </row>
    <row r="3723" spans="1:9" x14ac:dyDescent="0.2">
      <c r="A3723" s="10" t="s">
        <v>7458</v>
      </c>
      <c r="B3723" s="10">
        <v>11751.663402341999</v>
      </c>
      <c r="C3723" s="10">
        <v>5.1137017849592903</v>
      </c>
      <c r="D3723" s="10">
        <v>0.22454997252870701</v>
      </c>
      <c r="E3723" s="10">
        <v>22.773112494171201</v>
      </c>
      <c r="F3723" s="4">
        <v>8.4711683247182497E-115</v>
      </c>
      <c r="G3723" s="4">
        <v>1.7754917180276799E-111</v>
      </c>
      <c r="H3723" s="10" t="s">
        <v>7459</v>
      </c>
      <c r="I3723" s="10" t="s">
        <v>18</v>
      </c>
    </row>
    <row r="3724" spans="1:9" x14ac:dyDescent="0.2">
      <c r="A3724" s="10" t="s">
        <v>7460</v>
      </c>
      <c r="B3724" s="10">
        <v>11.719392429844</v>
      </c>
      <c r="C3724" s="10">
        <v>2.7190662437334598</v>
      </c>
      <c r="D3724" s="10">
        <v>1.0910068554902199</v>
      </c>
      <c r="E3724" s="10">
        <v>2.49225404043103</v>
      </c>
      <c r="F3724" s="10">
        <v>1.2693521204616399E-2</v>
      </c>
      <c r="G3724" s="10">
        <v>3.8843258340317002E-2</v>
      </c>
      <c r="H3724" s="10" t="s">
        <v>7461</v>
      </c>
      <c r="I3724" s="10" t="s">
        <v>18</v>
      </c>
    </row>
    <row r="3725" spans="1:9" x14ac:dyDescent="0.2">
      <c r="A3725" s="10" t="s">
        <v>7462</v>
      </c>
      <c r="B3725" s="10">
        <v>17.749403847768601</v>
      </c>
      <c r="C3725" s="10">
        <v>2.55131741220863</v>
      </c>
      <c r="D3725" s="10">
        <v>0.86789192085425204</v>
      </c>
      <c r="E3725" s="10">
        <v>2.93967180809496</v>
      </c>
      <c r="F3725" s="10">
        <v>3.2856005803352001E-3</v>
      </c>
      <c r="G3725" s="10">
        <v>1.2385550499777701E-2</v>
      </c>
      <c r="H3725" s="10" t="s">
        <v>7463</v>
      </c>
      <c r="I3725" s="10" t="s">
        <v>18</v>
      </c>
    </row>
    <row r="3726" spans="1:9" x14ac:dyDescent="0.2">
      <c r="A3726" s="10" t="s">
        <v>7464</v>
      </c>
      <c r="B3726" s="10">
        <v>41.593101438105997</v>
      </c>
      <c r="C3726" s="10">
        <v>4.4627231687344802</v>
      </c>
      <c r="D3726" s="10">
        <v>0.74570336998394804</v>
      </c>
      <c r="E3726" s="10">
        <v>5.9845822727481401</v>
      </c>
      <c r="F3726" s="4">
        <v>2.1694591019722498E-9</v>
      </c>
      <c r="G3726" s="4">
        <v>2.80947015928887E-8</v>
      </c>
      <c r="H3726" s="10" t="s">
        <v>7465</v>
      </c>
      <c r="I3726" s="10" t="s">
        <v>18</v>
      </c>
    </row>
    <row r="3727" spans="1:9" x14ac:dyDescent="0.2">
      <c r="A3727" s="10" t="s">
        <v>7466</v>
      </c>
      <c r="B3727" s="10">
        <v>3868.8974345042702</v>
      </c>
      <c r="C3727" s="10">
        <v>1.72495804797357</v>
      </c>
      <c r="D3727" s="10">
        <v>0.18166035378652601</v>
      </c>
      <c r="E3727" s="10">
        <v>9.4955118825795903</v>
      </c>
      <c r="F3727" s="4">
        <v>2.1913208373359801E-21</v>
      </c>
      <c r="G3727" s="4">
        <v>9.5074711552378003E-20</v>
      </c>
      <c r="H3727" s="10" t="s">
        <v>7467</v>
      </c>
      <c r="I3727" s="10" t="s">
        <v>18</v>
      </c>
    </row>
    <row r="3728" spans="1:9" x14ac:dyDescent="0.2">
      <c r="A3728" s="10" t="s">
        <v>7468</v>
      </c>
      <c r="B3728" s="10">
        <v>1299.6308679312999</v>
      </c>
      <c r="C3728" s="10">
        <v>-1.06548281170906</v>
      </c>
      <c r="D3728" s="10">
        <v>0.23251428191295201</v>
      </c>
      <c r="E3728" s="10">
        <v>-4.58244028256272</v>
      </c>
      <c r="F3728" s="4">
        <v>4.5958097682303497E-6</v>
      </c>
      <c r="G3728" s="4">
        <v>3.49391821302936E-5</v>
      </c>
      <c r="H3728" s="10" t="s">
        <v>7469</v>
      </c>
      <c r="I3728" s="10" t="s">
        <v>18</v>
      </c>
    </row>
    <row r="3729" spans="1:9" x14ac:dyDescent="0.2">
      <c r="A3729" s="10" t="s">
        <v>7470</v>
      </c>
      <c r="B3729" s="10">
        <v>6001.69792130719</v>
      </c>
      <c r="C3729" s="10">
        <v>-2.1872092900601401</v>
      </c>
      <c r="D3729" s="10">
        <v>0.17198883135238499</v>
      </c>
      <c r="E3729" s="10">
        <v>-12.7171588577098</v>
      </c>
      <c r="F3729" s="4">
        <v>4.74812453700577E-37</v>
      </c>
      <c r="G3729" s="4">
        <v>5.6992136237795697E-35</v>
      </c>
      <c r="H3729" s="10" t="s">
        <v>7471</v>
      </c>
      <c r="I3729" s="10" t="s">
        <v>18</v>
      </c>
    </row>
    <row r="3730" spans="1:9" x14ac:dyDescent="0.2">
      <c r="A3730" s="10" t="s">
        <v>7472</v>
      </c>
      <c r="B3730" s="10">
        <v>112.095857378934</v>
      </c>
      <c r="C3730" s="10">
        <v>-1.58016235267495</v>
      </c>
      <c r="D3730" s="10">
        <v>0.39633235127375399</v>
      </c>
      <c r="E3730" s="10">
        <v>-3.9869628295458202</v>
      </c>
      <c r="F3730" s="4">
        <v>6.6924505583026398E-5</v>
      </c>
      <c r="G3730" s="10">
        <v>3.97968573465893E-4</v>
      </c>
      <c r="H3730" s="10" t="s">
        <v>7473</v>
      </c>
      <c r="I3730" s="10" t="s">
        <v>18</v>
      </c>
    </row>
    <row r="3731" spans="1:9" x14ac:dyDescent="0.2">
      <c r="A3731" s="10" t="s">
        <v>7474</v>
      </c>
      <c r="B3731" s="10">
        <v>2924.50648096143</v>
      </c>
      <c r="C3731" s="10">
        <v>-1.16559823518229</v>
      </c>
      <c r="D3731" s="10">
        <v>0.20896286090441599</v>
      </c>
      <c r="E3731" s="10">
        <v>-5.5780162567522202</v>
      </c>
      <c r="F3731" s="4">
        <v>2.4327692440791501E-8</v>
      </c>
      <c r="G3731" s="4">
        <v>2.7458849873000998E-7</v>
      </c>
      <c r="H3731" s="10" t="s">
        <v>7475</v>
      </c>
      <c r="I3731" s="10" t="s">
        <v>18</v>
      </c>
    </row>
    <row r="3732" spans="1:9" x14ac:dyDescent="0.2">
      <c r="A3732" s="10" t="s">
        <v>7476</v>
      </c>
      <c r="B3732" s="10">
        <v>560.19808767454003</v>
      </c>
      <c r="C3732" s="10">
        <v>1.7744578636362001</v>
      </c>
      <c r="D3732" s="10">
        <v>0.23834354393829199</v>
      </c>
      <c r="E3732" s="10">
        <v>7.4449587948377998</v>
      </c>
      <c r="F3732" s="4">
        <v>9.6974682241460104E-14</v>
      </c>
      <c r="G3732" s="4">
        <v>2.16579439920743E-12</v>
      </c>
      <c r="H3732" s="10" t="s">
        <v>7477</v>
      </c>
      <c r="I3732" s="10" t="s">
        <v>18</v>
      </c>
    </row>
    <row r="3733" spans="1:9" x14ac:dyDescent="0.2">
      <c r="A3733" s="10" t="s">
        <v>7478</v>
      </c>
      <c r="B3733" s="10">
        <v>2480.8214166053899</v>
      </c>
      <c r="C3733" s="10">
        <v>1.1889838568716999</v>
      </c>
      <c r="D3733" s="10">
        <v>0.189589857426154</v>
      </c>
      <c r="E3733" s="10">
        <v>6.2713473864751101</v>
      </c>
      <c r="F3733" s="4">
        <v>3.5793702565408701E-10</v>
      </c>
      <c r="G3733" s="4">
        <v>5.1330053357878497E-9</v>
      </c>
      <c r="H3733" s="10" t="s">
        <v>7479</v>
      </c>
      <c r="I3733" s="10" t="s">
        <v>18</v>
      </c>
    </row>
    <row r="3734" spans="1:9" x14ac:dyDescent="0.2">
      <c r="A3734" s="10" t="s">
        <v>7480</v>
      </c>
      <c r="B3734" s="10">
        <v>53.7480065004221</v>
      </c>
      <c r="C3734" s="10">
        <v>-1.69292331493083</v>
      </c>
      <c r="D3734" s="10">
        <v>0.49459532790646699</v>
      </c>
      <c r="E3734" s="10">
        <v>-3.4228453432762298</v>
      </c>
      <c r="F3734" s="10">
        <v>6.1969324551965001E-4</v>
      </c>
      <c r="G3734" s="10">
        <v>2.89519579229662E-3</v>
      </c>
      <c r="H3734" s="10" t="s">
        <v>7481</v>
      </c>
      <c r="I3734" s="10" t="s">
        <v>18</v>
      </c>
    </row>
    <row r="3735" spans="1:9" x14ac:dyDescent="0.2">
      <c r="A3735" s="10" t="s">
        <v>7482</v>
      </c>
      <c r="B3735" s="10">
        <v>1075.18451560212</v>
      </c>
      <c r="C3735" s="10">
        <v>-2.7104745767267899</v>
      </c>
      <c r="D3735" s="10">
        <v>0.24312639188563501</v>
      </c>
      <c r="E3735" s="10">
        <v>-11.1484177250563</v>
      </c>
      <c r="F3735" s="4">
        <v>7.2890976531883195E-29</v>
      </c>
      <c r="G3735" s="4">
        <v>5.1991110931000601E-27</v>
      </c>
      <c r="H3735" s="10" t="s">
        <v>7483</v>
      </c>
      <c r="I3735" s="10" t="s">
        <v>18</v>
      </c>
    </row>
    <row r="3736" spans="1:9" x14ac:dyDescent="0.2">
      <c r="A3736" s="10" t="s">
        <v>7484</v>
      </c>
      <c r="B3736" s="10">
        <v>500.84718328564401</v>
      </c>
      <c r="C3736" s="10">
        <v>-1.85488189770489</v>
      </c>
      <c r="D3736" s="10">
        <v>0.244718022145924</v>
      </c>
      <c r="E3736" s="10">
        <v>-7.5796701911837099</v>
      </c>
      <c r="F3736" s="4">
        <v>3.4643448227631502E-14</v>
      </c>
      <c r="G3736" s="4">
        <v>8.0266159341690001E-13</v>
      </c>
      <c r="H3736" s="10" t="s">
        <v>7485</v>
      </c>
      <c r="I3736" s="10" t="s">
        <v>18</v>
      </c>
    </row>
    <row r="3737" spans="1:9" x14ac:dyDescent="0.2">
      <c r="A3737" s="10" t="s">
        <v>7486</v>
      </c>
      <c r="B3737" s="10">
        <v>2439.2092907566498</v>
      </c>
      <c r="C3737" s="10">
        <v>-1.2451332941164599</v>
      </c>
      <c r="D3737" s="10">
        <v>0.191366432166369</v>
      </c>
      <c r="E3737" s="10">
        <v>-6.5065397312417197</v>
      </c>
      <c r="F3737" s="4">
        <v>7.6901570455588698E-11</v>
      </c>
      <c r="G3737" s="4">
        <v>1.21892791751217E-9</v>
      </c>
      <c r="H3737" s="10" t="s">
        <v>7487</v>
      </c>
      <c r="I3737" s="10" t="s">
        <v>18</v>
      </c>
    </row>
    <row r="3738" spans="1:9" x14ac:dyDescent="0.2">
      <c r="A3738" s="10" t="s">
        <v>7488</v>
      </c>
      <c r="B3738" s="10">
        <v>3663.8259377804902</v>
      </c>
      <c r="C3738" s="10">
        <v>-1.4956953287369601</v>
      </c>
      <c r="D3738" s="10">
        <v>0.195003236250612</v>
      </c>
      <c r="E3738" s="10">
        <v>-7.6701051607920103</v>
      </c>
      <c r="F3738" s="4">
        <v>1.7185539319695199E-14</v>
      </c>
      <c r="G3738" s="4">
        <v>4.04714252241775E-13</v>
      </c>
      <c r="H3738" s="10" t="s">
        <v>7489</v>
      </c>
      <c r="I3738" s="10" t="s">
        <v>18</v>
      </c>
    </row>
    <row r="3739" spans="1:9" x14ac:dyDescent="0.2">
      <c r="A3739" s="10" t="s">
        <v>7490</v>
      </c>
      <c r="B3739" s="10">
        <v>237.395513672909</v>
      </c>
      <c r="C3739" s="10">
        <v>-1.22946468228349</v>
      </c>
      <c r="D3739" s="10">
        <v>0.27148652592467398</v>
      </c>
      <c r="E3739" s="10">
        <v>-4.5286397845932802</v>
      </c>
      <c r="F3739" s="4">
        <v>5.93646027075107E-6</v>
      </c>
      <c r="G3739" s="4">
        <v>4.4157994266217498E-5</v>
      </c>
      <c r="H3739" s="10" t="s">
        <v>7491</v>
      </c>
      <c r="I3739" s="10" t="s">
        <v>18</v>
      </c>
    </row>
    <row r="3740" spans="1:9" x14ac:dyDescent="0.2">
      <c r="A3740" s="10" t="s">
        <v>7492</v>
      </c>
      <c r="B3740" s="10">
        <v>30.501991219340699</v>
      </c>
      <c r="C3740" s="10">
        <v>4.8401177777975599</v>
      </c>
      <c r="D3740" s="10">
        <v>0.937907408107159</v>
      </c>
      <c r="E3740" s="10">
        <v>5.1605496832205002</v>
      </c>
      <c r="F3740" s="4">
        <v>2.46225804777221E-7</v>
      </c>
      <c r="G3740" s="4">
        <v>2.3359730162830599E-6</v>
      </c>
      <c r="H3740" s="10" t="s">
        <v>7493</v>
      </c>
      <c r="I3740" s="10" t="s">
        <v>18</v>
      </c>
    </row>
    <row r="3741" spans="1:9" x14ac:dyDescent="0.2">
      <c r="A3741" s="10" t="s">
        <v>7494</v>
      </c>
      <c r="B3741" s="10">
        <v>18388.5593558361</v>
      </c>
      <c r="C3741" s="10">
        <v>1.5825887803413199</v>
      </c>
      <c r="D3741" s="10">
        <v>0.17661338873584501</v>
      </c>
      <c r="E3741" s="10">
        <v>8.9607520226473092</v>
      </c>
      <c r="F3741" s="4">
        <v>3.2247151916089402E-19</v>
      </c>
      <c r="G3741" s="4">
        <v>1.1500499322744599E-17</v>
      </c>
      <c r="H3741" s="10" t="s">
        <v>7495</v>
      </c>
      <c r="I3741" s="10" t="s">
        <v>18</v>
      </c>
    </row>
    <row r="3742" spans="1:9" x14ac:dyDescent="0.2">
      <c r="A3742" s="10" t="s">
        <v>7496</v>
      </c>
      <c r="B3742" s="10">
        <v>97.834652648736693</v>
      </c>
      <c r="C3742" s="10">
        <v>5.0676908678914003</v>
      </c>
      <c r="D3742" s="10">
        <v>0.57978234230891301</v>
      </c>
      <c r="E3742" s="10">
        <v>8.7406781788316206</v>
      </c>
      <c r="F3742" s="4">
        <v>2.3171521230151601E-18</v>
      </c>
      <c r="G3742" s="4">
        <v>7.7561970387953596E-17</v>
      </c>
      <c r="H3742" s="10" t="s">
        <v>7497</v>
      </c>
      <c r="I3742" s="10" t="s">
        <v>18</v>
      </c>
    </row>
    <row r="3743" spans="1:9" x14ac:dyDescent="0.2">
      <c r="A3743" s="10" t="s">
        <v>7498</v>
      </c>
      <c r="B3743" s="10">
        <v>2627.6184423403702</v>
      </c>
      <c r="C3743" s="10">
        <v>-2.4524722535783301</v>
      </c>
      <c r="D3743" s="10">
        <v>0.22764141207184099</v>
      </c>
      <c r="E3743" s="10">
        <v>-10.773401163072901</v>
      </c>
      <c r="F3743" s="4">
        <v>4.5969910691445899E-27</v>
      </c>
      <c r="G3743" s="4">
        <v>2.9471580155525302E-25</v>
      </c>
      <c r="H3743" s="10" t="s">
        <v>7499</v>
      </c>
      <c r="I3743" s="10" t="s">
        <v>18</v>
      </c>
    </row>
    <row r="3744" spans="1:9" x14ac:dyDescent="0.2">
      <c r="A3744" s="10" t="s">
        <v>7500</v>
      </c>
      <c r="B3744" s="10">
        <v>102584.95446497999</v>
      </c>
      <c r="C3744" s="10">
        <v>-1.83664424270863</v>
      </c>
      <c r="D3744" s="10">
        <v>0.22088885442105</v>
      </c>
      <c r="E3744" s="10">
        <v>-8.3147891165558292</v>
      </c>
      <c r="F3744" s="4">
        <v>9.1915564225284204E-17</v>
      </c>
      <c r="G3744" s="4">
        <v>2.6958271027409201E-15</v>
      </c>
      <c r="H3744" s="10" t="s">
        <v>7501</v>
      </c>
      <c r="I3744" s="10" t="s">
        <v>18</v>
      </c>
    </row>
    <row r="3745" spans="1:9" x14ac:dyDescent="0.2">
      <c r="A3745" s="10" t="s">
        <v>7502</v>
      </c>
      <c r="B3745" s="10">
        <v>96.795590218399695</v>
      </c>
      <c r="C3745" s="10">
        <v>1.2063331899990599</v>
      </c>
      <c r="D3745" s="10">
        <v>0.40120001213592299</v>
      </c>
      <c r="E3745" s="10">
        <v>3.0068124464322401</v>
      </c>
      <c r="F3745" s="10">
        <v>2.6400259198872999E-3</v>
      </c>
      <c r="G3745" s="10">
        <v>1.02351716333479E-2</v>
      </c>
      <c r="H3745" s="10" t="s">
        <v>7503</v>
      </c>
      <c r="I3745" s="10" t="s">
        <v>18</v>
      </c>
    </row>
    <row r="3746" spans="1:9" x14ac:dyDescent="0.2">
      <c r="A3746" s="10" t="s">
        <v>7504</v>
      </c>
      <c r="B3746" s="10">
        <v>1100.7643918532101</v>
      </c>
      <c r="C3746" s="10">
        <v>-1.3447610606448399</v>
      </c>
      <c r="D3746" s="10">
        <v>0.24112202241871999</v>
      </c>
      <c r="E3746" s="10">
        <v>-5.5770976336188802</v>
      </c>
      <c r="F3746" s="4">
        <v>2.4456462133436501E-8</v>
      </c>
      <c r="G3746" s="4">
        <v>2.7592762888188098E-7</v>
      </c>
      <c r="H3746" s="10" t="s">
        <v>7505</v>
      </c>
      <c r="I3746" s="10" t="s">
        <v>18</v>
      </c>
    </row>
    <row r="3747" spans="1:9" x14ac:dyDescent="0.2">
      <c r="A3747" s="10" t="s">
        <v>7506</v>
      </c>
      <c r="B3747" s="10">
        <v>540.40361403157794</v>
      </c>
      <c r="C3747" s="10">
        <v>-1.18108411118655</v>
      </c>
      <c r="D3747" s="10">
        <v>0.27240075943840802</v>
      </c>
      <c r="E3747" s="10">
        <v>-4.3358326666251701</v>
      </c>
      <c r="F3747" s="4">
        <v>1.4520938091247099E-5</v>
      </c>
      <c r="G3747" s="4">
        <v>9.95100604054856E-5</v>
      </c>
      <c r="H3747" s="10" t="s">
        <v>7507</v>
      </c>
      <c r="I3747" s="10" t="s">
        <v>18</v>
      </c>
    </row>
    <row r="3748" spans="1:9" x14ac:dyDescent="0.2">
      <c r="A3748" s="10" t="s">
        <v>7508</v>
      </c>
      <c r="B3748" s="10">
        <v>1243.43248020698</v>
      </c>
      <c r="C3748" s="10">
        <v>-1.05436895795768</v>
      </c>
      <c r="D3748" s="10">
        <v>0.25009727223231498</v>
      </c>
      <c r="E3748" s="10">
        <v>-4.2158354969112697</v>
      </c>
      <c r="F3748" s="4">
        <v>2.4885512132881699E-5</v>
      </c>
      <c r="G3748" s="10">
        <v>1.6194304969778601E-4</v>
      </c>
      <c r="H3748" s="10" t="s">
        <v>7509</v>
      </c>
      <c r="I3748" s="10" t="s">
        <v>18</v>
      </c>
    </row>
    <row r="3749" spans="1:9" x14ac:dyDescent="0.2">
      <c r="A3749" s="10" t="s">
        <v>7510</v>
      </c>
      <c r="B3749" s="10">
        <v>3663.2632239991499</v>
      </c>
      <c r="C3749" s="10">
        <v>-2.75193435405231</v>
      </c>
      <c r="D3749" s="10">
        <v>0.23061138851839599</v>
      </c>
      <c r="E3749" s="10">
        <v>-11.9332109820448</v>
      </c>
      <c r="F3749" s="4">
        <v>7.9448666236915699E-33</v>
      </c>
      <c r="G3749" s="4">
        <v>7.4389615428083902E-31</v>
      </c>
      <c r="H3749" s="10" t="s">
        <v>7511</v>
      </c>
      <c r="I3749" s="10" t="s">
        <v>18</v>
      </c>
    </row>
    <row r="3750" spans="1:9" x14ac:dyDescent="0.2">
      <c r="A3750" s="10" t="s">
        <v>7512</v>
      </c>
      <c r="B3750" s="10">
        <v>5485.13137188369</v>
      </c>
      <c r="C3750" s="10">
        <v>-2.4289499923572699</v>
      </c>
      <c r="D3750" s="10">
        <v>0.219454402214146</v>
      </c>
      <c r="E3750" s="10">
        <v>-11.068130636026501</v>
      </c>
      <c r="F3750" s="4">
        <v>1.79097597906779E-28</v>
      </c>
      <c r="G3750" s="4">
        <v>1.24169777357914E-26</v>
      </c>
      <c r="H3750" s="10" t="s">
        <v>7513</v>
      </c>
      <c r="I3750" s="10" t="s">
        <v>18</v>
      </c>
    </row>
    <row r="3751" spans="1:9" x14ac:dyDescent="0.2">
      <c r="A3751" s="10" t="s">
        <v>7514</v>
      </c>
      <c r="B3751" s="10">
        <v>7808.8311805208004</v>
      </c>
      <c r="C3751" s="10">
        <v>-2.2277563928528599</v>
      </c>
      <c r="D3751" s="10">
        <v>0.241044116597606</v>
      </c>
      <c r="E3751" s="10">
        <v>-9.2421106322699504</v>
      </c>
      <c r="F3751" s="4">
        <v>2.41682039986993E-20</v>
      </c>
      <c r="G3751" s="4">
        <v>9.6839860934200108E-19</v>
      </c>
      <c r="H3751" s="10" t="s">
        <v>7515</v>
      </c>
      <c r="I3751" s="10" t="s">
        <v>18</v>
      </c>
    </row>
    <row r="3752" spans="1:9" x14ac:dyDescent="0.2">
      <c r="A3752" s="10" t="s">
        <v>7516</v>
      </c>
      <c r="B3752" s="10">
        <v>9816.9933154019709</v>
      </c>
      <c r="C3752" s="10">
        <v>-1.79737365820268</v>
      </c>
      <c r="D3752" s="10">
        <v>0.214335041390042</v>
      </c>
      <c r="E3752" s="10">
        <v>-8.38581338145198</v>
      </c>
      <c r="F3752" s="4">
        <v>5.0376199982524098E-17</v>
      </c>
      <c r="G3752" s="4">
        <v>1.5017508981661201E-15</v>
      </c>
      <c r="H3752" s="10" t="s">
        <v>7517</v>
      </c>
      <c r="I3752" s="10" t="s">
        <v>18</v>
      </c>
    </row>
    <row r="3753" spans="1:9" x14ac:dyDescent="0.2">
      <c r="A3753" s="10" t="s">
        <v>7518</v>
      </c>
      <c r="B3753" s="10">
        <v>904.29245392022005</v>
      </c>
      <c r="C3753" s="10">
        <v>-1.3256089832743201</v>
      </c>
      <c r="D3753" s="10">
        <v>0.25132012423211902</v>
      </c>
      <c r="E3753" s="10">
        <v>-5.2745835110680801</v>
      </c>
      <c r="F3753" s="4">
        <v>1.33057918025491E-7</v>
      </c>
      <c r="G3753" s="4">
        <v>1.3270238259299201E-6</v>
      </c>
      <c r="H3753" s="10" t="s">
        <v>7519</v>
      </c>
      <c r="I3753" s="10" t="s">
        <v>18</v>
      </c>
    </row>
    <row r="3754" spans="1:9" x14ac:dyDescent="0.2">
      <c r="A3754" s="10" t="s">
        <v>7520</v>
      </c>
      <c r="B3754" s="10">
        <v>855.51622586966096</v>
      </c>
      <c r="C3754" s="10">
        <v>-2.2058783852714199</v>
      </c>
      <c r="D3754" s="10">
        <v>0.211839035491447</v>
      </c>
      <c r="E3754" s="10">
        <v>-10.4129929602161</v>
      </c>
      <c r="F3754" s="4">
        <v>2.1631196778468598E-25</v>
      </c>
      <c r="G3754" s="4">
        <v>1.25306756477787E-23</v>
      </c>
      <c r="H3754" s="10" t="s">
        <v>7521</v>
      </c>
      <c r="I3754" s="10" t="s">
        <v>18</v>
      </c>
    </row>
    <row r="3755" spans="1:9" x14ac:dyDescent="0.2">
      <c r="A3755" s="10" t="s">
        <v>7522</v>
      </c>
      <c r="B3755" s="10">
        <v>196.71739239154601</v>
      </c>
      <c r="C3755" s="10">
        <v>-1.61959681273031</v>
      </c>
      <c r="D3755" s="10">
        <v>0.30714677949236302</v>
      </c>
      <c r="E3755" s="10">
        <v>-5.2730385628887202</v>
      </c>
      <c r="F3755" s="4">
        <v>1.34183354360713E-7</v>
      </c>
      <c r="G3755" s="4">
        <v>1.3343408234548701E-6</v>
      </c>
      <c r="H3755" s="10" t="s">
        <v>7523</v>
      </c>
      <c r="I3755" s="10" t="s">
        <v>18</v>
      </c>
    </row>
    <row r="3756" spans="1:9" x14ac:dyDescent="0.2">
      <c r="A3756" s="10" t="s">
        <v>7524</v>
      </c>
      <c r="B3756" s="10">
        <v>3200.1114263352201</v>
      </c>
      <c r="C3756" s="10">
        <v>1.1084360473631101</v>
      </c>
      <c r="D3756" s="10">
        <v>0.20696353282782401</v>
      </c>
      <c r="E3756" s="10">
        <v>5.3557070282774397</v>
      </c>
      <c r="F3756" s="4">
        <v>8.5222502702303195E-8</v>
      </c>
      <c r="G3756" s="4">
        <v>8.7229809584134403E-7</v>
      </c>
      <c r="H3756" s="10" t="s">
        <v>7525</v>
      </c>
      <c r="I3756" s="10" t="s">
        <v>18</v>
      </c>
    </row>
    <row r="3757" spans="1:9" x14ac:dyDescent="0.2">
      <c r="A3757" s="10" t="s">
        <v>7526</v>
      </c>
      <c r="B3757" s="10">
        <v>33783.545209251803</v>
      </c>
      <c r="C3757" s="10">
        <v>-2.47331263300407</v>
      </c>
      <c r="D3757" s="10">
        <v>0.24249686343528601</v>
      </c>
      <c r="E3757" s="10">
        <v>-10.199359274039001</v>
      </c>
      <c r="F3757" s="4">
        <v>1.9958480303561801E-24</v>
      </c>
      <c r="G3757" s="4">
        <v>1.06420491747778E-22</v>
      </c>
      <c r="H3757" s="10" t="s">
        <v>7527</v>
      </c>
      <c r="I3757" s="10" t="s">
        <v>18</v>
      </c>
    </row>
    <row r="3758" spans="1:9" x14ac:dyDescent="0.2">
      <c r="A3758" s="10" t="s">
        <v>7528</v>
      </c>
      <c r="B3758" s="10">
        <v>12195.3574913868</v>
      </c>
      <c r="C3758" s="10">
        <v>-1.46226788716986</v>
      </c>
      <c r="D3758" s="10">
        <v>0.21362613559846799</v>
      </c>
      <c r="E3758" s="10">
        <v>-6.8449859052748998</v>
      </c>
      <c r="F3758" s="4">
        <v>7.6483401404535205E-12</v>
      </c>
      <c r="G3758" s="4">
        <v>1.3634026484322201E-10</v>
      </c>
      <c r="H3758" s="10" t="s">
        <v>7529</v>
      </c>
      <c r="I3758" s="10" t="s">
        <v>18</v>
      </c>
    </row>
    <row r="3759" spans="1:9" x14ac:dyDescent="0.2">
      <c r="A3759" s="10" t="s">
        <v>7530</v>
      </c>
      <c r="B3759" s="10">
        <v>1182.8810137283001</v>
      </c>
      <c r="C3759" s="10">
        <v>-1.16877171090885</v>
      </c>
      <c r="D3759" s="10">
        <v>0.26560472852935302</v>
      </c>
      <c r="E3759" s="10">
        <v>-4.4004175580017497</v>
      </c>
      <c r="F3759" s="4">
        <v>1.0804277082239601E-5</v>
      </c>
      <c r="G3759" s="4">
        <v>7.6127266009770795E-5</v>
      </c>
      <c r="H3759" s="10" t="s">
        <v>7531</v>
      </c>
      <c r="I3759" s="10" t="s">
        <v>18</v>
      </c>
    </row>
    <row r="3760" spans="1:9" x14ac:dyDescent="0.2">
      <c r="A3760" s="10" t="s">
        <v>7532</v>
      </c>
      <c r="B3760" s="10">
        <v>1607.8173165206999</v>
      </c>
      <c r="C3760" s="10">
        <v>-1.4249762125687</v>
      </c>
      <c r="D3760" s="10">
        <v>0.219091138150807</v>
      </c>
      <c r="E3760" s="10">
        <v>-6.5040340042774503</v>
      </c>
      <c r="F3760" s="4">
        <v>7.8194209081230503E-11</v>
      </c>
      <c r="G3760" s="4">
        <v>1.2379765338967401E-9</v>
      </c>
      <c r="H3760" s="10" t="s">
        <v>7533</v>
      </c>
      <c r="I3760" s="10" t="s">
        <v>18</v>
      </c>
    </row>
    <row r="3761" spans="1:9" x14ac:dyDescent="0.2">
      <c r="A3761" s="10" t="s">
        <v>7534</v>
      </c>
      <c r="B3761" s="10">
        <v>6913.44679721594</v>
      </c>
      <c r="C3761" s="10">
        <v>-1.03099561094952</v>
      </c>
      <c r="D3761" s="10">
        <v>0.192370448542759</v>
      </c>
      <c r="E3761" s="10">
        <v>-5.3594282217435198</v>
      </c>
      <c r="F3761" s="4">
        <v>8.3485755044238594E-8</v>
      </c>
      <c r="G3761" s="4">
        <v>8.5774372839003302E-7</v>
      </c>
      <c r="H3761" s="10" t="s">
        <v>7535</v>
      </c>
      <c r="I3761" s="10" t="s">
        <v>18</v>
      </c>
    </row>
    <row r="3762" spans="1:9" x14ac:dyDescent="0.2">
      <c r="A3762" s="10" t="s">
        <v>7536</v>
      </c>
      <c r="B3762" s="10">
        <v>1369.0670302896699</v>
      </c>
      <c r="C3762" s="10">
        <v>-1.01114672832945</v>
      </c>
      <c r="D3762" s="10">
        <v>0.20428189974645999</v>
      </c>
      <c r="E3762" s="10">
        <v>-4.9497617242859402</v>
      </c>
      <c r="F3762" s="4">
        <v>7.4304394533895599E-7</v>
      </c>
      <c r="G3762" s="4">
        <v>6.5015152147240004E-6</v>
      </c>
      <c r="H3762" s="10" t="s">
        <v>7537</v>
      </c>
      <c r="I3762" s="10" t="s">
        <v>18</v>
      </c>
    </row>
    <row r="3763" spans="1:9" x14ac:dyDescent="0.2">
      <c r="A3763" s="10" t="s">
        <v>7538</v>
      </c>
      <c r="B3763" s="10">
        <v>371.98070332582802</v>
      </c>
      <c r="C3763" s="10">
        <v>3.17235192472948</v>
      </c>
      <c r="D3763" s="10">
        <v>0.26592430704616499</v>
      </c>
      <c r="E3763" s="10">
        <v>11.9295297220752</v>
      </c>
      <c r="F3763" s="4">
        <v>8.3041287828849401E-33</v>
      </c>
      <c r="G3763" s="4">
        <v>7.7487190735364999E-31</v>
      </c>
      <c r="H3763" s="10" t="s">
        <v>7539</v>
      </c>
      <c r="I3763" s="10" t="s">
        <v>18</v>
      </c>
    </row>
    <row r="3764" spans="1:9" x14ac:dyDescent="0.2">
      <c r="A3764" s="10" t="s">
        <v>7540</v>
      </c>
      <c r="B3764" s="10">
        <v>238.59279207676201</v>
      </c>
      <c r="C3764" s="10">
        <v>-2.0770669052005699</v>
      </c>
      <c r="D3764" s="10">
        <v>0.30677147772207902</v>
      </c>
      <c r="E3764" s="10">
        <v>-6.7707301885551798</v>
      </c>
      <c r="F3764" s="4">
        <v>1.2813403863489401E-11</v>
      </c>
      <c r="G3764" s="4">
        <v>2.22657407569193E-10</v>
      </c>
      <c r="H3764" s="10" t="s">
        <v>7541</v>
      </c>
      <c r="I3764" s="10" t="s">
        <v>18</v>
      </c>
    </row>
    <row r="3765" spans="1:9" x14ac:dyDescent="0.2">
      <c r="A3765" s="10" t="s">
        <v>7542</v>
      </c>
      <c r="B3765" s="10">
        <v>7.56428404140431</v>
      </c>
      <c r="C3765" s="10">
        <v>3.7723966223521002</v>
      </c>
      <c r="D3765" s="10">
        <v>1.50666124825488</v>
      </c>
      <c r="E3765" s="10">
        <v>2.50381207236966</v>
      </c>
      <c r="F3765" s="10">
        <v>1.22863274533834E-2</v>
      </c>
      <c r="G3765" s="10">
        <v>3.7758353724603698E-2</v>
      </c>
      <c r="H3765" s="10" t="s">
        <v>7543</v>
      </c>
      <c r="I3765" s="10" t="s">
        <v>18</v>
      </c>
    </row>
    <row r="3766" spans="1:9" x14ac:dyDescent="0.2">
      <c r="A3766" s="10" t="s">
        <v>7544</v>
      </c>
      <c r="B3766" s="10">
        <v>236.894108048064</v>
      </c>
      <c r="C3766" s="10">
        <v>3.2037303520065898</v>
      </c>
      <c r="D3766" s="10">
        <v>0.31961379994630901</v>
      </c>
      <c r="E3766" s="10">
        <v>10.0237547707413</v>
      </c>
      <c r="F3766" s="4">
        <v>1.19860909331195E-23</v>
      </c>
      <c r="G3766" s="4">
        <v>6.0255538681680298E-22</v>
      </c>
      <c r="H3766" s="10" t="s">
        <v>7545</v>
      </c>
      <c r="I3766" s="10" t="s">
        <v>18</v>
      </c>
    </row>
    <row r="3767" spans="1:9" x14ac:dyDescent="0.2">
      <c r="A3767" s="10" t="s">
        <v>7546</v>
      </c>
      <c r="B3767" s="10">
        <v>17.801169746019301</v>
      </c>
      <c r="C3767" s="10">
        <v>3.6779759364341502</v>
      </c>
      <c r="D3767" s="10">
        <v>0.98467560587677605</v>
      </c>
      <c r="E3767" s="10">
        <v>3.7352158563522102</v>
      </c>
      <c r="F3767" s="10">
        <v>1.8755424240861701E-4</v>
      </c>
      <c r="G3767" s="10">
        <v>1.00655710910136E-3</v>
      </c>
      <c r="H3767" s="10" t="s">
        <v>7547</v>
      </c>
      <c r="I3767" s="10" t="s">
        <v>18</v>
      </c>
    </row>
    <row r="3768" spans="1:9" x14ac:dyDescent="0.2">
      <c r="A3768" s="10" t="s">
        <v>7548</v>
      </c>
      <c r="B3768" s="10">
        <v>9.5117878105551306</v>
      </c>
      <c r="C3768" s="10">
        <v>5.1604908298054202</v>
      </c>
      <c r="D3768" s="10">
        <v>1.7589503074544801</v>
      </c>
      <c r="E3768" s="10">
        <v>2.9338468562386999</v>
      </c>
      <c r="F3768" s="10">
        <v>3.3478934988848599E-3</v>
      </c>
      <c r="G3768" s="10">
        <v>1.2597714979162501E-2</v>
      </c>
      <c r="H3768" s="10" t="s">
        <v>7549</v>
      </c>
      <c r="I3768" s="10" t="s">
        <v>18</v>
      </c>
    </row>
    <row r="3769" spans="1:9" x14ac:dyDescent="0.2">
      <c r="A3769" s="10" t="s">
        <v>7550</v>
      </c>
      <c r="B3769" s="10">
        <v>112.414122194141</v>
      </c>
      <c r="C3769" s="10">
        <v>-1.2263433584167001</v>
      </c>
      <c r="D3769" s="10">
        <v>0.36902343388585301</v>
      </c>
      <c r="E3769" s="10">
        <v>-3.3232126900538201</v>
      </c>
      <c r="F3769" s="10">
        <v>8.8987037479182102E-4</v>
      </c>
      <c r="G3769" s="10">
        <v>3.9803409352422697E-3</v>
      </c>
      <c r="H3769" s="10" t="s">
        <v>7551</v>
      </c>
      <c r="I3769" s="10" t="s">
        <v>18</v>
      </c>
    </row>
    <row r="3770" spans="1:9" x14ac:dyDescent="0.2">
      <c r="A3770" s="10" t="s">
        <v>7552</v>
      </c>
      <c r="B3770" s="10">
        <v>359.21172131992</v>
      </c>
      <c r="C3770" s="10">
        <v>4.4196076459156002</v>
      </c>
      <c r="D3770" s="10">
        <v>0.30755102882971203</v>
      </c>
      <c r="E3770" s="10">
        <v>14.3703230736474</v>
      </c>
      <c r="F3770" s="4">
        <v>7.9459710577636302E-47</v>
      </c>
      <c r="G3770" s="4">
        <v>1.38784534237747E-44</v>
      </c>
      <c r="H3770" s="10" t="s">
        <v>7553</v>
      </c>
      <c r="I3770" s="10" t="s">
        <v>18</v>
      </c>
    </row>
    <row r="3771" spans="1:9" x14ac:dyDescent="0.2">
      <c r="A3771" s="10" t="s">
        <v>7554</v>
      </c>
      <c r="B3771" s="10">
        <v>61.275781805741197</v>
      </c>
      <c r="C3771" s="10">
        <v>3.0230322078345302</v>
      </c>
      <c r="D3771" s="10">
        <v>0.51423656134983098</v>
      </c>
      <c r="E3771" s="10">
        <v>5.8786800376451298</v>
      </c>
      <c r="F3771" s="4">
        <v>4.1355085433557299E-9</v>
      </c>
      <c r="G3771" s="4">
        <v>5.1902441861268298E-8</v>
      </c>
      <c r="H3771" s="10" t="s">
        <v>7555</v>
      </c>
      <c r="I3771" s="10" t="s">
        <v>18</v>
      </c>
    </row>
    <row r="3772" spans="1:9" x14ac:dyDescent="0.2">
      <c r="A3772" s="10" t="s">
        <v>7556</v>
      </c>
      <c r="B3772" s="10">
        <v>63.507875751272998</v>
      </c>
      <c r="C3772" s="10">
        <v>-1.42137584663738</v>
      </c>
      <c r="D3772" s="10">
        <v>0.450316901899382</v>
      </c>
      <c r="E3772" s="10">
        <v>-3.1563901790987399</v>
      </c>
      <c r="F3772" s="10">
        <v>1.5973502628866499E-3</v>
      </c>
      <c r="G3772" s="10">
        <v>6.6386520153863104E-3</v>
      </c>
      <c r="H3772" s="10" t="s">
        <v>7557</v>
      </c>
      <c r="I3772" s="10" t="s">
        <v>18</v>
      </c>
    </row>
    <row r="3773" spans="1:9" x14ac:dyDescent="0.2">
      <c r="A3773" s="10" t="s">
        <v>7558</v>
      </c>
      <c r="B3773" s="10">
        <v>1218.1162155618799</v>
      </c>
      <c r="C3773" s="10">
        <v>-2.1687558998794398</v>
      </c>
      <c r="D3773" s="10">
        <v>0.22717119228002999</v>
      </c>
      <c r="E3773" s="10">
        <v>-9.5467910262408804</v>
      </c>
      <c r="F3773" s="4">
        <v>1.33775778910817E-21</v>
      </c>
      <c r="G3773" s="4">
        <v>5.8980398834676897E-20</v>
      </c>
      <c r="H3773" s="10" t="s">
        <v>7559</v>
      </c>
      <c r="I3773" s="10" t="s">
        <v>18</v>
      </c>
    </row>
    <row r="3774" spans="1:9" x14ac:dyDescent="0.2">
      <c r="A3774" s="10" t="s">
        <v>7560</v>
      </c>
      <c r="B3774" s="10">
        <v>161.627870170634</v>
      </c>
      <c r="C3774" s="10">
        <v>9.2868043392921198</v>
      </c>
      <c r="D3774" s="10">
        <v>1.48033193986457</v>
      </c>
      <c r="E3774" s="10">
        <v>6.2734607618759597</v>
      </c>
      <c r="F3774" s="4">
        <v>3.5310994642468E-10</v>
      </c>
      <c r="G3774" s="4">
        <v>5.07179056944293E-9</v>
      </c>
      <c r="H3774" s="10" t="s">
        <v>7561</v>
      </c>
      <c r="I3774" s="10" t="s">
        <v>18</v>
      </c>
    </row>
    <row r="3775" spans="1:9" x14ac:dyDescent="0.2">
      <c r="A3775" s="10" t="s">
        <v>7562</v>
      </c>
      <c r="B3775" s="10">
        <v>2917.0555630490499</v>
      </c>
      <c r="C3775" s="10">
        <v>1.9234282749207201</v>
      </c>
      <c r="D3775" s="10">
        <v>0.19419201274898901</v>
      </c>
      <c r="E3775" s="10">
        <v>9.9047754214634995</v>
      </c>
      <c r="F3775" s="4">
        <v>3.9686066518271902E-23</v>
      </c>
      <c r="G3775" s="4">
        <v>1.9343940150686101E-21</v>
      </c>
      <c r="H3775" s="10" t="s">
        <v>7563</v>
      </c>
      <c r="I3775" s="10" t="s">
        <v>18</v>
      </c>
    </row>
    <row r="3776" spans="1:9" x14ac:dyDescent="0.2">
      <c r="A3776" s="10" t="s">
        <v>7564</v>
      </c>
      <c r="B3776" s="10">
        <v>1553.1294721407501</v>
      </c>
      <c r="C3776" s="10">
        <v>2.1040077518761602</v>
      </c>
      <c r="D3776" s="10">
        <v>0.20660911020588099</v>
      </c>
      <c r="E3776" s="10">
        <v>10.1835187702012</v>
      </c>
      <c r="F3776" s="4">
        <v>2.3491000087916198E-24</v>
      </c>
      <c r="G3776" s="4">
        <v>1.2356356745085899E-22</v>
      </c>
      <c r="H3776" s="10" t="s">
        <v>7565</v>
      </c>
      <c r="I3776" s="10" t="s">
        <v>18</v>
      </c>
    </row>
    <row r="3777" spans="1:9" x14ac:dyDescent="0.2">
      <c r="A3777" s="10" t="s">
        <v>7566</v>
      </c>
      <c r="B3777" s="10">
        <v>333.12136504091802</v>
      </c>
      <c r="C3777" s="10">
        <v>-1.07390746514443</v>
      </c>
      <c r="D3777" s="10">
        <v>0.24763388911706299</v>
      </c>
      <c r="E3777" s="10">
        <v>-4.3366740674042603</v>
      </c>
      <c r="F3777" s="4">
        <v>1.44654878581719E-5</v>
      </c>
      <c r="G3777" s="4">
        <v>9.9204920128771902E-5</v>
      </c>
      <c r="H3777" s="10" t="s">
        <v>7567</v>
      </c>
      <c r="I3777" s="10" t="s">
        <v>18</v>
      </c>
    </row>
    <row r="3778" spans="1:9" x14ac:dyDescent="0.2">
      <c r="A3778" s="10" t="s">
        <v>7568</v>
      </c>
      <c r="B3778" s="10">
        <v>5.4323726899743301</v>
      </c>
      <c r="C3778" s="10">
        <v>5.8384671515102298</v>
      </c>
      <c r="D3778" s="10">
        <v>1.9903824247200499</v>
      </c>
      <c r="E3778" s="10">
        <v>2.9333393819187399</v>
      </c>
      <c r="F3778" s="10">
        <v>3.3533711180266999E-3</v>
      </c>
      <c r="G3778" s="10">
        <v>1.26061400183324E-2</v>
      </c>
      <c r="H3778" s="10" t="s">
        <v>7569</v>
      </c>
      <c r="I3778" s="10" t="s">
        <v>18</v>
      </c>
    </row>
    <row r="3779" spans="1:9" x14ac:dyDescent="0.2">
      <c r="A3779" s="10" t="s">
        <v>7570</v>
      </c>
      <c r="B3779" s="10">
        <v>445.11356378934499</v>
      </c>
      <c r="C3779" s="10">
        <v>-1.63365558946782</v>
      </c>
      <c r="D3779" s="10">
        <v>0.23257865442450501</v>
      </c>
      <c r="E3779" s="10">
        <v>-7.0240994106279899</v>
      </c>
      <c r="F3779" s="4">
        <v>2.15451374225627E-12</v>
      </c>
      <c r="G3779" s="4">
        <v>4.0994438502274099E-11</v>
      </c>
      <c r="H3779" s="10" t="s">
        <v>7571</v>
      </c>
      <c r="I3779" s="10" t="s">
        <v>18</v>
      </c>
    </row>
    <row r="3780" spans="1:9" x14ac:dyDescent="0.2">
      <c r="A3780" s="10" t="s">
        <v>7572</v>
      </c>
      <c r="B3780" s="10">
        <v>1622.0272378907</v>
      </c>
      <c r="C3780" s="10">
        <v>-1.9183292781740999</v>
      </c>
      <c r="D3780" s="10">
        <v>0.21267643464211999</v>
      </c>
      <c r="E3780" s="10">
        <v>-9.0199428131384796</v>
      </c>
      <c r="F3780" s="4">
        <v>1.8818751286521299E-19</v>
      </c>
      <c r="G3780" s="4">
        <v>6.8550069024578203E-18</v>
      </c>
      <c r="H3780" s="10" t="s">
        <v>7573</v>
      </c>
      <c r="I3780" s="10" t="s">
        <v>18</v>
      </c>
    </row>
    <row r="3781" spans="1:9" x14ac:dyDescent="0.2">
      <c r="A3781" s="10" t="s">
        <v>7574</v>
      </c>
      <c r="B3781" s="10">
        <v>317.35481197871701</v>
      </c>
      <c r="C3781" s="10">
        <v>-1.0617089268295199</v>
      </c>
      <c r="D3781" s="10">
        <v>0.24818038409629101</v>
      </c>
      <c r="E3781" s="10">
        <v>-4.2779727765172204</v>
      </c>
      <c r="F3781" s="4">
        <v>1.8860307995657101E-5</v>
      </c>
      <c r="G3781" s="10">
        <v>1.2598352830538599E-4</v>
      </c>
      <c r="H3781" s="10" t="s">
        <v>7575</v>
      </c>
      <c r="I3781" s="10" t="s">
        <v>18</v>
      </c>
    </row>
    <row r="3782" spans="1:9" x14ac:dyDescent="0.2">
      <c r="A3782" s="10" t="s">
        <v>7576</v>
      </c>
      <c r="B3782" s="10">
        <v>2201.1032649418198</v>
      </c>
      <c r="C3782" s="10">
        <v>1.64994040834612</v>
      </c>
      <c r="D3782" s="10">
        <v>0.18244463871222499</v>
      </c>
      <c r="E3782" s="10">
        <v>9.04351270605774</v>
      </c>
      <c r="F3782" s="4">
        <v>1.5171635953409299E-19</v>
      </c>
      <c r="G3782" s="4">
        <v>5.5711801189021899E-18</v>
      </c>
      <c r="H3782" s="10" t="s">
        <v>7577</v>
      </c>
      <c r="I3782" s="10" t="s">
        <v>18</v>
      </c>
    </row>
    <row r="3783" spans="1:9" x14ac:dyDescent="0.2">
      <c r="A3783" s="10" t="s">
        <v>7578</v>
      </c>
      <c r="B3783" s="10">
        <v>2815.2433952413098</v>
      </c>
      <c r="C3783" s="10">
        <v>-1.4053158757872299</v>
      </c>
      <c r="D3783" s="10">
        <v>0.18197440928074399</v>
      </c>
      <c r="E3783" s="10">
        <v>-7.7226016632874703</v>
      </c>
      <c r="F3783" s="4">
        <v>1.13978944681732E-14</v>
      </c>
      <c r="G3783" s="4">
        <v>2.7265885037253199E-13</v>
      </c>
      <c r="H3783" s="10" t="s">
        <v>7579</v>
      </c>
      <c r="I3783" s="10" t="s">
        <v>18</v>
      </c>
    </row>
    <row r="3784" spans="1:9" x14ac:dyDescent="0.2">
      <c r="A3784" s="10" t="s">
        <v>7580</v>
      </c>
      <c r="B3784" s="10">
        <v>12.304834520662601</v>
      </c>
      <c r="C3784" s="10">
        <v>4.5033430746816103</v>
      </c>
      <c r="D3784" s="10">
        <v>1.3712805212913799</v>
      </c>
      <c r="E3784" s="10">
        <v>3.2840421815666501</v>
      </c>
      <c r="F3784" s="10">
        <v>1.02329605356186E-3</v>
      </c>
      <c r="G3784" s="10">
        <v>4.5072336843517604E-3</v>
      </c>
      <c r="H3784" s="10" t="s">
        <v>7581</v>
      </c>
      <c r="I3784" s="10" t="s">
        <v>18</v>
      </c>
    </row>
    <row r="3785" spans="1:9" x14ac:dyDescent="0.2">
      <c r="A3785" s="10" t="s">
        <v>7582</v>
      </c>
      <c r="B3785" s="10">
        <v>1013.92619441162</v>
      </c>
      <c r="C3785" s="10">
        <v>3.1439753004301401</v>
      </c>
      <c r="D3785" s="10">
        <v>0.205860503418857</v>
      </c>
      <c r="E3785" s="10">
        <v>15.272357971617399</v>
      </c>
      <c r="F3785" s="4">
        <v>1.1686948596743499E-52</v>
      </c>
      <c r="G3785" s="4">
        <v>2.5680184549634601E-50</v>
      </c>
      <c r="H3785" s="10" t="s">
        <v>7583</v>
      </c>
      <c r="I3785" s="10" t="s">
        <v>18</v>
      </c>
    </row>
    <row r="3786" spans="1:9" x14ac:dyDescent="0.2">
      <c r="A3786" s="10" t="s">
        <v>7584</v>
      </c>
      <c r="B3786" s="10">
        <v>531.17508111053405</v>
      </c>
      <c r="C3786" s="10">
        <v>5.2978764723077703</v>
      </c>
      <c r="D3786" s="10">
        <v>0.30496485963160003</v>
      </c>
      <c r="E3786" s="10">
        <v>17.372088307838599</v>
      </c>
      <c r="F3786" s="4">
        <v>1.34249850634394E-67</v>
      </c>
      <c r="G3786" s="4">
        <v>5.0804245558824004E-65</v>
      </c>
      <c r="H3786" s="10" t="s">
        <v>7585</v>
      </c>
      <c r="I3786" s="10" t="s">
        <v>18</v>
      </c>
    </row>
    <row r="3787" spans="1:9" x14ac:dyDescent="0.2">
      <c r="A3787" s="10" t="s">
        <v>7586</v>
      </c>
      <c r="B3787" s="10">
        <v>89.544892267806901</v>
      </c>
      <c r="C3787" s="10">
        <v>7.4263028774980002</v>
      </c>
      <c r="D3787" s="10">
        <v>1.0988491652521499</v>
      </c>
      <c r="E3787" s="10">
        <v>6.7582550110905704</v>
      </c>
      <c r="F3787" s="4">
        <v>1.39663557428024E-11</v>
      </c>
      <c r="G3787" s="4">
        <v>2.41307098873898E-10</v>
      </c>
      <c r="H3787" s="10" t="s">
        <v>7587</v>
      </c>
      <c r="I3787" s="10" t="s">
        <v>18</v>
      </c>
    </row>
    <row r="3788" spans="1:9" x14ac:dyDescent="0.2">
      <c r="A3788" s="10" t="s">
        <v>7588</v>
      </c>
      <c r="B3788" s="10">
        <v>330.44967393904301</v>
      </c>
      <c r="C3788" s="10">
        <v>1.1425985591374599</v>
      </c>
      <c r="D3788" s="10">
        <v>0.251500114932795</v>
      </c>
      <c r="E3788" s="10">
        <v>4.5431333478427396</v>
      </c>
      <c r="F3788" s="4">
        <v>5.5424166205918696E-6</v>
      </c>
      <c r="G3788" s="4">
        <v>4.1534047560488797E-5</v>
      </c>
      <c r="H3788" s="10" t="s">
        <v>7589</v>
      </c>
      <c r="I3788" s="10" t="s">
        <v>18</v>
      </c>
    </row>
    <row r="3789" spans="1:9" x14ac:dyDescent="0.2">
      <c r="A3789" s="10" t="s">
        <v>7590</v>
      </c>
      <c r="B3789" s="10">
        <v>209.819933412398</v>
      </c>
      <c r="C3789" s="10">
        <v>-1.50073006858534</v>
      </c>
      <c r="D3789" s="10">
        <v>0.28791576561798299</v>
      </c>
      <c r="E3789" s="10">
        <v>-5.2123928169204898</v>
      </c>
      <c r="F3789" s="4">
        <v>1.86420280036566E-7</v>
      </c>
      <c r="G3789" s="4">
        <v>1.81342141026644E-6</v>
      </c>
      <c r="H3789" s="10" t="s">
        <v>7591</v>
      </c>
      <c r="I3789" s="10" t="s">
        <v>18</v>
      </c>
    </row>
    <row r="3790" spans="1:9" x14ac:dyDescent="0.2">
      <c r="A3790" s="10" t="s">
        <v>7592</v>
      </c>
      <c r="B3790" s="10">
        <v>547.949696672865</v>
      </c>
      <c r="C3790" s="10">
        <v>1.41795642416392</v>
      </c>
      <c r="D3790" s="10">
        <v>0.230756397328026</v>
      </c>
      <c r="E3790" s="10">
        <v>6.1448195611593697</v>
      </c>
      <c r="F3790" s="4">
        <v>8.0054465988334601E-10</v>
      </c>
      <c r="G3790" s="4">
        <v>1.10386843865595E-8</v>
      </c>
      <c r="H3790" s="10" t="s">
        <v>7593</v>
      </c>
      <c r="I3790" s="10" t="s">
        <v>18</v>
      </c>
    </row>
    <row r="3791" spans="1:9" x14ac:dyDescent="0.2">
      <c r="A3791" s="10" t="s">
        <v>7594</v>
      </c>
      <c r="B3791" s="10">
        <v>30.698866989627799</v>
      </c>
      <c r="C3791" s="10">
        <v>-1.8343899020444601</v>
      </c>
      <c r="D3791" s="10">
        <v>0.64580454173394697</v>
      </c>
      <c r="E3791" s="10">
        <v>-2.8404722845696102</v>
      </c>
      <c r="F3791" s="10">
        <v>4.5046787132058796E-3</v>
      </c>
      <c r="G3791" s="10">
        <v>1.6220296140970099E-2</v>
      </c>
      <c r="H3791" s="10" t="s">
        <v>7595</v>
      </c>
      <c r="I3791" s="10" t="s">
        <v>18</v>
      </c>
    </row>
    <row r="3792" spans="1:9" x14ac:dyDescent="0.2">
      <c r="A3792" s="10" t="s">
        <v>7596</v>
      </c>
      <c r="B3792" s="10">
        <v>1056.93157633592</v>
      </c>
      <c r="C3792" s="10">
        <v>-3.13391672333448</v>
      </c>
      <c r="D3792" s="10">
        <v>0.20696443297343101</v>
      </c>
      <c r="E3792" s="10">
        <v>-15.142296085901799</v>
      </c>
      <c r="F3792" s="4">
        <v>8.5186805800957198E-52</v>
      </c>
      <c r="G3792" s="4">
        <v>1.81334757629584E-49</v>
      </c>
      <c r="H3792" s="10" t="s">
        <v>7597</v>
      </c>
      <c r="I3792" s="10" t="s">
        <v>18</v>
      </c>
    </row>
    <row r="3793" spans="1:9" x14ac:dyDescent="0.2">
      <c r="A3793" s="10" t="s">
        <v>7598</v>
      </c>
      <c r="B3793" s="10">
        <v>2331.2323900452202</v>
      </c>
      <c r="C3793" s="10">
        <v>-1.0700725763246199</v>
      </c>
      <c r="D3793" s="10">
        <v>0.18238270041257801</v>
      </c>
      <c r="E3793" s="10">
        <v>-5.8671824350881296</v>
      </c>
      <c r="F3793" s="4">
        <v>4.4326287631163001E-9</v>
      </c>
      <c r="G3793" s="4">
        <v>5.5350978876548998E-8</v>
      </c>
      <c r="H3793" s="10" t="s">
        <v>7599</v>
      </c>
      <c r="I3793" s="10" t="s">
        <v>18</v>
      </c>
    </row>
    <row r="3794" spans="1:9" x14ac:dyDescent="0.2">
      <c r="A3794" s="10" t="s">
        <v>7600</v>
      </c>
      <c r="B3794" s="10">
        <v>2039.52362599861</v>
      </c>
      <c r="C3794" s="10">
        <v>7.5816918298245399</v>
      </c>
      <c r="D3794" s="10">
        <v>0.30282609724884502</v>
      </c>
      <c r="E3794" s="10">
        <v>25.036454581371</v>
      </c>
      <c r="F3794" s="4">
        <v>2.4522365882663301E-138</v>
      </c>
      <c r="G3794" s="4">
        <v>1.11360150534154E-134</v>
      </c>
      <c r="H3794" s="10" t="s">
        <v>7601</v>
      </c>
      <c r="I3794" s="10" t="s">
        <v>18</v>
      </c>
    </row>
    <row r="3795" spans="1:9" x14ac:dyDescent="0.2">
      <c r="A3795" s="10" t="s">
        <v>7602</v>
      </c>
      <c r="B3795" s="10">
        <v>11.1908883232093</v>
      </c>
      <c r="C3795" s="10">
        <v>6.8774013179738596</v>
      </c>
      <c r="D3795" s="10">
        <v>1.7464027080084601</v>
      </c>
      <c r="E3795" s="10">
        <v>3.9380386244456802</v>
      </c>
      <c r="F3795" s="4">
        <v>8.2150372962616199E-5</v>
      </c>
      <c r="G3795" s="10">
        <v>4.8012681512492501E-4</v>
      </c>
      <c r="H3795" s="10" t="s">
        <v>7603</v>
      </c>
      <c r="I3795" s="10" t="s">
        <v>18</v>
      </c>
    </row>
    <row r="3796" spans="1:9" x14ac:dyDescent="0.2">
      <c r="A3796" s="10" t="s">
        <v>7604</v>
      </c>
      <c r="B3796" s="10">
        <v>11.7406393750188</v>
      </c>
      <c r="C3796" s="10">
        <v>5.4761970974272698</v>
      </c>
      <c r="D3796" s="10">
        <v>1.7072303060695899</v>
      </c>
      <c r="E3796" s="10">
        <v>3.20764988646122</v>
      </c>
      <c r="F3796" s="10">
        <v>1.33824305586044E-3</v>
      </c>
      <c r="G3796" s="10">
        <v>5.6929131214722203E-3</v>
      </c>
      <c r="H3796" s="10" t="s">
        <v>7605</v>
      </c>
      <c r="I3796" s="10" t="s">
        <v>18</v>
      </c>
    </row>
    <row r="3797" spans="1:9" x14ac:dyDescent="0.2">
      <c r="A3797" s="10" t="s">
        <v>7606</v>
      </c>
      <c r="B3797" s="10">
        <v>4.0372899650807801</v>
      </c>
      <c r="C3797" s="10">
        <v>5.4095356733146298</v>
      </c>
      <c r="D3797" s="10">
        <v>2.1467512296701501</v>
      </c>
      <c r="E3797" s="10">
        <v>2.5198707696307201</v>
      </c>
      <c r="F3797" s="10">
        <v>1.17397926988685E-2</v>
      </c>
      <c r="G3797" s="10">
        <v>3.6345203007166198E-2</v>
      </c>
      <c r="H3797" s="10" t="s">
        <v>7607</v>
      </c>
      <c r="I3797" s="10" t="s">
        <v>18</v>
      </c>
    </row>
    <row r="3798" spans="1:9" x14ac:dyDescent="0.2">
      <c r="A3798" s="10" t="s">
        <v>7608</v>
      </c>
      <c r="B3798" s="10">
        <v>7.96302772433096</v>
      </c>
      <c r="C3798" s="10">
        <v>4.9048628168612201</v>
      </c>
      <c r="D3798" s="10">
        <v>1.8180012072223699</v>
      </c>
      <c r="E3798" s="10">
        <v>2.69794255216976</v>
      </c>
      <c r="F3798" s="10">
        <v>6.9769479604831304E-3</v>
      </c>
      <c r="G3798" s="10">
        <v>2.3550656724391002E-2</v>
      </c>
      <c r="H3798" s="10" t="s">
        <v>7609</v>
      </c>
      <c r="I3798" s="10" t="s">
        <v>18</v>
      </c>
    </row>
    <row r="3799" spans="1:9" x14ac:dyDescent="0.2">
      <c r="A3799" s="10" t="s">
        <v>7610</v>
      </c>
      <c r="B3799" s="10">
        <v>1064.3465258958299</v>
      </c>
      <c r="C3799" s="10">
        <v>-1.1496463733600499</v>
      </c>
      <c r="D3799" s="10">
        <v>0.198952697987229</v>
      </c>
      <c r="E3799" s="10">
        <v>-5.7784909930391999</v>
      </c>
      <c r="F3799" s="4">
        <v>7.53735782023072E-9</v>
      </c>
      <c r="G3799" s="4">
        <v>9.1194666308981601E-8</v>
      </c>
      <c r="H3799" s="10" t="s">
        <v>7611</v>
      </c>
      <c r="I3799" s="10" t="s">
        <v>18</v>
      </c>
    </row>
    <row r="3800" spans="1:9" x14ac:dyDescent="0.2">
      <c r="A3800" s="10" t="s">
        <v>7612</v>
      </c>
      <c r="B3800" s="10">
        <v>69.790293909711096</v>
      </c>
      <c r="C3800" s="10">
        <v>7.0625590937462297</v>
      </c>
      <c r="D3800" s="10">
        <v>1.1384292196691299</v>
      </c>
      <c r="E3800" s="10">
        <v>6.2037753175369899</v>
      </c>
      <c r="F3800" s="4">
        <v>5.5124471617852399E-10</v>
      </c>
      <c r="G3800" s="4">
        <v>7.7103515306551502E-9</v>
      </c>
      <c r="H3800" s="10" t="s">
        <v>7613</v>
      </c>
      <c r="I3800" s="10" t="s">
        <v>18</v>
      </c>
    </row>
    <row r="3801" spans="1:9" x14ac:dyDescent="0.2">
      <c r="A3801" s="10" t="s">
        <v>7614</v>
      </c>
      <c r="B3801" s="10">
        <v>22.100808017940899</v>
      </c>
      <c r="C3801" s="10">
        <v>4.7797224046752902</v>
      </c>
      <c r="D3801" s="10">
        <v>1.07532897095777</v>
      </c>
      <c r="E3801" s="10">
        <v>4.4448931757302903</v>
      </c>
      <c r="F3801" s="4">
        <v>8.7935550352062098E-6</v>
      </c>
      <c r="G3801" s="4">
        <v>6.3385712710122694E-5</v>
      </c>
      <c r="H3801" s="10" t="s">
        <v>7615</v>
      </c>
      <c r="I3801" s="10" t="s">
        <v>18</v>
      </c>
    </row>
    <row r="3802" spans="1:9" x14ac:dyDescent="0.2">
      <c r="A3802" s="10" t="s">
        <v>7616</v>
      </c>
      <c r="B3802" s="10">
        <v>3.8893317554809199</v>
      </c>
      <c r="C3802" s="10">
        <v>5.35263968609567</v>
      </c>
      <c r="D3802" s="10">
        <v>2.1805139762792298</v>
      </c>
      <c r="E3802" s="10">
        <v>2.4547605492670499</v>
      </c>
      <c r="F3802" s="10">
        <v>1.40978459500909E-2</v>
      </c>
      <c r="G3802" s="10">
        <v>4.2402473628670397E-2</v>
      </c>
      <c r="H3802" s="10" t="s">
        <v>7617</v>
      </c>
      <c r="I3802" s="10" t="s">
        <v>18</v>
      </c>
    </row>
    <row r="3803" spans="1:9" x14ac:dyDescent="0.2">
      <c r="A3803" s="10" t="s">
        <v>7618</v>
      </c>
      <c r="B3803" s="10">
        <v>2080.96091109073</v>
      </c>
      <c r="C3803" s="10">
        <v>-1.1438948108108</v>
      </c>
      <c r="D3803" s="10">
        <v>0.17996066697643701</v>
      </c>
      <c r="E3803" s="10">
        <v>-6.3563601426337</v>
      </c>
      <c r="F3803" s="4">
        <v>2.0659035822785899E-10</v>
      </c>
      <c r="G3803" s="4">
        <v>3.0575597450485902E-9</v>
      </c>
      <c r="H3803" s="10" t="s">
        <v>7619</v>
      </c>
      <c r="I3803" s="10" t="s">
        <v>18</v>
      </c>
    </row>
    <row r="3804" spans="1:9" x14ac:dyDescent="0.2">
      <c r="A3804" s="10" t="s">
        <v>7620</v>
      </c>
      <c r="B3804" s="10">
        <v>665.75535688106902</v>
      </c>
      <c r="C3804" s="10">
        <v>1.53939343615244</v>
      </c>
      <c r="D3804" s="10">
        <v>0.240681095616392</v>
      </c>
      <c r="E3804" s="10">
        <v>6.3959881527463001</v>
      </c>
      <c r="F3804" s="4">
        <v>1.59512371907381E-10</v>
      </c>
      <c r="G3804" s="4">
        <v>2.4145742207557801E-9</v>
      </c>
      <c r="H3804" s="10" t="s">
        <v>7621</v>
      </c>
      <c r="I3804" s="10" t="s">
        <v>18</v>
      </c>
    </row>
    <row r="3805" spans="1:9" x14ac:dyDescent="0.2">
      <c r="A3805" s="10" t="s">
        <v>7622</v>
      </c>
      <c r="B3805" s="10">
        <v>42.902071138809397</v>
      </c>
      <c r="C3805" s="10">
        <v>2.5727964441964</v>
      </c>
      <c r="D3805" s="10">
        <v>0.58755955119173398</v>
      </c>
      <c r="E3805" s="10">
        <v>4.3787841402255401</v>
      </c>
      <c r="F3805" s="4">
        <v>1.1934326726543599E-5</v>
      </c>
      <c r="G3805" s="4">
        <v>8.3335366560259604E-5</v>
      </c>
      <c r="H3805" s="10" t="s">
        <v>7623</v>
      </c>
      <c r="I3805" s="10" t="s">
        <v>18</v>
      </c>
    </row>
    <row r="3806" spans="1:9" x14ac:dyDescent="0.2">
      <c r="A3806" s="10" t="s">
        <v>7624</v>
      </c>
      <c r="B3806" s="10">
        <v>14.9168586056989</v>
      </c>
      <c r="C3806" s="10">
        <v>3.7447812097148501</v>
      </c>
      <c r="D3806" s="10">
        <v>1.09056270660983</v>
      </c>
      <c r="E3806" s="10">
        <v>3.43380640747933</v>
      </c>
      <c r="F3806" s="10">
        <v>5.9516910452381505E-4</v>
      </c>
      <c r="G3806" s="10">
        <v>2.7954788124393E-3</v>
      </c>
      <c r="H3806" s="10" t="s">
        <v>7625</v>
      </c>
      <c r="I3806" s="10" t="s">
        <v>18</v>
      </c>
    </row>
    <row r="3807" spans="1:9" x14ac:dyDescent="0.2">
      <c r="A3807" s="10" t="s">
        <v>7626</v>
      </c>
      <c r="B3807" s="10">
        <v>3.9255698602876601</v>
      </c>
      <c r="C3807" s="10">
        <v>5.3649036796241196</v>
      </c>
      <c r="D3807" s="10">
        <v>2.1862776153234802</v>
      </c>
      <c r="E3807" s="10">
        <v>2.45389864581783</v>
      </c>
      <c r="F3807" s="10">
        <v>1.4131680591543599E-2</v>
      </c>
      <c r="G3807" s="10">
        <v>4.2476106020715901E-2</v>
      </c>
      <c r="H3807" s="10" t="s">
        <v>7627</v>
      </c>
      <c r="I3807" s="10" t="s">
        <v>18</v>
      </c>
    </row>
    <row r="3808" spans="1:9" x14ac:dyDescent="0.2">
      <c r="A3808" s="10" t="s">
        <v>7628</v>
      </c>
      <c r="B3808" s="10">
        <v>189.744385330011</v>
      </c>
      <c r="C3808" s="10">
        <v>4.5550830997771898</v>
      </c>
      <c r="D3808" s="10">
        <v>0.38502479372006398</v>
      </c>
      <c r="E3808" s="10">
        <v>11.8306227912403</v>
      </c>
      <c r="F3808" s="4">
        <v>2.7112264829947299E-32</v>
      </c>
      <c r="G3808" s="4">
        <v>2.4062797388324899E-30</v>
      </c>
      <c r="H3808" s="10" t="s">
        <v>7629</v>
      </c>
      <c r="I3808" s="10" t="s">
        <v>18</v>
      </c>
    </row>
    <row r="3809" spans="1:9" x14ac:dyDescent="0.2">
      <c r="A3809" s="10" t="s">
        <v>7630</v>
      </c>
      <c r="B3809" s="10">
        <v>8.4517408699884502</v>
      </c>
      <c r="C3809" s="10">
        <v>3.9299671328076502</v>
      </c>
      <c r="D3809" s="10">
        <v>1.4971787094850399</v>
      </c>
      <c r="E3809" s="10">
        <v>2.6249151874189902</v>
      </c>
      <c r="F3809" s="10">
        <v>8.6670553076643193E-3</v>
      </c>
      <c r="G3809" s="10">
        <v>2.82443793766212E-2</v>
      </c>
      <c r="H3809" s="10" t="s">
        <v>7631</v>
      </c>
      <c r="I3809" s="10" t="s">
        <v>18</v>
      </c>
    </row>
    <row r="3810" spans="1:9" x14ac:dyDescent="0.2">
      <c r="A3810" s="10" t="s">
        <v>7632</v>
      </c>
      <c r="B3810" s="10">
        <v>9.1405572903315608</v>
      </c>
      <c r="C3810" s="10">
        <v>4.0605951744826996</v>
      </c>
      <c r="D3810" s="10">
        <v>1.44020793391972</v>
      </c>
      <c r="E3810" s="10">
        <v>2.8194506354587499</v>
      </c>
      <c r="F3810" s="10">
        <v>4.8105929694418599E-3</v>
      </c>
      <c r="G3810" s="10">
        <v>1.7158558271813399E-2</v>
      </c>
      <c r="H3810" s="10" t="s">
        <v>7633</v>
      </c>
      <c r="I3810" s="10" t="s">
        <v>18</v>
      </c>
    </row>
    <row r="3811" spans="1:9" x14ac:dyDescent="0.2">
      <c r="A3811" s="10" t="s">
        <v>7634</v>
      </c>
      <c r="B3811" s="10">
        <v>7.8180753051040002</v>
      </c>
      <c r="C3811" s="10">
        <v>4.88009968679913</v>
      </c>
      <c r="D3811" s="10">
        <v>1.8455460297392801</v>
      </c>
      <c r="E3811" s="10">
        <v>2.6442579096705199</v>
      </c>
      <c r="F3811" s="10">
        <v>8.1870248114142598E-3</v>
      </c>
      <c r="G3811" s="10">
        <v>2.6889086913766201E-2</v>
      </c>
      <c r="H3811" s="10" t="s">
        <v>7635</v>
      </c>
      <c r="I3811" s="10" t="s">
        <v>18</v>
      </c>
    </row>
    <row r="3812" spans="1:9" x14ac:dyDescent="0.2">
      <c r="A3812" s="10" t="s">
        <v>7636</v>
      </c>
      <c r="B3812" s="10">
        <v>1849.15593638106</v>
      </c>
      <c r="C3812" s="10">
        <v>-1.53464568516122</v>
      </c>
      <c r="D3812" s="10">
        <v>0.217212029958229</v>
      </c>
      <c r="E3812" s="10">
        <v>-7.0651965522183104</v>
      </c>
      <c r="F3812" s="4">
        <v>1.60388808392055E-12</v>
      </c>
      <c r="G3812" s="4">
        <v>3.1059800016050498E-11</v>
      </c>
      <c r="H3812" s="10" t="s">
        <v>7637</v>
      </c>
      <c r="I3812" s="10" t="s">
        <v>18</v>
      </c>
    </row>
    <row r="3813" spans="1:9" x14ac:dyDescent="0.2">
      <c r="A3813" s="10" t="s">
        <v>7638</v>
      </c>
      <c r="B3813" s="10">
        <v>1239.5905443061899</v>
      </c>
      <c r="C3813" s="10">
        <v>-1.37315697376617</v>
      </c>
      <c r="D3813" s="10">
        <v>0.218134740834763</v>
      </c>
      <c r="E3813" s="10">
        <v>-6.2949944080953797</v>
      </c>
      <c r="F3813" s="4">
        <v>3.0741094150497099E-10</v>
      </c>
      <c r="G3813" s="4">
        <v>4.4482346910175E-9</v>
      </c>
      <c r="H3813" s="10" t="s">
        <v>7639</v>
      </c>
      <c r="I3813" s="10" t="s">
        <v>18</v>
      </c>
    </row>
    <row r="3814" spans="1:9" x14ac:dyDescent="0.2">
      <c r="A3814" s="10" t="s">
        <v>7640</v>
      </c>
      <c r="B3814" s="10">
        <v>8.5124429782153506</v>
      </c>
      <c r="C3814" s="10">
        <v>6.4827049885886003</v>
      </c>
      <c r="D3814" s="10">
        <v>1.8258597173722999</v>
      </c>
      <c r="E3814" s="10">
        <v>3.5504945571164899</v>
      </c>
      <c r="F3814" s="10">
        <v>3.8450808648691701E-4</v>
      </c>
      <c r="G3814" s="10">
        <v>1.90174112044092E-3</v>
      </c>
      <c r="H3814" s="10" t="s">
        <v>7641</v>
      </c>
      <c r="I3814" s="10" t="s">
        <v>18</v>
      </c>
    </row>
    <row r="3815" spans="1:9" x14ac:dyDescent="0.2">
      <c r="A3815" s="10" t="s">
        <v>7642</v>
      </c>
      <c r="B3815" s="10">
        <v>116.30319356626801</v>
      </c>
      <c r="C3815" s="10">
        <v>1.2437293420284601</v>
      </c>
      <c r="D3815" s="10">
        <v>0.39923704465332399</v>
      </c>
      <c r="E3815" s="10">
        <v>3.1152653760084998</v>
      </c>
      <c r="F3815" s="10">
        <v>1.8377948770739001E-3</v>
      </c>
      <c r="G3815" s="10">
        <v>7.4995352726722501E-3</v>
      </c>
      <c r="H3815" s="10" t="s">
        <v>7643</v>
      </c>
      <c r="I3815" s="10" t="s">
        <v>18</v>
      </c>
    </row>
    <row r="3816" spans="1:9" x14ac:dyDescent="0.2">
      <c r="A3816" s="10" t="s">
        <v>7644</v>
      </c>
      <c r="B3816" s="10">
        <v>8.70252634331524</v>
      </c>
      <c r="C3816" s="10">
        <v>5.0258078228051799</v>
      </c>
      <c r="D3816" s="10">
        <v>1.79043774713542</v>
      </c>
      <c r="E3816" s="10">
        <v>2.8070274048043</v>
      </c>
      <c r="F3816" s="10">
        <v>5.0000987743857696E-3</v>
      </c>
      <c r="G3816" s="10">
        <v>1.7723128828631401E-2</v>
      </c>
      <c r="H3816" s="10" t="s">
        <v>7645</v>
      </c>
      <c r="I3816" s="10" t="s">
        <v>18</v>
      </c>
    </row>
    <row r="3817" spans="1:9" x14ac:dyDescent="0.2">
      <c r="A3817" s="10" t="s">
        <v>7646</v>
      </c>
      <c r="B3817" s="10">
        <v>289.761165196837</v>
      </c>
      <c r="C3817" s="10">
        <v>-3.5918056020012399</v>
      </c>
      <c r="D3817" s="10">
        <v>0.29920853770783501</v>
      </c>
      <c r="E3817" s="10">
        <v>-12.0043553219343</v>
      </c>
      <c r="F3817" s="4">
        <v>3.3708026605890401E-33</v>
      </c>
      <c r="G3817" s="4">
        <v>3.2001484352985902E-31</v>
      </c>
      <c r="H3817" s="10" t="s">
        <v>7647</v>
      </c>
      <c r="I3817" s="10" t="s">
        <v>18</v>
      </c>
    </row>
    <row r="3818" spans="1:9" x14ac:dyDescent="0.2">
      <c r="A3818" s="10" t="s">
        <v>7648</v>
      </c>
      <c r="B3818" s="10">
        <v>10.058489703081699</v>
      </c>
      <c r="C3818" s="10">
        <v>6.7284973566361703</v>
      </c>
      <c r="D3818" s="10">
        <v>1.7653056374463101</v>
      </c>
      <c r="E3818" s="10">
        <v>3.8115197809993</v>
      </c>
      <c r="F3818" s="10">
        <v>1.38115000684238E-4</v>
      </c>
      <c r="G3818" s="10">
        <v>7.65971793943302E-4</v>
      </c>
      <c r="H3818" s="10" t="s">
        <v>7649</v>
      </c>
      <c r="I3818" s="10" t="s">
        <v>18</v>
      </c>
    </row>
    <row r="3819" spans="1:9" x14ac:dyDescent="0.2">
      <c r="A3819" s="10" t="s">
        <v>7650</v>
      </c>
      <c r="B3819" s="10">
        <v>9902.1553964668492</v>
      </c>
      <c r="C3819" s="10">
        <v>1.1232649748308801</v>
      </c>
      <c r="D3819" s="10">
        <v>0.208476827161413</v>
      </c>
      <c r="E3819" s="10">
        <v>5.3879608114008599</v>
      </c>
      <c r="F3819" s="4">
        <v>7.12615849545807E-8</v>
      </c>
      <c r="G3819" s="4">
        <v>7.4279434019030598E-7</v>
      </c>
      <c r="H3819" s="10" t="s">
        <v>7651</v>
      </c>
      <c r="I3819" s="10" t="s">
        <v>18</v>
      </c>
    </row>
    <row r="3820" spans="1:9" x14ac:dyDescent="0.2">
      <c r="A3820" s="10" t="s">
        <v>7652</v>
      </c>
      <c r="B3820" s="10">
        <v>1282.4856759524</v>
      </c>
      <c r="C3820" s="10">
        <v>-1.4744614721089599</v>
      </c>
      <c r="D3820" s="10">
        <v>0.209025944531819</v>
      </c>
      <c r="E3820" s="10">
        <v>-7.0539639249639201</v>
      </c>
      <c r="F3820" s="4">
        <v>1.73891479443752E-12</v>
      </c>
      <c r="G3820" s="4">
        <v>3.3460601274038899E-11</v>
      </c>
      <c r="H3820" s="10" t="s">
        <v>7653</v>
      </c>
      <c r="I3820" s="10" t="s">
        <v>18</v>
      </c>
    </row>
    <row r="3821" spans="1:9" x14ac:dyDescent="0.2">
      <c r="A3821" s="10" t="s">
        <v>7654</v>
      </c>
      <c r="B3821" s="10">
        <v>421.11135718844599</v>
      </c>
      <c r="C3821" s="10">
        <v>2.5366270496287902</v>
      </c>
      <c r="D3821" s="10">
        <v>0.24644649546976299</v>
      </c>
      <c r="E3821" s="10">
        <v>10.2928103919417</v>
      </c>
      <c r="F3821" s="4">
        <v>7.5927310031331499E-25</v>
      </c>
      <c r="G3821" s="4">
        <v>4.1793765988357402E-23</v>
      </c>
      <c r="H3821" s="10" t="s">
        <v>7655</v>
      </c>
      <c r="I3821" s="10" t="s">
        <v>18</v>
      </c>
    </row>
    <row r="3822" spans="1:9" x14ac:dyDescent="0.2">
      <c r="A3822" s="10" t="s">
        <v>7656</v>
      </c>
      <c r="B3822" s="10">
        <v>4903.0679809727499</v>
      </c>
      <c r="C3822" s="10">
        <v>-1.2935932376232799</v>
      </c>
      <c r="D3822" s="10">
        <v>0.17282391350738599</v>
      </c>
      <c r="E3822" s="10">
        <v>-7.4850361351642398</v>
      </c>
      <c r="F3822" s="4">
        <v>7.1527453625840903E-14</v>
      </c>
      <c r="G3822" s="4">
        <v>1.6120004375047901E-12</v>
      </c>
      <c r="H3822" s="10" t="s">
        <v>7657</v>
      </c>
      <c r="I3822" s="10" t="s">
        <v>18</v>
      </c>
    </row>
    <row r="3823" spans="1:9" x14ac:dyDescent="0.2">
      <c r="A3823" s="10" t="s">
        <v>7658</v>
      </c>
      <c r="B3823" s="10">
        <v>1733.92172207213</v>
      </c>
      <c r="C3823" s="10">
        <v>-1.3298054858095201</v>
      </c>
      <c r="D3823" s="10">
        <v>0.20086428952194099</v>
      </c>
      <c r="E3823" s="10">
        <v>-6.6204176410574096</v>
      </c>
      <c r="F3823" s="4">
        <v>3.5818543497248101E-11</v>
      </c>
      <c r="G3823" s="4">
        <v>5.94365319530766E-10</v>
      </c>
      <c r="H3823" s="10" t="s">
        <v>7659</v>
      </c>
      <c r="I3823" s="10" t="s">
        <v>18</v>
      </c>
    </row>
    <row r="3824" spans="1:9" x14ac:dyDescent="0.2">
      <c r="A3824" s="10" t="s">
        <v>7660</v>
      </c>
      <c r="B3824" s="10">
        <v>56.463317073504101</v>
      </c>
      <c r="C3824" s="10">
        <v>-1.66774103284002</v>
      </c>
      <c r="D3824" s="10">
        <v>0.49887192195791502</v>
      </c>
      <c r="E3824" s="10">
        <v>-3.3430244506338598</v>
      </c>
      <c r="F3824" s="10">
        <v>8.2870597708732696E-4</v>
      </c>
      <c r="G3824" s="10">
        <v>3.74302804925775E-3</v>
      </c>
      <c r="H3824" s="10" t="s">
        <v>7661</v>
      </c>
      <c r="I3824" s="10" t="s">
        <v>18</v>
      </c>
    </row>
    <row r="3825" spans="1:9" x14ac:dyDescent="0.2">
      <c r="A3825" s="10" t="s">
        <v>7662</v>
      </c>
      <c r="B3825" s="10">
        <v>109.900801884768</v>
      </c>
      <c r="C3825" s="10">
        <v>7.7253677753007803</v>
      </c>
      <c r="D3825" s="10">
        <v>1.08974489270416</v>
      </c>
      <c r="E3825" s="10">
        <v>7.0891525411333296</v>
      </c>
      <c r="F3825" s="4">
        <v>1.3493573017202601E-12</v>
      </c>
      <c r="G3825" s="4">
        <v>2.6336632091670499E-11</v>
      </c>
      <c r="H3825" s="10" t="s">
        <v>7663</v>
      </c>
      <c r="I3825" s="10" t="s">
        <v>18</v>
      </c>
    </row>
    <row r="3826" spans="1:9" x14ac:dyDescent="0.2">
      <c r="A3826" s="10" t="s">
        <v>7664</v>
      </c>
      <c r="B3826" s="10">
        <v>104.33035986845201</v>
      </c>
      <c r="C3826" s="10">
        <v>2.7914523252336099</v>
      </c>
      <c r="D3826" s="10">
        <v>0.39705336947910502</v>
      </c>
      <c r="E3826" s="10">
        <v>7.03042094541527</v>
      </c>
      <c r="F3826" s="4">
        <v>2.05911365032536E-12</v>
      </c>
      <c r="G3826" s="4">
        <v>3.9261490294202297E-11</v>
      </c>
      <c r="H3826" s="10" t="s">
        <v>7665</v>
      </c>
      <c r="I3826" s="10" t="s">
        <v>18</v>
      </c>
    </row>
    <row r="3827" spans="1:9" x14ac:dyDescent="0.2">
      <c r="A3827" s="10" t="s">
        <v>7666</v>
      </c>
      <c r="B3827" s="10">
        <v>141.63693528835401</v>
      </c>
      <c r="C3827" s="10">
        <v>5.7475821093111099</v>
      </c>
      <c r="D3827" s="10">
        <v>0.574790983315703</v>
      </c>
      <c r="E3827" s="10">
        <v>9.9994298382273907</v>
      </c>
      <c r="F3827" s="4">
        <v>1.53276999789086E-23</v>
      </c>
      <c r="G3827" s="4">
        <v>7.6489714528447598E-22</v>
      </c>
      <c r="H3827" s="10" t="s">
        <v>7667</v>
      </c>
      <c r="I3827" s="10" t="s">
        <v>18</v>
      </c>
    </row>
    <row r="3828" spans="1:9" x14ac:dyDescent="0.2">
      <c r="A3828" s="10" t="s">
        <v>7668</v>
      </c>
      <c r="B3828" s="10">
        <v>1550.7657677499999</v>
      </c>
      <c r="C3828" s="10">
        <v>-2.4655150125743002</v>
      </c>
      <c r="D3828" s="10">
        <v>0.189808952413797</v>
      </c>
      <c r="E3828" s="10">
        <v>-12.9894558777148</v>
      </c>
      <c r="F3828" s="4">
        <v>1.4042183614434601E-38</v>
      </c>
      <c r="G3828" s="4">
        <v>1.7962787649882701E-36</v>
      </c>
      <c r="H3828" s="10" t="s">
        <v>7669</v>
      </c>
      <c r="I3828" s="10" t="s">
        <v>18</v>
      </c>
    </row>
    <row r="3829" spans="1:9" x14ac:dyDescent="0.2">
      <c r="A3829" s="10" t="s">
        <v>7670</v>
      </c>
      <c r="B3829" s="10">
        <v>1619.2696932184101</v>
      </c>
      <c r="C3829" s="10">
        <v>1.33412256415761</v>
      </c>
      <c r="D3829" s="10">
        <v>0.18637938409591401</v>
      </c>
      <c r="E3829" s="10">
        <v>7.1581015820454201</v>
      </c>
      <c r="F3829" s="4">
        <v>8.1801932680460103E-13</v>
      </c>
      <c r="G3829" s="4">
        <v>1.6388656321650701E-11</v>
      </c>
      <c r="H3829" s="10" t="s">
        <v>7671</v>
      </c>
      <c r="I3829" s="10" t="s">
        <v>18</v>
      </c>
    </row>
    <row r="3830" spans="1:9" x14ac:dyDescent="0.2">
      <c r="A3830" s="10" t="s">
        <v>7672</v>
      </c>
      <c r="B3830" s="10">
        <v>1315.9798364016399</v>
      </c>
      <c r="C3830" s="10">
        <v>-1.3092425198789801</v>
      </c>
      <c r="D3830" s="10">
        <v>0.220886630356909</v>
      </c>
      <c r="E3830" s="10">
        <v>-5.9272148692906397</v>
      </c>
      <c r="F3830" s="4">
        <v>3.0811570156956301E-9</v>
      </c>
      <c r="G3830" s="4">
        <v>3.9248380180766099E-8</v>
      </c>
      <c r="H3830" s="10" t="s">
        <v>7673</v>
      </c>
      <c r="I3830" s="10" t="s">
        <v>18</v>
      </c>
    </row>
    <row r="3831" spans="1:9" x14ac:dyDescent="0.2">
      <c r="A3831" s="10" t="s">
        <v>7674</v>
      </c>
      <c r="B3831" s="10">
        <v>6.8636935196746096</v>
      </c>
      <c r="C3831" s="10">
        <v>6.1755940381357304</v>
      </c>
      <c r="D3831" s="10">
        <v>1.8894328215106599</v>
      </c>
      <c r="E3831" s="10">
        <v>3.2684909290387698</v>
      </c>
      <c r="F3831" s="10">
        <v>1.0812264322655001E-3</v>
      </c>
      <c r="G3831" s="10">
        <v>4.7174021777322698E-3</v>
      </c>
      <c r="H3831" s="10" t="s">
        <v>7675</v>
      </c>
      <c r="I3831" s="10" t="s">
        <v>18</v>
      </c>
    </row>
    <row r="3832" spans="1:9" x14ac:dyDescent="0.2">
      <c r="A3832" s="10" t="s">
        <v>7676</v>
      </c>
      <c r="B3832" s="10">
        <v>13.6668961989949</v>
      </c>
      <c r="C3832" s="10">
        <v>3.2609744984339102</v>
      </c>
      <c r="D3832" s="10">
        <v>1.06396031215628</v>
      </c>
      <c r="E3832" s="10">
        <v>3.0649399805384099</v>
      </c>
      <c r="F3832" s="10">
        <v>2.17713683108274E-3</v>
      </c>
      <c r="G3832" s="10">
        <v>8.6738481117869994E-3</v>
      </c>
      <c r="H3832" s="10" t="s">
        <v>7677</v>
      </c>
      <c r="I3832" s="10" t="s">
        <v>18</v>
      </c>
    </row>
    <row r="3833" spans="1:9" x14ac:dyDescent="0.2">
      <c r="A3833" s="10" t="s">
        <v>7678</v>
      </c>
      <c r="B3833" s="10">
        <v>430.09670646883501</v>
      </c>
      <c r="C3833" s="10">
        <v>-2.3135338936738301</v>
      </c>
      <c r="D3833" s="10">
        <v>0.25521651228160502</v>
      </c>
      <c r="E3833" s="10">
        <v>-9.0649851492409894</v>
      </c>
      <c r="F3833" s="4">
        <v>1.2462122750066901E-19</v>
      </c>
      <c r="G3833" s="4">
        <v>4.6072653808829301E-18</v>
      </c>
      <c r="H3833" s="10" t="s">
        <v>7679</v>
      </c>
      <c r="I3833" s="10" t="s">
        <v>18</v>
      </c>
    </row>
    <row r="3834" spans="1:9" x14ac:dyDescent="0.2">
      <c r="A3834" s="10" t="s">
        <v>7680</v>
      </c>
      <c r="B3834" s="10">
        <v>2930.2754545071002</v>
      </c>
      <c r="C3834" s="10">
        <v>-1.25923678881587</v>
      </c>
      <c r="D3834" s="10">
        <v>0.21258314000280501</v>
      </c>
      <c r="E3834" s="10">
        <v>-5.9235026296029503</v>
      </c>
      <c r="F3834" s="4">
        <v>3.1515568774218798E-9</v>
      </c>
      <c r="G3834" s="4">
        <v>4.0126387962202799E-8</v>
      </c>
      <c r="H3834" s="10" t="s">
        <v>7681</v>
      </c>
      <c r="I3834" s="10" t="s">
        <v>18</v>
      </c>
    </row>
    <row r="3835" spans="1:9" x14ac:dyDescent="0.2">
      <c r="A3835" s="10" t="s">
        <v>7682</v>
      </c>
      <c r="B3835" s="10">
        <v>27.596888606515002</v>
      </c>
      <c r="C3835" s="10">
        <v>6.7274397258466001</v>
      </c>
      <c r="D3835" s="10">
        <v>1.5634501896516799</v>
      </c>
      <c r="E3835" s="10">
        <v>4.3029447118781698</v>
      </c>
      <c r="F3835" s="4">
        <v>1.68542919690144E-5</v>
      </c>
      <c r="G3835" s="10">
        <v>1.1381137379919099E-4</v>
      </c>
      <c r="H3835" s="10" t="s">
        <v>7683</v>
      </c>
      <c r="I3835" s="10" t="s">
        <v>18</v>
      </c>
    </row>
    <row r="3836" spans="1:9" x14ac:dyDescent="0.2">
      <c r="A3836" s="10" t="s">
        <v>7684</v>
      </c>
      <c r="B3836" s="10">
        <v>1164.3891328505499</v>
      </c>
      <c r="C3836" s="10">
        <v>-1.0270012065793901</v>
      </c>
      <c r="D3836" s="10">
        <v>0.223830362723725</v>
      </c>
      <c r="E3836" s="10">
        <v>-4.5883015784012597</v>
      </c>
      <c r="F3836" s="4">
        <v>4.4686676759699398E-6</v>
      </c>
      <c r="G3836" s="4">
        <v>3.4086726810513099E-5</v>
      </c>
      <c r="H3836" s="10" t="s">
        <v>7685</v>
      </c>
      <c r="I3836" s="10" t="s">
        <v>18</v>
      </c>
    </row>
    <row r="3837" spans="1:9" x14ac:dyDescent="0.2">
      <c r="A3837" s="10" t="s">
        <v>7686</v>
      </c>
      <c r="B3837" s="10">
        <v>841.43162451806302</v>
      </c>
      <c r="C3837" s="10">
        <v>-1.573309540885</v>
      </c>
      <c r="D3837" s="10">
        <v>0.22240863734001101</v>
      </c>
      <c r="E3837" s="10">
        <v>-7.0739588160858</v>
      </c>
      <c r="F3837" s="4">
        <v>1.5057499092017799E-12</v>
      </c>
      <c r="G3837" s="4">
        <v>2.9284202552477502E-11</v>
      </c>
      <c r="H3837" s="10" t="s">
        <v>7687</v>
      </c>
      <c r="I3837" s="10" t="s">
        <v>18</v>
      </c>
    </row>
    <row r="3838" spans="1:9" x14ac:dyDescent="0.2">
      <c r="A3838" s="10" t="s">
        <v>7688</v>
      </c>
      <c r="B3838" s="10">
        <v>858.10951121610196</v>
      </c>
      <c r="C3838" s="10">
        <v>1.0576853885822699</v>
      </c>
      <c r="D3838" s="10">
        <v>0.21644448580270501</v>
      </c>
      <c r="E3838" s="10">
        <v>4.8866358718252796</v>
      </c>
      <c r="F3838" s="4">
        <v>1.02573547750496E-6</v>
      </c>
      <c r="G3838" s="4">
        <v>8.7832226761714392E-6</v>
      </c>
      <c r="H3838" s="10" t="s">
        <v>7689</v>
      </c>
      <c r="I3838" s="10" t="s">
        <v>18</v>
      </c>
    </row>
    <row r="3839" spans="1:9" x14ac:dyDescent="0.2">
      <c r="A3839" s="10" t="s">
        <v>7690</v>
      </c>
      <c r="B3839" s="10">
        <v>21.340403828384598</v>
      </c>
      <c r="C3839" s="10">
        <v>1.9495324482618599</v>
      </c>
      <c r="D3839" s="10">
        <v>0.75955819787750001</v>
      </c>
      <c r="E3839" s="10">
        <v>2.5666663248577999</v>
      </c>
      <c r="F3839" s="10">
        <v>1.0268136775290201E-2</v>
      </c>
      <c r="G3839" s="10">
        <v>3.2528301676122702E-2</v>
      </c>
      <c r="H3839" s="10" t="s">
        <v>7691</v>
      </c>
      <c r="I3839" s="10" t="s">
        <v>18</v>
      </c>
    </row>
    <row r="3840" spans="1:9" x14ac:dyDescent="0.2">
      <c r="A3840" s="10" t="s">
        <v>7692</v>
      </c>
      <c r="B3840" s="10">
        <v>112.889693759247</v>
      </c>
      <c r="C3840" s="10">
        <v>5.9404685930768899</v>
      </c>
      <c r="D3840" s="10">
        <v>0.64413572675935804</v>
      </c>
      <c r="E3840" s="10">
        <v>9.2223864416950505</v>
      </c>
      <c r="F3840" s="4">
        <v>2.9056015613297203E-20</v>
      </c>
      <c r="G3840" s="4">
        <v>1.1540659729089E-18</v>
      </c>
      <c r="H3840" s="10" t="s">
        <v>7693</v>
      </c>
      <c r="I3840" s="10" t="s">
        <v>18</v>
      </c>
    </row>
    <row r="3841" spans="1:9" x14ac:dyDescent="0.2">
      <c r="A3841" s="10" t="s">
        <v>7694</v>
      </c>
      <c r="B3841" s="10">
        <v>2000.41310249092</v>
      </c>
      <c r="C3841" s="10">
        <v>-1.24686282065433</v>
      </c>
      <c r="D3841" s="10">
        <v>0.21831341617684599</v>
      </c>
      <c r="E3841" s="10">
        <v>-5.7113430887101497</v>
      </c>
      <c r="F3841" s="4">
        <v>1.12088015934598E-8</v>
      </c>
      <c r="G3841" s="4">
        <v>1.32210483557142E-7</v>
      </c>
      <c r="H3841" s="10" t="s">
        <v>7695</v>
      </c>
      <c r="I3841" s="10" t="s">
        <v>18</v>
      </c>
    </row>
    <row r="3842" spans="1:9" x14ac:dyDescent="0.2">
      <c r="A3842" s="10" t="s">
        <v>7696</v>
      </c>
      <c r="B3842" s="10">
        <v>1218.7037085007801</v>
      </c>
      <c r="C3842" s="10">
        <v>1.24146073026091</v>
      </c>
      <c r="D3842" s="10">
        <v>0.204152506414575</v>
      </c>
      <c r="E3842" s="10">
        <v>6.0810457440079499</v>
      </c>
      <c r="F3842" s="4">
        <v>1.1940121910136401E-9</v>
      </c>
      <c r="G3842" s="4">
        <v>1.60816856987388E-8</v>
      </c>
      <c r="H3842" s="10" t="s">
        <v>7697</v>
      </c>
      <c r="I3842" s="10" t="s">
        <v>18</v>
      </c>
    </row>
    <row r="3843" spans="1:9" x14ac:dyDescent="0.2">
      <c r="A3843" s="10" t="s">
        <v>7698</v>
      </c>
      <c r="B3843" s="10">
        <v>1632.09659357019</v>
      </c>
      <c r="C3843" s="10">
        <v>1.52200210438622</v>
      </c>
      <c r="D3843" s="10">
        <v>0.20290414261006301</v>
      </c>
      <c r="E3843" s="10">
        <v>7.5010893558303096</v>
      </c>
      <c r="F3843" s="4">
        <v>6.328962601997E-14</v>
      </c>
      <c r="G3843" s="4">
        <v>1.4334600500133999E-12</v>
      </c>
      <c r="H3843" s="10" t="s">
        <v>7699</v>
      </c>
      <c r="I3843" s="10" t="s">
        <v>18</v>
      </c>
    </row>
    <row r="3844" spans="1:9" x14ac:dyDescent="0.2">
      <c r="A3844" s="10" t="s">
        <v>7700</v>
      </c>
      <c r="B3844" s="10">
        <v>309.35039765807602</v>
      </c>
      <c r="C3844" s="10">
        <v>-1.6545211093385499</v>
      </c>
      <c r="D3844" s="10">
        <v>0.25642961214564203</v>
      </c>
      <c r="E3844" s="10">
        <v>-6.45214527095587</v>
      </c>
      <c r="F3844" s="4">
        <v>1.10277789337336E-10</v>
      </c>
      <c r="G3844" s="4">
        <v>1.7053001850592499E-9</v>
      </c>
      <c r="H3844" s="10" t="s">
        <v>7701</v>
      </c>
      <c r="I3844" s="10" t="s">
        <v>18</v>
      </c>
    </row>
    <row r="3845" spans="1:9" x14ac:dyDescent="0.2">
      <c r="A3845" s="10" t="s">
        <v>7702</v>
      </c>
      <c r="B3845" s="10">
        <v>14516.2001528364</v>
      </c>
      <c r="C3845" s="10">
        <v>-1.4043854751595899</v>
      </c>
      <c r="D3845" s="10">
        <v>0.201537192263953</v>
      </c>
      <c r="E3845" s="10">
        <v>-6.9683687630235296</v>
      </c>
      <c r="F3845" s="4">
        <v>3.2063688179151899E-12</v>
      </c>
      <c r="G3845" s="4">
        <v>5.9715605729142305E-11</v>
      </c>
      <c r="H3845" s="10" t="s">
        <v>7703</v>
      </c>
      <c r="I3845" s="10" t="s">
        <v>18</v>
      </c>
    </row>
    <row r="3846" spans="1:9" x14ac:dyDescent="0.2">
      <c r="A3846" s="10" t="s">
        <v>7704</v>
      </c>
      <c r="B3846" s="10">
        <v>71.085392117596101</v>
      </c>
      <c r="C3846" s="10">
        <v>4.7265189572822202</v>
      </c>
      <c r="D3846" s="10">
        <v>0.61381417948316497</v>
      </c>
      <c r="E3846" s="10">
        <v>7.7002440074974698</v>
      </c>
      <c r="F3846" s="4">
        <v>1.35806648329605E-14</v>
      </c>
      <c r="G3846" s="4">
        <v>3.2232785252933401E-13</v>
      </c>
      <c r="H3846" s="10" t="s">
        <v>7705</v>
      </c>
      <c r="I3846" s="10" t="s">
        <v>18</v>
      </c>
    </row>
    <row r="3847" spans="1:9" x14ac:dyDescent="0.2">
      <c r="A3847" s="10" t="s">
        <v>7706</v>
      </c>
      <c r="B3847" s="10">
        <v>1029.57143853715</v>
      </c>
      <c r="C3847" s="10">
        <v>-1.1047715398909901</v>
      </c>
      <c r="D3847" s="10">
        <v>0.22698549638476301</v>
      </c>
      <c r="E3847" s="10">
        <v>-4.8671459519963802</v>
      </c>
      <c r="F3847" s="4">
        <v>1.13221414937437E-6</v>
      </c>
      <c r="G3847" s="4">
        <v>9.6014437995653499E-6</v>
      </c>
      <c r="H3847" s="10" t="s">
        <v>7707</v>
      </c>
      <c r="I3847" s="10" t="s">
        <v>18</v>
      </c>
    </row>
    <row r="3848" spans="1:9" x14ac:dyDescent="0.2">
      <c r="A3848" s="10" t="s">
        <v>7708</v>
      </c>
      <c r="B3848" s="10">
        <v>127.727369129408</v>
      </c>
      <c r="C3848" s="10">
        <v>-2.4964765281812502</v>
      </c>
      <c r="D3848" s="10">
        <v>0.35548824405410201</v>
      </c>
      <c r="E3848" s="10">
        <v>-7.0226697223813597</v>
      </c>
      <c r="F3848" s="4">
        <v>2.1766834070980602E-12</v>
      </c>
      <c r="G3848" s="4">
        <v>4.1387364126448698E-11</v>
      </c>
      <c r="H3848" s="10" t="s">
        <v>7709</v>
      </c>
      <c r="I3848" s="10" t="s">
        <v>18</v>
      </c>
    </row>
    <row r="3849" spans="1:9" x14ac:dyDescent="0.2">
      <c r="A3849" s="10" t="s">
        <v>7710</v>
      </c>
      <c r="B3849" s="10">
        <v>1316.2773868448</v>
      </c>
      <c r="C3849" s="10">
        <v>-1.60799729993651</v>
      </c>
      <c r="D3849" s="10">
        <v>0.237810877392616</v>
      </c>
      <c r="E3849" s="10">
        <v>-6.7616642164007299</v>
      </c>
      <c r="F3849" s="4">
        <v>1.3641557682426399E-11</v>
      </c>
      <c r="G3849" s="4">
        <v>2.3614455030055398E-10</v>
      </c>
      <c r="H3849" s="10" t="s">
        <v>7711</v>
      </c>
      <c r="I3849" s="10" t="s">
        <v>18</v>
      </c>
    </row>
    <row r="3850" spans="1:9" x14ac:dyDescent="0.2">
      <c r="A3850" s="10" t="s">
        <v>7712</v>
      </c>
      <c r="B3850" s="10">
        <v>57.1586601372315</v>
      </c>
      <c r="C3850" s="10">
        <v>3.4100719949257998</v>
      </c>
      <c r="D3850" s="10">
        <v>0.55556494798010703</v>
      </c>
      <c r="E3850" s="10">
        <v>6.1380258191665096</v>
      </c>
      <c r="F3850" s="4">
        <v>8.3553285276058903E-10</v>
      </c>
      <c r="G3850" s="4">
        <v>1.14862581428697E-8</v>
      </c>
      <c r="H3850" s="10" t="s">
        <v>7713</v>
      </c>
      <c r="I3850" s="10" t="s">
        <v>18</v>
      </c>
    </row>
    <row r="3851" spans="1:9" x14ac:dyDescent="0.2">
      <c r="A3851" s="10" t="s">
        <v>7714</v>
      </c>
      <c r="B3851" s="10">
        <v>4212.8041408878098</v>
      </c>
      <c r="C3851" s="10">
        <v>-1.17459798865076</v>
      </c>
      <c r="D3851" s="10">
        <v>0.22561429912850101</v>
      </c>
      <c r="E3851" s="10">
        <v>-5.2062213839636202</v>
      </c>
      <c r="F3851" s="4">
        <v>1.92724703386246E-7</v>
      </c>
      <c r="G3851" s="4">
        <v>1.8680789730220701E-6</v>
      </c>
      <c r="H3851" s="10" t="s">
        <v>7715</v>
      </c>
      <c r="I3851" s="10" t="s">
        <v>18</v>
      </c>
    </row>
    <row r="3852" spans="1:9" x14ac:dyDescent="0.2">
      <c r="A3852" s="10" t="s">
        <v>7716</v>
      </c>
      <c r="B3852" s="10">
        <v>8074.9211929066496</v>
      </c>
      <c r="C3852" s="10">
        <v>-1.0595342431155299</v>
      </c>
      <c r="D3852" s="10">
        <v>0.224791396405112</v>
      </c>
      <c r="E3852" s="10">
        <v>-4.71341101154096</v>
      </c>
      <c r="F3852" s="4">
        <v>2.43604136121153E-6</v>
      </c>
      <c r="G3852" s="4">
        <v>1.9424881173231101E-5</v>
      </c>
      <c r="H3852" s="10" t="s">
        <v>7717</v>
      </c>
      <c r="I3852" s="10" t="s">
        <v>18</v>
      </c>
    </row>
    <row r="3853" spans="1:9" x14ac:dyDescent="0.2">
      <c r="A3853" s="10" t="s">
        <v>7718</v>
      </c>
      <c r="B3853" s="10">
        <v>161.14867803631299</v>
      </c>
      <c r="C3853" s="10">
        <v>-1.1927319197716399</v>
      </c>
      <c r="D3853" s="10">
        <v>0.315028851970857</v>
      </c>
      <c r="E3853" s="10">
        <v>-3.7861037562425399</v>
      </c>
      <c r="F3853" s="10">
        <v>1.53027799646855E-4</v>
      </c>
      <c r="G3853" s="10">
        <v>8.3995738456443803E-4</v>
      </c>
      <c r="H3853" s="10" t="s">
        <v>7719</v>
      </c>
      <c r="I3853" s="10" t="s">
        <v>18</v>
      </c>
    </row>
    <row r="3854" spans="1:9" x14ac:dyDescent="0.2">
      <c r="A3854" s="10" t="s">
        <v>7720</v>
      </c>
      <c r="B3854" s="10">
        <v>1220.4991202876899</v>
      </c>
      <c r="C3854" s="10">
        <v>-1.02967905359137</v>
      </c>
      <c r="D3854" s="10">
        <v>0.22682557055559699</v>
      </c>
      <c r="E3854" s="10">
        <v>-4.5395192925966397</v>
      </c>
      <c r="F3854" s="4">
        <v>5.6382621656693497E-6</v>
      </c>
      <c r="G3854" s="4">
        <v>4.2170115077681303E-5</v>
      </c>
      <c r="H3854" s="10" t="s">
        <v>7721</v>
      </c>
      <c r="I3854" s="10" t="s">
        <v>18</v>
      </c>
    </row>
    <row r="3855" spans="1:9" x14ac:dyDescent="0.2">
      <c r="A3855" s="10" t="s">
        <v>7722</v>
      </c>
      <c r="B3855" s="10">
        <v>5014.7343907041804</v>
      </c>
      <c r="C3855" s="10">
        <v>1.2718693624038999</v>
      </c>
      <c r="D3855" s="10">
        <v>0.199497533727997</v>
      </c>
      <c r="E3855" s="10">
        <v>6.37536383852252</v>
      </c>
      <c r="F3855" s="4">
        <v>1.8252909570728501E-10</v>
      </c>
      <c r="G3855" s="4">
        <v>2.7341232934229801E-9</v>
      </c>
      <c r="H3855" s="10" t="s">
        <v>7723</v>
      </c>
      <c r="I3855" s="10" t="s">
        <v>18</v>
      </c>
    </row>
    <row r="3856" spans="1:9" x14ac:dyDescent="0.2">
      <c r="A3856" s="10" t="s">
        <v>7724</v>
      </c>
      <c r="B3856" s="10">
        <v>486.27806283571499</v>
      </c>
      <c r="C3856" s="10">
        <v>-1.3678063044854201</v>
      </c>
      <c r="D3856" s="10">
        <v>0.240968630150763</v>
      </c>
      <c r="E3856" s="10">
        <v>-5.6762836873399296</v>
      </c>
      <c r="F3856" s="4">
        <v>1.3765242693177499E-8</v>
      </c>
      <c r="G3856" s="4">
        <v>1.6062593904111701E-7</v>
      </c>
      <c r="H3856" s="10" t="s">
        <v>7725</v>
      </c>
      <c r="I3856" s="10" t="s">
        <v>18</v>
      </c>
    </row>
    <row r="3857" spans="1:9" x14ac:dyDescent="0.2">
      <c r="A3857" s="10" t="s">
        <v>7726</v>
      </c>
      <c r="B3857" s="10">
        <v>535.01013900687201</v>
      </c>
      <c r="C3857" s="10">
        <v>-1.1735623718599399</v>
      </c>
      <c r="D3857" s="10">
        <v>0.24506375393600899</v>
      </c>
      <c r="E3857" s="10">
        <v>-4.7888043540146796</v>
      </c>
      <c r="F3857" s="4">
        <v>1.67777954263765E-6</v>
      </c>
      <c r="G3857" s="4">
        <v>1.37985086623145E-5</v>
      </c>
      <c r="H3857" s="10" t="s">
        <v>7727</v>
      </c>
      <c r="I3857" s="10" t="s">
        <v>18</v>
      </c>
    </row>
    <row r="3858" spans="1:9" x14ac:dyDescent="0.2">
      <c r="A3858" s="10" t="s">
        <v>7728</v>
      </c>
      <c r="B3858" s="10">
        <v>5343.8710913517198</v>
      </c>
      <c r="C3858" s="10">
        <v>-1.11248177760166</v>
      </c>
      <c r="D3858" s="10">
        <v>0.212212218928338</v>
      </c>
      <c r="E3858" s="10">
        <v>-5.2423078332606803</v>
      </c>
      <c r="F3858" s="4">
        <v>1.5858051376612901E-7</v>
      </c>
      <c r="G3858" s="4">
        <v>1.5581836489670799E-6</v>
      </c>
      <c r="H3858" s="10" t="s">
        <v>7729</v>
      </c>
      <c r="I3858" s="10" t="s">
        <v>18</v>
      </c>
    </row>
    <row r="3859" spans="1:9" x14ac:dyDescent="0.2">
      <c r="A3859" s="10" t="s">
        <v>7730</v>
      </c>
      <c r="B3859" s="10">
        <v>1479.54101000422</v>
      </c>
      <c r="C3859" s="10">
        <v>-1.55171968998063</v>
      </c>
      <c r="D3859" s="10">
        <v>0.232029243331728</v>
      </c>
      <c r="E3859" s="10">
        <v>-6.6876039748238298</v>
      </c>
      <c r="F3859" s="4">
        <v>2.2685403007775401E-11</v>
      </c>
      <c r="G3859" s="4">
        <v>3.84396253577648E-10</v>
      </c>
      <c r="H3859" s="10" t="s">
        <v>7731</v>
      </c>
      <c r="I3859" s="10" t="s">
        <v>18</v>
      </c>
    </row>
    <row r="3860" spans="1:9" x14ac:dyDescent="0.2">
      <c r="A3860" s="10" t="s">
        <v>7732</v>
      </c>
      <c r="B3860" s="10">
        <v>3319.9830115818099</v>
      </c>
      <c r="C3860" s="10">
        <v>-1.45855613428058</v>
      </c>
      <c r="D3860" s="10">
        <v>0.19343923732750101</v>
      </c>
      <c r="E3860" s="10">
        <v>-7.5401255424264502</v>
      </c>
      <c r="F3860" s="4">
        <v>4.6951923001498898E-14</v>
      </c>
      <c r="G3860" s="4">
        <v>1.0768510488399301E-12</v>
      </c>
      <c r="H3860" s="10" t="s">
        <v>7733</v>
      </c>
      <c r="I3860" s="10" t="s">
        <v>18</v>
      </c>
    </row>
    <row r="3861" spans="1:9" x14ac:dyDescent="0.2">
      <c r="A3861" s="10" t="s">
        <v>7734</v>
      </c>
      <c r="B3861" s="10">
        <v>1115.8808121152599</v>
      </c>
      <c r="C3861" s="10">
        <v>-1.9917698467007099</v>
      </c>
      <c r="D3861" s="10">
        <v>0.230681292337583</v>
      </c>
      <c r="E3861" s="10">
        <v>-8.6342929091359402</v>
      </c>
      <c r="F3861" s="4">
        <v>5.9091408085528002E-18</v>
      </c>
      <c r="G3861" s="4">
        <v>1.9009015302318601E-16</v>
      </c>
      <c r="H3861" s="10" t="s">
        <v>7735</v>
      </c>
      <c r="I3861" s="10" t="s">
        <v>18</v>
      </c>
    </row>
    <row r="3862" spans="1:9" x14ac:dyDescent="0.2">
      <c r="A3862" s="10" t="s">
        <v>7736</v>
      </c>
      <c r="B3862" s="10">
        <v>130.678004558109</v>
      </c>
      <c r="C3862" s="10">
        <v>-1.08187982940896</v>
      </c>
      <c r="D3862" s="10">
        <v>0.348499225948666</v>
      </c>
      <c r="E3862" s="10">
        <v>-3.1043966495590398</v>
      </c>
      <c r="F3862" s="10">
        <v>1.9066752774882199E-3</v>
      </c>
      <c r="G3862" s="10">
        <v>7.7250944036669003E-3</v>
      </c>
      <c r="H3862" s="10" t="s">
        <v>7737</v>
      </c>
      <c r="I3862" s="10" t="s">
        <v>18</v>
      </c>
    </row>
    <row r="3863" spans="1:9" x14ac:dyDescent="0.2">
      <c r="A3863" s="10" t="s">
        <v>7738</v>
      </c>
      <c r="B3863" s="10">
        <v>4146.5597817040498</v>
      </c>
      <c r="C3863" s="10">
        <v>-1.34233232639693</v>
      </c>
      <c r="D3863" s="10">
        <v>0.20758046808066899</v>
      </c>
      <c r="E3863" s="10">
        <v>-6.4665637321680904</v>
      </c>
      <c r="F3863" s="4">
        <v>1.00256554422018E-10</v>
      </c>
      <c r="G3863" s="4">
        <v>1.5600744365144101E-9</v>
      </c>
      <c r="H3863" s="10" t="s">
        <v>7739</v>
      </c>
      <c r="I3863" s="10" t="s">
        <v>18</v>
      </c>
    </row>
    <row r="3864" spans="1:9" x14ac:dyDescent="0.2">
      <c r="A3864" s="10" t="s">
        <v>7740</v>
      </c>
      <c r="B3864" s="10">
        <v>1706.17641031842</v>
      </c>
      <c r="C3864" s="10">
        <v>-1.11650549850865</v>
      </c>
      <c r="D3864" s="10">
        <v>0.22968548355234</v>
      </c>
      <c r="E3864" s="10">
        <v>-4.8610189953699203</v>
      </c>
      <c r="F3864" s="4">
        <v>1.1678304582265E-6</v>
      </c>
      <c r="G3864" s="4">
        <v>9.8758151754492502E-6</v>
      </c>
      <c r="H3864" s="10" t="s">
        <v>7741</v>
      </c>
      <c r="I3864" s="10" t="s">
        <v>18</v>
      </c>
    </row>
    <row r="3865" spans="1:9" x14ac:dyDescent="0.2">
      <c r="A3865" s="10" t="s">
        <v>7742</v>
      </c>
      <c r="B3865" s="10">
        <v>1954.9954536446</v>
      </c>
      <c r="C3865" s="10">
        <v>-1.5014870599683099</v>
      </c>
      <c r="D3865" s="10">
        <v>0.21519939122015599</v>
      </c>
      <c r="E3865" s="10">
        <v>-6.9771900908039202</v>
      </c>
      <c r="F3865" s="4">
        <v>3.0114213574329102E-12</v>
      </c>
      <c r="G3865" s="4">
        <v>5.6238655055500003E-11</v>
      </c>
      <c r="H3865" s="10" t="s">
        <v>7743</v>
      </c>
      <c r="I3865" s="10" t="s">
        <v>18</v>
      </c>
    </row>
    <row r="3866" spans="1:9" x14ac:dyDescent="0.2">
      <c r="A3866" s="10" t="s">
        <v>7744</v>
      </c>
      <c r="B3866" s="10">
        <v>74.674856465186707</v>
      </c>
      <c r="C3866" s="10">
        <v>-1.31539268903674</v>
      </c>
      <c r="D3866" s="10">
        <v>0.43300228251644202</v>
      </c>
      <c r="E3866" s="10">
        <v>-3.03784239055781</v>
      </c>
      <c r="F3866" s="10">
        <v>2.38278543123006E-3</v>
      </c>
      <c r="G3866" s="10">
        <v>9.3631027754146907E-3</v>
      </c>
      <c r="H3866" s="10" t="s">
        <v>7745</v>
      </c>
      <c r="I3866" s="10" t="s">
        <v>18</v>
      </c>
    </row>
    <row r="3867" spans="1:9" x14ac:dyDescent="0.2">
      <c r="A3867" s="10" t="s">
        <v>7746</v>
      </c>
      <c r="B3867" s="10">
        <v>1865.87237836192</v>
      </c>
      <c r="C3867" s="10">
        <v>-1.2758150303376701</v>
      </c>
      <c r="D3867" s="10">
        <v>0.23054615090210601</v>
      </c>
      <c r="E3867" s="10">
        <v>-5.5338812873063601</v>
      </c>
      <c r="F3867" s="4">
        <v>3.1322100917455299E-8</v>
      </c>
      <c r="G3867" s="4">
        <v>3.4734769381274102E-7</v>
      </c>
      <c r="H3867" s="10" t="s">
        <v>7747</v>
      </c>
      <c r="I3867" s="10" t="s">
        <v>18</v>
      </c>
    </row>
    <row r="3868" spans="1:9" x14ac:dyDescent="0.2">
      <c r="A3868" s="10" t="s">
        <v>7748</v>
      </c>
      <c r="B3868" s="10">
        <v>7337.0764572464404</v>
      </c>
      <c r="C3868" s="10">
        <v>-1.53461037188134</v>
      </c>
      <c r="D3868" s="10">
        <v>0.21386672982971899</v>
      </c>
      <c r="E3868" s="10">
        <v>-7.1755451308541502</v>
      </c>
      <c r="F3868" s="4">
        <v>7.2019634246180505E-13</v>
      </c>
      <c r="G3868" s="4">
        <v>1.45788928254508E-11</v>
      </c>
      <c r="H3868" s="10" t="s">
        <v>7749</v>
      </c>
      <c r="I3868" s="10" t="s">
        <v>18</v>
      </c>
    </row>
    <row r="3869" spans="1:9" x14ac:dyDescent="0.2">
      <c r="A3869" s="10" t="s">
        <v>7750</v>
      </c>
      <c r="B3869" s="10">
        <v>78.245618719431306</v>
      </c>
      <c r="C3869" s="10">
        <v>-1.3569734870716099</v>
      </c>
      <c r="D3869" s="10">
        <v>0.41071648435288</v>
      </c>
      <c r="E3869" s="10">
        <v>-3.30391776022734</v>
      </c>
      <c r="F3869" s="10">
        <v>9.5343797017525796E-4</v>
      </c>
      <c r="G3869" s="10">
        <v>4.2337556019174096E-3</v>
      </c>
      <c r="H3869" s="10" t="s">
        <v>7751</v>
      </c>
      <c r="I3869" s="10" t="s">
        <v>18</v>
      </c>
    </row>
    <row r="3870" spans="1:9" x14ac:dyDescent="0.2">
      <c r="A3870" s="10" t="s">
        <v>7752</v>
      </c>
      <c r="B3870" s="10">
        <v>201.27674353987101</v>
      </c>
      <c r="C3870" s="10">
        <v>2.1318626909717402</v>
      </c>
      <c r="D3870" s="10">
        <v>0.298143776907414</v>
      </c>
      <c r="E3870" s="10">
        <v>7.1504517487674004</v>
      </c>
      <c r="F3870" s="4">
        <v>8.6492781648153299E-13</v>
      </c>
      <c r="G3870" s="4">
        <v>1.7290306834682599E-11</v>
      </c>
      <c r="H3870" s="10" t="s">
        <v>7753</v>
      </c>
      <c r="I3870" s="10" t="s">
        <v>18</v>
      </c>
    </row>
    <row r="3871" spans="1:9" x14ac:dyDescent="0.2">
      <c r="A3871" s="10" t="s">
        <v>7754</v>
      </c>
      <c r="B3871" s="10">
        <v>628.06203298722096</v>
      </c>
      <c r="C3871" s="10">
        <v>-1.1343922709261101</v>
      </c>
      <c r="D3871" s="10">
        <v>0.213301486795164</v>
      </c>
      <c r="E3871" s="10">
        <v>-5.3182576829175003</v>
      </c>
      <c r="F3871" s="4">
        <v>1.04765626085609E-7</v>
      </c>
      <c r="G3871" s="4">
        <v>1.06196019864382E-6</v>
      </c>
      <c r="H3871" s="10" t="s">
        <v>7755</v>
      </c>
      <c r="I3871" s="10" t="s">
        <v>18</v>
      </c>
    </row>
    <row r="3872" spans="1:9" x14ac:dyDescent="0.2">
      <c r="A3872" s="10" t="s">
        <v>7756</v>
      </c>
      <c r="B3872" s="10">
        <v>3540.3100414274099</v>
      </c>
      <c r="C3872" s="10">
        <v>-1.0875784490133</v>
      </c>
      <c r="D3872" s="10">
        <v>0.19995130621526</v>
      </c>
      <c r="E3872" s="10">
        <v>-5.4392165252596696</v>
      </c>
      <c r="F3872" s="4">
        <v>5.3515384285717398E-8</v>
      </c>
      <c r="G3872" s="4">
        <v>5.6980604753143498E-7</v>
      </c>
      <c r="H3872" s="10" t="s">
        <v>7757</v>
      </c>
      <c r="I3872" s="10" t="s">
        <v>18</v>
      </c>
    </row>
    <row r="3873" spans="1:9" x14ac:dyDescent="0.2">
      <c r="A3873" s="10" t="s">
        <v>7758</v>
      </c>
      <c r="B3873" s="10">
        <v>5.0277419563543804</v>
      </c>
      <c r="C3873" s="10">
        <v>5.7249864720364698</v>
      </c>
      <c r="D3873" s="10">
        <v>2.0292551541625601</v>
      </c>
      <c r="E3873" s="10">
        <v>2.82122554193983</v>
      </c>
      <c r="F3873" s="10">
        <v>4.7840554620197E-3</v>
      </c>
      <c r="G3873" s="10">
        <v>1.7077316805142299E-2</v>
      </c>
      <c r="H3873" s="10" t="s">
        <v>7759</v>
      </c>
      <c r="I3873" s="10" t="s">
        <v>18</v>
      </c>
    </row>
    <row r="3874" spans="1:9" x14ac:dyDescent="0.2">
      <c r="A3874" s="10" t="s">
        <v>7760</v>
      </c>
      <c r="B3874" s="10">
        <v>120.54545349873599</v>
      </c>
      <c r="C3874" s="10">
        <v>5.2461128254738503</v>
      </c>
      <c r="D3874" s="10">
        <v>0.53213285233129604</v>
      </c>
      <c r="E3874" s="10">
        <v>9.8586524069889894</v>
      </c>
      <c r="F3874" s="4">
        <v>6.2887729673304796E-23</v>
      </c>
      <c r="G3874" s="4">
        <v>3.01672882114179E-21</v>
      </c>
      <c r="H3874" s="10" t="s">
        <v>7761</v>
      </c>
      <c r="I3874" s="10" t="s">
        <v>18</v>
      </c>
    </row>
    <row r="3875" spans="1:9" x14ac:dyDescent="0.2">
      <c r="A3875" s="10" t="s">
        <v>7762</v>
      </c>
      <c r="B3875" s="10">
        <v>337.04618260401099</v>
      </c>
      <c r="C3875" s="10">
        <v>-1.16426395536729</v>
      </c>
      <c r="D3875" s="10">
        <v>0.32856877795737699</v>
      </c>
      <c r="E3875" s="10">
        <v>-3.5434406233154601</v>
      </c>
      <c r="F3875" s="10">
        <v>3.94942233982603E-4</v>
      </c>
      <c r="G3875" s="10">
        <v>1.94626602220784E-3</v>
      </c>
      <c r="H3875" s="10" t="s">
        <v>7763</v>
      </c>
      <c r="I3875" s="10" t="s">
        <v>18</v>
      </c>
    </row>
    <row r="3876" spans="1:9" x14ac:dyDescent="0.2">
      <c r="A3876" s="10" t="s">
        <v>7764</v>
      </c>
      <c r="B3876" s="10">
        <v>848.69199288977404</v>
      </c>
      <c r="C3876" s="10">
        <v>-1.27088024384809</v>
      </c>
      <c r="D3876" s="10">
        <v>0.22678718656447</v>
      </c>
      <c r="E3876" s="10">
        <v>-5.60384501038292</v>
      </c>
      <c r="F3876" s="4">
        <v>2.09648189801131E-8</v>
      </c>
      <c r="G3876" s="4">
        <v>2.3870807469750998E-7</v>
      </c>
      <c r="H3876" s="10" t="s">
        <v>7765</v>
      </c>
      <c r="I3876" s="10" t="s">
        <v>18</v>
      </c>
    </row>
    <row r="3877" spans="1:9" x14ac:dyDescent="0.2">
      <c r="A3877" s="10" t="s">
        <v>7766</v>
      </c>
      <c r="B3877" s="10">
        <v>10.759080224811299</v>
      </c>
      <c r="C3877" s="10">
        <v>4.3130080279740897</v>
      </c>
      <c r="D3877" s="10">
        <v>1.39619061054358</v>
      </c>
      <c r="E3877" s="10">
        <v>3.08912550722204</v>
      </c>
      <c r="F3877" s="10">
        <v>2.0074661427904698E-3</v>
      </c>
      <c r="G3877" s="10">
        <v>8.0805776322369505E-3</v>
      </c>
      <c r="H3877" s="10" t="s">
        <v>7767</v>
      </c>
      <c r="I3877" s="10" t="s">
        <v>18</v>
      </c>
    </row>
    <row r="3878" spans="1:9" x14ac:dyDescent="0.2">
      <c r="A3878" s="10" t="s">
        <v>7768</v>
      </c>
      <c r="B3878" s="10">
        <v>59.2790366259607</v>
      </c>
      <c r="C3878" s="10">
        <v>-2.29334288266914</v>
      </c>
      <c r="D3878" s="10">
        <v>0.53195271973425895</v>
      </c>
      <c r="E3878" s="10">
        <v>-4.3111780381812803</v>
      </c>
      <c r="F3878" s="4">
        <v>1.62387088167887E-5</v>
      </c>
      <c r="G3878" s="10">
        <v>1.10173331456933E-4</v>
      </c>
      <c r="H3878" s="10" t="s">
        <v>7769</v>
      </c>
      <c r="I3878" s="10" t="s">
        <v>18</v>
      </c>
    </row>
    <row r="3879" spans="1:9" x14ac:dyDescent="0.2">
      <c r="A3879" s="10" t="s">
        <v>7770</v>
      </c>
      <c r="B3879" s="10">
        <v>25.496898579206199</v>
      </c>
      <c r="C3879" s="10">
        <v>-2.8733050886065001</v>
      </c>
      <c r="D3879" s="10">
        <v>0.74325743713443404</v>
      </c>
      <c r="E3879" s="10">
        <v>-3.8658275653241798</v>
      </c>
      <c r="F3879" s="10">
        <v>1.10713142713939E-4</v>
      </c>
      <c r="G3879" s="10">
        <v>6.2767394913164701E-4</v>
      </c>
      <c r="H3879" s="10" t="s">
        <v>7771</v>
      </c>
      <c r="I3879" s="10" t="s">
        <v>18</v>
      </c>
    </row>
    <row r="3880" spans="1:9" x14ac:dyDescent="0.2">
      <c r="A3880" s="10" t="s">
        <v>7772</v>
      </c>
      <c r="B3880" s="10">
        <v>63.551261833672001</v>
      </c>
      <c r="C3880" s="10">
        <v>-1.97344968289981</v>
      </c>
      <c r="D3880" s="10">
        <v>0.475381836928427</v>
      </c>
      <c r="E3880" s="10">
        <v>-4.1512938223530096</v>
      </c>
      <c r="F3880" s="4">
        <v>3.3060101038115298E-5</v>
      </c>
      <c r="G3880" s="10">
        <v>2.09960525696096E-4</v>
      </c>
      <c r="H3880" s="10" t="s">
        <v>7773</v>
      </c>
      <c r="I3880" s="10" t="s">
        <v>18</v>
      </c>
    </row>
    <row r="3881" spans="1:9" x14ac:dyDescent="0.2">
      <c r="A3881" s="10" t="s">
        <v>7774</v>
      </c>
      <c r="B3881" s="10">
        <v>25.266802751499199</v>
      </c>
      <c r="C3881" s="10">
        <v>3.7111458584457502</v>
      </c>
      <c r="D3881" s="10">
        <v>0.89526221428864905</v>
      </c>
      <c r="E3881" s="10">
        <v>4.1453172034011496</v>
      </c>
      <c r="F3881" s="4">
        <v>3.3934362101011302E-5</v>
      </c>
      <c r="G3881" s="10">
        <v>2.1512553842863101E-4</v>
      </c>
      <c r="H3881" s="10" t="s">
        <v>7775</v>
      </c>
      <c r="I3881" s="10" t="s">
        <v>18</v>
      </c>
    </row>
    <row r="3882" spans="1:9" x14ac:dyDescent="0.2">
      <c r="A3882" s="10" t="s">
        <v>7776</v>
      </c>
      <c r="B3882" s="10">
        <v>175.143302806707</v>
      </c>
      <c r="C3882" s="10">
        <v>5.7949528201584899</v>
      </c>
      <c r="D3882" s="10">
        <v>0.50899942858623004</v>
      </c>
      <c r="E3882" s="10">
        <v>11.384988852058701</v>
      </c>
      <c r="F3882" s="4">
        <v>4.9674597234074502E-30</v>
      </c>
      <c r="G3882" s="4">
        <v>3.88932112309433E-28</v>
      </c>
      <c r="H3882" s="10" t="s">
        <v>7777</v>
      </c>
      <c r="I3882" s="10" t="s">
        <v>18</v>
      </c>
    </row>
    <row r="3883" spans="1:9" x14ac:dyDescent="0.2">
      <c r="A3883" s="10" t="s">
        <v>7778</v>
      </c>
      <c r="B3883" s="10">
        <v>21.598327950976699</v>
      </c>
      <c r="C3883" s="10">
        <v>2.4575569284793102</v>
      </c>
      <c r="D3883" s="10">
        <v>0.84480698556197098</v>
      </c>
      <c r="E3883" s="10">
        <v>2.9090158704648101</v>
      </c>
      <c r="F3883" s="10">
        <v>3.62568453999269E-3</v>
      </c>
      <c r="G3883" s="10">
        <v>1.34976126057085E-2</v>
      </c>
      <c r="H3883" s="10" t="s">
        <v>7779</v>
      </c>
      <c r="I3883" s="10" t="s">
        <v>18</v>
      </c>
    </row>
    <row r="3884" spans="1:9" x14ac:dyDescent="0.2">
      <c r="A3884" s="10" t="s">
        <v>7780</v>
      </c>
      <c r="B3884" s="10">
        <v>426.912909990348</v>
      </c>
      <c r="C3884" s="10">
        <v>-1.0601520132721001</v>
      </c>
      <c r="D3884" s="10">
        <v>0.250545999139137</v>
      </c>
      <c r="E3884" s="10">
        <v>-4.2313667626492899</v>
      </c>
      <c r="F3884" s="4">
        <v>2.3227556913443601E-5</v>
      </c>
      <c r="G3884" s="10">
        <v>1.5233380768927001E-4</v>
      </c>
      <c r="H3884" s="10" t="s">
        <v>7781</v>
      </c>
      <c r="I3884" s="10" t="s">
        <v>18</v>
      </c>
    </row>
    <row r="3885" spans="1:9" x14ac:dyDescent="0.2">
      <c r="A3885" s="10" t="s">
        <v>7782</v>
      </c>
      <c r="B3885" s="10">
        <v>2100.8634226435902</v>
      </c>
      <c r="C3885" s="10">
        <v>-1.1523275136500299</v>
      </c>
      <c r="D3885" s="10">
        <v>0.203530676098092</v>
      </c>
      <c r="E3885" s="10">
        <v>-5.6616896073919802</v>
      </c>
      <c r="F3885" s="4">
        <v>1.4988976490248801E-8</v>
      </c>
      <c r="G3885" s="4">
        <v>1.7401135169570099E-7</v>
      </c>
      <c r="H3885" s="10" t="s">
        <v>7783</v>
      </c>
      <c r="I3885" s="10" t="s">
        <v>18</v>
      </c>
    </row>
    <row r="3886" spans="1:9" x14ac:dyDescent="0.2">
      <c r="A3886" s="10" t="s">
        <v>7784</v>
      </c>
      <c r="B3886" s="10">
        <v>410.07537822055298</v>
      </c>
      <c r="C3886" s="10">
        <v>1.2605199513468801</v>
      </c>
      <c r="D3886" s="10">
        <v>0.25345695302180599</v>
      </c>
      <c r="E3886" s="10">
        <v>4.9733098118576002</v>
      </c>
      <c r="F3886" s="4">
        <v>6.5819345156823699E-7</v>
      </c>
      <c r="G3886" s="4">
        <v>5.8132243030404402E-6</v>
      </c>
      <c r="H3886" s="10" t="s">
        <v>7785</v>
      </c>
      <c r="I3886" s="10" t="s">
        <v>18</v>
      </c>
    </row>
    <row r="3887" spans="1:9" x14ac:dyDescent="0.2">
      <c r="A3887" s="10" t="s">
        <v>7786</v>
      </c>
      <c r="B3887" s="10">
        <v>65.259124473778201</v>
      </c>
      <c r="C3887" s="10">
        <v>1.5382992095618699</v>
      </c>
      <c r="D3887" s="10">
        <v>0.46851857255886298</v>
      </c>
      <c r="E3887" s="10">
        <v>3.2833259974311999</v>
      </c>
      <c r="F3887" s="10">
        <v>1.0258995506181199E-3</v>
      </c>
      <c r="G3887" s="10">
        <v>4.5158387374574496E-3</v>
      </c>
      <c r="H3887" s="10" t="s">
        <v>7787</v>
      </c>
      <c r="I3887" s="10" t="s">
        <v>18</v>
      </c>
    </row>
    <row r="3888" spans="1:9" x14ac:dyDescent="0.2">
      <c r="A3888" s="10" t="s">
        <v>7788</v>
      </c>
      <c r="B3888" s="10">
        <v>1204.05539954856</v>
      </c>
      <c r="C3888" s="10">
        <v>-1.0090182779135799</v>
      </c>
      <c r="D3888" s="10">
        <v>0.238427628370946</v>
      </c>
      <c r="E3888" s="10">
        <v>-4.2319687731144402</v>
      </c>
      <c r="F3888" s="4">
        <v>2.3165457722416999E-5</v>
      </c>
      <c r="G3888" s="10">
        <v>1.5205714925625101E-4</v>
      </c>
      <c r="H3888" s="10" t="s">
        <v>7789</v>
      </c>
      <c r="I3888" s="10" t="s">
        <v>18</v>
      </c>
    </row>
    <row r="3889" spans="1:9" x14ac:dyDescent="0.2">
      <c r="A3889" s="10" t="s">
        <v>7790</v>
      </c>
      <c r="B3889" s="10">
        <v>2459.86334486653</v>
      </c>
      <c r="C3889" s="10">
        <v>-1.17595205747243</v>
      </c>
      <c r="D3889" s="10">
        <v>0.21439131995635</v>
      </c>
      <c r="E3889" s="10">
        <v>-5.4850730790400402</v>
      </c>
      <c r="F3889" s="4">
        <v>4.1329852540116997E-8</v>
      </c>
      <c r="G3889" s="4">
        <v>4.4865119209584402E-7</v>
      </c>
      <c r="H3889" s="10" t="s">
        <v>7791</v>
      </c>
      <c r="I3889" s="10" t="s">
        <v>18</v>
      </c>
    </row>
    <row r="3890" spans="1:9" x14ac:dyDescent="0.2">
      <c r="A3890" s="10" t="s">
        <v>7792</v>
      </c>
      <c r="B3890" s="10">
        <v>314.97769834158601</v>
      </c>
      <c r="C3890" s="10">
        <v>-1.18245101547841</v>
      </c>
      <c r="D3890" s="10">
        <v>0.29407624364545698</v>
      </c>
      <c r="E3890" s="10">
        <v>-4.0208994811018703</v>
      </c>
      <c r="F3890" s="4">
        <v>5.7976341790264299E-5</v>
      </c>
      <c r="G3890" s="10">
        <v>3.5041734355797E-4</v>
      </c>
      <c r="H3890" s="10" t="s">
        <v>7793</v>
      </c>
      <c r="I3890" s="10" t="s">
        <v>18</v>
      </c>
    </row>
    <row r="3891" spans="1:9" x14ac:dyDescent="0.2">
      <c r="A3891" s="10" t="s">
        <v>7794</v>
      </c>
      <c r="B3891" s="10">
        <v>3627.5003967269799</v>
      </c>
      <c r="C3891" s="10">
        <v>-4.1884462052971001</v>
      </c>
      <c r="D3891" s="10">
        <v>0.21972714827244699</v>
      </c>
      <c r="E3891" s="10">
        <v>-19.062033245449101</v>
      </c>
      <c r="F3891" s="4">
        <v>5.2206059920043004E-81</v>
      </c>
      <c r="G3891" s="4">
        <v>3.7433118806352902E-78</v>
      </c>
      <c r="H3891" s="10" t="s">
        <v>7795</v>
      </c>
      <c r="I3891" s="10" t="s">
        <v>18</v>
      </c>
    </row>
    <row r="3892" spans="1:9" x14ac:dyDescent="0.2">
      <c r="A3892" s="10" t="s">
        <v>7796</v>
      </c>
      <c r="B3892" s="10">
        <v>191.494867199314</v>
      </c>
      <c r="C3892" s="10">
        <v>5.17342127885364</v>
      </c>
      <c r="D3892" s="10">
        <v>0.43229894618419401</v>
      </c>
      <c r="E3892" s="10">
        <v>11.9672308353242</v>
      </c>
      <c r="F3892" s="4">
        <v>5.2760251015416098E-33</v>
      </c>
      <c r="G3892" s="4">
        <v>4.99152277575362E-31</v>
      </c>
      <c r="H3892" s="10" t="s">
        <v>7797</v>
      </c>
      <c r="I3892" s="10" t="s">
        <v>18</v>
      </c>
    </row>
    <row r="3893" spans="1:9" x14ac:dyDescent="0.2">
      <c r="A3893" s="10" t="s">
        <v>7798</v>
      </c>
      <c r="B3893" s="10">
        <v>569.16648648290197</v>
      </c>
      <c r="C3893" s="10">
        <v>-1.0073141640966401</v>
      </c>
      <c r="D3893" s="10">
        <v>0.28072692253407999</v>
      </c>
      <c r="E3893" s="10">
        <v>-3.5882349829640998</v>
      </c>
      <c r="F3893" s="10">
        <v>3.32924169813304E-4</v>
      </c>
      <c r="G3893" s="10">
        <v>1.6705681132418201E-3</v>
      </c>
      <c r="H3893" s="10" t="s">
        <v>7799</v>
      </c>
      <c r="I3893" s="10" t="s">
        <v>18</v>
      </c>
    </row>
    <row r="3894" spans="1:9" x14ac:dyDescent="0.2">
      <c r="A3894" s="10" t="s">
        <v>7800</v>
      </c>
      <c r="B3894" s="10">
        <v>88.9162150652908</v>
      </c>
      <c r="C3894" s="10">
        <v>3.6813528094258499</v>
      </c>
      <c r="D3894" s="10">
        <v>0.48543235642417198</v>
      </c>
      <c r="E3894" s="10">
        <v>7.5836576625087604</v>
      </c>
      <c r="F3894" s="4">
        <v>3.35946861353315E-14</v>
      </c>
      <c r="G3894" s="4">
        <v>7.7902503245053505E-13</v>
      </c>
      <c r="H3894" s="10" t="s">
        <v>7801</v>
      </c>
      <c r="I3894" s="10" t="s">
        <v>18</v>
      </c>
    </row>
    <row r="3895" spans="1:9" x14ac:dyDescent="0.2">
      <c r="A3895" s="10" t="s">
        <v>7802</v>
      </c>
      <c r="B3895" s="10">
        <v>57.4563656800782</v>
      </c>
      <c r="C3895" s="10">
        <v>-1.46673507839609</v>
      </c>
      <c r="D3895" s="10">
        <v>0.48477472752342898</v>
      </c>
      <c r="E3895" s="10">
        <v>-3.02560136723547</v>
      </c>
      <c r="F3895" s="10">
        <v>2.4813921272671901E-3</v>
      </c>
      <c r="G3895" s="10">
        <v>9.7002139586297303E-3</v>
      </c>
      <c r="H3895" s="10" t="s">
        <v>7803</v>
      </c>
      <c r="I3895" s="10" t="s">
        <v>18</v>
      </c>
    </row>
    <row r="3896" spans="1:9" x14ac:dyDescent="0.2">
      <c r="A3896" s="10" t="s">
        <v>7804</v>
      </c>
      <c r="B3896" s="10">
        <v>240.270633952303</v>
      </c>
      <c r="C3896" s="10">
        <v>-2.00576198647425</v>
      </c>
      <c r="D3896" s="10">
        <v>0.28965496941050201</v>
      </c>
      <c r="E3896" s="10">
        <v>-6.9246593302242596</v>
      </c>
      <c r="F3896" s="4">
        <v>4.37025920630591E-12</v>
      </c>
      <c r="G3896" s="4">
        <v>7.99707539249276E-11</v>
      </c>
      <c r="H3896" s="10" t="s">
        <v>7805</v>
      </c>
      <c r="I3896" s="10" t="s">
        <v>18</v>
      </c>
    </row>
    <row r="3897" spans="1:9" x14ac:dyDescent="0.2">
      <c r="A3897" s="10" t="s">
        <v>7806</v>
      </c>
      <c r="B3897" s="10">
        <v>22.677093288416501</v>
      </c>
      <c r="C3897" s="10">
        <v>-3.46437870588242</v>
      </c>
      <c r="D3897" s="10">
        <v>0.85711635729632996</v>
      </c>
      <c r="E3897" s="10">
        <v>-4.0419001182177698</v>
      </c>
      <c r="F3897" s="4">
        <v>5.3019817317905197E-5</v>
      </c>
      <c r="G3897" s="10">
        <v>3.2253426266152298E-4</v>
      </c>
      <c r="H3897" s="10" t="s">
        <v>7807</v>
      </c>
      <c r="I3897" s="10" t="s">
        <v>18</v>
      </c>
    </row>
    <row r="3898" spans="1:9" x14ac:dyDescent="0.2">
      <c r="A3898" s="10" t="s">
        <v>7808</v>
      </c>
      <c r="B3898" s="10">
        <v>268.69594628994099</v>
      </c>
      <c r="C3898" s="10">
        <v>2.0753731615137201</v>
      </c>
      <c r="D3898" s="10">
        <v>0.30202458914324598</v>
      </c>
      <c r="E3898" s="10">
        <v>6.8715370738552402</v>
      </c>
      <c r="F3898" s="4">
        <v>6.3513779748076603E-12</v>
      </c>
      <c r="G3898" s="4">
        <v>1.1400263219999E-10</v>
      </c>
      <c r="H3898" s="10" t="s">
        <v>7809</v>
      </c>
      <c r="I3898" s="10" t="s">
        <v>18</v>
      </c>
    </row>
    <row r="3899" spans="1:9" x14ac:dyDescent="0.2">
      <c r="A3899" s="10" t="s">
        <v>7810</v>
      </c>
      <c r="B3899" s="10">
        <v>377.63141375078601</v>
      </c>
      <c r="C3899" s="10">
        <v>2.3212812125639601</v>
      </c>
      <c r="D3899" s="10">
        <v>0.253129900913107</v>
      </c>
      <c r="E3899" s="10">
        <v>9.1703161269786104</v>
      </c>
      <c r="F3899" s="4">
        <v>4.7163388091733398E-20</v>
      </c>
      <c r="G3899" s="4">
        <v>1.8227813267169699E-18</v>
      </c>
      <c r="H3899" s="10" t="s">
        <v>7811</v>
      </c>
      <c r="I3899" s="10" t="s">
        <v>18</v>
      </c>
    </row>
    <row r="3900" spans="1:9" x14ac:dyDescent="0.2">
      <c r="A3900" s="10" t="s">
        <v>7812</v>
      </c>
      <c r="B3900" s="10">
        <v>936.36087717301598</v>
      </c>
      <c r="C3900" s="10">
        <v>-1.18969495497523</v>
      </c>
      <c r="D3900" s="10">
        <v>0.224201215610072</v>
      </c>
      <c r="E3900" s="10">
        <v>-5.3063715633207504</v>
      </c>
      <c r="F3900" s="4">
        <v>1.11828891086622E-7</v>
      </c>
      <c r="G3900" s="4">
        <v>1.12726666497861E-6</v>
      </c>
      <c r="H3900" s="10" t="s">
        <v>7813</v>
      </c>
      <c r="I3900" s="10" t="s">
        <v>18</v>
      </c>
    </row>
    <row r="3901" spans="1:9" x14ac:dyDescent="0.2">
      <c r="A3901" s="10" t="s">
        <v>7814</v>
      </c>
      <c r="B3901" s="10">
        <v>438.56421808263701</v>
      </c>
      <c r="C3901" s="10">
        <v>-1.3481717508953299</v>
      </c>
      <c r="D3901" s="10">
        <v>0.27860953099073299</v>
      </c>
      <c r="E3901" s="10">
        <v>-4.8389290420225004</v>
      </c>
      <c r="F3901" s="4">
        <v>1.30540638878897E-6</v>
      </c>
      <c r="G3901" s="4">
        <v>1.0971131361916399E-5</v>
      </c>
      <c r="H3901" s="10" t="s">
        <v>7815</v>
      </c>
      <c r="I3901" s="10" t="s">
        <v>18</v>
      </c>
    </row>
    <row r="3902" spans="1:9" x14ac:dyDescent="0.2">
      <c r="A3902" s="10" t="s">
        <v>7816</v>
      </c>
      <c r="B3902" s="10">
        <v>1376.1502662205701</v>
      </c>
      <c r="C3902" s="10">
        <v>-1.0185078860201999</v>
      </c>
      <c r="D3902" s="10">
        <v>0.21362080949940901</v>
      </c>
      <c r="E3902" s="10">
        <v>-4.7678308513432404</v>
      </c>
      <c r="F3902" s="4">
        <v>1.86220025519071E-6</v>
      </c>
      <c r="G3902" s="4">
        <v>1.51732566845638E-5</v>
      </c>
      <c r="H3902" s="10" t="s">
        <v>7817</v>
      </c>
      <c r="I3902" s="10" t="s">
        <v>18</v>
      </c>
    </row>
    <row r="3903" spans="1:9" x14ac:dyDescent="0.2">
      <c r="A3903" s="10" t="s">
        <v>7818</v>
      </c>
      <c r="B3903" s="10">
        <v>374.94029006773701</v>
      </c>
      <c r="C3903" s="10">
        <v>5.0706475281257104</v>
      </c>
      <c r="D3903" s="10">
        <v>0.33310766812828002</v>
      </c>
      <c r="E3903" s="10">
        <v>15.222247979512099</v>
      </c>
      <c r="F3903" s="4">
        <v>2.5173044209194401E-52</v>
      </c>
      <c r="G3903" s="4">
        <v>5.4435709172057195E-50</v>
      </c>
      <c r="H3903" s="10" t="s">
        <v>7819</v>
      </c>
      <c r="I3903" s="10" t="s">
        <v>18</v>
      </c>
    </row>
    <row r="3904" spans="1:9" x14ac:dyDescent="0.2">
      <c r="A3904" s="10" t="s">
        <v>7820</v>
      </c>
      <c r="B3904" s="10">
        <v>5.8732415284010102</v>
      </c>
      <c r="C3904" s="10">
        <v>5.9517568877012001</v>
      </c>
      <c r="D3904" s="10">
        <v>1.9562798399693699</v>
      </c>
      <c r="E3904" s="10">
        <v>3.04238522838041</v>
      </c>
      <c r="F3904" s="10">
        <v>2.3471130442924799E-3</v>
      </c>
      <c r="G3904" s="10">
        <v>9.2429237054252392E-3</v>
      </c>
      <c r="H3904" s="10" t="s">
        <v>7821</v>
      </c>
      <c r="I3904" s="10" t="s">
        <v>18</v>
      </c>
    </row>
    <row r="3905" spans="1:9" x14ac:dyDescent="0.2">
      <c r="A3905" s="10" t="s">
        <v>7822</v>
      </c>
      <c r="B3905" s="10">
        <v>4.1852481746806403</v>
      </c>
      <c r="C3905" s="10">
        <v>5.4642790107380197</v>
      </c>
      <c r="D3905" s="10">
        <v>2.1340325364361399</v>
      </c>
      <c r="E3905" s="10">
        <v>2.5605415650613401</v>
      </c>
      <c r="F3905" s="10">
        <v>1.04509161058062E-2</v>
      </c>
      <c r="G3905" s="10">
        <v>3.3022858765499499E-2</v>
      </c>
      <c r="H3905" s="10" t="s">
        <v>7823</v>
      </c>
      <c r="I3905" s="10" t="s">
        <v>18</v>
      </c>
    </row>
    <row r="3906" spans="1:9" x14ac:dyDescent="0.2">
      <c r="A3906" s="10" t="s">
        <v>7824</v>
      </c>
      <c r="B3906" s="10">
        <v>2001.2095703524999</v>
      </c>
      <c r="C3906" s="10">
        <v>-1.5734681370325401</v>
      </c>
      <c r="D3906" s="10">
        <v>0.23326109202794501</v>
      </c>
      <c r="E3906" s="10">
        <v>-6.7455233247559097</v>
      </c>
      <c r="F3906" s="4">
        <v>1.5247643735074199E-11</v>
      </c>
      <c r="G3906" s="4">
        <v>2.6277833576822701E-10</v>
      </c>
      <c r="H3906" s="10" t="s">
        <v>7825</v>
      </c>
      <c r="I3906" s="10" t="s">
        <v>18</v>
      </c>
    </row>
    <row r="3907" spans="1:9" x14ac:dyDescent="0.2">
      <c r="A3907" s="10" t="s">
        <v>7826</v>
      </c>
      <c r="B3907" s="10">
        <v>5.4686107947810703</v>
      </c>
      <c r="C3907" s="10">
        <v>5.8471691751158898</v>
      </c>
      <c r="D3907" s="10">
        <v>1.9869895306888601</v>
      </c>
      <c r="E3907" s="10">
        <v>2.9427277219164698</v>
      </c>
      <c r="F3907" s="10">
        <v>3.2533441457431398E-3</v>
      </c>
      <c r="G3907" s="10">
        <v>1.22877554670174E-2</v>
      </c>
      <c r="H3907" s="10" t="s">
        <v>7827</v>
      </c>
      <c r="I3907" s="10" t="s">
        <v>18</v>
      </c>
    </row>
    <row r="3908" spans="1:9" x14ac:dyDescent="0.2">
      <c r="A3908" s="10" t="s">
        <v>7828</v>
      </c>
      <c r="B3908" s="10">
        <v>320.71073773477099</v>
      </c>
      <c r="C3908" s="10">
        <v>1.9007979588387101</v>
      </c>
      <c r="D3908" s="10">
        <v>0.276038977653838</v>
      </c>
      <c r="E3908" s="10">
        <v>6.8859766653040104</v>
      </c>
      <c r="F3908" s="4">
        <v>5.7392398713490898E-12</v>
      </c>
      <c r="G3908" s="4">
        <v>1.0376713256446501E-10</v>
      </c>
      <c r="H3908" s="10" t="s">
        <v>7829</v>
      </c>
      <c r="I3908" s="10" t="s">
        <v>18</v>
      </c>
    </row>
    <row r="3909" spans="1:9" x14ac:dyDescent="0.2">
      <c r="A3909" s="10" t="s">
        <v>7830</v>
      </c>
      <c r="B3909" s="10">
        <v>137.14874448814001</v>
      </c>
      <c r="C3909" s="10">
        <v>1.1764618693453901</v>
      </c>
      <c r="D3909" s="10">
        <v>0.34553057655998598</v>
      </c>
      <c r="E3909" s="10">
        <v>3.4047981543571302</v>
      </c>
      <c r="F3909" s="10">
        <v>6.6212975116404895E-4</v>
      </c>
      <c r="G3909" s="10">
        <v>3.0776269754293501E-3</v>
      </c>
      <c r="H3909" s="10" t="s">
        <v>7831</v>
      </c>
      <c r="I3909" s="10" t="s">
        <v>18</v>
      </c>
    </row>
    <row r="3910" spans="1:9" x14ac:dyDescent="0.2">
      <c r="A3910" s="10" t="s">
        <v>7832</v>
      </c>
      <c r="B3910" s="10">
        <v>1578.95863036843</v>
      </c>
      <c r="C3910" s="10">
        <v>-1.5634550497341499</v>
      </c>
      <c r="D3910" s="10">
        <v>0.20285365536179401</v>
      </c>
      <c r="E3910" s="10">
        <v>-7.7073052834354598</v>
      </c>
      <c r="F3910" s="4">
        <v>1.2850215309567101E-14</v>
      </c>
      <c r="G3910" s="4">
        <v>3.0632529880995199E-13</v>
      </c>
      <c r="H3910" s="10" t="s">
        <v>7833</v>
      </c>
      <c r="I3910" s="10" t="s">
        <v>18</v>
      </c>
    </row>
    <row r="3911" spans="1:9" x14ac:dyDescent="0.2">
      <c r="A3911" s="10" t="s">
        <v>7834</v>
      </c>
      <c r="B3911" s="10">
        <v>1655.2773556299301</v>
      </c>
      <c r="C3911" s="10">
        <v>-2.23020985991554</v>
      </c>
      <c r="D3911" s="10">
        <v>0.24390239052819199</v>
      </c>
      <c r="E3911" s="10">
        <v>-9.1438622437681794</v>
      </c>
      <c r="F3911" s="4">
        <v>6.0260827136400696E-20</v>
      </c>
      <c r="G3911" s="4">
        <v>2.30284257641726E-18</v>
      </c>
      <c r="H3911" s="10" t="s">
        <v>7835</v>
      </c>
      <c r="I3911" s="10" t="s">
        <v>18</v>
      </c>
    </row>
    <row r="3912" spans="1:9" x14ac:dyDescent="0.2">
      <c r="A3912" s="10" t="s">
        <v>7836</v>
      </c>
      <c r="B3912" s="10">
        <v>481.77210186308997</v>
      </c>
      <c r="C3912" s="10">
        <v>7.04829327329952</v>
      </c>
      <c r="D3912" s="10">
        <v>0.454120134508048</v>
      </c>
      <c r="E3912" s="10">
        <v>15.5207680472811</v>
      </c>
      <c r="F3912" s="4">
        <v>2.5102825185451299E-54</v>
      </c>
      <c r="G3912" s="4">
        <v>5.9476232854607899E-52</v>
      </c>
      <c r="H3912" s="10" t="s">
        <v>7837</v>
      </c>
      <c r="I3912" s="10" t="s">
        <v>18</v>
      </c>
    </row>
    <row r="3913" spans="1:9" x14ac:dyDescent="0.2">
      <c r="A3913" s="10" t="s">
        <v>7838</v>
      </c>
      <c r="B3913" s="10">
        <v>734.53036129659699</v>
      </c>
      <c r="C3913" s="10">
        <v>2.4377282852034101</v>
      </c>
      <c r="D3913" s="10">
        <v>0.26199688163614498</v>
      </c>
      <c r="E3913" s="10">
        <v>9.3044171746626407</v>
      </c>
      <c r="F3913" s="4">
        <v>1.34729206577506E-20</v>
      </c>
      <c r="G3913" s="4">
        <v>5.5202506640861601E-19</v>
      </c>
      <c r="H3913" s="10" t="s">
        <v>7839</v>
      </c>
      <c r="I3913" s="10" t="s">
        <v>18</v>
      </c>
    </row>
    <row r="3914" spans="1:9" x14ac:dyDescent="0.2">
      <c r="A3914" s="10" t="s">
        <v>7840</v>
      </c>
      <c r="B3914" s="10">
        <v>45.509567189454899</v>
      </c>
      <c r="C3914" s="10">
        <v>5.8530390642404502</v>
      </c>
      <c r="D3914" s="10">
        <v>0.96688424110827498</v>
      </c>
      <c r="E3914" s="10">
        <v>6.0535054925825396</v>
      </c>
      <c r="F3914" s="4">
        <v>1.4172723770565701E-9</v>
      </c>
      <c r="G3914" s="4">
        <v>1.8874105795532899E-8</v>
      </c>
      <c r="H3914" s="10" t="s">
        <v>7841</v>
      </c>
      <c r="I3914" s="10" t="s">
        <v>18</v>
      </c>
    </row>
    <row r="3915" spans="1:9" x14ac:dyDescent="0.2">
      <c r="A3915" s="10" t="s">
        <v>7842</v>
      </c>
      <c r="B3915" s="10">
        <v>103.94615836876299</v>
      </c>
      <c r="C3915" s="10">
        <v>4.7937616946708896</v>
      </c>
      <c r="D3915" s="10">
        <v>0.52796323650440202</v>
      </c>
      <c r="E3915" s="10">
        <v>9.0797263203588798</v>
      </c>
      <c r="F3915" s="4">
        <v>1.0884819889844001E-19</v>
      </c>
      <c r="G3915" s="4">
        <v>4.06829475361565E-18</v>
      </c>
      <c r="H3915" s="10" t="s">
        <v>7843</v>
      </c>
      <c r="I3915" s="10" t="s">
        <v>18</v>
      </c>
    </row>
    <row r="3916" spans="1:9" x14ac:dyDescent="0.2">
      <c r="A3916" s="10" t="s">
        <v>7844</v>
      </c>
      <c r="B3916" s="10">
        <v>114.463795843138</v>
      </c>
      <c r="C3916" s="10">
        <v>1.56681966704127</v>
      </c>
      <c r="D3916" s="10">
        <v>0.357276195753013</v>
      </c>
      <c r="E3916" s="10">
        <v>4.3854577653542304</v>
      </c>
      <c r="F3916" s="4">
        <v>1.1574211457477299E-5</v>
      </c>
      <c r="G3916" s="4">
        <v>8.1090907580839595E-5</v>
      </c>
      <c r="H3916" s="10" t="s">
        <v>7845</v>
      </c>
      <c r="I3916" s="10" t="s">
        <v>18</v>
      </c>
    </row>
    <row r="3917" spans="1:9" x14ac:dyDescent="0.2">
      <c r="A3917" s="10" t="s">
        <v>7846</v>
      </c>
      <c r="B3917" s="10">
        <v>3536.6180274571502</v>
      </c>
      <c r="C3917" s="10">
        <v>2.8010584916361698</v>
      </c>
      <c r="D3917" s="10">
        <v>0.22038070943906399</v>
      </c>
      <c r="E3917" s="10">
        <v>12.710089275806901</v>
      </c>
      <c r="F3917" s="4">
        <v>5.19750705986465E-37</v>
      </c>
      <c r="G3917" s="4">
        <v>6.1572380373970399E-35</v>
      </c>
      <c r="H3917" s="10" t="s">
        <v>7847</v>
      </c>
      <c r="I3917" s="10" t="s">
        <v>18</v>
      </c>
    </row>
    <row r="3918" spans="1:9" x14ac:dyDescent="0.2">
      <c r="A3918" s="10" t="s">
        <v>7848</v>
      </c>
      <c r="B3918" s="10">
        <v>150.16433180386201</v>
      </c>
      <c r="C3918" s="10">
        <v>1.1603257991946001</v>
      </c>
      <c r="D3918" s="10">
        <v>0.318767663203192</v>
      </c>
      <c r="E3918" s="10">
        <v>3.6400360925410902</v>
      </c>
      <c r="F3918" s="10">
        <v>2.72599827559439E-4</v>
      </c>
      <c r="G3918" s="10">
        <v>1.39904454728047E-3</v>
      </c>
      <c r="H3918" s="10" t="s">
        <v>7849</v>
      </c>
      <c r="I3918" s="10" t="s">
        <v>18</v>
      </c>
    </row>
    <row r="3919" spans="1:9" x14ac:dyDescent="0.2">
      <c r="A3919" s="10" t="s">
        <v>7850</v>
      </c>
      <c r="B3919" s="10">
        <v>29.849624171676901</v>
      </c>
      <c r="C3919" s="10">
        <v>3.9593956661569698</v>
      </c>
      <c r="D3919" s="10">
        <v>0.80833529799496096</v>
      </c>
      <c r="E3919" s="10">
        <v>4.8982095375249202</v>
      </c>
      <c r="F3919" s="4">
        <v>9.6713870784902595E-7</v>
      </c>
      <c r="G3919" s="4">
        <v>8.3312135228461602E-6</v>
      </c>
      <c r="H3919" s="10" t="s">
        <v>7851</v>
      </c>
      <c r="I3919" s="10" t="s">
        <v>18</v>
      </c>
    </row>
    <row r="3920" spans="1:9" x14ac:dyDescent="0.2">
      <c r="A3920" s="10" t="s">
        <v>7852</v>
      </c>
      <c r="B3920" s="10">
        <v>265.53538047396302</v>
      </c>
      <c r="C3920" s="10">
        <v>-1.48650490948117</v>
      </c>
      <c r="D3920" s="10">
        <v>0.26758416526593098</v>
      </c>
      <c r="E3920" s="10">
        <v>-5.5552798051553101</v>
      </c>
      <c r="F3920" s="4">
        <v>2.7716741279685799E-8</v>
      </c>
      <c r="G3920" s="4">
        <v>3.10015619723974E-7</v>
      </c>
      <c r="H3920" s="10" t="s">
        <v>7853</v>
      </c>
      <c r="I3920" s="10" t="s">
        <v>18</v>
      </c>
    </row>
    <row r="3921" spans="1:9" x14ac:dyDescent="0.2">
      <c r="A3921" s="10" t="s">
        <v>7854</v>
      </c>
      <c r="B3921" s="10">
        <v>98.730303135727098</v>
      </c>
      <c r="C3921" s="10">
        <v>-1.8618887146985399</v>
      </c>
      <c r="D3921" s="10">
        <v>0.37941808925329501</v>
      </c>
      <c r="E3921" s="10">
        <v>-4.9072217889315297</v>
      </c>
      <c r="F3921" s="4">
        <v>9.2375553489307301E-7</v>
      </c>
      <c r="G3921" s="4">
        <v>7.98526873706585E-6</v>
      </c>
      <c r="H3921" s="10" t="s">
        <v>7855</v>
      </c>
      <c r="I3921" s="10" t="s">
        <v>18</v>
      </c>
    </row>
    <row r="3922" spans="1:9" x14ac:dyDescent="0.2">
      <c r="A3922" s="10" t="s">
        <v>7856</v>
      </c>
      <c r="B3922" s="10">
        <v>1629.73390982915</v>
      </c>
      <c r="C3922" s="10">
        <v>-1.4087039136533599</v>
      </c>
      <c r="D3922" s="10">
        <v>0.24103620457423</v>
      </c>
      <c r="E3922" s="10">
        <v>-5.8443664765702801</v>
      </c>
      <c r="F3922" s="4">
        <v>5.0849971556072899E-9</v>
      </c>
      <c r="G3922" s="4">
        <v>6.3034994312480301E-8</v>
      </c>
      <c r="H3922" s="10" t="s">
        <v>7857</v>
      </c>
      <c r="I3922" s="10" t="s">
        <v>18</v>
      </c>
    </row>
    <row r="3923" spans="1:9" x14ac:dyDescent="0.2">
      <c r="A3923" s="10" t="s">
        <v>7858</v>
      </c>
      <c r="B3923" s="10">
        <v>706.16219843586396</v>
      </c>
      <c r="C3923" s="10">
        <v>3.3435494415295102</v>
      </c>
      <c r="D3923" s="10">
        <v>0.25803626496173998</v>
      </c>
      <c r="E3923" s="10">
        <v>12.957672604760701</v>
      </c>
      <c r="F3923" s="4">
        <v>2.1260051948102699E-38</v>
      </c>
      <c r="G3923" s="4">
        <v>2.7068814739717499E-36</v>
      </c>
      <c r="H3923" s="10" t="s">
        <v>7859</v>
      </c>
      <c r="I3923" s="10" t="s">
        <v>18</v>
      </c>
    </row>
    <row r="3924" spans="1:9" x14ac:dyDescent="0.2">
      <c r="A3924" s="10" t="s">
        <v>7860</v>
      </c>
      <c r="B3924" s="10">
        <v>2001.1174709096999</v>
      </c>
      <c r="C3924" s="10">
        <v>-1.4838385372665599</v>
      </c>
      <c r="D3924" s="10">
        <v>0.22026751728376301</v>
      </c>
      <c r="E3924" s="10">
        <v>-6.7365290877409798</v>
      </c>
      <c r="F3924" s="4">
        <v>1.6221483171021999E-11</v>
      </c>
      <c r="G3924" s="4">
        <v>2.7920830825068602E-10</v>
      </c>
      <c r="H3924" s="10" t="s">
        <v>7861</v>
      </c>
      <c r="I3924" s="10" t="s">
        <v>18</v>
      </c>
    </row>
    <row r="3925" spans="1:9" x14ac:dyDescent="0.2">
      <c r="A3925" s="10" t="s">
        <v>7862</v>
      </c>
      <c r="B3925" s="10">
        <v>280.52386324258498</v>
      </c>
      <c r="C3925" s="10">
        <v>-2.1453363033415802</v>
      </c>
      <c r="D3925" s="10">
        <v>0.29936487278720098</v>
      </c>
      <c r="E3925" s="10">
        <v>-7.16629270284011</v>
      </c>
      <c r="F3925" s="4">
        <v>7.7055933143113399E-13</v>
      </c>
      <c r="G3925" s="4">
        <v>1.5494782364209699E-11</v>
      </c>
      <c r="H3925" s="10" t="s">
        <v>7863</v>
      </c>
      <c r="I3925" s="10" t="s">
        <v>18</v>
      </c>
    </row>
    <row r="3926" spans="1:9" x14ac:dyDescent="0.2">
      <c r="A3926" s="10" t="s">
        <v>7864</v>
      </c>
      <c r="B3926" s="10">
        <v>528.50842876591003</v>
      </c>
      <c r="C3926" s="10">
        <v>-1.9790983487898699</v>
      </c>
      <c r="D3926" s="10">
        <v>0.22673995446029099</v>
      </c>
      <c r="E3926" s="10">
        <v>-8.7284940737538701</v>
      </c>
      <c r="F3926" s="4">
        <v>2.5808597040104499E-18</v>
      </c>
      <c r="G3926" s="4">
        <v>8.5966606791164598E-17</v>
      </c>
      <c r="H3926" s="10" t="s">
        <v>7865</v>
      </c>
      <c r="I3926" s="10" t="s">
        <v>18</v>
      </c>
    </row>
    <row r="3927" spans="1:9" x14ac:dyDescent="0.2">
      <c r="A3927" s="10" t="s">
        <v>7866</v>
      </c>
      <c r="B3927" s="10">
        <v>2573.93543893271</v>
      </c>
      <c r="C3927" s="10">
        <v>-1.1230936841019501</v>
      </c>
      <c r="D3927" s="10">
        <v>0.19936751341825201</v>
      </c>
      <c r="E3927" s="10">
        <v>-5.6332833010051298</v>
      </c>
      <c r="F3927" s="4">
        <v>1.7681064777107798E-8</v>
      </c>
      <c r="G3927" s="4">
        <v>2.0318682917834601E-7</v>
      </c>
      <c r="H3927" s="10" t="s">
        <v>7867</v>
      </c>
      <c r="I3927" s="10" t="s">
        <v>18</v>
      </c>
    </row>
    <row r="3928" spans="1:9" x14ac:dyDescent="0.2">
      <c r="A3928" s="10" t="s">
        <v>7868</v>
      </c>
      <c r="B3928" s="10">
        <v>1061.3913017090599</v>
      </c>
      <c r="C3928" s="10">
        <v>-1.07918364450089</v>
      </c>
      <c r="D3928" s="10">
        <v>0.204953317283043</v>
      </c>
      <c r="E3928" s="10">
        <v>-5.26550952581327</v>
      </c>
      <c r="F3928" s="4">
        <v>1.3980106993621901E-7</v>
      </c>
      <c r="G3928" s="4">
        <v>1.3841423519448299E-6</v>
      </c>
      <c r="H3928" s="10" t="s">
        <v>7869</v>
      </c>
      <c r="I3928" s="10" t="s">
        <v>18</v>
      </c>
    </row>
    <row r="3929" spans="1:9" x14ac:dyDescent="0.2">
      <c r="A3929" s="10" t="s">
        <v>7870</v>
      </c>
      <c r="B3929" s="10">
        <v>529.73467052631304</v>
      </c>
      <c r="C3929" s="10">
        <v>-4.3104818087512804</v>
      </c>
      <c r="D3929" s="10">
        <v>0.322257885668082</v>
      </c>
      <c r="E3929" s="10">
        <v>-13.3758769000023</v>
      </c>
      <c r="F3929" s="4">
        <v>8.3661176711538505E-41</v>
      </c>
      <c r="G3929" s="4">
        <v>1.1997453062417301E-38</v>
      </c>
      <c r="H3929" s="10" t="s">
        <v>7871</v>
      </c>
      <c r="I3929" s="10" t="s">
        <v>18</v>
      </c>
    </row>
    <row r="3930" spans="1:9" x14ac:dyDescent="0.2">
      <c r="A3930" s="10" t="s">
        <v>7872</v>
      </c>
      <c r="B3930" s="10">
        <v>140.28309764478701</v>
      </c>
      <c r="C3930" s="10">
        <v>-1.4537006980992599</v>
      </c>
      <c r="D3930" s="10">
        <v>0.32989358706723598</v>
      </c>
      <c r="E3930" s="10">
        <v>-4.4065745897721298</v>
      </c>
      <c r="F3930" s="4">
        <v>1.0501815513559401E-5</v>
      </c>
      <c r="G3930" s="4">
        <v>7.4303549025695305E-5</v>
      </c>
      <c r="H3930" s="10" t="s">
        <v>7873</v>
      </c>
      <c r="I3930" s="10" t="s">
        <v>18</v>
      </c>
    </row>
    <row r="3931" spans="1:9" x14ac:dyDescent="0.2">
      <c r="A3931" s="10" t="s">
        <v>7874</v>
      </c>
      <c r="B3931" s="10">
        <v>15787.8247942501</v>
      </c>
      <c r="C3931" s="10">
        <v>-1.08318986266675</v>
      </c>
      <c r="D3931" s="10">
        <v>0.187233748376299</v>
      </c>
      <c r="E3931" s="10">
        <v>-5.7852276742853999</v>
      </c>
      <c r="F3931" s="4">
        <v>7.2414184696493697E-9</v>
      </c>
      <c r="G3931" s="4">
        <v>8.7809047192940104E-8</v>
      </c>
      <c r="H3931" s="10" t="s">
        <v>7875</v>
      </c>
      <c r="I3931" s="10" t="s">
        <v>18</v>
      </c>
    </row>
    <row r="3932" spans="1:9" x14ac:dyDescent="0.2">
      <c r="A3932" s="10" t="s">
        <v>7876</v>
      </c>
      <c r="B3932" s="10">
        <v>806.27734981389995</v>
      </c>
      <c r="C3932" s="10">
        <v>-1.41454668071172</v>
      </c>
      <c r="D3932" s="10">
        <v>0.25140121084369998</v>
      </c>
      <c r="E3932" s="10">
        <v>-5.6266502295852696</v>
      </c>
      <c r="F3932" s="4">
        <v>1.8374276747608599E-8</v>
      </c>
      <c r="G3932" s="4">
        <v>2.10708719925123E-7</v>
      </c>
      <c r="H3932" s="10" t="s">
        <v>7877</v>
      </c>
      <c r="I3932" s="10" t="s">
        <v>18</v>
      </c>
    </row>
    <row r="3933" spans="1:9" x14ac:dyDescent="0.2">
      <c r="A3933" s="10" t="s">
        <v>7878</v>
      </c>
      <c r="B3933" s="10">
        <v>3351.7841969527899</v>
      </c>
      <c r="C3933" s="10">
        <v>-1.5684343433966801</v>
      </c>
      <c r="D3933" s="10">
        <v>0.20370450566811499</v>
      </c>
      <c r="E3933" s="10">
        <v>-7.6995564641660197</v>
      </c>
      <c r="F3933" s="4">
        <v>1.3653932832528E-14</v>
      </c>
      <c r="G3933" s="4">
        <v>3.23784776229669E-13</v>
      </c>
      <c r="H3933" s="10" t="s">
        <v>7879</v>
      </c>
      <c r="I3933" s="10" t="s">
        <v>18</v>
      </c>
    </row>
    <row r="3934" spans="1:9" x14ac:dyDescent="0.2">
      <c r="A3934" s="10" t="s">
        <v>7880</v>
      </c>
      <c r="B3934" s="10">
        <v>6573.9298588653501</v>
      </c>
      <c r="C3934" s="10">
        <v>-2.3850769269120899</v>
      </c>
      <c r="D3934" s="10">
        <v>0.21733488588477101</v>
      </c>
      <c r="E3934" s="10">
        <v>-10.9742019427872</v>
      </c>
      <c r="F3934" s="4">
        <v>5.08529071908163E-28</v>
      </c>
      <c r="G3934" s="4">
        <v>3.4381865067696599E-26</v>
      </c>
      <c r="H3934" s="10" t="s">
        <v>7881</v>
      </c>
      <c r="I3934" s="10" t="s">
        <v>18</v>
      </c>
    </row>
    <row r="3935" spans="1:9" x14ac:dyDescent="0.2">
      <c r="A3935" s="10" t="s">
        <v>7882</v>
      </c>
      <c r="B3935" s="10">
        <v>1074.0641331074801</v>
      </c>
      <c r="C3935" s="10">
        <v>-1.2599054110936001</v>
      </c>
      <c r="D3935" s="10">
        <v>0.218612047106789</v>
      </c>
      <c r="E3935" s="10">
        <v>-5.7632021097088</v>
      </c>
      <c r="F3935" s="4">
        <v>8.2532861759457398E-9</v>
      </c>
      <c r="G3935" s="4">
        <v>9.9327424220845196E-8</v>
      </c>
      <c r="H3935" s="10" t="s">
        <v>7883</v>
      </c>
      <c r="I3935" s="10" t="s">
        <v>18</v>
      </c>
    </row>
    <row r="3936" spans="1:9" x14ac:dyDescent="0.2">
      <c r="A3936" s="10" t="s">
        <v>7884</v>
      </c>
      <c r="B3936" s="10">
        <v>909.02110787376398</v>
      </c>
      <c r="C3936" s="10">
        <v>-1.22606531537031</v>
      </c>
      <c r="D3936" s="10">
        <v>0.21378687710702801</v>
      </c>
      <c r="E3936" s="10">
        <v>-5.7349886576831599</v>
      </c>
      <c r="F3936" s="4">
        <v>9.7518871923181298E-9</v>
      </c>
      <c r="G3936" s="4">
        <v>1.15828103892368E-7</v>
      </c>
      <c r="H3936" s="10" t="s">
        <v>7885</v>
      </c>
      <c r="I3936" s="10" t="s">
        <v>18</v>
      </c>
    </row>
    <row r="3937" spans="1:9" x14ac:dyDescent="0.2">
      <c r="A3937" s="10" t="s">
        <v>7886</v>
      </c>
      <c r="B3937" s="10">
        <v>162.93777619859</v>
      </c>
      <c r="C3937" s="10">
        <v>-1.9755494374087399</v>
      </c>
      <c r="D3937" s="10">
        <v>0.33560042116435301</v>
      </c>
      <c r="E3937" s="10">
        <v>-5.8866119135209702</v>
      </c>
      <c r="F3937" s="4">
        <v>3.9419286520073203E-9</v>
      </c>
      <c r="G3937" s="4">
        <v>4.9655908451799997E-8</v>
      </c>
      <c r="H3937" s="10" t="s">
        <v>7887</v>
      </c>
      <c r="I3937" s="10" t="s">
        <v>18</v>
      </c>
    </row>
    <row r="3938" spans="1:9" x14ac:dyDescent="0.2">
      <c r="A3938" s="10" t="s">
        <v>7888</v>
      </c>
      <c r="B3938" s="10">
        <v>221.29655251361001</v>
      </c>
      <c r="C3938" s="10">
        <v>1.35318323506744</v>
      </c>
      <c r="D3938" s="10">
        <v>0.30292379655995899</v>
      </c>
      <c r="E3938" s="10">
        <v>4.4670747245160802</v>
      </c>
      <c r="F3938" s="4">
        <v>7.9296437782633405E-6</v>
      </c>
      <c r="G3938" s="4">
        <v>5.7447222554198697E-5</v>
      </c>
      <c r="H3938" s="10" t="s">
        <v>7889</v>
      </c>
      <c r="I3938" s="10" t="s">
        <v>18</v>
      </c>
    </row>
    <row r="3939" spans="1:9" x14ac:dyDescent="0.2">
      <c r="A3939" s="10" t="s">
        <v>7890</v>
      </c>
      <c r="B3939" s="10">
        <v>7968.9987099883301</v>
      </c>
      <c r="C3939" s="10">
        <v>-1.0130983355415899</v>
      </c>
      <c r="D3939" s="10">
        <v>0.207964400759758</v>
      </c>
      <c r="E3939" s="10">
        <v>-4.8714988326868998</v>
      </c>
      <c r="F3939" s="4">
        <v>1.10754817574677E-6</v>
      </c>
      <c r="G3939" s="4">
        <v>9.41865329106501E-6</v>
      </c>
      <c r="H3939" s="10" t="s">
        <v>7891</v>
      </c>
      <c r="I3939" s="10" t="s">
        <v>18</v>
      </c>
    </row>
    <row r="3940" spans="1:9" x14ac:dyDescent="0.2">
      <c r="A3940" s="10" t="s">
        <v>7892</v>
      </c>
      <c r="B3940" s="10">
        <v>88.307792517407094</v>
      </c>
      <c r="C3940" s="10">
        <v>5.3876654854389701</v>
      </c>
      <c r="D3940" s="10">
        <v>0.63707818312589803</v>
      </c>
      <c r="E3940" s="10">
        <v>8.4568356414337806</v>
      </c>
      <c r="F3940" s="4">
        <v>2.7473071193859599E-17</v>
      </c>
      <c r="G3940" s="4">
        <v>8.4297158876023801E-16</v>
      </c>
      <c r="H3940" s="10" t="s">
        <v>7893</v>
      </c>
      <c r="I3940" s="10" t="s">
        <v>18</v>
      </c>
    </row>
    <row r="3941" spans="1:9" x14ac:dyDescent="0.2">
      <c r="A3941" s="10" t="s">
        <v>7894</v>
      </c>
      <c r="B3941" s="10">
        <v>983.96118275275705</v>
      </c>
      <c r="C3941" s="10">
        <v>-1.20425585514636</v>
      </c>
      <c r="D3941" s="10">
        <v>0.227501323916286</v>
      </c>
      <c r="E3941" s="10">
        <v>-5.2934015258279796</v>
      </c>
      <c r="F3941" s="4">
        <v>1.2006190587763599E-7</v>
      </c>
      <c r="G3941" s="4">
        <v>1.2053525237464799E-6</v>
      </c>
      <c r="H3941" s="10" t="s">
        <v>7895</v>
      </c>
      <c r="I3941" s="10" t="s">
        <v>18</v>
      </c>
    </row>
    <row r="3942" spans="1:9" x14ac:dyDescent="0.2">
      <c r="A3942" s="10" t="s">
        <v>7896</v>
      </c>
      <c r="B3942" s="10">
        <v>573.19551890327102</v>
      </c>
      <c r="C3942" s="10">
        <v>1.8790330818877801</v>
      </c>
      <c r="D3942" s="10">
        <v>0.25559120234953198</v>
      </c>
      <c r="E3942" s="10">
        <v>7.3517126748287502</v>
      </c>
      <c r="F3942" s="4">
        <v>1.95683099227726E-13</v>
      </c>
      <c r="G3942" s="4">
        <v>4.2282136436620597E-12</v>
      </c>
      <c r="H3942" s="10" t="s">
        <v>7897</v>
      </c>
      <c r="I3942" s="10" t="s">
        <v>18</v>
      </c>
    </row>
    <row r="3943" spans="1:9" x14ac:dyDescent="0.2">
      <c r="A3943" s="10" t="s">
        <v>7898</v>
      </c>
      <c r="B3943" s="10">
        <v>203.245765635179</v>
      </c>
      <c r="C3943" s="10">
        <v>3.6781987102855598</v>
      </c>
      <c r="D3943" s="10">
        <v>0.37172028200718699</v>
      </c>
      <c r="E3943" s="10">
        <v>9.8950713434959692</v>
      </c>
      <c r="F3943" s="4">
        <v>4.3729850649312702E-23</v>
      </c>
      <c r="G3943" s="4">
        <v>2.1238988246734798E-21</v>
      </c>
      <c r="H3943" s="10" t="s">
        <v>7899</v>
      </c>
      <c r="I3943" s="10" t="s">
        <v>18</v>
      </c>
    </row>
    <row r="3944" spans="1:9" x14ac:dyDescent="0.2">
      <c r="A3944" s="10" t="s">
        <v>7900</v>
      </c>
      <c r="B3944" s="10">
        <v>2104.8441549335798</v>
      </c>
      <c r="C3944" s="10">
        <v>2.79317046381128</v>
      </c>
      <c r="D3944" s="10">
        <v>0.21746168175425501</v>
      </c>
      <c r="E3944" s="10">
        <v>12.844425929565601</v>
      </c>
      <c r="F3944" s="4">
        <v>9.2435070365887597E-38</v>
      </c>
      <c r="G3944" s="4">
        <v>1.1396282182169E-35</v>
      </c>
      <c r="H3944" s="10" t="s">
        <v>7901</v>
      </c>
      <c r="I3944" s="10" t="s">
        <v>18</v>
      </c>
    </row>
    <row r="3945" spans="1:9" x14ac:dyDescent="0.2">
      <c r="A3945" s="10" t="s">
        <v>7902</v>
      </c>
      <c r="B3945" s="10">
        <v>124.509006114909</v>
      </c>
      <c r="C3945" s="10">
        <v>1.0115520878875901</v>
      </c>
      <c r="D3945" s="10">
        <v>0.35389611207323202</v>
      </c>
      <c r="E3945" s="10">
        <v>2.8583306043166399</v>
      </c>
      <c r="F3945" s="10">
        <v>4.2587642611099799E-3</v>
      </c>
      <c r="G3945" s="10">
        <v>1.54491478927524E-2</v>
      </c>
      <c r="H3945" s="10" t="s">
        <v>7903</v>
      </c>
      <c r="I3945" s="10" t="s">
        <v>18</v>
      </c>
    </row>
    <row r="3946" spans="1:9" x14ac:dyDescent="0.2">
      <c r="A3946" s="10" t="s">
        <v>7904</v>
      </c>
      <c r="B3946" s="10">
        <v>73.535453349036999</v>
      </c>
      <c r="C3946" s="10">
        <v>1.09407220365261</v>
      </c>
      <c r="D3946" s="10">
        <v>0.42600001464699</v>
      </c>
      <c r="E3946" s="10">
        <v>2.5682445212102301</v>
      </c>
      <c r="F3946" s="10">
        <v>1.0221502607917101E-2</v>
      </c>
      <c r="G3946" s="10">
        <v>3.2410715880125202E-2</v>
      </c>
      <c r="H3946" s="10" t="s">
        <v>7905</v>
      </c>
      <c r="I3946" s="10" t="s">
        <v>18</v>
      </c>
    </row>
    <row r="3947" spans="1:9" x14ac:dyDescent="0.2">
      <c r="A3947" s="10" t="s">
        <v>7906</v>
      </c>
      <c r="B3947" s="10">
        <v>678.91739546383405</v>
      </c>
      <c r="C3947" s="10">
        <v>1.8568703127728601</v>
      </c>
      <c r="D3947" s="10">
        <v>0.231178442374537</v>
      </c>
      <c r="E3947" s="10">
        <v>8.03219493002943</v>
      </c>
      <c r="F3947" s="4">
        <v>9.5744087075776507E-16</v>
      </c>
      <c r="G3947" s="4">
        <v>2.56261212235136E-14</v>
      </c>
      <c r="H3947" s="10" t="s">
        <v>7907</v>
      </c>
      <c r="I3947" s="10" t="s">
        <v>18</v>
      </c>
    </row>
    <row r="3948" spans="1:9" x14ac:dyDescent="0.2">
      <c r="A3948" s="10" t="s">
        <v>7908</v>
      </c>
      <c r="B3948" s="10">
        <v>171.728224787421</v>
      </c>
      <c r="C3948" s="10">
        <v>1.1573188389857201</v>
      </c>
      <c r="D3948" s="10">
        <v>0.31487987272187201</v>
      </c>
      <c r="E3948" s="10">
        <v>3.6754297090559498</v>
      </c>
      <c r="F3948" s="10">
        <v>2.3744941236248E-4</v>
      </c>
      <c r="G3948" s="10">
        <v>1.2384732271516999E-3</v>
      </c>
      <c r="H3948" s="10" t="s">
        <v>7909</v>
      </c>
      <c r="I3948" s="10" t="s">
        <v>18</v>
      </c>
    </row>
    <row r="3949" spans="1:9" x14ac:dyDescent="0.2">
      <c r="A3949" s="10" t="s">
        <v>7910</v>
      </c>
      <c r="B3949" s="10">
        <v>89.634856139692801</v>
      </c>
      <c r="C3949" s="10">
        <v>1.2054427772998</v>
      </c>
      <c r="D3949" s="10">
        <v>0.38982217160333599</v>
      </c>
      <c r="E3949" s="10">
        <v>3.09228890789311</v>
      </c>
      <c r="F3949" s="10">
        <v>1.9861943995905899E-3</v>
      </c>
      <c r="G3949" s="10">
        <v>8.0057636280433005E-3</v>
      </c>
      <c r="H3949" s="10" t="s">
        <v>7911</v>
      </c>
      <c r="I3949" s="10" t="s">
        <v>18</v>
      </c>
    </row>
    <row r="3950" spans="1:9" x14ac:dyDescent="0.2">
      <c r="A3950" s="10" t="s">
        <v>7912</v>
      </c>
      <c r="B3950" s="10">
        <v>89.874839746998902</v>
      </c>
      <c r="C3950" s="10">
        <v>-1.1334184000171601</v>
      </c>
      <c r="D3950" s="10">
        <v>0.400497871399283</v>
      </c>
      <c r="E3950" s="10">
        <v>-2.8300235306049402</v>
      </c>
      <c r="F3950" s="10">
        <v>4.65445808094417E-3</v>
      </c>
      <c r="G3950" s="10">
        <v>1.66956318235237E-2</v>
      </c>
      <c r="H3950" s="10" t="s">
        <v>7913</v>
      </c>
      <c r="I3950" s="10" t="s">
        <v>18</v>
      </c>
    </row>
    <row r="3951" spans="1:9" x14ac:dyDescent="0.2">
      <c r="A3951" s="10" t="s">
        <v>7914</v>
      </c>
      <c r="B3951" s="10">
        <v>104.83106503537</v>
      </c>
      <c r="C3951" s="10">
        <v>-1.0552059839808501</v>
      </c>
      <c r="D3951" s="10">
        <v>0.41432823585492601</v>
      </c>
      <c r="E3951" s="10">
        <v>-2.54678752898301</v>
      </c>
      <c r="F3951" s="10">
        <v>1.0871960572433399E-2</v>
      </c>
      <c r="G3951" s="10">
        <v>3.4151292335380702E-2</v>
      </c>
      <c r="H3951" s="10" t="s">
        <v>7915</v>
      </c>
      <c r="I3951" s="10" t="s">
        <v>18</v>
      </c>
    </row>
    <row r="3952" spans="1:9" x14ac:dyDescent="0.2">
      <c r="A3952" s="10" t="s">
        <v>7916</v>
      </c>
      <c r="B3952" s="10">
        <v>5608.1587454310002</v>
      </c>
      <c r="C3952" s="10">
        <v>-1.1122051447818799</v>
      </c>
      <c r="D3952" s="10">
        <v>0.24829337011809299</v>
      </c>
      <c r="E3952" s="10">
        <v>-4.47939928582423</v>
      </c>
      <c r="F3952" s="4">
        <v>7.48533978960224E-6</v>
      </c>
      <c r="G3952" s="4">
        <v>5.4518324845573999E-5</v>
      </c>
      <c r="H3952" s="10" t="s">
        <v>7917</v>
      </c>
      <c r="I3952" s="10" t="s">
        <v>18</v>
      </c>
    </row>
    <row r="3953" spans="1:9" x14ac:dyDescent="0.2">
      <c r="A3953" s="10" t="s">
        <v>7918</v>
      </c>
      <c r="B3953" s="10">
        <v>109.22515340315699</v>
      </c>
      <c r="C3953" s="10">
        <v>-1.49111202339347</v>
      </c>
      <c r="D3953" s="10">
        <v>0.39362633761155202</v>
      </c>
      <c r="E3953" s="10">
        <v>-3.7881408862050399</v>
      </c>
      <c r="F3953" s="10">
        <v>1.51778778163338E-4</v>
      </c>
      <c r="G3953" s="10">
        <v>8.33740017731822E-4</v>
      </c>
      <c r="H3953" s="10" t="s">
        <v>7919</v>
      </c>
      <c r="I3953" s="10" t="s">
        <v>18</v>
      </c>
    </row>
    <row r="3954" spans="1:9" x14ac:dyDescent="0.2">
      <c r="A3954" s="10" t="s">
        <v>7920</v>
      </c>
      <c r="B3954" s="10">
        <v>666.00889912209095</v>
      </c>
      <c r="C3954" s="10">
        <v>-1.2035319148985799</v>
      </c>
      <c r="D3954" s="10">
        <v>0.23940287006549099</v>
      </c>
      <c r="E3954" s="10">
        <v>-5.0272242541175203</v>
      </c>
      <c r="F3954" s="4">
        <v>4.9763029503846303E-7</v>
      </c>
      <c r="G3954" s="4">
        <v>4.4986505139061103E-6</v>
      </c>
      <c r="H3954" s="10" t="s">
        <v>7921</v>
      </c>
      <c r="I3954" s="10" t="s">
        <v>18</v>
      </c>
    </row>
    <row r="3955" spans="1:9" x14ac:dyDescent="0.2">
      <c r="A3955" s="10" t="s">
        <v>7922</v>
      </c>
      <c r="B3955" s="10">
        <v>1726.3010459827699</v>
      </c>
      <c r="C3955" s="10">
        <v>-2.5361503307326299</v>
      </c>
      <c r="D3955" s="10">
        <v>0.22450799830623899</v>
      </c>
      <c r="E3955" s="10">
        <v>-11.2964809711287</v>
      </c>
      <c r="F3955" s="4">
        <v>1.3658206673735299E-29</v>
      </c>
      <c r="G3955" s="4">
        <v>1.03661603687818E-27</v>
      </c>
      <c r="H3955" s="10" t="s">
        <v>7923</v>
      </c>
      <c r="I3955" s="10" t="s">
        <v>18</v>
      </c>
    </row>
    <row r="3956" spans="1:9" x14ac:dyDescent="0.2">
      <c r="A3956" s="10" t="s">
        <v>7924</v>
      </c>
      <c r="B3956" s="10">
        <v>696.07767610617202</v>
      </c>
      <c r="C3956" s="10">
        <v>-1.03312837336872</v>
      </c>
      <c r="D3956" s="10">
        <v>0.23996156980882599</v>
      </c>
      <c r="E3956" s="10">
        <v>-4.3053909598599498</v>
      </c>
      <c r="F3956" s="4">
        <v>1.6669108212561402E-5</v>
      </c>
      <c r="G3956" s="10">
        <v>1.1272851612500901E-4</v>
      </c>
      <c r="H3956" s="10" t="s">
        <v>7925</v>
      </c>
      <c r="I3956" s="10" t="s">
        <v>18</v>
      </c>
    </row>
    <row r="3957" spans="1:9" x14ac:dyDescent="0.2">
      <c r="A3957" s="10" t="s">
        <v>7926</v>
      </c>
      <c r="B3957" s="10">
        <v>17.9128031129924</v>
      </c>
      <c r="C3957" s="10">
        <v>6.1001108453158999</v>
      </c>
      <c r="D3957" s="10">
        <v>1.6320336667273501</v>
      </c>
      <c r="E3957" s="10">
        <v>3.73773591175248</v>
      </c>
      <c r="F3957" s="10">
        <v>1.8568483361918299E-4</v>
      </c>
      <c r="G3957" s="10">
        <v>9.9774108130187508E-4</v>
      </c>
      <c r="H3957" s="10" t="s">
        <v>7927</v>
      </c>
      <c r="I3957" s="10" t="s">
        <v>18</v>
      </c>
    </row>
    <row r="3958" spans="1:9" x14ac:dyDescent="0.2">
      <c r="A3958" s="10" t="s">
        <v>7928</v>
      </c>
      <c r="B3958" s="10">
        <v>2036.8772764401499</v>
      </c>
      <c r="C3958" s="10">
        <v>1.9365030573977</v>
      </c>
      <c r="D3958" s="10">
        <v>0.20645207829967199</v>
      </c>
      <c r="E3958" s="10">
        <v>9.3799155394638305</v>
      </c>
      <c r="F3958" s="4">
        <v>6.6025596868235702E-21</v>
      </c>
      <c r="G3958" s="4">
        <v>2.7848288511901199E-19</v>
      </c>
      <c r="H3958" s="10" t="s">
        <v>7929</v>
      </c>
      <c r="I3958" s="10" t="s">
        <v>18</v>
      </c>
    </row>
    <row r="3959" spans="1:9" x14ac:dyDescent="0.2">
      <c r="A3959" s="10" t="s">
        <v>7930</v>
      </c>
      <c r="B3959" s="10">
        <v>1178.03818974562</v>
      </c>
      <c r="C3959" s="10">
        <v>-1.04141933817201</v>
      </c>
      <c r="D3959" s="10">
        <v>0.26726386258909401</v>
      </c>
      <c r="E3959" s="10">
        <v>-3.8965961506480999</v>
      </c>
      <c r="F3959" s="4">
        <v>9.7554088320243095E-5</v>
      </c>
      <c r="G3959" s="10">
        <v>5.5982650473076297E-4</v>
      </c>
      <c r="H3959" s="10" t="s">
        <v>7931</v>
      </c>
      <c r="I3959" s="10" t="s">
        <v>18</v>
      </c>
    </row>
    <row r="3960" spans="1:9" x14ac:dyDescent="0.2">
      <c r="A3960" s="10" t="s">
        <v>7932</v>
      </c>
      <c r="B3960" s="10">
        <v>218.11649772252801</v>
      </c>
      <c r="C3960" s="10">
        <v>2.3160159073919702</v>
      </c>
      <c r="D3960" s="10">
        <v>0.355753871210991</v>
      </c>
      <c r="E3960" s="10">
        <v>6.5101636125791904</v>
      </c>
      <c r="F3960" s="4">
        <v>7.5068995574709503E-11</v>
      </c>
      <c r="G3960" s="4">
        <v>1.1912666991404199E-9</v>
      </c>
      <c r="H3960" s="10" t="s">
        <v>7933</v>
      </c>
      <c r="I3960" s="10" t="s">
        <v>18</v>
      </c>
    </row>
    <row r="3961" spans="1:9" x14ac:dyDescent="0.2">
      <c r="A3961" s="10" t="s">
        <v>7934</v>
      </c>
      <c r="B3961" s="10">
        <v>43.607908213111003</v>
      </c>
      <c r="C3961" s="10">
        <v>-1.46078225282949</v>
      </c>
      <c r="D3961" s="10">
        <v>0.55842519347392705</v>
      </c>
      <c r="E3961" s="10">
        <v>-2.6158960410472498</v>
      </c>
      <c r="F3961" s="10">
        <v>8.8993648486568998E-3</v>
      </c>
      <c r="G3961" s="10">
        <v>2.8911529036765801E-2</v>
      </c>
      <c r="H3961" s="10" t="s">
        <v>7935</v>
      </c>
      <c r="I3961" s="10" t="s">
        <v>18</v>
      </c>
    </row>
    <row r="3962" spans="1:9" x14ac:dyDescent="0.2">
      <c r="A3962" s="10" t="s">
        <v>7936</v>
      </c>
      <c r="B3962" s="10">
        <v>13.5157209311496</v>
      </c>
      <c r="C3962" s="10">
        <v>4.64485599665195</v>
      </c>
      <c r="D3962" s="10">
        <v>1.34550776313961</v>
      </c>
      <c r="E3962" s="10">
        <v>3.45212129123182</v>
      </c>
      <c r="F3962" s="10">
        <v>5.5619764252540303E-4</v>
      </c>
      <c r="G3962" s="10">
        <v>2.6323983265398102E-3</v>
      </c>
      <c r="H3962" s="10" t="s">
        <v>7937</v>
      </c>
      <c r="I3962" s="10" t="s">
        <v>18</v>
      </c>
    </row>
    <row r="3963" spans="1:9" x14ac:dyDescent="0.2">
      <c r="A3963" s="10" t="s">
        <v>7938</v>
      </c>
      <c r="B3963" s="10">
        <v>40.386142181149197</v>
      </c>
      <c r="C3963" s="10">
        <v>-1.51244107088498</v>
      </c>
      <c r="D3963" s="10">
        <v>0.55366510923381396</v>
      </c>
      <c r="E3963" s="10">
        <v>-2.7316893292733599</v>
      </c>
      <c r="F3963" s="10">
        <v>6.3010525862780198E-3</v>
      </c>
      <c r="G3963" s="10">
        <v>2.1576571549367499E-2</v>
      </c>
      <c r="H3963" s="10" t="s">
        <v>7939</v>
      </c>
      <c r="I3963" s="10" t="s">
        <v>18</v>
      </c>
    </row>
    <row r="3964" spans="1:9" x14ac:dyDescent="0.2">
      <c r="A3964" s="10" t="s">
        <v>7940</v>
      </c>
      <c r="B3964" s="10">
        <v>1596.7731365418799</v>
      </c>
      <c r="C3964" s="10">
        <v>-1.5491428467081301</v>
      </c>
      <c r="D3964" s="10">
        <v>0.210691641067174</v>
      </c>
      <c r="E3964" s="10">
        <v>-7.3526545185255996</v>
      </c>
      <c r="F3964" s="4">
        <v>1.9430870378069999E-13</v>
      </c>
      <c r="G3964" s="4">
        <v>4.2051860618846297E-12</v>
      </c>
      <c r="H3964" s="10" t="s">
        <v>7941</v>
      </c>
      <c r="I3964" s="10" t="s">
        <v>18</v>
      </c>
    </row>
    <row r="3965" spans="1:9" x14ac:dyDescent="0.2">
      <c r="A3965" s="10" t="s">
        <v>7942</v>
      </c>
      <c r="B3965" s="10">
        <v>3538.78986826447</v>
      </c>
      <c r="C3965" s="10">
        <v>1.5375046023463801</v>
      </c>
      <c r="D3965" s="10">
        <v>0.198687837451411</v>
      </c>
      <c r="E3965" s="10">
        <v>7.7382924997730402</v>
      </c>
      <c r="F3965" s="4">
        <v>1.0076082755605899E-14</v>
      </c>
      <c r="G3965" s="4">
        <v>2.4252917565547198E-13</v>
      </c>
      <c r="H3965" s="10" t="s">
        <v>7943</v>
      </c>
      <c r="I3965" s="10" t="s">
        <v>18</v>
      </c>
    </row>
    <row r="3966" spans="1:9" x14ac:dyDescent="0.2">
      <c r="A3966" s="10" t="s">
        <v>7944</v>
      </c>
      <c r="B3966" s="10">
        <v>2673.29405939967</v>
      </c>
      <c r="C3966" s="10">
        <v>-1.2139671452540599</v>
      </c>
      <c r="D3966" s="10">
        <v>0.235195229997887</v>
      </c>
      <c r="E3966" s="10">
        <v>-5.1615296163317801</v>
      </c>
      <c r="F3966" s="4">
        <v>2.4494012944027302E-7</v>
      </c>
      <c r="G3966" s="4">
        <v>2.3286405118140699E-6</v>
      </c>
      <c r="H3966" s="10" t="s">
        <v>7945</v>
      </c>
      <c r="I3966" s="10" t="s">
        <v>18</v>
      </c>
    </row>
    <row r="3967" spans="1:9" x14ac:dyDescent="0.2">
      <c r="A3967" s="10" t="s">
        <v>7946</v>
      </c>
      <c r="B3967" s="10">
        <v>474.25136752914898</v>
      </c>
      <c r="C3967" s="10">
        <v>-2.5220789795404599</v>
      </c>
      <c r="D3967" s="10">
        <v>0.24421028476655501</v>
      </c>
      <c r="E3967" s="10">
        <v>-10.3274887949595</v>
      </c>
      <c r="F3967" s="4">
        <v>5.2928073439844399E-25</v>
      </c>
      <c r="G3967" s="4">
        <v>2.9431249326845701E-23</v>
      </c>
      <c r="H3967" s="10" t="s">
        <v>7947</v>
      </c>
      <c r="I3967" s="10" t="s">
        <v>18</v>
      </c>
    </row>
    <row r="3968" spans="1:9" x14ac:dyDescent="0.2">
      <c r="A3968" s="10" t="s">
        <v>7948</v>
      </c>
      <c r="B3968" s="10">
        <v>1432.5918373582599</v>
      </c>
      <c r="C3968" s="10">
        <v>-1.4344745388751701</v>
      </c>
      <c r="D3968" s="10">
        <v>0.22821180360545601</v>
      </c>
      <c r="E3968" s="10">
        <v>-6.2857157965201704</v>
      </c>
      <c r="F3968" s="4">
        <v>3.2634649130417498E-10</v>
      </c>
      <c r="G3968" s="4">
        <v>4.7097260850449402E-9</v>
      </c>
      <c r="H3968" s="10" t="s">
        <v>7949</v>
      </c>
      <c r="I3968" s="10" t="s">
        <v>18</v>
      </c>
    </row>
    <row r="3969" spans="1:9" x14ac:dyDescent="0.2">
      <c r="A3969" s="10" t="s">
        <v>7950</v>
      </c>
      <c r="B3969" s="10">
        <v>297.70615100632398</v>
      </c>
      <c r="C3969" s="10">
        <v>3.5408997007172802</v>
      </c>
      <c r="D3969" s="10">
        <v>0.30828015998865099</v>
      </c>
      <c r="E3969" s="10">
        <v>11.485979833563199</v>
      </c>
      <c r="F3969" s="4">
        <v>1.55166190500188E-30</v>
      </c>
      <c r="G3969" s="4">
        <v>1.26581233310138E-28</v>
      </c>
      <c r="H3969" s="10" t="s">
        <v>7951</v>
      </c>
      <c r="I3969" s="10" t="s">
        <v>18</v>
      </c>
    </row>
    <row r="3970" spans="1:9" x14ac:dyDescent="0.2">
      <c r="A3970" s="10" t="s">
        <v>7952</v>
      </c>
      <c r="B3970" s="10">
        <v>882.33651712122196</v>
      </c>
      <c r="C3970" s="10">
        <v>1.4821193533886501</v>
      </c>
      <c r="D3970" s="10">
        <v>0.205803523041972</v>
      </c>
      <c r="E3970" s="10">
        <v>7.2016228463027199</v>
      </c>
      <c r="F3970" s="4">
        <v>5.9500084825900804E-13</v>
      </c>
      <c r="G3970" s="4">
        <v>1.2134721641102699E-11</v>
      </c>
      <c r="H3970" s="10" t="s">
        <v>7953</v>
      </c>
      <c r="I3970" s="10" t="s">
        <v>18</v>
      </c>
    </row>
    <row r="3971" spans="1:9" x14ac:dyDescent="0.2">
      <c r="A3971" s="10" t="s">
        <v>7954</v>
      </c>
      <c r="B3971" s="10">
        <v>1033.9773957505699</v>
      </c>
      <c r="C3971" s="10">
        <v>1.14858804342168</v>
      </c>
      <c r="D3971" s="10">
        <v>0.209208801867307</v>
      </c>
      <c r="E3971" s="10">
        <v>5.4901516244530804</v>
      </c>
      <c r="F3971" s="4">
        <v>4.0158884589025598E-8</v>
      </c>
      <c r="G3971" s="4">
        <v>4.3698447619695699E-7</v>
      </c>
      <c r="H3971" s="10" t="s">
        <v>7955</v>
      </c>
      <c r="I3971" s="10" t="s">
        <v>18</v>
      </c>
    </row>
    <row r="3972" spans="1:9" x14ac:dyDescent="0.2">
      <c r="A3972" s="10" t="s">
        <v>7956</v>
      </c>
      <c r="B3972" s="10">
        <v>1624.56349973378</v>
      </c>
      <c r="C3972" s="10">
        <v>6.4911373122500899</v>
      </c>
      <c r="D3972" s="10">
        <v>0.27859973209572703</v>
      </c>
      <c r="E3972" s="10">
        <v>23.2991513072228</v>
      </c>
      <c r="F3972" s="4">
        <v>4.5219500708331803E-120</v>
      </c>
      <c r="G3972" s="4">
        <v>1.12008703254538E-116</v>
      </c>
      <c r="H3972" s="10" t="s">
        <v>7957</v>
      </c>
      <c r="I3972" s="10" t="s">
        <v>18</v>
      </c>
    </row>
    <row r="3973" spans="1:9" x14ac:dyDescent="0.2">
      <c r="A3973" s="10" t="s">
        <v>7958</v>
      </c>
      <c r="B3973" s="10">
        <v>1343.0858374755601</v>
      </c>
      <c r="C3973" s="10">
        <v>1.3108867914338</v>
      </c>
      <c r="D3973" s="10">
        <v>0.19377587980831101</v>
      </c>
      <c r="E3973" s="10">
        <v>6.7649636927494097</v>
      </c>
      <c r="F3973" s="4">
        <v>1.33342633554178E-11</v>
      </c>
      <c r="G3973" s="4">
        <v>2.31118749138085E-10</v>
      </c>
      <c r="H3973" s="10" t="s">
        <v>7959</v>
      </c>
      <c r="I3973" s="10" t="s">
        <v>18</v>
      </c>
    </row>
    <row r="3974" spans="1:9" x14ac:dyDescent="0.2">
      <c r="A3974" s="10" t="s">
        <v>7960</v>
      </c>
      <c r="B3974" s="10">
        <v>9400.0200910488002</v>
      </c>
      <c r="C3974" s="10">
        <v>-1.21128990254905</v>
      </c>
      <c r="D3974" s="10">
        <v>0.17676566934673299</v>
      </c>
      <c r="E3974" s="10">
        <v>-6.8525178391571604</v>
      </c>
      <c r="F3974" s="4">
        <v>7.2561334397670303E-12</v>
      </c>
      <c r="G3974" s="4">
        <v>1.2964450349726699E-10</v>
      </c>
      <c r="H3974" s="10" t="s">
        <v>7961</v>
      </c>
      <c r="I3974" s="10" t="s">
        <v>18</v>
      </c>
    </row>
    <row r="3975" spans="1:9" x14ac:dyDescent="0.2">
      <c r="A3975" s="10" t="s">
        <v>7962</v>
      </c>
      <c r="B3975" s="10">
        <v>550.39184738908898</v>
      </c>
      <c r="C3975" s="10">
        <v>6.3412267500207502</v>
      </c>
      <c r="D3975" s="10">
        <v>0.362412066112416</v>
      </c>
      <c r="E3975" s="10">
        <v>17.497283735729098</v>
      </c>
      <c r="F3975" s="4">
        <v>1.50266497981181E-68</v>
      </c>
      <c r="G3975" s="4">
        <v>6.2035019249897495E-66</v>
      </c>
      <c r="H3975" s="10" t="s">
        <v>7963</v>
      </c>
      <c r="I3975" s="10" t="s">
        <v>18</v>
      </c>
    </row>
    <row r="3976" spans="1:9" x14ac:dyDescent="0.2">
      <c r="A3976" s="10" t="s">
        <v>7964</v>
      </c>
      <c r="B3976" s="10">
        <v>68.040753560334593</v>
      </c>
      <c r="C3976" s="10">
        <v>2.3216313242545401</v>
      </c>
      <c r="D3976" s="10">
        <v>0.46056409076068799</v>
      </c>
      <c r="E3976" s="10">
        <v>5.0408431113681296</v>
      </c>
      <c r="F3976" s="4">
        <v>4.63485329804326E-7</v>
      </c>
      <c r="G3976" s="4">
        <v>4.2123364847159699E-6</v>
      </c>
      <c r="H3976" s="10" t="s">
        <v>7965</v>
      </c>
      <c r="I3976" s="10" t="s">
        <v>18</v>
      </c>
    </row>
    <row r="3977" spans="1:9" x14ac:dyDescent="0.2">
      <c r="A3977" s="10" t="s">
        <v>7966</v>
      </c>
      <c r="B3977" s="10">
        <v>1003.53476322533</v>
      </c>
      <c r="C3977" s="10">
        <v>-1.27197123709617</v>
      </c>
      <c r="D3977" s="10">
        <v>0.21486285821578699</v>
      </c>
      <c r="E3977" s="10">
        <v>-5.9199214217783602</v>
      </c>
      <c r="F3977" s="4">
        <v>3.2209547460584099E-9</v>
      </c>
      <c r="G3977" s="4">
        <v>4.0952568346175203E-8</v>
      </c>
      <c r="H3977" s="10" t="s">
        <v>7967</v>
      </c>
      <c r="I3977" s="10" t="s">
        <v>18</v>
      </c>
    </row>
    <row r="3978" spans="1:9" x14ac:dyDescent="0.2">
      <c r="A3978" s="10" t="s">
        <v>7968</v>
      </c>
      <c r="B3978" s="10">
        <v>55.396181745314202</v>
      </c>
      <c r="C3978" s="10">
        <v>4.3577512067465598</v>
      </c>
      <c r="D3978" s="10">
        <v>0.64457976109549397</v>
      </c>
      <c r="E3978" s="10">
        <v>6.76060818189569</v>
      </c>
      <c r="F3978" s="4">
        <v>1.3741367978915201E-11</v>
      </c>
      <c r="G3978" s="4">
        <v>2.3757046530552199E-10</v>
      </c>
      <c r="H3978" s="10" t="s">
        <v>7969</v>
      </c>
      <c r="I3978" s="10" t="s">
        <v>18</v>
      </c>
    </row>
    <row r="3979" spans="1:9" x14ac:dyDescent="0.2">
      <c r="A3979" s="10" t="s">
        <v>7970</v>
      </c>
      <c r="B3979" s="10">
        <v>4677.5713962063401</v>
      </c>
      <c r="C3979" s="10">
        <v>-1.67913727027832</v>
      </c>
      <c r="D3979" s="10">
        <v>0.20269517361358599</v>
      </c>
      <c r="E3979" s="10">
        <v>-8.2840515654279496</v>
      </c>
      <c r="F3979" s="4">
        <v>1.19054020620418E-16</v>
      </c>
      <c r="G3979" s="4">
        <v>3.4509201062176002E-15</v>
      </c>
      <c r="H3979" s="10" t="s">
        <v>7971</v>
      </c>
      <c r="I3979" s="10" t="s">
        <v>18</v>
      </c>
    </row>
    <row r="3980" spans="1:9" x14ac:dyDescent="0.2">
      <c r="A3980" s="10" t="s">
        <v>7972</v>
      </c>
      <c r="B3980" s="10">
        <v>396.84519334550498</v>
      </c>
      <c r="C3980" s="10">
        <v>4.3256950963721703</v>
      </c>
      <c r="D3980" s="10">
        <v>0.28535790225365198</v>
      </c>
      <c r="E3980" s="10">
        <v>15.158841098176801</v>
      </c>
      <c r="F3980" s="4">
        <v>6.6227613085876498E-52</v>
      </c>
      <c r="G3980" s="4">
        <v>1.42086911318967E-49</v>
      </c>
      <c r="H3980" s="10" t="s">
        <v>7973</v>
      </c>
      <c r="I3980" s="10" t="s">
        <v>18</v>
      </c>
    </row>
    <row r="3981" spans="1:9" x14ac:dyDescent="0.2">
      <c r="A3981" s="10" t="s">
        <v>7974</v>
      </c>
      <c r="B3981" s="10">
        <v>145.22616876348499</v>
      </c>
      <c r="C3981" s="10">
        <v>-1.7735710240192399</v>
      </c>
      <c r="D3981" s="10">
        <v>0.35789825886288901</v>
      </c>
      <c r="E3981" s="10">
        <v>-4.9555173295735298</v>
      </c>
      <c r="F3981" s="4">
        <v>7.2138092332867105E-7</v>
      </c>
      <c r="G3981" s="4">
        <v>6.3221183718032496E-6</v>
      </c>
      <c r="H3981" s="10" t="s">
        <v>7975</v>
      </c>
      <c r="I3981" s="10" t="s">
        <v>18</v>
      </c>
    </row>
    <row r="3982" spans="1:9" x14ac:dyDescent="0.2">
      <c r="A3982" s="10" t="s">
        <v>7976</v>
      </c>
      <c r="B3982" s="10">
        <v>15.8562492314963</v>
      </c>
      <c r="C3982" s="10">
        <v>7.38359779442193</v>
      </c>
      <c r="D3982" s="10">
        <v>1.6538953816796</v>
      </c>
      <c r="E3982" s="10">
        <v>4.4643681070827901</v>
      </c>
      <c r="F3982" s="4">
        <v>8.0305398285019099E-6</v>
      </c>
      <c r="G3982" s="4">
        <v>5.8147254506295898E-5</v>
      </c>
      <c r="H3982" s="10" t="s">
        <v>7977</v>
      </c>
      <c r="I3982" s="10" t="s">
        <v>18</v>
      </c>
    </row>
    <row r="3983" spans="1:9" x14ac:dyDescent="0.2">
      <c r="A3983" s="10" t="s">
        <v>7978</v>
      </c>
      <c r="B3983" s="10">
        <v>9.4727551832480508</v>
      </c>
      <c r="C3983" s="10">
        <v>3.0282514166949901</v>
      </c>
      <c r="D3983" s="10">
        <v>1.2311134724233299</v>
      </c>
      <c r="E3983" s="10">
        <v>2.4597662884268199</v>
      </c>
      <c r="F3983" s="10">
        <v>1.39027517502987E-2</v>
      </c>
      <c r="G3983" s="10">
        <v>4.19314010339151E-2</v>
      </c>
      <c r="H3983" s="10" t="s">
        <v>7979</v>
      </c>
      <c r="I3983" s="10" t="s">
        <v>18</v>
      </c>
    </row>
    <row r="3984" spans="1:9" x14ac:dyDescent="0.2">
      <c r="A3984" s="10" t="s">
        <v>7980</v>
      </c>
      <c r="B3984" s="10">
        <v>191.123539509285</v>
      </c>
      <c r="C3984" s="10">
        <v>8.5285618233016898</v>
      </c>
      <c r="D3984" s="10">
        <v>1.05941438931814</v>
      </c>
      <c r="E3984" s="10">
        <v>8.0502605111780792</v>
      </c>
      <c r="F3984" s="4">
        <v>8.2617989971685501E-16</v>
      </c>
      <c r="G3984" s="4">
        <v>2.2222037243420701E-14</v>
      </c>
      <c r="H3984" s="10" t="s">
        <v>7981</v>
      </c>
      <c r="I3984" s="10" t="s">
        <v>18</v>
      </c>
    </row>
    <row r="3985" spans="1:9" x14ac:dyDescent="0.2">
      <c r="A3985" s="10" t="s">
        <v>7982</v>
      </c>
      <c r="B3985" s="10">
        <v>996.30500724390902</v>
      </c>
      <c r="C3985" s="10">
        <v>8.2105813533680205</v>
      </c>
      <c r="D3985" s="10">
        <v>0.459918186356087</v>
      </c>
      <c r="E3985" s="10">
        <v>17.852265026569501</v>
      </c>
      <c r="F3985" s="4">
        <v>2.7754783051512801E-71</v>
      </c>
      <c r="G3985" s="4">
        <v>1.35810619555839E-68</v>
      </c>
      <c r="H3985" s="10" t="s">
        <v>7983</v>
      </c>
      <c r="I3985" s="10" t="s">
        <v>18</v>
      </c>
    </row>
    <row r="3986" spans="1:9" x14ac:dyDescent="0.2">
      <c r="A3986" s="10" t="s">
        <v>7984</v>
      </c>
      <c r="B3986" s="10">
        <v>56.136584813361999</v>
      </c>
      <c r="C3986" s="10">
        <v>1.9000837413356499</v>
      </c>
      <c r="D3986" s="10">
        <v>0.48869021159818099</v>
      </c>
      <c r="E3986" s="10">
        <v>3.8881149985012602</v>
      </c>
      <c r="F3986" s="10">
        <v>1.0102576157353501E-4</v>
      </c>
      <c r="G3986" s="10">
        <v>5.7804471348049398E-4</v>
      </c>
      <c r="H3986" s="10" t="s">
        <v>7985</v>
      </c>
      <c r="I3986" s="10" t="s">
        <v>18</v>
      </c>
    </row>
    <row r="3987" spans="1:9" x14ac:dyDescent="0.2">
      <c r="A3987" s="10" t="s">
        <v>7986</v>
      </c>
      <c r="B3987" s="10">
        <v>1374.5349634046599</v>
      </c>
      <c r="C3987" s="10">
        <v>-1.3654952049424101</v>
      </c>
      <c r="D3987" s="10">
        <v>0.20688916928586501</v>
      </c>
      <c r="E3987" s="10">
        <v>-6.6001289949386397</v>
      </c>
      <c r="F3987" s="4">
        <v>4.1080018472411597E-11</v>
      </c>
      <c r="G3987" s="4">
        <v>6.7550227116342702E-10</v>
      </c>
      <c r="H3987" s="10" t="s">
        <v>7987</v>
      </c>
      <c r="I3987" s="10" t="s">
        <v>18</v>
      </c>
    </row>
    <row r="3988" spans="1:9" x14ac:dyDescent="0.2">
      <c r="A3988" s="10" t="s">
        <v>7988</v>
      </c>
      <c r="B3988" s="10">
        <v>3248.5010054937902</v>
      </c>
      <c r="C3988" s="10">
        <v>2.1251420052149101</v>
      </c>
      <c r="D3988" s="10">
        <v>0.234005382674565</v>
      </c>
      <c r="E3988" s="10">
        <v>9.0815945382349508</v>
      </c>
      <c r="F3988" s="4">
        <v>1.06995691225066E-19</v>
      </c>
      <c r="G3988" s="4">
        <v>4.0045488994634298E-18</v>
      </c>
      <c r="H3988" s="10" t="s">
        <v>7989</v>
      </c>
      <c r="I3988" s="10" t="s">
        <v>18</v>
      </c>
    </row>
    <row r="3989" spans="1:9" x14ac:dyDescent="0.2">
      <c r="A3989" s="10" t="s">
        <v>7990</v>
      </c>
      <c r="B3989" s="10">
        <v>1044.00408371756</v>
      </c>
      <c r="C3989" s="10">
        <v>1.0289895543129799</v>
      </c>
      <c r="D3989" s="10">
        <v>0.222592988120038</v>
      </c>
      <c r="E3989" s="10">
        <v>4.6227401995164001</v>
      </c>
      <c r="F3989" s="4">
        <v>3.7870390147551199E-6</v>
      </c>
      <c r="G3989" s="4">
        <v>2.9264166771137999E-5</v>
      </c>
      <c r="H3989" s="10" t="s">
        <v>7991</v>
      </c>
      <c r="I3989" s="10" t="s">
        <v>18</v>
      </c>
    </row>
    <row r="3990" spans="1:9" x14ac:dyDescent="0.2">
      <c r="A3990" s="10" t="s">
        <v>7992</v>
      </c>
      <c r="B3990" s="10">
        <v>8922.4502726934206</v>
      </c>
      <c r="C3990" s="10">
        <v>-1.1100927926670501</v>
      </c>
      <c r="D3990" s="10">
        <v>0.18161755531088</v>
      </c>
      <c r="E3990" s="10">
        <v>-6.1122549016083498</v>
      </c>
      <c r="F3990" s="4">
        <v>9.8233110129378409E-10</v>
      </c>
      <c r="G3990" s="4">
        <v>1.33760997086216E-8</v>
      </c>
      <c r="H3990" s="10" t="s">
        <v>7993</v>
      </c>
      <c r="I3990" s="10" t="s">
        <v>18</v>
      </c>
    </row>
    <row r="3991" spans="1:9" x14ac:dyDescent="0.2">
      <c r="A3991" s="10" t="s">
        <v>7994</v>
      </c>
      <c r="B3991" s="10">
        <v>143.78126555900599</v>
      </c>
      <c r="C3991" s="10">
        <v>-1.95286111023808</v>
      </c>
      <c r="D3991" s="10">
        <v>0.33865915630750998</v>
      </c>
      <c r="E3991" s="10">
        <v>-5.7664500541802504</v>
      </c>
      <c r="F3991" s="4">
        <v>8.0958687406169699E-9</v>
      </c>
      <c r="G3991" s="4">
        <v>9.7475976834109896E-8</v>
      </c>
      <c r="H3991" s="10" t="s">
        <v>7995</v>
      </c>
      <c r="I3991" s="10" t="s">
        <v>18</v>
      </c>
    </row>
    <row r="3992" spans="1:9" x14ac:dyDescent="0.2">
      <c r="A3992" s="10" t="s">
        <v>7996</v>
      </c>
      <c r="B3992" s="10">
        <v>1452.3011785661699</v>
      </c>
      <c r="C3992" s="10">
        <v>-1.58139264296008</v>
      </c>
      <c r="D3992" s="10">
        <v>0.20916891787489</v>
      </c>
      <c r="E3992" s="10">
        <v>-7.5603615442804797</v>
      </c>
      <c r="F3992" s="4">
        <v>4.0195053693931002E-14</v>
      </c>
      <c r="G3992" s="4">
        <v>9.2734515495219109E-13</v>
      </c>
      <c r="H3992" s="10" t="s">
        <v>7997</v>
      </c>
      <c r="I3992" s="10" t="s">
        <v>18</v>
      </c>
    </row>
    <row r="3993" spans="1:9" x14ac:dyDescent="0.2">
      <c r="A3993" s="10" t="s">
        <v>7998</v>
      </c>
      <c r="B3993" s="10">
        <v>455.995285761307</v>
      </c>
      <c r="C3993" s="10">
        <v>-1.0345698366488201</v>
      </c>
      <c r="D3993" s="10">
        <v>0.26957874418113498</v>
      </c>
      <c r="E3993" s="10">
        <v>-3.8377277844787199</v>
      </c>
      <c r="F3993" s="10">
        <v>1.24178028237151E-4</v>
      </c>
      <c r="G3993" s="10">
        <v>6.9590266050548199E-4</v>
      </c>
      <c r="H3993" s="10" t="s">
        <v>7999</v>
      </c>
      <c r="I3993" s="10" t="s">
        <v>18</v>
      </c>
    </row>
    <row r="3994" spans="1:9" x14ac:dyDescent="0.2">
      <c r="A3994" s="10" t="s">
        <v>8000</v>
      </c>
      <c r="B3994" s="10">
        <v>5154.57451195469</v>
      </c>
      <c r="C3994" s="10">
        <v>-1.0109928139809801</v>
      </c>
      <c r="D3994" s="10">
        <v>0.197354705449479</v>
      </c>
      <c r="E3994" s="10">
        <v>-5.1227195808603803</v>
      </c>
      <c r="F3994" s="4">
        <v>3.0116006512957699E-7</v>
      </c>
      <c r="G3994" s="4">
        <v>2.8169269806335702E-6</v>
      </c>
      <c r="H3994" s="10" t="s">
        <v>8001</v>
      </c>
      <c r="I3994" s="10" t="s">
        <v>18</v>
      </c>
    </row>
    <row r="3995" spans="1:9" x14ac:dyDescent="0.2">
      <c r="A3995" s="10" t="s">
        <v>8002</v>
      </c>
      <c r="B3995" s="10">
        <v>171.35463180699699</v>
      </c>
      <c r="C3995" s="10">
        <v>1.4273630007332201</v>
      </c>
      <c r="D3995" s="10">
        <v>0.30477424670618802</v>
      </c>
      <c r="E3995" s="10">
        <v>4.6833451847040104</v>
      </c>
      <c r="F3995" s="4">
        <v>2.8223063553853E-6</v>
      </c>
      <c r="G3995" s="4">
        <v>2.22703102418718E-5</v>
      </c>
      <c r="H3995" s="10" t="s">
        <v>8003</v>
      </c>
      <c r="I3995" s="10" t="s">
        <v>18</v>
      </c>
    </row>
    <row r="3996" spans="1:9" x14ac:dyDescent="0.2">
      <c r="A3996" s="10" t="s">
        <v>8004</v>
      </c>
      <c r="B3996" s="10">
        <v>69.322540319582401</v>
      </c>
      <c r="C3996" s="10">
        <v>1.9328359731309399</v>
      </c>
      <c r="D3996" s="10">
        <v>0.49574930789912097</v>
      </c>
      <c r="E3996" s="10">
        <v>3.8988172899764302</v>
      </c>
      <c r="F3996" s="4">
        <v>9.6663676959458101E-5</v>
      </c>
      <c r="G3996" s="10">
        <v>5.5553579542593498E-4</v>
      </c>
      <c r="H3996" s="10" t="s">
        <v>8005</v>
      </c>
      <c r="I3996" s="10" t="s">
        <v>18</v>
      </c>
    </row>
    <row r="3997" spans="1:9" x14ac:dyDescent="0.2">
      <c r="A3997" s="10" t="s">
        <v>8006</v>
      </c>
      <c r="B3997" s="10">
        <v>455.798822828602</v>
      </c>
      <c r="C3997" s="10">
        <v>1.2782334784018801</v>
      </c>
      <c r="D3997" s="10">
        <v>0.250007301969706</v>
      </c>
      <c r="E3997" s="10">
        <v>5.1127845800150498</v>
      </c>
      <c r="F3997" s="4">
        <v>3.1744423706863702E-7</v>
      </c>
      <c r="G3997" s="4">
        <v>2.95807220499629E-6</v>
      </c>
      <c r="H3997" s="10" t="s">
        <v>8007</v>
      </c>
      <c r="I3997" s="10" t="s">
        <v>18</v>
      </c>
    </row>
    <row r="3998" spans="1:9" x14ac:dyDescent="0.2">
      <c r="A3998" s="10" t="s">
        <v>8008</v>
      </c>
      <c r="B3998" s="10">
        <v>611.53885633304105</v>
      </c>
      <c r="C3998" s="10">
        <v>3.1557225159624802</v>
      </c>
      <c r="D3998" s="10">
        <v>0.25340252878202701</v>
      </c>
      <c r="E3998" s="10">
        <v>12.4533978849003</v>
      </c>
      <c r="F3998" s="4">
        <v>1.3401569640899801E-35</v>
      </c>
      <c r="G3998" s="4">
        <v>1.4664761767293E-33</v>
      </c>
      <c r="H3998" s="10" t="s">
        <v>8009</v>
      </c>
      <c r="I3998" s="10" t="s">
        <v>18</v>
      </c>
    </row>
    <row r="3999" spans="1:9" x14ac:dyDescent="0.2">
      <c r="A3999" s="10" t="s">
        <v>8010</v>
      </c>
      <c r="B3999" s="10">
        <v>343.69272205020502</v>
      </c>
      <c r="C3999" s="10">
        <v>1.1051475944539999</v>
      </c>
      <c r="D3999" s="10">
        <v>0.28251545852781001</v>
      </c>
      <c r="E3999" s="10">
        <v>3.91181282685534</v>
      </c>
      <c r="F3999" s="4">
        <v>9.16058985492182E-5</v>
      </c>
      <c r="G3999" s="10">
        <v>5.2970838662363105E-4</v>
      </c>
      <c r="H3999" s="10" t="s">
        <v>8011</v>
      </c>
      <c r="I3999" s="10" t="s">
        <v>18</v>
      </c>
    </row>
    <row r="4000" spans="1:9" x14ac:dyDescent="0.2">
      <c r="A4000" s="10" t="s">
        <v>8012</v>
      </c>
      <c r="B4000" s="10">
        <v>216.04702077179701</v>
      </c>
      <c r="C4000" s="10">
        <v>1.2247464444988401</v>
      </c>
      <c r="D4000" s="10">
        <v>0.29121348516099399</v>
      </c>
      <c r="E4000" s="10">
        <v>4.20566528305429</v>
      </c>
      <c r="F4000" s="4">
        <v>2.6031526142483201E-5</v>
      </c>
      <c r="G4000" s="10">
        <v>1.68876426858152E-4</v>
      </c>
      <c r="H4000" s="10" t="s">
        <v>8013</v>
      </c>
      <c r="I4000" s="10" t="s">
        <v>18</v>
      </c>
    </row>
    <row r="4001" spans="1:9" x14ac:dyDescent="0.2">
      <c r="A4001" s="10" t="s">
        <v>8014</v>
      </c>
      <c r="B4001" s="10">
        <v>140.715973462466</v>
      </c>
      <c r="C4001" s="10">
        <v>1.35259173674449</v>
      </c>
      <c r="D4001" s="10">
        <v>0.34891924211277903</v>
      </c>
      <c r="E4001" s="10">
        <v>3.8765180405479098</v>
      </c>
      <c r="F4001" s="10">
        <v>1.05961956722897E-4</v>
      </c>
      <c r="G4001" s="10">
        <v>6.0350029992240102E-4</v>
      </c>
      <c r="H4001" s="10" t="s">
        <v>8015</v>
      </c>
      <c r="I4001" s="10" t="s">
        <v>18</v>
      </c>
    </row>
    <row r="4002" spans="1:9" x14ac:dyDescent="0.2">
      <c r="A4002" s="10" t="s">
        <v>8016</v>
      </c>
      <c r="B4002" s="10">
        <v>573.46411656767998</v>
      </c>
      <c r="C4002" s="10">
        <v>1.28449670537503</v>
      </c>
      <c r="D4002" s="10">
        <v>0.271962091453545</v>
      </c>
      <c r="E4002" s="10">
        <v>4.7230726110018804</v>
      </c>
      <c r="F4002" s="4">
        <v>2.3230786002492201E-6</v>
      </c>
      <c r="G4002" s="4">
        <v>1.8644159829452299E-5</v>
      </c>
      <c r="H4002" s="10" t="s">
        <v>8017</v>
      </c>
      <c r="I4002" s="10" t="s">
        <v>18</v>
      </c>
    </row>
    <row r="4003" spans="1:9" x14ac:dyDescent="0.2">
      <c r="A4003" s="10" t="s">
        <v>8018</v>
      </c>
      <c r="B4003" s="10">
        <v>183.27899005612301</v>
      </c>
      <c r="C4003" s="10">
        <v>1.7428194044017</v>
      </c>
      <c r="D4003" s="10">
        <v>0.32469959780930502</v>
      </c>
      <c r="E4003" s="10">
        <v>5.3674824858429799</v>
      </c>
      <c r="F4003" s="4">
        <v>7.9843258744725706E-8</v>
      </c>
      <c r="G4003" s="4">
        <v>8.2404896629452302E-7</v>
      </c>
      <c r="H4003" s="10" t="s">
        <v>8019</v>
      </c>
      <c r="I4003" s="10" t="s">
        <v>18</v>
      </c>
    </row>
    <row r="4004" spans="1:9" x14ac:dyDescent="0.2">
      <c r="A4004" s="10" t="s">
        <v>8020</v>
      </c>
      <c r="B4004" s="10">
        <v>383.83823305237701</v>
      </c>
      <c r="C4004" s="10">
        <v>2.2791810028192301</v>
      </c>
      <c r="D4004" s="10">
        <v>0.26590049668055399</v>
      </c>
      <c r="E4004" s="10">
        <v>8.5715560191577005</v>
      </c>
      <c r="F4004" s="4">
        <v>1.0209603186429499E-17</v>
      </c>
      <c r="G4004" s="4">
        <v>3.22715844571513E-16</v>
      </c>
      <c r="H4004" s="10" t="s">
        <v>8021</v>
      </c>
      <c r="I4004" s="10" t="s">
        <v>18</v>
      </c>
    </row>
    <row r="4005" spans="1:9" x14ac:dyDescent="0.2">
      <c r="A4005" s="10" t="s">
        <v>8022</v>
      </c>
      <c r="B4005" s="10">
        <v>3.8560994410470699</v>
      </c>
      <c r="C4005" s="10">
        <v>5.3491168120911601</v>
      </c>
      <c r="D4005" s="10">
        <v>2.2210669996358101</v>
      </c>
      <c r="E4005" s="10">
        <v>2.4083545489479898</v>
      </c>
      <c r="F4005" s="10">
        <v>1.6024610240486702E-2</v>
      </c>
      <c r="G4005" s="10">
        <v>4.7034639149255701E-2</v>
      </c>
      <c r="H4005" s="10" t="s">
        <v>8023</v>
      </c>
      <c r="I4005" s="10" t="s">
        <v>18</v>
      </c>
    </row>
    <row r="4006" spans="1:9" x14ac:dyDescent="0.2">
      <c r="A4006" s="10" t="s">
        <v>8024</v>
      </c>
      <c r="B4006" s="10">
        <v>1209.7649849842201</v>
      </c>
      <c r="C4006" s="10">
        <v>-1.88553781570584</v>
      </c>
      <c r="D4006" s="10">
        <v>0.20302299710806099</v>
      </c>
      <c r="E4006" s="10">
        <v>-9.2873114995058597</v>
      </c>
      <c r="F4006" s="4">
        <v>1.58234600583896E-20</v>
      </c>
      <c r="G4006" s="4">
        <v>6.4542188055530396E-19</v>
      </c>
      <c r="H4006" s="10" t="s">
        <v>8025</v>
      </c>
      <c r="I4006" s="10" t="s">
        <v>18</v>
      </c>
    </row>
    <row r="4007" spans="1:9" x14ac:dyDescent="0.2">
      <c r="A4007" s="10" t="s">
        <v>8026</v>
      </c>
      <c r="B4007" s="10">
        <v>79.775582162159694</v>
      </c>
      <c r="C4007" s="10">
        <v>-2.05206975595318</v>
      </c>
      <c r="D4007" s="10">
        <v>0.455615308024026</v>
      </c>
      <c r="E4007" s="10">
        <v>-4.5039526104881604</v>
      </c>
      <c r="F4007" s="4">
        <v>6.6701086579688603E-6</v>
      </c>
      <c r="G4007" s="4">
        <v>4.9026288266435802E-5</v>
      </c>
      <c r="H4007" s="10" t="s">
        <v>8027</v>
      </c>
      <c r="I4007" s="10" t="s">
        <v>18</v>
      </c>
    </row>
    <row r="4008" spans="1:9" x14ac:dyDescent="0.2">
      <c r="A4008" s="10" t="s">
        <v>8028</v>
      </c>
      <c r="B4008" s="10">
        <v>13.0720142013125</v>
      </c>
      <c r="C4008" s="10">
        <v>3.9834157780305701</v>
      </c>
      <c r="D4008" s="10">
        <v>1.20424441996249</v>
      </c>
      <c r="E4008" s="10">
        <v>3.30781335748655</v>
      </c>
      <c r="F4008" s="10">
        <v>9.4027452523264097E-4</v>
      </c>
      <c r="G4008" s="10">
        <v>4.1807539146562897E-3</v>
      </c>
      <c r="H4008" s="10" t="s">
        <v>8029</v>
      </c>
      <c r="I4008" s="10" t="s">
        <v>18</v>
      </c>
    </row>
    <row r="4009" spans="1:9" x14ac:dyDescent="0.2">
      <c r="A4009" s="10" t="s">
        <v>8030</v>
      </c>
      <c r="B4009" s="10">
        <v>1692.32689357915</v>
      </c>
      <c r="C4009" s="10">
        <v>-1.2053227312489501</v>
      </c>
      <c r="D4009" s="10">
        <v>0.202638636239453</v>
      </c>
      <c r="E4009" s="10">
        <v>-5.9481387834877202</v>
      </c>
      <c r="F4009" s="4">
        <v>2.7120860402170398E-9</v>
      </c>
      <c r="G4009" s="4">
        <v>3.4725661812872999E-8</v>
      </c>
      <c r="H4009" s="10" t="s">
        <v>8031</v>
      </c>
      <c r="I4009" s="10" t="s">
        <v>18</v>
      </c>
    </row>
    <row r="4010" spans="1:9" x14ac:dyDescent="0.2">
      <c r="A4010" s="10" t="s">
        <v>8032</v>
      </c>
      <c r="B4010" s="10">
        <v>1166.2150401901999</v>
      </c>
      <c r="C4010" s="10">
        <v>-1.6386625343019301</v>
      </c>
      <c r="D4010" s="10">
        <v>0.22478428914173701</v>
      </c>
      <c r="E4010" s="10">
        <v>-7.2899335650129702</v>
      </c>
      <c r="F4010" s="4">
        <v>3.1010790345093802E-13</v>
      </c>
      <c r="G4010" s="4">
        <v>6.55508925161186E-12</v>
      </c>
      <c r="H4010" s="10" t="s">
        <v>8033</v>
      </c>
      <c r="I4010" s="10" t="s">
        <v>18</v>
      </c>
    </row>
    <row r="4011" spans="1:9" x14ac:dyDescent="0.2">
      <c r="A4011" s="10" t="s">
        <v>8034</v>
      </c>
      <c r="B4011" s="10">
        <v>2191.60369076816</v>
      </c>
      <c r="C4011" s="10">
        <v>-1.27276914067932</v>
      </c>
      <c r="D4011" s="10">
        <v>0.182885376034501</v>
      </c>
      <c r="E4011" s="10">
        <v>-6.9593817082411897</v>
      </c>
      <c r="F4011" s="4">
        <v>3.41769347917836E-12</v>
      </c>
      <c r="G4011" s="4">
        <v>6.3262156404329399E-11</v>
      </c>
      <c r="H4011" s="10" t="s">
        <v>8035</v>
      </c>
      <c r="I4011" s="10" t="s">
        <v>18</v>
      </c>
    </row>
    <row r="4012" spans="1:9" x14ac:dyDescent="0.2">
      <c r="A4012" s="10" t="s">
        <v>8036</v>
      </c>
      <c r="B4012" s="10">
        <v>943.39371482143099</v>
      </c>
      <c r="C4012" s="10">
        <v>-2.5321873575332101</v>
      </c>
      <c r="D4012" s="10">
        <v>0.21942771815787701</v>
      </c>
      <c r="E4012" s="10">
        <v>-11.539961217257501</v>
      </c>
      <c r="F4012" s="4">
        <v>8.2962618345167795E-31</v>
      </c>
      <c r="G4012" s="4">
        <v>6.9127904038250298E-29</v>
      </c>
      <c r="H4012" s="10" t="s">
        <v>8037</v>
      </c>
      <c r="I4012" s="10" t="s">
        <v>18</v>
      </c>
    </row>
    <row r="4013" spans="1:9" x14ac:dyDescent="0.2">
      <c r="A4013" s="10" t="s">
        <v>8038</v>
      </c>
      <c r="B4013" s="10">
        <v>9749.0802889413408</v>
      </c>
      <c r="C4013" s="10">
        <v>-2.08361982322779</v>
      </c>
      <c r="D4013" s="10">
        <v>0.189711779723061</v>
      </c>
      <c r="E4013" s="10">
        <v>-10.983080893919301</v>
      </c>
      <c r="F4013" s="4">
        <v>4.6093070268844204E-28</v>
      </c>
      <c r="G4013" s="4">
        <v>3.1241240935701401E-26</v>
      </c>
      <c r="H4013" s="10" t="s">
        <v>8039</v>
      </c>
      <c r="I4013" s="10" t="s">
        <v>18</v>
      </c>
    </row>
    <row r="4014" spans="1:9" x14ac:dyDescent="0.2">
      <c r="A4014" s="10" t="s">
        <v>8040</v>
      </c>
      <c r="B4014" s="10">
        <v>295.36027015007897</v>
      </c>
      <c r="C4014" s="10">
        <v>2.0151154325837202</v>
      </c>
      <c r="D4014" s="10">
        <v>0.29657724263579799</v>
      </c>
      <c r="E4014" s="10">
        <v>6.7945720132623704</v>
      </c>
      <c r="F4014" s="4">
        <v>1.0863454233394901E-11</v>
      </c>
      <c r="G4014" s="4">
        <v>1.9133583548630399E-10</v>
      </c>
      <c r="H4014" s="10" t="s">
        <v>8041</v>
      </c>
      <c r="I4014" s="10" t="s">
        <v>18</v>
      </c>
    </row>
    <row r="4015" spans="1:9" x14ac:dyDescent="0.2">
      <c r="A4015" s="10" t="s">
        <v>8042</v>
      </c>
      <c r="B4015" s="10">
        <v>184.728464621402</v>
      </c>
      <c r="C4015" s="10">
        <v>-1.2566633900572599</v>
      </c>
      <c r="D4015" s="10">
        <v>0.317741552859714</v>
      </c>
      <c r="E4015" s="10">
        <v>-3.9549859901770099</v>
      </c>
      <c r="F4015" s="4">
        <v>7.6539136766071497E-5</v>
      </c>
      <c r="G4015" s="10">
        <v>4.5061837931399098E-4</v>
      </c>
      <c r="H4015" s="10" t="s">
        <v>8043</v>
      </c>
      <c r="I4015" s="10" t="s">
        <v>18</v>
      </c>
    </row>
    <row r="4016" spans="1:9" x14ac:dyDescent="0.2">
      <c r="A4016" s="10" t="s">
        <v>8044</v>
      </c>
      <c r="B4016" s="10">
        <v>28.945368176596801</v>
      </c>
      <c r="C4016" s="10">
        <v>-1.91020391917414</v>
      </c>
      <c r="D4016" s="10">
        <v>0.67454725760715695</v>
      </c>
      <c r="E4016" s="10">
        <v>-2.83183112470173</v>
      </c>
      <c r="F4016" s="10">
        <v>4.6282285254621303E-3</v>
      </c>
      <c r="G4016" s="10">
        <v>1.6619048844658198E-2</v>
      </c>
      <c r="H4016" s="10" t="s">
        <v>8045</v>
      </c>
      <c r="I4016" s="10" t="s">
        <v>18</v>
      </c>
    </row>
    <row r="4017" spans="1:9" x14ac:dyDescent="0.2">
      <c r="A4017" s="10" t="s">
        <v>8046</v>
      </c>
      <c r="B4017" s="10">
        <v>2178.1660070284202</v>
      </c>
      <c r="C4017" s="10">
        <v>-1.1504780255369</v>
      </c>
      <c r="D4017" s="10">
        <v>0.211153219002262</v>
      </c>
      <c r="E4017" s="10">
        <v>-5.4485459941038403</v>
      </c>
      <c r="F4017" s="4">
        <v>5.0783259673509902E-8</v>
      </c>
      <c r="G4017" s="4">
        <v>5.4284590782552095E-7</v>
      </c>
      <c r="H4017" s="10" t="s">
        <v>8047</v>
      </c>
      <c r="I4017" s="10" t="s">
        <v>18</v>
      </c>
    </row>
    <row r="4018" spans="1:9" x14ac:dyDescent="0.2">
      <c r="A4018" s="10" t="s">
        <v>8048</v>
      </c>
      <c r="B4018" s="10">
        <v>1312.6406896619801</v>
      </c>
      <c r="C4018" s="10">
        <v>-3.9171272652481099</v>
      </c>
      <c r="D4018" s="10">
        <v>0.22196942277105899</v>
      </c>
      <c r="E4018" s="10">
        <v>-17.647148045648901</v>
      </c>
      <c r="F4018" s="4">
        <v>1.07026160002706E-69</v>
      </c>
      <c r="G4018" s="4">
        <v>4.6287964787202199E-67</v>
      </c>
      <c r="H4018" s="10" t="s">
        <v>8049</v>
      </c>
      <c r="I4018" s="10" t="s">
        <v>18</v>
      </c>
    </row>
    <row r="4019" spans="1:9" x14ac:dyDescent="0.2">
      <c r="A4019" s="10" t="s">
        <v>8050</v>
      </c>
      <c r="B4019" s="10">
        <v>1607.6845337223999</v>
      </c>
      <c r="C4019" s="10">
        <v>-1.59319189788605</v>
      </c>
      <c r="D4019" s="10">
        <v>0.23039543600413201</v>
      </c>
      <c r="E4019" s="10">
        <v>-6.9150323700747203</v>
      </c>
      <c r="F4019" s="4">
        <v>4.6775655218089299E-12</v>
      </c>
      <c r="G4019" s="4">
        <v>8.5250587138948506E-11</v>
      </c>
      <c r="H4019" s="10" t="s">
        <v>8051</v>
      </c>
      <c r="I4019" s="10" t="s">
        <v>18</v>
      </c>
    </row>
    <row r="4020" spans="1:9" x14ac:dyDescent="0.2">
      <c r="A4020" s="10" t="s">
        <v>8052</v>
      </c>
      <c r="B4020" s="10">
        <v>26.1596947115281</v>
      </c>
      <c r="C4020" s="10">
        <v>-2.3302299672897502</v>
      </c>
      <c r="D4020" s="10">
        <v>0.73697787779168999</v>
      </c>
      <c r="E4020" s="10">
        <v>-3.1618723404183302</v>
      </c>
      <c r="F4020" s="10">
        <v>1.5675826960964501E-3</v>
      </c>
      <c r="G4020" s="10">
        <v>6.5268835147524202E-3</v>
      </c>
      <c r="H4020" s="10" t="s">
        <v>8053</v>
      </c>
      <c r="I4020" s="10" t="s">
        <v>18</v>
      </c>
    </row>
    <row r="4021" spans="1:9" x14ac:dyDescent="0.2">
      <c r="A4021" s="10" t="s">
        <v>8054</v>
      </c>
      <c r="B4021" s="10">
        <v>123.77659029270301</v>
      </c>
      <c r="C4021" s="10">
        <v>-2.7606893151221099</v>
      </c>
      <c r="D4021" s="10">
        <v>0.36589244998046699</v>
      </c>
      <c r="E4021" s="10">
        <v>-7.54508412313369</v>
      </c>
      <c r="F4021" s="4">
        <v>4.5199564243714899E-14</v>
      </c>
      <c r="G4021" s="4">
        <v>1.0392848328679301E-12</v>
      </c>
      <c r="H4021" s="10" t="s">
        <v>8055</v>
      </c>
      <c r="I4021" s="10" t="s">
        <v>18</v>
      </c>
    </row>
    <row r="4022" spans="1:9" x14ac:dyDescent="0.2">
      <c r="A4022" s="10" t="s">
        <v>8056</v>
      </c>
      <c r="B4022" s="10">
        <v>319.604544997895</v>
      </c>
      <c r="C4022" s="10">
        <v>-3.7401996660262502</v>
      </c>
      <c r="D4022" s="10">
        <v>0.34536670428740601</v>
      </c>
      <c r="E4022" s="10">
        <v>-10.829647501033399</v>
      </c>
      <c r="F4022" s="4">
        <v>2.4911244073270101E-27</v>
      </c>
      <c r="G4022" s="4">
        <v>1.6199443132801699E-25</v>
      </c>
      <c r="H4022" s="10" t="s">
        <v>8057</v>
      </c>
      <c r="I4022" s="10" t="s">
        <v>18</v>
      </c>
    </row>
    <row r="4023" spans="1:9" x14ac:dyDescent="0.2">
      <c r="A4023" s="10" t="s">
        <v>8058</v>
      </c>
      <c r="B4023" s="10">
        <v>1645.68514485065</v>
      </c>
      <c r="C4023" s="10">
        <v>4.8597026183974297</v>
      </c>
      <c r="D4023" s="10">
        <v>0.22808660190451399</v>
      </c>
      <c r="E4023" s="10">
        <v>21.3063922993245</v>
      </c>
      <c r="F4023" s="4">
        <v>9.9039005374431904E-101</v>
      </c>
      <c r="G4023" s="4">
        <v>1.0794063117748601E-97</v>
      </c>
      <c r="H4023" s="10" t="s">
        <v>8059</v>
      </c>
      <c r="I4023" s="10" t="s">
        <v>18</v>
      </c>
    </row>
    <row r="4024" spans="1:9" x14ac:dyDescent="0.2">
      <c r="A4024" s="10" t="s">
        <v>8060</v>
      </c>
      <c r="B4024" s="10">
        <v>91.676332734303401</v>
      </c>
      <c r="C4024" s="10">
        <v>-2.04166153527316</v>
      </c>
      <c r="D4024" s="10">
        <v>0.41471407190001602</v>
      </c>
      <c r="E4024" s="10">
        <v>-4.9230582553402797</v>
      </c>
      <c r="F4024" s="4">
        <v>8.5202075146960602E-7</v>
      </c>
      <c r="G4024" s="4">
        <v>7.4003855324489503E-6</v>
      </c>
      <c r="H4024" s="10" t="s">
        <v>8061</v>
      </c>
      <c r="I4024" s="10" t="s">
        <v>18</v>
      </c>
    </row>
    <row r="4025" spans="1:9" x14ac:dyDescent="0.2">
      <c r="A4025" s="10" t="s">
        <v>8062</v>
      </c>
      <c r="B4025" s="10">
        <v>223.13619237577799</v>
      </c>
      <c r="C4025" s="10">
        <v>-1.4997286617594701</v>
      </c>
      <c r="D4025" s="10">
        <v>0.31340523861191399</v>
      </c>
      <c r="E4025" s="10">
        <v>-4.7852699221041703</v>
      </c>
      <c r="F4025" s="4">
        <v>1.7075769358689999E-6</v>
      </c>
      <c r="G4025" s="4">
        <v>1.4030865130163599E-5</v>
      </c>
      <c r="H4025" s="10" t="s">
        <v>8063</v>
      </c>
      <c r="I4025" s="10" t="s">
        <v>18</v>
      </c>
    </row>
    <row r="4026" spans="1:9" x14ac:dyDescent="0.2">
      <c r="A4026" s="10" t="s">
        <v>8064</v>
      </c>
      <c r="B4026" s="10">
        <v>1375.5790155817199</v>
      </c>
      <c r="C4026" s="10">
        <v>-1.2111467563677201</v>
      </c>
      <c r="D4026" s="10">
        <v>0.23009773678430201</v>
      </c>
      <c r="E4026" s="10">
        <v>-5.2636187269545696</v>
      </c>
      <c r="F4026" s="4">
        <v>1.4124721997685001E-7</v>
      </c>
      <c r="G4026" s="4">
        <v>1.3959241939460399E-6</v>
      </c>
      <c r="H4026" s="10" t="s">
        <v>8065</v>
      </c>
      <c r="I4026" s="10" t="s">
        <v>18</v>
      </c>
    </row>
    <row r="4027" spans="1:9" x14ac:dyDescent="0.2">
      <c r="A4027" s="10" t="s">
        <v>8066</v>
      </c>
      <c r="B4027" s="10">
        <v>718.40156846643004</v>
      </c>
      <c r="C4027" s="10">
        <v>-1.41249387116875</v>
      </c>
      <c r="D4027" s="10">
        <v>0.249571455821298</v>
      </c>
      <c r="E4027" s="10">
        <v>-5.6596771714956997</v>
      </c>
      <c r="F4027" s="4">
        <v>1.5165800931317501E-8</v>
      </c>
      <c r="G4027" s="4">
        <v>1.7598917290272901E-7</v>
      </c>
      <c r="H4027" s="10" t="s">
        <v>8067</v>
      </c>
      <c r="I4027" s="10" t="s">
        <v>18</v>
      </c>
    </row>
    <row r="4028" spans="1:9" x14ac:dyDescent="0.2">
      <c r="A4028" s="10" t="s">
        <v>8068</v>
      </c>
      <c r="B4028" s="10">
        <v>1527.0995117478899</v>
      </c>
      <c r="C4028" s="10">
        <v>-1.69641631484439</v>
      </c>
      <c r="D4028" s="10">
        <v>0.23388426670777801</v>
      </c>
      <c r="E4028" s="10">
        <v>-7.2532297222195998</v>
      </c>
      <c r="F4028" s="4">
        <v>4.0694899816759201E-13</v>
      </c>
      <c r="G4028" s="4">
        <v>8.4842791797592808E-12</v>
      </c>
      <c r="H4028" s="10" t="s">
        <v>8069</v>
      </c>
      <c r="I4028" s="10" t="s">
        <v>18</v>
      </c>
    </row>
    <row r="4029" spans="1:9" x14ac:dyDescent="0.2">
      <c r="A4029" s="10" t="s">
        <v>8070</v>
      </c>
      <c r="B4029" s="10">
        <v>465.82504173497603</v>
      </c>
      <c r="C4029" s="10">
        <v>1.14974146682352</v>
      </c>
      <c r="D4029" s="10">
        <v>0.24400856941056701</v>
      </c>
      <c r="E4029" s="10">
        <v>4.7118897078117499</v>
      </c>
      <c r="F4029" s="4">
        <v>2.4543020798099401E-6</v>
      </c>
      <c r="G4029" s="4">
        <v>1.9559043219824899E-5</v>
      </c>
      <c r="H4029" s="10" t="s">
        <v>8071</v>
      </c>
      <c r="I4029" s="10" t="s">
        <v>18</v>
      </c>
    </row>
    <row r="4030" spans="1:9" x14ac:dyDescent="0.2">
      <c r="A4030" s="10" t="s">
        <v>8072</v>
      </c>
      <c r="B4030" s="10">
        <v>199.35588588013599</v>
      </c>
      <c r="C4030" s="10">
        <v>1.3535127803034499</v>
      </c>
      <c r="D4030" s="10">
        <v>0.32070571381748703</v>
      </c>
      <c r="E4030" s="10">
        <v>4.2204199114261201</v>
      </c>
      <c r="F4030" s="4">
        <v>2.43847678046081E-5</v>
      </c>
      <c r="G4030" s="10">
        <v>1.5910243495501799E-4</v>
      </c>
      <c r="H4030" s="10" t="s">
        <v>8073</v>
      </c>
      <c r="I4030" s="10" t="s">
        <v>18</v>
      </c>
    </row>
    <row r="4031" spans="1:9" x14ac:dyDescent="0.2">
      <c r="A4031" s="10" t="s">
        <v>8074</v>
      </c>
      <c r="B4031" s="10">
        <v>346.63203766406201</v>
      </c>
      <c r="C4031" s="10">
        <v>1.69707053471015</v>
      </c>
      <c r="D4031" s="10">
        <v>0.27154353543433402</v>
      </c>
      <c r="E4031" s="10">
        <v>6.2497180497988403</v>
      </c>
      <c r="F4031" s="4">
        <v>4.1119430443262498E-10</v>
      </c>
      <c r="G4031" s="4">
        <v>5.8444502936232296E-9</v>
      </c>
      <c r="H4031" s="10" t="s">
        <v>8075</v>
      </c>
      <c r="I4031" s="10" t="s">
        <v>18</v>
      </c>
    </row>
    <row r="4032" spans="1:9" x14ac:dyDescent="0.2">
      <c r="A4032" s="10" t="s">
        <v>8076</v>
      </c>
      <c r="B4032" s="10">
        <v>92.416681405056295</v>
      </c>
      <c r="C4032" s="10">
        <v>5.4479584992646704</v>
      </c>
      <c r="D4032" s="10">
        <v>0.64617442661465196</v>
      </c>
      <c r="E4032" s="10">
        <v>8.4310958076859492</v>
      </c>
      <c r="F4032" s="4">
        <v>3.42443237941713E-17</v>
      </c>
      <c r="G4032" s="4">
        <v>1.03788107944359E-15</v>
      </c>
      <c r="H4032" s="10" t="s">
        <v>8077</v>
      </c>
      <c r="I4032" s="10" t="s">
        <v>18</v>
      </c>
    </row>
    <row r="4033" spans="1:9" x14ac:dyDescent="0.2">
      <c r="A4033" s="10" t="s">
        <v>8078</v>
      </c>
      <c r="B4033" s="10">
        <v>111.792679522976</v>
      </c>
      <c r="C4033" s="10">
        <v>-1.13821488277061</v>
      </c>
      <c r="D4033" s="10">
        <v>0.38048128440250301</v>
      </c>
      <c r="E4033" s="10">
        <v>-2.9915134579037899</v>
      </c>
      <c r="F4033" s="10">
        <v>2.7759830212737298E-3</v>
      </c>
      <c r="G4033" s="10">
        <v>1.06968193156053E-2</v>
      </c>
      <c r="H4033" s="10" t="s">
        <v>8079</v>
      </c>
      <c r="I4033" s="10" t="s">
        <v>18</v>
      </c>
    </row>
    <row r="4034" spans="1:9" x14ac:dyDescent="0.2">
      <c r="A4034" s="10" t="s">
        <v>8080</v>
      </c>
      <c r="B4034" s="10">
        <v>8.2891706675916392</v>
      </c>
      <c r="C4034" s="10">
        <v>4.9588576854821804</v>
      </c>
      <c r="D4034" s="10">
        <v>1.8147687658732901</v>
      </c>
      <c r="E4034" s="10">
        <v>2.7325011201060199</v>
      </c>
      <c r="F4034" s="10">
        <v>6.2855457747905304E-3</v>
      </c>
      <c r="G4034" s="10">
        <v>2.15347191675078E-2</v>
      </c>
      <c r="H4034" s="10" t="s">
        <v>8081</v>
      </c>
      <c r="I4034" s="10" t="s">
        <v>18</v>
      </c>
    </row>
    <row r="4035" spans="1:9" x14ac:dyDescent="0.2">
      <c r="A4035" s="10" t="s">
        <v>8082</v>
      </c>
      <c r="B4035" s="10">
        <v>25.2896737817446</v>
      </c>
      <c r="C4035" s="10">
        <v>8.0572565527833007</v>
      </c>
      <c r="D4035" s="10">
        <v>1.5816496617943101</v>
      </c>
      <c r="E4035" s="10">
        <v>5.0942106506966303</v>
      </c>
      <c r="F4035" s="4">
        <v>3.5019722486203998E-7</v>
      </c>
      <c r="G4035" s="4">
        <v>3.2444147520625601E-6</v>
      </c>
      <c r="H4035" s="10" t="s">
        <v>8083</v>
      </c>
      <c r="I4035" s="10" t="s">
        <v>18</v>
      </c>
    </row>
    <row r="4036" spans="1:9" x14ac:dyDescent="0.2">
      <c r="A4036" s="10" t="s">
        <v>8084</v>
      </c>
      <c r="B4036" s="10">
        <v>658.71082963332003</v>
      </c>
      <c r="C4036" s="10">
        <v>-1.1202457760145901</v>
      </c>
      <c r="D4036" s="10">
        <v>0.245237220105403</v>
      </c>
      <c r="E4036" s="10">
        <v>-4.5680087856692797</v>
      </c>
      <c r="F4036" s="4">
        <v>4.92379399020204E-6</v>
      </c>
      <c r="G4036" s="4">
        <v>3.7193960313566698E-5</v>
      </c>
      <c r="H4036" s="10" t="s">
        <v>8085</v>
      </c>
      <c r="I4036" s="10" t="s">
        <v>18</v>
      </c>
    </row>
    <row r="4037" spans="1:9" x14ac:dyDescent="0.2">
      <c r="A4037" s="10" t="s">
        <v>8086</v>
      </c>
      <c r="B4037" s="10">
        <v>21.506640985018699</v>
      </c>
      <c r="C4037" s="10">
        <v>3.45342186895834</v>
      </c>
      <c r="D4037" s="10">
        <v>0.88238107869508797</v>
      </c>
      <c r="E4037" s="10">
        <v>3.9137533117385601</v>
      </c>
      <c r="F4037" s="4">
        <v>9.0872474784626402E-5</v>
      </c>
      <c r="G4037" s="10">
        <v>5.2591383187270899E-4</v>
      </c>
      <c r="H4037" s="10" t="s">
        <v>8087</v>
      </c>
      <c r="I4037" s="10" t="s">
        <v>18</v>
      </c>
    </row>
    <row r="4038" spans="1:9" x14ac:dyDescent="0.2">
      <c r="A4038" s="10" t="s">
        <v>8088</v>
      </c>
      <c r="B4038" s="10">
        <v>124.65065292721</v>
      </c>
      <c r="C4038" s="10">
        <v>3.0785625217720698</v>
      </c>
      <c r="D4038" s="10">
        <v>0.389381746924154</v>
      </c>
      <c r="E4038" s="10">
        <v>7.9062836049470002</v>
      </c>
      <c r="F4038" s="4">
        <v>2.6518665161353701E-15</v>
      </c>
      <c r="G4038" s="4">
        <v>6.8165478269000302E-14</v>
      </c>
      <c r="H4038" s="10" t="s">
        <v>8089</v>
      </c>
      <c r="I4038" s="10" t="s">
        <v>18</v>
      </c>
    </row>
    <row r="4039" spans="1:9" x14ac:dyDescent="0.2">
      <c r="A4039" s="10" t="s">
        <v>8090</v>
      </c>
      <c r="B4039" s="10">
        <v>378.86892569237</v>
      </c>
      <c r="C4039" s="10">
        <v>1.60782074347895</v>
      </c>
      <c r="D4039" s="10">
        <v>0.28000145041515201</v>
      </c>
      <c r="E4039" s="10">
        <v>5.7421871961558297</v>
      </c>
      <c r="F4039" s="4">
        <v>9.3461418427549396E-9</v>
      </c>
      <c r="G4039" s="4">
        <v>1.11202762790194E-7</v>
      </c>
      <c r="H4039" s="10" t="s">
        <v>8091</v>
      </c>
      <c r="I4039" s="10" t="s">
        <v>18</v>
      </c>
    </row>
    <row r="4040" spans="1:9" x14ac:dyDescent="0.2">
      <c r="A4040" s="10" t="s">
        <v>8092</v>
      </c>
      <c r="B4040" s="10">
        <v>4.1460042795009997</v>
      </c>
      <c r="C4040" s="10">
        <v>5.4444419213328796</v>
      </c>
      <c r="D4040" s="10">
        <v>2.1466105364649501</v>
      </c>
      <c r="E4040" s="10">
        <v>2.5362970267996601</v>
      </c>
      <c r="F4040" s="10">
        <v>1.1203166618934E-2</v>
      </c>
      <c r="G4040" s="10">
        <v>3.5022106570226502E-2</v>
      </c>
      <c r="H4040" s="10" t="s">
        <v>8093</v>
      </c>
      <c r="I4040" s="10" t="s">
        <v>18</v>
      </c>
    </row>
    <row r="4041" spans="1:9" x14ac:dyDescent="0.2">
      <c r="A4041" s="10" t="s">
        <v>8094</v>
      </c>
      <c r="B4041" s="10">
        <v>32.471207838321398</v>
      </c>
      <c r="C4041" s="10">
        <v>4.3248719321939504</v>
      </c>
      <c r="D4041" s="10">
        <v>0.82961091798652697</v>
      </c>
      <c r="E4041" s="10">
        <v>5.2131328535193999</v>
      </c>
      <c r="F4041" s="4">
        <v>1.8567781835844E-7</v>
      </c>
      <c r="G4041" s="4">
        <v>1.80684411314729E-6</v>
      </c>
      <c r="H4041" s="10" t="s">
        <v>8095</v>
      </c>
      <c r="I4041" s="10" t="s">
        <v>18</v>
      </c>
    </row>
    <row r="4042" spans="1:9" x14ac:dyDescent="0.2">
      <c r="A4042" s="10" t="s">
        <v>8096</v>
      </c>
      <c r="B4042" s="10">
        <v>33.418364236665397</v>
      </c>
      <c r="C4042" s="10">
        <v>4.3606911950828904</v>
      </c>
      <c r="D4042" s="10">
        <v>0.81379382312964199</v>
      </c>
      <c r="E4042" s="10">
        <v>5.3584717297469604</v>
      </c>
      <c r="F4042" s="4">
        <v>8.3928866026111895E-8</v>
      </c>
      <c r="G4042" s="4">
        <v>8.6099767041169805E-7</v>
      </c>
      <c r="H4042" s="10" t="s">
        <v>8097</v>
      </c>
      <c r="I4042" s="10" t="s">
        <v>18</v>
      </c>
    </row>
    <row r="4043" spans="1:9" x14ac:dyDescent="0.2">
      <c r="A4043" s="10" t="s">
        <v>8098</v>
      </c>
      <c r="B4043" s="10">
        <v>311.752603019128</v>
      </c>
      <c r="C4043" s="10">
        <v>4.3343943061608101</v>
      </c>
      <c r="D4043" s="10">
        <v>0.32382348889096402</v>
      </c>
      <c r="E4043" s="10">
        <v>13.385052211639501</v>
      </c>
      <c r="F4043" s="4">
        <v>7.3945388633771405E-41</v>
      </c>
      <c r="G4043" s="4">
        <v>1.06602645719808E-38</v>
      </c>
      <c r="H4043" s="10" t="s">
        <v>8099</v>
      </c>
      <c r="I4043" s="10" t="s">
        <v>18</v>
      </c>
    </row>
    <row r="4044" spans="1:9" x14ac:dyDescent="0.2">
      <c r="A4044" s="10" t="s">
        <v>8100</v>
      </c>
      <c r="B4044" s="10">
        <v>977.75075991345102</v>
      </c>
      <c r="C4044" s="10">
        <v>3.15611310974572</v>
      </c>
      <c r="D4044" s="10">
        <v>0.219842050075467</v>
      </c>
      <c r="E4044" s="10">
        <v>14.356275829225099</v>
      </c>
      <c r="F4044" s="4">
        <v>9.7317966494413991E-47</v>
      </c>
      <c r="G4044" s="4">
        <v>1.6782421728312E-44</v>
      </c>
      <c r="H4044" s="10" t="s">
        <v>8101</v>
      </c>
      <c r="I4044" s="10" t="s">
        <v>18</v>
      </c>
    </row>
    <row r="4045" spans="1:9" x14ac:dyDescent="0.2">
      <c r="A4045" s="10" t="s">
        <v>8102</v>
      </c>
      <c r="B4045" s="10">
        <v>496.89198495010402</v>
      </c>
      <c r="C4045" s="10">
        <v>-1.2819620990638201</v>
      </c>
      <c r="D4045" s="10">
        <v>0.22812558413001599</v>
      </c>
      <c r="E4045" s="10">
        <v>-5.6195454970679304</v>
      </c>
      <c r="F4045" s="4">
        <v>1.91460456883566E-8</v>
      </c>
      <c r="G4045" s="4">
        <v>2.19006006242927E-7</v>
      </c>
      <c r="H4045" s="10" t="s">
        <v>8103</v>
      </c>
      <c r="I4045" s="10" t="s">
        <v>18</v>
      </c>
    </row>
    <row r="4046" spans="1:9" x14ac:dyDescent="0.2">
      <c r="A4046" s="10" t="s">
        <v>8104</v>
      </c>
      <c r="B4046" s="10">
        <v>196.65779960061599</v>
      </c>
      <c r="C4046" s="10">
        <v>-1.71665575360641</v>
      </c>
      <c r="D4046" s="10">
        <v>0.293135721997905</v>
      </c>
      <c r="E4046" s="10">
        <v>-5.8561806862238299</v>
      </c>
      <c r="F4046" s="4">
        <v>4.73632913791933E-9</v>
      </c>
      <c r="G4046" s="4">
        <v>5.89272876807708E-8</v>
      </c>
      <c r="H4046" s="10" t="s">
        <v>8105</v>
      </c>
      <c r="I4046" s="10" t="s">
        <v>18</v>
      </c>
    </row>
    <row r="4047" spans="1:9" x14ac:dyDescent="0.2">
      <c r="A4047" s="10" t="s">
        <v>8106</v>
      </c>
      <c r="B4047" s="10">
        <v>704.008041954693</v>
      </c>
      <c r="C4047" s="10">
        <v>-1.9162771498328901</v>
      </c>
      <c r="D4047" s="10">
        <v>0.22222382709601099</v>
      </c>
      <c r="E4047" s="10">
        <v>-8.6231848981926404</v>
      </c>
      <c r="F4047" s="4">
        <v>6.5117187111986001E-18</v>
      </c>
      <c r="G4047" s="4">
        <v>2.08489776408964E-16</v>
      </c>
      <c r="H4047" s="10" t="s">
        <v>8107</v>
      </c>
      <c r="I4047" s="10" t="s">
        <v>18</v>
      </c>
    </row>
    <row r="4048" spans="1:9" x14ac:dyDescent="0.2">
      <c r="A4048" s="10" t="s">
        <v>8108</v>
      </c>
      <c r="B4048" s="10">
        <v>1767.4562302746399</v>
      </c>
      <c r="C4048" s="10">
        <v>-1.6211827311135201</v>
      </c>
      <c r="D4048" s="10">
        <v>0.21515012481926701</v>
      </c>
      <c r="E4048" s="10">
        <v>-7.5351233585170503</v>
      </c>
      <c r="F4048" s="4">
        <v>4.8787339399308502E-14</v>
      </c>
      <c r="G4048" s="4">
        <v>1.11519180923906E-12</v>
      </c>
      <c r="H4048" s="10" t="s">
        <v>8109</v>
      </c>
      <c r="I4048" s="10" t="s">
        <v>18</v>
      </c>
    </row>
    <row r="4049" spans="1:9" x14ac:dyDescent="0.2">
      <c r="A4049" s="10" t="s">
        <v>8110</v>
      </c>
      <c r="B4049" s="10">
        <v>48.818710992455998</v>
      </c>
      <c r="C4049" s="10">
        <v>-2.3307817175123899</v>
      </c>
      <c r="D4049" s="10">
        <v>0.53134470577568405</v>
      </c>
      <c r="E4049" s="10">
        <v>-4.38657182837607</v>
      </c>
      <c r="F4049" s="4">
        <v>1.15151150011644E-5</v>
      </c>
      <c r="G4049" s="4">
        <v>8.0739150395451695E-5</v>
      </c>
      <c r="H4049" s="10" t="s">
        <v>8111</v>
      </c>
      <c r="I4049" s="10" t="s">
        <v>18</v>
      </c>
    </row>
    <row r="4050" spans="1:9" x14ac:dyDescent="0.2">
      <c r="A4050" s="10" t="s">
        <v>8112</v>
      </c>
      <c r="B4050" s="10">
        <v>19703.849223486701</v>
      </c>
      <c r="C4050" s="10">
        <v>-1.1330213426995599</v>
      </c>
      <c r="D4050" s="10">
        <v>0.228353462038213</v>
      </c>
      <c r="E4050" s="10">
        <v>-4.9616998690826204</v>
      </c>
      <c r="F4050" s="4">
        <v>6.9878914018480404E-7</v>
      </c>
      <c r="G4050" s="4">
        <v>6.1399250895244601E-6</v>
      </c>
      <c r="H4050" s="10" t="s">
        <v>8113</v>
      </c>
      <c r="I4050" s="10" t="s">
        <v>18</v>
      </c>
    </row>
    <row r="4051" spans="1:9" x14ac:dyDescent="0.2">
      <c r="A4051" s="10" t="s">
        <v>8114</v>
      </c>
      <c r="B4051" s="10">
        <v>1922.6157011809501</v>
      </c>
      <c r="C4051" s="10">
        <v>-1.1674772694454401</v>
      </c>
      <c r="D4051" s="10">
        <v>0.24208265161438799</v>
      </c>
      <c r="E4051" s="10">
        <v>-4.8226391344436799</v>
      </c>
      <c r="F4051" s="4">
        <v>1.4167114191067401E-6</v>
      </c>
      <c r="G4051" s="4">
        <v>1.18263284425249E-5</v>
      </c>
      <c r="H4051" s="10" t="s">
        <v>8115</v>
      </c>
      <c r="I4051" s="10" t="s">
        <v>18</v>
      </c>
    </row>
    <row r="4052" spans="1:9" x14ac:dyDescent="0.2">
      <c r="A4052" s="10" t="s">
        <v>8116</v>
      </c>
      <c r="B4052" s="10">
        <v>64.403685035462104</v>
      </c>
      <c r="C4052" s="10">
        <v>-1.2916176370391399</v>
      </c>
      <c r="D4052" s="10">
        <v>0.45057371589016798</v>
      </c>
      <c r="E4052" s="10">
        <v>-2.8666067093757999</v>
      </c>
      <c r="F4052" s="10">
        <v>4.1489825988246399E-3</v>
      </c>
      <c r="G4052" s="10">
        <v>1.51132792607186E-2</v>
      </c>
      <c r="H4052" s="10" t="s">
        <v>8117</v>
      </c>
      <c r="I4052" s="10" t="s">
        <v>18</v>
      </c>
    </row>
    <row r="4053" spans="1:9" x14ac:dyDescent="0.2">
      <c r="A4053" s="10" t="s">
        <v>8118</v>
      </c>
      <c r="B4053" s="10">
        <v>183.93009900893901</v>
      </c>
      <c r="C4053" s="10">
        <v>1.21628266007898</v>
      </c>
      <c r="D4053" s="10">
        <v>0.30350620062674599</v>
      </c>
      <c r="E4053" s="10">
        <v>4.0074392469324698</v>
      </c>
      <c r="F4053" s="4">
        <v>6.1380643688663906E-5</v>
      </c>
      <c r="G4053" s="10">
        <v>3.6862208476637099E-4</v>
      </c>
      <c r="H4053" s="10" t="s">
        <v>8119</v>
      </c>
      <c r="I4053" s="10" t="s">
        <v>18</v>
      </c>
    </row>
    <row r="4054" spans="1:9" x14ac:dyDescent="0.2">
      <c r="A4054" s="10" t="s">
        <v>8120</v>
      </c>
      <c r="B4054" s="10">
        <v>4090.39318526644</v>
      </c>
      <c r="C4054" s="10">
        <v>-1.62252902173961</v>
      </c>
      <c r="D4054" s="10">
        <v>0.220312468290247</v>
      </c>
      <c r="E4054" s="10">
        <v>-7.3646717969772002</v>
      </c>
      <c r="F4054" s="4">
        <v>1.77583223707015E-13</v>
      </c>
      <c r="G4054" s="4">
        <v>3.8647045497963497E-12</v>
      </c>
      <c r="H4054" s="10" t="s">
        <v>8121</v>
      </c>
      <c r="I4054" s="10" t="s">
        <v>18</v>
      </c>
    </row>
    <row r="4055" spans="1:9" x14ac:dyDescent="0.2">
      <c r="A4055" s="10" t="s">
        <v>8122</v>
      </c>
      <c r="B4055" s="10">
        <v>1767.55618674427</v>
      </c>
      <c r="C4055" s="10">
        <v>1.0318192612842301</v>
      </c>
      <c r="D4055" s="10">
        <v>0.20342204180312501</v>
      </c>
      <c r="E4055" s="10">
        <v>5.07230805540161</v>
      </c>
      <c r="F4055" s="4">
        <v>3.9301948052871302E-7</v>
      </c>
      <c r="G4055" s="4">
        <v>3.6128885917563602E-6</v>
      </c>
      <c r="H4055" s="10" t="s">
        <v>8123</v>
      </c>
      <c r="I4055" s="10" t="s">
        <v>18</v>
      </c>
    </row>
    <row r="4056" spans="1:9" x14ac:dyDescent="0.2">
      <c r="A4056" s="10" t="s">
        <v>8124</v>
      </c>
      <c r="B4056" s="10">
        <v>355.64079313330001</v>
      </c>
      <c r="C4056" s="10">
        <v>1.19578776451797</v>
      </c>
      <c r="D4056" s="10">
        <v>0.25567843411403501</v>
      </c>
      <c r="E4056" s="10">
        <v>4.6769207135578501</v>
      </c>
      <c r="F4056" s="4">
        <v>2.91214787802363E-6</v>
      </c>
      <c r="G4056" s="4">
        <v>2.29460072968508E-5</v>
      </c>
      <c r="H4056" s="10" t="s">
        <v>8125</v>
      </c>
      <c r="I4056" s="10" t="s">
        <v>18</v>
      </c>
    </row>
    <row r="4057" spans="1:9" x14ac:dyDescent="0.2">
      <c r="A4057" s="10" t="s">
        <v>8126</v>
      </c>
      <c r="B4057" s="10">
        <v>87.727379030951496</v>
      </c>
      <c r="C4057" s="10">
        <v>1.1551587868701501</v>
      </c>
      <c r="D4057" s="10">
        <v>0.43421409890220503</v>
      </c>
      <c r="E4057" s="10">
        <v>2.6603438022640602</v>
      </c>
      <c r="F4057" s="10">
        <v>7.8060924905416201E-3</v>
      </c>
      <c r="G4057" s="10">
        <v>2.5831017985157599E-2</v>
      </c>
      <c r="H4057" s="10" t="s">
        <v>8127</v>
      </c>
      <c r="I4057" s="10" t="s">
        <v>18</v>
      </c>
    </row>
    <row r="4058" spans="1:9" x14ac:dyDescent="0.2">
      <c r="A4058" s="10" t="s">
        <v>8128</v>
      </c>
      <c r="B4058" s="10">
        <v>350.37616001536401</v>
      </c>
      <c r="C4058" s="10">
        <v>2.0611552214581099</v>
      </c>
      <c r="D4058" s="10">
        <v>0.28114535873705698</v>
      </c>
      <c r="E4058" s="10">
        <v>7.3312795584358597</v>
      </c>
      <c r="F4058" s="4">
        <v>2.2796556155553301E-13</v>
      </c>
      <c r="G4058" s="4">
        <v>4.8831585343581797E-12</v>
      </c>
      <c r="H4058" s="10" t="s">
        <v>8129</v>
      </c>
      <c r="I4058" s="10" t="s">
        <v>18</v>
      </c>
    </row>
    <row r="4059" spans="1:9" x14ac:dyDescent="0.2">
      <c r="A4059" s="10" t="s">
        <v>8130</v>
      </c>
      <c r="B4059" s="10">
        <v>951.78439784749503</v>
      </c>
      <c r="C4059" s="10">
        <v>1.7114538533988</v>
      </c>
      <c r="D4059" s="10">
        <v>0.26614795878251302</v>
      </c>
      <c r="E4059" s="10">
        <v>6.4304601892413702</v>
      </c>
      <c r="F4059" s="4">
        <v>1.2721819779452801E-10</v>
      </c>
      <c r="G4059" s="4">
        <v>1.9506551689969101E-9</v>
      </c>
      <c r="H4059" s="10" t="s">
        <v>8131</v>
      </c>
      <c r="I4059" s="10" t="s">
        <v>18</v>
      </c>
    </row>
    <row r="4060" spans="1:9" x14ac:dyDescent="0.2">
      <c r="A4060" s="10" t="s">
        <v>8132</v>
      </c>
      <c r="B4060" s="10">
        <v>41.321481123363903</v>
      </c>
      <c r="C4060" s="10">
        <v>5.2880963812989501</v>
      </c>
      <c r="D4060" s="10">
        <v>0.88669375524531102</v>
      </c>
      <c r="E4060" s="10">
        <v>5.9638362738169501</v>
      </c>
      <c r="F4060" s="4">
        <v>2.46383623234236E-9</v>
      </c>
      <c r="G4060" s="4">
        <v>3.1666106520109597E-8</v>
      </c>
      <c r="H4060" s="10" t="s">
        <v>8133</v>
      </c>
      <c r="I4060" s="10" t="s">
        <v>18</v>
      </c>
    </row>
    <row r="4061" spans="1:9" x14ac:dyDescent="0.2">
      <c r="A4061" s="10" t="s">
        <v>8134</v>
      </c>
      <c r="B4061" s="10">
        <v>205.67833572418499</v>
      </c>
      <c r="C4061" s="10">
        <v>1.51114895468653</v>
      </c>
      <c r="D4061" s="10">
        <v>0.297700811171421</v>
      </c>
      <c r="E4061" s="10">
        <v>5.07606596280446</v>
      </c>
      <c r="F4061" s="4">
        <v>3.85329570175249E-7</v>
      </c>
      <c r="G4061" s="4">
        <v>3.5493829609753202E-6</v>
      </c>
      <c r="H4061" s="10" t="s">
        <v>8135</v>
      </c>
      <c r="I4061" s="10" t="s">
        <v>18</v>
      </c>
    </row>
    <row r="4062" spans="1:9" x14ac:dyDescent="0.2">
      <c r="A4062" s="10" t="s">
        <v>8136</v>
      </c>
      <c r="B4062" s="10">
        <v>997.44417391435002</v>
      </c>
      <c r="C4062" s="10">
        <v>1.01200492767036</v>
      </c>
      <c r="D4062" s="10">
        <v>0.21982552493183</v>
      </c>
      <c r="E4062" s="10">
        <v>4.60367342684245</v>
      </c>
      <c r="F4062" s="4">
        <v>4.1510321535186804E-6</v>
      </c>
      <c r="G4062" s="4">
        <v>3.1878008198118198E-5</v>
      </c>
      <c r="H4062" s="10" t="s">
        <v>8137</v>
      </c>
      <c r="I4062" s="10" t="s">
        <v>18</v>
      </c>
    </row>
    <row r="4063" spans="1:9" x14ac:dyDescent="0.2">
      <c r="A4063" s="10" t="s">
        <v>8138</v>
      </c>
      <c r="B4063" s="10">
        <v>2201.3691122272498</v>
      </c>
      <c r="C4063" s="10">
        <v>3.1294603672110601</v>
      </c>
      <c r="D4063" s="10">
        <v>0.23523013747680399</v>
      </c>
      <c r="E4063" s="10">
        <v>13.303824079598</v>
      </c>
      <c r="F4063" s="4">
        <v>2.1992600512351599E-40</v>
      </c>
      <c r="G4063" s="4">
        <v>3.1048310163732798E-38</v>
      </c>
      <c r="H4063" s="10" t="s">
        <v>8139</v>
      </c>
      <c r="I4063" s="10" t="s">
        <v>18</v>
      </c>
    </row>
    <row r="4064" spans="1:9" x14ac:dyDescent="0.2">
      <c r="A4064" s="10" t="s">
        <v>8140</v>
      </c>
      <c r="B4064" s="10">
        <v>174.125557315165</v>
      </c>
      <c r="C4064" s="10">
        <v>1.24507731550678</v>
      </c>
      <c r="D4064" s="10">
        <v>0.345025858183374</v>
      </c>
      <c r="E4064" s="10">
        <v>3.60864928229537</v>
      </c>
      <c r="F4064" s="10">
        <v>3.0779538215206398E-4</v>
      </c>
      <c r="G4064" s="10">
        <v>1.5594088466897101E-3</v>
      </c>
      <c r="H4064" s="10" t="s">
        <v>8141</v>
      </c>
      <c r="I4064" s="10" t="s">
        <v>18</v>
      </c>
    </row>
    <row r="4065" spans="1:9" x14ac:dyDescent="0.2">
      <c r="A4065" s="10" t="s">
        <v>8142</v>
      </c>
      <c r="B4065" s="10">
        <v>456.20433082264702</v>
      </c>
      <c r="C4065" s="10">
        <v>-1.06620420311318</v>
      </c>
      <c r="D4065" s="10">
        <v>0.25279636567562502</v>
      </c>
      <c r="E4065" s="10">
        <v>-4.2176405513727904</v>
      </c>
      <c r="F4065" s="4">
        <v>2.4687194001534299E-5</v>
      </c>
      <c r="G4065" s="10">
        <v>1.6092152511000099E-4</v>
      </c>
      <c r="H4065" s="10" t="s">
        <v>8143</v>
      </c>
      <c r="I4065" s="10" t="s">
        <v>18</v>
      </c>
    </row>
    <row r="4066" spans="1:9" x14ac:dyDescent="0.2">
      <c r="A4066" s="10" t="s">
        <v>8144</v>
      </c>
      <c r="B4066" s="10">
        <v>133.50400849252</v>
      </c>
      <c r="C4066" s="10">
        <v>2.2485664132396002</v>
      </c>
      <c r="D4066" s="10">
        <v>0.36215774632213399</v>
      </c>
      <c r="E4066" s="10">
        <v>6.2088038598504403</v>
      </c>
      <c r="F4066" s="4">
        <v>5.3389408427101204E-10</v>
      </c>
      <c r="G4066" s="4">
        <v>7.4830309229075394E-9</v>
      </c>
      <c r="H4066" s="10" t="s">
        <v>8145</v>
      </c>
      <c r="I4066" s="10" t="s">
        <v>18</v>
      </c>
    </row>
    <row r="4067" spans="1:9" x14ac:dyDescent="0.2">
      <c r="A4067" s="10" t="s">
        <v>8146</v>
      </c>
      <c r="B4067" s="10">
        <v>2127.8432398918098</v>
      </c>
      <c r="C4067" s="10">
        <v>-1.11099335972769</v>
      </c>
      <c r="D4067" s="10">
        <v>0.212661937675097</v>
      </c>
      <c r="E4067" s="10">
        <v>-5.2242228763336804</v>
      </c>
      <c r="F4067" s="4">
        <v>1.7488802993669001E-7</v>
      </c>
      <c r="G4067" s="4">
        <v>1.70917293819404E-6</v>
      </c>
      <c r="H4067" s="10" t="s">
        <v>8147</v>
      </c>
      <c r="I4067" s="10" t="s">
        <v>18</v>
      </c>
    </row>
    <row r="4068" spans="1:9" x14ac:dyDescent="0.2">
      <c r="A4068" s="10" t="s">
        <v>8148</v>
      </c>
      <c r="B4068" s="10">
        <v>5.2844144803744602</v>
      </c>
      <c r="C4068" s="10">
        <v>5.7963924222255896</v>
      </c>
      <c r="D4068" s="10">
        <v>2.0064078652252801</v>
      </c>
      <c r="E4068" s="10">
        <v>2.8889402412578602</v>
      </c>
      <c r="F4068" s="10">
        <v>3.8654252525083602E-3</v>
      </c>
      <c r="G4068" s="10">
        <v>1.42326002506886E-2</v>
      </c>
      <c r="H4068" s="10" t="s">
        <v>8149</v>
      </c>
      <c r="I4068" s="10" t="s">
        <v>18</v>
      </c>
    </row>
    <row r="4069" spans="1:9" x14ac:dyDescent="0.2">
      <c r="A4069" s="10" t="s">
        <v>8150</v>
      </c>
      <c r="B4069" s="10">
        <v>47.686880132203697</v>
      </c>
      <c r="C4069" s="10">
        <v>2.2000299916136998</v>
      </c>
      <c r="D4069" s="10">
        <v>0.53122631262576603</v>
      </c>
      <c r="E4069" s="10">
        <v>4.1414175829116999</v>
      </c>
      <c r="F4069" s="4">
        <v>3.4516590034939499E-5</v>
      </c>
      <c r="G4069" s="10">
        <v>2.1830861854271101E-4</v>
      </c>
      <c r="H4069" s="10" t="s">
        <v>8151</v>
      </c>
      <c r="I4069" s="10" t="s">
        <v>18</v>
      </c>
    </row>
    <row r="4070" spans="1:9" x14ac:dyDescent="0.2">
      <c r="A4070" s="10" t="s">
        <v>8152</v>
      </c>
      <c r="B4070" s="10">
        <v>3080.8608040849499</v>
      </c>
      <c r="C4070" s="10">
        <v>-1.4288837281191999</v>
      </c>
      <c r="D4070" s="10">
        <v>0.223369274879441</v>
      </c>
      <c r="E4070" s="10">
        <v>-6.3969573652885199</v>
      </c>
      <c r="F4070" s="4">
        <v>1.58503560494592E-10</v>
      </c>
      <c r="G4070" s="4">
        <v>2.4006373056120901E-9</v>
      </c>
      <c r="H4070" s="10" t="s">
        <v>8153</v>
      </c>
      <c r="I4070" s="10" t="s">
        <v>18</v>
      </c>
    </row>
    <row r="4071" spans="1:9" x14ac:dyDescent="0.2">
      <c r="A4071" s="10" t="s">
        <v>8154</v>
      </c>
      <c r="B4071" s="10">
        <v>672.65670461873299</v>
      </c>
      <c r="C4071" s="10">
        <v>-1.7244551902098</v>
      </c>
      <c r="D4071" s="10">
        <v>0.275743981041004</v>
      </c>
      <c r="E4071" s="10">
        <v>-6.25382713232593</v>
      </c>
      <c r="F4071" s="4">
        <v>4.0051432629413599E-10</v>
      </c>
      <c r="G4071" s="4">
        <v>5.7075386237114597E-9</v>
      </c>
      <c r="H4071" s="10" t="s">
        <v>8155</v>
      </c>
      <c r="I4071" s="10" t="s">
        <v>18</v>
      </c>
    </row>
    <row r="4072" spans="1:9" x14ac:dyDescent="0.2">
      <c r="A4072" s="10" t="s">
        <v>8156</v>
      </c>
      <c r="B4072" s="10">
        <v>1404.27181957414</v>
      </c>
      <c r="C4072" s="10">
        <v>2.2588013095346899</v>
      </c>
      <c r="D4072" s="10">
        <v>0.221495430475809</v>
      </c>
      <c r="E4072" s="10">
        <v>10.1979589587127</v>
      </c>
      <c r="F4072" s="4">
        <v>2.0248288104256801E-24</v>
      </c>
      <c r="G4072" s="4">
        <v>1.0754485496621499E-22</v>
      </c>
      <c r="H4072" s="10" t="s">
        <v>8157</v>
      </c>
      <c r="I4072" s="10" t="s">
        <v>18</v>
      </c>
    </row>
    <row r="4073" spans="1:9" x14ac:dyDescent="0.2">
      <c r="A4073" s="10" t="s">
        <v>8158</v>
      </c>
      <c r="B4073" s="10">
        <v>430.54316868868</v>
      </c>
      <c r="C4073" s="10">
        <v>-1.0554936105146</v>
      </c>
      <c r="D4073" s="10">
        <v>0.28297615426559197</v>
      </c>
      <c r="E4073" s="10">
        <v>-3.7299736907299699</v>
      </c>
      <c r="F4073" s="10">
        <v>1.9149976557983599E-4</v>
      </c>
      <c r="G4073" s="10">
        <v>1.02490554169196E-3</v>
      </c>
      <c r="H4073" s="10" t="s">
        <v>8159</v>
      </c>
      <c r="I4073" s="10" t="s">
        <v>18</v>
      </c>
    </row>
    <row r="4074" spans="1:9" x14ac:dyDescent="0.2">
      <c r="A4074" s="10" t="s">
        <v>8160</v>
      </c>
      <c r="B4074" s="10">
        <v>64.924361968720305</v>
      </c>
      <c r="C4074" s="10">
        <v>-2.6533548741067299</v>
      </c>
      <c r="D4074" s="10">
        <v>0.487648471892137</v>
      </c>
      <c r="E4074" s="10">
        <v>-5.4411220931573396</v>
      </c>
      <c r="F4074" s="4">
        <v>5.2946010105901697E-8</v>
      </c>
      <c r="G4074" s="4">
        <v>5.6440529630496997E-7</v>
      </c>
      <c r="H4074" s="10" t="s">
        <v>8161</v>
      </c>
      <c r="I4074" s="10" t="s">
        <v>18</v>
      </c>
    </row>
    <row r="4075" spans="1:9" x14ac:dyDescent="0.2">
      <c r="A4075" s="10" t="s">
        <v>8162</v>
      </c>
      <c r="B4075" s="10">
        <v>24.8553257976289</v>
      </c>
      <c r="C4075" s="10">
        <v>3.1135681002121198</v>
      </c>
      <c r="D4075" s="10">
        <v>0.78576982791317296</v>
      </c>
      <c r="E4075" s="10">
        <v>3.9624429312602398</v>
      </c>
      <c r="F4075" s="4">
        <v>7.4186743748557395E-5</v>
      </c>
      <c r="G4075" s="10">
        <v>4.3724123013561401E-4</v>
      </c>
      <c r="H4075" s="10" t="s">
        <v>8163</v>
      </c>
      <c r="I4075" s="10" t="s">
        <v>18</v>
      </c>
    </row>
    <row r="4076" spans="1:9" x14ac:dyDescent="0.2">
      <c r="A4076" s="10" t="s">
        <v>8164</v>
      </c>
      <c r="B4076" s="10">
        <v>18.876749137109702</v>
      </c>
      <c r="C4076" s="10">
        <v>-2.6415590543588801</v>
      </c>
      <c r="D4076" s="10">
        <v>0.83681484005634799</v>
      </c>
      <c r="E4076" s="10">
        <v>-3.15668285015238</v>
      </c>
      <c r="F4076" s="10">
        <v>1.5957480325968301E-3</v>
      </c>
      <c r="G4076" s="10">
        <v>6.6330048274852501E-3</v>
      </c>
      <c r="H4076" s="10" t="s">
        <v>8165</v>
      </c>
      <c r="I4076" s="10" t="s">
        <v>18</v>
      </c>
    </row>
    <row r="4077" spans="1:9" x14ac:dyDescent="0.2">
      <c r="A4077" s="10" t="s">
        <v>8166</v>
      </c>
      <c r="B4077" s="10">
        <v>2230.0969376569401</v>
      </c>
      <c r="C4077" s="10">
        <v>-1.64361695333636</v>
      </c>
      <c r="D4077" s="10">
        <v>0.19920667114378701</v>
      </c>
      <c r="E4077" s="10">
        <v>-8.2508128061133394</v>
      </c>
      <c r="F4077" s="4">
        <v>1.5732081483384601E-16</v>
      </c>
      <c r="G4077" s="4">
        <v>4.5026473127918202E-15</v>
      </c>
      <c r="H4077" s="10" t="s">
        <v>8167</v>
      </c>
      <c r="I4077" s="10" t="s">
        <v>18</v>
      </c>
    </row>
    <row r="4078" spans="1:9" x14ac:dyDescent="0.2">
      <c r="A4078" s="10" t="s">
        <v>8168</v>
      </c>
      <c r="B4078" s="10">
        <v>143.81874099628101</v>
      </c>
      <c r="C4078" s="10">
        <v>-1.15095099292911</v>
      </c>
      <c r="D4078" s="10">
        <v>0.37036898944923902</v>
      </c>
      <c r="E4078" s="10">
        <v>-3.1075792674776599</v>
      </c>
      <c r="F4078" s="10">
        <v>1.8862639282870299E-3</v>
      </c>
      <c r="G4078" s="10">
        <v>7.6617521249309501E-3</v>
      </c>
      <c r="H4078" s="10" t="s">
        <v>8169</v>
      </c>
      <c r="I4078" s="10" t="s">
        <v>18</v>
      </c>
    </row>
    <row r="4079" spans="1:9" x14ac:dyDescent="0.2">
      <c r="A4079" s="10" t="s">
        <v>8170</v>
      </c>
      <c r="B4079" s="10">
        <v>4268.7102367370999</v>
      </c>
      <c r="C4079" s="10">
        <v>-1.25775632923887</v>
      </c>
      <c r="D4079" s="10">
        <v>0.24427195204281399</v>
      </c>
      <c r="E4079" s="10">
        <v>-5.1490001971999497</v>
      </c>
      <c r="F4079" s="4">
        <v>2.6187860642307103E-7</v>
      </c>
      <c r="G4079" s="4">
        <v>2.4784322296663398E-6</v>
      </c>
      <c r="H4079" s="10" t="s">
        <v>8171</v>
      </c>
      <c r="I4079" s="10" t="s">
        <v>18</v>
      </c>
    </row>
    <row r="4080" spans="1:9" x14ac:dyDescent="0.2">
      <c r="A4080" s="10" t="s">
        <v>8172</v>
      </c>
      <c r="B4080" s="10">
        <v>3172.6711064126498</v>
      </c>
      <c r="C4080" s="10">
        <v>-1.4357955327096501</v>
      </c>
      <c r="D4080" s="10">
        <v>0.207286281792633</v>
      </c>
      <c r="E4080" s="10">
        <v>-6.9266307461002201</v>
      </c>
      <c r="F4080" s="4">
        <v>4.3098156621697698E-12</v>
      </c>
      <c r="G4080" s="4">
        <v>7.8970778310114105E-11</v>
      </c>
      <c r="H4080" s="10" t="s">
        <v>8173</v>
      </c>
      <c r="I4080" s="10" t="s">
        <v>18</v>
      </c>
    </row>
    <row r="4081" spans="1:9" x14ac:dyDescent="0.2">
      <c r="A4081" s="10" t="s">
        <v>8174</v>
      </c>
      <c r="B4081" s="10">
        <v>208.60061089543601</v>
      </c>
      <c r="C4081" s="10">
        <v>1.79049245412308</v>
      </c>
      <c r="D4081" s="10">
        <v>0.31165092139825001</v>
      </c>
      <c r="E4081" s="10">
        <v>5.7451858190884701</v>
      </c>
      <c r="F4081" s="4">
        <v>9.1820096295043005E-9</v>
      </c>
      <c r="G4081" s="4">
        <v>1.0948893495628199E-7</v>
      </c>
      <c r="H4081" s="10" t="s">
        <v>8175</v>
      </c>
      <c r="I4081" s="10" t="s">
        <v>18</v>
      </c>
    </row>
    <row r="4082" spans="1:9" x14ac:dyDescent="0.2">
      <c r="A4082" s="10" t="s">
        <v>8176</v>
      </c>
      <c r="B4082" s="10">
        <v>18.864731750524101</v>
      </c>
      <c r="C4082" s="10">
        <v>2.0820042143087099</v>
      </c>
      <c r="D4082" s="10">
        <v>0.81999765527767998</v>
      </c>
      <c r="E4082" s="10">
        <v>2.5390367898109001</v>
      </c>
      <c r="F4082" s="10">
        <v>1.1115813356632901E-2</v>
      </c>
      <c r="G4082" s="10">
        <v>3.4800938357828097E-2</v>
      </c>
      <c r="H4082" s="10" t="s">
        <v>8177</v>
      </c>
      <c r="I4082" s="10" t="s">
        <v>18</v>
      </c>
    </row>
    <row r="4083" spans="1:9" x14ac:dyDescent="0.2">
      <c r="A4083" s="10" t="s">
        <v>8178</v>
      </c>
      <c r="B4083" s="10">
        <v>89.074554319391694</v>
      </c>
      <c r="C4083" s="10">
        <v>2.0530438689653101</v>
      </c>
      <c r="D4083" s="10">
        <v>0.408038844393116</v>
      </c>
      <c r="E4083" s="10">
        <v>5.0314912346613596</v>
      </c>
      <c r="F4083" s="4">
        <v>4.8667936464912204E-7</v>
      </c>
      <c r="G4083" s="4">
        <v>4.4084284071125701E-6</v>
      </c>
      <c r="H4083" s="10" t="s">
        <v>8179</v>
      </c>
      <c r="I4083" s="10" t="s">
        <v>18</v>
      </c>
    </row>
    <row r="4084" spans="1:9" x14ac:dyDescent="0.2">
      <c r="A4084" s="10" t="s">
        <v>8180</v>
      </c>
      <c r="B4084" s="10">
        <v>57.0441842076009</v>
      </c>
      <c r="C4084" s="10">
        <v>1.1740137691785699</v>
      </c>
      <c r="D4084" s="10">
        <v>0.47229024438942002</v>
      </c>
      <c r="E4084" s="10">
        <v>2.4857887350528398</v>
      </c>
      <c r="F4084" s="10">
        <v>1.29264678615342E-2</v>
      </c>
      <c r="G4084" s="10">
        <v>3.9440926072029397E-2</v>
      </c>
      <c r="H4084" s="10" t="s">
        <v>8181</v>
      </c>
      <c r="I4084" s="10" t="s">
        <v>18</v>
      </c>
    </row>
    <row r="4085" spans="1:9" x14ac:dyDescent="0.2">
      <c r="A4085" s="10" t="s">
        <v>8182</v>
      </c>
      <c r="B4085" s="10">
        <v>2182.3563043782901</v>
      </c>
      <c r="C4085" s="10">
        <v>-1.7767232463222</v>
      </c>
      <c r="D4085" s="10">
        <v>0.21530633654652501</v>
      </c>
      <c r="E4085" s="10">
        <v>-8.2520713269313006</v>
      </c>
      <c r="F4085" s="4">
        <v>1.5567245878311199E-16</v>
      </c>
      <c r="G4085" s="4">
        <v>4.4601550835577796E-15</v>
      </c>
      <c r="H4085" s="10" t="s">
        <v>8183</v>
      </c>
      <c r="I4085" s="10" t="s">
        <v>18</v>
      </c>
    </row>
    <row r="4086" spans="1:9" x14ac:dyDescent="0.2">
      <c r="A4086" s="10" t="s">
        <v>8184</v>
      </c>
      <c r="B4086" s="10">
        <v>973.35166106992403</v>
      </c>
      <c r="C4086" s="10">
        <v>-1.92666330369591</v>
      </c>
      <c r="D4086" s="10">
        <v>0.21874223872107099</v>
      </c>
      <c r="E4086" s="10">
        <v>-8.8079161800693093</v>
      </c>
      <c r="F4086" s="4">
        <v>1.2749371050309101E-18</v>
      </c>
      <c r="G4086" s="4">
        <v>4.3586212422556102E-17</v>
      </c>
      <c r="H4086" s="10" t="s">
        <v>8185</v>
      </c>
      <c r="I4086" s="10" t="s">
        <v>18</v>
      </c>
    </row>
    <row r="4087" spans="1:9" x14ac:dyDescent="0.2">
      <c r="A4087" s="10" t="s">
        <v>8186</v>
      </c>
      <c r="B4087" s="10">
        <v>86.460201616510105</v>
      </c>
      <c r="C4087" s="10">
        <v>1.76833955363685</v>
      </c>
      <c r="D4087" s="10">
        <v>0.400605476200876</v>
      </c>
      <c r="E4087" s="10">
        <v>4.4141672011247097</v>
      </c>
      <c r="F4087" s="4">
        <v>1.0139956963039601E-5</v>
      </c>
      <c r="G4087" s="4">
        <v>7.19300722134702E-5</v>
      </c>
      <c r="H4087" s="10" t="s">
        <v>8187</v>
      </c>
      <c r="I4087" s="10" t="s">
        <v>18</v>
      </c>
    </row>
    <row r="4088" spans="1:9" x14ac:dyDescent="0.2">
      <c r="A4088" s="10" t="s">
        <v>8188</v>
      </c>
      <c r="B4088" s="10">
        <v>3411.4746359718802</v>
      </c>
      <c r="C4088" s="10">
        <v>-1.19808656951031</v>
      </c>
      <c r="D4088" s="10">
        <v>0.20083183397749299</v>
      </c>
      <c r="E4088" s="10">
        <v>-5.9656208170890901</v>
      </c>
      <c r="F4088" s="4">
        <v>2.4370564215610098E-9</v>
      </c>
      <c r="G4088" s="4">
        <v>3.1373504707661697E-8</v>
      </c>
      <c r="H4088" s="10" t="s">
        <v>8189</v>
      </c>
      <c r="I4088" s="10" t="s">
        <v>18</v>
      </c>
    </row>
    <row r="4089" spans="1:9" x14ac:dyDescent="0.2">
      <c r="A4089" s="10" t="s">
        <v>8190</v>
      </c>
      <c r="B4089" s="10">
        <v>1206.5162081145399</v>
      </c>
      <c r="C4089" s="10">
        <v>-1.04091630404756</v>
      </c>
      <c r="D4089" s="10">
        <v>0.226267144238011</v>
      </c>
      <c r="E4089" s="10">
        <v>-4.6003864482976802</v>
      </c>
      <c r="F4089" s="4">
        <v>4.2170785375458901E-6</v>
      </c>
      <c r="G4089" s="4">
        <v>3.2330539930363701E-5</v>
      </c>
      <c r="H4089" s="10" t="s">
        <v>8191</v>
      </c>
      <c r="I4089" s="10" t="s">
        <v>18</v>
      </c>
    </row>
    <row r="4090" spans="1:9" x14ac:dyDescent="0.2">
      <c r="A4090" s="10" t="s">
        <v>8192</v>
      </c>
      <c r="B4090" s="10">
        <v>788.37805080904695</v>
      </c>
      <c r="C4090" s="10">
        <v>1.59500170463831</v>
      </c>
      <c r="D4090" s="10">
        <v>0.217167210647318</v>
      </c>
      <c r="E4090" s="10">
        <v>7.34457886107222</v>
      </c>
      <c r="F4090" s="4">
        <v>2.0640796556438899E-13</v>
      </c>
      <c r="G4090" s="4">
        <v>4.4493653779532499E-12</v>
      </c>
      <c r="H4090" s="10" t="s">
        <v>8193</v>
      </c>
      <c r="I4090" s="10" t="s">
        <v>18</v>
      </c>
    </row>
    <row r="4091" spans="1:9" x14ac:dyDescent="0.2">
      <c r="A4091" s="10" t="s">
        <v>8194</v>
      </c>
      <c r="B4091" s="10">
        <v>42.169720497417401</v>
      </c>
      <c r="C4091" s="10">
        <v>1.5776202790563101</v>
      </c>
      <c r="D4091" s="10">
        <v>0.55601638020986099</v>
      </c>
      <c r="E4091" s="10">
        <v>2.83736295405697</v>
      </c>
      <c r="F4091" s="10">
        <v>4.5487869958221296E-3</v>
      </c>
      <c r="G4091" s="10">
        <v>1.6355344322402401E-2</v>
      </c>
      <c r="H4091" s="10" t="s">
        <v>8195</v>
      </c>
      <c r="I4091" s="10" t="s">
        <v>18</v>
      </c>
    </row>
    <row r="4092" spans="1:9" x14ac:dyDescent="0.2">
      <c r="A4092" s="10" t="s">
        <v>8196</v>
      </c>
      <c r="B4092" s="10">
        <v>2553.7454521674099</v>
      </c>
      <c r="C4092" s="10">
        <v>-1.1642206971073099</v>
      </c>
      <c r="D4092" s="10">
        <v>0.23823595732514499</v>
      </c>
      <c r="E4092" s="10">
        <v>-4.8868387046980297</v>
      </c>
      <c r="F4092" s="4">
        <v>1.0246797335844599E-6</v>
      </c>
      <c r="G4092" s="4">
        <v>8.7832226761714392E-6</v>
      </c>
      <c r="H4092" s="10" t="s">
        <v>8197</v>
      </c>
      <c r="I4092" s="10" t="s">
        <v>18</v>
      </c>
    </row>
    <row r="4093" spans="1:9" x14ac:dyDescent="0.2">
      <c r="A4093" s="10" t="s">
        <v>8198</v>
      </c>
      <c r="B4093" s="10">
        <v>580.17483040349396</v>
      </c>
      <c r="C4093" s="10">
        <v>-2.64157303896756</v>
      </c>
      <c r="D4093" s="10">
        <v>0.260337447274886</v>
      </c>
      <c r="E4093" s="10">
        <v>-10.146727129034</v>
      </c>
      <c r="F4093" s="4">
        <v>3.4266268472725803E-24</v>
      </c>
      <c r="G4093" s="4">
        <v>1.79204033987785E-22</v>
      </c>
      <c r="H4093" s="10" t="s">
        <v>8199</v>
      </c>
      <c r="I4093" s="10" t="s">
        <v>18</v>
      </c>
    </row>
    <row r="4094" spans="1:9" x14ac:dyDescent="0.2">
      <c r="A4094" s="10" t="s">
        <v>8200</v>
      </c>
      <c r="B4094" s="10">
        <v>436.693325405248</v>
      </c>
      <c r="C4094" s="10">
        <v>-1.1068135346675601</v>
      </c>
      <c r="D4094" s="10">
        <v>0.27277331818123202</v>
      </c>
      <c r="E4094" s="10">
        <v>-4.0576312303837296</v>
      </c>
      <c r="F4094" s="4">
        <v>4.9572962641992499E-5</v>
      </c>
      <c r="G4094" s="10">
        <v>3.0400956855871502E-4</v>
      </c>
      <c r="H4094" s="10" t="s">
        <v>8201</v>
      </c>
      <c r="I4094" s="10" t="s">
        <v>18</v>
      </c>
    </row>
    <row r="4095" spans="1:9" x14ac:dyDescent="0.2">
      <c r="A4095" s="10" t="s">
        <v>8202</v>
      </c>
      <c r="B4095" s="10">
        <v>4.1097661746942604</v>
      </c>
      <c r="C4095" s="10">
        <v>5.4328693169605202</v>
      </c>
      <c r="D4095" s="10">
        <v>2.14332345947187</v>
      </c>
      <c r="E4095" s="10">
        <v>2.5347874082893802</v>
      </c>
      <c r="F4095" s="10">
        <v>1.1251558606317101E-2</v>
      </c>
      <c r="G4095" s="10">
        <v>3.5125024902190903E-2</v>
      </c>
      <c r="H4095" s="10" t="s">
        <v>8203</v>
      </c>
      <c r="I4095" s="10" t="s">
        <v>18</v>
      </c>
    </row>
    <row r="4096" spans="1:9" x14ac:dyDescent="0.2">
      <c r="A4096" s="10" t="s">
        <v>8204</v>
      </c>
      <c r="B4096" s="10">
        <v>11.763381203964601</v>
      </c>
      <c r="C4096" s="10">
        <v>-2.5649138589290801</v>
      </c>
      <c r="D4096" s="10">
        <v>1.06908413197267</v>
      </c>
      <c r="E4096" s="10">
        <v>-2.3991693284197599</v>
      </c>
      <c r="F4096" s="10">
        <v>1.6432313955465301E-2</v>
      </c>
      <c r="G4096" s="10">
        <v>4.8055303031508498E-2</v>
      </c>
      <c r="H4096" s="10" t="s">
        <v>8205</v>
      </c>
      <c r="I4096" s="10" t="s">
        <v>18</v>
      </c>
    </row>
    <row r="4097" spans="1:9" x14ac:dyDescent="0.2">
      <c r="A4097" s="10" t="s">
        <v>8206</v>
      </c>
      <c r="B4097" s="10">
        <v>7.1566041485014402</v>
      </c>
      <c r="C4097" s="10">
        <v>6.2348322409822696</v>
      </c>
      <c r="D4097" s="10">
        <v>1.8739066662439701</v>
      </c>
      <c r="E4097" s="10">
        <v>3.32718398055506</v>
      </c>
      <c r="F4097" s="10">
        <v>8.7728431726666605E-4</v>
      </c>
      <c r="G4097" s="10">
        <v>3.9334154669351399E-3</v>
      </c>
      <c r="H4097" s="10" t="s">
        <v>8207</v>
      </c>
      <c r="I4097" s="10" t="s">
        <v>18</v>
      </c>
    </row>
    <row r="4098" spans="1:9" x14ac:dyDescent="0.2">
      <c r="A4098" s="10" t="s">
        <v>8208</v>
      </c>
      <c r="B4098" s="10">
        <v>12.583133156692501</v>
      </c>
      <c r="C4098" s="10">
        <v>5.5769336496655901</v>
      </c>
      <c r="D4098" s="10">
        <v>1.6976783773374999</v>
      </c>
      <c r="E4098" s="10">
        <v>3.2850354484764099</v>
      </c>
      <c r="F4098" s="10">
        <v>1.0196954162702001E-3</v>
      </c>
      <c r="G4098" s="10">
        <v>4.4971901921518698E-3</v>
      </c>
      <c r="H4098" s="10" t="s">
        <v>8209</v>
      </c>
      <c r="I4098" s="10" t="s">
        <v>18</v>
      </c>
    </row>
    <row r="4099" spans="1:9" x14ac:dyDescent="0.2">
      <c r="A4099" s="10" t="s">
        <v>8210</v>
      </c>
      <c r="B4099" s="10">
        <v>8768.3505251851202</v>
      </c>
      <c r="C4099" s="10">
        <v>-1.7141716439516199</v>
      </c>
      <c r="D4099" s="10">
        <v>0.18241819109547999</v>
      </c>
      <c r="E4099" s="10">
        <v>-9.3969336811064004</v>
      </c>
      <c r="F4099" s="4">
        <v>5.61763168412434E-21</v>
      </c>
      <c r="G4099" s="4">
        <v>2.3804605054018002E-19</v>
      </c>
      <c r="H4099" s="10" t="s">
        <v>8211</v>
      </c>
      <c r="I4099" s="10" t="s">
        <v>18</v>
      </c>
    </row>
    <row r="4100" spans="1:9" x14ac:dyDescent="0.2">
      <c r="A4100" s="10" t="s">
        <v>8212</v>
      </c>
      <c r="B4100" s="10">
        <v>147.18233782143</v>
      </c>
      <c r="C4100" s="10">
        <v>-1.66343024717031</v>
      </c>
      <c r="D4100" s="10">
        <v>0.46156294267354803</v>
      </c>
      <c r="E4100" s="10">
        <v>-3.60390770874085</v>
      </c>
      <c r="F4100" s="10">
        <v>3.1346840401955101E-4</v>
      </c>
      <c r="G4100" s="10">
        <v>1.5843208318161201E-3</v>
      </c>
      <c r="H4100" s="10" t="s">
        <v>8213</v>
      </c>
      <c r="I4100" s="10" t="s">
        <v>18</v>
      </c>
    </row>
    <row r="4101" spans="1:9" x14ac:dyDescent="0.2">
      <c r="A4101" s="10" t="s">
        <v>8214</v>
      </c>
      <c r="B4101" s="10">
        <v>1186.24160954424</v>
      </c>
      <c r="C4101" s="10">
        <v>1.2152739425736501</v>
      </c>
      <c r="D4101" s="10">
        <v>0.230521372847526</v>
      </c>
      <c r="E4101" s="10">
        <v>5.2718493194879104</v>
      </c>
      <c r="F4101" s="4">
        <v>1.35055940009728E-7</v>
      </c>
      <c r="G4101" s="4">
        <v>1.34154910588591E-6</v>
      </c>
      <c r="H4101" s="10" t="s">
        <v>8215</v>
      </c>
      <c r="I4101" s="10" t="s">
        <v>18</v>
      </c>
    </row>
    <row r="4102" spans="1:9" x14ac:dyDescent="0.2">
      <c r="A4102" s="10" t="s">
        <v>8216</v>
      </c>
      <c r="B4102" s="10">
        <v>585.08781724440098</v>
      </c>
      <c r="C4102" s="10">
        <v>-1.2827853218974701</v>
      </c>
      <c r="D4102" s="10">
        <v>0.233805252418986</v>
      </c>
      <c r="E4102" s="10">
        <v>-5.4865547656674396</v>
      </c>
      <c r="F4102" s="4">
        <v>4.0984839917949799E-8</v>
      </c>
      <c r="G4102" s="4">
        <v>4.45083273513105E-7</v>
      </c>
      <c r="H4102" s="10" t="s">
        <v>8217</v>
      </c>
      <c r="I4102" s="10" t="s">
        <v>18</v>
      </c>
    </row>
    <row r="4103" spans="1:9" x14ac:dyDescent="0.2">
      <c r="A4103" s="10" t="s">
        <v>8218</v>
      </c>
      <c r="B4103" s="10">
        <v>270.62632544590201</v>
      </c>
      <c r="C4103" s="10">
        <v>-1.2138276720997301</v>
      </c>
      <c r="D4103" s="10">
        <v>0.28278533435832498</v>
      </c>
      <c r="E4103" s="10">
        <v>-4.2923996566301996</v>
      </c>
      <c r="F4103" s="4">
        <v>1.7675243522054799E-5</v>
      </c>
      <c r="G4103" s="10">
        <v>1.18795599468531E-4</v>
      </c>
      <c r="H4103" s="10" t="s">
        <v>8219</v>
      </c>
      <c r="I4103" s="10" t="s">
        <v>18</v>
      </c>
    </row>
    <row r="4104" spans="1:9" x14ac:dyDescent="0.2">
      <c r="A4104" s="10" t="s">
        <v>8220</v>
      </c>
      <c r="B4104" s="10">
        <v>56.051164064932301</v>
      </c>
      <c r="C4104" s="10">
        <v>1.9358966402740401</v>
      </c>
      <c r="D4104" s="10">
        <v>0.50205951946378902</v>
      </c>
      <c r="E4104" s="10">
        <v>3.85591063454314</v>
      </c>
      <c r="F4104" s="10">
        <v>1.1529960637374001E-4</v>
      </c>
      <c r="G4104" s="10">
        <v>6.51372252719323E-4</v>
      </c>
      <c r="H4104" s="10" t="s">
        <v>8221</v>
      </c>
      <c r="I4104" s="10" t="s">
        <v>18</v>
      </c>
    </row>
    <row r="4105" spans="1:9" x14ac:dyDescent="0.2">
      <c r="A4105" s="10" t="s">
        <v>8222</v>
      </c>
      <c r="B4105" s="10">
        <v>154.95859355753399</v>
      </c>
      <c r="C4105" s="10">
        <v>-2.3170814928013899</v>
      </c>
      <c r="D4105" s="10">
        <v>0.35630691662747499</v>
      </c>
      <c r="E4105" s="10">
        <v>-6.5030494348330103</v>
      </c>
      <c r="F4105" s="4">
        <v>7.8707916118544395E-11</v>
      </c>
      <c r="G4105" s="4">
        <v>1.2439203165451399E-9</v>
      </c>
      <c r="H4105" s="10" t="s">
        <v>8223</v>
      </c>
      <c r="I4105" s="10" t="s">
        <v>18</v>
      </c>
    </row>
    <row r="4106" spans="1:9" x14ac:dyDescent="0.2">
      <c r="A4106" s="10" t="s">
        <v>8224</v>
      </c>
      <c r="B4106" s="10">
        <v>298.88885877466498</v>
      </c>
      <c r="C4106" s="10">
        <v>-1.29317110010687</v>
      </c>
      <c r="D4106" s="10">
        <v>0.29994366884961998</v>
      </c>
      <c r="E4106" s="10">
        <v>-4.3113798836514601</v>
      </c>
      <c r="F4106" s="4">
        <v>1.6223889919319598E-5</v>
      </c>
      <c r="G4106" s="10">
        <v>1.10100206383985E-4</v>
      </c>
      <c r="H4106" s="10" t="s">
        <v>8225</v>
      </c>
      <c r="I4106" s="10" t="s">
        <v>18</v>
      </c>
    </row>
    <row r="4107" spans="1:9" x14ac:dyDescent="0.2">
      <c r="A4107" s="10" t="s">
        <v>8226</v>
      </c>
      <c r="B4107" s="10">
        <v>8020.7994930798004</v>
      </c>
      <c r="C4107" s="10">
        <v>-1.2727097908668401</v>
      </c>
      <c r="D4107" s="10">
        <v>0.208858239193222</v>
      </c>
      <c r="E4107" s="10">
        <v>-6.0936537422850696</v>
      </c>
      <c r="F4107" s="4">
        <v>1.1036224088416199E-9</v>
      </c>
      <c r="G4107" s="4">
        <v>1.4915872903624901E-8</v>
      </c>
      <c r="H4107" s="10" t="s">
        <v>8227</v>
      </c>
      <c r="I4107" s="10" t="s">
        <v>18</v>
      </c>
    </row>
    <row r="4108" spans="1:9" x14ac:dyDescent="0.2">
      <c r="A4108" s="10" t="s">
        <v>8228</v>
      </c>
      <c r="B4108" s="10">
        <v>109.775486495113</v>
      </c>
      <c r="C4108" s="10">
        <v>1.1023977653464001</v>
      </c>
      <c r="D4108" s="10">
        <v>0.35903241597721502</v>
      </c>
      <c r="E4108" s="10">
        <v>3.0704686158933399</v>
      </c>
      <c r="F4108" s="10">
        <v>2.1372314642765298E-3</v>
      </c>
      <c r="G4108" s="10">
        <v>8.5395907159653995E-3</v>
      </c>
      <c r="H4108" s="10" t="s">
        <v>8229</v>
      </c>
      <c r="I4108" s="10" t="s">
        <v>18</v>
      </c>
    </row>
    <row r="4109" spans="1:9" x14ac:dyDescent="0.2">
      <c r="A4109" s="10" t="s">
        <v>8230</v>
      </c>
      <c r="B4109" s="10">
        <v>2005.8214299615699</v>
      </c>
      <c r="C4109" s="10">
        <v>-1.2290855753202301</v>
      </c>
      <c r="D4109" s="10">
        <v>0.21397745597046999</v>
      </c>
      <c r="E4109" s="10">
        <v>-5.7439956454564598</v>
      </c>
      <c r="F4109" s="4">
        <v>9.2468166694171106E-9</v>
      </c>
      <c r="G4109" s="4">
        <v>1.10165288059295E-7</v>
      </c>
      <c r="H4109" s="10" t="s">
        <v>8231</v>
      </c>
      <c r="I4109" s="10" t="s">
        <v>18</v>
      </c>
    </row>
    <row r="4110" spans="1:9" x14ac:dyDescent="0.2">
      <c r="A4110" s="10" t="s">
        <v>8232</v>
      </c>
      <c r="B4110" s="10">
        <v>37.681260692725303</v>
      </c>
      <c r="C4110" s="10">
        <v>-1.5626033883556201</v>
      </c>
      <c r="D4110" s="10">
        <v>0.56853581512808504</v>
      </c>
      <c r="E4110" s="10">
        <v>-2.7484695717957202</v>
      </c>
      <c r="F4110" s="10">
        <v>5.9874192028790598E-3</v>
      </c>
      <c r="G4110" s="10">
        <v>2.0648803057696299E-2</v>
      </c>
      <c r="H4110" s="10" t="s">
        <v>8233</v>
      </c>
      <c r="I4110" s="10" t="s">
        <v>18</v>
      </c>
    </row>
    <row r="4111" spans="1:9" x14ac:dyDescent="0.2">
      <c r="A4111" s="10" t="s">
        <v>8234</v>
      </c>
      <c r="B4111" s="10">
        <v>25.3168284433557</v>
      </c>
      <c r="C4111" s="10">
        <v>-2.3777932050443802</v>
      </c>
      <c r="D4111" s="10">
        <v>0.72538468827222402</v>
      </c>
      <c r="E4111" s="10">
        <v>-3.2779754570061201</v>
      </c>
      <c r="F4111" s="10">
        <v>1.04554485887956E-3</v>
      </c>
      <c r="G4111" s="10">
        <v>4.5866946980987503E-3</v>
      </c>
      <c r="H4111" s="10" t="s">
        <v>8235</v>
      </c>
      <c r="I4111" s="10" t="s">
        <v>18</v>
      </c>
    </row>
    <row r="4112" spans="1:9" x14ac:dyDescent="0.2">
      <c r="A4112" s="10" t="s">
        <v>8236</v>
      </c>
      <c r="B4112" s="10">
        <v>18.168857842058099</v>
      </c>
      <c r="C4112" s="10">
        <v>2.00539215261198</v>
      </c>
      <c r="D4112" s="10">
        <v>0.83688618785284796</v>
      </c>
      <c r="E4112" s="10">
        <v>2.3962543314964999</v>
      </c>
      <c r="F4112" s="10">
        <v>1.65635927628579E-2</v>
      </c>
      <c r="G4112" s="10">
        <v>4.8392473944841197E-2</v>
      </c>
      <c r="H4112" s="10" t="s">
        <v>8237</v>
      </c>
      <c r="I4112" s="10" t="s">
        <v>18</v>
      </c>
    </row>
    <row r="4113" spans="1:9" x14ac:dyDescent="0.2">
      <c r="A4113" s="10" t="s">
        <v>8238</v>
      </c>
      <c r="B4113" s="10">
        <v>326.88492519216499</v>
      </c>
      <c r="C4113" s="10">
        <v>1.0793879569992899</v>
      </c>
      <c r="D4113" s="10">
        <v>0.27031994576298801</v>
      </c>
      <c r="E4113" s="10">
        <v>3.9930015299192099</v>
      </c>
      <c r="F4113" s="4">
        <v>6.5242147353316706E-5</v>
      </c>
      <c r="G4113" s="10">
        <v>3.8932386967494898E-4</v>
      </c>
      <c r="H4113" s="10" t="s">
        <v>8239</v>
      </c>
      <c r="I4113" s="10" t="s">
        <v>18</v>
      </c>
    </row>
    <row r="4114" spans="1:9" x14ac:dyDescent="0.2">
      <c r="A4114" s="10" t="s">
        <v>8240</v>
      </c>
      <c r="B4114" s="10">
        <v>15.868571304110899</v>
      </c>
      <c r="C4114" s="10">
        <v>-3.9721427146739399</v>
      </c>
      <c r="D4114" s="10">
        <v>1.07321703771178</v>
      </c>
      <c r="E4114" s="10">
        <v>-3.7011551019940798</v>
      </c>
      <c r="F4114" s="10">
        <v>2.14620232152941E-4</v>
      </c>
      <c r="G4114" s="10">
        <v>1.1341655286018599E-3</v>
      </c>
      <c r="H4114" s="10" t="s">
        <v>8241</v>
      </c>
      <c r="I4114" s="10" t="s">
        <v>18</v>
      </c>
    </row>
    <row r="4115" spans="1:9" x14ac:dyDescent="0.2">
      <c r="A4115" s="10" t="s">
        <v>8242</v>
      </c>
      <c r="B4115" s="10">
        <v>37.692477494556897</v>
      </c>
      <c r="C4115" s="10">
        <v>1.6687230111340901</v>
      </c>
      <c r="D4115" s="10">
        <v>0.57874897020869898</v>
      </c>
      <c r="E4115" s="10">
        <v>2.8833278278358501</v>
      </c>
      <c r="F4115" s="10">
        <v>3.9349768954621001E-3</v>
      </c>
      <c r="G4115" s="10">
        <v>1.44457444719288E-2</v>
      </c>
      <c r="H4115" s="10" t="s">
        <v>8243</v>
      </c>
      <c r="I4115" s="10" t="s">
        <v>18</v>
      </c>
    </row>
    <row r="4116" spans="1:9" x14ac:dyDescent="0.2">
      <c r="A4116" s="10" t="s">
        <v>8244</v>
      </c>
      <c r="B4116" s="10">
        <v>177141.36450444799</v>
      </c>
      <c r="C4116" s="10">
        <v>-1.3637038799088499</v>
      </c>
      <c r="D4116" s="10">
        <v>0.24108984802671499</v>
      </c>
      <c r="E4116" s="10">
        <v>-5.6564135365738801</v>
      </c>
      <c r="F4116" s="4">
        <v>1.54568789145659E-8</v>
      </c>
      <c r="G4116" s="4">
        <v>1.78985796763781E-7</v>
      </c>
      <c r="H4116" s="10" t="s">
        <v>8245</v>
      </c>
      <c r="I4116" s="10" t="s">
        <v>18</v>
      </c>
    </row>
    <row r="4117" spans="1:9" x14ac:dyDescent="0.2">
      <c r="A4117" s="10" t="s">
        <v>8246</v>
      </c>
      <c r="B4117" s="10">
        <v>285.532849331318</v>
      </c>
      <c r="C4117" s="10">
        <v>8.1060257770656907</v>
      </c>
      <c r="D4117" s="10">
        <v>0.77100780465313601</v>
      </c>
      <c r="E4117" s="10">
        <v>10.513545684161301</v>
      </c>
      <c r="F4117" s="4">
        <v>7.4826293072725594E-26</v>
      </c>
      <c r="G4117" s="4">
        <v>4.4808615546209997E-24</v>
      </c>
      <c r="H4117" s="10" t="s">
        <v>8247</v>
      </c>
      <c r="I4117" s="10" t="s">
        <v>18</v>
      </c>
    </row>
    <row r="4118" spans="1:9" x14ac:dyDescent="0.2">
      <c r="A4118" s="10" t="s">
        <v>8248</v>
      </c>
      <c r="B4118" s="10">
        <v>464.43186471231502</v>
      </c>
      <c r="C4118" s="10">
        <v>-1.4975547014922701</v>
      </c>
      <c r="D4118" s="10">
        <v>0.238222575495288</v>
      </c>
      <c r="E4118" s="10">
        <v>-6.2863676894547398</v>
      </c>
      <c r="F4118" s="4">
        <v>3.2497973560635498E-10</v>
      </c>
      <c r="G4118" s="4">
        <v>4.6924869401517502E-9</v>
      </c>
      <c r="H4118" s="10" t="s">
        <v>8249</v>
      </c>
      <c r="I4118" s="10" t="s">
        <v>18</v>
      </c>
    </row>
    <row r="4119" spans="1:9" x14ac:dyDescent="0.2">
      <c r="A4119" s="10" t="s">
        <v>8250</v>
      </c>
      <c r="B4119" s="10">
        <v>160.873110512865</v>
      </c>
      <c r="C4119" s="10">
        <v>-1.10382923027013</v>
      </c>
      <c r="D4119" s="10">
        <v>0.31066247381493201</v>
      </c>
      <c r="E4119" s="10">
        <v>-3.5531463350404602</v>
      </c>
      <c r="F4119" s="10">
        <v>3.80652653115253E-4</v>
      </c>
      <c r="G4119" s="10">
        <v>1.88589077731533E-3</v>
      </c>
      <c r="H4119" s="10" t="s">
        <v>8251</v>
      </c>
      <c r="I4119" s="10" t="s">
        <v>18</v>
      </c>
    </row>
    <row r="4120" spans="1:9" x14ac:dyDescent="0.2">
      <c r="A4120" s="10" t="s">
        <v>8252</v>
      </c>
      <c r="B4120" s="10">
        <v>746.31917884183304</v>
      </c>
      <c r="C4120" s="10">
        <v>-1.80127445086389</v>
      </c>
      <c r="D4120" s="10">
        <v>0.272530102292867</v>
      </c>
      <c r="E4120" s="10">
        <v>-6.6094513439407097</v>
      </c>
      <c r="F4120" s="4">
        <v>3.8574697482090903E-11</v>
      </c>
      <c r="G4120" s="4">
        <v>6.3699683775426105E-10</v>
      </c>
      <c r="H4120" s="10" t="s">
        <v>8253</v>
      </c>
      <c r="I4120" s="10" t="s">
        <v>18</v>
      </c>
    </row>
    <row r="4121" spans="1:9" x14ac:dyDescent="0.2">
      <c r="A4121" s="10" t="s">
        <v>8254</v>
      </c>
      <c r="B4121" s="10">
        <v>792.16771706217105</v>
      </c>
      <c r="C4121" s="10">
        <v>-1.13784535630684</v>
      </c>
      <c r="D4121" s="10">
        <v>0.229172261594253</v>
      </c>
      <c r="E4121" s="10">
        <v>-4.9650221557850598</v>
      </c>
      <c r="F4121" s="4">
        <v>6.8693227409372897E-7</v>
      </c>
      <c r="G4121" s="4">
        <v>6.0533129599714801E-6</v>
      </c>
      <c r="H4121" s="10" t="s">
        <v>8255</v>
      </c>
      <c r="I4121" s="10" t="s">
        <v>18</v>
      </c>
    </row>
    <row r="4122" spans="1:9" x14ac:dyDescent="0.2">
      <c r="A4122" s="10" t="s">
        <v>8256</v>
      </c>
      <c r="B4122" s="10">
        <v>2328.66001388522</v>
      </c>
      <c r="C4122" s="10">
        <v>-1.2535831678442599</v>
      </c>
      <c r="D4122" s="10">
        <v>0.19949973093089901</v>
      </c>
      <c r="E4122" s="10">
        <v>-6.2836333763200196</v>
      </c>
      <c r="F4122" s="4">
        <v>3.30750190379495E-10</v>
      </c>
      <c r="G4122" s="4">
        <v>4.7657062069117402E-9</v>
      </c>
      <c r="H4122" s="10" t="s">
        <v>8257</v>
      </c>
      <c r="I4122" s="10" t="s">
        <v>18</v>
      </c>
    </row>
    <row r="4123" spans="1:9" x14ac:dyDescent="0.2">
      <c r="A4123" s="10" t="s">
        <v>8258</v>
      </c>
      <c r="B4123" s="10">
        <v>609.79398125488797</v>
      </c>
      <c r="C4123" s="10">
        <v>-1.3427011935147499</v>
      </c>
      <c r="D4123" s="10">
        <v>0.27271946673703001</v>
      </c>
      <c r="E4123" s="10">
        <v>-4.9233786263209796</v>
      </c>
      <c r="F4123" s="4">
        <v>8.5062643577047104E-7</v>
      </c>
      <c r="G4123" s="4">
        <v>7.3906308977799799E-6</v>
      </c>
      <c r="H4123" s="10" t="s">
        <v>8259</v>
      </c>
      <c r="I4123" s="10" t="s">
        <v>18</v>
      </c>
    </row>
    <row r="4124" spans="1:9" x14ac:dyDescent="0.2">
      <c r="A4124" s="10" t="s">
        <v>8260</v>
      </c>
      <c r="B4124" s="10">
        <v>6015.2315506023397</v>
      </c>
      <c r="C4124" s="10">
        <v>-1.4161578899854499</v>
      </c>
      <c r="D4124" s="10">
        <v>0.22128607390060201</v>
      </c>
      <c r="E4124" s="10">
        <v>-6.3996701872055803</v>
      </c>
      <c r="F4124" s="4">
        <v>1.55712932851193E-10</v>
      </c>
      <c r="G4124" s="4">
        <v>2.3634766432749302E-9</v>
      </c>
      <c r="H4124" s="10" t="s">
        <v>8261</v>
      </c>
      <c r="I4124" s="10" t="s">
        <v>18</v>
      </c>
    </row>
    <row r="4125" spans="1:9" x14ac:dyDescent="0.2">
      <c r="A4125" s="10" t="s">
        <v>8262</v>
      </c>
      <c r="B4125" s="10">
        <v>70.2513826124828</v>
      </c>
      <c r="C4125" s="10">
        <v>-1.3931499949477399</v>
      </c>
      <c r="D4125" s="10">
        <v>0.49779845829120301</v>
      </c>
      <c r="E4125" s="10">
        <v>-2.7986225584748001</v>
      </c>
      <c r="F4125" s="10">
        <v>5.1321089028187701E-3</v>
      </c>
      <c r="G4125" s="10">
        <v>1.8120328012842201E-2</v>
      </c>
      <c r="H4125" s="10" t="s">
        <v>8263</v>
      </c>
      <c r="I4125" s="10" t="s">
        <v>18</v>
      </c>
    </row>
    <row r="4126" spans="1:9" x14ac:dyDescent="0.2">
      <c r="A4126" s="10" t="s">
        <v>8264</v>
      </c>
      <c r="B4126" s="10">
        <v>2157.2202812139799</v>
      </c>
      <c r="C4126" s="10">
        <v>-1.0280119915958601</v>
      </c>
      <c r="D4126" s="10">
        <v>0.20983495145431499</v>
      </c>
      <c r="E4126" s="10">
        <v>-4.8991456593430298</v>
      </c>
      <c r="F4126" s="4">
        <v>9.6254269445205192E-7</v>
      </c>
      <c r="G4126" s="4">
        <v>8.2942444009282306E-6</v>
      </c>
      <c r="H4126" s="10" t="s">
        <v>8265</v>
      </c>
      <c r="I4126" s="10" t="s">
        <v>18</v>
      </c>
    </row>
    <row r="4127" spans="1:9" x14ac:dyDescent="0.2">
      <c r="A4127" s="10" t="s">
        <v>8266</v>
      </c>
      <c r="B4127" s="10">
        <v>1515.1383307041001</v>
      </c>
      <c r="C4127" s="10">
        <v>-1.2314443850061301</v>
      </c>
      <c r="D4127" s="10">
        <v>0.211066123462647</v>
      </c>
      <c r="E4127" s="10">
        <v>-5.8344009204492604</v>
      </c>
      <c r="F4127" s="4">
        <v>5.3984174902469902E-9</v>
      </c>
      <c r="G4127" s="4">
        <v>6.6617156411575999E-8</v>
      </c>
      <c r="H4127" s="10" t="s">
        <v>8267</v>
      </c>
      <c r="I4127" s="10" t="s">
        <v>18</v>
      </c>
    </row>
    <row r="4128" spans="1:9" x14ac:dyDescent="0.2">
      <c r="A4128" s="10" t="s">
        <v>8268</v>
      </c>
      <c r="B4128" s="10">
        <v>2084.1815474345199</v>
      </c>
      <c r="C4128" s="10">
        <v>-1.0480738245972201</v>
      </c>
      <c r="D4128" s="10">
        <v>0.213873535530547</v>
      </c>
      <c r="E4128" s="10">
        <v>-4.9004371765646697</v>
      </c>
      <c r="F4128" s="4">
        <v>9.5623632275534406E-7</v>
      </c>
      <c r="G4128" s="4">
        <v>8.2477274726542808E-6</v>
      </c>
      <c r="H4128" s="10" t="s">
        <v>8269</v>
      </c>
      <c r="I4128" s="10" t="s">
        <v>18</v>
      </c>
    </row>
    <row r="4129" spans="1:9" x14ac:dyDescent="0.2">
      <c r="A4129" s="10" t="s">
        <v>8270</v>
      </c>
      <c r="B4129" s="10">
        <v>1492.9534829325901</v>
      </c>
      <c r="C4129" s="10">
        <v>-1.7815318347431901</v>
      </c>
      <c r="D4129" s="10">
        <v>0.22733538171353601</v>
      </c>
      <c r="E4129" s="10">
        <v>-7.8365796881899001</v>
      </c>
      <c r="F4129" s="4">
        <v>4.6298456703853697E-15</v>
      </c>
      <c r="G4129" s="4">
        <v>1.1573339906512899E-13</v>
      </c>
      <c r="H4129" s="10" t="s">
        <v>8271</v>
      </c>
      <c r="I4129" s="10" t="s">
        <v>18</v>
      </c>
    </row>
    <row r="4130" spans="1:9" x14ac:dyDescent="0.2">
      <c r="A4130" s="10" t="s">
        <v>8272</v>
      </c>
      <c r="B4130" s="10">
        <v>10.680549065541999</v>
      </c>
      <c r="C4130" s="10">
        <v>6.8131489558824798</v>
      </c>
      <c r="D4130" s="10">
        <v>1.7441808252743201</v>
      </c>
      <c r="E4130" s="10">
        <v>3.9062170946701702</v>
      </c>
      <c r="F4130" s="4">
        <v>9.3752289433606401E-5</v>
      </c>
      <c r="G4130" s="10">
        <v>5.4017099390938305E-4</v>
      </c>
      <c r="H4130" s="10" t="s">
        <v>8273</v>
      </c>
      <c r="I4130" s="10" t="s">
        <v>18</v>
      </c>
    </row>
    <row r="4131" spans="1:9" x14ac:dyDescent="0.2">
      <c r="A4131" s="10" t="s">
        <v>8274</v>
      </c>
      <c r="B4131" s="10">
        <v>56.524411709238798</v>
      </c>
      <c r="C4131" s="10">
        <v>-1.84245269154855</v>
      </c>
      <c r="D4131" s="10">
        <v>0.51889506470845703</v>
      </c>
      <c r="E4131" s="10">
        <v>-3.5507230977109798</v>
      </c>
      <c r="F4131" s="10">
        <v>3.8417437851334701E-4</v>
      </c>
      <c r="G4131" s="10">
        <v>1.9007806957242E-3</v>
      </c>
      <c r="H4131" s="10" t="s">
        <v>8275</v>
      </c>
      <c r="I4131" s="10" t="s">
        <v>18</v>
      </c>
    </row>
    <row r="4132" spans="1:9" x14ac:dyDescent="0.2">
      <c r="A4132" s="10" t="s">
        <v>8276</v>
      </c>
      <c r="B4132" s="10">
        <v>12.296066209648901</v>
      </c>
      <c r="C4132" s="10">
        <v>7.0168555582280501</v>
      </c>
      <c r="D4132" s="10">
        <v>1.70849403015836</v>
      </c>
      <c r="E4132" s="10">
        <v>4.1070413091099001</v>
      </c>
      <c r="F4132" s="4">
        <v>4.0075957735880903E-5</v>
      </c>
      <c r="G4132" s="10">
        <v>2.4998846621555599E-4</v>
      </c>
      <c r="H4132" s="10" t="s">
        <v>8277</v>
      </c>
      <c r="I4132" s="10" t="s">
        <v>18</v>
      </c>
    </row>
    <row r="4133" spans="1:9" x14ac:dyDescent="0.2">
      <c r="A4133" s="10" t="s">
        <v>8278</v>
      </c>
      <c r="B4133" s="10">
        <v>465.25696854874798</v>
      </c>
      <c r="C4133" s="10">
        <v>-1.3416131147750801</v>
      </c>
      <c r="D4133" s="10">
        <v>0.230298327485562</v>
      </c>
      <c r="E4133" s="10">
        <v>-5.8255443251500996</v>
      </c>
      <c r="F4133" s="4">
        <v>5.6926747211807601E-9</v>
      </c>
      <c r="G4133" s="4">
        <v>6.9837149089604694E-8</v>
      </c>
      <c r="H4133" s="10" t="s">
        <v>8279</v>
      </c>
      <c r="I4133" s="10" t="s">
        <v>18</v>
      </c>
    </row>
    <row r="4134" spans="1:9" x14ac:dyDescent="0.2">
      <c r="A4134" s="10" t="s">
        <v>8280</v>
      </c>
      <c r="B4134" s="10">
        <v>6585.4455081677697</v>
      </c>
      <c r="C4134" s="10">
        <v>-2.1845082557208202</v>
      </c>
      <c r="D4134" s="10">
        <v>0.21684749422066901</v>
      </c>
      <c r="E4134" s="10">
        <v>-10.0739382005392</v>
      </c>
      <c r="F4134" s="4">
        <v>7.2034616059963805E-24</v>
      </c>
      <c r="G4134" s="4">
        <v>3.6893368116275002E-22</v>
      </c>
      <c r="H4134" s="10" t="s">
        <v>8281</v>
      </c>
      <c r="I4134" s="10" t="s">
        <v>18</v>
      </c>
    </row>
    <row r="4135" spans="1:9" x14ac:dyDescent="0.2">
      <c r="A4135" s="10" t="s">
        <v>8282</v>
      </c>
      <c r="B4135" s="10">
        <v>74.439010359685497</v>
      </c>
      <c r="C4135" s="10">
        <v>-2.33431591802248</v>
      </c>
      <c r="D4135" s="10">
        <v>0.470388487284568</v>
      </c>
      <c r="E4135" s="10">
        <v>-4.9625277427555403</v>
      </c>
      <c r="F4135" s="4">
        <v>6.9581623853213003E-7</v>
      </c>
      <c r="G4135" s="4">
        <v>6.1157758229951398E-6</v>
      </c>
      <c r="H4135" s="10" t="s">
        <v>8283</v>
      </c>
      <c r="I4135" s="10" t="s">
        <v>18</v>
      </c>
    </row>
    <row r="4136" spans="1:9" x14ac:dyDescent="0.2">
      <c r="A4136" s="10" t="s">
        <v>8284</v>
      </c>
      <c r="B4136" s="10">
        <v>7.3408004629080397</v>
      </c>
      <c r="C4136" s="10">
        <v>6.2724782074636902</v>
      </c>
      <c r="D4136" s="10">
        <v>1.8637627233396801</v>
      </c>
      <c r="E4136" s="10">
        <v>3.36549182410088</v>
      </c>
      <c r="F4136" s="10">
        <v>7.6407331549742104E-4</v>
      </c>
      <c r="G4136" s="10">
        <v>3.4924854264986099E-3</v>
      </c>
      <c r="H4136" s="10" t="s">
        <v>8285</v>
      </c>
      <c r="I4136" s="10" t="s">
        <v>18</v>
      </c>
    </row>
    <row r="4137" spans="1:9" x14ac:dyDescent="0.2">
      <c r="A4137" s="10" t="s">
        <v>8286</v>
      </c>
      <c r="B4137" s="10">
        <v>746.18532315983998</v>
      </c>
      <c r="C4137" s="10">
        <v>8.1701083780060308</v>
      </c>
      <c r="D4137" s="10">
        <v>0.50951748632145799</v>
      </c>
      <c r="E4137" s="10">
        <v>16.0349911383639</v>
      </c>
      <c r="F4137" s="4">
        <v>7.2793985749711203E-58</v>
      </c>
      <c r="G4137" s="4">
        <v>1.9526252209061202E-55</v>
      </c>
      <c r="H4137" s="10" t="s">
        <v>8287</v>
      </c>
      <c r="I4137" s="10" t="s">
        <v>18</v>
      </c>
    </row>
    <row r="4138" spans="1:9" x14ac:dyDescent="0.2">
      <c r="A4138" s="10" t="s">
        <v>8288</v>
      </c>
      <c r="B4138" s="10">
        <v>1243.13586079014</v>
      </c>
      <c r="C4138" s="10">
        <v>-1.0808960005469499</v>
      </c>
      <c r="D4138" s="10">
        <v>0.22180694498782</v>
      </c>
      <c r="E4138" s="10">
        <v>-4.8731386684321603</v>
      </c>
      <c r="F4138" s="4">
        <v>1.0983906792683899E-6</v>
      </c>
      <c r="G4138" s="4">
        <v>9.3495316582398394E-6</v>
      </c>
      <c r="H4138" s="10" t="s">
        <v>8289</v>
      </c>
      <c r="I4138" s="10" t="s">
        <v>18</v>
      </c>
    </row>
    <row r="4139" spans="1:9" x14ac:dyDescent="0.2">
      <c r="A4139" s="10" t="s">
        <v>8290</v>
      </c>
      <c r="B4139" s="10">
        <v>29.4264220620076</v>
      </c>
      <c r="C4139" s="10">
        <v>2.5054368401617202</v>
      </c>
      <c r="D4139" s="10">
        <v>0.71042923982586803</v>
      </c>
      <c r="E4139" s="10">
        <v>3.5266521980089398</v>
      </c>
      <c r="F4139" s="10">
        <v>4.20849204133152E-4</v>
      </c>
      <c r="G4139" s="10">
        <v>2.05905517418136E-3</v>
      </c>
      <c r="H4139" s="10" t="s">
        <v>8291</v>
      </c>
      <c r="I4139" s="10" t="s">
        <v>18</v>
      </c>
    </row>
    <row r="4140" spans="1:9" x14ac:dyDescent="0.2">
      <c r="A4140" s="10" t="s">
        <v>8292</v>
      </c>
      <c r="B4140" s="10">
        <v>1061.30256720241</v>
      </c>
      <c r="C4140" s="10">
        <v>1.06758431416929</v>
      </c>
      <c r="D4140" s="10">
        <v>0.222708503068963</v>
      </c>
      <c r="E4140" s="10">
        <v>4.7936396655618996</v>
      </c>
      <c r="F4140" s="4">
        <v>1.63782341739611E-6</v>
      </c>
      <c r="G4140" s="4">
        <v>1.3494337663680601E-5</v>
      </c>
      <c r="H4140" s="10" t="s">
        <v>8293</v>
      </c>
      <c r="I4140" s="10" t="s">
        <v>18</v>
      </c>
    </row>
    <row r="4141" spans="1:9" x14ac:dyDescent="0.2">
      <c r="A4141" s="10" t="s">
        <v>8294</v>
      </c>
      <c r="B4141" s="10">
        <v>714.37938725916001</v>
      </c>
      <c r="C4141" s="10">
        <v>1.89485051572222</v>
      </c>
      <c r="D4141" s="10">
        <v>0.21668166936140301</v>
      </c>
      <c r="E4141" s="10">
        <v>8.7448583966823694</v>
      </c>
      <c r="F4141" s="4">
        <v>2.23295506831215E-18</v>
      </c>
      <c r="G4141" s="4">
        <v>7.4835580253752795E-17</v>
      </c>
      <c r="H4141" s="10" t="s">
        <v>8295</v>
      </c>
      <c r="I4141" s="10" t="s">
        <v>18</v>
      </c>
    </row>
    <row r="4142" spans="1:9" x14ac:dyDescent="0.2">
      <c r="A4142" s="10" t="s">
        <v>8296</v>
      </c>
      <c r="B4142" s="10">
        <v>1115.4360631690099</v>
      </c>
      <c r="C4142" s="10">
        <v>1.3779868231049699</v>
      </c>
      <c r="D4142" s="10">
        <v>0.20543805009435501</v>
      </c>
      <c r="E4142" s="10">
        <v>6.70755404109455</v>
      </c>
      <c r="F4142" s="4">
        <v>1.97913676111956E-11</v>
      </c>
      <c r="G4142" s="4">
        <v>3.37034620813903E-10</v>
      </c>
      <c r="H4142" s="10" t="s">
        <v>8297</v>
      </c>
      <c r="I4142" s="10" t="s">
        <v>18</v>
      </c>
    </row>
    <row r="4143" spans="1:9" x14ac:dyDescent="0.2">
      <c r="A4143" s="10" t="s">
        <v>8298</v>
      </c>
      <c r="B4143" s="10">
        <v>450.94529110029902</v>
      </c>
      <c r="C4143" s="10">
        <v>1.0993564603857999</v>
      </c>
      <c r="D4143" s="10">
        <v>0.27942294178267302</v>
      </c>
      <c r="E4143" s="10">
        <v>3.9343815270574498</v>
      </c>
      <c r="F4143" s="4">
        <v>8.3411198749115098E-5</v>
      </c>
      <c r="G4143" s="10">
        <v>4.8697341596681798E-4</v>
      </c>
      <c r="H4143" s="10" t="s">
        <v>8299</v>
      </c>
      <c r="I4143" s="10" t="s">
        <v>18</v>
      </c>
    </row>
    <row r="4144" spans="1:9" x14ac:dyDescent="0.2">
      <c r="A4144" s="10" t="s">
        <v>8300</v>
      </c>
      <c r="B4144" s="10">
        <v>4171.0545011056201</v>
      </c>
      <c r="C4144" s="10">
        <v>-2.5212546208769102</v>
      </c>
      <c r="D4144" s="10">
        <v>0.18992146533190499</v>
      </c>
      <c r="E4144" s="10">
        <v>-13.2752483584243</v>
      </c>
      <c r="F4144" s="4">
        <v>3.2220106814861199E-40</v>
      </c>
      <c r="G4144" s="4">
        <v>4.5252641772398102E-38</v>
      </c>
      <c r="H4144" s="10" t="s">
        <v>8301</v>
      </c>
      <c r="I4144" s="10" t="s">
        <v>18</v>
      </c>
    </row>
    <row r="4145" spans="1:9" x14ac:dyDescent="0.2">
      <c r="A4145" s="10" t="s">
        <v>8302</v>
      </c>
      <c r="B4145" s="10">
        <v>394.18493249816697</v>
      </c>
      <c r="C4145" s="10">
        <v>-4.0879719033326598</v>
      </c>
      <c r="D4145" s="10">
        <v>0.28214936737413698</v>
      </c>
      <c r="E4145" s="10">
        <v>-14.488680025682701</v>
      </c>
      <c r="F4145" s="4">
        <v>1.42861819861092E-47</v>
      </c>
      <c r="G4145" s="4">
        <v>2.59503733717011E-45</v>
      </c>
      <c r="H4145" s="10" t="s">
        <v>8303</v>
      </c>
      <c r="I4145" s="10" t="s">
        <v>18</v>
      </c>
    </row>
    <row r="4146" spans="1:9" x14ac:dyDescent="0.2">
      <c r="A4146" s="10" t="s">
        <v>8304</v>
      </c>
      <c r="B4146" s="10">
        <v>80.391360402087201</v>
      </c>
      <c r="C4146" s="10">
        <v>-1.18121420429223</v>
      </c>
      <c r="D4146" s="10">
        <v>0.43087294449737601</v>
      </c>
      <c r="E4146" s="10">
        <v>-2.7414443616787101</v>
      </c>
      <c r="F4146" s="10">
        <v>6.11697195033193E-3</v>
      </c>
      <c r="G4146" s="10">
        <v>2.10361144428492E-2</v>
      </c>
      <c r="H4146" s="10" t="s">
        <v>8305</v>
      </c>
      <c r="I4146" s="10" t="s">
        <v>18</v>
      </c>
    </row>
    <row r="4147" spans="1:9" x14ac:dyDescent="0.2">
      <c r="A4147" s="10" t="s">
        <v>8306</v>
      </c>
      <c r="B4147" s="10">
        <v>73.698667801204493</v>
      </c>
      <c r="C4147" s="10">
        <v>5.1202662239383496</v>
      </c>
      <c r="D4147" s="10">
        <v>0.65414577786626804</v>
      </c>
      <c r="E4147" s="10">
        <v>7.8274085031014602</v>
      </c>
      <c r="F4147" s="4">
        <v>4.9802883861061098E-15</v>
      </c>
      <c r="G4147" s="4">
        <v>1.2369910451798801E-13</v>
      </c>
      <c r="H4147" s="10" t="s">
        <v>8307</v>
      </c>
      <c r="I4147" s="10" t="s">
        <v>18</v>
      </c>
    </row>
    <row r="4148" spans="1:9" x14ac:dyDescent="0.2">
      <c r="A4148" s="10" t="s">
        <v>8308</v>
      </c>
      <c r="B4148" s="10">
        <v>814.55189779017996</v>
      </c>
      <c r="C4148" s="10">
        <v>-1.15794381648865</v>
      </c>
      <c r="D4148" s="10">
        <v>0.23315296270404301</v>
      </c>
      <c r="E4148" s="10">
        <v>-4.96645551083349</v>
      </c>
      <c r="F4148" s="4">
        <v>6.8187686875851804E-7</v>
      </c>
      <c r="G4148" s="4">
        <v>6.01070819898523E-6</v>
      </c>
      <c r="H4148" s="10" t="s">
        <v>8309</v>
      </c>
      <c r="I4148" s="10" t="s">
        <v>18</v>
      </c>
    </row>
    <row r="4149" spans="1:9" x14ac:dyDescent="0.2">
      <c r="A4149" s="10" t="s">
        <v>8310</v>
      </c>
      <c r="B4149" s="10">
        <v>65.349742843359493</v>
      </c>
      <c r="C4149" s="10">
        <v>2.1357881835928301</v>
      </c>
      <c r="D4149" s="10">
        <v>0.47013281687974101</v>
      </c>
      <c r="E4149" s="10">
        <v>4.5429463906986998</v>
      </c>
      <c r="F4149" s="4">
        <v>5.5473362723265597E-6</v>
      </c>
      <c r="G4149" s="4">
        <v>4.1558501900489903E-5</v>
      </c>
      <c r="H4149" s="10" t="s">
        <v>8311</v>
      </c>
      <c r="I4149" s="10" t="s">
        <v>18</v>
      </c>
    </row>
    <row r="4150" spans="1:9" x14ac:dyDescent="0.2">
      <c r="A4150" s="10" t="s">
        <v>8312</v>
      </c>
      <c r="B4150" s="10">
        <v>22.908287933133199</v>
      </c>
      <c r="C4150" s="10">
        <v>1.8839700865051801</v>
      </c>
      <c r="D4150" s="10">
        <v>0.74649398821578505</v>
      </c>
      <c r="E4150" s="10">
        <v>2.5237578818392201</v>
      </c>
      <c r="F4150" s="10">
        <v>1.16107865494829E-2</v>
      </c>
      <c r="G4150" s="10">
        <v>3.6031788281749598E-2</v>
      </c>
      <c r="H4150" s="10" t="s">
        <v>8313</v>
      </c>
      <c r="I4150" s="10" t="s">
        <v>18</v>
      </c>
    </row>
    <row r="4151" spans="1:9" x14ac:dyDescent="0.2">
      <c r="A4151" s="10" t="s">
        <v>8314</v>
      </c>
      <c r="B4151" s="10">
        <v>137.67028077315899</v>
      </c>
      <c r="C4151" s="10">
        <v>1.20255735177565</v>
      </c>
      <c r="D4151" s="10">
        <v>0.34798797209369697</v>
      </c>
      <c r="E4151" s="10">
        <v>3.45574401477261</v>
      </c>
      <c r="F4151" s="10">
        <v>5.4877622099583898E-4</v>
      </c>
      <c r="G4151" s="10">
        <v>2.6017932301154699E-3</v>
      </c>
      <c r="H4151" s="10" t="s">
        <v>8315</v>
      </c>
      <c r="I4151" s="10" t="s">
        <v>18</v>
      </c>
    </row>
    <row r="4152" spans="1:9" x14ac:dyDescent="0.2">
      <c r="A4152" s="10" t="s">
        <v>8316</v>
      </c>
      <c r="B4152" s="10">
        <v>55.335479637087303</v>
      </c>
      <c r="C4152" s="10">
        <v>4.0773295484265502</v>
      </c>
      <c r="D4152" s="10">
        <v>0.61786501726301002</v>
      </c>
      <c r="E4152" s="10">
        <v>6.5990619868529103</v>
      </c>
      <c r="F4152" s="4">
        <v>4.1376729890610698E-11</v>
      </c>
      <c r="G4152" s="4">
        <v>6.7956103636496096E-10</v>
      </c>
      <c r="H4152" s="10" t="s">
        <v>8317</v>
      </c>
      <c r="I4152" s="10" t="s">
        <v>18</v>
      </c>
    </row>
    <row r="4153" spans="1:9" x14ac:dyDescent="0.2">
      <c r="A4153" s="10" t="s">
        <v>8318</v>
      </c>
      <c r="B4153" s="10">
        <v>1363.18735767506</v>
      </c>
      <c r="C4153" s="10">
        <v>-1.0399651092662401</v>
      </c>
      <c r="D4153" s="10">
        <v>0.23022807163092099</v>
      </c>
      <c r="E4153" s="10">
        <v>-4.5171081957955401</v>
      </c>
      <c r="F4153" s="4">
        <v>6.2689877699152704E-6</v>
      </c>
      <c r="G4153" s="4">
        <v>4.63656649747235E-5</v>
      </c>
      <c r="H4153" s="10" t="s">
        <v>8319</v>
      </c>
      <c r="I4153" s="10" t="s">
        <v>18</v>
      </c>
    </row>
    <row r="4154" spans="1:9" x14ac:dyDescent="0.2">
      <c r="A4154" s="10" t="s">
        <v>8320</v>
      </c>
      <c r="B4154" s="10">
        <v>4.7710694323342899</v>
      </c>
      <c r="C4154" s="10">
        <v>5.6498655801083801</v>
      </c>
      <c r="D4154" s="10">
        <v>2.0548781453748601</v>
      </c>
      <c r="E4154" s="10">
        <v>2.7494893518747898</v>
      </c>
      <c r="F4154" s="10">
        <v>5.9688202149847996E-3</v>
      </c>
      <c r="G4154" s="10">
        <v>2.05942059513348E-2</v>
      </c>
      <c r="H4154" s="10" t="s">
        <v>8321</v>
      </c>
      <c r="I4154" s="10" t="s">
        <v>18</v>
      </c>
    </row>
    <row r="4155" spans="1:9" x14ac:dyDescent="0.2">
      <c r="A4155" s="10" t="s">
        <v>8322</v>
      </c>
      <c r="B4155" s="10">
        <v>257.13402846817002</v>
      </c>
      <c r="C4155" s="10">
        <v>-1.2795950470376301</v>
      </c>
      <c r="D4155" s="10">
        <v>0.26727575485733102</v>
      </c>
      <c r="E4155" s="10">
        <v>-4.7875462842511203</v>
      </c>
      <c r="F4155" s="4">
        <v>1.6883280864235599E-6</v>
      </c>
      <c r="G4155" s="4">
        <v>1.38810728336701E-5</v>
      </c>
      <c r="H4155" s="10" t="s">
        <v>8323</v>
      </c>
      <c r="I4155" s="10" t="s">
        <v>18</v>
      </c>
    </row>
    <row r="4156" spans="1:9" x14ac:dyDescent="0.2">
      <c r="A4156" s="10" t="s">
        <v>8324</v>
      </c>
      <c r="B4156" s="10">
        <v>128.15307828450699</v>
      </c>
      <c r="C4156" s="10">
        <v>-1.0310569697816701</v>
      </c>
      <c r="D4156" s="10">
        <v>0.34443933314886399</v>
      </c>
      <c r="E4156" s="10">
        <v>-2.9934356229172301</v>
      </c>
      <c r="F4156" s="10">
        <v>2.7585569858712801E-3</v>
      </c>
      <c r="G4156" s="10">
        <v>1.0641710632031001E-2</v>
      </c>
      <c r="H4156" s="10" t="s">
        <v>8325</v>
      </c>
      <c r="I4156" s="10" t="s">
        <v>18</v>
      </c>
    </row>
    <row r="4157" spans="1:9" x14ac:dyDescent="0.2">
      <c r="A4157" s="10" t="s">
        <v>8326</v>
      </c>
      <c r="B4157" s="10">
        <v>260.47952468644002</v>
      </c>
      <c r="C4157" s="10">
        <v>-1.04651903800443</v>
      </c>
      <c r="D4157" s="10">
        <v>0.27766888207854901</v>
      </c>
      <c r="E4157" s="10">
        <v>-3.7689460560740402</v>
      </c>
      <c r="F4157" s="10">
        <v>1.6393830959434799E-4</v>
      </c>
      <c r="G4157" s="10">
        <v>8.9354413313006299E-4</v>
      </c>
      <c r="H4157" s="10" t="s">
        <v>8327</v>
      </c>
      <c r="I4157" s="10" t="s">
        <v>18</v>
      </c>
    </row>
    <row r="4158" spans="1:9" x14ac:dyDescent="0.2">
      <c r="A4158" s="10" t="s">
        <v>8328</v>
      </c>
      <c r="B4158" s="10">
        <v>4.1822423843077399</v>
      </c>
      <c r="C4158" s="10">
        <v>5.4559790170220399</v>
      </c>
      <c r="D4158" s="10">
        <v>2.1535693190750198</v>
      </c>
      <c r="E4158" s="10">
        <v>2.5334587415860099</v>
      </c>
      <c r="F4158" s="10">
        <v>1.12943035283908E-2</v>
      </c>
      <c r="G4158" s="10">
        <v>3.5206027712854998E-2</v>
      </c>
      <c r="H4158" s="10" t="s">
        <v>8329</v>
      </c>
      <c r="I4158" s="10" t="s">
        <v>18</v>
      </c>
    </row>
    <row r="4159" spans="1:9" x14ac:dyDescent="0.2">
      <c r="A4159" s="10" t="s">
        <v>8330</v>
      </c>
      <c r="B4159" s="10">
        <v>6.1661521572278399</v>
      </c>
      <c r="C4159" s="10">
        <v>6.0207072949405402</v>
      </c>
      <c r="D4159" s="10">
        <v>1.93317068918253</v>
      </c>
      <c r="E4159" s="10">
        <v>3.11442095032307</v>
      </c>
      <c r="F4159" s="10">
        <v>1.84306335590704E-3</v>
      </c>
      <c r="G4159" s="10">
        <v>7.5120339952728498E-3</v>
      </c>
      <c r="H4159" s="10" t="s">
        <v>8331</v>
      </c>
      <c r="I4159" s="10" t="s">
        <v>18</v>
      </c>
    </row>
    <row r="4160" spans="1:9" x14ac:dyDescent="0.2">
      <c r="A4160" s="10" t="s">
        <v>8332</v>
      </c>
      <c r="B4160" s="10">
        <v>442.84582015045697</v>
      </c>
      <c r="C4160" s="10">
        <v>-1.3009702624996</v>
      </c>
      <c r="D4160" s="10">
        <v>0.23222680383504901</v>
      </c>
      <c r="E4160" s="10">
        <v>-5.6021537609572398</v>
      </c>
      <c r="F4160" s="4">
        <v>2.1170462587572298E-8</v>
      </c>
      <c r="G4160" s="4">
        <v>2.4094886972580699E-7</v>
      </c>
      <c r="H4160" s="10" t="s">
        <v>8333</v>
      </c>
      <c r="I4160" s="10" t="s">
        <v>18</v>
      </c>
    </row>
    <row r="4161" spans="1:9" x14ac:dyDescent="0.2">
      <c r="A4161" s="10" t="s">
        <v>8334</v>
      </c>
      <c r="B4161" s="10">
        <v>920.33494351060995</v>
      </c>
      <c r="C4161" s="10">
        <v>2.0417669246417698</v>
      </c>
      <c r="D4161" s="10">
        <v>0.20475787864862099</v>
      </c>
      <c r="E4161" s="10">
        <v>9.9716159305673706</v>
      </c>
      <c r="F4161" s="4">
        <v>2.02900420315864E-23</v>
      </c>
      <c r="G4161" s="4">
        <v>1.0015267667294099E-21</v>
      </c>
      <c r="H4161" s="10" t="s">
        <v>8335</v>
      </c>
      <c r="I4161" s="10" t="s">
        <v>18</v>
      </c>
    </row>
    <row r="4162" spans="1:9" x14ac:dyDescent="0.2">
      <c r="A4162" s="10" t="s">
        <v>8336</v>
      </c>
      <c r="B4162" s="10">
        <v>466.93708872889403</v>
      </c>
      <c r="C4162" s="10">
        <v>1.2897781628729199</v>
      </c>
      <c r="D4162" s="10">
        <v>0.22806191279083199</v>
      </c>
      <c r="E4162" s="10">
        <v>5.6553860620113401</v>
      </c>
      <c r="F4162" s="4">
        <v>1.5549635480252299E-8</v>
      </c>
      <c r="G4162" s="4">
        <v>1.7998339759151899E-7</v>
      </c>
      <c r="H4162" s="10" t="s">
        <v>8337</v>
      </c>
      <c r="I4162" s="10" t="s">
        <v>18</v>
      </c>
    </row>
    <row r="4163" spans="1:9" x14ac:dyDescent="0.2">
      <c r="A4163" s="10" t="s">
        <v>8338</v>
      </c>
      <c r="B4163" s="10">
        <v>313.57392316841901</v>
      </c>
      <c r="C4163" s="10">
        <v>5.6303282905956804</v>
      </c>
      <c r="D4163" s="10">
        <v>0.41010813522338901</v>
      </c>
      <c r="E4163" s="10">
        <v>13.728887108100899</v>
      </c>
      <c r="F4163" s="4">
        <v>6.8172620436368897E-43</v>
      </c>
      <c r="G4163" s="4">
        <v>1.0614282223027101E-40</v>
      </c>
      <c r="H4163" s="10" t="s">
        <v>8339</v>
      </c>
      <c r="I4163" s="10" t="s">
        <v>18</v>
      </c>
    </row>
    <row r="4164" spans="1:9" x14ac:dyDescent="0.2">
      <c r="A4164" s="10" t="s">
        <v>8340</v>
      </c>
      <c r="B4164" s="10">
        <v>59.340528474617798</v>
      </c>
      <c r="C4164" s="10">
        <v>1.77682815440298</v>
      </c>
      <c r="D4164" s="10">
        <v>0.48096792048897802</v>
      </c>
      <c r="E4164" s="10">
        <v>3.6942758107371501</v>
      </c>
      <c r="F4164" s="10">
        <v>2.2051434923814399E-4</v>
      </c>
      <c r="G4164" s="10">
        <v>1.1608103697240599E-3</v>
      </c>
      <c r="H4164" s="10" t="s">
        <v>8341</v>
      </c>
      <c r="I4164" s="10" t="s">
        <v>18</v>
      </c>
    </row>
    <row r="4165" spans="1:9" x14ac:dyDescent="0.2">
      <c r="A4165" s="10" t="s">
        <v>8342</v>
      </c>
      <c r="B4165" s="10">
        <v>357.20639327854701</v>
      </c>
      <c r="C4165" s="10">
        <v>-1.10661294975658</v>
      </c>
      <c r="D4165" s="10">
        <v>0.253503563982172</v>
      </c>
      <c r="E4165" s="10">
        <v>-4.3652757080543703</v>
      </c>
      <c r="F4165" s="4">
        <v>1.2696251781033101E-5</v>
      </c>
      <c r="G4165" s="4">
        <v>8.8136247714091397E-5</v>
      </c>
      <c r="H4165" s="10" t="s">
        <v>8343</v>
      </c>
      <c r="I4165" s="10" t="s">
        <v>18</v>
      </c>
    </row>
    <row r="4166" spans="1:9" x14ac:dyDescent="0.2">
      <c r="A4166" s="10" t="s">
        <v>8344</v>
      </c>
      <c r="B4166" s="10">
        <v>388.92032410665502</v>
      </c>
      <c r="C4166" s="10">
        <v>-1.63330438059698</v>
      </c>
      <c r="D4166" s="10">
        <v>0.25657039250802699</v>
      </c>
      <c r="E4166" s="10">
        <v>-6.3659113767223898</v>
      </c>
      <c r="F4166" s="4">
        <v>1.9413350690098601E-10</v>
      </c>
      <c r="G4166" s="4">
        <v>2.89249758290758E-9</v>
      </c>
      <c r="H4166" s="10" t="s">
        <v>8345</v>
      </c>
      <c r="I4166" s="10" t="s">
        <v>18</v>
      </c>
    </row>
    <row r="4167" spans="1:9" x14ac:dyDescent="0.2">
      <c r="A4167" s="10" t="s">
        <v>8346</v>
      </c>
      <c r="B4167" s="10">
        <v>4578.1000518749797</v>
      </c>
      <c r="C4167" s="10">
        <v>-1.51811788359772</v>
      </c>
      <c r="D4167" s="10">
        <v>0.209311453317053</v>
      </c>
      <c r="E4167" s="10">
        <v>-7.2529135866165904</v>
      </c>
      <c r="F4167" s="4">
        <v>4.0790034339433198E-13</v>
      </c>
      <c r="G4167" s="4">
        <v>8.4969882694689392E-12</v>
      </c>
      <c r="H4167" s="10" t="s">
        <v>8347</v>
      </c>
      <c r="I4167" s="10" t="s">
        <v>18</v>
      </c>
    </row>
    <row r="4168" spans="1:9" x14ac:dyDescent="0.2">
      <c r="A4168" s="10" t="s">
        <v>8348</v>
      </c>
      <c r="B4168" s="10">
        <v>3554.7439048220699</v>
      </c>
      <c r="C4168" s="10">
        <v>-2.2805068913346398</v>
      </c>
      <c r="D4168" s="10">
        <v>0.201459813331794</v>
      </c>
      <c r="E4168" s="10">
        <v>-11.3199096813356</v>
      </c>
      <c r="F4168" s="4">
        <v>1.04579609443355E-29</v>
      </c>
      <c r="G4168" s="4">
        <v>8.0267059676143502E-28</v>
      </c>
      <c r="H4168" s="10" t="s">
        <v>8349</v>
      </c>
      <c r="I4168" s="10" t="s">
        <v>18</v>
      </c>
    </row>
    <row r="4169" spans="1:9" x14ac:dyDescent="0.2">
      <c r="A4169" s="10" t="s">
        <v>8350</v>
      </c>
      <c r="B4169" s="10">
        <v>4.8465514323206698</v>
      </c>
      <c r="C4169" s="10">
        <v>5.6768670601366198</v>
      </c>
      <c r="D4169" s="10">
        <v>2.0625215872145701</v>
      </c>
      <c r="E4169" s="10">
        <v>2.75239158480916</v>
      </c>
      <c r="F4169" s="10">
        <v>5.9161731801165201E-3</v>
      </c>
      <c r="G4169" s="10">
        <v>2.0448810178692701E-2</v>
      </c>
      <c r="H4169" s="10" t="s">
        <v>8351</v>
      </c>
      <c r="I4169" s="10" t="s">
        <v>18</v>
      </c>
    </row>
    <row r="4170" spans="1:9" x14ac:dyDescent="0.2">
      <c r="A4170" s="10" t="s">
        <v>8352</v>
      </c>
      <c r="B4170" s="10">
        <v>317.18913277299202</v>
      </c>
      <c r="C4170" s="10">
        <v>1.5225531284285301</v>
      </c>
      <c r="D4170" s="10">
        <v>0.27629776061556699</v>
      </c>
      <c r="E4170" s="10">
        <v>5.5105518229189201</v>
      </c>
      <c r="F4170" s="4">
        <v>3.5771047117220699E-8</v>
      </c>
      <c r="G4170" s="4">
        <v>3.9127006053910602E-7</v>
      </c>
      <c r="H4170" s="10" t="s">
        <v>8353</v>
      </c>
      <c r="I4170" s="10" t="s">
        <v>18</v>
      </c>
    </row>
    <row r="4171" spans="1:9" x14ac:dyDescent="0.2">
      <c r="A4171" s="10" t="s">
        <v>8354</v>
      </c>
      <c r="B4171" s="10">
        <v>37.362299781807401</v>
      </c>
      <c r="C4171" s="10">
        <v>8.61942229486983</v>
      </c>
      <c r="D4171" s="10">
        <v>1.54114047882428</v>
      </c>
      <c r="E4171" s="10">
        <v>5.5928855372389403</v>
      </c>
      <c r="F4171" s="4">
        <v>2.2332652871544199E-8</v>
      </c>
      <c r="G4171" s="4">
        <v>2.5354074699623498E-7</v>
      </c>
      <c r="H4171" s="10" t="s">
        <v>8355</v>
      </c>
      <c r="I4171" s="10" t="s">
        <v>18</v>
      </c>
    </row>
    <row r="4172" spans="1:9" x14ac:dyDescent="0.2">
      <c r="A4172" s="10" t="s">
        <v>8356</v>
      </c>
      <c r="B4172" s="10">
        <v>148.11189071191501</v>
      </c>
      <c r="C4172" s="10">
        <v>-1.0421915802000501</v>
      </c>
      <c r="D4172" s="10">
        <v>0.320351858010055</v>
      </c>
      <c r="E4172" s="10">
        <v>-3.2532715329758899</v>
      </c>
      <c r="F4172" s="10">
        <v>1.1408442429908399E-3</v>
      </c>
      <c r="G4172" s="10">
        <v>4.9521400491909203E-3</v>
      </c>
      <c r="H4172" s="10" t="s">
        <v>8357</v>
      </c>
      <c r="I4172" s="10" t="s">
        <v>18</v>
      </c>
    </row>
    <row r="4173" spans="1:9" x14ac:dyDescent="0.2">
      <c r="A4173" s="10" t="s">
        <v>8358</v>
      </c>
      <c r="B4173" s="10">
        <v>22.137170652800201</v>
      </c>
      <c r="C4173" s="10">
        <v>5.3893953013946403</v>
      </c>
      <c r="D4173" s="10">
        <v>1.22551364096425</v>
      </c>
      <c r="E4173" s="10">
        <v>4.3976624341400301</v>
      </c>
      <c r="F4173" s="4">
        <v>1.0942298788770401E-5</v>
      </c>
      <c r="G4173" s="4">
        <v>7.7059916024198994E-5</v>
      </c>
      <c r="H4173" s="10" t="s">
        <v>8359</v>
      </c>
      <c r="I4173" s="10" t="s">
        <v>18</v>
      </c>
    </row>
    <row r="4174" spans="1:9" x14ac:dyDescent="0.2">
      <c r="A4174" s="10" t="s">
        <v>8360</v>
      </c>
      <c r="B4174" s="10">
        <v>3.9648137554673002</v>
      </c>
      <c r="C4174" s="10">
        <v>5.38581965917892</v>
      </c>
      <c r="D4174" s="10">
        <v>2.16320773319238</v>
      </c>
      <c r="E4174" s="10">
        <v>2.4897376135165499</v>
      </c>
      <c r="F4174" s="10">
        <v>1.2783743375967001E-2</v>
      </c>
      <c r="G4174" s="10">
        <v>3.9066695352733702E-2</v>
      </c>
      <c r="H4174" s="10" t="s">
        <v>8361</v>
      </c>
      <c r="I4174" s="10" t="s">
        <v>18</v>
      </c>
    </row>
    <row r="4175" spans="1:9" x14ac:dyDescent="0.2">
      <c r="A4175" s="10" t="s">
        <v>8362</v>
      </c>
      <c r="B4175" s="10">
        <v>795.71299672005</v>
      </c>
      <c r="C4175" s="10">
        <v>6.1413876631227904</v>
      </c>
      <c r="D4175" s="10">
        <v>0.31149777267711898</v>
      </c>
      <c r="E4175" s="10">
        <v>19.715671191936899</v>
      </c>
      <c r="F4175" s="4">
        <v>1.58203385876536E-86</v>
      </c>
      <c r="G4175" s="4">
        <v>1.26781401617E-83</v>
      </c>
      <c r="H4175" s="10" t="s">
        <v>8363</v>
      </c>
      <c r="I4175" s="10" t="s">
        <v>18</v>
      </c>
    </row>
    <row r="4176" spans="1:9" x14ac:dyDescent="0.2">
      <c r="A4176" s="10" t="s">
        <v>8364</v>
      </c>
      <c r="B4176" s="10">
        <v>11.961073794232099</v>
      </c>
      <c r="C4176" s="10">
        <v>5.5038159518293197</v>
      </c>
      <c r="D4176" s="10">
        <v>1.70233018885162</v>
      </c>
      <c r="E4176" s="10">
        <v>3.2331071773697202</v>
      </c>
      <c r="F4176" s="10">
        <v>1.2245161304698499E-3</v>
      </c>
      <c r="G4176" s="10">
        <v>5.2658445402323298E-3</v>
      </c>
      <c r="H4176" s="10" t="s">
        <v>8365</v>
      </c>
      <c r="I4176" s="10" t="s">
        <v>18</v>
      </c>
    </row>
    <row r="4177" spans="1:9" x14ac:dyDescent="0.2">
      <c r="A4177" s="10" t="s">
        <v>8366</v>
      </c>
      <c r="B4177" s="10">
        <v>5365.1047989652197</v>
      </c>
      <c r="C4177" s="10">
        <v>-1.18431836416658</v>
      </c>
      <c r="D4177" s="10">
        <v>0.211267791160588</v>
      </c>
      <c r="E4177" s="10">
        <v>-5.6057686676260099</v>
      </c>
      <c r="F4177" s="4">
        <v>2.0733273222587201E-8</v>
      </c>
      <c r="G4177" s="4">
        <v>2.3617035764876001E-7</v>
      </c>
      <c r="H4177" s="10" t="s">
        <v>8367</v>
      </c>
      <c r="I4177" s="10" t="s">
        <v>18</v>
      </c>
    </row>
    <row r="4178" spans="1:9" x14ac:dyDescent="0.2">
      <c r="A4178" s="10" t="s">
        <v>8368</v>
      </c>
      <c r="B4178" s="10">
        <v>7724.7469419839299</v>
      </c>
      <c r="C4178" s="10">
        <v>-1.1433487824337401</v>
      </c>
      <c r="D4178" s="10">
        <v>0.23067271430994901</v>
      </c>
      <c r="E4178" s="10">
        <v>-4.9565844224534299</v>
      </c>
      <c r="F4178" s="4">
        <v>7.17432018836619E-7</v>
      </c>
      <c r="G4178" s="4">
        <v>6.2915578426911401E-6</v>
      </c>
      <c r="H4178" s="10" t="s">
        <v>8369</v>
      </c>
      <c r="I4178" s="10" t="s">
        <v>18</v>
      </c>
    </row>
    <row r="4179" spans="1:9" x14ac:dyDescent="0.2">
      <c r="A4179" s="10" t="s">
        <v>8370</v>
      </c>
      <c r="B4179" s="10">
        <v>11.884632624688701</v>
      </c>
      <c r="C4179" s="10">
        <v>3.0222485332431201</v>
      </c>
      <c r="D4179" s="10">
        <v>1.1802785411964301</v>
      </c>
      <c r="E4179" s="10">
        <v>2.5606231306887199</v>
      </c>
      <c r="F4179" s="10">
        <v>1.04484630718477E-2</v>
      </c>
      <c r="G4179" s="10">
        <v>3.3022766885353702E-2</v>
      </c>
      <c r="H4179" s="10" t="s">
        <v>8371</v>
      </c>
      <c r="I4179" s="10" t="s">
        <v>18</v>
      </c>
    </row>
    <row r="4180" spans="1:9" x14ac:dyDescent="0.2">
      <c r="A4180" s="10" t="s">
        <v>8372</v>
      </c>
      <c r="B4180" s="10">
        <v>9324.8953517049795</v>
      </c>
      <c r="C4180" s="10">
        <v>-1.06057045895885</v>
      </c>
      <c r="D4180" s="10">
        <v>0.18327740699348599</v>
      </c>
      <c r="E4180" s="10">
        <v>-5.7866950234435999</v>
      </c>
      <c r="F4180" s="4">
        <v>7.1784735211004603E-9</v>
      </c>
      <c r="G4180" s="4">
        <v>8.71233265164473E-8</v>
      </c>
      <c r="H4180" s="10" t="s">
        <v>8373</v>
      </c>
      <c r="I4180" s="10" t="s">
        <v>18</v>
      </c>
    </row>
    <row r="4181" spans="1:9" x14ac:dyDescent="0.2">
      <c r="A4181" s="10" t="s">
        <v>8374</v>
      </c>
      <c r="B4181" s="10">
        <v>81.422201122450701</v>
      </c>
      <c r="C4181" s="10">
        <v>1.21135421699612</v>
      </c>
      <c r="D4181" s="10">
        <v>0.40636675188215698</v>
      </c>
      <c r="E4181" s="10">
        <v>2.9809383060634902</v>
      </c>
      <c r="F4181" s="10">
        <v>2.8736667882687098E-3</v>
      </c>
      <c r="G4181" s="10">
        <v>1.10140383992063E-2</v>
      </c>
      <c r="H4181" s="10" t="s">
        <v>8375</v>
      </c>
      <c r="I4181" s="10" t="s">
        <v>18</v>
      </c>
    </row>
    <row r="4182" spans="1:9" x14ac:dyDescent="0.2">
      <c r="A4182" s="10" t="s">
        <v>8376</v>
      </c>
      <c r="B4182" s="10">
        <v>2367.47976439988</v>
      </c>
      <c r="C4182" s="10">
        <v>-1.16682786745765</v>
      </c>
      <c r="D4182" s="10">
        <v>0.23634026863445901</v>
      </c>
      <c r="E4182" s="10">
        <v>-4.9370675348700503</v>
      </c>
      <c r="F4182" s="4">
        <v>7.9306013900029202E-7</v>
      </c>
      <c r="G4182" s="4">
        <v>6.9125110708064398E-6</v>
      </c>
      <c r="H4182" s="10" t="s">
        <v>8377</v>
      </c>
      <c r="I4182" s="10" t="s">
        <v>18</v>
      </c>
    </row>
    <row r="4183" spans="1:9" x14ac:dyDescent="0.2">
      <c r="A4183" s="10" t="s">
        <v>8378</v>
      </c>
      <c r="B4183" s="10">
        <v>5742.1744409512603</v>
      </c>
      <c r="C4183" s="10">
        <v>1.4275270481294</v>
      </c>
      <c r="D4183" s="10">
        <v>0.19804004725580801</v>
      </c>
      <c r="E4183" s="10">
        <v>7.2082746288455102</v>
      </c>
      <c r="F4183" s="4">
        <v>5.6665259724281799E-13</v>
      </c>
      <c r="G4183" s="4">
        <v>1.1617444181395801E-11</v>
      </c>
      <c r="H4183" s="10" t="s">
        <v>8379</v>
      </c>
      <c r="I4183" s="10" t="s">
        <v>18</v>
      </c>
    </row>
    <row r="4184" spans="1:9" x14ac:dyDescent="0.2">
      <c r="A4184" s="10" t="s">
        <v>8380</v>
      </c>
      <c r="B4184" s="10">
        <v>1783.1801868033201</v>
      </c>
      <c r="C4184" s="10">
        <v>-2.2179630308092801</v>
      </c>
      <c r="D4184" s="10">
        <v>0.238919945988842</v>
      </c>
      <c r="E4184" s="10">
        <v>-9.2832895203854893</v>
      </c>
      <c r="F4184" s="4">
        <v>1.6432524670047099E-20</v>
      </c>
      <c r="G4184" s="4">
        <v>6.6826417863399103E-19</v>
      </c>
      <c r="H4184" s="10" t="s">
        <v>8381</v>
      </c>
      <c r="I4184" s="10" t="s">
        <v>18</v>
      </c>
    </row>
    <row r="4185" spans="1:9" x14ac:dyDescent="0.2">
      <c r="A4185" s="10" t="s">
        <v>8382</v>
      </c>
      <c r="B4185" s="10">
        <v>669.937486473332</v>
      </c>
      <c r="C4185" s="10">
        <v>-1.34094046325188</v>
      </c>
      <c r="D4185" s="10">
        <v>0.210654897085642</v>
      </c>
      <c r="E4185" s="10">
        <v>-6.3655793518378001</v>
      </c>
      <c r="F4185" s="4">
        <v>1.9455395774097399E-10</v>
      </c>
      <c r="G4185" s="4">
        <v>2.8967276975783099E-9</v>
      </c>
      <c r="H4185" s="10" t="s">
        <v>8383</v>
      </c>
      <c r="I4185" s="10" t="s">
        <v>18</v>
      </c>
    </row>
    <row r="4186" spans="1:9" x14ac:dyDescent="0.2">
      <c r="A4186" s="10" t="s">
        <v>8384</v>
      </c>
      <c r="B4186" s="10">
        <v>4614.6648369866298</v>
      </c>
      <c r="C4186" s="10">
        <v>1.3110334632507701</v>
      </c>
      <c r="D4186" s="10">
        <v>0.17583167020687401</v>
      </c>
      <c r="E4186" s="10">
        <v>7.4561850075602401</v>
      </c>
      <c r="F4186" s="4">
        <v>8.9063662993017298E-14</v>
      </c>
      <c r="G4186" s="4">
        <v>1.9923790029316398E-12</v>
      </c>
      <c r="H4186" s="10" t="s">
        <v>8385</v>
      </c>
      <c r="I4186" s="10" t="s">
        <v>18</v>
      </c>
    </row>
    <row r="4187" spans="1:9" x14ac:dyDescent="0.2">
      <c r="A4187" s="10" t="s">
        <v>8386</v>
      </c>
      <c r="B4187" s="10">
        <v>69.406692357117905</v>
      </c>
      <c r="C4187" s="10">
        <v>2.3490734955214601</v>
      </c>
      <c r="D4187" s="10">
        <v>0.46815614690054502</v>
      </c>
      <c r="E4187" s="10">
        <v>5.0177136647113096</v>
      </c>
      <c r="F4187" s="4">
        <v>5.2290032561194204E-7</v>
      </c>
      <c r="G4187" s="4">
        <v>4.7130218894967201E-6</v>
      </c>
      <c r="H4187" s="10" t="s">
        <v>8387</v>
      </c>
      <c r="I4187" s="10" t="s">
        <v>18</v>
      </c>
    </row>
    <row r="4188" spans="1:9" x14ac:dyDescent="0.2">
      <c r="A4188" s="10" t="s">
        <v>8388</v>
      </c>
      <c r="B4188" s="10">
        <v>19358.105384946201</v>
      </c>
      <c r="C4188" s="10">
        <v>1.5679346561123</v>
      </c>
      <c r="D4188" s="10">
        <v>0.181849197554241</v>
      </c>
      <c r="E4188" s="10">
        <v>8.62216978243538</v>
      </c>
      <c r="F4188" s="4">
        <v>6.5697199208034003E-18</v>
      </c>
      <c r="G4188" s="4">
        <v>2.1009995150484801E-16</v>
      </c>
      <c r="H4188" s="10" t="s">
        <v>8389</v>
      </c>
      <c r="I4188" s="10" t="s">
        <v>18</v>
      </c>
    </row>
    <row r="4189" spans="1:9" x14ac:dyDescent="0.2">
      <c r="A4189" s="10" t="s">
        <v>8390</v>
      </c>
      <c r="B4189" s="10">
        <v>1552.71610100359</v>
      </c>
      <c r="C4189" s="10">
        <v>2.0641274679220998</v>
      </c>
      <c r="D4189" s="10">
        <v>0.22991086060472499</v>
      </c>
      <c r="E4189" s="10">
        <v>8.9779467681209599</v>
      </c>
      <c r="F4189" s="4">
        <v>2.7586649200258702E-19</v>
      </c>
      <c r="G4189" s="4">
        <v>9.9032072563827396E-18</v>
      </c>
      <c r="H4189" s="10" t="s">
        <v>8391</v>
      </c>
      <c r="I4189" s="10" t="s">
        <v>18</v>
      </c>
    </row>
    <row r="4190" spans="1:9" x14ac:dyDescent="0.2">
      <c r="A4190" s="10" t="s">
        <v>8392</v>
      </c>
      <c r="B4190" s="10">
        <v>23.613048002328998</v>
      </c>
      <c r="C4190" s="10">
        <v>2.0220941995539699</v>
      </c>
      <c r="D4190" s="10">
        <v>0.74325100410286604</v>
      </c>
      <c r="E4190" s="10">
        <v>2.7206074238604199</v>
      </c>
      <c r="F4190" s="10">
        <v>6.5162095848821698E-3</v>
      </c>
      <c r="G4190" s="10">
        <v>2.2193395319910599E-2</v>
      </c>
      <c r="H4190" s="10" t="s">
        <v>8393</v>
      </c>
      <c r="I4190" s="10" t="s">
        <v>18</v>
      </c>
    </row>
    <row r="4191" spans="1:9" x14ac:dyDescent="0.2">
      <c r="A4191" s="10" t="s">
        <v>8394</v>
      </c>
      <c r="B4191" s="10">
        <v>2870.6448913372901</v>
      </c>
      <c r="C4191" s="10">
        <v>1.4091777376563499</v>
      </c>
      <c r="D4191" s="10">
        <v>0.17861664696572299</v>
      </c>
      <c r="E4191" s="10">
        <v>7.8893975538952903</v>
      </c>
      <c r="F4191" s="4">
        <v>3.0364877759878702E-15</v>
      </c>
      <c r="G4191" s="4">
        <v>7.7467399281218504E-14</v>
      </c>
      <c r="H4191" s="10" t="s">
        <v>8395</v>
      </c>
      <c r="I4191" s="10" t="s">
        <v>18</v>
      </c>
    </row>
    <row r="4192" spans="1:9" x14ac:dyDescent="0.2">
      <c r="A4192" s="10" t="s">
        <v>8396</v>
      </c>
      <c r="B4192" s="10">
        <v>33.829337493647998</v>
      </c>
      <c r="C4192" s="10">
        <v>8.4737211588885106</v>
      </c>
      <c r="D4192" s="10">
        <v>1.5656871317108501</v>
      </c>
      <c r="E4192" s="10">
        <v>5.4121420475808399</v>
      </c>
      <c r="F4192" s="4">
        <v>6.2275255820014904E-8</v>
      </c>
      <c r="G4192" s="4">
        <v>6.5590023012290197E-7</v>
      </c>
      <c r="H4192" s="10" t="s">
        <v>8397</v>
      </c>
      <c r="I4192" s="10" t="s">
        <v>18</v>
      </c>
    </row>
    <row r="4193" spans="1:9" x14ac:dyDescent="0.2">
      <c r="A4193" s="10" t="s">
        <v>8398</v>
      </c>
      <c r="B4193" s="10">
        <v>8.9229607625285894</v>
      </c>
      <c r="C4193" s="10">
        <v>5.0634039188957098</v>
      </c>
      <c r="D4193" s="10">
        <v>1.78149003379883</v>
      </c>
      <c r="E4193" s="10">
        <v>2.8422297194099699</v>
      </c>
      <c r="F4193" s="10">
        <v>4.4799198793902704E-3</v>
      </c>
      <c r="G4193" s="10">
        <v>1.61437844541975E-2</v>
      </c>
      <c r="H4193" s="10" t="s">
        <v>8399</v>
      </c>
      <c r="I4193" s="10" t="s">
        <v>18</v>
      </c>
    </row>
    <row r="4194" spans="1:9" x14ac:dyDescent="0.2">
      <c r="A4194" s="10" t="s">
        <v>8400</v>
      </c>
      <c r="B4194" s="10">
        <v>8.7721212926083307</v>
      </c>
      <c r="C4194" s="10">
        <v>6.5293068167178898</v>
      </c>
      <c r="D4194" s="10">
        <v>1.80222790506651</v>
      </c>
      <c r="E4194" s="10">
        <v>3.62290851138326</v>
      </c>
      <c r="F4194" s="10">
        <v>2.9130887911135901E-4</v>
      </c>
      <c r="G4194" s="10">
        <v>1.4844385691316999E-3</v>
      </c>
      <c r="H4194" s="10" t="s">
        <v>8401</v>
      </c>
      <c r="I4194" s="10" t="s">
        <v>18</v>
      </c>
    </row>
    <row r="4195" spans="1:9" x14ac:dyDescent="0.2">
      <c r="A4195" s="10" t="s">
        <v>8402</v>
      </c>
      <c r="B4195" s="10">
        <v>1054.8627184628999</v>
      </c>
      <c r="C4195" s="10">
        <v>-3.8758044679316002</v>
      </c>
      <c r="D4195" s="10">
        <v>0.222891968399241</v>
      </c>
      <c r="E4195" s="10">
        <v>-17.388712997452199</v>
      </c>
      <c r="F4195" s="4">
        <v>1.00464915369665E-67</v>
      </c>
      <c r="G4195" s="4">
        <v>3.85544725222149E-65</v>
      </c>
      <c r="H4195" s="10" t="s">
        <v>8403</v>
      </c>
      <c r="I4195" s="10" t="s">
        <v>18</v>
      </c>
    </row>
    <row r="4196" spans="1:9" x14ac:dyDescent="0.2">
      <c r="A4196" s="10" t="s">
        <v>8404</v>
      </c>
      <c r="B4196" s="10">
        <v>5301.6135340376304</v>
      </c>
      <c r="C4196" s="10">
        <v>1.2303143679948101</v>
      </c>
      <c r="D4196" s="10">
        <v>0.19436313203215899</v>
      </c>
      <c r="E4196" s="10">
        <v>6.3299780937428398</v>
      </c>
      <c r="F4196" s="4">
        <v>2.4519600771459297E-10</v>
      </c>
      <c r="G4196" s="4">
        <v>3.5937900065624E-9</v>
      </c>
      <c r="H4196" s="10" t="s">
        <v>8405</v>
      </c>
      <c r="I4196" s="10" t="s">
        <v>18</v>
      </c>
    </row>
    <row r="4197" spans="1:9" x14ac:dyDescent="0.2">
      <c r="A4197" s="10" t="s">
        <v>8406</v>
      </c>
      <c r="B4197" s="10">
        <v>293.70677043414798</v>
      </c>
      <c r="C4197" s="10">
        <v>2.9445910501636599</v>
      </c>
      <c r="D4197" s="10">
        <v>0.28047430084432001</v>
      </c>
      <c r="E4197" s="10">
        <v>10.498612676097199</v>
      </c>
      <c r="F4197" s="4">
        <v>8.76589229708173E-26</v>
      </c>
      <c r="G4197" s="4">
        <v>5.2035788108624401E-24</v>
      </c>
      <c r="H4197" s="10" t="s">
        <v>8407</v>
      </c>
      <c r="I4197" s="10" t="s">
        <v>18</v>
      </c>
    </row>
    <row r="4198" spans="1:9" x14ac:dyDescent="0.2">
      <c r="A4198" s="10" t="s">
        <v>8408</v>
      </c>
      <c r="B4198" s="10">
        <v>4194.6593600100796</v>
      </c>
      <c r="C4198" s="10">
        <v>1.1645815289918799</v>
      </c>
      <c r="D4198" s="10">
        <v>0.18238219117054799</v>
      </c>
      <c r="E4198" s="10">
        <v>6.3853905993642801</v>
      </c>
      <c r="F4198" s="4">
        <v>1.7096052852456999E-10</v>
      </c>
      <c r="G4198" s="4">
        <v>2.5735699009441698E-9</v>
      </c>
      <c r="H4198" s="10" t="s">
        <v>8409</v>
      </c>
      <c r="I4198" s="10" t="s">
        <v>18</v>
      </c>
    </row>
    <row r="4199" spans="1:9" x14ac:dyDescent="0.2">
      <c r="A4199" s="10" t="s">
        <v>8410</v>
      </c>
      <c r="B4199" s="10">
        <v>828.56497557043997</v>
      </c>
      <c r="C4199" s="10">
        <v>-1.02359885831502</v>
      </c>
      <c r="D4199" s="10">
        <v>0.209389043431052</v>
      </c>
      <c r="E4199" s="10">
        <v>-4.8885024810386897</v>
      </c>
      <c r="F4199" s="4">
        <v>1.0160591752386301E-6</v>
      </c>
      <c r="G4199" s="4">
        <v>8.7168023764883605E-6</v>
      </c>
      <c r="H4199" s="10" t="s">
        <v>8411</v>
      </c>
      <c r="I4199" s="10" t="s">
        <v>18</v>
      </c>
    </row>
    <row r="4200" spans="1:9" x14ac:dyDescent="0.2">
      <c r="A4200" s="10" t="s">
        <v>8412</v>
      </c>
      <c r="B4200" s="10">
        <v>3.9648137554673002</v>
      </c>
      <c r="C4200" s="10">
        <v>5.38581965917892</v>
      </c>
      <c r="D4200" s="10">
        <v>2.16320773319238</v>
      </c>
      <c r="E4200" s="10">
        <v>2.4897376135165499</v>
      </c>
      <c r="F4200" s="10">
        <v>1.2783743375967001E-2</v>
      </c>
      <c r="G4200" s="10">
        <v>3.9066695352733702E-2</v>
      </c>
      <c r="H4200" s="10" t="s">
        <v>8413</v>
      </c>
      <c r="I4200" s="10" t="s">
        <v>18</v>
      </c>
    </row>
    <row r="4201" spans="1:9" x14ac:dyDescent="0.2">
      <c r="A4201" s="10" t="s">
        <v>8414</v>
      </c>
      <c r="B4201" s="10">
        <v>14.526883233786</v>
      </c>
      <c r="C4201" s="10">
        <v>2.8018737791983002</v>
      </c>
      <c r="D4201" s="10">
        <v>1.0215893646821299</v>
      </c>
      <c r="E4201" s="10">
        <v>2.7426614607231201</v>
      </c>
      <c r="F4201" s="10">
        <v>6.0943480374379402E-3</v>
      </c>
      <c r="G4201" s="10">
        <v>2.0974194894034501E-2</v>
      </c>
      <c r="H4201" s="10" t="s">
        <v>8415</v>
      </c>
      <c r="I4201" s="10" t="s">
        <v>18</v>
      </c>
    </row>
    <row r="4202" spans="1:9" x14ac:dyDescent="0.2">
      <c r="A4202" s="10" t="s">
        <v>8416</v>
      </c>
      <c r="B4202" s="10">
        <v>7.5219909869417503</v>
      </c>
      <c r="C4202" s="10">
        <v>6.3045072981125001</v>
      </c>
      <c r="D4202" s="10">
        <v>1.8659790666992999</v>
      </c>
      <c r="E4202" s="10">
        <v>3.3786591771709702</v>
      </c>
      <c r="F4202" s="10">
        <v>7.2840250332993097E-4</v>
      </c>
      <c r="G4202" s="10">
        <v>3.3519309252205099E-3</v>
      </c>
      <c r="H4202" s="10" t="s">
        <v>8417</v>
      </c>
      <c r="I4202" s="10" t="s">
        <v>18</v>
      </c>
    </row>
    <row r="4203" spans="1:9" x14ac:dyDescent="0.2">
      <c r="A4203" s="10" t="s">
        <v>8418</v>
      </c>
      <c r="B4203" s="10">
        <v>3.8168555458674298</v>
      </c>
      <c r="C4203" s="10">
        <v>5.3279350919035302</v>
      </c>
      <c r="D4203" s="10">
        <v>2.1809774924298599</v>
      </c>
      <c r="E4203" s="10">
        <v>2.4429115432858599</v>
      </c>
      <c r="F4203" s="10">
        <v>1.4569307781241599E-2</v>
      </c>
      <c r="G4203" s="10">
        <v>4.3474967595607303E-2</v>
      </c>
      <c r="H4203" s="10" t="s">
        <v>8419</v>
      </c>
      <c r="I4203" s="10" t="s">
        <v>18</v>
      </c>
    </row>
    <row r="4204" spans="1:9" x14ac:dyDescent="0.2">
      <c r="A4204" s="10" t="s">
        <v>8420</v>
      </c>
      <c r="B4204" s="10">
        <v>871.55946093198702</v>
      </c>
      <c r="C4204" s="10">
        <v>-1.63256764859225</v>
      </c>
      <c r="D4204" s="10">
        <v>0.23656757617959401</v>
      </c>
      <c r="E4204" s="10">
        <v>-6.9010625841339497</v>
      </c>
      <c r="F4204" s="4">
        <v>5.1614985466757701E-12</v>
      </c>
      <c r="G4204" s="4">
        <v>9.3632057857040394E-11</v>
      </c>
      <c r="H4204" s="10" t="s">
        <v>8421</v>
      </c>
      <c r="I4204" s="10" t="s">
        <v>18</v>
      </c>
    </row>
    <row r="4205" spans="1:9" x14ac:dyDescent="0.2">
      <c r="A4205" s="10" t="s">
        <v>8422</v>
      </c>
      <c r="B4205" s="10">
        <v>55.794167094570703</v>
      </c>
      <c r="C4205" s="10">
        <v>7.7483462307095996</v>
      </c>
      <c r="D4205" s="10">
        <v>1.5057405067876699</v>
      </c>
      <c r="E4205" s="10">
        <v>5.1458708826528401</v>
      </c>
      <c r="F4205" s="4">
        <v>2.6628253620921699E-7</v>
      </c>
      <c r="G4205" s="4">
        <v>2.51138811495069E-6</v>
      </c>
      <c r="H4205" s="10" t="s">
        <v>8423</v>
      </c>
      <c r="I4205" s="10" t="s">
        <v>18</v>
      </c>
    </row>
    <row r="4206" spans="1:9" x14ac:dyDescent="0.2">
      <c r="A4206" s="10" t="s">
        <v>8424</v>
      </c>
      <c r="B4206" s="10">
        <v>16.8194426968494</v>
      </c>
      <c r="C4206" s="10">
        <v>3.58522784908424</v>
      </c>
      <c r="D4206" s="10">
        <v>0.998179586388805</v>
      </c>
      <c r="E4206" s="10">
        <v>3.5917663494349799</v>
      </c>
      <c r="F4206" s="10">
        <v>3.2844426136722599E-4</v>
      </c>
      <c r="G4206" s="10">
        <v>1.6505202488883799E-3</v>
      </c>
      <c r="H4206" s="10" t="s">
        <v>8425</v>
      </c>
      <c r="I4206" s="10" t="s">
        <v>18</v>
      </c>
    </row>
    <row r="4207" spans="1:9" x14ac:dyDescent="0.2">
      <c r="A4207" s="10" t="s">
        <v>8426</v>
      </c>
      <c r="B4207" s="10">
        <v>105.123384352393</v>
      </c>
      <c r="C4207" s="10">
        <v>8.6657005170441401</v>
      </c>
      <c r="D4207" s="10">
        <v>1.4786190207619101</v>
      </c>
      <c r="E4207" s="10">
        <v>5.8606716100397902</v>
      </c>
      <c r="F4207" s="4">
        <v>4.6099884097232203E-9</v>
      </c>
      <c r="G4207" s="4">
        <v>5.7407840127846602E-8</v>
      </c>
      <c r="H4207" s="10" t="s">
        <v>8427</v>
      </c>
      <c r="I4207" s="10" t="s">
        <v>18</v>
      </c>
    </row>
    <row r="4208" spans="1:9" x14ac:dyDescent="0.2">
      <c r="A4208" s="10" t="s">
        <v>8428</v>
      </c>
      <c r="B4208" s="10">
        <v>1269.5733560640499</v>
      </c>
      <c r="C4208" s="10">
        <v>1.13721665395436</v>
      </c>
      <c r="D4208" s="10">
        <v>0.20391413761907001</v>
      </c>
      <c r="E4208" s="10">
        <v>5.5769387411420501</v>
      </c>
      <c r="F4208" s="4">
        <v>2.4478802183462201E-8</v>
      </c>
      <c r="G4208" s="4">
        <v>2.76065365518541E-7</v>
      </c>
      <c r="H4208" s="10" t="s">
        <v>8429</v>
      </c>
      <c r="I4208" s="10" t="s">
        <v>18</v>
      </c>
    </row>
    <row r="4209" spans="1:9" x14ac:dyDescent="0.2">
      <c r="A4209" s="10" t="s">
        <v>8430</v>
      </c>
      <c r="B4209" s="10">
        <v>4791.7866511973698</v>
      </c>
      <c r="C4209" s="10">
        <v>-1.1923718734214399</v>
      </c>
      <c r="D4209" s="10">
        <v>0.21045245744801699</v>
      </c>
      <c r="E4209" s="10">
        <v>-5.6657540989558601</v>
      </c>
      <c r="F4209" s="4">
        <v>1.4637932368083699E-8</v>
      </c>
      <c r="G4209" s="4">
        <v>1.70153474075587E-7</v>
      </c>
      <c r="H4209" s="10" t="s">
        <v>8431</v>
      </c>
      <c r="I4209" s="10" t="s">
        <v>18</v>
      </c>
    </row>
    <row r="4210" spans="1:9" x14ac:dyDescent="0.2">
      <c r="A4210" s="10" t="s">
        <v>8432</v>
      </c>
      <c r="B4210" s="10">
        <v>2383.2229537475</v>
      </c>
      <c r="C4210" s="10">
        <v>2.04153378881314</v>
      </c>
      <c r="D4210" s="10">
        <v>0.18419636003558201</v>
      </c>
      <c r="E4210" s="10">
        <v>11.0834643443484</v>
      </c>
      <c r="F4210" s="4">
        <v>1.50917769776173E-28</v>
      </c>
      <c r="G4210" s="4">
        <v>1.0543734546388199E-26</v>
      </c>
      <c r="H4210" s="10" t="s">
        <v>8433</v>
      </c>
      <c r="I4210" s="10" t="s">
        <v>18</v>
      </c>
    </row>
    <row r="4211" spans="1:9" x14ac:dyDescent="0.2">
      <c r="A4211" s="10" t="s">
        <v>8434</v>
      </c>
      <c r="B4211" s="10">
        <v>33.726634759973599</v>
      </c>
      <c r="C4211" s="10">
        <v>8.4710960844029195</v>
      </c>
      <c r="D4211" s="10">
        <v>1.5518113068466699</v>
      </c>
      <c r="E4211" s="10">
        <v>5.4588441565208399</v>
      </c>
      <c r="F4211" s="4">
        <v>4.7924417532253902E-8</v>
      </c>
      <c r="G4211" s="4">
        <v>5.1449826812502902E-7</v>
      </c>
      <c r="H4211" s="10" t="s">
        <v>8435</v>
      </c>
      <c r="I4211" s="10" t="s">
        <v>18</v>
      </c>
    </row>
    <row r="4212" spans="1:9" x14ac:dyDescent="0.2">
      <c r="A4212" s="10" t="s">
        <v>8436</v>
      </c>
      <c r="B4212" s="10">
        <v>8.9897611893213298</v>
      </c>
      <c r="C4212" s="10">
        <v>3.4082712648462499</v>
      </c>
      <c r="D4212" s="10">
        <v>1.3280958278034301</v>
      </c>
      <c r="E4212" s="10">
        <v>2.5662841441820299</v>
      </c>
      <c r="F4212" s="10">
        <v>1.02794582867683E-2</v>
      </c>
      <c r="G4212" s="10">
        <v>3.2560381299648299E-2</v>
      </c>
      <c r="H4212" s="10" t="s">
        <v>8437</v>
      </c>
      <c r="I4212" s="10" t="s">
        <v>18</v>
      </c>
    </row>
    <row r="4213" spans="1:9" x14ac:dyDescent="0.2">
      <c r="A4213" s="10" t="s">
        <v>8438</v>
      </c>
      <c r="B4213" s="10">
        <v>4.8827895371274099</v>
      </c>
      <c r="C4213" s="10">
        <v>5.6866669368035598</v>
      </c>
      <c r="D4213" s="10">
        <v>2.0508039739161501</v>
      </c>
      <c r="E4213" s="10">
        <v>2.7728963904553399</v>
      </c>
      <c r="F4213" s="10">
        <v>5.5559807245787497E-3</v>
      </c>
      <c r="G4213" s="10">
        <v>1.9448073844115801E-2</v>
      </c>
      <c r="H4213" s="10" t="s">
        <v>8439</v>
      </c>
      <c r="I4213" s="10" t="s">
        <v>18</v>
      </c>
    </row>
    <row r="4214" spans="1:9" x14ac:dyDescent="0.2">
      <c r="A4214" s="10" t="s">
        <v>8440</v>
      </c>
      <c r="B4214" s="10">
        <v>7.56428404140431</v>
      </c>
      <c r="C4214" s="10">
        <v>3.7723966223521002</v>
      </c>
      <c r="D4214" s="10">
        <v>1.50666124825488</v>
      </c>
      <c r="E4214" s="10">
        <v>2.50381207236966</v>
      </c>
      <c r="F4214" s="10">
        <v>1.22863274533834E-2</v>
      </c>
      <c r="G4214" s="10">
        <v>3.7758353724603698E-2</v>
      </c>
      <c r="H4214" s="10" t="s">
        <v>8441</v>
      </c>
      <c r="I4214" s="10" t="s">
        <v>18</v>
      </c>
    </row>
    <row r="4215" spans="1:9" x14ac:dyDescent="0.2">
      <c r="A4215" s="10" t="s">
        <v>8442</v>
      </c>
      <c r="B4215" s="10">
        <v>7265.9403834484701</v>
      </c>
      <c r="C4215" s="10">
        <v>2.1962226555803999</v>
      </c>
      <c r="D4215" s="10">
        <v>0.175872187266473</v>
      </c>
      <c r="E4215" s="10">
        <v>12.4876064243904</v>
      </c>
      <c r="F4215" s="4">
        <v>8.7238897373580995E-36</v>
      </c>
      <c r="G4215" s="4">
        <v>9.6234746426638105E-34</v>
      </c>
      <c r="H4215" s="10" t="s">
        <v>8443</v>
      </c>
      <c r="I4215" s="10" t="s">
        <v>18</v>
      </c>
    </row>
    <row r="4216" spans="1:9" x14ac:dyDescent="0.2">
      <c r="A4216" s="10" t="s">
        <v>8444</v>
      </c>
      <c r="B4216" s="10">
        <v>39.6108006470239</v>
      </c>
      <c r="C4216" s="10">
        <v>1.81780308628147</v>
      </c>
      <c r="D4216" s="10">
        <v>0.57396126694080396</v>
      </c>
      <c r="E4216" s="10">
        <v>3.1671180460840298</v>
      </c>
      <c r="F4216" s="10">
        <v>1.53957808661916E-3</v>
      </c>
      <c r="G4216" s="10">
        <v>6.42304151372107E-3</v>
      </c>
      <c r="H4216" s="10" t="s">
        <v>8445</v>
      </c>
      <c r="I4216" s="10" t="s">
        <v>18</v>
      </c>
    </row>
    <row r="4217" spans="1:9" x14ac:dyDescent="0.2">
      <c r="A4217" s="10" t="s">
        <v>8446</v>
      </c>
      <c r="B4217" s="10">
        <v>4364.4505142191601</v>
      </c>
      <c r="C4217" s="10">
        <v>-1.0989397581840299</v>
      </c>
      <c r="D4217" s="10">
        <v>0.247305599087076</v>
      </c>
      <c r="E4217" s="10">
        <v>-4.4436509413484604</v>
      </c>
      <c r="F4217" s="4">
        <v>8.8445055582164794E-6</v>
      </c>
      <c r="G4217" s="4">
        <v>6.3685582173552893E-5</v>
      </c>
      <c r="H4217" s="10" t="s">
        <v>8447</v>
      </c>
      <c r="I4217" s="10" t="s">
        <v>18</v>
      </c>
    </row>
    <row r="4218" spans="1:9" x14ac:dyDescent="0.2">
      <c r="A4218" s="10" t="s">
        <v>8448</v>
      </c>
      <c r="B4218" s="10">
        <v>5.2874202707473597</v>
      </c>
      <c r="C4218" s="10">
        <v>5.8029394278270798</v>
      </c>
      <c r="D4218" s="10">
        <v>2.02483954767309</v>
      </c>
      <c r="E4218" s="10">
        <v>2.8658761799154502</v>
      </c>
      <c r="F4218" s="10">
        <v>4.1585686434663103E-3</v>
      </c>
      <c r="G4218" s="10">
        <v>1.5142124793335101E-2</v>
      </c>
      <c r="H4218" s="10" t="s">
        <v>8449</v>
      </c>
      <c r="I4218" s="10" t="s">
        <v>18</v>
      </c>
    </row>
    <row r="4219" spans="1:9" x14ac:dyDescent="0.2">
      <c r="A4219" s="10" t="s">
        <v>8450</v>
      </c>
      <c r="B4219" s="10">
        <v>371.16076907061102</v>
      </c>
      <c r="C4219" s="10">
        <v>-1.17725958736415</v>
      </c>
      <c r="D4219" s="10">
        <v>0.28501793701860501</v>
      </c>
      <c r="E4219" s="10">
        <v>-4.1304754349102897</v>
      </c>
      <c r="F4219" s="4">
        <v>3.6201377855376499E-5</v>
      </c>
      <c r="G4219" s="10">
        <v>2.2780114143774701E-4</v>
      </c>
      <c r="H4219" s="10" t="s">
        <v>8451</v>
      </c>
      <c r="I4219" s="10" t="s">
        <v>18</v>
      </c>
    </row>
    <row r="4220" spans="1:9" x14ac:dyDescent="0.2">
      <c r="A4220" s="10" t="s">
        <v>8452</v>
      </c>
      <c r="B4220" s="10">
        <v>1448.4274087480301</v>
      </c>
      <c r="C4220" s="10">
        <v>-2.3379237105183601</v>
      </c>
      <c r="D4220" s="10">
        <v>0.222061084667937</v>
      </c>
      <c r="E4220" s="10">
        <v>-10.528290961085901</v>
      </c>
      <c r="F4220" s="4">
        <v>6.3985609758897605E-26</v>
      </c>
      <c r="G4220" s="4">
        <v>3.8486002408403599E-24</v>
      </c>
      <c r="H4220" s="10" t="s">
        <v>8453</v>
      </c>
      <c r="I4220" s="10" t="s">
        <v>18</v>
      </c>
    </row>
    <row r="4221" spans="1:9" x14ac:dyDescent="0.2">
      <c r="A4221" s="10" t="s">
        <v>8454</v>
      </c>
      <c r="B4221" s="10">
        <v>7.1203660436947001</v>
      </c>
      <c r="C4221" s="10">
        <v>6.2281843456542001</v>
      </c>
      <c r="D4221" s="10">
        <v>1.8751629089651101</v>
      </c>
      <c r="E4221" s="10">
        <v>3.3214097377232701</v>
      </c>
      <c r="F4221" s="10">
        <v>8.9563946787280001E-4</v>
      </c>
      <c r="G4221" s="10">
        <v>4.0031969457234497E-3</v>
      </c>
      <c r="H4221" s="10" t="s">
        <v>8455</v>
      </c>
      <c r="I4221" s="10" t="s">
        <v>18</v>
      </c>
    </row>
    <row r="4222" spans="1:9" x14ac:dyDescent="0.2">
      <c r="A4222" s="10" t="s">
        <v>8456</v>
      </c>
      <c r="B4222" s="10">
        <v>9592.0389886953708</v>
      </c>
      <c r="C4222" s="10">
        <v>-1.16400757109076</v>
      </c>
      <c r="D4222" s="10">
        <v>0.21268099190483999</v>
      </c>
      <c r="E4222" s="10">
        <v>-5.4730211697130802</v>
      </c>
      <c r="F4222" s="4">
        <v>4.4242723647003598E-8</v>
      </c>
      <c r="G4222" s="4">
        <v>4.7798631689528496E-7</v>
      </c>
      <c r="H4222" s="10" t="s">
        <v>8457</v>
      </c>
      <c r="I4222" s="10" t="s">
        <v>18</v>
      </c>
    </row>
    <row r="4223" spans="1:9" x14ac:dyDescent="0.2">
      <c r="A4223" s="10" t="s">
        <v>8458</v>
      </c>
      <c r="B4223" s="10">
        <v>3.8560994410470699</v>
      </c>
      <c r="C4223" s="10">
        <v>5.3491168120911601</v>
      </c>
      <c r="D4223" s="10">
        <v>2.2210669996358101</v>
      </c>
      <c r="E4223" s="10">
        <v>2.4083545489479898</v>
      </c>
      <c r="F4223" s="10">
        <v>1.6024610240486702E-2</v>
      </c>
      <c r="G4223" s="10">
        <v>4.7034639149255701E-2</v>
      </c>
      <c r="H4223" s="10" t="s">
        <v>8459</v>
      </c>
      <c r="I4223" s="10" t="s">
        <v>18</v>
      </c>
    </row>
    <row r="4224" spans="1:9" x14ac:dyDescent="0.2">
      <c r="A4224" s="10" t="s">
        <v>8460</v>
      </c>
      <c r="B4224" s="10">
        <v>5389.0942213145399</v>
      </c>
      <c r="C4224" s="10">
        <v>3.1584012857105401</v>
      </c>
      <c r="D4224" s="10">
        <v>0.18103511449481499</v>
      </c>
      <c r="E4224" s="10">
        <v>17.446346221417802</v>
      </c>
      <c r="F4224" s="4">
        <v>3.6696916065775799E-68</v>
      </c>
      <c r="G4224" s="4">
        <v>1.42840124577742E-65</v>
      </c>
      <c r="H4224" s="10" t="s">
        <v>8461</v>
      </c>
      <c r="I4224" s="10" t="s">
        <v>18</v>
      </c>
    </row>
    <row r="4225" spans="1:9" x14ac:dyDescent="0.2">
      <c r="A4225" s="10" t="s">
        <v>8462</v>
      </c>
      <c r="B4225" s="10">
        <v>1165.7880680308101</v>
      </c>
      <c r="C4225" s="10">
        <v>-1.4584492963529101</v>
      </c>
      <c r="D4225" s="10">
        <v>0.24161246171526499</v>
      </c>
      <c r="E4225" s="10">
        <v>-6.0363165293670002</v>
      </c>
      <c r="F4225" s="4">
        <v>1.5767183150287E-9</v>
      </c>
      <c r="G4225" s="4">
        <v>2.0844659839683199E-8</v>
      </c>
      <c r="H4225" s="10" t="s">
        <v>8463</v>
      </c>
      <c r="I4225" s="10" t="s">
        <v>18</v>
      </c>
    </row>
    <row r="4226" spans="1:9" x14ac:dyDescent="0.2">
      <c r="A4226" s="10" t="s">
        <v>8464</v>
      </c>
      <c r="B4226" s="10">
        <v>531.46553027015898</v>
      </c>
      <c r="C4226" s="10">
        <v>4.0240900848932002</v>
      </c>
      <c r="D4226" s="10">
        <v>0.262106102005911</v>
      </c>
      <c r="E4226" s="10">
        <v>15.3529050033427</v>
      </c>
      <c r="F4226" s="4">
        <v>3.38674559657889E-53</v>
      </c>
      <c r="G4226" s="4">
        <v>7.6263353115690097E-51</v>
      </c>
      <c r="H4226" s="10" t="s">
        <v>8465</v>
      </c>
      <c r="I4226" s="10" t="s">
        <v>18</v>
      </c>
    </row>
    <row r="4227" spans="1:9" x14ac:dyDescent="0.2">
      <c r="A4227" s="10" t="s">
        <v>8466</v>
      </c>
      <c r="B4227" s="10">
        <v>669.36778725882004</v>
      </c>
      <c r="C4227" s="10">
        <v>-1.8083703494527399</v>
      </c>
      <c r="D4227" s="10">
        <v>0.24433278403226799</v>
      </c>
      <c r="E4227" s="10">
        <v>-7.4012595428614798</v>
      </c>
      <c r="F4227" s="4">
        <v>1.3489877423203001E-13</v>
      </c>
      <c r="G4227" s="4">
        <v>2.97618372591102E-12</v>
      </c>
      <c r="H4227" s="10" t="s">
        <v>8467</v>
      </c>
      <c r="I4227" s="10" t="s">
        <v>18</v>
      </c>
    </row>
    <row r="4228" spans="1:9" x14ac:dyDescent="0.2">
      <c r="A4228" s="10" t="s">
        <v>8468</v>
      </c>
      <c r="B4228" s="10">
        <v>1356.09252016552</v>
      </c>
      <c r="C4228" s="10">
        <v>-1.2522737767766801</v>
      </c>
      <c r="D4228" s="10">
        <v>0.191553734741533</v>
      </c>
      <c r="E4228" s="10">
        <v>-6.5374542473233399</v>
      </c>
      <c r="F4228" s="4">
        <v>6.2574778156347904E-11</v>
      </c>
      <c r="G4228" s="4">
        <v>1.0064787369693099E-9</v>
      </c>
      <c r="H4228" s="10" t="s">
        <v>8469</v>
      </c>
      <c r="I4228" s="10" t="s">
        <v>18</v>
      </c>
    </row>
    <row r="4229" spans="1:9" x14ac:dyDescent="0.2">
      <c r="A4229" s="10" t="s">
        <v>8470</v>
      </c>
      <c r="B4229" s="10">
        <v>8119.3494539514204</v>
      </c>
      <c r="C4229" s="10">
        <v>2.4676457910834499</v>
      </c>
      <c r="D4229" s="10">
        <v>0.18223923429983599</v>
      </c>
      <c r="E4229" s="10">
        <v>13.540694464417401</v>
      </c>
      <c r="F4229" s="4">
        <v>8.9934641678817704E-42</v>
      </c>
      <c r="G4229" s="4">
        <v>1.3464006493531601E-39</v>
      </c>
      <c r="H4229" s="10" t="s">
        <v>8471</v>
      </c>
      <c r="I4229" s="10" t="s">
        <v>18</v>
      </c>
    </row>
    <row r="4230" spans="1:9" x14ac:dyDescent="0.2">
      <c r="A4230" s="10" t="s">
        <v>8472</v>
      </c>
      <c r="B4230" s="10">
        <v>18.060593423629701</v>
      </c>
      <c r="C4230" s="10">
        <v>7.5725468822487896</v>
      </c>
      <c r="D4230" s="10">
        <v>1.6333675694487799</v>
      </c>
      <c r="E4230" s="10">
        <v>4.6361560152711601</v>
      </c>
      <c r="F4230" s="4">
        <v>3.5494810096293998E-6</v>
      </c>
      <c r="G4230" s="4">
        <v>2.75893463049061E-5</v>
      </c>
      <c r="H4230" s="10" t="s">
        <v>8473</v>
      </c>
      <c r="I4230" s="10" t="s">
        <v>18</v>
      </c>
    </row>
    <row r="4231" spans="1:9" x14ac:dyDescent="0.2">
      <c r="A4231" s="10" t="s">
        <v>8474</v>
      </c>
      <c r="B4231" s="10">
        <v>4.0372899650807801</v>
      </c>
      <c r="C4231" s="10">
        <v>5.4095356733146298</v>
      </c>
      <c r="D4231" s="10">
        <v>2.1467512296701501</v>
      </c>
      <c r="E4231" s="10">
        <v>2.5198707696307201</v>
      </c>
      <c r="F4231" s="10">
        <v>1.17397926988685E-2</v>
      </c>
      <c r="G4231" s="10">
        <v>3.6345203007166198E-2</v>
      </c>
      <c r="H4231" s="10" t="s">
        <v>8475</v>
      </c>
      <c r="I4231" s="10" t="s">
        <v>18</v>
      </c>
    </row>
    <row r="4232" spans="1:9" x14ac:dyDescent="0.2">
      <c r="A4232" s="10" t="s">
        <v>8476</v>
      </c>
      <c r="B4232" s="10">
        <v>8692.4014135572597</v>
      </c>
      <c r="C4232" s="10">
        <v>1.44264326614634</v>
      </c>
      <c r="D4232" s="10">
        <v>0.19942961085964001</v>
      </c>
      <c r="E4232" s="10">
        <v>7.2338468692178397</v>
      </c>
      <c r="F4232" s="4">
        <v>4.6950114748782999E-13</v>
      </c>
      <c r="G4232" s="4">
        <v>9.7281351829664604E-12</v>
      </c>
      <c r="H4232" s="10" t="s">
        <v>8477</v>
      </c>
      <c r="I4232" s="10" t="s">
        <v>18</v>
      </c>
    </row>
    <row r="4233" spans="1:9" x14ac:dyDescent="0.2">
      <c r="A4233" s="10" t="s">
        <v>8478</v>
      </c>
      <c r="B4233" s="10">
        <v>676.53815096021697</v>
      </c>
      <c r="C4233" s="10">
        <v>-1.08714367120781</v>
      </c>
      <c r="D4233" s="10">
        <v>0.21649873999215599</v>
      </c>
      <c r="E4233" s="10">
        <v>-5.0214780522380904</v>
      </c>
      <c r="F4233" s="4">
        <v>5.1275363734497899E-7</v>
      </c>
      <c r="G4233" s="4">
        <v>4.62462706280657E-6</v>
      </c>
      <c r="H4233" s="10" t="s">
        <v>8479</v>
      </c>
      <c r="I4233" s="10" t="s">
        <v>18</v>
      </c>
    </row>
    <row r="4234" spans="1:9" x14ac:dyDescent="0.2">
      <c r="A4234" s="10" t="s">
        <v>8480</v>
      </c>
      <c r="B4234" s="10">
        <v>13.458024613295599</v>
      </c>
      <c r="C4234" s="10">
        <v>3.57797415431265</v>
      </c>
      <c r="D4234" s="10">
        <v>1.16467079470015</v>
      </c>
      <c r="E4234" s="10">
        <v>3.0720905603491202</v>
      </c>
      <c r="F4234" s="10">
        <v>2.1256522524406101E-3</v>
      </c>
      <c r="G4234" s="10">
        <v>8.5047939680248496E-3</v>
      </c>
      <c r="H4234" s="10" t="s">
        <v>8481</v>
      </c>
      <c r="I4234" s="10" t="s">
        <v>18</v>
      </c>
    </row>
    <row r="4235" spans="1:9" x14ac:dyDescent="0.2">
      <c r="A4235" s="10" t="s">
        <v>8482</v>
      </c>
      <c r="B4235" s="10">
        <v>249.283170388955</v>
      </c>
      <c r="C4235" s="10">
        <v>6.0882483352097996</v>
      </c>
      <c r="D4235" s="10">
        <v>0.46733353644303199</v>
      </c>
      <c r="E4235" s="10">
        <v>13.027629862707199</v>
      </c>
      <c r="F4235" s="4">
        <v>8.5213702947760294E-39</v>
      </c>
      <c r="G4235" s="4">
        <v>1.1003875659799199E-36</v>
      </c>
      <c r="H4235" s="10" t="s">
        <v>8483</v>
      </c>
      <c r="I4235" s="10" t="s">
        <v>18</v>
      </c>
    </row>
    <row r="4236" spans="1:9" x14ac:dyDescent="0.2">
      <c r="A4236" s="10" t="s">
        <v>8484</v>
      </c>
      <c r="B4236" s="10">
        <v>1829.1029776333601</v>
      </c>
      <c r="C4236" s="10">
        <v>1.0194819711916601</v>
      </c>
      <c r="D4236" s="10">
        <v>0.205415817869749</v>
      </c>
      <c r="E4236" s="10">
        <v>4.9630159048321101</v>
      </c>
      <c r="F4236" s="4">
        <v>6.94068959833525E-7</v>
      </c>
      <c r="G4236" s="4">
        <v>6.1043566651336501E-6</v>
      </c>
      <c r="H4236" s="10" t="s">
        <v>8485</v>
      </c>
      <c r="I4236" s="10" t="s">
        <v>18</v>
      </c>
    </row>
    <row r="4237" spans="1:9" x14ac:dyDescent="0.2">
      <c r="A4237" s="10" t="s">
        <v>8486</v>
      </c>
      <c r="B4237" s="10">
        <v>23.704718959623801</v>
      </c>
      <c r="C4237" s="10">
        <v>5.4940347309716504</v>
      </c>
      <c r="D4237" s="10">
        <v>1.21971008128319</v>
      </c>
      <c r="E4237" s="10">
        <v>4.5043775691282901</v>
      </c>
      <c r="F4237" s="4">
        <v>6.6567761622795599E-6</v>
      </c>
      <c r="G4237" s="4">
        <v>4.8967921191585097E-5</v>
      </c>
      <c r="H4237" s="10" t="s">
        <v>8487</v>
      </c>
      <c r="I4237" s="10" t="s">
        <v>18</v>
      </c>
    </row>
    <row r="4238" spans="1:9" x14ac:dyDescent="0.2">
      <c r="A4238" s="10" t="s">
        <v>8488</v>
      </c>
      <c r="B4238" s="10">
        <v>1037.5627141667901</v>
      </c>
      <c r="C4238" s="10">
        <v>2.1711827580270899</v>
      </c>
      <c r="D4238" s="10">
        <v>0.201775064425227</v>
      </c>
      <c r="E4238" s="10">
        <v>10.760411670351299</v>
      </c>
      <c r="F4238" s="4">
        <v>5.2933170200884497E-27</v>
      </c>
      <c r="G4238" s="4">
        <v>3.3776817060035101E-25</v>
      </c>
      <c r="H4238" s="10" t="s">
        <v>8489</v>
      </c>
      <c r="I4238" s="10" t="s">
        <v>18</v>
      </c>
    </row>
    <row r="4239" spans="1:9" x14ac:dyDescent="0.2">
      <c r="A4239" s="10" t="s">
        <v>8490</v>
      </c>
      <c r="B4239" s="10">
        <v>5578.1267418587504</v>
      </c>
      <c r="C4239" s="10">
        <v>-1.52587190470106</v>
      </c>
      <c r="D4239" s="10">
        <v>0.23059514824615501</v>
      </c>
      <c r="E4239" s="10">
        <v>-6.6171032491639004</v>
      </c>
      <c r="F4239" s="4">
        <v>3.6630566451196998E-11</v>
      </c>
      <c r="G4239" s="4">
        <v>6.0673133379681698E-10</v>
      </c>
      <c r="H4239" s="10" t="s">
        <v>8491</v>
      </c>
      <c r="I4239" s="10" t="s">
        <v>18</v>
      </c>
    </row>
    <row r="4240" spans="1:9" x14ac:dyDescent="0.2">
      <c r="A4240" s="10" t="s">
        <v>8492</v>
      </c>
      <c r="B4240" s="10">
        <v>7.7454745654380099</v>
      </c>
      <c r="C4240" s="10">
        <v>3.8050869843366799</v>
      </c>
      <c r="D4240" s="10">
        <v>1.5014859506064899</v>
      </c>
      <c r="E4240" s="10">
        <v>2.5342141781611001</v>
      </c>
      <c r="F4240" s="10">
        <v>1.12699825082976E-2</v>
      </c>
      <c r="G4240" s="10">
        <v>3.5166423889554002E-2</v>
      </c>
      <c r="H4240" s="10" t="s">
        <v>8493</v>
      </c>
      <c r="I4240" s="10" t="s">
        <v>18</v>
      </c>
    </row>
    <row r="4241" spans="1:9" x14ac:dyDescent="0.2">
      <c r="A4241" s="10" t="s">
        <v>8494</v>
      </c>
      <c r="B4241" s="10">
        <v>6.8999316244813498</v>
      </c>
      <c r="C4241" s="10">
        <v>6.1824872788971303</v>
      </c>
      <c r="D4241" s="10">
        <v>1.8874648226700399</v>
      </c>
      <c r="E4241" s="10">
        <v>3.2755509955153999</v>
      </c>
      <c r="F4241" s="10">
        <v>1.0545607357935901E-3</v>
      </c>
      <c r="G4241" s="10">
        <v>4.6180675615827803E-3</v>
      </c>
      <c r="H4241" s="10" t="s">
        <v>8495</v>
      </c>
      <c r="I4241" s="10" t="s">
        <v>18</v>
      </c>
    </row>
    <row r="4242" spans="1:9" x14ac:dyDescent="0.2">
      <c r="A4242" s="10" t="s">
        <v>8496</v>
      </c>
      <c r="B4242" s="10">
        <v>8696.7973517967093</v>
      </c>
      <c r="C4242" s="10">
        <v>-1.1253170405798001</v>
      </c>
      <c r="D4242" s="10">
        <v>0.183941174799088</v>
      </c>
      <c r="E4242" s="10">
        <v>-6.1178093583937496</v>
      </c>
      <c r="F4242" s="4">
        <v>9.4870465255363401E-10</v>
      </c>
      <c r="G4242" s="4">
        <v>1.2983101792129E-8</v>
      </c>
      <c r="H4242" s="10" t="s">
        <v>8497</v>
      </c>
      <c r="I4242" s="10" t="s">
        <v>18</v>
      </c>
    </row>
    <row r="4243" spans="1:9" x14ac:dyDescent="0.2">
      <c r="A4243" s="10" t="s">
        <v>8498</v>
      </c>
      <c r="B4243" s="10">
        <v>508.44761084173899</v>
      </c>
      <c r="C4243" s="10">
        <v>-1.2545906208576401</v>
      </c>
      <c r="D4243" s="10">
        <v>0.25768632075966003</v>
      </c>
      <c r="E4243" s="10">
        <v>-4.8686737315318398</v>
      </c>
      <c r="F4243" s="4">
        <v>1.12349724914754E-6</v>
      </c>
      <c r="G4243" s="4">
        <v>9.5334567261049798E-6</v>
      </c>
      <c r="H4243" s="10" t="s">
        <v>8499</v>
      </c>
      <c r="I4243" s="10" t="s">
        <v>18</v>
      </c>
    </row>
    <row r="4244" spans="1:9" x14ac:dyDescent="0.2">
      <c r="A4244" s="10" t="s">
        <v>8500</v>
      </c>
      <c r="B4244" s="10">
        <v>1208.64457546581</v>
      </c>
      <c r="C4244" s="10">
        <v>1.94563557499037</v>
      </c>
      <c r="D4244" s="10">
        <v>0.20844806048327699</v>
      </c>
      <c r="E4244" s="10">
        <v>9.3339106657049502</v>
      </c>
      <c r="F4244" s="4">
        <v>1.02035051341061E-20</v>
      </c>
      <c r="G4244" s="4">
        <v>4.23803207910042E-19</v>
      </c>
      <c r="H4244" s="10" t="s">
        <v>8501</v>
      </c>
      <c r="I4244" s="10" t="s">
        <v>18</v>
      </c>
    </row>
    <row r="4245" spans="1:9" x14ac:dyDescent="0.2">
      <c r="A4245" s="10" t="s">
        <v>8502</v>
      </c>
      <c r="B4245" s="10">
        <v>675.99738743958301</v>
      </c>
      <c r="C4245" s="10">
        <v>6.8186313311685796</v>
      </c>
      <c r="D4245" s="10">
        <v>0.36690834083593199</v>
      </c>
      <c r="E4245" s="10">
        <v>18.584018329029</v>
      </c>
      <c r="F4245" s="4">
        <v>4.32847542547747E-77</v>
      </c>
      <c r="G4245" s="4">
        <v>2.6804084072269199E-74</v>
      </c>
      <c r="H4245" s="10" t="s">
        <v>8503</v>
      </c>
      <c r="I4245" s="10" t="s">
        <v>18</v>
      </c>
    </row>
    <row r="4246" spans="1:9" x14ac:dyDescent="0.2">
      <c r="A4246" s="10" t="s">
        <v>8504</v>
      </c>
      <c r="B4246" s="10">
        <v>6.5345447860410504</v>
      </c>
      <c r="C4246" s="10">
        <v>6.1065584322363398</v>
      </c>
      <c r="D4246" s="10">
        <v>1.9147670694155401</v>
      </c>
      <c r="E4246" s="10">
        <v>3.18919127541727</v>
      </c>
      <c r="F4246" s="10">
        <v>1.42671441136191E-3</v>
      </c>
      <c r="G4246" s="10">
        <v>6.0250600691844399E-3</v>
      </c>
      <c r="H4246" s="10" t="s">
        <v>8505</v>
      </c>
      <c r="I4246" s="10" t="s">
        <v>18</v>
      </c>
    </row>
    <row r="4247" spans="1:9" x14ac:dyDescent="0.2">
      <c r="A4247" s="10" t="s">
        <v>8506</v>
      </c>
      <c r="B4247" s="10">
        <v>7936.2227632880504</v>
      </c>
      <c r="C4247" s="10">
        <v>1.3256407892843001</v>
      </c>
      <c r="D4247" s="10">
        <v>0.18674767049053501</v>
      </c>
      <c r="E4247" s="10">
        <v>7.0985666691434997</v>
      </c>
      <c r="F4247" s="4">
        <v>1.26057375178159E-12</v>
      </c>
      <c r="G4247" s="4">
        <v>2.4674463372696101E-11</v>
      </c>
      <c r="H4247" s="10" t="s">
        <v>8507</v>
      </c>
      <c r="I4247" s="10" t="s">
        <v>18</v>
      </c>
    </row>
    <row r="4248" spans="1:9" x14ac:dyDescent="0.2">
      <c r="A4248" s="10" t="s">
        <v>8508</v>
      </c>
      <c r="B4248" s="10">
        <v>126.60443912078</v>
      </c>
      <c r="C4248" s="10">
        <v>4.4803983513862899</v>
      </c>
      <c r="D4248" s="10">
        <v>0.48813307104805298</v>
      </c>
      <c r="E4248" s="10">
        <v>9.1786412704359197</v>
      </c>
      <c r="F4248" s="4">
        <v>4.3656492973199101E-20</v>
      </c>
      <c r="G4248" s="4">
        <v>1.7017288469824799E-18</v>
      </c>
      <c r="H4248" s="10" t="s">
        <v>8509</v>
      </c>
      <c r="I4248" s="10" t="s">
        <v>18</v>
      </c>
    </row>
    <row r="4249" spans="1:9" x14ac:dyDescent="0.2">
      <c r="A4249" s="10" t="s">
        <v>8510</v>
      </c>
      <c r="B4249" s="10">
        <v>1623.8186320720199</v>
      </c>
      <c r="C4249" s="10">
        <v>3.2914442768300298</v>
      </c>
      <c r="D4249" s="10">
        <v>0.20081831316916901</v>
      </c>
      <c r="E4249" s="10">
        <v>16.390159965427699</v>
      </c>
      <c r="F4249" s="4">
        <v>2.2485212098899099E-60</v>
      </c>
      <c r="G4249" s="4">
        <v>6.6592888484641696E-58</v>
      </c>
      <c r="H4249" s="10" t="s">
        <v>8511</v>
      </c>
      <c r="I4249" s="10" t="s">
        <v>18</v>
      </c>
    </row>
    <row r="4250" spans="1:9" x14ac:dyDescent="0.2">
      <c r="A4250" s="10" t="s">
        <v>8512</v>
      </c>
      <c r="B4250" s="10">
        <v>20713.0554850068</v>
      </c>
      <c r="C4250" s="10">
        <v>4.9909486276971302</v>
      </c>
      <c r="D4250" s="10">
        <v>0.19598727363181501</v>
      </c>
      <c r="E4250" s="10">
        <v>25.465677108571899</v>
      </c>
      <c r="F4250" s="4">
        <v>4.7334483653884604E-143</v>
      </c>
      <c r="G4250" s="4">
        <v>2.5794453522347902E-139</v>
      </c>
      <c r="H4250" s="10" t="s">
        <v>8513</v>
      </c>
      <c r="I4250" s="10" t="s">
        <v>18</v>
      </c>
    </row>
    <row r="4251" spans="1:9" x14ac:dyDescent="0.2">
      <c r="A4251" s="10" t="s">
        <v>8514</v>
      </c>
      <c r="B4251" s="10">
        <v>1531.4534364732101</v>
      </c>
      <c r="C4251" s="10">
        <v>-1.20145606512103</v>
      </c>
      <c r="D4251" s="10">
        <v>0.21471736173226899</v>
      </c>
      <c r="E4251" s="10">
        <v>-5.5955236010170601</v>
      </c>
      <c r="F4251" s="4">
        <v>2.1995692234617401E-8</v>
      </c>
      <c r="G4251" s="4">
        <v>2.5013214787838898E-7</v>
      </c>
      <c r="H4251" s="10" t="s">
        <v>8515</v>
      </c>
      <c r="I4251" s="10" t="s">
        <v>18</v>
      </c>
    </row>
    <row r="4252" spans="1:9" x14ac:dyDescent="0.2">
      <c r="A4252" s="10" t="s">
        <v>8516</v>
      </c>
      <c r="B4252" s="10">
        <v>75.500628716420707</v>
      </c>
      <c r="C4252" s="10">
        <v>9.6349854283734206</v>
      </c>
      <c r="D4252" s="10">
        <v>1.4972379578477399</v>
      </c>
      <c r="E4252" s="10">
        <v>6.4351730984857101</v>
      </c>
      <c r="F4252" s="4">
        <v>1.2333269552248399E-10</v>
      </c>
      <c r="G4252" s="4">
        <v>1.89748501123722E-9</v>
      </c>
      <c r="H4252" s="10" t="s">
        <v>8517</v>
      </c>
      <c r="I4252" s="10" t="s">
        <v>18</v>
      </c>
    </row>
    <row r="4253" spans="1:9" x14ac:dyDescent="0.2">
      <c r="A4253" s="10" t="s">
        <v>8518</v>
      </c>
      <c r="B4253" s="10">
        <v>64.000550928173396</v>
      </c>
      <c r="C4253" s="10">
        <v>-1.6336000701579001</v>
      </c>
      <c r="D4253" s="10">
        <v>0.49981514952700101</v>
      </c>
      <c r="E4253" s="10">
        <v>-3.2684084740205499</v>
      </c>
      <c r="F4253" s="10">
        <v>1.0815415149561299E-3</v>
      </c>
      <c r="G4253" s="10">
        <v>4.71802139897687E-3</v>
      </c>
      <c r="H4253" s="10" t="s">
        <v>8519</v>
      </c>
      <c r="I4253" s="10" t="s">
        <v>18</v>
      </c>
    </row>
    <row r="4254" spans="1:9" x14ac:dyDescent="0.2">
      <c r="A4254" s="10" t="s">
        <v>8520</v>
      </c>
      <c r="B4254" s="10">
        <v>434.84943138689601</v>
      </c>
      <c r="C4254" s="10">
        <v>1.69819291467844</v>
      </c>
      <c r="D4254" s="10">
        <v>0.28835784527439001</v>
      </c>
      <c r="E4254" s="10">
        <v>5.88918575481277</v>
      </c>
      <c r="F4254" s="4">
        <v>3.8810302529825799E-9</v>
      </c>
      <c r="G4254" s="4">
        <v>4.9002053430498802E-8</v>
      </c>
      <c r="H4254" s="10" t="s">
        <v>8521</v>
      </c>
      <c r="I4254" s="10" t="s">
        <v>18</v>
      </c>
    </row>
    <row r="4255" spans="1:9" x14ac:dyDescent="0.2">
      <c r="A4255" s="10" t="s">
        <v>8522</v>
      </c>
      <c r="B4255" s="10">
        <v>6755.4506394791897</v>
      </c>
      <c r="C4255" s="10">
        <v>1.2663303982915299</v>
      </c>
      <c r="D4255" s="10">
        <v>0.176563979259592</v>
      </c>
      <c r="E4255" s="10">
        <v>7.1720766806558904</v>
      </c>
      <c r="F4255" s="4">
        <v>7.3868544428738402E-13</v>
      </c>
      <c r="G4255" s="4">
        <v>1.4930980935087801E-11</v>
      </c>
      <c r="H4255" s="10" t="s">
        <v>8523</v>
      </c>
      <c r="I4255" s="10" t="s">
        <v>18</v>
      </c>
    </row>
    <row r="4256" spans="1:9" x14ac:dyDescent="0.2">
      <c r="A4256" s="10" t="s">
        <v>8524</v>
      </c>
      <c r="B4256" s="10">
        <v>11.0459359039824</v>
      </c>
      <c r="C4256" s="10">
        <v>6.8601544745856096</v>
      </c>
      <c r="D4256" s="10">
        <v>1.73863849390068</v>
      </c>
      <c r="E4256" s="10">
        <v>3.94570492868514</v>
      </c>
      <c r="F4256" s="4">
        <v>7.9565548421961803E-5</v>
      </c>
      <c r="G4256" s="10">
        <v>4.66721743348373E-4</v>
      </c>
      <c r="H4256" s="10" t="s">
        <v>8525</v>
      </c>
      <c r="I4256" s="10" t="s">
        <v>18</v>
      </c>
    </row>
    <row r="4257" spans="1:9" x14ac:dyDescent="0.2">
      <c r="A4257" s="10" t="s">
        <v>8526</v>
      </c>
      <c r="B4257" s="10">
        <v>13936.1594132891</v>
      </c>
      <c r="C4257" s="10">
        <v>3.2133248681189901</v>
      </c>
      <c r="D4257" s="10">
        <v>0.18973007212371501</v>
      </c>
      <c r="E4257" s="10">
        <v>16.9362970885485</v>
      </c>
      <c r="F4257" s="4">
        <v>2.4294370812039601E-64</v>
      </c>
      <c r="G4257" s="4">
        <v>8.2743590189455499E-62</v>
      </c>
      <c r="H4257" s="10" t="s">
        <v>8527</v>
      </c>
      <c r="I4257" s="10" t="s">
        <v>18</v>
      </c>
    </row>
    <row r="4258" spans="1:9" x14ac:dyDescent="0.2">
      <c r="A4258" s="10" t="s">
        <v>8528</v>
      </c>
      <c r="B4258" s="10">
        <v>42.091384597357397</v>
      </c>
      <c r="C4258" s="10">
        <v>2.83957148363453</v>
      </c>
      <c r="D4258" s="10">
        <v>0.59534922577828897</v>
      </c>
      <c r="E4258" s="10">
        <v>4.7695896134280096</v>
      </c>
      <c r="F4258" s="4">
        <v>1.84601608577714E-6</v>
      </c>
      <c r="G4258" s="4">
        <v>1.5059401284182499E-5</v>
      </c>
      <c r="H4258" s="10" t="s">
        <v>8529</v>
      </c>
      <c r="I4258" s="10" t="s">
        <v>18</v>
      </c>
    </row>
    <row r="4259" spans="1:9" x14ac:dyDescent="0.2">
      <c r="A4259" s="10" t="s">
        <v>8530</v>
      </c>
      <c r="B4259" s="10">
        <v>3130.9258336377502</v>
      </c>
      <c r="C4259" s="10">
        <v>1.08724079131433</v>
      </c>
      <c r="D4259" s="10">
        <v>0.18078511319385901</v>
      </c>
      <c r="E4259" s="10">
        <v>6.01399513547591</v>
      </c>
      <c r="F4259" s="4">
        <v>1.8100594376684701E-9</v>
      </c>
      <c r="G4259" s="4">
        <v>2.3608755145118698E-8</v>
      </c>
      <c r="H4259" s="10" t="s">
        <v>8531</v>
      </c>
      <c r="I4259" s="10" t="s">
        <v>18</v>
      </c>
    </row>
    <row r="4260" spans="1:9" x14ac:dyDescent="0.2">
      <c r="A4260" s="10" t="s">
        <v>8532</v>
      </c>
      <c r="B4260" s="10">
        <v>10.909919694731601</v>
      </c>
      <c r="C4260" s="10">
        <v>3.70742522498657</v>
      </c>
      <c r="D4260" s="10">
        <v>1.2528397864696199</v>
      </c>
      <c r="E4260" s="10">
        <v>2.9592173436906499</v>
      </c>
      <c r="F4260" s="10">
        <v>3.0842149306932101E-3</v>
      </c>
      <c r="G4260" s="10">
        <v>1.1736816231368401E-2</v>
      </c>
      <c r="H4260" s="10" t="s">
        <v>8533</v>
      </c>
      <c r="I4260" s="10" t="s">
        <v>18</v>
      </c>
    </row>
    <row r="4261" spans="1:9" x14ac:dyDescent="0.2">
      <c r="A4261" s="10" t="s">
        <v>8534</v>
      </c>
      <c r="B4261" s="10">
        <v>5.8007653187875299</v>
      </c>
      <c r="C4261" s="10">
        <v>5.93546411782095</v>
      </c>
      <c r="D4261" s="10">
        <v>1.9704464687610299</v>
      </c>
      <c r="E4261" s="10">
        <v>3.01224327172564</v>
      </c>
      <c r="F4261" s="10">
        <v>2.59324684567092E-3</v>
      </c>
      <c r="G4261" s="10">
        <v>1.00853835004276E-2</v>
      </c>
      <c r="H4261" s="10" t="s">
        <v>8535</v>
      </c>
      <c r="I4261" s="10" t="s">
        <v>18</v>
      </c>
    </row>
    <row r="4262" spans="1:9" x14ac:dyDescent="0.2">
      <c r="A4262" s="10" t="s">
        <v>8536</v>
      </c>
      <c r="B4262" s="10">
        <v>1170.35006716056</v>
      </c>
      <c r="C4262" s="10">
        <v>1.0754955214958599</v>
      </c>
      <c r="D4262" s="10">
        <v>0.19250328429119901</v>
      </c>
      <c r="E4262" s="10">
        <v>5.5868944026376202</v>
      </c>
      <c r="F4262" s="4">
        <v>2.3116618824639499E-8</v>
      </c>
      <c r="G4262" s="4">
        <v>2.6189543164862901E-7</v>
      </c>
      <c r="H4262" s="10" t="s">
        <v>8537</v>
      </c>
      <c r="I4262" s="10" t="s">
        <v>18</v>
      </c>
    </row>
    <row r="4263" spans="1:9" x14ac:dyDescent="0.2">
      <c r="A4263" s="10" t="s">
        <v>8538</v>
      </c>
      <c r="B4263" s="10">
        <v>31.059963516366199</v>
      </c>
      <c r="C4263" s="10">
        <v>5.8820832010733701</v>
      </c>
      <c r="D4263" s="10">
        <v>1.17777377939423</v>
      </c>
      <c r="E4263" s="10">
        <v>4.9942385405274603</v>
      </c>
      <c r="F4263" s="4">
        <v>5.9068353589785599E-7</v>
      </c>
      <c r="G4263" s="4">
        <v>5.2595929093493096E-6</v>
      </c>
      <c r="H4263" s="10" t="s">
        <v>8539</v>
      </c>
      <c r="I4263" s="10" t="s">
        <v>18</v>
      </c>
    </row>
    <row r="4264" spans="1:9" x14ac:dyDescent="0.2">
      <c r="A4264" s="10" t="s">
        <v>8540</v>
      </c>
      <c r="B4264" s="10">
        <v>13.3288112553851</v>
      </c>
      <c r="C4264" s="10">
        <v>4.6357932620845297</v>
      </c>
      <c r="D4264" s="10">
        <v>1.33766006787485</v>
      </c>
      <c r="E4264" s="10">
        <v>3.4655989017071001</v>
      </c>
      <c r="F4264" s="10">
        <v>5.2905190204215701E-4</v>
      </c>
      <c r="G4264" s="10">
        <v>2.5192375349427898E-3</v>
      </c>
      <c r="H4264" s="10" t="s">
        <v>8541</v>
      </c>
      <c r="I4264" s="10" t="s">
        <v>18</v>
      </c>
    </row>
    <row r="4265" spans="1:9" x14ac:dyDescent="0.2">
      <c r="A4265" s="10" t="s">
        <v>8542</v>
      </c>
      <c r="B4265" s="10">
        <v>3717.6114174709101</v>
      </c>
      <c r="C4265" s="10">
        <v>-1.2988050925125201</v>
      </c>
      <c r="D4265" s="10">
        <v>0.18597627262859201</v>
      </c>
      <c r="E4265" s="10">
        <v>-6.9837139660623997</v>
      </c>
      <c r="F4265" s="4">
        <v>2.87477070286557E-12</v>
      </c>
      <c r="G4265" s="4">
        <v>5.38342799594351E-11</v>
      </c>
      <c r="H4265" s="10" t="s">
        <v>8543</v>
      </c>
      <c r="I4265" s="10" t="s">
        <v>18</v>
      </c>
    </row>
    <row r="4266" spans="1:9" x14ac:dyDescent="0.2">
      <c r="A4266" s="10" t="s">
        <v>8544</v>
      </c>
      <c r="B4266" s="10">
        <v>1027.0176966300701</v>
      </c>
      <c r="C4266" s="10">
        <v>-1.0577339255195799</v>
      </c>
      <c r="D4266" s="10">
        <v>0.201402652500345</v>
      </c>
      <c r="E4266" s="10">
        <v>-5.25183711529204</v>
      </c>
      <c r="F4266" s="4">
        <v>1.50589607397017E-7</v>
      </c>
      <c r="G4266" s="4">
        <v>1.4828749666593801E-6</v>
      </c>
      <c r="H4266" s="10" t="s">
        <v>8545</v>
      </c>
      <c r="I4266" s="10" t="s">
        <v>18</v>
      </c>
    </row>
    <row r="4267" spans="1:9" x14ac:dyDescent="0.2">
      <c r="A4267" s="10" t="s">
        <v>8546</v>
      </c>
      <c r="B4267" s="10">
        <v>13.6972906220184</v>
      </c>
      <c r="C4267" s="10">
        <v>2.9706714818389299</v>
      </c>
      <c r="D4267" s="10">
        <v>1.0184029996017601</v>
      </c>
      <c r="E4267" s="10">
        <v>2.9169901139338599</v>
      </c>
      <c r="F4267" s="10">
        <v>3.5342697460672601E-3</v>
      </c>
      <c r="G4267" s="10">
        <v>1.3198772994941699E-2</v>
      </c>
      <c r="H4267" s="10" t="s">
        <v>8547</v>
      </c>
      <c r="I4267" s="10" t="s">
        <v>18</v>
      </c>
    </row>
    <row r="4268" spans="1:9" x14ac:dyDescent="0.2">
      <c r="A4268" s="10" t="s">
        <v>8548</v>
      </c>
      <c r="B4268" s="10">
        <v>203.53504875955699</v>
      </c>
      <c r="C4268" s="10">
        <v>-2.6141385890651798</v>
      </c>
      <c r="D4268" s="10">
        <v>0.31974389244065499</v>
      </c>
      <c r="E4268" s="10">
        <v>-8.1757264200140298</v>
      </c>
      <c r="F4268" s="4">
        <v>2.94088606293622E-16</v>
      </c>
      <c r="G4268" s="4">
        <v>8.2171154860199701E-15</v>
      </c>
      <c r="H4268" s="10" t="s">
        <v>8549</v>
      </c>
      <c r="I4268" s="10" t="s">
        <v>18</v>
      </c>
    </row>
    <row r="4269" spans="1:9" x14ac:dyDescent="0.2">
      <c r="A4269" s="10" t="s">
        <v>8550</v>
      </c>
      <c r="B4269" s="10">
        <v>12176.916245902599</v>
      </c>
      <c r="C4269" s="10">
        <v>1.0102020593710901</v>
      </c>
      <c r="D4269" s="10">
        <v>0.17927360923618199</v>
      </c>
      <c r="E4269" s="10">
        <v>5.6349736231405503</v>
      </c>
      <c r="F4269" s="4">
        <v>1.7508513318257901E-8</v>
      </c>
      <c r="G4269" s="4">
        <v>2.0137377052873501E-7</v>
      </c>
      <c r="H4269" s="10" t="s">
        <v>8551</v>
      </c>
      <c r="I4269" s="10" t="s">
        <v>18</v>
      </c>
    </row>
    <row r="4270" spans="1:9" x14ac:dyDescent="0.2">
      <c r="A4270" s="10" t="s">
        <v>8552</v>
      </c>
      <c r="B4270" s="10">
        <v>9281.1845301507401</v>
      </c>
      <c r="C4270" s="10">
        <v>1.6690031877668301</v>
      </c>
      <c r="D4270" s="10">
        <v>0.18365603647857301</v>
      </c>
      <c r="E4270" s="10">
        <v>9.0876576657558399</v>
      </c>
      <c r="F4270" s="4">
        <v>1.0119559067588199E-19</v>
      </c>
      <c r="G4270" s="4">
        <v>3.8083926231294903E-18</v>
      </c>
      <c r="H4270" s="10" t="s">
        <v>8553</v>
      </c>
      <c r="I4270" s="10" t="s">
        <v>18</v>
      </c>
    </row>
    <row r="4271" spans="1:9" x14ac:dyDescent="0.2">
      <c r="A4271" s="10" t="s">
        <v>8554</v>
      </c>
      <c r="B4271" s="10">
        <v>228.549005700572</v>
      </c>
      <c r="C4271" s="10">
        <v>8.7856865956867196</v>
      </c>
      <c r="D4271" s="10">
        <v>1.05601005332655</v>
      </c>
      <c r="E4271" s="10">
        <v>8.3196997680190599</v>
      </c>
      <c r="F4271" s="4">
        <v>8.8186405741717595E-17</v>
      </c>
      <c r="G4271" s="4">
        <v>2.6032665192249E-15</v>
      </c>
      <c r="H4271" s="10" t="s">
        <v>8555</v>
      </c>
      <c r="I4271" s="10" t="s">
        <v>18</v>
      </c>
    </row>
    <row r="4272" spans="1:9" x14ac:dyDescent="0.2">
      <c r="A4272" s="10" t="s">
        <v>8556</v>
      </c>
      <c r="B4272" s="10">
        <v>4077.0720639290398</v>
      </c>
      <c r="C4272" s="10">
        <v>1.00597077185603</v>
      </c>
      <c r="D4272" s="10">
        <v>0.20708194971316601</v>
      </c>
      <c r="E4272" s="10">
        <v>4.8578390016581698</v>
      </c>
      <c r="F4272" s="4">
        <v>1.1867384155759899E-6</v>
      </c>
      <c r="G4272" s="4">
        <v>1.0020161639045301E-5</v>
      </c>
      <c r="H4272" s="10" t="s">
        <v>8557</v>
      </c>
      <c r="I4272" s="10" t="s">
        <v>18</v>
      </c>
    </row>
    <row r="4273" spans="1:9" x14ac:dyDescent="0.2">
      <c r="A4273" s="10" t="s">
        <v>8558</v>
      </c>
      <c r="B4273" s="10">
        <v>57.565290371107899</v>
      </c>
      <c r="C4273" s="10">
        <v>4.76991589775609</v>
      </c>
      <c r="D4273" s="10">
        <v>1.861609391392</v>
      </c>
      <c r="E4273" s="10">
        <v>2.5622538862405699</v>
      </c>
      <c r="F4273" s="10">
        <v>1.0399526531570001E-2</v>
      </c>
      <c r="G4273" s="10">
        <v>3.2890992386034601E-2</v>
      </c>
      <c r="H4273" s="10" t="s">
        <v>8559</v>
      </c>
      <c r="I4273" s="10" t="s">
        <v>18</v>
      </c>
    </row>
    <row r="4274" spans="1:9" x14ac:dyDescent="0.2">
      <c r="A4274" s="10" t="s">
        <v>8560</v>
      </c>
      <c r="B4274" s="10">
        <v>418.42520185255501</v>
      </c>
      <c r="C4274" s="10">
        <v>1.10715893344012</v>
      </c>
      <c r="D4274" s="10">
        <v>0.244541597155358</v>
      </c>
      <c r="E4274" s="10">
        <v>4.5274871282399296</v>
      </c>
      <c r="F4274" s="4">
        <v>5.9689235669539097E-6</v>
      </c>
      <c r="G4274" s="4">
        <v>4.4387352737116101E-5</v>
      </c>
      <c r="H4274" s="10" t="s">
        <v>8561</v>
      </c>
      <c r="I4274" s="10" t="s">
        <v>18</v>
      </c>
    </row>
    <row r="4275" spans="1:9" x14ac:dyDescent="0.2">
      <c r="A4275" s="10" t="s">
        <v>8562</v>
      </c>
      <c r="B4275" s="10">
        <v>22.416357729230299</v>
      </c>
      <c r="C4275" s="10">
        <v>2.2703176976060901</v>
      </c>
      <c r="D4275" s="10">
        <v>0.78575506699868702</v>
      </c>
      <c r="E4275" s="10">
        <v>2.8893452845018399</v>
      </c>
      <c r="F4275" s="10">
        <v>3.8604492364524498E-3</v>
      </c>
      <c r="G4275" s="10">
        <v>1.4221965974258999E-2</v>
      </c>
      <c r="H4275" s="10" t="s">
        <v>8563</v>
      </c>
      <c r="I4275" s="10" t="s">
        <v>18</v>
      </c>
    </row>
    <row r="4276" spans="1:9" x14ac:dyDescent="0.2">
      <c r="A4276" s="10" t="s">
        <v>8564</v>
      </c>
      <c r="B4276" s="10">
        <v>9.6538589694617105</v>
      </c>
      <c r="C4276" s="10">
        <v>6.6684028122708501</v>
      </c>
      <c r="D4276" s="10">
        <v>1.7739601857798399</v>
      </c>
      <c r="E4276" s="10">
        <v>3.75904874626</v>
      </c>
      <c r="F4276" s="10">
        <v>1.7056060757053701E-4</v>
      </c>
      <c r="G4276" s="10">
        <v>9.2409323413689202E-4</v>
      </c>
      <c r="H4276" s="10" t="s">
        <v>8565</v>
      </c>
      <c r="I4276" s="10" t="s">
        <v>18</v>
      </c>
    </row>
    <row r="4277" spans="1:9" x14ac:dyDescent="0.2">
      <c r="A4277" s="10" t="s">
        <v>8566</v>
      </c>
      <c r="B4277" s="10">
        <v>26.8121883125011</v>
      </c>
      <c r="C4277" s="10">
        <v>2.25865584071795</v>
      </c>
      <c r="D4277" s="10">
        <v>0.70795884594700498</v>
      </c>
      <c r="E4277" s="10">
        <v>3.19037731310023</v>
      </c>
      <c r="F4277" s="10">
        <v>1.42087155012105E-3</v>
      </c>
      <c r="G4277" s="10">
        <v>6.0022460660694799E-3</v>
      </c>
      <c r="H4277" s="10" t="s">
        <v>8567</v>
      </c>
      <c r="I4277" s="10" t="s">
        <v>18</v>
      </c>
    </row>
    <row r="4278" spans="1:9" x14ac:dyDescent="0.2">
      <c r="A4278" s="10" t="s">
        <v>8568</v>
      </c>
      <c r="B4278" s="10">
        <v>11.3115012690686</v>
      </c>
      <c r="C4278" s="10">
        <v>5.4185727820957696</v>
      </c>
      <c r="D4278" s="10">
        <v>1.7155348513117501</v>
      </c>
      <c r="E4278" s="10">
        <v>3.1585326161998801</v>
      </c>
      <c r="F4278" s="10">
        <v>1.5856556486248299E-3</v>
      </c>
      <c r="G4278" s="10">
        <v>6.5960854134474401E-3</v>
      </c>
      <c r="H4278" s="10" t="s">
        <v>8569</v>
      </c>
      <c r="I4278" s="10" t="s">
        <v>18</v>
      </c>
    </row>
    <row r="4279" spans="1:9" x14ac:dyDescent="0.2">
      <c r="A4279" s="10" t="s">
        <v>8570</v>
      </c>
      <c r="B4279" s="10">
        <v>2731.2374083002301</v>
      </c>
      <c r="C4279" s="10">
        <v>-1.1040704865200499</v>
      </c>
      <c r="D4279" s="10">
        <v>0.207542798487731</v>
      </c>
      <c r="E4279" s="10">
        <v>-5.3197243872825197</v>
      </c>
      <c r="F4279" s="4">
        <v>1.0392456686854101E-7</v>
      </c>
      <c r="G4279" s="4">
        <v>1.0538268230246101E-6</v>
      </c>
      <c r="H4279" s="10" t="s">
        <v>8571</v>
      </c>
      <c r="I4279" s="10" t="s">
        <v>18</v>
      </c>
    </row>
    <row r="4280" spans="1:9" x14ac:dyDescent="0.2">
      <c r="A4280" s="10" t="s">
        <v>8572</v>
      </c>
      <c r="B4280" s="10">
        <v>1075.8368330702499</v>
      </c>
      <c r="C4280" s="10">
        <v>-2.7243516516750801</v>
      </c>
      <c r="D4280" s="10">
        <v>0.25771728793426402</v>
      </c>
      <c r="E4280" s="10">
        <v>-10.571086144480899</v>
      </c>
      <c r="F4280" s="4">
        <v>4.05767659769681E-26</v>
      </c>
      <c r="G4280" s="4">
        <v>2.46234998346203E-24</v>
      </c>
      <c r="H4280" s="10" t="s">
        <v>8573</v>
      </c>
      <c r="I4280" s="10" t="s">
        <v>18</v>
      </c>
    </row>
    <row r="4281" spans="1:9" x14ac:dyDescent="0.2">
      <c r="A4281" s="10" t="s">
        <v>8574</v>
      </c>
      <c r="B4281" s="10">
        <v>1517.2606630576499</v>
      </c>
      <c r="C4281" s="10">
        <v>-1.3207362819442401</v>
      </c>
      <c r="D4281" s="10">
        <v>0.21243869777351301</v>
      </c>
      <c r="E4281" s="10">
        <v>-6.2170230555278199</v>
      </c>
      <c r="F4281" s="4">
        <v>5.0667534016758604E-10</v>
      </c>
      <c r="G4281" s="4">
        <v>7.1198468249335797E-9</v>
      </c>
      <c r="H4281" s="10" t="s">
        <v>8575</v>
      </c>
      <c r="I4281" s="10" t="s">
        <v>18</v>
      </c>
    </row>
    <row r="4282" spans="1:9" x14ac:dyDescent="0.2">
      <c r="A4282" s="10" t="s">
        <v>8576</v>
      </c>
      <c r="B4282" s="10">
        <v>5353.0854377686701</v>
      </c>
      <c r="C4282" s="10">
        <v>-2.1069727401786</v>
      </c>
      <c r="D4282" s="10">
        <v>0.20977646070738201</v>
      </c>
      <c r="E4282" s="10">
        <v>-10.043894977890901</v>
      </c>
      <c r="F4282" s="4">
        <v>9.7736928441363806E-24</v>
      </c>
      <c r="G4282" s="4">
        <v>4.9591025870425302E-22</v>
      </c>
      <c r="H4282" s="10" t="s">
        <v>8577</v>
      </c>
      <c r="I4282" s="10" t="s">
        <v>18</v>
      </c>
    </row>
    <row r="4283" spans="1:9" x14ac:dyDescent="0.2">
      <c r="A4283" s="10" t="s">
        <v>8578</v>
      </c>
      <c r="B4283" s="10">
        <v>185.96448285371099</v>
      </c>
      <c r="C4283" s="10">
        <v>4.2508008148672998</v>
      </c>
      <c r="D4283" s="10">
        <v>0.37325083664502201</v>
      </c>
      <c r="E4283" s="10">
        <v>11.388590185291401</v>
      </c>
      <c r="F4283" s="4">
        <v>4.7663908885350597E-30</v>
      </c>
      <c r="G4283" s="4">
        <v>3.7426470472597902E-28</v>
      </c>
      <c r="H4283" s="10" t="s">
        <v>8579</v>
      </c>
      <c r="I4283" s="10" t="s">
        <v>18</v>
      </c>
    </row>
    <row r="4284" spans="1:9" x14ac:dyDescent="0.2">
      <c r="A4284" s="10" t="s">
        <v>8580</v>
      </c>
      <c r="B4284" s="10">
        <v>53.593039960682702</v>
      </c>
      <c r="C4284" s="10">
        <v>5.6699211665277103</v>
      </c>
      <c r="D4284" s="10">
        <v>0.85289066593458895</v>
      </c>
      <c r="E4284" s="10">
        <v>6.6478874643500401</v>
      </c>
      <c r="F4284" s="4">
        <v>2.9732948876486102E-11</v>
      </c>
      <c r="G4284" s="4">
        <v>4.9762509707470405E-10</v>
      </c>
      <c r="H4284" s="10" t="s">
        <v>8581</v>
      </c>
      <c r="I4284" s="10" t="s">
        <v>18</v>
      </c>
    </row>
    <row r="4285" spans="1:9" x14ac:dyDescent="0.2">
      <c r="A4285" s="10" t="s">
        <v>8582</v>
      </c>
      <c r="B4285" s="10">
        <v>27.451768288325599</v>
      </c>
      <c r="C4285" s="10">
        <v>8.1743386275130394</v>
      </c>
      <c r="D4285" s="10">
        <v>1.572554149823</v>
      </c>
      <c r="E4285" s="10">
        <v>5.1981285531141301</v>
      </c>
      <c r="F4285" s="4">
        <v>2.01304899021153E-7</v>
      </c>
      <c r="G4285" s="4">
        <v>1.9450193558969402E-6</v>
      </c>
      <c r="H4285" s="10" t="s">
        <v>8583</v>
      </c>
      <c r="I4285" s="10" t="s">
        <v>18</v>
      </c>
    </row>
    <row r="4286" spans="1:9" x14ac:dyDescent="0.2">
      <c r="A4286" s="10" t="s">
        <v>8584</v>
      </c>
      <c r="B4286" s="10">
        <v>213.069118283476</v>
      </c>
      <c r="C4286" s="10">
        <v>-1.0125752253162601</v>
      </c>
      <c r="D4286" s="10">
        <v>0.29500439961312103</v>
      </c>
      <c r="E4286" s="10">
        <v>-3.4324072001779702</v>
      </c>
      <c r="F4286" s="10">
        <v>5.9824858068786596E-4</v>
      </c>
      <c r="G4286" s="10">
        <v>2.8075680452628901E-3</v>
      </c>
      <c r="H4286" s="10" t="s">
        <v>8585</v>
      </c>
      <c r="I4286" s="10" t="s">
        <v>18</v>
      </c>
    </row>
    <row r="4287" spans="1:9" x14ac:dyDescent="0.2">
      <c r="A4287" s="10" t="s">
        <v>8586</v>
      </c>
      <c r="B4287" s="10">
        <v>2714.1574285810898</v>
      </c>
      <c r="C4287" s="10">
        <v>-1.2085959378106299</v>
      </c>
      <c r="D4287" s="10">
        <v>0.24561740974997701</v>
      </c>
      <c r="E4287" s="10">
        <v>-4.92064442435455</v>
      </c>
      <c r="F4287" s="4">
        <v>8.6259719948679599E-7</v>
      </c>
      <c r="G4287" s="4">
        <v>7.4850910491772998E-6</v>
      </c>
      <c r="H4287" s="10" t="s">
        <v>8587</v>
      </c>
      <c r="I4287" s="10" t="s">
        <v>18</v>
      </c>
    </row>
    <row r="4288" spans="1:9" x14ac:dyDescent="0.2">
      <c r="A4288" s="10" t="s">
        <v>8588</v>
      </c>
      <c r="B4288" s="10">
        <v>4459.6165641570296</v>
      </c>
      <c r="C4288" s="10">
        <v>-1.0045499405698599</v>
      </c>
      <c r="D4288" s="10">
        <v>0.217047580765377</v>
      </c>
      <c r="E4288" s="10">
        <v>-4.6282475806802896</v>
      </c>
      <c r="F4288" s="4">
        <v>3.6877299017515599E-6</v>
      </c>
      <c r="G4288" s="4">
        <v>2.8561562431217999E-5</v>
      </c>
      <c r="H4288" s="10" t="s">
        <v>8589</v>
      </c>
      <c r="I4288" s="10" t="s">
        <v>18</v>
      </c>
    </row>
    <row r="4289" spans="1:9" x14ac:dyDescent="0.2">
      <c r="A4289" s="10" t="s">
        <v>8590</v>
      </c>
      <c r="B4289" s="10">
        <v>603.77582956330298</v>
      </c>
      <c r="C4289" s="10">
        <v>-1.74647293409927</v>
      </c>
      <c r="D4289" s="10">
        <v>0.22169947840342499</v>
      </c>
      <c r="E4289" s="10">
        <v>-7.87765919287021</v>
      </c>
      <c r="F4289" s="4">
        <v>3.3357105866790299E-15</v>
      </c>
      <c r="G4289" s="4">
        <v>8.4704665755119804E-14</v>
      </c>
      <c r="H4289" s="10" t="s">
        <v>8591</v>
      </c>
      <c r="I4289" s="10" t="s">
        <v>18</v>
      </c>
    </row>
    <row r="4290" spans="1:9" x14ac:dyDescent="0.2">
      <c r="A4290" s="10" t="s">
        <v>8592</v>
      </c>
      <c r="B4290" s="10">
        <v>617.24987175318199</v>
      </c>
      <c r="C4290" s="10">
        <v>5.8057615842382404</v>
      </c>
      <c r="D4290" s="10">
        <v>0.30918784636955299</v>
      </c>
      <c r="E4290" s="10">
        <v>18.777457304382398</v>
      </c>
      <c r="F4290" s="4">
        <v>1.15479301773051E-78</v>
      </c>
      <c r="G4290" s="4">
        <v>7.6743037449032305E-76</v>
      </c>
      <c r="H4290" s="10" t="s">
        <v>8593</v>
      </c>
      <c r="I4290" s="10" t="s">
        <v>18</v>
      </c>
    </row>
    <row r="4291" spans="1:9" x14ac:dyDescent="0.2">
      <c r="A4291" s="10" t="s">
        <v>8594</v>
      </c>
      <c r="B4291" s="10">
        <v>169.615425197501</v>
      </c>
      <c r="C4291" s="10">
        <v>1.2240972948289699</v>
      </c>
      <c r="D4291" s="10">
        <v>0.30321162860979101</v>
      </c>
      <c r="E4291" s="10">
        <v>4.0371053723809602</v>
      </c>
      <c r="F4291" s="4">
        <v>5.4114766644804E-5</v>
      </c>
      <c r="G4291" s="10">
        <v>3.28681463836597E-4</v>
      </c>
      <c r="H4291" s="10" t="s">
        <v>8595</v>
      </c>
      <c r="I4291" s="10" t="s">
        <v>18</v>
      </c>
    </row>
    <row r="4292" spans="1:9" x14ac:dyDescent="0.2">
      <c r="A4292" s="10" t="s">
        <v>8596</v>
      </c>
      <c r="B4292" s="10">
        <v>75.056633919784502</v>
      </c>
      <c r="C4292" s="10">
        <v>-1.21128740924516</v>
      </c>
      <c r="D4292" s="10">
        <v>0.49295532745520798</v>
      </c>
      <c r="E4292" s="10">
        <v>-2.4571950880381102</v>
      </c>
      <c r="F4292" s="10">
        <v>1.40026622253746E-2</v>
      </c>
      <c r="G4292" s="10">
        <v>4.22140448832466E-2</v>
      </c>
      <c r="H4292" s="10" t="s">
        <v>8597</v>
      </c>
      <c r="I4292" s="10" t="s">
        <v>18</v>
      </c>
    </row>
    <row r="4293" spans="1:9" x14ac:dyDescent="0.2">
      <c r="A4293" s="10" t="s">
        <v>8598</v>
      </c>
      <c r="B4293" s="10">
        <v>4.5143969083142101</v>
      </c>
      <c r="C4293" s="10">
        <v>5.5706196242912496</v>
      </c>
      <c r="D4293" s="10">
        <v>2.0836382646555101</v>
      </c>
      <c r="E4293" s="10">
        <v>2.6735061064988899</v>
      </c>
      <c r="F4293" s="10">
        <v>7.5062909580529899E-3</v>
      </c>
      <c r="G4293" s="10">
        <v>2.4963250303194202E-2</v>
      </c>
      <c r="H4293" s="10" t="s">
        <v>8599</v>
      </c>
      <c r="I4293" s="10" t="s">
        <v>18</v>
      </c>
    </row>
    <row r="4294" spans="1:9" x14ac:dyDescent="0.2">
      <c r="A4294" s="10" t="s">
        <v>8600</v>
      </c>
      <c r="B4294" s="10">
        <v>5.1757001659542397</v>
      </c>
      <c r="C4294" s="10">
        <v>5.7691669903209899</v>
      </c>
      <c r="D4294" s="10">
        <v>2.0146158333858399</v>
      </c>
      <c r="E4294" s="10">
        <v>2.8636561346909999</v>
      </c>
      <c r="F4294" s="10">
        <v>4.1878236407200901E-3</v>
      </c>
      <c r="G4294" s="10">
        <v>1.5236430863760199E-2</v>
      </c>
      <c r="H4294" s="10" t="s">
        <v>8601</v>
      </c>
      <c r="I4294" s="10" t="s">
        <v>18</v>
      </c>
    </row>
    <row r="4295" spans="1:9" x14ac:dyDescent="0.2">
      <c r="A4295" s="10" t="s">
        <v>8602</v>
      </c>
      <c r="B4295" s="10">
        <v>44.155162762280099</v>
      </c>
      <c r="C4295" s="10">
        <v>2.4049910583563499</v>
      </c>
      <c r="D4295" s="10">
        <v>0.60368917002542299</v>
      </c>
      <c r="E4295" s="10">
        <v>3.98382342730295</v>
      </c>
      <c r="F4295" s="4">
        <v>6.7815268705710094E-5</v>
      </c>
      <c r="G4295" s="10">
        <v>4.0264035016627202E-4</v>
      </c>
      <c r="H4295" s="10" t="s">
        <v>8603</v>
      </c>
      <c r="I4295" s="10" t="s">
        <v>18</v>
      </c>
    </row>
    <row r="4296" spans="1:9" x14ac:dyDescent="0.2">
      <c r="A4296" s="10" t="s">
        <v>8604</v>
      </c>
      <c r="B4296" s="10">
        <v>608.03360950108504</v>
      </c>
      <c r="C4296" s="10">
        <v>2.1499094631412499</v>
      </c>
      <c r="D4296" s="10">
        <v>0.23508221501339099</v>
      </c>
      <c r="E4296" s="10">
        <v>9.1453513955480794</v>
      </c>
      <c r="F4296" s="4">
        <v>5.9436314082710596E-20</v>
      </c>
      <c r="G4296" s="4">
        <v>2.2745242272635001E-18</v>
      </c>
      <c r="H4296" s="10" t="s">
        <v>8605</v>
      </c>
      <c r="I4296" s="10" t="s">
        <v>18</v>
      </c>
    </row>
    <row r="4297" spans="1:9" x14ac:dyDescent="0.2">
      <c r="A4297" s="10" t="s">
        <v>8606</v>
      </c>
      <c r="B4297" s="10">
        <v>11.0400922221991</v>
      </c>
      <c r="C4297" s="10">
        <v>5.3826337772699899</v>
      </c>
      <c r="D4297" s="10">
        <v>1.74439395297819</v>
      </c>
      <c r="E4297" s="10">
        <v>3.0856755540113299</v>
      </c>
      <c r="F4297" s="10">
        <v>2.03090295149885E-3</v>
      </c>
      <c r="G4297" s="10">
        <v>8.1652667433214001E-3</v>
      </c>
      <c r="H4297" s="10" t="s">
        <v>8607</v>
      </c>
      <c r="I4297" s="10" t="s">
        <v>18</v>
      </c>
    </row>
    <row r="4298" spans="1:9" x14ac:dyDescent="0.2">
      <c r="A4298" s="10" t="s">
        <v>8608</v>
      </c>
      <c r="B4298" s="10">
        <v>3.8530936506741802</v>
      </c>
      <c r="C4298" s="10">
        <v>5.3403250580865702</v>
      </c>
      <c r="D4298" s="10">
        <v>2.1789621139591802</v>
      </c>
      <c r="E4298" s="10">
        <v>2.4508572333014098</v>
      </c>
      <c r="F4298" s="10">
        <v>1.4251646682892799E-2</v>
      </c>
      <c r="G4298" s="10">
        <v>4.2728280938466097E-2</v>
      </c>
      <c r="H4298" s="10" t="s">
        <v>8609</v>
      </c>
      <c r="I4298" s="10" t="s">
        <v>18</v>
      </c>
    </row>
    <row r="4299" spans="1:9" x14ac:dyDescent="0.2">
      <c r="A4299" s="10" t="s">
        <v>8610</v>
      </c>
      <c r="B4299" s="10">
        <v>308.99689900492098</v>
      </c>
      <c r="C4299" s="10">
        <v>-2.3714295439649899</v>
      </c>
      <c r="D4299" s="10">
        <v>0.27233435432695702</v>
      </c>
      <c r="E4299" s="10">
        <v>-8.7077869768788592</v>
      </c>
      <c r="F4299" s="4">
        <v>3.0986495026749799E-18</v>
      </c>
      <c r="G4299" s="4">
        <v>1.02462260921584E-16</v>
      </c>
      <c r="H4299" s="10" t="s">
        <v>8611</v>
      </c>
      <c r="I4299" s="10" t="s">
        <v>18</v>
      </c>
    </row>
    <row r="4300" spans="1:9" x14ac:dyDescent="0.2">
      <c r="A4300" s="10" t="s">
        <v>8612</v>
      </c>
      <c r="B4300" s="10">
        <v>432.95544055095701</v>
      </c>
      <c r="C4300" s="10">
        <v>-1.6065908600713199</v>
      </c>
      <c r="D4300" s="10">
        <v>0.23685627988635899</v>
      </c>
      <c r="E4300" s="10">
        <v>-6.7829776809892701</v>
      </c>
      <c r="F4300" s="4">
        <v>1.17723829861596E-11</v>
      </c>
      <c r="G4300" s="4">
        <v>2.0601292178798401E-10</v>
      </c>
      <c r="H4300" s="10" t="s">
        <v>8613</v>
      </c>
      <c r="I4300" s="10" t="s">
        <v>18</v>
      </c>
    </row>
    <row r="4301" spans="1:9" x14ac:dyDescent="0.2">
      <c r="A4301" s="10" t="s">
        <v>8614</v>
      </c>
      <c r="B4301" s="10">
        <v>709.980268395395</v>
      </c>
      <c r="C4301" s="10">
        <v>1.30433984879889</v>
      </c>
      <c r="D4301" s="10">
        <v>0.218685814506036</v>
      </c>
      <c r="E4301" s="10">
        <v>5.9644465359818399</v>
      </c>
      <c r="F4301" s="4">
        <v>2.4546462222340201E-9</v>
      </c>
      <c r="G4301" s="4">
        <v>3.15777835775309E-8</v>
      </c>
      <c r="H4301" s="10" t="s">
        <v>8615</v>
      </c>
      <c r="I4301" s="10" t="s">
        <v>18</v>
      </c>
    </row>
    <row r="4302" spans="1:9" x14ac:dyDescent="0.2">
      <c r="A4302" s="10" t="s">
        <v>8616</v>
      </c>
      <c r="B4302" s="10">
        <v>178.50576654273999</v>
      </c>
      <c r="C4302" s="10">
        <v>-1.3901673083453501</v>
      </c>
      <c r="D4302" s="10">
        <v>0.299924007912305</v>
      </c>
      <c r="E4302" s="10">
        <v>-4.6350651220685899</v>
      </c>
      <c r="F4302" s="4">
        <v>3.5682512820039699E-6</v>
      </c>
      <c r="G4302" s="4">
        <v>2.7707542831630399E-5</v>
      </c>
      <c r="H4302" s="10" t="s">
        <v>8617</v>
      </c>
      <c r="I4302" s="10" t="s">
        <v>18</v>
      </c>
    </row>
    <row r="4303" spans="1:9" x14ac:dyDescent="0.2">
      <c r="A4303" s="10" t="s">
        <v>8618</v>
      </c>
      <c r="B4303" s="10">
        <v>1521.8715902726401</v>
      </c>
      <c r="C4303" s="10">
        <v>-1.1841912834980699</v>
      </c>
      <c r="D4303" s="10">
        <v>0.19749279692801999</v>
      </c>
      <c r="E4303" s="10">
        <v>-5.9961239190392996</v>
      </c>
      <c r="F4303" s="4">
        <v>2.0208283729358901E-9</v>
      </c>
      <c r="G4303" s="4">
        <v>2.6269804712492401E-8</v>
      </c>
      <c r="H4303" s="10" t="s">
        <v>8619</v>
      </c>
      <c r="I4303" s="10" t="s">
        <v>18</v>
      </c>
    </row>
    <row r="4304" spans="1:9" x14ac:dyDescent="0.2">
      <c r="A4304" s="10" t="s">
        <v>8620</v>
      </c>
      <c r="B4304" s="10">
        <v>63.747846306937703</v>
      </c>
      <c r="C4304" s="10">
        <v>1.5087950187210999</v>
      </c>
      <c r="D4304" s="10">
        <v>0.484272192299252</v>
      </c>
      <c r="E4304" s="10">
        <v>3.11559293040875</v>
      </c>
      <c r="F4304" s="10">
        <v>1.83575495128164E-3</v>
      </c>
      <c r="G4304" s="10">
        <v>7.49233300742525E-3</v>
      </c>
      <c r="H4304" s="10" t="s">
        <v>8621</v>
      </c>
      <c r="I4304" s="10" t="s">
        <v>18</v>
      </c>
    </row>
    <row r="4305" spans="1:9" x14ac:dyDescent="0.2">
      <c r="A4305" s="10" t="s">
        <v>8622</v>
      </c>
      <c r="B4305" s="10">
        <v>3400.63668755954</v>
      </c>
      <c r="C4305" s="10">
        <v>-1.0111606019514301</v>
      </c>
      <c r="D4305" s="10">
        <v>0.17438176202008801</v>
      </c>
      <c r="E4305" s="10">
        <v>-5.7985456176027403</v>
      </c>
      <c r="F4305" s="4">
        <v>6.6892507813351204E-9</v>
      </c>
      <c r="G4305" s="4">
        <v>8.1403312210378802E-8</v>
      </c>
      <c r="H4305" s="10" t="s">
        <v>8623</v>
      </c>
      <c r="I4305" s="10" t="s">
        <v>18</v>
      </c>
    </row>
    <row r="4306" spans="1:9" x14ac:dyDescent="0.2">
      <c r="A4306" s="10" t="s">
        <v>8624</v>
      </c>
      <c r="B4306" s="10">
        <v>744.84722494164703</v>
      </c>
      <c r="C4306" s="10">
        <v>-1.16488301821365</v>
      </c>
      <c r="D4306" s="10">
        <v>0.20841374608594401</v>
      </c>
      <c r="E4306" s="10">
        <v>-5.58928112991779</v>
      </c>
      <c r="F4306" s="4">
        <v>2.2801155539258698E-8</v>
      </c>
      <c r="G4306" s="4">
        <v>2.5864408200590401E-7</v>
      </c>
      <c r="H4306" s="10" t="s">
        <v>8625</v>
      </c>
      <c r="I4306" s="10" t="s">
        <v>18</v>
      </c>
    </row>
    <row r="4307" spans="1:9" x14ac:dyDescent="0.2">
      <c r="A4307" s="10" t="s">
        <v>8626</v>
      </c>
      <c r="B4307" s="10">
        <v>916.72892439618795</v>
      </c>
      <c r="C4307" s="10">
        <v>-1.13923355796904</v>
      </c>
      <c r="D4307" s="10">
        <v>0.227663228595477</v>
      </c>
      <c r="E4307" s="10">
        <v>-5.0040297021056901</v>
      </c>
      <c r="F4307" s="4">
        <v>5.6144100600491504E-7</v>
      </c>
      <c r="G4307" s="4">
        <v>5.0172460120091603E-6</v>
      </c>
      <c r="H4307" s="10" t="s">
        <v>8627</v>
      </c>
      <c r="I4307" s="10" t="s">
        <v>18</v>
      </c>
    </row>
    <row r="4308" spans="1:9" x14ac:dyDescent="0.2">
      <c r="A4308" s="10" t="s">
        <v>8628</v>
      </c>
      <c r="B4308" s="10">
        <v>4.7348313275275498</v>
      </c>
      <c r="C4308" s="10">
        <v>5.6398842652474501</v>
      </c>
      <c r="D4308" s="10">
        <v>2.05830840027062</v>
      </c>
      <c r="E4308" s="10">
        <v>2.7400579351986001</v>
      </c>
      <c r="F4308" s="10">
        <v>6.1428355245557601E-3</v>
      </c>
      <c r="G4308" s="10">
        <v>2.1109072964758599E-2</v>
      </c>
      <c r="H4308" s="10" t="s">
        <v>8629</v>
      </c>
      <c r="I4308" s="10" t="s">
        <v>18</v>
      </c>
    </row>
    <row r="4309" spans="1:9" x14ac:dyDescent="0.2">
      <c r="A4309" s="10" t="s">
        <v>8630</v>
      </c>
      <c r="B4309" s="10">
        <v>56.114466356048098</v>
      </c>
      <c r="C4309" s="10">
        <v>6.7495633450729002</v>
      </c>
      <c r="D4309" s="10">
        <v>1.11769594411785</v>
      </c>
      <c r="E4309" s="10">
        <v>6.0388188582003304</v>
      </c>
      <c r="F4309" s="4">
        <v>1.55246401949931E-9</v>
      </c>
      <c r="G4309" s="4">
        <v>2.0543947129333499E-8</v>
      </c>
      <c r="H4309" s="10" t="s">
        <v>8631</v>
      </c>
      <c r="I4309" s="10" t="s">
        <v>18</v>
      </c>
    </row>
    <row r="4310" spans="1:9" x14ac:dyDescent="0.2">
      <c r="A4310" s="10" t="s">
        <v>8632</v>
      </c>
      <c r="B4310" s="10">
        <v>165.92054536544501</v>
      </c>
      <c r="C4310" s="10">
        <v>1.26047651405784</v>
      </c>
      <c r="D4310" s="10">
        <v>0.32109856359024203</v>
      </c>
      <c r="E4310" s="10">
        <v>3.9255127770249101</v>
      </c>
      <c r="F4310" s="4">
        <v>8.6545175799122403E-5</v>
      </c>
      <c r="G4310" s="10">
        <v>5.0370423740706102E-4</v>
      </c>
      <c r="H4310" s="10" t="s">
        <v>8633</v>
      </c>
      <c r="I4310" s="10" t="s">
        <v>18</v>
      </c>
    </row>
    <row r="4311" spans="1:9" x14ac:dyDescent="0.2">
      <c r="A4311" s="10" t="s">
        <v>8634</v>
      </c>
      <c r="B4311" s="10">
        <v>17.432522480423501</v>
      </c>
      <c r="C4311" s="10">
        <v>7.5191500160593803</v>
      </c>
      <c r="D4311" s="10">
        <v>1.63757218420544</v>
      </c>
      <c r="E4311" s="10">
        <v>4.5916449293548096</v>
      </c>
      <c r="F4311" s="4">
        <v>4.3976609290345499E-6</v>
      </c>
      <c r="G4311" s="4">
        <v>3.35921130735644E-5</v>
      </c>
      <c r="H4311" s="10" t="s">
        <v>8635</v>
      </c>
      <c r="I4311" s="10" t="s">
        <v>18</v>
      </c>
    </row>
    <row r="4312" spans="1:9" x14ac:dyDescent="0.2">
      <c r="A4312" s="10" t="s">
        <v>8636</v>
      </c>
      <c r="B4312" s="10">
        <v>18.609590798848799</v>
      </c>
      <c r="C4312" s="10">
        <v>-1.94419778788372</v>
      </c>
      <c r="D4312" s="10">
        <v>0.814816179396328</v>
      </c>
      <c r="E4312" s="10">
        <v>-2.3860569255314901</v>
      </c>
      <c r="F4312" s="10">
        <v>1.7030114734245601E-2</v>
      </c>
      <c r="G4312" s="10">
        <v>4.9558852522053901E-2</v>
      </c>
      <c r="H4312" s="10" t="s">
        <v>8637</v>
      </c>
      <c r="I4312" s="10" t="s">
        <v>18</v>
      </c>
    </row>
    <row r="4313" spans="1:9" x14ac:dyDescent="0.2">
      <c r="A4313" s="10" t="s">
        <v>8638</v>
      </c>
      <c r="B4313" s="10">
        <v>365.04313316546097</v>
      </c>
      <c r="C4313" s="10">
        <v>-1.84081440323302</v>
      </c>
      <c r="D4313" s="10">
        <v>0.25554317138370503</v>
      </c>
      <c r="E4313" s="10">
        <v>-7.2035358771883997</v>
      </c>
      <c r="F4313" s="4">
        <v>5.8670834714867802E-13</v>
      </c>
      <c r="G4313" s="4">
        <v>1.19835399810795E-11</v>
      </c>
      <c r="H4313" s="10" t="s">
        <v>8639</v>
      </c>
      <c r="I4313" s="10" t="s">
        <v>18</v>
      </c>
    </row>
    <row r="4314" spans="1:9" x14ac:dyDescent="0.2">
      <c r="A4314" s="10" t="s">
        <v>8640</v>
      </c>
      <c r="B4314" s="10">
        <v>1278.17414008936</v>
      </c>
      <c r="C4314" s="10">
        <v>-1.2802350466478001</v>
      </c>
      <c r="D4314" s="10">
        <v>0.20609719784861399</v>
      </c>
      <c r="E4314" s="10">
        <v>-6.2118022952848904</v>
      </c>
      <c r="F4314" s="4">
        <v>5.2380305305762002E-10</v>
      </c>
      <c r="G4314" s="4">
        <v>7.34915642979452E-9</v>
      </c>
      <c r="H4314" s="10" t="s">
        <v>8641</v>
      </c>
      <c r="I4314" s="10" t="s">
        <v>18</v>
      </c>
    </row>
    <row r="4315" spans="1:9" x14ac:dyDescent="0.2">
      <c r="A4315" s="10" t="s">
        <v>8642</v>
      </c>
      <c r="B4315" s="10">
        <v>691.87998341117395</v>
      </c>
      <c r="C4315" s="10">
        <v>-1.35410485014769</v>
      </c>
      <c r="D4315" s="10">
        <v>0.21856414790284601</v>
      </c>
      <c r="E4315" s="10">
        <v>-6.1954573206105303</v>
      </c>
      <c r="F4315" s="4">
        <v>5.8116039214381502E-10</v>
      </c>
      <c r="G4315" s="4">
        <v>8.1200474753622496E-9</v>
      </c>
      <c r="H4315" s="10" t="s">
        <v>8643</v>
      </c>
      <c r="I4315" s="10" t="s">
        <v>18</v>
      </c>
    </row>
    <row r="4316" spans="1:9" x14ac:dyDescent="0.2">
      <c r="A4316" s="10" t="s">
        <v>8644</v>
      </c>
      <c r="B4316" s="10">
        <v>1357.13556219922</v>
      </c>
      <c r="C4316" s="10">
        <v>-1.1836322135305799</v>
      </c>
      <c r="D4316" s="10">
        <v>0.23226952793979899</v>
      </c>
      <c r="E4316" s="10">
        <v>-5.0959427352750097</v>
      </c>
      <c r="F4316" s="4">
        <v>3.47010018726574E-7</v>
      </c>
      <c r="G4316" s="4">
        <v>3.2159802653887598E-6</v>
      </c>
      <c r="H4316" s="10" t="s">
        <v>8645</v>
      </c>
      <c r="I4316" s="10" t="s">
        <v>18</v>
      </c>
    </row>
    <row r="4317" spans="1:9" x14ac:dyDescent="0.2">
      <c r="A4317" s="10" t="s">
        <v>8646</v>
      </c>
      <c r="B4317" s="10">
        <v>74.530810532447205</v>
      </c>
      <c r="C4317" s="10">
        <v>1.5854681521907701</v>
      </c>
      <c r="D4317" s="10">
        <v>0.43064285939568497</v>
      </c>
      <c r="E4317" s="10">
        <v>3.6816311186852899</v>
      </c>
      <c r="F4317" s="10">
        <v>2.3174655335322101E-4</v>
      </c>
      <c r="G4317" s="10">
        <v>1.21197664860177E-3</v>
      </c>
      <c r="H4317" s="10" t="s">
        <v>8647</v>
      </c>
      <c r="I4317" s="10" t="s">
        <v>18</v>
      </c>
    </row>
    <row r="4318" spans="1:9" x14ac:dyDescent="0.2">
      <c r="A4318" s="10" t="s">
        <v>8648</v>
      </c>
      <c r="B4318" s="10">
        <v>289.09208740892399</v>
      </c>
      <c r="C4318" s="10">
        <v>-1.6627359257309</v>
      </c>
      <c r="D4318" s="10">
        <v>0.25806149912569298</v>
      </c>
      <c r="E4318" s="10">
        <v>-6.4431770386679599</v>
      </c>
      <c r="F4318" s="4">
        <v>1.1699808297982899E-10</v>
      </c>
      <c r="G4318" s="4">
        <v>1.80410116975179E-9</v>
      </c>
      <c r="H4318" s="10" t="s">
        <v>8649</v>
      </c>
      <c r="I4318" s="10" t="s">
        <v>18</v>
      </c>
    </row>
    <row r="4319" spans="1:9" x14ac:dyDescent="0.2">
      <c r="A4319" s="10" t="s">
        <v>8650</v>
      </c>
      <c r="B4319" s="10">
        <v>137.268617146417</v>
      </c>
      <c r="C4319" s="10">
        <v>6.03525292107211</v>
      </c>
      <c r="D4319" s="10">
        <v>0.60317055630561001</v>
      </c>
      <c r="E4319" s="10">
        <v>10.005881185643</v>
      </c>
      <c r="F4319" s="4">
        <v>1.4360743959933E-23</v>
      </c>
      <c r="G4319" s="4">
        <v>7.1927792403730499E-22</v>
      </c>
      <c r="H4319" s="10" t="s">
        <v>8651</v>
      </c>
      <c r="I4319" s="10" t="s">
        <v>18</v>
      </c>
    </row>
    <row r="4320" spans="1:9" x14ac:dyDescent="0.2">
      <c r="A4320" s="10" t="s">
        <v>8652</v>
      </c>
      <c r="B4320" s="10">
        <v>469.573301054203</v>
      </c>
      <c r="C4320" s="10">
        <v>-3.36652398142924</v>
      </c>
      <c r="D4320" s="10">
        <v>0.257632918314465</v>
      </c>
      <c r="E4320" s="10">
        <v>-13.0671344463835</v>
      </c>
      <c r="F4320" s="4">
        <v>5.0741171540855502E-39</v>
      </c>
      <c r="G4320" s="4">
        <v>6.5835461951128103E-37</v>
      </c>
      <c r="H4320" s="10" t="s">
        <v>8653</v>
      </c>
      <c r="I4320" s="10" t="s">
        <v>18</v>
      </c>
    </row>
    <row r="4321" spans="1:9" x14ac:dyDescent="0.2">
      <c r="A4321" s="10" t="s">
        <v>8654</v>
      </c>
      <c r="B4321" s="10">
        <v>1758.81425841655</v>
      </c>
      <c r="C4321" s="10">
        <v>-2.7554131227053502</v>
      </c>
      <c r="D4321" s="10">
        <v>0.23112543963721299</v>
      </c>
      <c r="E4321" s="10">
        <v>-11.9217214990716</v>
      </c>
      <c r="F4321" s="4">
        <v>9.1204269968213303E-33</v>
      </c>
      <c r="G4321" s="4">
        <v>8.3954146750807701E-31</v>
      </c>
      <c r="H4321" s="10" t="s">
        <v>8655</v>
      </c>
      <c r="I4321" s="10" t="s">
        <v>18</v>
      </c>
    </row>
    <row r="4322" spans="1:9" x14ac:dyDescent="0.2">
      <c r="A4322" s="10" t="s">
        <v>8656</v>
      </c>
      <c r="B4322" s="10">
        <v>3421.78431716151</v>
      </c>
      <c r="C4322" s="10">
        <v>-2.9899047778324301</v>
      </c>
      <c r="D4322" s="10">
        <v>0.20588130981028499</v>
      </c>
      <c r="E4322" s="10">
        <v>-14.522468215242901</v>
      </c>
      <c r="F4322" s="4">
        <v>8.7308959553177898E-48</v>
      </c>
      <c r="G4322" s="4">
        <v>1.5965820274801601E-45</v>
      </c>
      <c r="H4322" s="10" t="s">
        <v>8657</v>
      </c>
      <c r="I4322" s="10" t="s">
        <v>18</v>
      </c>
    </row>
    <row r="4323" spans="1:9" x14ac:dyDescent="0.2">
      <c r="A4323" s="10" t="s">
        <v>8658</v>
      </c>
      <c r="B4323" s="10">
        <v>2791.0050745582898</v>
      </c>
      <c r="C4323" s="10">
        <v>-1.15371896134706</v>
      </c>
      <c r="D4323" s="10">
        <v>0.21337507277106599</v>
      </c>
      <c r="E4323" s="10">
        <v>-5.4069997322738503</v>
      </c>
      <c r="F4323" s="4">
        <v>6.4089239157799398E-8</v>
      </c>
      <c r="G4323" s="4">
        <v>6.7318407838572104E-7</v>
      </c>
      <c r="H4323" s="10" t="s">
        <v>8659</v>
      </c>
      <c r="I4323" s="10" t="s">
        <v>18</v>
      </c>
    </row>
    <row r="4324" spans="1:9" x14ac:dyDescent="0.2">
      <c r="A4324" s="10" t="s">
        <v>8660</v>
      </c>
      <c r="B4324" s="10">
        <v>5.02473616598148</v>
      </c>
      <c r="C4324" s="10">
        <v>5.71885726036456</v>
      </c>
      <c r="D4324" s="10">
        <v>2.1090672675445101</v>
      </c>
      <c r="E4324" s="10">
        <v>2.7115575441189099</v>
      </c>
      <c r="F4324" s="10">
        <v>6.6967916136550197E-3</v>
      </c>
      <c r="G4324" s="10">
        <v>2.2717564877646701E-2</v>
      </c>
      <c r="H4324" s="10" t="s">
        <v>8661</v>
      </c>
      <c r="I4324" s="10" t="s">
        <v>18</v>
      </c>
    </row>
    <row r="4325" spans="1:9" x14ac:dyDescent="0.2">
      <c r="A4325" s="10" t="s">
        <v>8662</v>
      </c>
      <c r="B4325" s="10">
        <v>11.891435476029001</v>
      </c>
      <c r="C4325" s="10">
        <v>6.9678167871360097</v>
      </c>
      <c r="D4325" s="10">
        <v>1.7165703261951999</v>
      </c>
      <c r="E4325" s="10">
        <v>4.0591502024739397</v>
      </c>
      <c r="F4325" s="4">
        <v>4.92516267596019E-5</v>
      </c>
      <c r="G4325" s="10">
        <v>3.0251557130722998E-4</v>
      </c>
      <c r="H4325" s="10" t="s">
        <v>8663</v>
      </c>
      <c r="I4325" s="10" t="s">
        <v>18</v>
      </c>
    </row>
    <row r="4326" spans="1:9" x14ac:dyDescent="0.2">
      <c r="A4326" s="10" t="s">
        <v>8664</v>
      </c>
      <c r="B4326" s="10">
        <v>2679.2986240134001</v>
      </c>
      <c r="C4326" s="10">
        <v>1.0523995260093399</v>
      </c>
      <c r="D4326" s="10">
        <v>0.185574333439921</v>
      </c>
      <c r="E4326" s="10">
        <v>5.6710403130724396</v>
      </c>
      <c r="F4326" s="4">
        <v>1.4193299196032899E-8</v>
      </c>
      <c r="G4326" s="4">
        <v>1.65267018459106E-7</v>
      </c>
      <c r="H4326" s="10" t="s">
        <v>8665</v>
      </c>
      <c r="I4326" s="10" t="s">
        <v>18</v>
      </c>
    </row>
    <row r="4327" spans="1:9" x14ac:dyDescent="0.2">
      <c r="A4327" s="10" t="s">
        <v>8666</v>
      </c>
      <c r="B4327" s="10">
        <v>889.13753014874703</v>
      </c>
      <c r="C4327" s="10">
        <v>1.03479330166434</v>
      </c>
      <c r="D4327" s="10">
        <v>0.200506477059848</v>
      </c>
      <c r="E4327" s="10">
        <v>5.1608971283030796</v>
      </c>
      <c r="F4327" s="4">
        <v>2.4576921154328E-7</v>
      </c>
      <c r="G4327" s="4">
        <v>2.3332660999720399E-6</v>
      </c>
      <c r="H4327" s="10" t="s">
        <v>8667</v>
      </c>
      <c r="I4327" s="10" t="s">
        <v>18</v>
      </c>
    </row>
    <row r="4328" spans="1:9" x14ac:dyDescent="0.2">
      <c r="A4328" s="10" t="s">
        <v>8668</v>
      </c>
      <c r="B4328" s="10">
        <v>271.31955580256903</v>
      </c>
      <c r="C4328" s="10">
        <v>-1.46173112088902</v>
      </c>
      <c r="D4328" s="10">
        <v>0.322393232852137</v>
      </c>
      <c r="E4328" s="10">
        <v>-4.5340006300921099</v>
      </c>
      <c r="F4328" s="4">
        <v>5.7876855993370001E-6</v>
      </c>
      <c r="G4328" s="4">
        <v>4.31455730574926E-5</v>
      </c>
      <c r="H4328" s="10" t="s">
        <v>8669</v>
      </c>
      <c r="I4328" s="10" t="s">
        <v>18</v>
      </c>
    </row>
    <row r="4329" spans="1:9" x14ac:dyDescent="0.2">
      <c r="A4329" s="10" t="s">
        <v>8670</v>
      </c>
      <c r="B4329" s="10">
        <v>20.763096244962</v>
      </c>
      <c r="C4329" s="10">
        <v>2.2428347275362799</v>
      </c>
      <c r="D4329" s="10">
        <v>0.785781523187841</v>
      </c>
      <c r="E4329" s="10">
        <v>2.85427267166745</v>
      </c>
      <c r="F4329" s="10">
        <v>4.3135490707124496E-3</v>
      </c>
      <c r="G4329" s="10">
        <v>1.5625002862231101E-2</v>
      </c>
      <c r="H4329" s="10" t="s">
        <v>8671</v>
      </c>
      <c r="I4329" s="10" t="s">
        <v>18</v>
      </c>
    </row>
    <row r="4330" spans="1:9" x14ac:dyDescent="0.2">
      <c r="A4330" s="10" t="s">
        <v>8672</v>
      </c>
      <c r="B4330" s="10">
        <v>14.355333452502901</v>
      </c>
      <c r="C4330" s="10">
        <v>5.7678251611042501</v>
      </c>
      <c r="D4330" s="10">
        <v>1.6625335699484001</v>
      </c>
      <c r="E4330" s="10">
        <v>3.4692984643210898</v>
      </c>
      <c r="F4330" s="10">
        <v>5.2181940297988598E-4</v>
      </c>
      <c r="G4330" s="10">
        <v>2.4900198376520098E-3</v>
      </c>
      <c r="H4330" s="10" t="s">
        <v>8673</v>
      </c>
      <c r="I4330" s="10" t="s">
        <v>18</v>
      </c>
    </row>
    <row r="4331" spans="1:9" x14ac:dyDescent="0.2">
      <c r="A4331" s="10" t="s">
        <v>8674</v>
      </c>
      <c r="B4331" s="10">
        <v>380.47470543117998</v>
      </c>
      <c r="C4331" s="10">
        <v>4.8971286483266603</v>
      </c>
      <c r="D4331" s="10">
        <v>0.33980893765332898</v>
      </c>
      <c r="E4331" s="10">
        <v>14.4114180225674</v>
      </c>
      <c r="F4331" s="4">
        <v>4.3861165873669602E-47</v>
      </c>
      <c r="G4331" s="4">
        <v>7.7602934192199705E-45</v>
      </c>
      <c r="H4331" s="10" t="s">
        <v>8675</v>
      </c>
      <c r="I4331" s="10" t="s">
        <v>18</v>
      </c>
    </row>
    <row r="4332" spans="1:9" x14ac:dyDescent="0.2">
      <c r="A4332" s="10" t="s">
        <v>8676</v>
      </c>
      <c r="B4332" s="10">
        <v>591.83892589081995</v>
      </c>
      <c r="C4332" s="10">
        <v>-1.52305232747811</v>
      </c>
      <c r="D4332" s="10">
        <v>0.224664651722704</v>
      </c>
      <c r="E4332" s="10">
        <v>-6.7792254624815804</v>
      </c>
      <c r="F4332" s="4">
        <v>1.2082185225332101E-11</v>
      </c>
      <c r="G4332" s="4">
        <v>2.1120045619134999E-10</v>
      </c>
      <c r="H4332" s="10" t="s">
        <v>8677</v>
      </c>
      <c r="I4332" s="10" t="s">
        <v>18</v>
      </c>
    </row>
    <row r="4333" spans="1:9" x14ac:dyDescent="0.2">
      <c r="A4333" s="10" t="s">
        <v>8678</v>
      </c>
      <c r="B4333" s="10">
        <v>836.29693489433203</v>
      </c>
      <c r="C4333" s="10">
        <v>-1.5066061698379201</v>
      </c>
      <c r="D4333" s="10">
        <v>0.23802704427404101</v>
      </c>
      <c r="E4333" s="10">
        <v>-6.3295587878802699</v>
      </c>
      <c r="F4333" s="4">
        <v>2.45863208580725E-10</v>
      </c>
      <c r="G4333" s="4">
        <v>3.6016316366661399E-9</v>
      </c>
      <c r="H4333" s="10" t="s">
        <v>8679</v>
      </c>
      <c r="I4333" s="10" t="s">
        <v>18</v>
      </c>
    </row>
    <row r="4334" spans="1:9" x14ac:dyDescent="0.2">
      <c r="A4334" s="10" t="s">
        <v>8680</v>
      </c>
      <c r="B4334" s="10">
        <v>47.7142471795134</v>
      </c>
      <c r="C4334" s="10">
        <v>5.1736017501450897</v>
      </c>
      <c r="D4334" s="10">
        <v>0.81385609717215002</v>
      </c>
      <c r="E4334" s="10">
        <v>6.3568999091134799</v>
      </c>
      <c r="F4334" s="4">
        <v>2.0586603414468501E-10</v>
      </c>
      <c r="G4334" s="4">
        <v>3.05181274882494E-9</v>
      </c>
      <c r="H4334" s="10" t="s">
        <v>8681</v>
      </c>
      <c r="I4334" s="10" t="s">
        <v>18</v>
      </c>
    </row>
    <row r="4335" spans="1:9" x14ac:dyDescent="0.2">
      <c r="A4335" s="10" t="s">
        <v>8682</v>
      </c>
      <c r="B4335" s="10">
        <v>151.67988578973899</v>
      </c>
      <c r="C4335" s="10">
        <v>-2.3003813424286399</v>
      </c>
      <c r="D4335" s="10">
        <v>0.339417159217481</v>
      </c>
      <c r="E4335" s="10">
        <v>-6.77744562983239</v>
      </c>
      <c r="F4335" s="4">
        <v>1.2231915970694701E-11</v>
      </c>
      <c r="G4335" s="4">
        <v>2.1350609510155001E-10</v>
      </c>
      <c r="H4335" s="10" t="s">
        <v>8683</v>
      </c>
      <c r="I4335" s="10" t="s">
        <v>18</v>
      </c>
    </row>
    <row r="4336" spans="1:9" x14ac:dyDescent="0.2">
      <c r="A4336" s="10" t="s">
        <v>8684</v>
      </c>
      <c r="B4336" s="10">
        <v>5090.1393887084396</v>
      </c>
      <c r="C4336" s="10">
        <v>3.1955105719512198</v>
      </c>
      <c r="D4336" s="10">
        <v>0.206834561268052</v>
      </c>
      <c r="E4336" s="10">
        <v>15.449596780926401</v>
      </c>
      <c r="F4336" s="4">
        <v>7.5916873856350105E-54</v>
      </c>
      <c r="G4336" s="4">
        <v>1.76795475381536E-51</v>
      </c>
      <c r="H4336" s="10" t="s">
        <v>8685</v>
      </c>
      <c r="I4336" s="10" t="s">
        <v>18</v>
      </c>
    </row>
    <row r="4337" spans="1:9" x14ac:dyDescent="0.2">
      <c r="A4337" s="10" t="s">
        <v>8686</v>
      </c>
      <c r="B4337" s="10">
        <v>1851.7004165671799</v>
      </c>
      <c r="C4337" s="10">
        <v>2.3043600271815898</v>
      </c>
      <c r="D4337" s="10">
        <v>0.21032401034995499</v>
      </c>
      <c r="E4337" s="10">
        <v>10.9562385357116</v>
      </c>
      <c r="F4337" s="4">
        <v>6.2024039460229701E-28</v>
      </c>
      <c r="G4337" s="4">
        <v>4.1624852294898502E-26</v>
      </c>
      <c r="H4337" s="10" t="s">
        <v>8687</v>
      </c>
      <c r="I4337" s="10" t="s">
        <v>18</v>
      </c>
    </row>
    <row r="4338" spans="1:9" x14ac:dyDescent="0.2">
      <c r="A4338" s="10" t="s">
        <v>8688</v>
      </c>
      <c r="B4338" s="10">
        <v>5050.3623696217001</v>
      </c>
      <c r="C4338" s="10">
        <v>-1.71372455245913</v>
      </c>
      <c r="D4338" s="10">
        <v>0.20163781917677101</v>
      </c>
      <c r="E4338" s="10">
        <v>-8.4990234443903905</v>
      </c>
      <c r="F4338" s="4">
        <v>1.91192290832489E-17</v>
      </c>
      <c r="G4338" s="4">
        <v>5.9332760231353296E-16</v>
      </c>
      <c r="H4338" s="10" t="s">
        <v>8689</v>
      </c>
      <c r="I4338" s="10" t="s">
        <v>18</v>
      </c>
    </row>
    <row r="4339" spans="1:9" x14ac:dyDescent="0.2">
      <c r="A4339" s="10" t="s">
        <v>8690</v>
      </c>
      <c r="B4339" s="10">
        <v>13.7014554982373</v>
      </c>
      <c r="C4339" s="10">
        <v>-2.90682317966376</v>
      </c>
      <c r="D4339" s="10">
        <v>1.0356494187386101</v>
      </c>
      <c r="E4339" s="10">
        <v>-2.8067636857308198</v>
      </c>
      <c r="F4339" s="10">
        <v>5.0041937541971402E-3</v>
      </c>
      <c r="G4339" s="10">
        <v>1.7730723955866001E-2</v>
      </c>
      <c r="H4339" s="10" t="s">
        <v>8691</v>
      </c>
      <c r="I4339" s="10" t="s">
        <v>18</v>
      </c>
    </row>
    <row r="4340" spans="1:9" x14ac:dyDescent="0.2">
      <c r="A4340" s="10" t="s">
        <v>8692</v>
      </c>
      <c r="B4340" s="10">
        <v>454.96748808128302</v>
      </c>
      <c r="C4340" s="10">
        <v>-1.27802365891478</v>
      </c>
      <c r="D4340" s="10">
        <v>0.266491307751274</v>
      </c>
      <c r="E4340" s="10">
        <v>-4.7957423816149802</v>
      </c>
      <c r="F4340" s="4">
        <v>1.62073463722023E-6</v>
      </c>
      <c r="G4340" s="4">
        <v>1.33737603453481E-5</v>
      </c>
      <c r="H4340" s="10" t="s">
        <v>8693</v>
      </c>
      <c r="I4340" s="10" t="s">
        <v>18</v>
      </c>
    </row>
    <row r="4341" spans="1:9" x14ac:dyDescent="0.2">
      <c r="A4341" s="10" t="s">
        <v>8694</v>
      </c>
      <c r="B4341" s="10">
        <v>33.207093303964101</v>
      </c>
      <c r="C4341" s="10">
        <v>1.47539088303191</v>
      </c>
      <c r="D4341" s="10">
        <v>0.61134694649879695</v>
      </c>
      <c r="E4341" s="10">
        <v>2.4133446506628098</v>
      </c>
      <c r="F4341" s="10">
        <v>1.5806864660697899E-2</v>
      </c>
      <c r="G4341" s="10">
        <v>4.65358877806629E-2</v>
      </c>
      <c r="H4341" s="10" t="s">
        <v>8695</v>
      </c>
      <c r="I4341" s="10" t="s">
        <v>18</v>
      </c>
    </row>
    <row r="4342" spans="1:9" x14ac:dyDescent="0.2">
      <c r="A4342" s="10" t="s">
        <v>8696</v>
      </c>
      <c r="B4342" s="10">
        <v>516.22089014759797</v>
      </c>
      <c r="C4342" s="10">
        <v>-1.91425816833439</v>
      </c>
      <c r="D4342" s="10">
        <v>0.26899234836111002</v>
      </c>
      <c r="E4342" s="10">
        <v>-7.1164037936297797</v>
      </c>
      <c r="F4342" s="4">
        <v>1.10779437973014E-12</v>
      </c>
      <c r="G4342" s="4">
        <v>2.17621293904161E-11</v>
      </c>
      <c r="H4342" s="10" t="s">
        <v>8697</v>
      </c>
      <c r="I4342" s="10" t="s">
        <v>18</v>
      </c>
    </row>
    <row r="4343" spans="1:9" x14ac:dyDescent="0.2">
      <c r="A4343" s="10" t="s">
        <v>8698</v>
      </c>
      <c r="B4343" s="10">
        <v>62.577704450307401</v>
      </c>
      <c r="C4343" s="10">
        <v>1.6711715214568901</v>
      </c>
      <c r="D4343" s="10">
        <v>0.466462151909596</v>
      </c>
      <c r="E4343" s="10">
        <v>3.5826519142345798</v>
      </c>
      <c r="F4343" s="10">
        <v>3.4012369832215998E-4</v>
      </c>
      <c r="G4343" s="10">
        <v>1.7037854491406699E-3</v>
      </c>
      <c r="H4343" s="10" t="s">
        <v>8699</v>
      </c>
      <c r="I4343" s="10" t="s">
        <v>18</v>
      </c>
    </row>
    <row r="4344" spans="1:9" x14ac:dyDescent="0.2">
      <c r="A4344" s="10" t="s">
        <v>8700</v>
      </c>
      <c r="B4344" s="10">
        <v>61.116504047826403</v>
      </c>
      <c r="C4344" s="10">
        <v>1.1354585445649501</v>
      </c>
      <c r="D4344" s="10">
        <v>0.46344221544953201</v>
      </c>
      <c r="E4344" s="10">
        <v>2.4500541959984701</v>
      </c>
      <c r="F4344" s="10">
        <v>1.42834714028338E-2</v>
      </c>
      <c r="G4344" s="10">
        <v>4.2814273411772602E-2</v>
      </c>
      <c r="H4344" s="10" t="s">
        <v>8701</v>
      </c>
      <c r="I4344" s="10" t="s">
        <v>18</v>
      </c>
    </row>
    <row r="4345" spans="1:9" x14ac:dyDescent="0.2">
      <c r="A4345" s="10" t="s">
        <v>8702</v>
      </c>
      <c r="B4345" s="10">
        <v>2591.87734553359</v>
      </c>
      <c r="C4345" s="10">
        <v>-1.0829855988833901</v>
      </c>
      <c r="D4345" s="10">
        <v>0.19960874682688101</v>
      </c>
      <c r="E4345" s="10">
        <v>-5.4255417966360797</v>
      </c>
      <c r="F4345" s="4">
        <v>5.7779006852283598E-8</v>
      </c>
      <c r="G4345" s="4">
        <v>6.1185565476259995E-7</v>
      </c>
      <c r="H4345" s="10" t="s">
        <v>8703</v>
      </c>
      <c r="I4345" s="10" t="s">
        <v>18</v>
      </c>
    </row>
    <row r="4346" spans="1:9" x14ac:dyDescent="0.2">
      <c r="A4346" s="10" t="s">
        <v>8704</v>
      </c>
      <c r="B4346" s="10">
        <v>20.467136456852302</v>
      </c>
      <c r="C4346" s="10">
        <v>2.4836470019513701</v>
      </c>
      <c r="D4346" s="10">
        <v>0.80610488310599504</v>
      </c>
      <c r="E4346" s="10">
        <v>3.0810469629977399</v>
      </c>
      <c r="F4346" s="10">
        <v>2.0627411156304001E-3</v>
      </c>
      <c r="G4346" s="10">
        <v>8.2770782332597E-3</v>
      </c>
      <c r="H4346" s="10" t="s">
        <v>8705</v>
      </c>
      <c r="I4346" s="10" t="s">
        <v>18</v>
      </c>
    </row>
    <row r="4347" spans="1:9" x14ac:dyDescent="0.2">
      <c r="A4347" s="10" t="s">
        <v>8706</v>
      </c>
      <c r="B4347" s="10">
        <v>422.92597303134698</v>
      </c>
      <c r="C4347" s="10">
        <v>1.5781466019936099</v>
      </c>
      <c r="D4347" s="10">
        <v>0.23260403210220601</v>
      </c>
      <c r="E4347" s="10">
        <v>6.7846915108512498</v>
      </c>
      <c r="F4347" s="4">
        <v>1.1633482199648199E-11</v>
      </c>
      <c r="G4347" s="4">
        <v>2.0371303952044601E-10</v>
      </c>
      <c r="H4347" s="10" t="s">
        <v>8707</v>
      </c>
      <c r="I4347" s="10" t="s">
        <v>18</v>
      </c>
    </row>
    <row r="4348" spans="1:9" x14ac:dyDescent="0.2">
      <c r="A4348" s="10" t="s">
        <v>8708</v>
      </c>
      <c r="B4348" s="10">
        <v>1950.93472706272</v>
      </c>
      <c r="C4348" s="10">
        <v>-1.6602149827141901</v>
      </c>
      <c r="D4348" s="10">
        <v>0.25025335095687101</v>
      </c>
      <c r="E4348" s="10">
        <v>-6.6341368711594804</v>
      </c>
      <c r="F4348" s="4">
        <v>3.2640684651646402E-11</v>
      </c>
      <c r="G4348" s="4">
        <v>5.4395151969627501E-10</v>
      </c>
      <c r="H4348" s="10" t="s">
        <v>8709</v>
      </c>
      <c r="I4348" s="10" t="s">
        <v>18</v>
      </c>
    </row>
    <row r="4349" spans="1:9" x14ac:dyDescent="0.2">
      <c r="A4349" s="10" t="s">
        <v>8710</v>
      </c>
      <c r="B4349" s="10">
        <v>59.486033536319901</v>
      </c>
      <c r="C4349" s="10">
        <v>1.3800267370356101</v>
      </c>
      <c r="D4349" s="10">
        <v>0.46240906980001201</v>
      </c>
      <c r="E4349" s="10">
        <v>2.98442834962658</v>
      </c>
      <c r="F4349" s="10">
        <v>2.8410873215334999E-3</v>
      </c>
      <c r="G4349" s="10">
        <v>1.09137327294266E-2</v>
      </c>
      <c r="H4349" s="10" t="s">
        <v>8711</v>
      </c>
      <c r="I4349" s="10" t="s">
        <v>18</v>
      </c>
    </row>
    <row r="4350" spans="1:9" x14ac:dyDescent="0.2">
      <c r="A4350" s="10" t="s">
        <v>8712</v>
      </c>
      <c r="B4350" s="10">
        <v>78.363546569609994</v>
      </c>
      <c r="C4350" s="10">
        <v>-2.2124660175458599</v>
      </c>
      <c r="D4350" s="10">
        <v>0.428537373386908</v>
      </c>
      <c r="E4350" s="10">
        <v>-5.1628309569824102</v>
      </c>
      <c r="F4350" s="4">
        <v>2.4324278767137001E-7</v>
      </c>
      <c r="G4350" s="4">
        <v>2.3133110770268101E-6</v>
      </c>
      <c r="H4350" s="10" t="s">
        <v>8713</v>
      </c>
      <c r="I4350" s="10" t="s">
        <v>18</v>
      </c>
    </row>
    <row r="4351" spans="1:9" x14ac:dyDescent="0.2">
      <c r="A4351" s="10" t="s">
        <v>8714</v>
      </c>
      <c r="B4351" s="10">
        <v>31.907710530948201</v>
      </c>
      <c r="C4351" s="10">
        <v>-2.2276301954331501</v>
      </c>
      <c r="D4351" s="10">
        <v>0.64511904728056302</v>
      </c>
      <c r="E4351" s="10">
        <v>-3.4530528974822801</v>
      </c>
      <c r="F4351" s="10">
        <v>5.5428029934498596E-4</v>
      </c>
      <c r="G4351" s="10">
        <v>2.6246915739055999E-3</v>
      </c>
      <c r="H4351" s="10" t="s">
        <v>8715</v>
      </c>
      <c r="I4351" s="10" t="s">
        <v>18</v>
      </c>
    </row>
    <row r="4352" spans="1:9" x14ac:dyDescent="0.2">
      <c r="A4352" s="10" t="s">
        <v>8716</v>
      </c>
      <c r="B4352" s="10">
        <v>49.164693557902602</v>
      </c>
      <c r="C4352" s="10">
        <v>-1.4235354731854899</v>
      </c>
      <c r="D4352" s="10">
        <v>0.53622786764382602</v>
      </c>
      <c r="E4352" s="10">
        <v>-2.6547211718788</v>
      </c>
      <c r="F4352" s="10">
        <v>7.9373986966310203E-3</v>
      </c>
      <c r="G4352" s="10">
        <v>2.62114428360843E-2</v>
      </c>
      <c r="H4352" s="10" t="s">
        <v>8717</v>
      </c>
      <c r="I4352" s="10" t="s">
        <v>18</v>
      </c>
    </row>
    <row r="4353" spans="1:9" x14ac:dyDescent="0.2">
      <c r="A4353" s="10" t="s">
        <v>8718</v>
      </c>
      <c r="B4353" s="10">
        <v>59.532452769338498</v>
      </c>
      <c r="C4353" s="10">
        <v>1.4725764987283401</v>
      </c>
      <c r="D4353" s="10">
        <v>0.46862981002603399</v>
      </c>
      <c r="E4353" s="10">
        <v>3.1423022334975399</v>
      </c>
      <c r="F4353" s="10">
        <v>1.6762490947231699E-3</v>
      </c>
      <c r="G4353" s="10">
        <v>6.9348252480902102E-3</v>
      </c>
      <c r="H4353" s="10" t="s">
        <v>8719</v>
      </c>
      <c r="I4353" s="10" t="s">
        <v>18</v>
      </c>
    </row>
    <row r="4354" spans="1:9" x14ac:dyDescent="0.2">
      <c r="A4354" s="10" t="s">
        <v>8720</v>
      </c>
      <c r="B4354" s="10">
        <v>4.2939624891008599</v>
      </c>
      <c r="C4354" s="10">
        <v>5.4978614945687996</v>
      </c>
      <c r="D4354" s="10">
        <v>2.1119244238519399</v>
      </c>
      <c r="E4354" s="10">
        <v>2.6032472717661199</v>
      </c>
      <c r="F4354" s="10">
        <v>9.2345323669644607E-3</v>
      </c>
      <c r="G4354" s="10">
        <v>2.9695893237658502E-2</v>
      </c>
      <c r="H4354" s="10" t="s">
        <v>8721</v>
      </c>
      <c r="I4354" s="10" t="s">
        <v>18</v>
      </c>
    </row>
    <row r="4355" spans="1:9" x14ac:dyDescent="0.2">
      <c r="A4355" s="10" t="s">
        <v>8722</v>
      </c>
      <c r="B4355" s="10">
        <v>20.3523671927762</v>
      </c>
      <c r="C4355" s="10">
        <v>2.7780035223173001</v>
      </c>
      <c r="D4355" s="10">
        <v>0.83594473985867601</v>
      </c>
      <c r="E4355" s="10">
        <v>3.3231903855115399</v>
      </c>
      <c r="F4355" s="10">
        <v>8.8994153402194298E-4</v>
      </c>
      <c r="G4355" s="10">
        <v>3.9803409352422697E-3</v>
      </c>
      <c r="H4355" s="10" t="s">
        <v>8723</v>
      </c>
      <c r="I4355" s="10" t="s">
        <v>18</v>
      </c>
    </row>
    <row r="4356" spans="1:9" x14ac:dyDescent="0.2">
      <c r="A4356" s="10" t="s">
        <v>8724</v>
      </c>
      <c r="B4356" s="10">
        <v>2286.9264810920399</v>
      </c>
      <c r="C4356" s="10">
        <v>-1.4620139567002499</v>
      </c>
      <c r="D4356" s="10">
        <v>0.194491721654864</v>
      </c>
      <c r="E4356" s="10">
        <v>-7.5171012126401804</v>
      </c>
      <c r="F4356" s="4">
        <v>5.6004062023046901E-14</v>
      </c>
      <c r="G4356" s="4">
        <v>1.27480591306763E-12</v>
      </c>
      <c r="H4356" s="10" t="s">
        <v>8725</v>
      </c>
      <c r="I4356" s="10" t="s">
        <v>18</v>
      </c>
    </row>
    <row r="4357" spans="1:9" x14ac:dyDescent="0.2">
      <c r="A4357" s="10" t="s">
        <v>8726</v>
      </c>
      <c r="B4357" s="10">
        <v>6401.4864363903198</v>
      </c>
      <c r="C4357" s="10">
        <v>-1.4594080794717601</v>
      </c>
      <c r="D4357" s="10">
        <v>0.176523786718735</v>
      </c>
      <c r="E4357" s="10">
        <v>-8.2674868163637996</v>
      </c>
      <c r="F4357" s="4">
        <v>1.36812365517158E-16</v>
      </c>
      <c r="G4357" s="4">
        <v>3.9446841515830798E-15</v>
      </c>
      <c r="H4357" s="10" t="s">
        <v>8727</v>
      </c>
      <c r="I4357" s="10" t="s">
        <v>18</v>
      </c>
    </row>
    <row r="4358" spans="1:9" x14ac:dyDescent="0.2">
      <c r="A4358" s="10" t="s">
        <v>8728</v>
      </c>
      <c r="B4358" s="10">
        <v>2696.3727978422398</v>
      </c>
      <c r="C4358" s="10">
        <v>-1.25830968460876</v>
      </c>
      <c r="D4358" s="10">
        <v>0.19943538809757999</v>
      </c>
      <c r="E4358" s="10">
        <v>-6.3093601221518698</v>
      </c>
      <c r="F4358" s="4">
        <v>2.8019146826703002E-10</v>
      </c>
      <c r="G4358" s="4">
        <v>4.0760154489438098E-9</v>
      </c>
      <c r="H4358" s="10" t="s">
        <v>8729</v>
      </c>
      <c r="I4358" s="10" t="s">
        <v>18</v>
      </c>
    </row>
    <row r="4359" spans="1:9" x14ac:dyDescent="0.2">
      <c r="A4359" s="10" t="s">
        <v>8730</v>
      </c>
      <c r="B4359" s="10">
        <v>4.0735280698875203</v>
      </c>
      <c r="C4359" s="10">
        <v>5.4212402584095702</v>
      </c>
      <c r="D4359" s="10">
        <v>2.1434463209324499</v>
      </c>
      <c r="E4359" s="10">
        <v>2.52921671304146</v>
      </c>
      <c r="F4359" s="10">
        <v>1.1431741709104999E-2</v>
      </c>
      <c r="G4359" s="10">
        <v>3.5553095120189997E-2</v>
      </c>
      <c r="H4359" s="10" t="s">
        <v>8731</v>
      </c>
      <c r="I4359" s="10" t="s">
        <v>18</v>
      </c>
    </row>
    <row r="4360" spans="1:9" x14ac:dyDescent="0.2">
      <c r="A4360" s="10" t="s">
        <v>8732</v>
      </c>
      <c r="B4360" s="10">
        <v>274.05662423364402</v>
      </c>
      <c r="C4360" s="10">
        <v>1.6209598270990699</v>
      </c>
      <c r="D4360" s="10">
        <v>0.28249720175808801</v>
      </c>
      <c r="E4360" s="10">
        <v>5.7379677285694202</v>
      </c>
      <c r="F4360" s="4">
        <v>9.5819367766848597E-9</v>
      </c>
      <c r="G4360" s="4">
        <v>1.1395854707740399E-7</v>
      </c>
      <c r="H4360" s="10" t="s">
        <v>8733</v>
      </c>
      <c r="I4360" s="10" t="s">
        <v>18</v>
      </c>
    </row>
    <row r="4361" spans="1:9" x14ac:dyDescent="0.2">
      <c r="A4361" s="10" t="s">
        <v>8734</v>
      </c>
      <c r="B4361" s="10">
        <v>72.046587186351502</v>
      </c>
      <c r="C4361" s="10">
        <v>3.6216993052040198</v>
      </c>
      <c r="D4361" s="10">
        <v>0.52065663178055099</v>
      </c>
      <c r="E4361" s="10">
        <v>6.95602261478638</v>
      </c>
      <c r="F4361" s="4">
        <v>3.50013700314251E-12</v>
      </c>
      <c r="G4361" s="4">
        <v>6.4744217871435201E-11</v>
      </c>
      <c r="H4361" s="10" t="s">
        <v>8735</v>
      </c>
      <c r="I4361" s="10" t="s">
        <v>18</v>
      </c>
    </row>
    <row r="4362" spans="1:9" x14ac:dyDescent="0.2">
      <c r="A4362" s="10" t="s">
        <v>8736</v>
      </c>
      <c r="B4362" s="10">
        <v>1996.0645686400401</v>
      </c>
      <c r="C4362" s="10">
        <v>1.1304035274437301</v>
      </c>
      <c r="D4362" s="10">
        <v>0.209664302026566</v>
      </c>
      <c r="E4362" s="10">
        <v>5.3914925741650501</v>
      </c>
      <c r="F4362" s="4">
        <v>6.9874847290247694E-8</v>
      </c>
      <c r="G4362" s="4">
        <v>7.2945592494918804E-7</v>
      </c>
      <c r="H4362" s="10" t="s">
        <v>8737</v>
      </c>
      <c r="I4362" s="10" t="s">
        <v>18</v>
      </c>
    </row>
    <row r="4363" spans="1:9" x14ac:dyDescent="0.2">
      <c r="A4363" s="10" t="s">
        <v>8738</v>
      </c>
      <c r="B4363" s="10">
        <v>60.854953397052498</v>
      </c>
      <c r="C4363" s="10">
        <v>-3.0791895089365799</v>
      </c>
      <c r="D4363" s="10">
        <v>0.52477104709131395</v>
      </c>
      <c r="E4363" s="10">
        <v>-5.86768177475457</v>
      </c>
      <c r="F4363" s="4">
        <v>4.4193039711437E-9</v>
      </c>
      <c r="G4363" s="4">
        <v>5.52098923896159E-8</v>
      </c>
      <c r="H4363" s="10" t="s">
        <v>8739</v>
      </c>
      <c r="I4363" s="10" t="s">
        <v>18</v>
      </c>
    </row>
    <row r="4364" spans="1:9" x14ac:dyDescent="0.2">
      <c r="A4364" s="10" t="s">
        <v>8740</v>
      </c>
      <c r="B4364" s="10">
        <v>101.643703710227</v>
      </c>
      <c r="C4364" s="10">
        <v>2.2381369630303798</v>
      </c>
      <c r="D4364" s="10">
        <v>0.41402129558953299</v>
      </c>
      <c r="E4364" s="10">
        <v>5.4058498605571801</v>
      </c>
      <c r="F4364" s="4">
        <v>6.4501811631968298E-8</v>
      </c>
      <c r="G4364" s="4">
        <v>6.7725659404094096E-7</v>
      </c>
      <c r="H4364" s="10" t="s">
        <v>8741</v>
      </c>
      <c r="I4364" s="10" t="s">
        <v>18</v>
      </c>
    </row>
    <row r="4365" spans="1:9" x14ac:dyDescent="0.2">
      <c r="A4365" s="10" t="s">
        <v>8742</v>
      </c>
      <c r="B4365" s="10">
        <v>2120.3143688181799</v>
      </c>
      <c r="C4365" s="10">
        <v>-1.1054657467574001</v>
      </c>
      <c r="D4365" s="10">
        <v>0.200555473999567</v>
      </c>
      <c r="E4365" s="10">
        <v>-5.51201981532442</v>
      </c>
      <c r="F4365" s="4">
        <v>3.5473897079529598E-8</v>
      </c>
      <c r="G4365" s="4">
        <v>3.88643857549635E-7</v>
      </c>
      <c r="H4365" s="10" t="s">
        <v>8743</v>
      </c>
      <c r="I4365" s="10" t="s">
        <v>18</v>
      </c>
    </row>
    <row r="4366" spans="1:9" x14ac:dyDescent="0.2">
      <c r="A4366" s="10" t="s">
        <v>8744</v>
      </c>
      <c r="B4366" s="10">
        <v>1106.23137559834</v>
      </c>
      <c r="C4366" s="10">
        <v>1.72191732353613</v>
      </c>
      <c r="D4366" s="10">
        <v>0.19934747766906599</v>
      </c>
      <c r="E4366" s="10">
        <v>8.6377683012105404</v>
      </c>
      <c r="F4366" s="4">
        <v>5.7321722034030798E-18</v>
      </c>
      <c r="G4366" s="4">
        <v>1.84833723107839E-16</v>
      </c>
      <c r="H4366" s="10" t="s">
        <v>8745</v>
      </c>
      <c r="I4366" s="10" t="s">
        <v>18</v>
      </c>
    </row>
    <row r="4367" spans="1:9" x14ac:dyDescent="0.2">
      <c r="A4367" s="10" t="s">
        <v>8746</v>
      </c>
      <c r="B4367" s="10">
        <v>4.6623551179140703</v>
      </c>
      <c r="C4367" s="10">
        <v>5.61968301665675</v>
      </c>
      <c r="D4367" s="10">
        <v>2.07268783865596</v>
      </c>
      <c r="E4367" s="10">
        <v>2.7113021613041601</v>
      </c>
      <c r="F4367" s="10">
        <v>6.7019521803354997E-3</v>
      </c>
      <c r="G4367" s="10">
        <v>2.27181004052751E-2</v>
      </c>
      <c r="H4367" s="10" t="s">
        <v>8747</v>
      </c>
      <c r="I4367" s="10" t="s">
        <v>18</v>
      </c>
    </row>
    <row r="4368" spans="1:9" x14ac:dyDescent="0.2">
      <c r="A4368" s="10" t="s">
        <v>8748</v>
      </c>
      <c r="B4368" s="10">
        <v>273.66497072086702</v>
      </c>
      <c r="C4368" s="10">
        <v>-1.1835166780889199</v>
      </c>
      <c r="D4368" s="10">
        <v>0.26110690983763202</v>
      </c>
      <c r="E4368" s="10">
        <v>-4.5326899959288296</v>
      </c>
      <c r="F4368" s="4">
        <v>5.8237253262490899E-6</v>
      </c>
      <c r="G4368" s="4">
        <v>4.3354930044893101E-5</v>
      </c>
      <c r="H4368" s="10" t="s">
        <v>8749</v>
      </c>
      <c r="I4368" s="10" t="s">
        <v>18</v>
      </c>
    </row>
    <row r="4369" spans="1:9" x14ac:dyDescent="0.2">
      <c r="A4369" s="10" t="s">
        <v>8750</v>
      </c>
      <c r="B4369" s="10">
        <v>63.757566173406801</v>
      </c>
      <c r="C4369" s="10">
        <v>-3.36743592702281</v>
      </c>
      <c r="D4369" s="10">
        <v>0.52356216505906705</v>
      </c>
      <c r="E4369" s="10">
        <v>-6.4317785962301199</v>
      </c>
      <c r="F4369" s="4">
        <v>1.2611935978488901E-10</v>
      </c>
      <c r="G4369" s="4">
        <v>1.9348953806637699E-9</v>
      </c>
      <c r="H4369" s="10" t="s">
        <v>8751</v>
      </c>
      <c r="I4369" s="10" t="s">
        <v>18</v>
      </c>
    </row>
    <row r="4370" spans="1:9" x14ac:dyDescent="0.2">
      <c r="A4370" s="10" t="s">
        <v>8752</v>
      </c>
      <c r="B4370" s="10">
        <v>2615.96311914239</v>
      </c>
      <c r="C4370" s="10">
        <v>-1.3290662123036501</v>
      </c>
      <c r="D4370" s="10">
        <v>0.20507968537511201</v>
      </c>
      <c r="E4370" s="10">
        <v>-6.4807306968149998</v>
      </c>
      <c r="F4370" s="4">
        <v>9.1279469160578702E-11</v>
      </c>
      <c r="G4370" s="4">
        <v>1.42854204262969E-9</v>
      </c>
      <c r="H4370" s="10" t="s">
        <v>8753</v>
      </c>
      <c r="I4370" s="10" t="s">
        <v>18</v>
      </c>
    </row>
    <row r="4371" spans="1:9" x14ac:dyDescent="0.2">
      <c r="A4371" s="10" t="s">
        <v>8754</v>
      </c>
      <c r="B4371" s="10">
        <v>5.0639800611611197</v>
      </c>
      <c r="C4371" s="10">
        <v>5.7344144815604299</v>
      </c>
      <c r="D4371" s="10">
        <v>2.0295138375163799</v>
      </c>
      <c r="E4371" s="10">
        <v>2.8255113986204301</v>
      </c>
      <c r="F4371" s="10">
        <v>4.7205208416510897E-3</v>
      </c>
      <c r="G4371" s="10">
        <v>1.6903670833548101E-2</v>
      </c>
      <c r="H4371" s="10" t="s">
        <v>8755</v>
      </c>
      <c r="I4371" s="10" t="s">
        <v>18</v>
      </c>
    </row>
    <row r="4372" spans="1:9" x14ac:dyDescent="0.2">
      <c r="A4372" s="10" t="s">
        <v>8756</v>
      </c>
      <c r="B4372" s="10">
        <v>505.43386408721699</v>
      </c>
      <c r="C4372" s="10">
        <v>-1.40072235107751</v>
      </c>
      <c r="D4372" s="10">
        <v>0.22410577962806599</v>
      </c>
      <c r="E4372" s="10">
        <v>-6.2502732120617397</v>
      </c>
      <c r="F4372" s="4">
        <v>4.0973529543372001E-10</v>
      </c>
      <c r="G4372" s="4">
        <v>5.8297950886070801E-9</v>
      </c>
      <c r="H4372" s="10" t="s">
        <v>8757</v>
      </c>
      <c r="I4372" s="10" t="s">
        <v>18</v>
      </c>
    </row>
    <row r="4373" spans="1:9" x14ac:dyDescent="0.2">
      <c r="A4373" s="10" t="s">
        <v>8758</v>
      </c>
      <c r="B4373" s="10">
        <v>95.792888892757503</v>
      </c>
      <c r="C4373" s="10">
        <v>1.7941513762130401</v>
      </c>
      <c r="D4373" s="10">
        <v>0.39386591990391201</v>
      </c>
      <c r="E4373" s="10">
        <v>4.5552338639777403</v>
      </c>
      <c r="F4373" s="4">
        <v>5.23273283597233E-6</v>
      </c>
      <c r="G4373" s="4">
        <v>3.9385710381695603E-5</v>
      </c>
      <c r="H4373" s="10" t="s">
        <v>8759</v>
      </c>
      <c r="I4373" s="10" t="s">
        <v>18</v>
      </c>
    </row>
    <row r="4374" spans="1:9" x14ac:dyDescent="0.2">
      <c r="A4374" s="10" t="s">
        <v>8760</v>
      </c>
      <c r="B4374" s="10">
        <v>1369.01398109618</v>
      </c>
      <c r="C4374" s="10">
        <v>-1.3770842141058599</v>
      </c>
      <c r="D4374" s="10">
        <v>0.197840049614802</v>
      </c>
      <c r="E4374" s="10">
        <v>-6.9605937563555704</v>
      </c>
      <c r="F4374" s="4">
        <v>3.38841567666429E-12</v>
      </c>
      <c r="G4374" s="4">
        <v>6.2762856520783006E-11</v>
      </c>
      <c r="H4374" s="10" t="s">
        <v>8761</v>
      </c>
      <c r="I4374" s="10" t="s">
        <v>18</v>
      </c>
    </row>
    <row r="4375" spans="1:9" x14ac:dyDescent="0.2">
      <c r="A4375" s="10" t="s">
        <v>8762</v>
      </c>
      <c r="B4375" s="10">
        <v>353.47985648564998</v>
      </c>
      <c r="C4375" s="10">
        <v>-3.1166262927658299</v>
      </c>
      <c r="D4375" s="10">
        <v>0.27425126286325802</v>
      </c>
      <c r="E4375" s="10">
        <v>-11.364127407208301</v>
      </c>
      <c r="F4375" s="4">
        <v>6.3091757086283402E-30</v>
      </c>
      <c r="G4375" s="4">
        <v>4.8976099866950498E-28</v>
      </c>
      <c r="H4375" s="10" t="s">
        <v>8763</v>
      </c>
      <c r="I4375" s="10" t="s">
        <v>18</v>
      </c>
    </row>
    <row r="4376" spans="1:9" x14ac:dyDescent="0.2">
      <c r="A4376" s="10" t="s">
        <v>8764</v>
      </c>
      <c r="B4376" s="10">
        <v>2929.9669340525602</v>
      </c>
      <c r="C4376" s="10">
        <v>-1.33064442840897</v>
      </c>
      <c r="D4376" s="10">
        <v>0.211476643901675</v>
      </c>
      <c r="E4376" s="10">
        <v>-6.2921578660367103</v>
      </c>
      <c r="F4376" s="4">
        <v>3.13082834120855E-10</v>
      </c>
      <c r="G4376" s="4">
        <v>4.5279023255259801E-9</v>
      </c>
      <c r="H4376" s="10" t="s">
        <v>8765</v>
      </c>
      <c r="I4376" s="10" t="s">
        <v>18</v>
      </c>
    </row>
    <row r="4377" spans="1:9" x14ac:dyDescent="0.2">
      <c r="A4377" s="10" t="s">
        <v>8766</v>
      </c>
      <c r="B4377" s="10">
        <v>1386.0326926263699</v>
      </c>
      <c r="C4377" s="10">
        <v>2.06038017810967</v>
      </c>
      <c r="D4377" s="10">
        <v>0.23747076509831699</v>
      </c>
      <c r="E4377" s="10">
        <v>8.6763529702556692</v>
      </c>
      <c r="F4377" s="4">
        <v>4.0866248603175801E-18</v>
      </c>
      <c r="G4377" s="4">
        <v>1.3319170761850901E-16</v>
      </c>
      <c r="H4377" s="10" t="s">
        <v>8767</v>
      </c>
      <c r="I4377" s="10" t="s">
        <v>18</v>
      </c>
    </row>
    <row r="4378" spans="1:9" x14ac:dyDescent="0.2">
      <c r="A4378" s="10" t="s">
        <v>8768</v>
      </c>
      <c r="B4378" s="10">
        <v>3382.0171939135698</v>
      </c>
      <c r="C4378" s="10">
        <v>-1.3417033152114699</v>
      </c>
      <c r="D4378" s="10">
        <v>0.20594799967517499</v>
      </c>
      <c r="E4378" s="10">
        <v>-6.5147674040419599</v>
      </c>
      <c r="F4378" s="4">
        <v>7.2802380068332202E-11</v>
      </c>
      <c r="G4378" s="4">
        <v>1.15799559236535E-9</v>
      </c>
      <c r="H4378" s="10" t="s">
        <v>8769</v>
      </c>
      <c r="I4378" s="10" t="s">
        <v>18</v>
      </c>
    </row>
    <row r="4379" spans="1:9" x14ac:dyDescent="0.2">
      <c r="A4379" s="10" t="s">
        <v>8770</v>
      </c>
      <c r="B4379" s="10">
        <v>387.571244403702</v>
      </c>
      <c r="C4379" s="10">
        <v>1.1965740417638699</v>
      </c>
      <c r="D4379" s="10">
        <v>0.23755635487666801</v>
      </c>
      <c r="E4379" s="10">
        <v>5.0370112910054203</v>
      </c>
      <c r="F4379" s="4">
        <v>4.7285689793297199E-7</v>
      </c>
      <c r="G4379" s="4">
        <v>4.2903536123808501E-6</v>
      </c>
      <c r="H4379" s="10" t="s">
        <v>8771</v>
      </c>
      <c r="I4379" s="10" t="s">
        <v>18</v>
      </c>
    </row>
    <row r="4380" spans="1:9" x14ac:dyDescent="0.2">
      <c r="A4380" s="10" t="s">
        <v>8772</v>
      </c>
      <c r="B4380" s="10">
        <v>182.26454128213899</v>
      </c>
      <c r="C4380" s="10">
        <v>7.4578105943153599</v>
      </c>
      <c r="D4380" s="10">
        <v>0.77970364456809904</v>
      </c>
      <c r="E4380" s="10">
        <v>9.5649297605200605</v>
      </c>
      <c r="F4380" s="4">
        <v>1.12277690267293E-21</v>
      </c>
      <c r="G4380" s="4">
        <v>4.9905876455349502E-20</v>
      </c>
      <c r="H4380" s="10" t="s">
        <v>8773</v>
      </c>
      <c r="I4380" s="10" t="s">
        <v>18</v>
      </c>
    </row>
    <row r="4381" spans="1:9" x14ac:dyDescent="0.2">
      <c r="A4381" s="10" t="s">
        <v>8774</v>
      </c>
      <c r="B4381" s="10">
        <v>6.4590627860546697</v>
      </c>
      <c r="C4381" s="10">
        <v>6.0865096776838099</v>
      </c>
      <c r="D4381" s="10">
        <v>1.91521344744196</v>
      </c>
      <c r="E4381" s="10">
        <v>3.1779798151549201</v>
      </c>
      <c r="F4381" s="10">
        <v>1.48305075154384E-3</v>
      </c>
      <c r="G4381" s="10">
        <v>6.2213916031566502E-3</v>
      </c>
      <c r="H4381" s="10" t="s">
        <v>8775</v>
      </c>
      <c r="I4381" s="10" t="s">
        <v>18</v>
      </c>
    </row>
    <row r="4382" spans="1:9" x14ac:dyDescent="0.2">
      <c r="A4382" s="10" t="s">
        <v>8776</v>
      </c>
      <c r="B4382" s="10">
        <v>4030.9549942205199</v>
      </c>
      <c r="C4382" s="10">
        <v>-1.4463191278551399</v>
      </c>
      <c r="D4382" s="10">
        <v>0.22161990008330201</v>
      </c>
      <c r="E4382" s="10">
        <v>-6.52612480788728</v>
      </c>
      <c r="F4382" s="4">
        <v>6.7493086712646395E-11</v>
      </c>
      <c r="G4382" s="4">
        <v>1.07731935188018E-9</v>
      </c>
      <c r="H4382" s="10" t="s">
        <v>8777</v>
      </c>
      <c r="I4382" s="10" t="s">
        <v>18</v>
      </c>
    </row>
    <row r="4383" spans="1:9" x14ac:dyDescent="0.2">
      <c r="A4383" s="10" t="s">
        <v>8778</v>
      </c>
      <c r="B4383" s="10">
        <v>89.496054722101306</v>
      </c>
      <c r="C4383" s="10">
        <v>-1.15384357507758</v>
      </c>
      <c r="D4383" s="10">
        <v>0.38618902136695599</v>
      </c>
      <c r="E4383" s="10">
        <v>-2.98776897124998</v>
      </c>
      <c r="F4383" s="10">
        <v>2.81021895548358E-3</v>
      </c>
      <c r="G4383" s="10">
        <v>1.0811922603792899E-2</v>
      </c>
      <c r="H4383" s="10" t="s">
        <v>8779</v>
      </c>
      <c r="I4383" s="10" t="s">
        <v>18</v>
      </c>
    </row>
    <row r="4384" spans="1:9" x14ac:dyDescent="0.2">
      <c r="A4384" s="10" t="s">
        <v>8780</v>
      </c>
      <c r="B4384" s="10">
        <v>2617.0041861422601</v>
      </c>
      <c r="C4384" s="10">
        <v>2.1683190295325301</v>
      </c>
      <c r="D4384" s="10">
        <v>0.20678924163888199</v>
      </c>
      <c r="E4384" s="10">
        <v>10.485647185258699</v>
      </c>
      <c r="F4384" s="4">
        <v>1.00554841367563E-25</v>
      </c>
      <c r="G4384" s="4">
        <v>5.95612557117822E-24</v>
      </c>
      <c r="H4384" s="10" t="s">
        <v>8781</v>
      </c>
      <c r="I4384" s="10" t="s">
        <v>18</v>
      </c>
    </row>
    <row r="4385" spans="1:9" x14ac:dyDescent="0.2">
      <c r="A4385" s="10" t="s">
        <v>8782</v>
      </c>
      <c r="B4385" s="10">
        <v>554.42206743082204</v>
      </c>
      <c r="C4385" s="10">
        <v>-1.8312270869084899</v>
      </c>
      <c r="D4385" s="10">
        <v>0.24166550208543799</v>
      </c>
      <c r="E4385" s="10">
        <v>-7.5775279098838197</v>
      </c>
      <c r="F4385" s="4">
        <v>3.5220126969825297E-14</v>
      </c>
      <c r="G4385" s="4">
        <v>8.1532948134819804E-13</v>
      </c>
      <c r="H4385" s="10" t="s">
        <v>8783</v>
      </c>
      <c r="I4385" s="10" t="s">
        <v>18</v>
      </c>
    </row>
    <row r="4386" spans="1:9" x14ac:dyDescent="0.2">
      <c r="A4386" s="10" t="s">
        <v>8784</v>
      </c>
      <c r="B4386" s="10">
        <v>5066.3865926635299</v>
      </c>
      <c r="C4386" s="10">
        <v>2.0116952912277202</v>
      </c>
      <c r="D4386" s="10">
        <v>0.19663712129196301</v>
      </c>
      <c r="E4386" s="10">
        <v>10.230496042712099</v>
      </c>
      <c r="F4386" s="4">
        <v>1.4477589951323199E-24</v>
      </c>
      <c r="G4386" s="4">
        <v>7.7958674585712003E-23</v>
      </c>
      <c r="H4386" s="10" t="s">
        <v>8785</v>
      </c>
      <c r="I4386" s="10" t="s">
        <v>18</v>
      </c>
    </row>
    <row r="4387" spans="1:9" x14ac:dyDescent="0.2">
      <c r="A4387" s="10" t="s">
        <v>8786</v>
      </c>
      <c r="B4387" s="10">
        <v>994.36040197243801</v>
      </c>
      <c r="C4387" s="10">
        <v>-1.0386448130305701</v>
      </c>
      <c r="D4387" s="10">
        <v>0.250722449478124</v>
      </c>
      <c r="E4387" s="10">
        <v>-4.1426079523093904</v>
      </c>
      <c r="F4387" s="4">
        <v>3.4337864920340501E-5</v>
      </c>
      <c r="G4387" s="10">
        <v>2.17329571541119E-4</v>
      </c>
      <c r="H4387" s="10" t="s">
        <v>8787</v>
      </c>
      <c r="I4387" s="10" t="s">
        <v>18</v>
      </c>
    </row>
    <row r="4388" spans="1:9" x14ac:dyDescent="0.2">
      <c r="A4388" s="10" t="s">
        <v>8788</v>
      </c>
      <c r="B4388" s="10">
        <v>502.22180011636698</v>
      </c>
      <c r="C4388" s="10">
        <v>-1.1496059070674101</v>
      </c>
      <c r="D4388" s="10">
        <v>0.23558417308906399</v>
      </c>
      <c r="E4388" s="10">
        <v>-4.8798095898946201</v>
      </c>
      <c r="F4388" s="4">
        <v>1.0618831150347201E-6</v>
      </c>
      <c r="G4388" s="4">
        <v>9.0614247526937295E-6</v>
      </c>
      <c r="H4388" s="10" t="s">
        <v>8789</v>
      </c>
      <c r="I4388" s="10" t="s">
        <v>18</v>
      </c>
    </row>
    <row r="4389" spans="1:9" x14ac:dyDescent="0.2">
      <c r="A4389" s="10" t="s">
        <v>8790</v>
      </c>
      <c r="B4389" s="10">
        <v>291.14212381792203</v>
      </c>
      <c r="C4389" s="10">
        <v>1.5526169116367701</v>
      </c>
      <c r="D4389" s="10">
        <v>0.261731174646058</v>
      </c>
      <c r="E4389" s="10">
        <v>5.9321053891894602</v>
      </c>
      <c r="F4389" s="4">
        <v>2.9907454209636101E-9</v>
      </c>
      <c r="G4389" s="4">
        <v>3.8150206219567199E-8</v>
      </c>
      <c r="H4389" s="10" t="s">
        <v>8791</v>
      </c>
      <c r="I4389" s="10" t="s">
        <v>18</v>
      </c>
    </row>
    <row r="4390" spans="1:9" x14ac:dyDescent="0.2">
      <c r="A4390" s="10" t="s">
        <v>8792</v>
      </c>
      <c r="B4390" s="10">
        <v>8.6996884519048692</v>
      </c>
      <c r="C4390" s="10">
        <v>3.9841811041678601</v>
      </c>
      <c r="D4390" s="10">
        <v>1.4595357948896299</v>
      </c>
      <c r="E4390" s="10">
        <v>2.72975909060809</v>
      </c>
      <c r="F4390" s="10">
        <v>6.3380623302796502E-3</v>
      </c>
      <c r="G4390" s="10">
        <v>2.1684227060915301E-2</v>
      </c>
      <c r="H4390" s="10" t="s">
        <v>8793</v>
      </c>
      <c r="I4390" s="10" t="s">
        <v>18</v>
      </c>
    </row>
    <row r="4391" spans="1:9" x14ac:dyDescent="0.2">
      <c r="A4391" s="10" t="s">
        <v>8794</v>
      </c>
      <c r="B4391" s="10">
        <v>91.076569365477596</v>
      </c>
      <c r="C4391" s="10">
        <v>1.2362829094852701</v>
      </c>
      <c r="D4391" s="10">
        <v>0.387078370269342</v>
      </c>
      <c r="E4391" s="10">
        <v>3.19388269777262</v>
      </c>
      <c r="F4391" s="10">
        <v>1.4037314302014999E-3</v>
      </c>
      <c r="G4391" s="10">
        <v>5.9372043276467203E-3</v>
      </c>
      <c r="H4391" s="10" t="s">
        <v>8795</v>
      </c>
      <c r="I4391" s="10" t="s">
        <v>18</v>
      </c>
    </row>
    <row r="4392" spans="1:9" x14ac:dyDescent="0.2">
      <c r="A4392" s="10" t="s">
        <v>8796</v>
      </c>
      <c r="B4392" s="10">
        <v>594.77749637252498</v>
      </c>
      <c r="C4392" s="10">
        <v>2.28325119994481</v>
      </c>
      <c r="D4392" s="10">
        <v>0.26249261129156998</v>
      </c>
      <c r="E4392" s="10">
        <v>8.6983446456275093</v>
      </c>
      <c r="F4392" s="4">
        <v>3.3676043779147899E-18</v>
      </c>
      <c r="G4392" s="4">
        <v>1.10417709368284E-16</v>
      </c>
      <c r="H4392" s="10" t="s">
        <v>8797</v>
      </c>
      <c r="I4392" s="10" t="s">
        <v>18</v>
      </c>
    </row>
    <row r="4393" spans="1:9" x14ac:dyDescent="0.2">
      <c r="A4393" s="10" t="s">
        <v>8798</v>
      </c>
      <c r="B4393" s="10">
        <v>3957.2825463703498</v>
      </c>
      <c r="C4393" s="10">
        <v>2.3561301331569799</v>
      </c>
      <c r="D4393" s="10">
        <v>0.18694142832005001</v>
      </c>
      <c r="E4393" s="10">
        <v>12.6035740409729</v>
      </c>
      <c r="F4393" s="4">
        <v>2.01789149037566E-36</v>
      </c>
      <c r="G4393" s="4">
        <v>2.2908953932610698E-34</v>
      </c>
      <c r="H4393" s="10" t="s">
        <v>8799</v>
      </c>
      <c r="I4393" s="10" t="s">
        <v>18</v>
      </c>
    </row>
    <row r="4394" spans="1:9" x14ac:dyDescent="0.2">
      <c r="A4394" s="10" t="s">
        <v>8800</v>
      </c>
      <c r="B4394" s="10">
        <v>23.354366649725499</v>
      </c>
      <c r="C4394" s="10">
        <v>3.18192679062166</v>
      </c>
      <c r="D4394" s="10">
        <v>0.81695361511394804</v>
      </c>
      <c r="E4394" s="10">
        <v>3.89486836431692</v>
      </c>
      <c r="F4394" s="4">
        <v>9.8252072941193796E-5</v>
      </c>
      <c r="G4394" s="10">
        <v>5.6323884524062898E-4</v>
      </c>
      <c r="H4394" s="10" t="s">
        <v>8801</v>
      </c>
      <c r="I4394" s="10" t="s">
        <v>18</v>
      </c>
    </row>
    <row r="4395" spans="1:9" x14ac:dyDescent="0.2">
      <c r="A4395" s="10" t="s">
        <v>8802</v>
      </c>
      <c r="B4395" s="10">
        <v>102.308639881522</v>
      </c>
      <c r="C4395" s="10">
        <v>2.0744559495696899</v>
      </c>
      <c r="D4395" s="10">
        <v>0.42534826903183698</v>
      </c>
      <c r="E4395" s="10">
        <v>4.8770762704442197</v>
      </c>
      <c r="F4395" s="4">
        <v>1.07669811794625E-6</v>
      </c>
      <c r="G4395" s="4">
        <v>9.1820950296342805E-6</v>
      </c>
      <c r="H4395" s="10" t="s">
        <v>8803</v>
      </c>
      <c r="I4395" s="10" t="s">
        <v>18</v>
      </c>
    </row>
    <row r="4396" spans="1:9" x14ac:dyDescent="0.2">
      <c r="A4396" s="10" t="s">
        <v>8804</v>
      </c>
      <c r="B4396" s="10">
        <v>36.924604632716097</v>
      </c>
      <c r="C4396" s="10">
        <v>7.1521672971911396</v>
      </c>
      <c r="D4396" s="10">
        <v>1.5369191629902199</v>
      </c>
      <c r="E4396" s="10">
        <v>4.65357415628546</v>
      </c>
      <c r="F4396" s="4">
        <v>3.2623020145534801E-6</v>
      </c>
      <c r="G4396" s="4">
        <v>2.5505865994415701E-5</v>
      </c>
      <c r="H4396" s="10" t="s">
        <v>8805</v>
      </c>
      <c r="I4396" s="10" t="s">
        <v>18</v>
      </c>
    </row>
    <row r="4397" spans="1:9" x14ac:dyDescent="0.2">
      <c r="A4397" s="10" t="s">
        <v>8806</v>
      </c>
      <c r="B4397" s="10">
        <v>359.23058216796198</v>
      </c>
      <c r="C4397" s="10">
        <v>1.9934908634328401</v>
      </c>
      <c r="D4397" s="10">
        <v>0.27656203656839201</v>
      </c>
      <c r="E4397" s="10">
        <v>7.2081146355742103</v>
      </c>
      <c r="F4397" s="4">
        <v>5.6731862187141497E-13</v>
      </c>
      <c r="G4397" s="4">
        <v>1.16223537519778E-11</v>
      </c>
      <c r="H4397" s="10" t="s">
        <v>8807</v>
      </c>
      <c r="I4397" s="10" t="s">
        <v>18</v>
      </c>
    </row>
    <row r="4398" spans="1:9" x14ac:dyDescent="0.2">
      <c r="A4398" s="10" t="s">
        <v>8808</v>
      </c>
      <c r="B4398" s="10">
        <v>68.006026362129603</v>
      </c>
      <c r="C4398" s="10">
        <v>8.0361174807644105</v>
      </c>
      <c r="D4398" s="10">
        <v>1.4957665119288699</v>
      </c>
      <c r="E4398" s="10">
        <v>5.3725748080837796</v>
      </c>
      <c r="F4398" s="4">
        <v>7.7620210336696996E-8</v>
      </c>
      <c r="G4398" s="4">
        <v>8.0354022456078401E-7</v>
      </c>
      <c r="H4398" s="10" t="s">
        <v>8809</v>
      </c>
      <c r="I4398" s="10" t="s">
        <v>18</v>
      </c>
    </row>
    <row r="4399" spans="1:9" x14ac:dyDescent="0.2">
      <c r="A4399" s="10" t="s">
        <v>8810</v>
      </c>
      <c r="B4399" s="10">
        <v>10572.990646800599</v>
      </c>
      <c r="C4399" s="10">
        <v>-1.2544004407178899</v>
      </c>
      <c r="D4399" s="10">
        <v>0.18524626454974899</v>
      </c>
      <c r="E4399" s="10">
        <v>-6.7715289361800703</v>
      </c>
      <c r="F4399" s="4">
        <v>1.27428467195745E-11</v>
      </c>
      <c r="G4399" s="4">
        <v>2.21714140848177E-10</v>
      </c>
      <c r="H4399" s="10" t="s">
        <v>8811</v>
      </c>
      <c r="I4399" s="10" t="s">
        <v>18</v>
      </c>
    </row>
    <row r="4400" spans="1:9" x14ac:dyDescent="0.2">
      <c r="A4400" s="10" t="s">
        <v>8812</v>
      </c>
      <c r="B4400" s="10">
        <v>6.4228246812479304</v>
      </c>
      <c r="C4400" s="10">
        <v>6.0791384959959602</v>
      </c>
      <c r="D4400" s="10">
        <v>1.91621201727102</v>
      </c>
      <c r="E4400" s="10">
        <v>3.1724769708174501</v>
      </c>
      <c r="F4400" s="10">
        <v>1.5114454604688099E-3</v>
      </c>
      <c r="G4400" s="10">
        <v>6.3231006389365303E-3</v>
      </c>
      <c r="H4400" s="10" t="s">
        <v>8813</v>
      </c>
      <c r="I4400" s="10" t="s">
        <v>18</v>
      </c>
    </row>
    <row r="4401" spans="1:9" x14ac:dyDescent="0.2">
      <c r="A4401" s="10" t="s">
        <v>8814</v>
      </c>
      <c r="B4401" s="10">
        <v>33.135446157177498</v>
      </c>
      <c r="C4401" s="10">
        <v>2.1251918622788102</v>
      </c>
      <c r="D4401" s="10">
        <v>0.64751072562857104</v>
      </c>
      <c r="E4401" s="10">
        <v>3.28209522740458</v>
      </c>
      <c r="F4401" s="10">
        <v>1.03038801247556E-3</v>
      </c>
      <c r="G4401" s="10">
        <v>4.5333412200745504E-3</v>
      </c>
      <c r="H4401" s="10" t="s">
        <v>8815</v>
      </c>
      <c r="I4401" s="10" t="s">
        <v>18</v>
      </c>
    </row>
    <row r="4402" spans="1:9" x14ac:dyDescent="0.2">
      <c r="A4402" s="10" t="s">
        <v>8816</v>
      </c>
      <c r="B4402" s="10">
        <v>1357.2229720842199</v>
      </c>
      <c r="C4402" s="10">
        <v>-1.32655721592654</v>
      </c>
      <c r="D4402" s="10">
        <v>0.20638782642224299</v>
      </c>
      <c r="E4402" s="10">
        <v>-6.4274973913072699</v>
      </c>
      <c r="F4402" s="4">
        <v>1.2972182149570799E-10</v>
      </c>
      <c r="G4402" s="4">
        <v>1.9856912754458098E-9</v>
      </c>
      <c r="H4402" s="10" t="s">
        <v>8817</v>
      </c>
      <c r="I4402" s="10" t="s">
        <v>18</v>
      </c>
    </row>
    <row r="4403" spans="1:9" x14ac:dyDescent="0.2">
      <c r="A4403" s="10" t="s">
        <v>8818</v>
      </c>
      <c r="B4403" s="10">
        <v>41.9405073352047</v>
      </c>
      <c r="C4403" s="10">
        <v>2.52659178587411</v>
      </c>
      <c r="D4403" s="10">
        <v>0.58394300893163997</v>
      </c>
      <c r="E4403" s="10">
        <v>4.3267780369469104</v>
      </c>
      <c r="F4403" s="4">
        <v>1.51306295618193E-5</v>
      </c>
      <c r="G4403" s="10">
        <v>1.0335027918548301E-4</v>
      </c>
      <c r="H4403" s="10" t="s">
        <v>8819</v>
      </c>
      <c r="I4403" s="10" t="s">
        <v>18</v>
      </c>
    </row>
    <row r="4404" spans="1:9" x14ac:dyDescent="0.2">
      <c r="A4404" s="10" t="s">
        <v>8820</v>
      </c>
      <c r="B4404" s="10">
        <v>5343.9110807963498</v>
      </c>
      <c r="C4404" s="10">
        <v>-1.61047005442041</v>
      </c>
      <c r="D4404" s="10">
        <v>0.19932175819728701</v>
      </c>
      <c r="E4404" s="10">
        <v>-8.0797503944671298</v>
      </c>
      <c r="F4404" s="4">
        <v>6.4899473153915396E-16</v>
      </c>
      <c r="G4404" s="4">
        <v>1.7630268644314399E-14</v>
      </c>
      <c r="H4404" s="10" t="s">
        <v>8821</v>
      </c>
      <c r="I4404" s="10" t="s">
        <v>18</v>
      </c>
    </row>
    <row r="4405" spans="1:9" x14ac:dyDescent="0.2">
      <c r="A4405" s="10" t="s">
        <v>8822</v>
      </c>
      <c r="B4405" s="10">
        <v>519.08055072888203</v>
      </c>
      <c r="C4405" s="10">
        <v>-1.71693235651875</v>
      </c>
      <c r="D4405" s="10">
        <v>0.25778862557269799</v>
      </c>
      <c r="E4405" s="10">
        <v>-6.6602331763259501</v>
      </c>
      <c r="F4405" s="4">
        <v>2.7339348361572699E-11</v>
      </c>
      <c r="G4405" s="4">
        <v>4.5982421284430299E-10</v>
      </c>
      <c r="H4405" s="10" t="s">
        <v>8823</v>
      </c>
      <c r="I4405" s="10" t="s">
        <v>18</v>
      </c>
    </row>
    <row r="4406" spans="1:9" x14ac:dyDescent="0.2">
      <c r="A4406" s="10" t="s">
        <v>8824</v>
      </c>
      <c r="B4406" s="10">
        <v>33.509206131133197</v>
      </c>
      <c r="C4406" s="10">
        <v>8.4625626989826603</v>
      </c>
      <c r="D4406" s="10">
        <v>1.5507867842646501</v>
      </c>
      <c r="E4406" s="10">
        <v>5.4569479085388499</v>
      </c>
      <c r="F4406" s="4">
        <v>4.8438838242977101E-8</v>
      </c>
      <c r="G4406" s="4">
        <v>5.1961142740409297E-7</v>
      </c>
      <c r="H4406" s="10" t="s">
        <v>8825</v>
      </c>
      <c r="I4406" s="10" t="s">
        <v>18</v>
      </c>
    </row>
    <row r="4407" spans="1:9" x14ac:dyDescent="0.2">
      <c r="A4407" s="10" t="s">
        <v>8826</v>
      </c>
      <c r="B4407" s="10">
        <v>33.686783501825303</v>
      </c>
      <c r="C4407" s="10">
        <v>1.8691173040717399</v>
      </c>
      <c r="D4407" s="10">
        <v>0.62939499578453995</v>
      </c>
      <c r="E4407" s="10">
        <v>2.9697047427933398</v>
      </c>
      <c r="F4407" s="10">
        <v>2.9808609885632899E-3</v>
      </c>
      <c r="G4407" s="10">
        <v>1.13896395113426E-2</v>
      </c>
      <c r="H4407" s="10" t="s">
        <v>8827</v>
      </c>
      <c r="I4407" s="10" t="s">
        <v>18</v>
      </c>
    </row>
    <row r="4408" spans="1:9" x14ac:dyDescent="0.2">
      <c r="A4408" s="10" t="s">
        <v>8828</v>
      </c>
      <c r="B4408" s="10">
        <v>1387.7785023168001</v>
      </c>
      <c r="C4408" s="10">
        <v>-1.37524679722448</v>
      </c>
      <c r="D4408" s="10">
        <v>0.20479527238128201</v>
      </c>
      <c r="E4408" s="10">
        <v>-6.7152272668877</v>
      </c>
      <c r="F4408" s="4">
        <v>1.8777332658413401E-11</v>
      </c>
      <c r="G4408" s="4">
        <v>3.2096987637628E-10</v>
      </c>
      <c r="H4408" s="10" t="s">
        <v>8829</v>
      </c>
      <c r="I4408" s="10" t="s">
        <v>18</v>
      </c>
    </row>
    <row r="4409" spans="1:9" x14ac:dyDescent="0.2">
      <c r="A4409" s="10" t="s">
        <v>8830</v>
      </c>
      <c r="B4409" s="10">
        <v>257.98016167222698</v>
      </c>
      <c r="C4409" s="10">
        <v>3.34096503200412</v>
      </c>
      <c r="D4409" s="10">
        <v>0.31657051667686098</v>
      </c>
      <c r="E4409" s="10">
        <v>10.5536203025957</v>
      </c>
      <c r="F4409" s="4">
        <v>4.8876720755228101E-26</v>
      </c>
      <c r="G4409" s="4">
        <v>2.9463363062338501E-24</v>
      </c>
      <c r="H4409" s="10" t="s">
        <v>8831</v>
      </c>
      <c r="I4409" s="10" t="s">
        <v>18</v>
      </c>
    </row>
    <row r="4410" spans="1:9" x14ac:dyDescent="0.2">
      <c r="A4410" s="10" t="s">
        <v>8832</v>
      </c>
      <c r="B4410" s="10">
        <v>130.94108031328699</v>
      </c>
      <c r="C4410" s="10">
        <v>2.3154237565870699</v>
      </c>
      <c r="D4410" s="10">
        <v>0.36390483458213202</v>
      </c>
      <c r="E4410" s="10">
        <v>6.3627177672587196</v>
      </c>
      <c r="F4410" s="4">
        <v>1.9821471503991399E-10</v>
      </c>
      <c r="G4410" s="4">
        <v>2.94319146631745E-9</v>
      </c>
      <c r="H4410" s="10" t="s">
        <v>8833</v>
      </c>
      <c r="I4410" s="10" t="s">
        <v>18</v>
      </c>
    </row>
    <row r="4411" spans="1:9" x14ac:dyDescent="0.2">
      <c r="A4411" s="10" t="s">
        <v>8834</v>
      </c>
      <c r="B4411" s="10">
        <v>224.13598975210101</v>
      </c>
      <c r="C4411" s="10">
        <v>-1.5240307234217401</v>
      </c>
      <c r="D4411" s="10">
        <v>0.30227264061144898</v>
      </c>
      <c r="E4411" s="10">
        <v>-5.0419075981831298</v>
      </c>
      <c r="F4411" s="4">
        <v>4.60913852800783E-7</v>
      </c>
      <c r="G4411" s="4">
        <v>4.1917622654415702E-6</v>
      </c>
      <c r="H4411" s="10" t="s">
        <v>8835</v>
      </c>
      <c r="I4411" s="10" t="s">
        <v>18</v>
      </c>
    </row>
    <row r="4412" spans="1:9" x14ac:dyDescent="0.2">
      <c r="A4412" s="10" t="s">
        <v>8836</v>
      </c>
      <c r="B4412" s="10">
        <v>3.8530936506741802</v>
      </c>
      <c r="C4412" s="10">
        <v>5.3403250580865702</v>
      </c>
      <c r="D4412" s="10">
        <v>2.1789621139591802</v>
      </c>
      <c r="E4412" s="10">
        <v>2.4508572333014098</v>
      </c>
      <c r="F4412" s="10">
        <v>1.4251646682892799E-2</v>
      </c>
      <c r="G4412" s="10">
        <v>4.2728280938466097E-2</v>
      </c>
      <c r="H4412" s="10" t="s">
        <v>8837</v>
      </c>
      <c r="I4412" s="10" t="s">
        <v>18</v>
      </c>
    </row>
    <row r="4413" spans="1:9" x14ac:dyDescent="0.2">
      <c r="A4413" s="10" t="s">
        <v>8838</v>
      </c>
      <c r="B4413" s="10">
        <v>732.74377999456499</v>
      </c>
      <c r="C4413" s="10">
        <v>-2.4821649258974401</v>
      </c>
      <c r="D4413" s="10">
        <v>0.22165169524294301</v>
      </c>
      <c r="E4413" s="10">
        <v>-11.198492856898</v>
      </c>
      <c r="F4413" s="4">
        <v>4.1472894147646799E-29</v>
      </c>
      <c r="G4413" s="4">
        <v>3.00535092244929E-27</v>
      </c>
      <c r="H4413" s="10" t="s">
        <v>8839</v>
      </c>
      <c r="I4413" s="10" t="s">
        <v>18</v>
      </c>
    </row>
    <row r="4414" spans="1:9" x14ac:dyDescent="0.2">
      <c r="A4414" s="10" t="s">
        <v>8840</v>
      </c>
      <c r="B4414" s="10">
        <v>107.129792147633</v>
      </c>
      <c r="C4414" s="10">
        <v>-4.8904704797124703</v>
      </c>
      <c r="D4414" s="10">
        <v>0.53956685400121895</v>
      </c>
      <c r="E4414" s="10">
        <v>-9.0636970070467395</v>
      </c>
      <c r="F4414" s="4">
        <v>1.2610236054152799E-19</v>
      </c>
      <c r="G4414" s="4">
        <v>4.6557059860095202E-18</v>
      </c>
      <c r="H4414" s="10" t="s">
        <v>8841</v>
      </c>
      <c r="I4414" s="10" t="s">
        <v>18</v>
      </c>
    </row>
    <row r="4415" spans="1:9" x14ac:dyDescent="0.2">
      <c r="A4415" s="10" t="s">
        <v>8842</v>
      </c>
      <c r="B4415" s="10">
        <v>1380.6435792439499</v>
      </c>
      <c r="C4415" s="10">
        <v>-1.75290035413316</v>
      </c>
      <c r="D4415" s="10">
        <v>0.20373598001020099</v>
      </c>
      <c r="E4415" s="10">
        <v>-8.6037839464850396</v>
      </c>
      <c r="F4415" s="4">
        <v>7.7130109212037099E-18</v>
      </c>
      <c r="G4415" s="4">
        <v>2.4465239647268602E-16</v>
      </c>
      <c r="H4415" s="10" t="s">
        <v>8843</v>
      </c>
      <c r="I4415" s="10" t="s">
        <v>18</v>
      </c>
    </row>
    <row r="4416" spans="1:9" x14ac:dyDescent="0.2">
      <c r="A4416" s="10" t="s">
        <v>8844</v>
      </c>
      <c r="B4416" s="10">
        <v>1976.4749255136001</v>
      </c>
      <c r="C4416" s="10">
        <v>-1.35828957652475</v>
      </c>
      <c r="D4416" s="10">
        <v>0.18290355098538</v>
      </c>
      <c r="E4416" s="10">
        <v>-7.4262613776881601</v>
      </c>
      <c r="F4416" s="4">
        <v>1.11710146537632E-13</v>
      </c>
      <c r="G4416" s="4">
        <v>2.4847072348659999E-12</v>
      </c>
      <c r="H4416" s="10" t="s">
        <v>8845</v>
      </c>
      <c r="I4416" s="10" t="s">
        <v>18</v>
      </c>
    </row>
    <row r="4417" spans="1:9" x14ac:dyDescent="0.2">
      <c r="A4417" s="10" t="s">
        <v>8846</v>
      </c>
      <c r="B4417" s="10">
        <v>2140.9157443028398</v>
      </c>
      <c r="C4417" s="10">
        <v>-2.2743807181986702</v>
      </c>
      <c r="D4417" s="10">
        <v>0.21842031987789701</v>
      </c>
      <c r="E4417" s="10">
        <v>-10.4128623173435</v>
      </c>
      <c r="F4417" s="4">
        <v>2.1660910302432499E-25</v>
      </c>
      <c r="G4417" s="4">
        <v>1.25306756477787E-23</v>
      </c>
      <c r="H4417" s="10" t="s">
        <v>8847</v>
      </c>
      <c r="I4417" s="10" t="s">
        <v>18</v>
      </c>
    </row>
    <row r="4418" spans="1:9" x14ac:dyDescent="0.2">
      <c r="A4418" s="10" t="s">
        <v>8848</v>
      </c>
      <c r="B4418" s="10">
        <v>2289.6750787808</v>
      </c>
      <c r="C4418" s="10">
        <v>-1.0845853286557801</v>
      </c>
      <c r="D4418" s="10">
        <v>0.197045280016416</v>
      </c>
      <c r="E4418" s="10">
        <v>-5.5042441441145797</v>
      </c>
      <c r="F4418" s="4">
        <v>3.7075546437486901E-8</v>
      </c>
      <c r="G4418" s="4">
        <v>4.0505108812438098E-7</v>
      </c>
      <c r="H4418" s="10" t="s">
        <v>8849</v>
      </c>
      <c r="I4418" s="10" t="s">
        <v>18</v>
      </c>
    </row>
    <row r="4419" spans="1:9" x14ac:dyDescent="0.2">
      <c r="A4419" s="10" t="s">
        <v>8850</v>
      </c>
      <c r="B4419" s="10">
        <v>210.77777930708899</v>
      </c>
      <c r="C4419" s="10">
        <v>-1.0986728125867899</v>
      </c>
      <c r="D4419" s="10">
        <v>0.28765230297174899</v>
      </c>
      <c r="E4419" s="10">
        <v>-3.8194473023033502</v>
      </c>
      <c r="F4419" s="10">
        <v>1.3375102928239599E-4</v>
      </c>
      <c r="G4419" s="10">
        <v>7.4419323970950299E-4</v>
      </c>
      <c r="H4419" s="10" t="s">
        <v>8851</v>
      </c>
      <c r="I4419" s="10" t="s">
        <v>18</v>
      </c>
    </row>
    <row r="4420" spans="1:9" x14ac:dyDescent="0.2">
      <c r="A4420" s="10" t="s">
        <v>8852</v>
      </c>
      <c r="B4420" s="10">
        <v>1191.49345602269</v>
      </c>
      <c r="C4420" s="10">
        <v>-1.44048543524345</v>
      </c>
      <c r="D4420" s="10">
        <v>0.23862753361487701</v>
      </c>
      <c r="E4420" s="10">
        <v>-6.0365432832585704</v>
      </c>
      <c r="F4420" s="4">
        <v>1.57450533170473E-9</v>
      </c>
      <c r="G4420" s="4">
        <v>2.08255081422129E-8</v>
      </c>
      <c r="H4420" s="10" t="s">
        <v>8853</v>
      </c>
      <c r="I4420" s="10" t="s">
        <v>18</v>
      </c>
    </row>
    <row r="4421" spans="1:9" x14ac:dyDescent="0.2">
      <c r="A4421" s="10" t="s">
        <v>8854</v>
      </c>
      <c r="B4421" s="10">
        <v>136.584977667315</v>
      </c>
      <c r="C4421" s="10">
        <v>5.5572139582071802</v>
      </c>
      <c r="D4421" s="10">
        <v>0.54951596072549902</v>
      </c>
      <c r="E4421" s="10">
        <v>10.112925475122299</v>
      </c>
      <c r="F4421" s="4">
        <v>4.84165208934967E-24</v>
      </c>
      <c r="G4421" s="4">
        <v>2.5032351893455501E-22</v>
      </c>
      <c r="H4421" s="10" t="s">
        <v>8855</v>
      </c>
      <c r="I4421" s="10" t="s">
        <v>18</v>
      </c>
    </row>
    <row r="4422" spans="1:9" x14ac:dyDescent="0.2">
      <c r="A4422" s="10" t="s">
        <v>8856</v>
      </c>
      <c r="B4422" s="10">
        <v>17506.232591436401</v>
      </c>
      <c r="C4422" s="10">
        <v>1.3313916729275701</v>
      </c>
      <c r="D4422" s="10">
        <v>0.203373032739118</v>
      </c>
      <c r="E4422" s="10">
        <v>6.5465497317702201</v>
      </c>
      <c r="F4422" s="4">
        <v>5.8881547408659201E-11</v>
      </c>
      <c r="G4422" s="4">
        <v>9.4931687706729994E-10</v>
      </c>
      <c r="H4422" s="10" t="s">
        <v>8857</v>
      </c>
      <c r="I4422" s="10" t="s">
        <v>18</v>
      </c>
    </row>
    <row r="4423" spans="1:9" x14ac:dyDescent="0.2">
      <c r="A4423" s="10" t="s">
        <v>8858</v>
      </c>
      <c r="B4423" s="10">
        <v>137.70841362265</v>
      </c>
      <c r="C4423" s="10">
        <v>2.5270513619409898</v>
      </c>
      <c r="D4423" s="10">
        <v>0.354488160009714</v>
      </c>
      <c r="E4423" s="10">
        <v>7.1287327674688399</v>
      </c>
      <c r="F4423" s="4">
        <v>1.01297182075901E-12</v>
      </c>
      <c r="G4423" s="4">
        <v>2.0043894844023802E-11</v>
      </c>
      <c r="H4423" s="10" t="s">
        <v>8859</v>
      </c>
      <c r="I4423" s="10" t="s">
        <v>18</v>
      </c>
    </row>
    <row r="4424" spans="1:9" x14ac:dyDescent="0.2">
      <c r="A4424" s="10" t="s">
        <v>8860</v>
      </c>
      <c r="B4424" s="10">
        <v>2959.4048845624502</v>
      </c>
      <c r="C4424" s="10">
        <v>-1.0117185085404099</v>
      </c>
      <c r="D4424" s="10">
        <v>0.19332001732364401</v>
      </c>
      <c r="E4424" s="10">
        <v>-5.2333872226312304</v>
      </c>
      <c r="F4424" s="4">
        <v>1.6643156856552E-7</v>
      </c>
      <c r="G4424" s="4">
        <v>1.63003628637841E-6</v>
      </c>
      <c r="H4424" s="10" t="s">
        <v>8861</v>
      </c>
      <c r="I4424" s="10" t="s">
        <v>18</v>
      </c>
    </row>
    <row r="4425" spans="1:9" x14ac:dyDescent="0.2">
      <c r="A4425" s="10" t="s">
        <v>8862</v>
      </c>
      <c r="B4425" s="10">
        <v>68.725456882097802</v>
      </c>
      <c r="C4425" s="10">
        <v>1.1622891985453401</v>
      </c>
      <c r="D4425" s="10">
        <v>0.46746199781964298</v>
      </c>
      <c r="E4425" s="10">
        <v>2.4863822170926002</v>
      </c>
      <c r="F4425" s="10">
        <v>1.2904928001403301E-2</v>
      </c>
      <c r="G4425" s="10">
        <v>3.9384024782060302E-2</v>
      </c>
      <c r="H4425" s="10" t="s">
        <v>8863</v>
      </c>
      <c r="I4425" s="10" t="s">
        <v>18</v>
      </c>
    </row>
    <row r="4426" spans="1:9" x14ac:dyDescent="0.2">
      <c r="A4426" s="10" t="s">
        <v>8864</v>
      </c>
      <c r="B4426" s="10">
        <v>2983.8341163206601</v>
      </c>
      <c r="C4426" s="10">
        <v>1.13880203841135</v>
      </c>
      <c r="D4426" s="10">
        <v>0.228115130555896</v>
      </c>
      <c r="E4426" s="10">
        <v>4.9922249157090102</v>
      </c>
      <c r="F4426" s="4">
        <v>5.96876898641475E-7</v>
      </c>
      <c r="G4426" s="4">
        <v>5.3060701002558703E-6</v>
      </c>
      <c r="H4426" s="10" t="s">
        <v>8865</v>
      </c>
      <c r="I4426" s="10" t="s">
        <v>18</v>
      </c>
    </row>
    <row r="4427" spans="1:9" x14ac:dyDescent="0.2">
      <c r="A4427" s="10" t="s">
        <v>8866</v>
      </c>
      <c r="B4427" s="10">
        <v>1278.5777778127101</v>
      </c>
      <c r="C4427" s="10">
        <v>1.6493805392898899</v>
      </c>
      <c r="D4427" s="10">
        <v>0.23492732491019899</v>
      </c>
      <c r="E4427" s="10">
        <v>7.02081181880554</v>
      </c>
      <c r="F4427" s="4">
        <v>2.20582783460293E-12</v>
      </c>
      <c r="G4427" s="4">
        <v>4.191226709165E-11</v>
      </c>
      <c r="H4427" s="10" t="s">
        <v>8867</v>
      </c>
      <c r="I4427" s="10" t="s">
        <v>18</v>
      </c>
    </row>
    <row r="4428" spans="1:9" x14ac:dyDescent="0.2">
      <c r="A4428" s="10" t="s">
        <v>8868</v>
      </c>
      <c r="B4428" s="10">
        <v>1319.53360620426</v>
      </c>
      <c r="C4428" s="10">
        <v>-1.03191280807776</v>
      </c>
      <c r="D4428" s="10">
        <v>0.19993792278466199</v>
      </c>
      <c r="E4428" s="10">
        <v>-5.1611659944529604</v>
      </c>
      <c r="F4428" s="4">
        <v>2.4541644391425798E-7</v>
      </c>
      <c r="G4428" s="4">
        <v>2.3316975583782001E-6</v>
      </c>
      <c r="H4428" s="10" t="s">
        <v>8869</v>
      </c>
      <c r="I4428" s="10" t="s">
        <v>18</v>
      </c>
    </row>
    <row r="4429" spans="1:9" x14ac:dyDescent="0.2">
      <c r="A4429" s="10" t="s">
        <v>8870</v>
      </c>
      <c r="B4429" s="10">
        <v>1111.81301180075</v>
      </c>
      <c r="C4429" s="10">
        <v>1.5585011848859101</v>
      </c>
      <c r="D4429" s="10">
        <v>0.204111490329864</v>
      </c>
      <c r="E4429" s="10">
        <v>7.6355387066510296</v>
      </c>
      <c r="F4429" s="4">
        <v>2.2487813189442898E-14</v>
      </c>
      <c r="G4429" s="4">
        <v>5.2684905070743903E-13</v>
      </c>
      <c r="H4429" s="10" t="s">
        <v>8871</v>
      </c>
      <c r="I4429" s="10" t="s">
        <v>18</v>
      </c>
    </row>
    <row r="4430" spans="1:9" x14ac:dyDescent="0.2">
      <c r="A4430" s="10" t="s">
        <v>8872</v>
      </c>
      <c r="B4430" s="10">
        <v>4.7680636419614002</v>
      </c>
      <c r="C4430" s="10">
        <v>5.6432542798118002</v>
      </c>
      <c r="D4430" s="10">
        <v>2.1311749596215601</v>
      </c>
      <c r="E4430" s="10">
        <v>2.6479544789761902</v>
      </c>
      <c r="F4430" s="10">
        <v>8.0980428629803102E-3</v>
      </c>
      <c r="G4430" s="10">
        <v>2.66482335613073E-2</v>
      </c>
      <c r="H4430" s="10" t="s">
        <v>8873</v>
      </c>
      <c r="I4430" s="10" t="s">
        <v>18</v>
      </c>
    </row>
    <row r="4431" spans="1:9" x14ac:dyDescent="0.2">
      <c r="A4431" s="10" t="s">
        <v>8874</v>
      </c>
      <c r="B4431" s="10">
        <v>738.75188881182703</v>
      </c>
      <c r="C4431" s="10">
        <v>-2.03651520283747</v>
      </c>
      <c r="D4431" s="10">
        <v>0.231132555213486</v>
      </c>
      <c r="E4431" s="10">
        <v>-8.8110270790561902</v>
      </c>
      <c r="F4431" s="4">
        <v>1.24004405173473E-18</v>
      </c>
      <c r="G4431" s="4">
        <v>4.2553501609088499E-17</v>
      </c>
      <c r="H4431" s="10" t="s">
        <v>8875</v>
      </c>
      <c r="I4431" s="10" t="s">
        <v>18</v>
      </c>
    </row>
    <row r="4432" spans="1:9" x14ac:dyDescent="0.2">
      <c r="A4432" s="10" t="s">
        <v>8876</v>
      </c>
      <c r="B4432" s="10">
        <v>1315.2677361418</v>
      </c>
      <c r="C4432" s="10">
        <v>-1.87972978091745</v>
      </c>
      <c r="D4432" s="10">
        <v>0.218443221389403</v>
      </c>
      <c r="E4432" s="10">
        <v>-8.6051183871097994</v>
      </c>
      <c r="F4432" s="4">
        <v>7.6238031643700606E-18</v>
      </c>
      <c r="G4432" s="4">
        <v>2.4210462100185398E-16</v>
      </c>
      <c r="H4432" s="10" t="s">
        <v>8877</v>
      </c>
      <c r="I4432" s="10" t="s">
        <v>18</v>
      </c>
    </row>
    <row r="4433" spans="1:9" x14ac:dyDescent="0.2">
      <c r="A4433" s="10" t="s">
        <v>8878</v>
      </c>
      <c r="B4433" s="10">
        <v>321.26983610745998</v>
      </c>
      <c r="C4433" s="10">
        <v>4.0041453384990398</v>
      </c>
      <c r="D4433" s="10">
        <v>0.30457381736689998</v>
      </c>
      <c r="E4433" s="10">
        <v>13.1467155421161</v>
      </c>
      <c r="F4433" s="4">
        <v>1.77728356223885E-39</v>
      </c>
      <c r="G4433" s="4">
        <v>2.3738061382510701E-37</v>
      </c>
      <c r="H4433" s="10" t="s">
        <v>8879</v>
      </c>
      <c r="I4433" s="10" t="s">
        <v>18</v>
      </c>
    </row>
    <row r="4434" spans="1:9" x14ac:dyDescent="0.2">
      <c r="A4434" s="10" t="s">
        <v>8880</v>
      </c>
      <c r="B4434" s="10">
        <v>19.3431269809032</v>
      </c>
      <c r="C4434" s="10">
        <v>2.68712582967281</v>
      </c>
      <c r="D4434" s="10">
        <v>0.87954492797553796</v>
      </c>
      <c r="E4434" s="10">
        <v>3.0551319713227199</v>
      </c>
      <c r="F4434" s="10">
        <v>2.2496150930305602E-3</v>
      </c>
      <c r="G4434" s="10">
        <v>8.9143778999132804E-3</v>
      </c>
      <c r="H4434" s="10" t="s">
        <v>8881</v>
      </c>
      <c r="I4434" s="10" t="s">
        <v>18</v>
      </c>
    </row>
    <row r="4435" spans="1:9" x14ac:dyDescent="0.2">
      <c r="A4435" s="10" t="s">
        <v>8882</v>
      </c>
      <c r="B4435" s="10">
        <v>2104.1206186773202</v>
      </c>
      <c r="C4435" s="10">
        <v>-2.2289147256918298</v>
      </c>
      <c r="D4435" s="10">
        <v>0.192639230047812</v>
      </c>
      <c r="E4435" s="10">
        <v>-11.5704092314874</v>
      </c>
      <c r="F4435" s="4">
        <v>5.8204387493308397E-31</v>
      </c>
      <c r="G4435" s="4">
        <v>4.8947374877474499E-29</v>
      </c>
      <c r="H4435" s="10" t="s">
        <v>8883</v>
      </c>
      <c r="I4435" s="10" t="s">
        <v>18</v>
      </c>
    </row>
    <row r="4436" spans="1:9" x14ac:dyDescent="0.2">
      <c r="A4436" s="10" t="s">
        <v>8884</v>
      </c>
      <c r="B4436" s="10">
        <v>22.242218012983098</v>
      </c>
      <c r="C4436" s="10">
        <v>2.4842743982644802</v>
      </c>
      <c r="D4436" s="10">
        <v>0.791637744659761</v>
      </c>
      <c r="E4436" s="10">
        <v>3.1381454649211999</v>
      </c>
      <c r="F4436" s="10">
        <v>1.70020477294089E-3</v>
      </c>
      <c r="G4436" s="10">
        <v>7.0232685640267403E-3</v>
      </c>
      <c r="H4436" s="10" t="s">
        <v>8885</v>
      </c>
      <c r="I4436" s="10" t="s">
        <v>18</v>
      </c>
    </row>
    <row r="4437" spans="1:9" x14ac:dyDescent="0.2">
      <c r="A4437" s="10" t="s">
        <v>8886</v>
      </c>
      <c r="B4437" s="10">
        <v>620.36203357513205</v>
      </c>
      <c r="C4437" s="10">
        <v>1.55198206948795</v>
      </c>
      <c r="D4437" s="10">
        <v>0.24539945015977699</v>
      </c>
      <c r="E4437" s="10">
        <v>6.3243094818568997</v>
      </c>
      <c r="F4437" s="4">
        <v>2.5436747019272902E-10</v>
      </c>
      <c r="G4437" s="4">
        <v>3.7182137662775199E-9</v>
      </c>
      <c r="H4437" s="10" t="s">
        <v>8887</v>
      </c>
      <c r="I4437" s="10" t="s">
        <v>18</v>
      </c>
    </row>
    <row r="4438" spans="1:9" x14ac:dyDescent="0.2">
      <c r="A4438" s="10" t="s">
        <v>8888</v>
      </c>
      <c r="B4438" s="10">
        <v>938.66998690155697</v>
      </c>
      <c r="C4438" s="10">
        <v>1.8703976323968301</v>
      </c>
      <c r="D4438" s="10">
        <v>0.20622680439893901</v>
      </c>
      <c r="E4438" s="10">
        <v>9.0696145821015897</v>
      </c>
      <c r="F4438" s="4">
        <v>1.1943874708681701E-19</v>
      </c>
      <c r="G4438" s="4">
        <v>4.4276837304414902E-18</v>
      </c>
      <c r="H4438" s="10" t="s">
        <v>8889</v>
      </c>
      <c r="I4438" s="10" t="s">
        <v>18</v>
      </c>
    </row>
    <row r="4439" spans="1:9" x14ac:dyDescent="0.2">
      <c r="A4439" s="10" t="s">
        <v>8890</v>
      </c>
      <c r="B4439" s="10">
        <v>896.52703194674405</v>
      </c>
      <c r="C4439" s="10">
        <v>-1.23191910961968</v>
      </c>
      <c r="D4439" s="10">
        <v>0.21485170673963699</v>
      </c>
      <c r="E4439" s="10">
        <v>-5.7338111403162104</v>
      </c>
      <c r="F4439" s="4">
        <v>9.8198671907547597E-9</v>
      </c>
      <c r="G4439" s="4">
        <v>1.16584715183658E-7</v>
      </c>
      <c r="H4439" s="10" t="s">
        <v>8891</v>
      </c>
      <c r="I4439" s="10" t="s">
        <v>18</v>
      </c>
    </row>
    <row r="4440" spans="1:9" x14ac:dyDescent="0.2">
      <c r="A4440" s="10" t="s">
        <v>8892</v>
      </c>
      <c r="B4440" s="10">
        <v>5.3236583755540998</v>
      </c>
      <c r="C4440" s="10">
        <v>5.81195320853233</v>
      </c>
      <c r="D4440" s="10">
        <v>2.0127172119138601</v>
      </c>
      <c r="E4440" s="10">
        <v>2.88761539580906</v>
      </c>
      <c r="F4440" s="10">
        <v>3.8817418998348101E-3</v>
      </c>
      <c r="G4440" s="10">
        <v>1.4279262470739599E-2</v>
      </c>
      <c r="H4440" s="10" t="s">
        <v>8893</v>
      </c>
      <c r="I4440" s="10" t="s">
        <v>18</v>
      </c>
    </row>
    <row r="4441" spans="1:9" x14ac:dyDescent="0.2">
      <c r="A4441" s="10" t="s">
        <v>8894</v>
      </c>
      <c r="B4441" s="10">
        <v>68.504460279686697</v>
      </c>
      <c r="C4441" s="10">
        <v>-2.05887566225773</v>
      </c>
      <c r="D4441" s="10">
        <v>0.446086595535999</v>
      </c>
      <c r="E4441" s="10">
        <v>-4.6154170128870797</v>
      </c>
      <c r="F4441" s="4">
        <v>3.9230678145078302E-6</v>
      </c>
      <c r="G4441" s="4">
        <v>3.02381410868161E-5</v>
      </c>
      <c r="H4441" s="10" t="s">
        <v>8895</v>
      </c>
      <c r="I4441" s="10" t="s">
        <v>18</v>
      </c>
    </row>
    <row r="4442" spans="1:9" x14ac:dyDescent="0.2">
      <c r="A4442" s="10" t="s">
        <v>8896</v>
      </c>
      <c r="B4442" s="10">
        <v>551.766376733181</v>
      </c>
      <c r="C4442" s="10">
        <v>-1.81007615496778</v>
      </c>
      <c r="D4442" s="10">
        <v>0.21929727156560899</v>
      </c>
      <c r="E4442" s="10">
        <v>-8.2539839280501308</v>
      </c>
      <c r="F4442" s="4">
        <v>1.5319996586741499E-16</v>
      </c>
      <c r="G4442" s="4">
        <v>4.4032061919719897E-15</v>
      </c>
      <c r="H4442" s="10" t="s">
        <v>8897</v>
      </c>
      <c r="I4442" s="10" t="s">
        <v>18</v>
      </c>
    </row>
    <row r="4443" spans="1:9" x14ac:dyDescent="0.2">
      <c r="A4443" s="10" t="s">
        <v>8898</v>
      </c>
      <c r="B4443" s="10">
        <v>4.9160218515612604</v>
      </c>
      <c r="C4443" s="10">
        <v>5.6893237459326498</v>
      </c>
      <c r="D4443" s="10">
        <v>2.0655895965157098</v>
      </c>
      <c r="E4443" s="10">
        <v>2.7543340436694499</v>
      </c>
      <c r="F4443" s="10">
        <v>5.8811707954730102E-3</v>
      </c>
      <c r="G4443" s="10">
        <v>2.0353646724787601E-2</v>
      </c>
      <c r="H4443" s="10" t="s">
        <v>8899</v>
      </c>
      <c r="I4443" s="10" t="s">
        <v>18</v>
      </c>
    </row>
    <row r="4444" spans="1:9" x14ac:dyDescent="0.2">
      <c r="A4444" s="10" t="s">
        <v>8900</v>
      </c>
      <c r="B4444" s="10">
        <v>49.8823588435177</v>
      </c>
      <c r="C4444" s="10">
        <v>3.9176182280812801</v>
      </c>
      <c r="D4444" s="10">
        <v>0.62708945643751401</v>
      </c>
      <c r="E4444" s="10">
        <v>6.2473036149215604</v>
      </c>
      <c r="F4444" s="4">
        <v>4.1759883197256602E-10</v>
      </c>
      <c r="G4444" s="4">
        <v>5.9292940983619102E-9</v>
      </c>
      <c r="H4444" s="10" t="s">
        <v>8901</v>
      </c>
      <c r="I4444" s="10" t="s">
        <v>18</v>
      </c>
    </row>
    <row r="4445" spans="1:9" x14ac:dyDescent="0.2">
      <c r="A4445" s="10" t="s">
        <v>8902</v>
      </c>
      <c r="B4445" s="10">
        <v>41.798544697687298</v>
      </c>
      <c r="C4445" s="10">
        <v>6.3241333986159303</v>
      </c>
      <c r="D4445" s="10">
        <v>1.1432537788667101</v>
      </c>
      <c r="E4445" s="10">
        <v>5.5316969123731603</v>
      </c>
      <c r="F4445" s="4">
        <v>3.1714756354069498E-8</v>
      </c>
      <c r="G4445" s="4">
        <v>3.5112654571660301E-7</v>
      </c>
      <c r="H4445" s="10" t="s">
        <v>8903</v>
      </c>
      <c r="I4445" s="10" t="s">
        <v>18</v>
      </c>
    </row>
    <row r="4446" spans="1:9" x14ac:dyDescent="0.2">
      <c r="A4446" s="10" t="s">
        <v>8904</v>
      </c>
      <c r="B4446" s="10">
        <v>2623.3081241744599</v>
      </c>
      <c r="C4446" s="10">
        <v>-1.94713296017337</v>
      </c>
      <c r="D4446" s="10">
        <v>0.18925888492972701</v>
      </c>
      <c r="E4446" s="10">
        <v>-10.288198416134399</v>
      </c>
      <c r="F4446" s="4">
        <v>7.9652711640505503E-25</v>
      </c>
      <c r="G4446" s="4">
        <v>4.3667956419896502E-23</v>
      </c>
      <c r="H4446" s="10" t="s">
        <v>8905</v>
      </c>
      <c r="I4446" s="10" t="s">
        <v>18</v>
      </c>
    </row>
    <row r="4447" spans="1:9" x14ac:dyDescent="0.2">
      <c r="A4447" s="10" t="s">
        <v>8906</v>
      </c>
      <c r="B4447" s="10">
        <v>8.8808356070285495</v>
      </c>
      <c r="C4447" s="10">
        <v>6.54545380227019</v>
      </c>
      <c r="D4447" s="10">
        <v>1.8014170173400601</v>
      </c>
      <c r="E4447" s="10">
        <v>3.63350281432063</v>
      </c>
      <c r="F4447" s="10">
        <v>2.7959939591275902E-4</v>
      </c>
      <c r="G4447" s="10">
        <v>1.4314627471692901E-3</v>
      </c>
      <c r="H4447" s="10" t="s">
        <v>8907</v>
      </c>
      <c r="I4447" s="10" t="s">
        <v>18</v>
      </c>
    </row>
    <row r="4448" spans="1:9" x14ac:dyDescent="0.2">
      <c r="A4448" s="10" t="s">
        <v>8908</v>
      </c>
      <c r="B4448" s="10">
        <v>753.56521124971596</v>
      </c>
      <c r="C4448" s="10">
        <v>1.50792449560965</v>
      </c>
      <c r="D4448" s="10">
        <v>0.25624924362978502</v>
      </c>
      <c r="E4448" s="10">
        <v>5.8846007670103297</v>
      </c>
      <c r="F4448" s="4">
        <v>3.9901597558155704E-9</v>
      </c>
      <c r="G4448" s="4">
        <v>5.0193851739015198E-8</v>
      </c>
      <c r="H4448" s="10" t="s">
        <v>8909</v>
      </c>
      <c r="I4448" s="10" t="s">
        <v>18</v>
      </c>
    </row>
    <row r="4449" spans="1:9" x14ac:dyDescent="0.2">
      <c r="A4449" s="10" t="s">
        <v>8910</v>
      </c>
      <c r="B4449" s="10">
        <v>19624.242042666901</v>
      </c>
      <c r="C4449" s="10">
        <v>-2.51953368525459</v>
      </c>
      <c r="D4449" s="10">
        <v>0.170184627776992</v>
      </c>
      <c r="E4449" s="10">
        <v>-14.804707793915201</v>
      </c>
      <c r="F4449" s="4">
        <v>1.36579268367125E-49</v>
      </c>
      <c r="G4449" s="4">
        <v>2.69664878637612E-47</v>
      </c>
      <c r="H4449" s="10" t="s">
        <v>8911</v>
      </c>
      <c r="I4449" s="10" t="s">
        <v>18</v>
      </c>
    </row>
    <row r="4450" spans="1:9" x14ac:dyDescent="0.2">
      <c r="A4450" s="10" t="s">
        <v>8912</v>
      </c>
      <c r="B4450" s="10">
        <v>12.0786375808085</v>
      </c>
      <c r="C4450" s="10">
        <v>6.9934005996025999</v>
      </c>
      <c r="D4450" s="10">
        <v>1.72298453302387</v>
      </c>
      <c r="E4450" s="10">
        <v>4.0588876252586203</v>
      </c>
      <c r="F4450" s="4">
        <v>4.9307032981254298E-5</v>
      </c>
      <c r="G4450" s="10">
        <v>3.02719406858998E-4</v>
      </c>
      <c r="H4450" s="10" t="s">
        <v>8913</v>
      </c>
      <c r="I4450" s="10" t="s">
        <v>18</v>
      </c>
    </row>
    <row r="4451" spans="1:9" x14ac:dyDescent="0.2">
      <c r="A4451" s="10" t="s">
        <v>8914</v>
      </c>
      <c r="B4451" s="10">
        <v>16337.0109478752</v>
      </c>
      <c r="C4451" s="10">
        <v>1.0705490140413401</v>
      </c>
      <c r="D4451" s="10">
        <v>0.16954115222222499</v>
      </c>
      <c r="E4451" s="10">
        <v>6.3143903412790898</v>
      </c>
      <c r="F4451" s="4">
        <v>2.7122856222562999E-10</v>
      </c>
      <c r="G4451" s="4">
        <v>3.94773751867614E-9</v>
      </c>
      <c r="H4451" s="10" t="s">
        <v>8915</v>
      </c>
      <c r="I4451" s="10" t="s">
        <v>18</v>
      </c>
    </row>
    <row r="4452" spans="1:9" x14ac:dyDescent="0.2">
      <c r="A4452" s="10" t="s">
        <v>8916</v>
      </c>
      <c r="B4452" s="10">
        <v>353.72354396982598</v>
      </c>
      <c r="C4452" s="10">
        <v>1.2839050251600601</v>
      </c>
      <c r="D4452" s="10">
        <v>0.246136765488847</v>
      </c>
      <c r="E4452" s="10">
        <v>5.2162261196945598</v>
      </c>
      <c r="F4452" s="4">
        <v>1.8260524290107801E-7</v>
      </c>
      <c r="G4452" s="4">
        <v>1.7782148153415599E-6</v>
      </c>
      <c r="H4452" s="10" t="s">
        <v>8917</v>
      </c>
      <c r="I4452" s="10" t="s">
        <v>18</v>
      </c>
    </row>
    <row r="4453" spans="1:9" x14ac:dyDescent="0.2">
      <c r="A4453" s="10" t="s">
        <v>8918</v>
      </c>
      <c r="B4453" s="10">
        <v>519.78542955322405</v>
      </c>
      <c r="C4453" s="10">
        <v>-1.90484981015995</v>
      </c>
      <c r="D4453" s="10">
        <v>0.24665875002474399</v>
      </c>
      <c r="E4453" s="10">
        <v>-7.7226119485680798</v>
      </c>
      <c r="F4453" s="4">
        <v>1.13969744707139E-14</v>
      </c>
      <c r="G4453" s="4">
        <v>2.7265885037253199E-13</v>
      </c>
      <c r="H4453" s="10" t="s">
        <v>8919</v>
      </c>
      <c r="I4453" s="10" t="s">
        <v>18</v>
      </c>
    </row>
    <row r="4454" spans="1:9" x14ac:dyDescent="0.2">
      <c r="A4454" s="10" t="s">
        <v>8920</v>
      </c>
      <c r="B4454" s="10">
        <v>1432.9447245386</v>
      </c>
      <c r="C4454" s="10">
        <v>-1.18299557698034</v>
      </c>
      <c r="D4454" s="10">
        <v>0.196644544435919</v>
      </c>
      <c r="E4454" s="10">
        <v>-6.0159084523488904</v>
      </c>
      <c r="F4454" s="4">
        <v>1.7888064894074099E-9</v>
      </c>
      <c r="G4454" s="4">
        <v>2.3387528990827099E-8</v>
      </c>
      <c r="H4454" s="10" t="s">
        <v>8921</v>
      </c>
      <c r="I4454" s="10" t="s">
        <v>18</v>
      </c>
    </row>
    <row r="4455" spans="1:9" x14ac:dyDescent="0.2">
      <c r="A4455" s="10" t="s">
        <v>8922</v>
      </c>
      <c r="B4455" s="10">
        <v>5.6890452139944099</v>
      </c>
      <c r="C4455" s="10">
        <v>5.90458838774253</v>
      </c>
      <c r="D4455" s="10">
        <v>1.96865330632059</v>
      </c>
      <c r="E4455" s="10">
        <v>2.9993033150048101</v>
      </c>
      <c r="F4455" s="10">
        <v>2.70597772509573E-3</v>
      </c>
      <c r="G4455" s="10">
        <v>1.04610918098302E-2</v>
      </c>
      <c r="H4455" s="10" t="s">
        <v>8923</v>
      </c>
      <c r="I4455" s="10" t="s">
        <v>18</v>
      </c>
    </row>
    <row r="4456" spans="1:9" x14ac:dyDescent="0.2">
      <c r="A4456" s="10" t="s">
        <v>8924</v>
      </c>
      <c r="B4456" s="10">
        <v>11.1214179039687</v>
      </c>
      <c r="C4456" s="10">
        <v>6.8719082283289303</v>
      </c>
      <c r="D4456" s="10">
        <v>1.7335391862289</v>
      </c>
      <c r="E4456" s="10">
        <v>3.96409165879771</v>
      </c>
      <c r="F4456" s="4">
        <v>7.3675942358143994E-5</v>
      </c>
      <c r="G4456" s="10">
        <v>4.3441861100029197E-4</v>
      </c>
      <c r="H4456" s="10" t="s">
        <v>8925</v>
      </c>
      <c r="I4456" s="10" t="s">
        <v>18</v>
      </c>
    </row>
    <row r="4457" spans="1:9" x14ac:dyDescent="0.2">
      <c r="A4457" s="10" t="s">
        <v>8926</v>
      </c>
      <c r="B4457" s="10">
        <v>3.8893317554809199</v>
      </c>
      <c r="C4457" s="10">
        <v>5.35263968609567</v>
      </c>
      <c r="D4457" s="10">
        <v>2.1805139762792298</v>
      </c>
      <c r="E4457" s="10">
        <v>2.4547605492670499</v>
      </c>
      <c r="F4457" s="10">
        <v>1.40978459500909E-2</v>
      </c>
      <c r="G4457" s="10">
        <v>4.2402473628670397E-2</v>
      </c>
      <c r="H4457" s="10" t="s">
        <v>8927</v>
      </c>
      <c r="I4457" s="10" t="s">
        <v>18</v>
      </c>
    </row>
    <row r="4458" spans="1:9" x14ac:dyDescent="0.2">
      <c r="A4458" s="10" t="s">
        <v>8928</v>
      </c>
      <c r="B4458" s="10">
        <v>5.8339976332213803</v>
      </c>
      <c r="C4458" s="10">
        <v>5.9376349820635896</v>
      </c>
      <c r="D4458" s="10">
        <v>1.9699676968919899</v>
      </c>
      <c r="E4458" s="10">
        <v>3.0140773330605199</v>
      </c>
      <c r="F4458" s="10">
        <v>2.5776209366505701E-3</v>
      </c>
      <c r="G4458" s="10">
        <v>1.00332053801311E-2</v>
      </c>
      <c r="H4458" s="10" t="s">
        <v>8929</v>
      </c>
      <c r="I4458" s="10" t="s">
        <v>18</v>
      </c>
    </row>
    <row r="4459" spans="1:9" x14ac:dyDescent="0.2">
      <c r="A4459" s="10" t="s">
        <v>8930</v>
      </c>
      <c r="B4459" s="10">
        <v>15.7754706155243</v>
      </c>
      <c r="C4459" s="10">
        <v>3.2109942423739999</v>
      </c>
      <c r="D4459" s="10">
        <v>1.01350653253268</v>
      </c>
      <c r="E4459" s="10">
        <v>3.1682028080765798</v>
      </c>
      <c r="F4459" s="10">
        <v>1.5338448015333401E-3</v>
      </c>
      <c r="G4459" s="10">
        <v>6.4020633130176096E-3</v>
      </c>
      <c r="H4459" s="10" t="s">
        <v>8931</v>
      </c>
      <c r="I4459" s="10" t="s">
        <v>18</v>
      </c>
    </row>
    <row r="4460" spans="1:9" x14ac:dyDescent="0.2">
      <c r="A4460" s="10" t="s">
        <v>8932</v>
      </c>
      <c r="B4460" s="10">
        <v>3069.38137240181</v>
      </c>
      <c r="C4460" s="10">
        <v>-1.0771324491611001</v>
      </c>
      <c r="D4460" s="10">
        <v>0.187368460511009</v>
      </c>
      <c r="E4460" s="10">
        <v>-5.7487393888141503</v>
      </c>
      <c r="F4460" s="4">
        <v>8.9911278263070701E-9</v>
      </c>
      <c r="G4460" s="4">
        <v>1.0740081538070499E-7</v>
      </c>
      <c r="H4460" s="10" t="s">
        <v>8933</v>
      </c>
      <c r="I4460" s="10" t="s">
        <v>18</v>
      </c>
    </row>
    <row r="4461" spans="1:9" x14ac:dyDescent="0.2">
      <c r="A4461" s="10" t="s">
        <v>8934</v>
      </c>
      <c r="B4461" s="10">
        <v>3281.3027105096999</v>
      </c>
      <c r="C4461" s="10">
        <v>1.5346496205659499</v>
      </c>
      <c r="D4461" s="10">
        <v>0.18457422744007601</v>
      </c>
      <c r="E4461" s="10">
        <v>8.3145390439962306</v>
      </c>
      <c r="F4461" s="4">
        <v>9.2109575631067003E-17</v>
      </c>
      <c r="G4461" s="4">
        <v>2.6986124808813799E-15</v>
      </c>
      <c r="H4461" s="10" t="s">
        <v>8935</v>
      </c>
      <c r="I4461" s="10" t="s">
        <v>18</v>
      </c>
    </row>
    <row r="4462" spans="1:9" x14ac:dyDescent="0.2">
      <c r="A4462" s="10" t="s">
        <v>8936</v>
      </c>
      <c r="B4462" s="10">
        <v>7.3377946725351499</v>
      </c>
      <c r="C4462" s="10">
        <v>6.2678095163654897</v>
      </c>
      <c r="D4462" s="10">
        <v>1.8845290122337099</v>
      </c>
      <c r="E4462" s="10">
        <v>3.3259289062025901</v>
      </c>
      <c r="F4462" s="10">
        <v>8.8124402618598502E-4</v>
      </c>
      <c r="G4462" s="10">
        <v>3.9485702978933604E-3</v>
      </c>
      <c r="H4462" s="10" t="s">
        <v>8937</v>
      </c>
      <c r="I4462" s="10" t="s">
        <v>18</v>
      </c>
    </row>
    <row r="4463" spans="1:9" x14ac:dyDescent="0.2">
      <c r="A4463" s="10" t="s">
        <v>8938</v>
      </c>
      <c r="B4463" s="10">
        <v>1407.0325522569401</v>
      </c>
      <c r="C4463" s="10">
        <v>1.1208019817421</v>
      </c>
      <c r="D4463" s="10">
        <v>0.18754336006112299</v>
      </c>
      <c r="E4463" s="10">
        <v>5.9762285445713497</v>
      </c>
      <c r="F4463" s="4">
        <v>2.2836257345298401E-9</v>
      </c>
      <c r="G4463" s="4">
        <v>2.9461150752241702E-8</v>
      </c>
      <c r="H4463" s="10" t="s">
        <v>8939</v>
      </c>
      <c r="I4463" s="10" t="s">
        <v>18</v>
      </c>
    </row>
    <row r="4464" spans="1:9" x14ac:dyDescent="0.2">
      <c r="A4464" s="10" t="s">
        <v>8940</v>
      </c>
      <c r="B4464" s="10">
        <v>4891.9155164593003</v>
      </c>
      <c r="C4464" s="10">
        <v>1.54292031274555</v>
      </c>
      <c r="D4464" s="10">
        <v>0.212183791852149</v>
      </c>
      <c r="E4464" s="10">
        <v>7.2716219239812103</v>
      </c>
      <c r="F4464" s="4">
        <v>3.5519657351638299E-13</v>
      </c>
      <c r="G4464" s="4">
        <v>7.4503780127797394E-12</v>
      </c>
      <c r="H4464" s="10" t="s">
        <v>8941</v>
      </c>
      <c r="I4464" s="10" t="s">
        <v>18</v>
      </c>
    </row>
    <row r="4465" spans="1:9" x14ac:dyDescent="0.2">
      <c r="A4465" s="10" t="s">
        <v>8942</v>
      </c>
      <c r="B4465" s="10">
        <v>27.482162711349002</v>
      </c>
      <c r="C4465" s="10">
        <v>6.7197600927063901</v>
      </c>
      <c r="D4465" s="10">
        <v>1.5696130448897101</v>
      </c>
      <c r="E4465" s="10">
        <v>4.2811571390696299</v>
      </c>
      <c r="F4465" s="4">
        <v>1.85924008268784E-5</v>
      </c>
      <c r="G4465" s="10">
        <v>1.2431586388465099E-4</v>
      </c>
      <c r="H4465" s="10" t="s">
        <v>8943</v>
      </c>
      <c r="I4465" s="10" t="s">
        <v>18</v>
      </c>
    </row>
    <row r="4466" spans="1:9" x14ac:dyDescent="0.2">
      <c r="A4466" s="10" t="s">
        <v>8944</v>
      </c>
      <c r="B4466" s="10">
        <v>800.87836601985498</v>
      </c>
      <c r="C4466" s="10">
        <v>1.1736130426451701</v>
      </c>
      <c r="D4466" s="10">
        <v>0.21542777603525001</v>
      </c>
      <c r="E4466" s="10">
        <v>5.44782601503129</v>
      </c>
      <c r="F4466" s="4">
        <v>5.0989197971648998E-8</v>
      </c>
      <c r="G4466" s="4">
        <v>5.4461100632438996E-7</v>
      </c>
      <c r="H4466" s="10" t="s">
        <v>8945</v>
      </c>
      <c r="I4466" s="10" t="s">
        <v>18</v>
      </c>
    </row>
    <row r="4467" spans="1:9" x14ac:dyDescent="0.2">
      <c r="A4467" s="10" t="s">
        <v>8946</v>
      </c>
      <c r="B4467" s="10">
        <v>313.29937615868801</v>
      </c>
      <c r="C4467" s="10">
        <v>1.00091680183422</v>
      </c>
      <c r="D4467" s="10">
        <v>0.28640106556253397</v>
      </c>
      <c r="E4467" s="10">
        <v>3.4948082328823502</v>
      </c>
      <c r="F4467" s="10">
        <v>4.7440247776700398E-4</v>
      </c>
      <c r="G4467" s="10">
        <v>2.2877954534013399E-3</v>
      </c>
      <c r="H4467" s="10" t="s">
        <v>8947</v>
      </c>
      <c r="I4467" s="10" t="s">
        <v>18</v>
      </c>
    </row>
    <row r="4468" spans="1:9" x14ac:dyDescent="0.2">
      <c r="A4468" s="10" t="s">
        <v>8948</v>
      </c>
      <c r="B4468" s="10">
        <v>1255.0107683814799</v>
      </c>
      <c r="C4468" s="10">
        <v>-2.5182593352392399</v>
      </c>
      <c r="D4468" s="10">
        <v>0.235516377833484</v>
      </c>
      <c r="E4468" s="10">
        <v>-10.6925019754665</v>
      </c>
      <c r="F4468" s="4">
        <v>1.10353196713458E-26</v>
      </c>
      <c r="G4468" s="4">
        <v>6.8963154836045504E-25</v>
      </c>
      <c r="H4468" s="10" t="s">
        <v>8949</v>
      </c>
      <c r="I4468" s="10" t="s">
        <v>18</v>
      </c>
    </row>
    <row r="4469" spans="1:9" x14ac:dyDescent="0.2">
      <c r="A4469" s="10" t="s">
        <v>8950</v>
      </c>
      <c r="B4469" s="10">
        <v>953.19848682455699</v>
      </c>
      <c r="C4469" s="10">
        <v>-1.06156182924942</v>
      </c>
      <c r="D4469" s="10">
        <v>0.20502843815923799</v>
      </c>
      <c r="E4469" s="10">
        <v>-5.1776321313287301</v>
      </c>
      <c r="F4469" s="4">
        <v>2.24719782447976E-7</v>
      </c>
      <c r="G4469" s="4">
        <v>2.1552058825624799E-6</v>
      </c>
      <c r="H4469" s="10" t="s">
        <v>8951</v>
      </c>
      <c r="I4469" s="10" t="s">
        <v>18</v>
      </c>
    </row>
    <row r="4470" spans="1:9" x14ac:dyDescent="0.2">
      <c r="A4470" s="10" t="s">
        <v>8952</v>
      </c>
      <c r="B4470" s="10">
        <v>270.52160710000101</v>
      </c>
      <c r="C4470" s="10">
        <v>1.8238258429986201</v>
      </c>
      <c r="D4470" s="10">
        <v>0.27308500222131499</v>
      </c>
      <c r="E4470" s="10">
        <v>6.6786012712647604</v>
      </c>
      <c r="F4470" s="4">
        <v>2.4123350186313701E-11</v>
      </c>
      <c r="G4470" s="4">
        <v>4.0749468228548702E-10</v>
      </c>
      <c r="H4470" s="10" t="s">
        <v>8953</v>
      </c>
      <c r="I4470" s="10" t="s">
        <v>18</v>
      </c>
    </row>
    <row r="4471" spans="1:9" x14ac:dyDescent="0.2">
      <c r="A4471" s="10" t="s">
        <v>8954</v>
      </c>
      <c r="B4471" s="10">
        <v>785.78371067678302</v>
      </c>
      <c r="C4471" s="10">
        <v>-1.66279974458948</v>
      </c>
      <c r="D4471" s="10">
        <v>0.241854719289569</v>
      </c>
      <c r="E4471" s="10">
        <v>-6.87520073816974</v>
      </c>
      <c r="F4471" s="4">
        <v>6.1902628143230604E-12</v>
      </c>
      <c r="G4471" s="4">
        <v>1.11257315898325E-10</v>
      </c>
      <c r="H4471" s="10" t="s">
        <v>8955</v>
      </c>
      <c r="I4471" s="10" t="s">
        <v>18</v>
      </c>
    </row>
    <row r="4472" spans="1:9" x14ac:dyDescent="0.2">
      <c r="A4472" s="10" t="s">
        <v>8956</v>
      </c>
      <c r="B4472" s="10">
        <v>541.05866505709605</v>
      </c>
      <c r="C4472" s="10">
        <v>-1.44237321594137</v>
      </c>
      <c r="D4472" s="10">
        <v>0.27633109185798699</v>
      </c>
      <c r="E4472" s="10">
        <v>-5.2197282840782799</v>
      </c>
      <c r="F4472" s="4">
        <v>1.79185823599853E-7</v>
      </c>
      <c r="G4472" s="4">
        <v>1.74804014880959E-6</v>
      </c>
      <c r="H4472" s="10" t="s">
        <v>8957</v>
      </c>
      <c r="I4472" s="10" t="s">
        <v>18</v>
      </c>
    </row>
    <row r="4473" spans="1:9" x14ac:dyDescent="0.2">
      <c r="A4473" s="10" t="s">
        <v>8958</v>
      </c>
      <c r="B4473" s="10">
        <v>1061.3499028507799</v>
      </c>
      <c r="C4473" s="10">
        <v>-1.2074937416434</v>
      </c>
      <c r="D4473" s="10">
        <v>0.24878196621453799</v>
      </c>
      <c r="E4473" s="10">
        <v>-4.8536224711807101</v>
      </c>
      <c r="F4473" s="4">
        <v>1.21226417375245E-6</v>
      </c>
      <c r="G4473" s="4">
        <v>1.02230151477044E-5</v>
      </c>
      <c r="H4473" s="10" t="s">
        <v>8959</v>
      </c>
      <c r="I4473" s="10" t="s">
        <v>18</v>
      </c>
    </row>
    <row r="4474" spans="1:9" x14ac:dyDescent="0.2">
      <c r="A4474" s="10" t="s">
        <v>8960</v>
      </c>
      <c r="B4474" s="10">
        <v>2139.00241168505</v>
      </c>
      <c r="C4474" s="10">
        <v>-1.7775299458115399</v>
      </c>
      <c r="D4474" s="10">
        <v>0.18155139077947699</v>
      </c>
      <c r="E4474" s="10">
        <v>-9.7907812117541599</v>
      </c>
      <c r="F4474" s="4">
        <v>1.2333920601213E-22</v>
      </c>
      <c r="G4474" s="4">
        <v>5.77426691789092E-21</v>
      </c>
      <c r="H4474" s="10" t="s">
        <v>8961</v>
      </c>
      <c r="I4474" s="10" t="s">
        <v>18</v>
      </c>
    </row>
    <row r="4475" spans="1:9" x14ac:dyDescent="0.2">
      <c r="A4475" s="10" t="s">
        <v>8962</v>
      </c>
      <c r="B4475" s="10">
        <v>2477.9839028687802</v>
      </c>
      <c r="C4475" s="10">
        <v>-1.7631767506266101</v>
      </c>
      <c r="D4475" s="10">
        <v>0.18387226684022701</v>
      </c>
      <c r="E4475" s="10">
        <v>-9.5891391395021408</v>
      </c>
      <c r="F4475" s="4">
        <v>8.8822997858033993E-22</v>
      </c>
      <c r="G4475" s="4">
        <v>3.9739905133626498E-20</v>
      </c>
      <c r="H4475" s="10" t="s">
        <v>8963</v>
      </c>
      <c r="I4475" s="10" t="s">
        <v>18</v>
      </c>
    </row>
    <row r="4476" spans="1:9" x14ac:dyDescent="0.2">
      <c r="A4476" s="10" t="s">
        <v>8964</v>
      </c>
      <c r="B4476" s="10">
        <v>7319.6804244689401</v>
      </c>
      <c r="C4476" s="10">
        <v>-1.3079464224328301</v>
      </c>
      <c r="D4476" s="10">
        <v>0.223986133814988</v>
      </c>
      <c r="E4476" s="10">
        <v>-5.8394080033239204</v>
      </c>
      <c r="F4476" s="4">
        <v>5.2386634050439596E-9</v>
      </c>
      <c r="G4476" s="4">
        <v>6.4704379781157203E-8</v>
      </c>
      <c r="H4476" s="10" t="s">
        <v>8965</v>
      </c>
      <c r="I4476" s="10" t="s">
        <v>18</v>
      </c>
    </row>
    <row r="4477" spans="1:9" x14ac:dyDescent="0.2">
      <c r="A4477" s="10" t="s">
        <v>8966</v>
      </c>
      <c r="B4477" s="10">
        <v>23.142121444234299</v>
      </c>
      <c r="C4477" s="10">
        <v>-1.81166357194845</v>
      </c>
      <c r="D4477" s="10">
        <v>0.73562850288453097</v>
      </c>
      <c r="E4477" s="10">
        <v>-2.4627424914132501</v>
      </c>
      <c r="F4477" s="10">
        <v>1.37878901957622E-2</v>
      </c>
      <c r="G4477" s="10">
        <v>4.1640284212362197E-2</v>
      </c>
      <c r="H4477" s="10" t="s">
        <v>8967</v>
      </c>
      <c r="I4477" s="10" t="s">
        <v>18</v>
      </c>
    </row>
    <row r="4478" spans="1:9" x14ac:dyDescent="0.2">
      <c r="A4478" s="10" t="s">
        <v>8968</v>
      </c>
      <c r="B4478" s="10">
        <v>163.85028106566199</v>
      </c>
      <c r="C4478" s="10">
        <v>-1.5901740296956599</v>
      </c>
      <c r="D4478" s="10">
        <v>0.312748990971501</v>
      </c>
      <c r="E4478" s="10">
        <v>-5.0845057077756097</v>
      </c>
      <c r="F4478" s="4">
        <v>3.6858468510786698E-7</v>
      </c>
      <c r="G4478" s="4">
        <v>3.4055025144571198E-6</v>
      </c>
      <c r="H4478" s="10" t="s">
        <v>8969</v>
      </c>
      <c r="I4478" s="10" t="s">
        <v>18</v>
      </c>
    </row>
    <row r="4479" spans="1:9" x14ac:dyDescent="0.2">
      <c r="A4479" s="10" t="s">
        <v>8970</v>
      </c>
      <c r="B4479" s="10">
        <v>30.2971006022346</v>
      </c>
      <c r="C4479" s="10">
        <v>2.2024545113683298</v>
      </c>
      <c r="D4479" s="10">
        <v>0.66089335742184097</v>
      </c>
      <c r="E4479" s="10">
        <v>3.3325414556444599</v>
      </c>
      <c r="F4479" s="10">
        <v>8.6056648535495295E-4</v>
      </c>
      <c r="G4479" s="10">
        <v>3.8716068786853802E-3</v>
      </c>
      <c r="H4479" s="10" t="s">
        <v>8971</v>
      </c>
      <c r="I4479" s="10" t="s">
        <v>18</v>
      </c>
    </row>
    <row r="4480" spans="1:9" x14ac:dyDescent="0.2">
      <c r="A4480" s="10" t="s">
        <v>8972</v>
      </c>
      <c r="B4480" s="10">
        <v>162.00928016393499</v>
      </c>
      <c r="C4480" s="10">
        <v>1.51112372313904</v>
      </c>
      <c r="D4480" s="10">
        <v>0.33026287511819302</v>
      </c>
      <c r="E4480" s="10">
        <v>4.5755179797252401</v>
      </c>
      <c r="F4480" s="4">
        <v>4.7504316437279799E-6</v>
      </c>
      <c r="G4480" s="4">
        <v>3.6004175520627603E-5</v>
      </c>
      <c r="H4480" s="10" t="s">
        <v>8973</v>
      </c>
      <c r="I4480" s="10" t="s">
        <v>18</v>
      </c>
    </row>
    <row r="4481" spans="1:9" x14ac:dyDescent="0.2">
      <c r="A4481" s="10" t="s">
        <v>8974</v>
      </c>
      <c r="B4481" s="10">
        <v>86.034995321169902</v>
      </c>
      <c r="C4481" s="10">
        <v>-1.5611178285802401</v>
      </c>
      <c r="D4481" s="10">
        <v>0.39632256627996798</v>
      </c>
      <c r="E4481" s="10">
        <v>-3.9390081751677002</v>
      </c>
      <c r="F4481" s="4">
        <v>8.1819142630646901E-5</v>
      </c>
      <c r="G4481" s="10">
        <v>4.7849885796463499E-4</v>
      </c>
      <c r="H4481" s="10" t="s">
        <v>8975</v>
      </c>
      <c r="I4481" s="10" t="s">
        <v>18</v>
      </c>
    </row>
    <row r="4482" spans="1:9" x14ac:dyDescent="0.2">
      <c r="A4482" s="10" t="s">
        <v>8976</v>
      </c>
      <c r="B4482" s="10">
        <v>1723.43699972593</v>
      </c>
      <c r="C4482" s="10">
        <v>1.8736009654724399</v>
      </c>
      <c r="D4482" s="10">
        <v>0.18960368110209699</v>
      </c>
      <c r="E4482" s="10">
        <v>9.8816697786766792</v>
      </c>
      <c r="F4482" s="4">
        <v>4.9992823907361998E-23</v>
      </c>
      <c r="G4482" s="4">
        <v>2.4151675053260499E-21</v>
      </c>
      <c r="H4482" s="10" t="s">
        <v>8977</v>
      </c>
      <c r="I4482" s="10" t="s">
        <v>18</v>
      </c>
    </row>
    <row r="4483" spans="1:9" x14ac:dyDescent="0.2">
      <c r="A4483" s="10" t="s">
        <v>8978</v>
      </c>
      <c r="B4483" s="10">
        <v>97.551701221700498</v>
      </c>
      <c r="C4483" s="10">
        <v>-1.1773730310132999</v>
      </c>
      <c r="D4483" s="10">
        <v>0.371890158357912</v>
      </c>
      <c r="E4483" s="10">
        <v>-3.1659160764350802</v>
      </c>
      <c r="F4483" s="10">
        <v>1.5459538951122401E-3</v>
      </c>
      <c r="G4483" s="10">
        <v>6.4476665819873102E-3</v>
      </c>
      <c r="H4483" s="10" t="s">
        <v>8979</v>
      </c>
      <c r="I4483" s="10" t="s">
        <v>18</v>
      </c>
    </row>
    <row r="4484" spans="1:9" x14ac:dyDescent="0.2">
      <c r="A4484" s="10" t="s">
        <v>8980</v>
      </c>
      <c r="B4484" s="10">
        <v>19.3166975178097</v>
      </c>
      <c r="C4484" s="10">
        <v>3.8016680735993802</v>
      </c>
      <c r="D4484" s="10">
        <v>0.961533405444711</v>
      </c>
      <c r="E4484" s="10">
        <v>3.9537555867246299</v>
      </c>
      <c r="F4484" s="4">
        <v>7.6933999457564701E-5</v>
      </c>
      <c r="G4484" s="10">
        <v>4.5255196097156001E-4</v>
      </c>
      <c r="H4484" s="10" t="s">
        <v>8981</v>
      </c>
      <c r="I4484" s="10" t="s">
        <v>18</v>
      </c>
    </row>
    <row r="4485" spans="1:9" x14ac:dyDescent="0.2">
      <c r="A4485" s="10" t="s">
        <v>8982</v>
      </c>
      <c r="B4485" s="10">
        <v>1792.2890715271401</v>
      </c>
      <c r="C4485" s="10">
        <v>3.1522632173159502</v>
      </c>
      <c r="D4485" s="10">
        <v>0.235150978518672</v>
      </c>
      <c r="E4485" s="10">
        <v>13.4052736551366</v>
      </c>
      <c r="F4485" s="4">
        <v>5.6315176684550704E-41</v>
      </c>
      <c r="G4485" s="4">
        <v>8.2054525086842498E-39</v>
      </c>
      <c r="H4485" s="10" t="s">
        <v>8983</v>
      </c>
      <c r="I4485" s="10" t="s">
        <v>18</v>
      </c>
    </row>
    <row r="4486" spans="1:9" x14ac:dyDescent="0.2">
      <c r="A4486" s="10" t="s">
        <v>8984</v>
      </c>
      <c r="B4486" s="10">
        <v>407.18067658414799</v>
      </c>
      <c r="C4486" s="10">
        <v>-1.50775885338599</v>
      </c>
      <c r="D4486" s="10">
        <v>0.23860585009737401</v>
      </c>
      <c r="E4486" s="10">
        <v>-6.3190355675297996</v>
      </c>
      <c r="F4486" s="4">
        <v>2.6320070003503802E-10</v>
      </c>
      <c r="G4486" s="4">
        <v>3.8390950074168498E-9</v>
      </c>
      <c r="H4486" s="10" t="s">
        <v>8985</v>
      </c>
      <c r="I4486" s="10" t="s">
        <v>18</v>
      </c>
    </row>
    <row r="4487" spans="1:9" x14ac:dyDescent="0.2">
      <c r="A4487" s="10" t="s">
        <v>8986</v>
      </c>
      <c r="B4487" s="10">
        <v>7.4829149907246402</v>
      </c>
      <c r="C4487" s="10">
        <v>4.8077649120513</v>
      </c>
      <c r="D4487" s="10">
        <v>1.8386900072933801</v>
      </c>
      <c r="E4487" s="10">
        <v>2.6147773104660099</v>
      </c>
      <c r="F4487" s="10">
        <v>8.9285647666265296E-3</v>
      </c>
      <c r="G4487" s="10">
        <v>2.8994717049192601E-2</v>
      </c>
      <c r="H4487" s="10" t="s">
        <v>8987</v>
      </c>
      <c r="I4487" s="10" t="s">
        <v>18</v>
      </c>
    </row>
    <row r="4488" spans="1:9" x14ac:dyDescent="0.2">
      <c r="A4488" s="10" t="s">
        <v>8988</v>
      </c>
      <c r="B4488" s="10">
        <v>278.735608142709</v>
      </c>
      <c r="C4488" s="10">
        <v>-1.4062970781086299</v>
      </c>
      <c r="D4488" s="10">
        <v>0.26694378748497799</v>
      </c>
      <c r="E4488" s="10">
        <v>-5.2681393763013196</v>
      </c>
      <c r="F4488" s="4">
        <v>1.3781345775836401E-7</v>
      </c>
      <c r="G4488" s="4">
        <v>1.3664495209396501E-6</v>
      </c>
      <c r="H4488" s="10" t="s">
        <v>8989</v>
      </c>
      <c r="I4488" s="10" t="s">
        <v>18</v>
      </c>
    </row>
    <row r="4489" spans="1:9" x14ac:dyDescent="0.2">
      <c r="A4489" s="10" t="s">
        <v>8990</v>
      </c>
      <c r="B4489" s="10">
        <v>1131.98875444281</v>
      </c>
      <c r="C4489" s="10">
        <v>-1.1238633024879201</v>
      </c>
      <c r="D4489" s="10">
        <v>0.25691212812834502</v>
      </c>
      <c r="E4489" s="10">
        <v>-4.3745046630358901</v>
      </c>
      <c r="F4489" s="4">
        <v>1.21708521734415E-5</v>
      </c>
      <c r="G4489" s="4">
        <v>8.4834793852586499E-5</v>
      </c>
      <c r="H4489" s="10" t="s">
        <v>8991</v>
      </c>
      <c r="I4489" s="10" t="s">
        <v>18</v>
      </c>
    </row>
    <row r="4490" spans="1:9" x14ac:dyDescent="0.2">
      <c r="A4490" s="10" t="s">
        <v>8992</v>
      </c>
      <c r="B4490" s="10">
        <v>2466.0624613916302</v>
      </c>
      <c r="C4490" s="10">
        <v>-1.7060416129421401</v>
      </c>
      <c r="D4490" s="10">
        <v>0.20571594914522401</v>
      </c>
      <c r="E4490" s="10">
        <v>-8.2931907809334202</v>
      </c>
      <c r="F4490" s="4">
        <v>1.10250297446521E-16</v>
      </c>
      <c r="G4490" s="4">
        <v>3.20254781932342E-15</v>
      </c>
      <c r="H4490" s="10" t="s">
        <v>8993</v>
      </c>
      <c r="I4490" s="10" t="s">
        <v>18</v>
      </c>
    </row>
    <row r="4491" spans="1:9" x14ac:dyDescent="0.2">
      <c r="A4491" s="10" t="s">
        <v>8994</v>
      </c>
      <c r="B4491" s="10">
        <v>8.2587762445681605</v>
      </c>
      <c r="C4491" s="10">
        <v>6.4429411301088502</v>
      </c>
      <c r="D4491" s="10">
        <v>1.8226190975501899</v>
      </c>
      <c r="E4491" s="10">
        <v>3.5349904644195398</v>
      </c>
      <c r="F4491" s="10">
        <v>4.0778987390595399E-4</v>
      </c>
      <c r="G4491" s="10">
        <v>2.00307385871922E-3</v>
      </c>
      <c r="H4491" s="10" t="s">
        <v>8995</v>
      </c>
      <c r="I4491" s="10" t="s">
        <v>18</v>
      </c>
    </row>
    <row r="4492" spans="1:9" x14ac:dyDescent="0.2">
      <c r="A4492" s="10" t="s">
        <v>8996</v>
      </c>
      <c r="B4492" s="10">
        <v>275.00410448193099</v>
      </c>
      <c r="C4492" s="10">
        <v>7.0474549422615498</v>
      </c>
      <c r="D4492" s="10">
        <v>0.57339591931935696</v>
      </c>
      <c r="E4492" s="10">
        <v>12.2907308978186</v>
      </c>
      <c r="F4492" s="4">
        <v>1.0158338027087E-34</v>
      </c>
      <c r="G4492" s="4">
        <v>1.04842513721227E-32</v>
      </c>
      <c r="H4492" s="10" t="s">
        <v>8997</v>
      </c>
      <c r="I4492" s="10" t="s">
        <v>18</v>
      </c>
    </row>
    <row r="4493" spans="1:9" x14ac:dyDescent="0.2">
      <c r="A4493" s="10" t="s">
        <v>8998</v>
      </c>
      <c r="B4493" s="10">
        <v>14.8878892568876</v>
      </c>
      <c r="C4493" s="10">
        <v>2.86669912004808</v>
      </c>
      <c r="D4493" s="10">
        <v>1.0086971038202901</v>
      </c>
      <c r="E4493" s="10">
        <v>2.8419821066114599</v>
      </c>
      <c r="F4493" s="10">
        <v>4.4834007828842897E-3</v>
      </c>
      <c r="G4493" s="10">
        <v>1.6152217523634601E-2</v>
      </c>
      <c r="H4493" s="10" t="s">
        <v>8999</v>
      </c>
      <c r="I4493" s="10" t="s">
        <v>18</v>
      </c>
    </row>
    <row r="4494" spans="1:9" x14ac:dyDescent="0.2">
      <c r="A4494" s="10" t="s">
        <v>9000</v>
      </c>
      <c r="B4494" s="10">
        <v>12741.4382569599</v>
      </c>
      <c r="C4494" s="10">
        <v>-1.06936654791652</v>
      </c>
      <c r="D4494" s="10">
        <v>0.18596859812807501</v>
      </c>
      <c r="E4494" s="10">
        <v>-5.7502533152400996</v>
      </c>
      <c r="F4494" s="4">
        <v>8.9109834307065499E-9</v>
      </c>
      <c r="G4494" s="4">
        <v>1.0653688702784601E-7</v>
      </c>
      <c r="H4494" s="10" t="s">
        <v>9001</v>
      </c>
      <c r="I4494" s="10" t="s">
        <v>18</v>
      </c>
    </row>
    <row r="4495" spans="1:9" x14ac:dyDescent="0.2">
      <c r="A4495" s="10" t="s">
        <v>9002</v>
      </c>
      <c r="B4495" s="10">
        <v>21.300775189692299</v>
      </c>
      <c r="C4495" s="10">
        <v>3.6755347474140398</v>
      </c>
      <c r="D4495" s="10">
        <v>0.91509414982167003</v>
      </c>
      <c r="E4495" s="10">
        <v>4.0165645776779497</v>
      </c>
      <c r="F4495" s="4">
        <v>5.9052687345603302E-5</v>
      </c>
      <c r="G4495" s="10">
        <v>3.55975347810985E-4</v>
      </c>
      <c r="H4495" s="10" t="s">
        <v>9003</v>
      </c>
      <c r="I4495" s="10" t="s">
        <v>18</v>
      </c>
    </row>
    <row r="4496" spans="1:9" x14ac:dyDescent="0.2">
      <c r="A4496" s="10" t="s">
        <v>9004</v>
      </c>
      <c r="B4496" s="10">
        <v>512.01372520774703</v>
      </c>
      <c r="C4496" s="10">
        <v>-1.01490978570499</v>
      </c>
      <c r="D4496" s="10">
        <v>0.23077386949408399</v>
      </c>
      <c r="E4496" s="10">
        <v>-4.3978540028380904</v>
      </c>
      <c r="F4496" s="4">
        <v>1.09326476900958E-5</v>
      </c>
      <c r="G4496" s="4">
        <v>7.7011854087911396E-5</v>
      </c>
      <c r="H4496" s="10" t="s">
        <v>9005</v>
      </c>
      <c r="I4496" s="10" t="s">
        <v>18</v>
      </c>
    </row>
    <row r="4497" spans="1:9" x14ac:dyDescent="0.2">
      <c r="A4497" s="10" t="s">
        <v>9006</v>
      </c>
      <c r="B4497" s="10">
        <v>384.01244171443301</v>
      </c>
      <c r="C4497" s="10">
        <v>-1.30388185577067</v>
      </c>
      <c r="D4497" s="10">
        <v>0.237378826598455</v>
      </c>
      <c r="E4497" s="10">
        <v>-5.4928313297979301</v>
      </c>
      <c r="F4497" s="4">
        <v>3.9554052591889102E-8</v>
      </c>
      <c r="G4497" s="4">
        <v>4.3091934065222001E-7</v>
      </c>
      <c r="H4497" s="10" t="s">
        <v>9007</v>
      </c>
      <c r="I4497" s="10" t="s">
        <v>18</v>
      </c>
    </row>
    <row r="4498" spans="1:9" x14ac:dyDescent="0.2">
      <c r="A4498" s="10" t="s">
        <v>9008</v>
      </c>
      <c r="B4498" s="10">
        <v>3.8168555458674298</v>
      </c>
      <c r="C4498" s="10">
        <v>5.3279350919035302</v>
      </c>
      <c r="D4498" s="10">
        <v>2.1809774924298599</v>
      </c>
      <c r="E4498" s="10">
        <v>2.4429115432858599</v>
      </c>
      <c r="F4498" s="10">
        <v>1.4569307781241599E-2</v>
      </c>
      <c r="G4498" s="10">
        <v>4.3474967595607303E-2</v>
      </c>
      <c r="H4498" s="10" t="s">
        <v>9009</v>
      </c>
      <c r="I4498" s="10" t="s">
        <v>18</v>
      </c>
    </row>
    <row r="4499" spans="1:9" x14ac:dyDescent="0.2">
      <c r="A4499" s="10" t="s">
        <v>9010</v>
      </c>
      <c r="B4499" s="10">
        <v>24.969222629968002</v>
      </c>
      <c r="C4499" s="10">
        <v>1.9380304506927899</v>
      </c>
      <c r="D4499" s="10">
        <v>0.72651175107847499</v>
      </c>
      <c r="E4499" s="10">
        <v>2.6675830746245599</v>
      </c>
      <c r="F4499" s="10">
        <v>7.6398998937992398E-3</v>
      </c>
      <c r="G4499" s="10">
        <v>2.5361154045607699E-2</v>
      </c>
      <c r="H4499" s="10" t="s">
        <v>9011</v>
      </c>
      <c r="I4499" s="10" t="s">
        <v>18</v>
      </c>
    </row>
    <row r="4500" spans="1:9" x14ac:dyDescent="0.2">
      <c r="A4500" s="10" t="s">
        <v>9012</v>
      </c>
      <c r="B4500" s="10">
        <v>44.878322556913297</v>
      </c>
      <c r="C4500" s="10">
        <v>6.4226340130760802</v>
      </c>
      <c r="D4500" s="10">
        <v>1.14783510314611</v>
      </c>
      <c r="E4500" s="10">
        <v>5.5954326501012499</v>
      </c>
      <c r="F4500" s="4">
        <v>2.2007226837492801E-8</v>
      </c>
      <c r="G4500" s="4">
        <v>2.5015891098922201E-7</v>
      </c>
      <c r="H4500" s="10" t="s">
        <v>9013</v>
      </c>
      <c r="I4500" s="10" t="s">
        <v>18</v>
      </c>
    </row>
    <row r="4501" spans="1:9" x14ac:dyDescent="0.2">
      <c r="A4501" s="10" t="s">
        <v>9014</v>
      </c>
      <c r="B4501" s="10">
        <v>11.6679952664428</v>
      </c>
      <c r="C4501" s="10">
        <v>6.9377323312180303</v>
      </c>
      <c r="D4501" s="10">
        <v>1.7348700899598299</v>
      </c>
      <c r="E4501" s="10">
        <v>3.9989924152641798</v>
      </c>
      <c r="F4501" s="4">
        <v>6.3612718408908805E-5</v>
      </c>
      <c r="G4501" s="10">
        <v>3.8051717639682502E-4</v>
      </c>
      <c r="H4501" s="10" t="s">
        <v>9015</v>
      </c>
      <c r="I4501" s="10" t="s">
        <v>18</v>
      </c>
    </row>
    <row r="4502" spans="1:9" x14ac:dyDescent="0.2">
      <c r="A4502" s="10" t="s">
        <v>9016</v>
      </c>
      <c r="B4502" s="10">
        <v>3815.16236380183</v>
      </c>
      <c r="C4502" s="10">
        <v>1.6705101170288601</v>
      </c>
      <c r="D4502" s="10">
        <v>0.18216335425353999</v>
      </c>
      <c r="E4502" s="10">
        <v>9.1703961198683199</v>
      </c>
      <c r="F4502" s="4">
        <v>4.7128401587970998E-20</v>
      </c>
      <c r="G4502" s="4">
        <v>1.8227813267169699E-18</v>
      </c>
      <c r="H4502" s="10" t="s">
        <v>9017</v>
      </c>
      <c r="I4502" s="10" t="s">
        <v>18</v>
      </c>
    </row>
    <row r="4503" spans="1:9" x14ac:dyDescent="0.2">
      <c r="A4503" s="10" t="s">
        <v>9018</v>
      </c>
      <c r="B4503" s="10">
        <v>1397.3329741317</v>
      </c>
      <c r="C4503" s="10">
        <v>-1.4669527316668001</v>
      </c>
      <c r="D4503" s="10">
        <v>0.18758816919413601</v>
      </c>
      <c r="E4503" s="10">
        <v>-7.8200706258220398</v>
      </c>
      <c r="F4503" s="4">
        <v>5.2793708511143996E-15</v>
      </c>
      <c r="G4503" s="4">
        <v>1.30296211576371E-13</v>
      </c>
      <c r="H4503" s="10" t="s">
        <v>9019</v>
      </c>
      <c r="I4503" s="10" t="s">
        <v>18</v>
      </c>
    </row>
    <row r="4504" spans="1:9" x14ac:dyDescent="0.2">
      <c r="A4504" s="10" t="s">
        <v>9020</v>
      </c>
      <c r="B4504" s="10">
        <v>2063.8337792395801</v>
      </c>
      <c r="C4504" s="10">
        <v>2.1618804511822902</v>
      </c>
      <c r="D4504" s="10">
        <v>0.21456190014439</v>
      </c>
      <c r="E4504" s="10">
        <v>10.0757890833715</v>
      </c>
      <c r="F4504" s="4">
        <v>7.0691061083099007E-24</v>
      </c>
      <c r="G4504" s="4">
        <v>3.6273433923374701E-22</v>
      </c>
      <c r="H4504" s="10" t="s">
        <v>9021</v>
      </c>
      <c r="I4504" s="10" t="s">
        <v>18</v>
      </c>
    </row>
    <row r="4505" spans="1:9" x14ac:dyDescent="0.2">
      <c r="A4505" s="10" t="s">
        <v>9022</v>
      </c>
      <c r="B4505" s="10">
        <v>31.0687251328762</v>
      </c>
      <c r="C4505" s="10">
        <v>-3.4479022178066998</v>
      </c>
      <c r="D4505" s="10">
        <v>0.72363688324485598</v>
      </c>
      <c r="E4505" s="10">
        <v>-4.7646855731647904</v>
      </c>
      <c r="F4505" s="4">
        <v>1.89148368502643E-6</v>
      </c>
      <c r="G4505" s="4">
        <v>1.54026467321922E-5</v>
      </c>
      <c r="H4505" s="10" t="s">
        <v>9023</v>
      </c>
      <c r="I4505" s="10" t="s">
        <v>18</v>
      </c>
    </row>
    <row r="4506" spans="1:9" x14ac:dyDescent="0.2">
      <c r="A4506" s="10" t="s">
        <v>9024</v>
      </c>
      <c r="B4506" s="10">
        <v>1267.0370566737699</v>
      </c>
      <c r="C4506" s="10">
        <v>1.2861411851531399</v>
      </c>
      <c r="D4506" s="10">
        <v>0.236456021747835</v>
      </c>
      <c r="E4506" s="10">
        <v>5.4392405642547903</v>
      </c>
      <c r="F4506" s="4">
        <v>5.3508164733485697E-8</v>
      </c>
      <c r="G4506" s="4">
        <v>5.6980604753143498E-7</v>
      </c>
      <c r="H4506" s="10" t="s">
        <v>9025</v>
      </c>
      <c r="I4506" s="10" t="s">
        <v>18</v>
      </c>
    </row>
    <row r="4507" spans="1:9" x14ac:dyDescent="0.2">
      <c r="A4507" s="10" t="s">
        <v>9026</v>
      </c>
      <c r="B4507" s="10">
        <v>333.41088083031298</v>
      </c>
      <c r="C4507" s="10">
        <v>2.2053674435501902</v>
      </c>
      <c r="D4507" s="10">
        <v>0.26923771007934499</v>
      </c>
      <c r="E4507" s="10">
        <v>8.19115361997493</v>
      </c>
      <c r="F4507" s="4">
        <v>2.5873409378416899E-16</v>
      </c>
      <c r="G4507" s="4">
        <v>7.2752609425565101E-15</v>
      </c>
      <c r="H4507" s="10" t="s">
        <v>9027</v>
      </c>
      <c r="I4507" s="10" t="s">
        <v>18</v>
      </c>
    </row>
    <row r="4508" spans="1:9" x14ac:dyDescent="0.2">
      <c r="A4508" s="10" t="s">
        <v>9028</v>
      </c>
      <c r="B4508" s="10">
        <v>7.1205339426572296</v>
      </c>
      <c r="C4508" s="10">
        <v>4.7409078314218203</v>
      </c>
      <c r="D4508" s="10">
        <v>1.8793872636886499</v>
      </c>
      <c r="E4508" s="10">
        <v>2.5225816536166699</v>
      </c>
      <c r="F4508" s="10">
        <v>1.16496900523568E-2</v>
      </c>
      <c r="G4508" s="10">
        <v>3.6123717407142902E-2</v>
      </c>
      <c r="H4508" s="10" t="s">
        <v>9029</v>
      </c>
      <c r="I4508" s="10" t="s">
        <v>18</v>
      </c>
    </row>
    <row r="4509" spans="1:9" x14ac:dyDescent="0.2">
      <c r="A4509" s="10" t="s">
        <v>9030</v>
      </c>
      <c r="B4509" s="10">
        <v>1249.76516495181</v>
      </c>
      <c r="C4509" s="10">
        <v>-1.1753263072955999</v>
      </c>
      <c r="D4509" s="10">
        <v>0.206123814458198</v>
      </c>
      <c r="E4509" s="10">
        <v>-5.70204035077158</v>
      </c>
      <c r="F4509" s="4">
        <v>1.18381794940287E-8</v>
      </c>
      <c r="G4509" s="4">
        <v>1.3933256011827199E-7</v>
      </c>
      <c r="H4509" s="10" t="s">
        <v>9031</v>
      </c>
      <c r="I4509" s="10" t="s">
        <v>18</v>
      </c>
    </row>
    <row r="4510" spans="1:9" x14ac:dyDescent="0.2">
      <c r="A4510" s="10" t="s">
        <v>9032</v>
      </c>
      <c r="B4510" s="10">
        <v>40.967347761161498</v>
      </c>
      <c r="C4510" s="10">
        <v>1.6653399728062701</v>
      </c>
      <c r="D4510" s="10">
        <v>0.56843362889916904</v>
      </c>
      <c r="E4510" s="10">
        <v>2.9296999476110699</v>
      </c>
      <c r="F4510" s="10">
        <v>3.3928945062838599E-3</v>
      </c>
      <c r="G4510" s="10">
        <v>1.27318821942868E-2</v>
      </c>
      <c r="H4510" s="10" t="s">
        <v>9033</v>
      </c>
      <c r="I4510" s="10" t="s">
        <v>18</v>
      </c>
    </row>
    <row r="4511" spans="1:9" x14ac:dyDescent="0.2">
      <c r="A4511" s="10" t="s">
        <v>9034</v>
      </c>
      <c r="B4511" s="10">
        <v>7.0841279388879599</v>
      </c>
      <c r="C4511" s="10">
        <v>6.2215057564940697</v>
      </c>
      <c r="D4511" s="10">
        <v>1.87753123217466</v>
      </c>
      <c r="E4511" s="10">
        <v>3.3136629899295902</v>
      </c>
      <c r="F4511" s="10">
        <v>9.2082420897765603E-4</v>
      </c>
      <c r="G4511" s="10">
        <v>4.1056614665380799E-3</v>
      </c>
      <c r="H4511" s="10" t="s">
        <v>9035</v>
      </c>
      <c r="I4511" s="10" t="s">
        <v>18</v>
      </c>
    </row>
    <row r="4512" spans="1:9" x14ac:dyDescent="0.2">
      <c r="A4512" s="10" t="s">
        <v>9036</v>
      </c>
      <c r="B4512" s="10">
        <v>6.3473426812615497</v>
      </c>
      <c r="C4512" s="10">
        <v>6.0588050892948804</v>
      </c>
      <c r="D4512" s="10">
        <v>1.9387374818076699</v>
      </c>
      <c r="E4512" s="10">
        <v>3.1251291864670998</v>
      </c>
      <c r="F4512" s="10">
        <v>1.7772698861429101E-3</v>
      </c>
      <c r="G4512" s="10">
        <v>7.2830910795211199E-3</v>
      </c>
      <c r="H4512" s="10" t="s">
        <v>9037</v>
      </c>
      <c r="I4512" s="10" t="s">
        <v>18</v>
      </c>
    </row>
    <row r="4513" spans="1:9" x14ac:dyDescent="0.2">
      <c r="A4513" s="10" t="s">
        <v>9038</v>
      </c>
      <c r="B4513" s="10">
        <v>237.652984402757</v>
      </c>
      <c r="C4513" s="10">
        <v>2.3176252445642</v>
      </c>
      <c r="D4513" s="10">
        <v>0.28802520882601801</v>
      </c>
      <c r="E4513" s="10">
        <v>8.0466055523777609</v>
      </c>
      <c r="F4513" s="4">
        <v>8.5121974152815601E-16</v>
      </c>
      <c r="G4513" s="4">
        <v>2.2850427879229201E-14</v>
      </c>
      <c r="H4513" s="10" t="s">
        <v>9039</v>
      </c>
      <c r="I4513" s="10" t="s">
        <v>18</v>
      </c>
    </row>
    <row r="4514" spans="1:9" x14ac:dyDescent="0.2">
      <c r="A4514" s="10" t="s">
        <v>9040</v>
      </c>
      <c r="B4514" s="10">
        <v>18.746702059292499</v>
      </c>
      <c r="C4514" s="10">
        <v>3.2317473451688499</v>
      </c>
      <c r="D4514" s="10">
        <v>0.92957451346907705</v>
      </c>
      <c r="E4514" s="10">
        <v>3.4765877273337602</v>
      </c>
      <c r="F4514" s="10">
        <v>5.0783805734369504E-4</v>
      </c>
      <c r="G4514" s="10">
        <v>2.4318213617651398E-3</v>
      </c>
      <c r="H4514" s="10" t="s">
        <v>9041</v>
      </c>
      <c r="I4514" s="10" t="s">
        <v>18</v>
      </c>
    </row>
    <row r="4515" spans="1:9" x14ac:dyDescent="0.2">
      <c r="A4515" s="10" t="s">
        <v>9042</v>
      </c>
      <c r="B4515" s="10">
        <v>11.6712123246882</v>
      </c>
      <c r="C4515" s="10">
        <v>3.8181752772899502</v>
      </c>
      <c r="D4515" s="10">
        <v>1.2307184770490101</v>
      </c>
      <c r="E4515" s="10">
        <v>3.1023953475088</v>
      </c>
      <c r="F4515" s="10">
        <v>1.91961407036737E-3</v>
      </c>
      <c r="G4515" s="10">
        <v>7.7728822373754796E-3</v>
      </c>
      <c r="H4515" s="10" t="s">
        <v>9043</v>
      </c>
      <c r="I4515" s="10" t="s">
        <v>18</v>
      </c>
    </row>
    <row r="4516" spans="1:9" x14ac:dyDescent="0.2">
      <c r="A4516" s="10" t="s">
        <v>9044</v>
      </c>
      <c r="B4516" s="10">
        <v>14.023178928496399</v>
      </c>
      <c r="C4516" s="10">
        <v>5.7319310164849799</v>
      </c>
      <c r="D4516" s="10">
        <v>1.6730605782804</v>
      </c>
      <c r="E4516" s="10">
        <v>3.42601522676265</v>
      </c>
      <c r="F4516" s="10">
        <v>6.1250604411913095E-4</v>
      </c>
      <c r="G4516" s="10">
        <v>2.86702494143858E-3</v>
      </c>
      <c r="H4516" s="10" t="s">
        <v>9045</v>
      </c>
      <c r="I4516" s="10" t="s">
        <v>18</v>
      </c>
    </row>
    <row r="4517" spans="1:9" x14ac:dyDescent="0.2">
      <c r="A4517" s="10" t="s">
        <v>9046</v>
      </c>
      <c r="B4517" s="10">
        <v>4.5143969083142101</v>
      </c>
      <c r="C4517" s="10">
        <v>5.5706196242912496</v>
      </c>
      <c r="D4517" s="10">
        <v>2.0836382646555101</v>
      </c>
      <c r="E4517" s="10">
        <v>2.6735061064988899</v>
      </c>
      <c r="F4517" s="10">
        <v>7.5062909580529899E-3</v>
      </c>
      <c r="G4517" s="10">
        <v>2.4963250303194202E-2</v>
      </c>
      <c r="H4517" s="10" t="s">
        <v>9047</v>
      </c>
      <c r="I4517" s="10" t="s">
        <v>18</v>
      </c>
    </row>
    <row r="4518" spans="1:9" x14ac:dyDescent="0.2">
      <c r="A4518" s="10" t="s">
        <v>9048</v>
      </c>
      <c r="B4518" s="10">
        <v>10.373113181738301</v>
      </c>
      <c r="C4518" s="10">
        <v>3.6393926418323601</v>
      </c>
      <c r="D4518" s="10">
        <v>1.35275169990944</v>
      </c>
      <c r="E4518" s="10">
        <v>2.6903626453221299</v>
      </c>
      <c r="F4518" s="10">
        <v>7.1374410212302897E-3</v>
      </c>
      <c r="G4518" s="10">
        <v>2.4006154240891399E-2</v>
      </c>
      <c r="H4518" s="10" t="s">
        <v>9049</v>
      </c>
      <c r="I4518" s="10" t="s">
        <v>18</v>
      </c>
    </row>
    <row r="4519" spans="1:9" x14ac:dyDescent="0.2">
      <c r="A4519" s="10" t="s">
        <v>9050</v>
      </c>
      <c r="B4519" s="10">
        <v>165.01303511628601</v>
      </c>
      <c r="C4519" s="10">
        <v>-3.0361618599099498</v>
      </c>
      <c r="D4519" s="10">
        <v>0.34417295670040599</v>
      </c>
      <c r="E4519" s="10">
        <v>-8.8216165762054608</v>
      </c>
      <c r="F4519" s="4">
        <v>1.12818985755136E-18</v>
      </c>
      <c r="G4519" s="4">
        <v>3.8763920616269803E-17</v>
      </c>
      <c r="H4519" s="10" t="s">
        <v>9051</v>
      </c>
      <c r="I4519" s="10" t="s">
        <v>18</v>
      </c>
    </row>
    <row r="4520" spans="1:9" x14ac:dyDescent="0.2">
      <c r="A4520" s="10" t="s">
        <v>9052</v>
      </c>
      <c r="B4520" s="10">
        <v>12.860429254255299</v>
      </c>
      <c r="C4520" s="10">
        <v>4.5743419009237902</v>
      </c>
      <c r="D4520" s="10">
        <v>1.3639434625296101</v>
      </c>
      <c r="E4520" s="10">
        <v>3.3537621071478099</v>
      </c>
      <c r="F4520" s="10">
        <v>7.9720870090106005E-4</v>
      </c>
      <c r="G4520" s="10">
        <v>3.62025757890853E-3</v>
      </c>
      <c r="H4520" s="10" t="s">
        <v>9053</v>
      </c>
      <c r="I4520" s="10" t="s">
        <v>18</v>
      </c>
    </row>
    <row r="4521" spans="1:9" x14ac:dyDescent="0.2">
      <c r="A4521" s="10" t="s">
        <v>9054</v>
      </c>
      <c r="B4521" s="10">
        <v>8.7358831878015906</v>
      </c>
      <c r="C4521" s="10">
        <v>6.5238874426464601</v>
      </c>
      <c r="D4521" s="10">
        <v>1.80401766912149</v>
      </c>
      <c r="E4521" s="10">
        <v>3.6163101694139299</v>
      </c>
      <c r="F4521" s="10">
        <v>2.9883228082835402E-4</v>
      </c>
      <c r="G4521" s="10">
        <v>1.5176669442181099E-3</v>
      </c>
      <c r="H4521" s="10" t="s">
        <v>9055</v>
      </c>
      <c r="I4521" s="10" t="s">
        <v>18</v>
      </c>
    </row>
    <row r="4522" spans="1:9" x14ac:dyDescent="0.2">
      <c r="A4522" s="10" t="s">
        <v>9056</v>
      </c>
      <c r="B4522" s="10">
        <v>377.53002598481402</v>
      </c>
      <c r="C4522" s="10">
        <v>-1.27867270390814</v>
      </c>
      <c r="D4522" s="10">
        <v>0.238668985153244</v>
      </c>
      <c r="E4522" s="10">
        <v>-5.35751515047982</v>
      </c>
      <c r="F4522" s="4">
        <v>8.4374294671729095E-8</v>
      </c>
      <c r="G4522" s="4">
        <v>8.6426556651150504E-7</v>
      </c>
      <c r="H4522" s="10" t="s">
        <v>9057</v>
      </c>
      <c r="I4522" s="10" t="s">
        <v>18</v>
      </c>
    </row>
    <row r="4523" spans="1:9" x14ac:dyDescent="0.2">
      <c r="A4523" s="10" t="s">
        <v>9058</v>
      </c>
      <c r="B4523" s="10">
        <v>4202.8144905598601</v>
      </c>
      <c r="C4523" s="10">
        <v>-1.0517607074047199</v>
      </c>
      <c r="D4523" s="10">
        <v>0.18049010224439599</v>
      </c>
      <c r="E4523" s="10">
        <v>-5.82724866530668</v>
      </c>
      <c r="F4523" s="4">
        <v>5.6348620230138698E-9</v>
      </c>
      <c r="G4523" s="4">
        <v>6.9221409170901202E-8</v>
      </c>
      <c r="H4523" s="10" t="s">
        <v>9059</v>
      </c>
      <c r="I4523" s="10" t="s">
        <v>18</v>
      </c>
    </row>
    <row r="4524" spans="1:9" x14ac:dyDescent="0.2">
      <c r="A4524" s="10" t="s">
        <v>9060</v>
      </c>
      <c r="B4524" s="10">
        <v>37.6299106498833</v>
      </c>
      <c r="C4524" s="10">
        <v>-2.1056278524552798</v>
      </c>
      <c r="D4524" s="10">
        <v>0.59308959638178405</v>
      </c>
      <c r="E4524" s="10">
        <v>-3.55026941173967</v>
      </c>
      <c r="F4524" s="10">
        <v>3.8483710175127501E-4</v>
      </c>
      <c r="G4524" s="10">
        <v>1.90302296032976E-3</v>
      </c>
      <c r="H4524" s="10" t="s">
        <v>9061</v>
      </c>
      <c r="I4524" s="10" t="s">
        <v>18</v>
      </c>
    </row>
    <row r="4525" spans="1:9" x14ac:dyDescent="0.2">
      <c r="A4525" s="10" t="s">
        <v>9062</v>
      </c>
      <c r="B4525" s="10">
        <v>8.8448087700943692</v>
      </c>
      <c r="C4525" s="10">
        <v>3.38530563617164</v>
      </c>
      <c r="D4525" s="10">
        <v>1.32454445786402</v>
      </c>
      <c r="E4525" s="10">
        <v>2.5558263568070898</v>
      </c>
      <c r="F4525" s="10">
        <v>1.05935968472526E-2</v>
      </c>
      <c r="G4525" s="10">
        <v>3.3403973301364603E-2</v>
      </c>
      <c r="H4525" s="10" t="s">
        <v>9063</v>
      </c>
      <c r="I4525" s="10" t="s">
        <v>18</v>
      </c>
    </row>
    <row r="4526" spans="1:9" x14ac:dyDescent="0.2">
      <c r="A4526" s="10" t="s">
        <v>9064</v>
      </c>
      <c r="B4526" s="10">
        <v>1660.4046794702499</v>
      </c>
      <c r="C4526" s="10">
        <v>-1.1445888472302901</v>
      </c>
      <c r="D4526" s="10">
        <v>0.194619210365645</v>
      </c>
      <c r="E4526" s="10">
        <v>-5.8811709547062199</v>
      </c>
      <c r="F4526" s="4">
        <v>4.07374136159245E-9</v>
      </c>
      <c r="G4526" s="4">
        <v>5.1174380303969401E-8</v>
      </c>
      <c r="H4526" s="10" t="s">
        <v>9065</v>
      </c>
      <c r="I4526" s="10" t="s">
        <v>18</v>
      </c>
    </row>
    <row r="4527" spans="1:9" x14ac:dyDescent="0.2">
      <c r="A4527" s="10" t="s">
        <v>9066</v>
      </c>
      <c r="B4527" s="10">
        <v>2418.7696668819799</v>
      </c>
      <c r="C4527" s="10">
        <v>-1.41124411825163</v>
      </c>
      <c r="D4527" s="10">
        <v>0.214717916579964</v>
      </c>
      <c r="E4527" s="10">
        <v>-6.5725494207934902</v>
      </c>
      <c r="F4527" s="4">
        <v>4.94609625759826E-11</v>
      </c>
      <c r="G4527" s="4">
        <v>8.0265803889684304E-10</v>
      </c>
      <c r="H4527" s="10" t="s">
        <v>9067</v>
      </c>
      <c r="I4527" s="10" t="s">
        <v>18</v>
      </c>
    </row>
    <row r="4528" spans="1:9" x14ac:dyDescent="0.2">
      <c r="A4528" s="10" t="s">
        <v>9068</v>
      </c>
      <c r="B4528" s="10">
        <v>25.450337902041401</v>
      </c>
      <c r="C4528" s="10">
        <v>2.1651387701639502</v>
      </c>
      <c r="D4528" s="10">
        <v>0.70837119275977201</v>
      </c>
      <c r="E4528" s="10">
        <v>3.05650313323541</v>
      </c>
      <c r="F4528" s="10">
        <v>2.23935140107284E-3</v>
      </c>
      <c r="G4528" s="10">
        <v>8.8788718895564198E-3</v>
      </c>
      <c r="H4528" s="10" t="s">
        <v>9069</v>
      </c>
      <c r="I4528" s="10" t="s">
        <v>18</v>
      </c>
    </row>
    <row r="4529" spans="1:9" x14ac:dyDescent="0.2">
      <c r="A4529" s="10" t="s">
        <v>9070</v>
      </c>
      <c r="B4529" s="10">
        <v>3.7443793362539499</v>
      </c>
      <c r="C4529" s="10">
        <v>5.3028405840866704</v>
      </c>
      <c r="D4529" s="10">
        <v>2.1958005004532399</v>
      </c>
      <c r="E4529" s="10">
        <v>2.4149919735386298</v>
      </c>
      <c r="F4529" s="10">
        <v>1.5735556439619401E-2</v>
      </c>
      <c r="G4529" s="10">
        <v>4.6361019280959197E-2</v>
      </c>
      <c r="H4529" s="10" t="s">
        <v>9071</v>
      </c>
      <c r="I4529" s="10" t="s">
        <v>18</v>
      </c>
    </row>
    <row r="4530" spans="1:9" x14ac:dyDescent="0.2">
      <c r="A4530" s="10" t="s">
        <v>9072</v>
      </c>
      <c r="B4530" s="10">
        <v>186.35632074058501</v>
      </c>
      <c r="C4530" s="10">
        <v>3.2181201342783101</v>
      </c>
      <c r="D4530" s="10">
        <v>0.33082315070868001</v>
      </c>
      <c r="E4530" s="10">
        <v>9.7276146708129403</v>
      </c>
      <c r="F4530" s="4">
        <v>2.29921134212614E-22</v>
      </c>
      <c r="G4530" s="4">
        <v>1.06180697354086E-20</v>
      </c>
      <c r="H4530" s="10" t="s">
        <v>9073</v>
      </c>
      <c r="I4530" s="10" t="s">
        <v>18</v>
      </c>
    </row>
    <row r="4531" spans="1:9" x14ac:dyDescent="0.2">
      <c r="A4531" s="10" t="s">
        <v>9074</v>
      </c>
      <c r="B4531" s="10">
        <v>22.825369278188901</v>
      </c>
      <c r="C4531" s="10">
        <v>2.2874474566746499</v>
      </c>
      <c r="D4531" s="10">
        <v>0.756322694101907</v>
      </c>
      <c r="E4531" s="10">
        <v>3.0244331877292998</v>
      </c>
      <c r="F4531" s="10">
        <v>2.4909948452790502E-3</v>
      </c>
      <c r="G4531" s="10">
        <v>9.7321675579750896E-3</v>
      </c>
      <c r="H4531" s="10" t="s">
        <v>9075</v>
      </c>
      <c r="I4531" s="10" t="s">
        <v>18</v>
      </c>
    </row>
    <row r="4532" spans="1:9" x14ac:dyDescent="0.2">
      <c r="A4532" s="10" t="s">
        <v>9076</v>
      </c>
      <c r="B4532" s="10">
        <v>1031.98643312748</v>
      </c>
      <c r="C4532" s="10">
        <v>1.0374899965408899</v>
      </c>
      <c r="D4532" s="10">
        <v>0.20232349659393201</v>
      </c>
      <c r="E4532" s="10">
        <v>5.1278769594574198</v>
      </c>
      <c r="F4532" s="4">
        <v>2.9302784099646398E-7</v>
      </c>
      <c r="G4532" s="4">
        <v>2.7474637245804099E-6</v>
      </c>
      <c r="H4532" s="10" t="s">
        <v>9077</v>
      </c>
      <c r="I4532" s="10" t="s">
        <v>18</v>
      </c>
    </row>
    <row r="4533" spans="1:9" x14ac:dyDescent="0.2">
      <c r="A4533" s="10" t="s">
        <v>9078</v>
      </c>
      <c r="B4533" s="10">
        <v>347.45673574224202</v>
      </c>
      <c r="C4533" s="10">
        <v>4.0004927104297803</v>
      </c>
      <c r="D4533" s="10">
        <v>0.29725416547024103</v>
      </c>
      <c r="E4533" s="10">
        <v>13.4581552594938</v>
      </c>
      <c r="F4533" s="4">
        <v>2.7571396184091898E-41</v>
      </c>
      <c r="G4533" s="4">
        <v>4.0828143034127803E-39</v>
      </c>
      <c r="H4533" s="10" t="s">
        <v>9079</v>
      </c>
      <c r="I4533" s="10" t="s">
        <v>18</v>
      </c>
    </row>
    <row r="4534" spans="1:9" x14ac:dyDescent="0.2">
      <c r="A4534" s="10" t="s">
        <v>9080</v>
      </c>
      <c r="B4534" s="10">
        <v>1022.92087699247</v>
      </c>
      <c r="C4534" s="10">
        <v>1.7358633827818599</v>
      </c>
      <c r="D4534" s="10">
        <v>0.236725951329047</v>
      </c>
      <c r="E4534" s="10">
        <v>7.33279715652733</v>
      </c>
      <c r="F4534" s="4">
        <v>2.25397964482735E-13</v>
      </c>
      <c r="G4534" s="4">
        <v>4.8357624710717203E-12</v>
      </c>
      <c r="H4534" s="10" t="s">
        <v>9081</v>
      </c>
      <c r="I4534" s="10" t="s">
        <v>18</v>
      </c>
    </row>
    <row r="4535" spans="1:9" x14ac:dyDescent="0.2">
      <c r="A4535" s="10" t="s">
        <v>9082</v>
      </c>
      <c r="B4535" s="10">
        <v>608.41512278313496</v>
      </c>
      <c r="C4535" s="10">
        <v>1.3138991228568899</v>
      </c>
      <c r="D4535" s="10">
        <v>0.24083833457840501</v>
      </c>
      <c r="E4535" s="10">
        <v>5.4555232046298201</v>
      </c>
      <c r="F4535" s="4">
        <v>4.8828854218853898E-8</v>
      </c>
      <c r="G4535" s="4">
        <v>5.2358905584459302E-7</v>
      </c>
      <c r="H4535" s="10" t="s">
        <v>9083</v>
      </c>
      <c r="I4535" s="10" t="s">
        <v>18</v>
      </c>
    </row>
    <row r="4536" spans="1:9" x14ac:dyDescent="0.2">
      <c r="A4536" s="10" t="s">
        <v>9084</v>
      </c>
      <c r="B4536" s="10">
        <v>9.4000677057620106</v>
      </c>
      <c r="C4536" s="10">
        <v>5.14095968639662</v>
      </c>
      <c r="D4536" s="10">
        <v>1.76625265914754</v>
      </c>
      <c r="E4536" s="10">
        <v>2.9106592761637202</v>
      </c>
      <c r="F4536" s="10">
        <v>3.6066708708441999E-3</v>
      </c>
      <c r="G4536" s="10">
        <v>1.3436007823064301E-2</v>
      </c>
      <c r="H4536" s="10" t="s">
        <v>9085</v>
      </c>
      <c r="I4536" s="10" t="s">
        <v>18</v>
      </c>
    </row>
    <row r="4537" spans="1:9" x14ac:dyDescent="0.2">
      <c r="A4537" s="10" t="s">
        <v>9086</v>
      </c>
      <c r="B4537" s="10">
        <v>9.5727011866545908</v>
      </c>
      <c r="C4537" s="10">
        <v>4.1411325906978202</v>
      </c>
      <c r="D4537" s="10">
        <v>1.45034563060135</v>
      </c>
      <c r="E4537" s="10">
        <v>2.8552729110376398</v>
      </c>
      <c r="F4537" s="10">
        <v>4.2999861490545599E-3</v>
      </c>
      <c r="G4537" s="10">
        <v>1.55800163036289E-2</v>
      </c>
      <c r="H4537" s="10" t="s">
        <v>9087</v>
      </c>
      <c r="I4537" s="10" t="s">
        <v>18</v>
      </c>
    </row>
    <row r="4538" spans="1:9" x14ac:dyDescent="0.2">
      <c r="A4538" s="10" t="s">
        <v>9088</v>
      </c>
      <c r="B4538" s="10">
        <v>9.9673120106888007</v>
      </c>
      <c r="C4538" s="10">
        <v>3.0956992092042901</v>
      </c>
      <c r="D4538" s="10">
        <v>1.2817190427751599</v>
      </c>
      <c r="E4538" s="10">
        <v>2.4152712926083502</v>
      </c>
      <c r="F4538" s="10">
        <v>1.57234935591463E-2</v>
      </c>
      <c r="G4538" s="10">
        <v>4.6361019280959197E-2</v>
      </c>
      <c r="H4538" s="10" t="s">
        <v>9089</v>
      </c>
      <c r="I4538" s="10" t="s">
        <v>18</v>
      </c>
    </row>
    <row r="4539" spans="1:9" x14ac:dyDescent="0.2">
      <c r="A4539" s="10" t="s">
        <v>9090</v>
      </c>
      <c r="B4539" s="10">
        <v>9.1796332865486701</v>
      </c>
      <c r="C4539" s="10">
        <v>5.1053560649760197</v>
      </c>
      <c r="D4539" s="10">
        <v>1.77440025296889</v>
      </c>
      <c r="E4539" s="10">
        <v>2.8772291124473299</v>
      </c>
      <c r="F4539" s="10">
        <v>4.0118419508958E-3</v>
      </c>
      <c r="G4539" s="10">
        <v>1.46883442133913E-2</v>
      </c>
      <c r="H4539" s="10" t="s">
        <v>9091</v>
      </c>
      <c r="I4539" s="10" t="s">
        <v>18</v>
      </c>
    </row>
    <row r="4540" spans="1:9" x14ac:dyDescent="0.2">
      <c r="A4540" s="10" t="s">
        <v>9092</v>
      </c>
      <c r="B4540" s="10">
        <v>12.8848932576755</v>
      </c>
      <c r="C4540" s="10">
        <v>7.0855579538717004</v>
      </c>
      <c r="D4540" s="10">
        <v>1.7009312118156199</v>
      </c>
      <c r="E4540" s="10">
        <v>4.1656934182002496</v>
      </c>
      <c r="F4540" s="4">
        <v>3.1040762038053401E-5</v>
      </c>
      <c r="G4540" s="10">
        <v>1.9820093111137899E-4</v>
      </c>
      <c r="H4540" s="10" t="s">
        <v>9093</v>
      </c>
      <c r="I4540" s="10" t="s">
        <v>18</v>
      </c>
    </row>
    <row r="4541" spans="1:9" x14ac:dyDescent="0.2">
      <c r="A4541" s="10" t="s">
        <v>9094</v>
      </c>
      <c r="B4541" s="10">
        <v>625.73197293477403</v>
      </c>
      <c r="C4541" s="10">
        <v>1.5956808712367501</v>
      </c>
      <c r="D4541" s="10">
        <v>0.231807429442696</v>
      </c>
      <c r="E4541" s="10">
        <v>6.8836485313392597</v>
      </c>
      <c r="F4541" s="4">
        <v>5.8338708657413498E-12</v>
      </c>
      <c r="G4541" s="4">
        <v>1.0519886133610499E-10</v>
      </c>
      <c r="H4541" s="10" t="s">
        <v>9095</v>
      </c>
      <c r="I4541" s="10" t="s">
        <v>18</v>
      </c>
    </row>
    <row r="4542" spans="1:9" x14ac:dyDescent="0.2">
      <c r="A4542" s="10" t="s">
        <v>9096</v>
      </c>
      <c r="B4542" s="10">
        <v>3505.3224293193898</v>
      </c>
      <c r="C4542" s="10">
        <v>1.74564168714199</v>
      </c>
      <c r="D4542" s="10">
        <v>0.17744574249550699</v>
      </c>
      <c r="E4542" s="10">
        <v>9.8376081758410603</v>
      </c>
      <c r="F4542" s="4">
        <v>7.7532121586175897E-23</v>
      </c>
      <c r="G4542" s="4">
        <v>3.6739438554061504E-21</v>
      </c>
      <c r="H4542" s="10" t="s">
        <v>9097</v>
      </c>
      <c r="I4542" s="10" t="s">
        <v>18</v>
      </c>
    </row>
    <row r="4543" spans="1:9" x14ac:dyDescent="0.2">
      <c r="A4543" s="10" t="s">
        <v>9098</v>
      </c>
      <c r="B4543" s="10">
        <v>127.01273195333</v>
      </c>
      <c r="C4543" s="10">
        <v>7.93601757188602</v>
      </c>
      <c r="D4543" s="10">
        <v>1.0720726925683599</v>
      </c>
      <c r="E4543" s="10">
        <v>7.4024995011054502</v>
      </c>
      <c r="F4543" s="4">
        <v>1.33644696177262E-13</v>
      </c>
      <c r="G4543" s="4">
        <v>2.9532984888417401E-12</v>
      </c>
      <c r="H4543" s="10" t="s">
        <v>9099</v>
      </c>
      <c r="I4543" s="10" t="s">
        <v>18</v>
      </c>
    </row>
    <row r="4544" spans="1:9" x14ac:dyDescent="0.2">
      <c r="A4544" s="10" t="s">
        <v>9100</v>
      </c>
      <c r="B4544" s="10">
        <v>4.6985932227208096</v>
      </c>
      <c r="C4544" s="10">
        <v>5.62982837124685</v>
      </c>
      <c r="D4544" s="10">
        <v>2.0642529017708502</v>
      </c>
      <c r="E4544" s="10">
        <v>2.7272958494655399</v>
      </c>
      <c r="F4544" s="10">
        <v>6.3855757645927104E-3</v>
      </c>
      <c r="G4544" s="10">
        <v>2.1811179999731398E-2</v>
      </c>
      <c r="H4544" s="10" t="s">
        <v>9101</v>
      </c>
      <c r="I4544" s="10" t="s">
        <v>18</v>
      </c>
    </row>
    <row r="4545" spans="1:9" x14ac:dyDescent="0.2">
      <c r="A4545" s="10" t="s">
        <v>9102</v>
      </c>
      <c r="B4545" s="10">
        <v>4775.9641709790903</v>
      </c>
      <c r="C4545" s="10">
        <v>2.1685100519796801</v>
      </c>
      <c r="D4545" s="10">
        <v>0.177068941078456</v>
      </c>
      <c r="E4545" s="10">
        <v>12.246699160068101</v>
      </c>
      <c r="F4545" s="4">
        <v>1.74973678925088E-34</v>
      </c>
      <c r="G4545" s="4">
        <v>1.7789208319671201E-32</v>
      </c>
      <c r="H4545" s="10" t="s">
        <v>9103</v>
      </c>
      <c r="I4545" s="10" t="s">
        <v>18</v>
      </c>
    </row>
    <row r="4546" spans="1:9" x14ac:dyDescent="0.2">
      <c r="A4546" s="10" t="s">
        <v>9104</v>
      </c>
      <c r="B4546" s="10">
        <v>5.3961345851675802</v>
      </c>
      <c r="C4546" s="10">
        <v>5.8297046186022801</v>
      </c>
      <c r="D4546" s="10">
        <v>1.9957603503939101</v>
      </c>
      <c r="E4546" s="10">
        <v>2.9210444116958398</v>
      </c>
      <c r="F4546" s="10">
        <v>3.4886009310098501E-3</v>
      </c>
      <c r="G4546" s="10">
        <v>1.30478942439568E-2</v>
      </c>
      <c r="H4546" s="10" t="s">
        <v>9105</v>
      </c>
      <c r="I4546" s="10" t="s">
        <v>18</v>
      </c>
    </row>
    <row r="4547" spans="1:9" x14ac:dyDescent="0.2">
      <c r="A4547" s="10" t="s">
        <v>9106</v>
      </c>
      <c r="B4547" s="10">
        <v>782.348329312175</v>
      </c>
      <c r="C4547" s="10">
        <v>-1.0641912039608401</v>
      </c>
      <c r="D4547" s="10">
        <v>0.239608820578217</v>
      </c>
      <c r="E4547" s="10">
        <v>-4.4413690672687602</v>
      </c>
      <c r="F4547" s="4">
        <v>8.9388330583581799E-6</v>
      </c>
      <c r="G4547" s="4">
        <v>6.4330793539642202E-5</v>
      </c>
      <c r="H4547" s="10" t="s">
        <v>9107</v>
      </c>
      <c r="I4547" s="10" t="s">
        <v>18</v>
      </c>
    </row>
    <row r="4548" spans="1:9" x14ac:dyDescent="0.2">
      <c r="A4548" s="10" t="s">
        <v>9108</v>
      </c>
      <c r="B4548" s="10">
        <v>103.00345369897499</v>
      </c>
      <c r="C4548" s="10">
        <v>2.8752032035671502</v>
      </c>
      <c r="D4548" s="10">
        <v>0.41387114028108901</v>
      </c>
      <c r="E4548" s="10">
        <v>6.9470975956777403</v>
      </c>
      <c r="F4548" s="4">
        <v>3.72877760510893E-12</v>
      </c>
      <c r="G4548" s="4">
        <v>6.87401917499343E-11</v>
      </c>
      <c r="H4548" s="10" t="s">
        <v>9109</v>
      </c>
      <c r="I4548" s="10" t="s">
        <v>18</v>
      </c>
    </row>
    <row r="4549" spans="1:9" x14ac:dyDescent="0.2">
      <c r="A4549" s="10" t="s">
        <v>9110</v>
      </c>
      <c r="B4549" s="10">
        <v>958.393600928306</v>
      </c>
      <c r="C4549" s="10">
        <v>2.7838573740337602</v>
      </c>
      <c r="D4549" s="10">
        <v>0.21873556767566099</v>
      </c>
      <c r="E4549" s="10">
        <v>12.727044822274401</v>
      </c>
      <c r="F4549" s="4">
        <v>4.1837656161044797E-37</v>
      </c>
      <c r="G4549" s="4">
        <v>5.0890652563392297E-35</v>
      </c>
      <c r="H4549" s="10" t="s">
        <v>9111</v>
      </c>
      <c r="I4549" s="10" t="s">
        <v>18</v>
      </c>
    </row>
    <row r="4550" spans="1:9" x14ac:dyDescent="0.2">
      <c r="A4550" s="10" t="s">
        <v>9112</v>
      </c>
      <c r="B4550" s="10">
        <v>12.4951291536351</v>
      </c>
      <c r="C4550" s="10">
        <v>2.8153210893375098</v>
      </c>
      <c r="D4550" s="10">
        <v>1.05568390255363</v>
      </c>
      <c r="E4550" s="10">
        <v>2.66682203122302</v>
      </c>
      <c r="F4550" s="10">
        <v>7.6572208040080903E-3</v>
      </c>
      <c r="G4550" s="10">
        <v>2.5406270731467201E-2</v>
      </c>
      <c r="H4550" s="10" t="s">
        <v>9113</v>
      </c>
      <c r="I4550" s="10" t="s">
        <v>18</v>
      </c>
    </row>
    <row r="4551" spans="1:9" x14ac:dyDescent="0.2">
      <c r="A4551" s="10" t="s">
        <v>9114</v>
      </c>
      <c r="B4551" s="10">
        <v>731.39488014098197</v>
      </c>
      <c r="C4551" s="10">
        <v>-3.80799868501893</v>
      </c>
      <c r="D4551" s="10">
        <v>0.27312896786422303</v>
      </c>
      <c r="E4551" s="10">
        <v>-13.942126735205701</v>
      </c>
      <c r="F4551" s="4">
        <v>3.5131353127793998E-44</v>
      </c>
      <c r="G4551" s="4">
        <v>5.6640472110828597E-42</v>
      </c>
      <c r="H4551" s="10" t="s">
        <v>9115</v>
      </c>
      <c r="I4551" s="10" t="s">
        <v>18</v>
      </c>
    </row>
    <row r="4552" spans="1:9" x14ac:dyDescent="0.2">
      <c r="A4552" s="10" t="s">
        <v>9116</v>
      </c>
      <c r="B4552" s="10">
        <v>40.663790099467697</v>
      </c>
      <c r="C4552" s="10">
        <v>1.91938930061368</v>
      </c>
      <c r="D4552" s="10">
        <v>0.56825851146103501</v>
      </c>
      <c r="E4552" s="10">
        <v>3.3776692507056101</v>
      </c>
      <c r="F4552" s="10">
        <v>7.3102950463444503E-4</v>
      </c>
      <c r="G4552" s="10">
        <v>3.3617486772615601E-3</v>
      </c>
      <c r="H4552" s="10" t="s">
        <v>9117</v>
      </c>
      <c r="I4552" s="10" t="s">
        <v>18</v>
      </c>
    </row>
    <row r="4553" spans="1:9" x14ac:dyDescent="0.2">
      <c r="A4553" s="10" t="s">
        <v>9118</v>
      </c>
      <c r="B4553" s="10">
        <v>122.864599877703</v>
      </c>
      <c r="C4553" s="10">
        <v>1.75365338882816</v>
      </c>
      <c r="D4553" s="10">
        <v>0.35049916146790999</v>
      </c>
      <c r="E4553" s="10">
        <v>5.00330266550072</v>
      </c>
      <c r="F4553" s="4">
        <v>5.63563525116068E-7</v>
      </c>
      <c r="G4553" s="4">
        <v>5.0312632270109802E-6</v>
      </c>
      <c r="H4553" s="10" t="s">
        <v>9119</v>
      </c>
      <c r="I4553" s="10" t="s">
        <v>18</v>
      </c>
    </row>
    <row r="4554" spans="1:9" x14ac:dyDescent="0.2">
      <c r="A4554" s="10" t="s">
        <v>9120</v>
      </c>
      <c r="B4554" s="10">
        <v>10750.696506115801</v>
      </c>
      <c r="C4554" s="10">
        <v>-1.3640138807628199</v>
      </c>
      <c r="D4554" s="10">
        <v>0.21878603277650499</v>
      </c>
      <c r="E4554" s="10">
        <v>-6.2344650773763002</v>
      </c>
      <c r="F4554" s="4">
        <v>4.5332444116559899E-10</v>
      </c>
      <c r="G4554" s="4">
        <v>6.4031783558522996E-9</v>
      </c>
      <c r="H4554" s="10" t="s">
        <v>9121</v>
      </c>
      <c r="I4554" s="10" t="s">
        <v>18</v>
      </c>
    </row>
    <row r="4555" spans="1:9" x14ac:dyDescent="0.2">
      <c r="A4555" s="10" t="s">
        <v>9122</v>
      </c>
      <c r="B4555" s="10">
        <v>312.67977499766198</v>
      </c>
      <c r="C4555" s="10">
        <v>1.33445625240565</v>
      </c>
      <c r="D4555" s="10">
        <v>0.25475256293496901</v>
      </c>
      <c r="E4555" s="10">
        <v>5.2382446599616701</v>
      </c>
      <c r="F4555" s="4">
        <v>1.6211106531836701E-7</v>
      </c>
      <c r="G4555" s="4">
        <v>1.59000727024102E-6</v>
      </c>
      <c r="H4555" s="10" t="s">
        <v>9123</v>
      </c>
      <c r="I4555" s="10" t="s">
        <v>18</v>
      </c>
    </row>
    <row r="4556" spans="1:9" x14ac:dyDescent="0.2">
      <c r="A4556" s="10" t="s">
        <v>9124</v>
      </c>
      <c r="B4556" s="10">
        <v>917.59276694992195</v>
      </c>
      <c r="C4556" s="10">
        <v>-1.2852237177269701</v>
      </c>
      <c r="D4556" s="10">
        <v>0.235299824336001</v>
      </c>
      <c r="E4556" s="10">
        <v>-5.4620683264587004</v>
      </c>
      <c r="F4556" s="4">
        <v>4.70618863369934E-8</v>
      </c>
      <c r="G4556" s="4">
        <v>5.0643570972514202E-7</v>
      </c>
      <c r="H4556" s="10" t="s">
        <v>9125</v>
      </c>
      <c r="I4556" s="10" t="s">
        <v>18</v>
      </c>
    </row>
    <row r="4557" spans="1:9" x14ac:dyDescent="0.2">
      <c r="A4557" s="10" t="s">
        <v>9126</v>
      </c>
      <c r="B4557" s="10">
        <v>2774.6356068528999</v>
      </c>
      <c r="C4557" s="10">
        <v>-1.36694379189285</v>
      </c>
      <c r="D4557" s="10">
        <v>0.18732447917294101</v>
      </c>
      <c r="E4557" s="10">
        <v>-7.2971978778644804</v>
      </c>
      <c r="F4557" s="4">
        <v>2.9382252350147498E-13</v>
      </c>
      <c r="G4557" s="4">
        <v>6.22533615695545E-12</v>
      </c>
      <c r="H4557" s="10" t="s">
        <v>9127</v>
      </c>
      <c r="I4557" s="10" t="s">
        <v>18</v>
      </c>
    </row>
    <row r="4558" spans="1:9" x14ac:dyDescent="0.2">
      <c r="A4558" s="10" t="s">
        <v>9128</v>
      </c>
      <c r="B4558" s="10">
        <v>24.629091065542301</v>
      </c>
      <c r="C4558" s="10">
        <v>2.6667890607891498</v>
      </c>
      <c r="D4558" s="10">
        <v>0.75473160415955298</v>
      </c>
      <c r="E4558" s="10">
        <v>3.53342704358964</v>
      </c>
      <c r="F4558" s="10">
        <v>4.1020928847755502E-4</v>
      </c>
      <c r="G4558" s="10">
        <v>2.0135061219866599E-3</v>
      </c>
      <c r="H4558" s="10" t="s">
        <v>9129</v>
      </c>
      <c r="I4558" s="10" t="s">
        <v>18</v>
      </c>
    </row>
    <row r="4559" spans="1:9" x14ac:dyDescent="0.2">
      <c r="A4559" s="10" t="s">
        <v>9130</v>
      </c>
      <c r="B4559" s="10">
        <v>14.162580094955199</v>
      </c>
      <c r="C4559" s="10">
        <v>4.7321927752860304</v>
      </c>
      <c r="D4559" s="10">
        <v>1.33130568812317</v>
      </c>
      <c r="E4559" s="10">
        <v>3.55455010633758</v>
      </c>
      <c r="F4559" s="10">
        <v>3.7862635874422098E-4</v>
      </c>
      <c r="G4559" s="10">
        <v>1.8774217282445499E-3</v>
      </c>
      <c r="H4559" s="10" t="s">
        <v>9131</v>
      </c>
      <c r="I4559" s="10" t="s">
        <v>18</v>
      </c>
    </row>
    <row r="4560" spans="1:9" x14ac:dyDescent="0.2">
      <c r="A4560" s="10" t="s">
        <v>9132</v>
      </c>
      <c r="B4560" s="10">
        <v>430.79464066286101</v>
      </c>
      <c r="C4560" s="10">
        <v>-1.1740824788444599</v>
      </c>
      <c r="D4560" s="10">
        <v>0.28222523274476402</v>
      </c>
      <c r="E4560" s="10">
        <v>-4.1600903910185201</v>
      </c>
      <c r="F4560" s="4">
        <v>3.1812166693505299E-5</v>
      </c>
      <c r="G4560" s="10">
        <v>2.0270956639334401E-4</v>
      </c>
      <c r="H4560" s="10" t="s">
        <v>9133</v>
      </c>
      <c r="I4560" s="10" t="s">
        <v>18</v>
      </c>
    </row>
    <row r="4561" spans="1:9" x14ac:dyDescent="0.2">
      <c r="A4561" s="10" t="s">
        <v>9134</v>
      </c>
      <c r="B4561" s="10">
        <v>437.88853355631301</v>
      </c>
      <c r="C4561" s="10">
        <v>-2.89816656424318</v>
      </c>
      <c r="D4561" s="10">
        <v>0.99147686427655601</v>
      </c>
      <c r="E4561" s="10">
        <v>-2.9230803750099201</v>
      </c>
      <c r="F4561" s="10">
        <v>3.4658703774128798E-3</v>
      </c>
      <c r="G4561" s="10">
        <v>1.29700000238111E-2</v>
      </c>
      <c r="H4561" s="10" t="s">
        <v>9135</v>
      </c>
      <c r="I4561" s="10" t="s">
        <v>18</v>
      </c>
    </row>
    <row r="4562" spans="1:9" x14ac:dyDescent="0.2">
      <c r="A4562" s="10" t="s">
        <v>9136</v>
      </c>
      <c r="B4562" s="10">
        <v>95.287600372019696</v>
      </c>
      <c r="C4562" s="10">
        <v>-1.12675767783688</v>
      </c>
      <c r="D4562" s="10">
        <v>0.45992325264635903</v>
      </c>
      <c r="E4562" s="10">
        <v>-2.44988195607336</v>
      </c>
      <c r="F4562" s="10">
        <v>1.4290305506241999E-2</v>
      </c>
      <c r="G4562" s="10">
        <v>4.2830046653676901E-2</v>
      </c>
      <c r="H4562" s="10" t="s">
        <v>9137</v>
      </c>
      <c r="I4562" s="10" t="s">
        <v>18</v>
      </c>
    </row>
    <row r="4563" spans="1:9" x14ac:dyDescent="0.2">
      <c r="A4563" s="10" t="s">
        <v>9138</v>
      </c>
      <c r="B4563" s="10">
        <v>196.34489536774601</v>
      </c>
      <c r="C4563" s="10">
        <v>-1.4079649862344601</v>
      </c>
      <c r="D4563" s="10">
        <v>0.337993912674315</v>
      </c>
      <c r="E4563" s="10">
        <v>-4.1656519050718801</v>
      </c>
      <c r="F4563" s="4">
        <v>3.1046411494232901E-5</v>
      </c>
      <c r="G4563" s="10">
        <v>1.9820093111137899E-4</v>
      </c>
      <c r="H4563" s="10" t="s">
        <v>9139</v>
      </c>
      <c r="I4563" s="10" t="s">
        <v>18</v>
      </c>
    </row>
    <row r="4564" spans="1:9" x14ac:dyDescent="0.2">
      <c r="A4564" s="10" t="s">
        <v>9140</v>
      </c>
      <c r="B4564" s="10">
        <v>1424.5843446214501</v>
      </c>
      <c r="C4564" s="10">
        <v>1.3953166546717199</v>
      </c>
      <c r="D4564" s="10">
        <v>0.18992538413315399</v>
      </c>
      <c r="E4564" s="10">
        <v>7.3466570097522004</v>
      </c>
      <c r="F4564" s="4">
        <v>2.03225471119246E-13</v>
      </c>
      <c r="G4564" s="4">
        <v>4.3842315214458402E-12</v>
      </c>
      <c r="H4564" s="10" t="s">
        <v>9141</v>
      </c>
      <c r="I4564" s="10" t="s">
        <v>18</v>
      </c>
    </row>
    <row r="4565" spans="1:9" x14ac:dyDescent="0.2">
      <c r="A4565" s="10" t="s">
        <v>9142</v>
      </c>
      <c r="B4565" s="10">
        <v>1538.1702133967499</v>
      </c>
      <c r="C4565" s="10">
        <v>-1.1036847591143899</v>
      </c>
      <c r="D4565" s="10">
        <v>0.19007151185614901</v>
      </c>
      <c r="E4565" s="10">
        <v>-5.8066816449047201</v>
      </c>
      <c r="F4565" s="4">
        <v>6.3723134286433502E-9</v>
      </c>
      <c r="G4565" s="4">
        <v>7.7754780112066899E-8</v>
      </c>
      <c r="H4565" s="10" t="s">
        <v>9143</v>
      </c>
      <c r="I4565" s="10" t="s">
        <v>18</v>
      </c>
    </row>
    <row r="4566" spans="1:9" x14ac:dyDescent="0.2">
      <c r="A4566" s="10" t="s">
        <v>9144</v>
      </c>
      <c r="B4566" s="10">
        <v>125990.87032168799</v>
      </c>
      <c r="C4566" s="10">
        <v>1.5597855674169101</v>
      </c>
      <c r="D4566" s="10">
        <v>0.511822020283076</v>
      </c>
      <c r="E4566" s="10">
        <v>3.0475155534617899</v>
      </c>
      <c r="F4566" s="10">
        <v>2.3074158472399199E-3</v>
      </c>
      <c r="G4566" s="10">
        <v>9.1050194916359392E-3</v>
      </c>
      <c r="H4566" s="10" t="s">
        <v>9145</v>
      </c>
      <c r="I4566" s="10" t="s">
        <v>18</v>
      </c>
    </row>
    <row r="4567" spans="1:9" x14ac:dyDescent="0.2">
      <c r="A4567" s="10" t="s">
        <v>9146</v>
      </c>
      <c r="B4567" s="10">
        <v>94923.205795669695</v>
      </c>
      <c r="C4567" s="10">
        <v>1.1711218782420101</v>
      </c>
      <c r="D4567" s="10">
        <v>0.21901351538019501</v>
      </c>
      <c r="E4567" s="10">
        <v>5.3472584840666499</v>
      </c>
      <c r="F4567" s="4">
        <v>8.9296447229195695E-8</v>
      </c>
      <c r="G4567" s="4">
        <v>9.1159996165376401E-7</v>
      </c>
      <c r="H4567" s="10" t="s">
        <v>9147</v>
      </c>
      <c r="I4567" s="10" t="s">
        <v>18</v>
      </c>
    </row>
    <row r="4568" spans="1:9" x14ac:dyDescent="0.2">
      <c r="A4568" s="10" t="s">
        <v>9148</v>
      </c>
      <c r="B4568" s="10">
        <v>81247.474211951194</v>
      </c>
      <c r="C4568" s="10">
        <v>1.2936410775820799</v>
      </c>
      <c r="D4568" s="10">
        <v>0.23910257127993001</v>
      </c>
      <c r="E4568" s="10">
        <v>5.4104021995963496</v>
      </c>
      <c r="F4568" s="4">
        <v>6.2883357921438193E-8</v>
      </c>
      <c r="G4568" s="4">
        <v>6.6167086672626896E-7</v>
      </c>
      <c r="H4568" s="10" t="s">
        <v>9149</v>
      </c>
      <c r="I4568" s="10" t="s">
        <v>18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31"/>
  <sheetViews>
    <sheetView workbookViewId="0">
      <selection activeCell="L7" sqref="L7"/>
    </sheetView>
  </sheetViews>
  <sheetFormatPr defaultColWidth="9" defaultRowHeight="14.25" x14ac:dyDescent="0.2"/>
  <cols>
    <col min="1" max="1" width="26.875" style="12" bestFit="1" customWidth="1"/>
    <col min="2" max="2" width="12.75" style="12" bestFit="1" customWidth="1"/>
    <col min="3" max="3" width="18" style="12" bestFit="1" customWidth="1"/>
    <col min="4" max="4" width="9" style="12"/>
    <col min="5" max="5" width="11.875" style="12" bestFit="1" customWidth="1"/>
    <col min="6" max="7" width="11.25" style="12" bestFit="1" customWidth="1"/>
    <col min="8" max="8" width="14.375" style="12" bestFit="1" customWidth="1"/>
    <col min="9" max="9" width="13" style="12" bestFit="1" customWidth="1"/>
    <col min="10" max="16384" width="9" style="12"/>
  </cols>
  <sheetData>
    <row r="1" spans="1:9" ht="15" x14ac:dyDescent="0.2">
      <c r="A1" s="11" t="s">
        <v>9150</v>
      </c>
      <c r="B1" s="11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11" t="s">
        <v>9151</v>
      </c>
      <c r="I1" s="11" t="s">
        <v>9152</v>
      </c>
    </row>
    <row r="2" spans="1:9" x14ac:dyDescent="0.2">
      <c r="A2" s="10" t="s">
        <v>9153</v>
      </c>
      <c r="B2" s="10">
        <v>54.940417080135603</v>
      </c>
      <c r="C2" s="10">
        <v>3.0013905800452498</v>
      </c>
      <c r="D2" s="10">
        <v>0.54940105428414798</v>
      </c>
      <c r="E2" s="10">
        <v>5.46302297136282</v>
      </c>
      <c r="F2" s="4">
        <v>4.68093999686735E-8</v>
      </c>
      <c r="G2" s="4">
        <v>7.3870166638142002E-7</v>
      </c>
      <c r="H2" s="10" t="s">
        <v>9154</v>
      </c>
      <c r="I2" s="10" t="s">
        <v>18</v>
      </c>
    </row>
    <row r="3" spans="1:9" x14ac:dyDescent="0.2">
      <c r="A3" s="10" t="s">
        <v>21</v>
      </c>
      <c r="B3" s="10">
        <v>134.21550169847501</v>
      </c>
      <c r="C3" s="10">
        <v>8.1437986421935307</v>
      </c>
      <c r="D3" s="10">
        <v>1.08377804740312</v>
      </c>
      <c r="E3" s="10">
        <v>7.5142679460127297</v>
      </c>
      <c r="F3" s="4">
        <v>5.7230263676839397E-14</v>
      </c>
      <c r="G3" s="4">
        <v>1.8696458218063601E-12</v>
      </c>
      <c r="H3" s="10" t="s">
        <v>22</v>
      </c>
      <c r="I3" s="10" t="s">
        <v>18</v>
      </c>
    </row>
    <row r="4" spans="1:9" x14ac:dyDescent="0.2">
      <c r="A4" s="10" t="s">
        <v>9155</v>
      </c>
      <c r="B4" s="10">
        <v>12457.909480922601</v>
      </c>
      <c r="C4" s="10">
        <v>1.7781563451337701</v>
      </c>
      <c r="D4" s="10">
        <v>0.30478789057976802</v>
      </c>
      <c r="E4" s="10">
        <v>5.83407805917538</v>
      </c>
      <c r="F4" s="4">
        <v>5.40887967050808E-9</v>
      </c>
      <c r="G4" s="4">
        <v>9.9459333414934701E-8</v>
      </c>
      <c r="H4" s="10" t="s">
        <v>9156</v>
      </c>
      <c r="I4" s="10" t="s">
        <v>18</v>
      </c>
    </row>
    <row r="5" spans="1:9" x14ac:dyDescent="0.2">
      <c r="A5" s="10" t="s">
        <v>9157</v>
      </c>
      <c r="B5" s="10">
        <v>3658.0746171041101</v>
      </c>
      <c r="C5" s="10">
        <v>1.03861125193487</v>
      </c>
      <c r="D5" s="10">
        <v>0.28929878957096899</v>
      </c>
      <c r="E5" s="10">
        <v>3.59009885065585</v>
      </c>
      <c r="F5" s="10">
        <v>3.3055258174720701E-4</v>
      </c>
      <c r="G5" s="10">
        <v>2.3324123965921401E-3</v>
      </c>
      <c r="H5" s="10" t="s">
        <v>9158</v>
      </c>
      <c r="I5" s="10" t="s">
        <v>18</v>
      </c>
    </row>
    <row r="6" spans="1:9" x14ac:dyDescent="0.2">
      <c r="A6" s="10" t="s">
        <v>9159</v>
      </c>
      <c r="B6" s="10">
        <v>430.89064889013002</v>
      </c>
      <c r="C6" s="10">
        <v>2.28333198035928</v>
      </c>
      <c r="D6" s="10">
        <v>0.33164890147834902</v>
      </c>
      <c r="E6" s="10">
        <v>6.8847868036986197</v>
      </c>
      <c r="F6" s="4">
        <v>5.7874143160923298E-12</v>
      </c>
      <c r="G6" s="4">
        <v>1.5340611920052999E-10</v>
      </c>
      <c r="H6" s="10" t="s">
        <v>9160</v>
      </c>
      <c r="I6" s="10" t="s">
        <v>18</v>
      </c>
    </row>
    <row r="7" spans="1:9" x14ac:dyDescent="0.2">
      <c r="A7" s="10" t="s">
        <v>9161</v>
      </c>
      <c r="B7" s="10">
        <v>17.468636626719999</v>
      </c>
      <c r="C7" s="10">
        <v>2.1036836849620801</v>
      </c>
      <c r="D7" s="10">
        <v>0.836087035394664</v>
      </c>
      <c r="E7" s="10">
        <v>2.5161060941090501</v>
      </c>
      <c r="F7" s="10">
        <v>1.18659457527507E-2</v>
      </c>
      <c r="G7" s="10">
        <v>4.8582009344147699E-2</v>
      </c>
      <c r="H7" s="10" t="s">
        <v>9162</v>
      </c>
      <c r="I7" s="10" t="s">
        <v>18</v>
      </c>
    </row>
    <row r="8" spans="1:9" x14ac:dyDescent="0.2">
      <c r="A8" s="10" t="s">
        <v>27</v>
      </c>
      <c r="B8" s="10">
        <v>81.504840175626995</v>
      </c>
      <c r="C8" s="10">
        <v>1.7138263378980301</v>
      </c>
      <c r="D8" s="10">
        <v>0.46414068074514397</v>
      </c>
      <c r="E8" s="10">
        <v>3.6924717203124899</v>
      </c>
      <c r="F8" s="10">
        <v>2.22085042829315E-4</v>
      </c>
      <c r="G8" s="10">
        <v>1.6400045115968901E-3</v>
      </c>
      <c r="H8" s="10" t="s">
        <v>28</v>
      </c>
      <c r="I8" s="10" t="s">
        <v>18</v>
      </c>
    </row>
    <row r="9" spans="1:9" x14ac:dyDescent="0.2">
      <c r="A9" s="10" t="s">
        <v>33</v>
      </c>
      <c r="B9" s="10">
        <v>896.94464040681805</v>
      </c>
      <c r="C9" s="10">
        <v>1.1418149296017801</v>
      </c>
      <c r="D9" s="10">
        <v>0.32110419555113301</v>
      </c>
      <c r="E9" s="10">
        <v>3.5559016214098502</v>
      </c>
      <c r="F9" s="10">
        <v>3.7668502432892503E-4</v>
      </c>
      <c r="G9" s="10">
        <v>2.6117728189068599E-3</v>
      </c>
      <c r="H9" s="10" t="s">
        <v>34</v>
      </c>
      <c r="I9" s="10" t="s">
        <v>18</v>
      </c>
    </row>
    <row r="10" spans="1:9" x14ac:dyDescent="0.2">
      <c r="A10" s="10" t="s">
        <v>35</v>
      </c>
      <c r="B10" s="10">
        <v>224.93630474794199</v>
      </c>
      <c r="C10" s="10">
        <v>1.3103572225215001</v>
      </c>
      <c r="D10" s="10">
        <v>0.39754333443443302</v>
      </c>
      <c r="E10" s="10">
        <v>3.29613682087184</v>
      </c>
      <c r="F10" s="10">
        <v>9.8024263376319501E-4</v>
      </c>
      <c r="G10" s="10">
        <v>5.9965961703096196E-3</v>
      </c>
      <c r="H10" s="10" t="s">
        <v>36</v>
      </c>
      <c r="I10" s="10" t="s">
        <v>18</v>
      </c>
    </row>
    <row r="11" spans="1:9" x14ac:dyDescent="0.2">
      <c r="A11" s="10" t="s">
        <v>37</v>
      </c>
      <c r="B11" s="10">
        <v>1022.64520047832</v>
      </c>
      <c r="C11" s="10">
        <v>6.6327796727130197</v>
      </c>
      <c r="D11" s="10">
        <v>0.39017306639240701</v>
      </c>
      <c r="E11" s="10">
        <v>16.999583631029701</v>
      </c>
      <c r="F11" s="4">
        <v>8.2705257978430904E-65</v>
      </c>
      <c r="G11" s="4">
        <v>3.4674179407457099E-62</v>
      </c>
      <c r="H11" s="10" t="s">
        <v>38</v>
      </c>
      <c r="I11" s="10" t="s">
        <v>18</v>
      </c>
    </row>
    <row r="12" spans="1:9" x14ac:dyDescent="0.2">
      <c r="A12" s="10" t="s">
        <v>9163</v>
      </c>
      <c r="B12" s="10">
        <v>17.863825615127901</v>
      </c>
      <c r="C12" s="10">
        <v>4.1588725555001798</v>
      </c>
      <c r="D12" s="10">
        <v>1.0388426056742499</v>
      </c>
      <c r="E12" s="10">
        <v>4.0033711871115401</v>
      </c>
      <c r="F12" s="4">
        <v>6.2446208509081601E-5</v>
      </c>
      <c r="G12" s="10">
        <v>5.3575524387651703E-4</v>
      </c>
      <c r="H12" s="10" t="s">
        <v>9164</v>
      </c>
      <c r="I12" s="10" t="s">
        <v>18</v>
      </c>
    </row>
    <row r="13" spans="1:9" x14ac:dyDescent="0.2">
      <c r="A13" s="10" t="s">
        <v>39</v>
      </c>
      <c r="B13" s="10">
        <v>504.76762350101302</v>
      </c>
      <c r="C13" s="10">
        <v>2.1397341541160002</v>
      </c>
      <c r="D13" s="10">
        <v>0.38659684763682101</v>
      </c>
      <c r="E13" s="10">
        <v>5.5347946244148503</v>
      </c>
      <c r="F13" s="4">
        <v>3.1159324599740499E-8</v>
      </c>
      <c r="G13" s="4">
        <v>5.0633902474578395E-7</v>
      </c>
      <c r="H13" s="10" t="s">
        <v>40</v>
      </c>
      <c r="I13" s="10" t="s">
        <v>18</v>
      </c>
    </row>
    <row r="14" spans="1:9" x14ac:dyDescent="0.2">
      <c r="A14" s="10" t="s">
        <v>41</v>
      </c>
      <c r="B14" s="10">
        <v>143.52772460542701</v>
      </c>
      <c r="C14" s="10">
        <v>2.9556063096958498</v>
      </c>
      <c r="D14" s="10">
        <v>0.44292139246516299</v>
      </c>
      <c r="E14" s="10">
        <v>6.6729816169995102</v>
      </c>
      <c r="F14" s="4">
        <v>2.50657800769062E-11</v>
      </c>
      <c r="G14" s="4">
        <v>6.1635356582069997E-10</v>
      </c>
      <c r="H14" s="10" t="s">
        <v>42</v>
      </c>
      <c r="I14" s="10" t="s">
        <v>18</v>
      </c>
    </row>
    <row r="15" spans="1:9" x14ac:dyDescent="0.2">
      <c r="A15" s="10" t="s">
        <v>47</v>
      </c>
      <c r="B15" s="10">
        <v>2403.8841977780999</v>
      </c>
      <c r="C15" s="10">
        <v>2.2501032886467902</v>
      </c>
      <c r="D15" s="10">
        <v>0.28156002098559701</v>
      </c>
      <c r="E15" s="10">
        <v>7.9915581792128298</v>
      </c>
      <c r="F15" s="4">
        <v>1.33243810845965E-15</v>
      </c>
      <c r="G15" s="4">
        <v>5.1565354797388503E-14</v>
      </c>
      <c r="H15" s="10" t="s">
        <v>48</v>
      </c>
      <c r="I15" s="10" t="s">
        <v>18</v>
      </c>
    </row>
    <row r="16" spans="1:9" x14ac:dyDescent="0.2">
      <c r="A16" s="10" t="s">
        <v>49</v>
      </c>
      <c r="B16" s="10">
        <v>21.2840246786565</v>
      </c>
      <c r="C16" s="10">
        <v>4.8459366504379604</v>
      </c>
      <c r="D16" s="10">
        <v>1.08454662466413</v>
      </c>
      <c r="E16" s="10">
        <v>4.4681681176580899</v>
      </c>
      <c r="F16" s="4">
        <v>7.8892294087007899E-6</v>
      </c>
      <c r="G16" s="4">
        <v>8.3104508281351899E-5</v>
      </c>
      <c r="H16" s="10" t="s">
        <v>50</v>
      </c>
      <c r="I16" s="10" t="s">
        <v>18</v>
      </c>
    </row>
    <row r="17" spans="1:9" x14ac:dyDescent="0.2">
      <c r="A17" s="10" t="s">
        <v>9165</v>
      </c>
      <c r="B17" s="10">
        <v>361.78200491651302</v>
      </c>
      <c r="C17" s="10">
        <v>2.02558412790385</v>
      </c>
      <c r="D17" s="10">
        <v>0.33689098971352699</v>
      </c>
      <c r="E17" s="10">
        <v>6.0125802997173903</v>
      </c>
      <c r="F17" s="4">
        <v>1.8259333381628901E-9</v>
      </c>
      <c r="G17" s="4">
        <v>3.5578120156070897E-8</v>
      </c>
      <c r="H17" s="10" t="s">
        <v>9166</v>
      </c>
      <c r="I17" s="10" t="s">
        <v>18</v>
      </c>
    </row>
    <row r="18" spans="1:9" x14ac:dyDescent="0.2">
      <c r="A18" s="10" t="s">
        <v>51</v>
      </c>
      <c r="B18" s="10">
        <v>60.591675614511402</v>
      </c>
      <c r="C18" s="10">
        <v>3.5636712379889302</v>
      </c>
      <c r="D18" s="10">
        <v>0.55222769347054101</v>
      </c>
      <c r="E18" s="10">
        <v>6.4532642606034702</v>
      </c>
      <c r="F18" s="4">
        <v>1.09466229059207E-10</v>
      </c>
      <c r="G18" s="4">
        <v>2.5062377809930198E-9</v>
      </c>
      <c r="H18" s="10" t="s">
        <v>52</v>
      </c>
      <c r="I18" s="10" t="s">
        <v>18</v>
      </c>
    </row>
    <row r="19" spans="1:9" x14ac:dyDescent="0.2">
      <c r="A19" s="10" t="s">
        <v>9167</v>
      </c>
      <c r="B19" s="10">
        <v>913.41402797531396</v>
      </c>
      <c r="C19" s="10">
        <v>1.5992652175376401</v>
      </c>
      <c r="D19" s="10">
        <v>0.32184133183278502</v>
      </c>
      <c r="E19" s="10">
        <v>4.96911073674202</v>
      </c>
      <c r="F19" s="4">
        <v>6.7260651706514504E-7</v>
      </c>
      <c r="G19" s="4">
        <v>8.7093942314361406E-6</v>
      </c>
      <c r="H19" s="10" t="s">
        <v>9168</v>
      </c>
      <c r="I19" s="10" t="s">
        <v>18</v>
      </c>
    </row>
    <row r="20" spans="1:9" x14ac:dyDescent="0.2">
      <c r="A20" s="10" t="s">
        <v>9169</v>
      </c>
      <c r="B20" s="10">
        <v>782.85680655930298</v>
      </c>
      <c r="C20" s="10">
        <v>2.2309627843581699</v>
      </c>
      <c r="D20" s="10">
        <v>0.31548327116367098</v>
      </c>
      <c r="E20" s="10">
        <v>7.0715723725355799</v>
      </c>
      <c r="F20" s="4">
        <v>1.53187873192282E-12</v>
      </c>
      <c r="G20" s="4">
        <v>4.3200010651926699E-11</v>
      </c>
      <c r="H20" s="10" t="s">
        <v>9170</v>
      </c>
      <c r="I20" s="10" t="s">
        <v>18</v>
      </c>
    </row>
    <row r="21" spans="1:9" x14ac:dyDescent="0.2">
      <c r="A21" s="10" t="s">
        <v>9171</v>
      </c>
      <c r="B21" s="10">
        <v>1885.3899064663599</v>
      </c>
      <c r="C21" s="10">
        <v>2.4209916395114202</v>
      </c>
      <c r="D21" s="10">
        <v>0.28054092374322498</v>
      </c>
      <c r="E21" s="10">
        <v>8.6297271970463605</v>
      </c>
      <c r="F21" s="4">
        <v>6.1498476777937799E-18</v>
      </c>
      <c r="G21" s="4">
        <v>2.8701190785696198E-16</v>
      </c>
      <c r="H21" s="10" t="s">
        <v>9172</v>
      </c>
      <c r="I21" s="10" t="s">
        <v>18</v>
      </c>
    </row>
    <row r="22" spans="1:9" x14ac:dyDescent="0.2">
      <c r="A22" s="10" t="s">
        <v>9173</v>
      </c>
      <c r="B22" s="10">
        <v>426.87181190989298</v>
      </c>
      <c r="C22" s="10">
        <v>1.1166439997222299</v>
      </c>
      <c r="D22" s="10">
        <v>0.34118339613139098</v>
      </c>
      <c r="E22" s="10">
        <v>3.27285563243588</v>
      </c>
      <c r="F22" s="10">
        <v>1.0646684217155799E-3</v>
      </c>
      <c r="G22" s="10">
        <v>6.4379168625614096E-3</v>
      </c>
      <c r="H22" s="10" t="s">
        <v>9174</v>
      </c>
      <c r="I22" s="10" t="s">
        <v>18</v>
      </c>
    </row>
    <row r="23" spans="1:9" x14ac:dyDescent="0.2">
      <c r="A23" s="10" t="s">
        <v>9175</v>
      </c>
      <c r="B23" s="10">
        <v>110.51158656782999</v>
      </c>
      <c r="C23" s="10">
        <v>-2.8897148000904398</v>
      </c>
      <c r="D23" s="10">
        <v>0.45589485293354898</v>
      </c>
      <c r="E23" s="10">
        <v>-6.3385554399133497</v>
      </c>
      <c r="F23" s="4">
        <v>2.3192938599908099E-10</v>
      </c>
      <c r="G23" s="4">
        <v>5.1221981604977001E-9</v>
      </c>
      <c r="H23" s="10" t="s">
        <v>9176</v>
      </c>
      <c r="I23" s="10" t="s">
        <v>18</v>
      </c>
    </row>
    <row r="24" spans="1:9" x14ac:dyDescent="0.2">
      <c r="A24" s="10" t="s">
        <v>53</v>
      </c>
      <c r="B24" s="10">
        <v>12.3703394810048</v>
      </c>
      <c r="C24" s="10">
        <v>7.1507354053307797</v>
      </c>
      <c r="D24" s="10">
        <v>1.7233179984917999</v>
      </c>
      <c r="E24" s="10">
        <v>4.1493998273034398</v>
      </c>
      <c r="F24" s="4">
        <v>3.3334812310720699E-5</v>
      </c>
      <c r="G24" s="10">
        <v>3.0514454282248101E-4</v>
      </c>
      <c r="H24" s="10" t="s">
        <v>54</v>
      </c>
      <c r="I24" s="10" t="s">
        <v>18</v>
      </c>
    </row>
    <row r="25" spans="1:9" x14ac:dyDescent="0.2">
      <c r="A25" s="10" t="s">
        <v>55</v>
      </c>
      <c r="B25" s="10">
        <v>1078.07250976468</v>
      </c>
      <c r="C25" s="10">
        <v>4.1286917574329296</v>
      </c>
      <c r="D25" s="10">
        <v>0.32176948433867603</v>
      </c>
      <c r="E25" s="10">
        <v>12.8312097895751</v>
      </c>
      <c r="F25" s="4">
        <v>1.0963867579053601E-37</v>
      </c>
      <c r="G25" s="4">
        <v>1.6230082801335701E-35</v>
      </c>
      <c r="H25" s="10" t="s">
        <v>56</v>
      </c>
      <c r="I25" s="10" t="s">
        <v>18</v>
      </c>
    </row>
    <row r="26" spans="1:9" x14ac:dyDescent="0.2">
      <c r="A26" s="10" t="s">
        <v>57</v>
      </c>
      <c r="B26" s="10">
        <v>530.733596103222</v>
      </c>
      <c r="C26" s="10">
        <v>-1.1342957808707701</v>
      </c>
      <c r="D26" s="10">
        <v>0.31858675634210198</v>
      </c>
      <c r="E26" s="10">
        <v>-3.5603984104497699</v>
      </c>
      <c r="F26" s="10">
        <v>3.7029254893973198E-4</v>
      </c>
      <c r="G26" s="10">
        <v>2.5759704282574498E-3</v>
      </c>
      <c r="H26" s="10" t="s">
        <v>58</v>
      </c>
      <c r="I26" s="10" t="s">
        <v>18</v>
      </c>
    </row>
    <row r="27" spans="1:9" x14ac:dyDescent="0.2">
      <c r="A27" s="10" t="s">
        <v>9177</v>
      </c>
      <c r="B27" s="10">
        <v>1359.88121239208</v>
      </c>
      <c r="C27" s="10">
        <v>2.4144919668777698</v>
      </c>
      <c r="D27" s="10">
        <v>0.79119455536031302</v>
      </c>
      <c r="E27" s="10">
        <v>3.0517044771348401</v>
      </c>
      <c r="F27" s="10">
        <v>2.2754600633751901E-3</v>
      </c>
      <c r="G27" s="10">
        <v>1.2233211774781601E-2</v>
      </c>
      <c r="H27" s="10" t="s">
        <v>9178</v>
      </c>
      <c r="I27" s="10" t="s">
        <v>18</v>
      </c>
    </row>
    <row r="28" spans="1:9" x14ac:dyDescent="0.2">
      <c r="A28" s="10" t="s">
        <v>9179</v>
      </c>
      <c r="B28" s="10">
        <v>924.08199418271499</v>
      </c>
      <c r="C28" s="10">
        <v>2.59905863729769</v>
      </c>
      <c r="D28" s="10">
        <v>0.309608179812913</v>
      </c>
      <c r="E28" s="10">
        <v>8.3946704472350202</v>
      </c>
      <c r="F28" s="4">
        <v>4.6720280220899601E-17</v>
      </c>
      <c r="G28" s="4">
        <v>2.0654633549327402E-15</v>
      </c>
      <c r="H28" s="10" t="s">
        <v>9180</v>
      </c>
      <c r="I28" s="10" t="s">
        <v>18</v>
      </c>
    </row>
    <row r="29" spans="1:9" x14ac:dyDescent="0.2">
      <c r="A29" s="10" t="s">
        <v>63</v>
      </c>
      <c r="B29" s="10">
        <v>94.348945568027403</v>
      </c>
      <c r="C29" s="10">
        <v>1.2582095160064199</v>
      </c>
      <c r="D29" s="10">
        <v>0.416199932313426</v>
      </c>
      <c r="E29" s="10">
        <v>3.0230891894016501</v>
      </c>
      <c r="F29" s="10">
        <v>2.5020848882297501E-3</v>
      </c>
      <c r="G29" s="10">
        <v>1.3219900307376501E-2</v>
      </c>
      <c r="H29" s="10" t="s">
        <v>64</v>
      </c>
      <c r="I29" s="10" t="s">
        <v>18</v>
      </c>
    </row>
    <row r="30" spans="1:9" x14ac:dyDescent="0.2">
      <c r="A30" s="10" t="s">
        <v>9181</v>
      </c>
      <c r="B30" s="10">
        <v>124.828852251566</v>
      </c>
      <c r="C30" s="10">
        <v>1.1471746455977001</v>
      </c>
      <c r="D30" s="10">
        <v>0.40430268451891999</v>
      </c>
      <c r="E30" s="10">
        <v>2.8374153561773201</v>
      </c>
      <c r="F30" s="10">
        <v>4.5480404011923299E-3</v>
      </c>
      <c r="G30" s="10">
        <v>2.1925250343425299E-2</v>
      </c>
      <c r="H30" s="10" t="s">
        <v>9182</v>
      </c>
      <c r="I30" s="10" t="s">
        <v>18</v>
      </c>
    </row>
    <row r="31" spans="1:9" x14ac:dyDescent="0.2">
      <c r="A31" s="10" t="s">
        <v>9183</v>
      </c>
      <c r="B31" s="10">
        <v>1133.3064489810699</v>
      </c>
      <c r="C31" s="10">
        <v>1.4874148047887299</v>
      </c>
      <c r="D31" s="10">
        <v>0.30676543777683501</v>
      </c>
      <c r="E31" s="10">
        <v>4.8487039986257798</v>
      </c>
      <c r="F31" s="4">
        <v>1.24270691487028E-6</v>
      </c>
      <c r="G31" s="4">
        <v>1.51748992444475E-5</v>
      </c>
      <c r="H31" s="10" t="s">
        <v>9184</v>
      </c>
      <c r="I31" s="10" t="s">
        <v>18</v>
      </c>
    </row>
    <row r="32" spans="1:9" x14ac:dyDescent="0.2">
      <c r="A32" s="10" t="s">
        <v>71</v>
      </c>
      <c r="B32" s="10">
        <v>252.04788918157101</v>
      </c>
      <c r="C32" s="10">
        <v>2.9700638731085101</v>
      </c>
      <c r="D32" s="10">
        <v>0.33138509962544699</v>
      </c>
      <c r="E32" s="10">
        <v>8.9625751926247403</v>
      </c>
      <c r="F32" s="4">
        <v>3.1718256392025501E-19</v>
      </c>
      <c r="G32" s="4">
        <v>1.6216925600435001E-17</v>
      </c>
      <c r="H32" s="10" t="s">
        <v>72</v>
      </c>
      <c r="I32" s="10" t="s">
        <v>18</v>
      </c>
    </row>
    <row r="33" spans="1:9" x14ac:dyDescent="0.2">
      <c r="A33" s="10" t="s">
        <v>73</v>
      </c>
      <c r="B33" s="10">
        <v>304.80965317648798</v>
      </c>
      <c r="C33" s="10">
        <v>-1.07359493356846</v>
      </c>
      <c r="D33" s="10">
        <v>0.36089420728169902</v>
      </c>
      <c r="E33" s="10">
        <v>-2.9748189688466198</v>
      </c>
      <c r="F33" s="10">
        <v>2.93161498230374E-3</v>
      </c>
      <c r="G33" s="10">
        <v>1.5127133308687301E-2</v>
      </c>
      <c r="H33" s="10" t="s">
        <v>74</v>
      </c>
      <c r="I33" s="10" t="s">
        <v>18</v>
      </c>
    </row>
    <row r="34" spans="1:9" x14ac:dyDescent="0.2">
      <c r="A34" s="10" t="s">
        <v>77</v>
      </c>
      <c r="B34" s="10">
        <v>219.44237298387901</v>
      </c>
      <c r="C34" s="10">
        <v>2.1529945007612898</v>
      </c>
      <c r="D34" s="10">
        <v>0.37432738771854501</v>
      </c>
      <c r="E34" s="10">
        <v>5.7516349895832901</v>
      </c>
      <c r="F34" s="4">
        <v>8.8384466488389895E-9</v>
      </c>
      <c r="G34" s="4">
        <v>1.5657121510672199E-7</v>
      </c>
      <c r="H34" s="10" t="s">
        <v>78</v>
      </c>
      <c r="I34" s="10" t="s">
        <v>18</v>
      </c>
    </row>
    <row r="35" spans="1:9" x14ac:dyDescent="0.2">
      <c r="A35" s="10" t="s">
        <v>79</v>
      </c>
      <c r="B35" s="10">
        <v>177.16194934096899</v>
      </c>
      <c r="C35" s="10">
        <v>6.7189919690583997</v>
      </c>
      <c r="D35" s="10">
        <v>0.64001247741190403</v>
      </c>
      <c r="E35" s="10">
        <v>10.4982202788121</v>
      </c>
      <c r="F35" s="4">
        <v>8.8024015973061402E-26</v>
      </c>
      <c r="G35" s="4">
        <v>7.2836977690867107E-24</v>
      </c>
      <c r="H35" s="10" t="s">
        <v>80</v>
      </c>
      <c r="I35" s="10" t="s">
        <v>18</v>
      </c>
    </row>
    <row r="36" spans="1:9" x14ac:dyDescent="0.2">
      <c r="A36" s="10" t="s">
        <v>81</v>
      </c>
      <c r="B36" s="10">
        <v>627.64119640393199</v>
      </c>
      <c r="C36" s="10">
        <v>1.9032485562121499</v>
      </c>
      <c r="D36" s="10">
        <v>0.32920311593132401</v>
      </c>
      <c r="E36" s="10">
        <v>5.7813807467399396</v>
      </c>
      <c r="F36" s="4">
        <v>7.4089992465689302E-9</v>
      </c>
      <c r="G36" s="4">
        <v>1.3350528370160599E-7</v>
      </c>
      <c r="H36" s="10" t="s">
        <v>82</v>
      </c>
      <c r="I36" s="10" t="s">
        <v>18</v>
      </c>
    </row>
    <row r="37" spans="1:9" x14ac:dyDescent="0.2">
      <c r="A37" s="10" t="s">
        <v>83</v>
      </c>
      <c r="B37" s="10">
        <v>66.2542726439723</v>
      </c>
      <c r="C37" s="10">
        <v>1.1919994968195999</v>
      </c>
      <c r="D37" s="10">
        <v>0.47184169315288699</v>
      </c>
      <c r="E37" s="10">
        <v>2.5262699632466998</v>
      </c>
      <c r="F37" s="10">
        <v>1.1528085744081099E-2</v>
      </c>
      <c r="G37" s="10">
        <v>4.74860376154237E-2</v>
      </c>
      <c r="H37" s="10" t="s">
        <v>84</v>
      </c>
      <c r="I37" s="10" t="s">
        <v>18</v>
      </c>
    </row>
    <row r="38" spans="1:9" x14ac:dyDescent="0.2">
      <c r="A38" s="10" t="s">
        <v>85</v>
      </c>
      <c r="B38" s="10">
        <v>551.56165591449803</v>
      </c>
      <c r="C38" s="10">
        <v>1.2667230643941201</v>
      </c>
      <c r="D38" s="10">
        <v>0.339697282120834</v>
      </c>
      <c r="E38" s="10">
        <v>3.7289761533727401</v>
      </c>
      <c r="F38" s="10">
        <v>1.92259343160149E-4</v>
      </c>
      <c r="G38" s="10">
        <v>1.4432359824510699E-3</v>
      </c>
      <c r="H38" s="10" t="s">
        <v>86</v>
      </c>
      <c r="I38" s="10" t="s">
        <v>18</v>
      </c>
    </row>
    <row r="39" spans="1:9" x14ac:dyDescent="0.2">
      <c r="A39" s="10" t="s">
        <v>9185</v>
      </c>
      <c r="B39" s="10">
        <v>1495.56246600486</v>
      </c>
      <c r="C39" s="10">
        <v>1.0356890283298099</v>
      </c>
      <c r="D39" s="10">
        <v>0.269932151953935</v>
      </c>
      <c r="E39" s="10">
        <v>3.83684944839972</v>
      </c>
      <c r="F39" s="10">
        <v>1.24622817989053E-4</v>
      </c>
      <c r="G39" s="10">
        <v>9.8525658284283097E-4</v>
      </c>
      <c r="H39" s="10" t="s">
        <v>9186</v>
      </c>
      <c r="I39" s="10" t="s">
        <v>18</v>
      </c>
    </row>
    <row r="40" spans="1:9" x14ac:dyDescent="0.2">
      <c r="A40" s="10" t="s">
        <v>93</v>
      </c>
      <c r="B40" s="10">
        <v>40.552168378937203</v>
      </c>
      <c r="C40" s="10">
        <v>3.4879975022138598</v>
      </c>
      <c r="D40" s="10">
        <v>0.65350500173369197</v>
      </c>
      <c r="E40" s="10">
        <v>5.3373692518963196</v>
      </c>
      <c r="F40" s="4">
        <v>9.4304860733433406E-8</v>
      </c>
      <c r="G40" s="4">
        <v>1.4169491907444099E-6</v>
      </c>
      <c r="H40" s="10" t="s">
        <v>94</v>
      </c>
      <c r="I40" s="10" t="s">
        <v>18</v>
      </c>
    </row>
    <row r="41" spans="1:9" x14ac:dyDescent="0.2">
      <c r="A41" s="10" t="s">
        <v>9187</v>
      </c>
      <c r="B41" s="10">
        <v>378.84483088602599</v>
      </c>
      <c r="C41" s="10">
        <v>-1.2424113942998101</v>
      </c>
      <c r="D41" s="10">
        <v>0.29211735973700598</v>
      </c>
      <c r="E41" s="10">
        <v>-4.2531241396209998</v>
      </c>
      <c r="F41" s="4">
        <v>2.1080863351700201E-5</v>
      </c>
      <c r="G41" s="10">
        <v>2.0041160907483701E-4</v>
      </c>
      <c r="H41" s="10" t="s">
        <v>9188</v>
      </c>
      <c r="I41" s="10" t="s">
        <v>18</v>
      </c>
    </row>
    <row r="42" spans="1:9" x14ac:dyDescent="0.2">
      <c r="A42" s="10" t="s">
        <v>99</v>
      </c>
      <c r="B42" s="10">
        <v>1999.3732636626</v>
      </c>
      <c r="C42" s="10">
        <v>-1.33141619894467</v>
      </c>
      <c r="D42" s="10">
        <v>0.29619730563485602</v>
      </c>
      <c r="E42" s="10">
        <v>-4.4950314321427403</v>
      </c>
      <c r="F42" s="4">
        <v>6.9559671311320697E-6</v>
      </c>
      <c r="G42" s="4">
        <v>7.4237315733401501E-5</v>
      </c>
      <c r="H42" s="10" t="s">
        <v>100</v>
      </c>
      <c r="I42" s="10" t="s">
        <v>18</v>
      </c>
    </row>
    <row r="43" spans="1:9" x14ac:dyDescent="0.2">
      <c r="A43" s="10" t="s">
        <v>107</v>
      </c>
      <c r="B43" s="10">
        <v>1053.88976478022</v>
      </c>
      <c r="C43" s="10">
        <v>1.8243810788325101</v>
      </c>
      <c r="D43" s="10">
        <v>0.314352677490222</v>
      </c>
      <c r="E43" s="10">
        <v>5.8036123420302701</v>
      </c>
      <c r="F43" s="4">
        <v>6.4901232888852702E-9</v>
      </c>
      <c r="G43" s="4">
        <v>1.17876571358779E-7</v>
      </c>
      <c r="H43" s="10" t="s">
        <v>108</v>
      </c>
      <c r="I43" s="10" t="s">
        <v>18</v>
      </c>
    </row>
    <row r="44" spans="1:9" x14ac:dyDescent="0.2">
      <c r="A44" s="10" t="s">
        <v>113</v>
      </c>
      <c r="B44" s="10">
        <v>402.99478419672897</v>
      </c>
      <c r="C44" s="10">
        <v>9.1534150860101295</v>
      </c>
      <c r="D44" s="10">
        <v>0.88382326702354497</v>
      </c>
      <c r="E44" s="10">
        <v>10.356612489775401</v>
      </c>
      <c r="F44" s="4">
        <v>3.9054943571054798E-25</v>
      </c>
      <c r="G44" s="4">
        <v>3.0797087947645201E-23</v>
      </c>
      <c r="H44" s="10" t="s">
        <v>114</v>
      </c>
      <c r="I44" s="10" t="s">
        <v>18</v>
      </c>
    </row>
    <row r="45" spans="1:9" x14ac:dyDescent="0.2">
      <c r="A45" s="10" t="s">
        <v>115</v>
      </c>
      <c r="B45" s="10">
        <v>1333.1837493236901</v>
      </c>
      <c r="C45" s="10">
        <v>1.0519779241979299</v>
      </c>
      <c r="D45" s="10">
        <v>0.305397324411536</v>
      </c>
      <c r="E45" s="10">
        <v>3.44462063059972</v>
      </c>
      <c r="F45" s="10">
        <v>5.7186139707458904E-4</v>
      </c>
      <c r="G45" s="10">
        <v>3.7627971340338201E-3</v>
      </c>
      <c r="H45" s="10" t="s">
        <v>116</v>
      </c>
      <c r="I45" s="10" t="s">
        <v>18</v>
      </c>
    </row>
    <row r="46" spans="1:9" x14ac:dyDescent="0.2">
      <c r="A46" s="10" t="s">
        <v>125</v>
      </c>
      <c r="B46" s="10">
        <v>342.12624897297201</v>
      </c>
      <c r="C46" s="10">
        <v>-1.00481652400056</v>
      </c>
      <c r="D46" s="10">
        <v>0.31469271083189398</v>
      </c>
      <c r="E46" s="10">
        <v>-3.19300857444177</v>
      </c>
      <c r="F46" s="10">
        <v>1.4079876564108201E-3</v>
      </c>
      <c r="G46" s="10">
        <v>8.1608132481599694E-3</v>
      </c>
      <c r="H46" s="10" t="s">
        <v>126</v>
      </c>
      <c r="I46" s="10" t="s">
        <v>18</v>
      </c>
    </row>
    <row r="47" spans="1:9" x14ac:dyDescent="0.2">
      <c r="A47" s="10" t="s">
        <v>127</v>
      </c>
      <c r="B47" s="10">
        <v>22.533806759797301</v>
      </c>
      <c r="C47" s="10">
        <v>8.0095856156654399</v>
      </c>
      <c r="D47" s="10">
        <v>1.61682972946668</v>
      </c>
      <c r="E47" s="10">
        <v>4.9538831886196499</v>
      </c>
      <c r="F47" s="4">
        <v>7.2746887542881295E-7</v>
      </c>
      <c r="G47" s="4">
        <v>9.3651379536396101E-6</v>
      </c>
      <c r="H47" s="10" t="s">
        <v>128</v>
      </c>
      <c r="I47" s="10" t="s">
        <v>18</v>
      </c>
    </row>
    <row r="48" spans="1:9" x14ac:dyDescent="0.2">
      <c r="A48" s="10" t="s">
        <v>9189</v>
      </c>
      <c r="B48" s="10">
        <v>1317.7859051153901</v>
      </c>
      <c r="C48" s="10">
        <v>1.03708388017861</v>
      </c>
      <c r="D48" s="10">
        <v>0.26583729196226602</v>
      </c>
      <c r="E48" s="10">
        <v>3.9011978813183901</v>
      </c>
      <c r="F48" s="4">
        <v>9.5717866776577805E-5</v>
      </c>
      <c r="G48" s="10">
        <v>7.8073376743346805E-4</v>
      </c>
      <c r="H48" s="10" t="s">
        <v>9190</v>
      </c>
      <c r="I48" s="10" t="s">
        <v>18</v>
      </c>
    </row>
    <row r="49" spans="1:9" x14ac:dyDescent="0.2">
      <c r="A49" s="10" t="s">
        <v>129</v>
      </c>
      <c r="B49" s="10">
        <v>522.36492696801304</v>
      </c>
      <c r="C49" s="10">
        <v>-1.29331561694331</v>
      </c>
      <c r="D49" s="10">
        <v>0.30698545848138797</v>
      </c>
      <c r="E49" s="10">
        <v>-4.2129540055126897</v>
      </c>
      <c r="F49" s="4">
        <v>2.5205240394079199E-5</v>
      </c>
      <c r="G49" s="10">
        <v>2.36876418368673E-4</v>
      </c>
      <c r="H49" s="10" t="s">
        <v>130</v>
      </c>
      <c r="I49" s="10" t="s">
        <v>18</v>
      </c>
    </row>
    <row r="50" spans="1:9" x14ac:dyDescent="0.2">
      <c r="A50" s="10" t="s">
        <v>135</v>
      </c>
      <c r="B50" s="10">
        <v>2925.8148697220299</v>
      </c>
      <c r="C50" s="10">
        <v>-1.2824243904950099</v>
      </c>
      <c r="D50" s="10">
        <v>0.259648711153525</v>
      </c>
      <c r="E50" s="10">
        <v>-4.9390747398577997</v>
      </c>
      <c r="F50" s="4">
        <v>7.8494125218522898E-7</v>
      </c>
      <c r="G50" s="4">
        <v>1.0038229384199001E-5</v>
      </c>
      <c r="H50" s="10" t="s">
        <v>136</v>
      </c>
      <c r="I50" s="10" t="s">
        <v>18</v>
      </c>
    </row>
    <row r="51" spans="1:9" x14ac:dyDescent="0.2">
      <c r="A51" s="10" t="s">
        <v>143</v>
      </c>
      <c r="B51" s="10">
        <v>242.00937433407</v>
      </c>
      <c r="C51" s="10">
        <v>-1.0902196844138801</v>
      </c>
      <c r="D51" s="10">
        <v>0.367796003601078</v>
      </c>
      <c r="E51" s="10">
        <v>-2.9641966572218701</v>
      </c>
      <c r="F51" s="10">
        <v>3.03474278424829E-3</v>
      </c>
      <c r="G51" s="10">
        <v>1.55666710313552E-2</v>
      </c>
      <c r="H51" s="10" t="s">
        <v>144</v>
      </c>
      <c r="I51" s="10" t="s">
        <v>18</v>
      </c>
    </row>
    <row r="52" spans="1:9" x14ac:dyDescent="0.2">
      <c r="A52" s="10" t="s">
        <v>145</v>
      </c>
      <c r="B52" s="10">
        <v>8852.2781685971695</v>
      </c>
      <c r="C52" s="10">
        <v>1.6155628885884501</v>
      </c>
      <c r="D52" s="10">
        <v>0.23690910003198701</v>
      </c>
      <c r="E52" s="10">
        <v>6.8193365656714597</v>
      </c>
      <c r="F52" s="4">
        <v>9.1461897989600301E-12</v>
      </c>
      <c r="G52" s="4">
        <v>2.3597169681316901E-10</v>
      </c>
      <c r="H52" s="10" t="s">
        <v>146</v>
      </c>
      <c r="I52" s="10" t="s">
        <v>18</v>
      </c>
    </row>
    <row r="53" spans="1:9" x14ac:dyDescent="0.2">
      <c r="A53" s="10" t="s">
        <v>147</v>
      </c>
      <c r="B53" s="10">
        <v>614.28558192819401</v>
      </c>
      <c r="C53" s="10">
        <v>1.8405387331424701</v>
      </c>
      <c r="D53" s="10">
        <v>0.30082249891083801</v>
      </c>
      <c r="E53" s="10">
        <v>6.1183546437063399</v>
      </c>
      <c r="F53" s="4">
        <v>9.4546467909533399E-10</v>
      </c>
      <c r="G53" s="4">
        <v>1.9304516235911601E-8</v>
      </c>
      <c r="H53" s="10" t="s">
        <v>148</v>
      </c>
      <c r="I53" s="10" t="s">
        <v>18</v>
      </c>
    </row>
    <row r="54" spans="1:9" x14ac:dyDescent="0.2">
      <c r="A54" s="10" t="s">
        <v>9191</v>
      </c>
      <c r="B54" s="10">
        <v>192.87352022827901</v>
      </c>
      <c r="C54" s="10">
        <v>-3.2031659320849801</v>
      </c>
      <c r="D54" s="10">
        <v>0.41173376901296399</v>
      </c>
      <c r="E54" s="10">
        <v>-7.7797017712776597</v>
      </c>
      <c r="F54" s="4">
        <v>7.2695715057087498E-15</v>
      </c>
      <c r="G54" s="4">
        <v>2.6123724460871902E-13</v>
      </c>
      <c r="H54" s="10" t="s">
        <v>9192</v>
      </c>
      <c r="I54" s="10" t="s">
        <v>18</v>
      </c>
    </row>
    <row r="55" spans="1:9" x14ac:dyDescent="0.2">
      <c r="A55" s="10" t="s">
        <v>151</v>
      </c>
      <c r="B55" s="10">
        <v>227.51300612535201</v>
      </c>
      <c r="C55" s="10">
        <v>7.5818139286497903</v>
      </c>
      <c r="D55" s="10">
        <v>0.722317721694823</v>
      </c>
      <c r="E55" s="10">
        <v>10.496508255203899</v>
      </c>
      <c r="F55" s="4">
        <v>8.9634624387835898E-26</v>
      </c>
      <c r="G55" s="4">
        <v>7.3926523818885595E-24</v>
      </c>
      <c r="H55" s="10" t="s">
        <v>152</v>
      </c>
      <c r="I55" s="10" t="s">
        <v>18</v>
      </c>
    </row>
    <row r="56" spans="1:9" x14ac:dyDescent="0.2">
      <c r="A56" s="10" t="s">
        <v>153</v>
      </c>
      <c r="B56" s="10">
        <v>1962.5444525001301</v>
      </c>
      <c r="C56" s="10">
        <v>10.016524074384501</v>
      </c>
      <c r="D56" s="10">
        <v>0.57168655997611795</v>
      </c>
      <c r="E56" s="10">
        <v>17.521006746779101</v>
      </c>
      <c r="F56" s="4">
        <v>9.9056909692803696E-69</v>
      </c>
      <c r="G56" s="4">
        <v>5.0852582924948499E-66</v>
      </c>
      <c r="H56" s="10" t="s">
        <v>154</v>
      </c>
      <c r="I56" s="10" t="s">
        <v>18</v>
      </c>
    </row>
    <row r="57" spans="1:9" x14ac:dyDescent="0.2">
      <c r="A57" s="10" t="s">
        <v>9193</v>
      </c>
      <c r="B57" s="10">
        <v>4853.32331446236</v>
      </c>
      <c r="C57" s="10">
        <v>1.24585804115281</v>
      </c>
      <c r="D57" s="10">
        <v>0.28471004924432802</v>
      </c>
      <c r="E57" s="10">
        <v>4.3758836207557303</v>
      </c>
      <c r="F57" s="4">
        <v>1.20941533252325E-5</v>
      </c>
      <c r="G57" s="10">
        <v>1.2135912416498601E-4</v>
      </c>
      <c r="H57" s="10" t="s">
        <v>9194</v>
      </c>
      <c r="I57" s="10" t="s">
        <v>18</v>
      </c>
    </row>
    <row r="58" spans="1:9" x14ac:dyDescent="0.2">
      <c r="A58" s="10" t="s">
        <v>9195</v>
      </c>
      <c r="B58" s="10">
        <v>13.184636880460999</v>
      </c>
      <c r="C58" s="10">
        <v>-2.6973413028373399</v>
      </c>
      <c r="D58" s="10">
        <v>1.0477151095719901</v>
      </c>
      <c r="E58" s="10">
        <v>-2.5744988100241</v>
      </c>
      <c r="F58" s="10">
        <v>1.0038543185991599E-2</v>
      </c>
      <c r="G58" s="10">
        <v>4.2426000309747698E-2</v>
      </c>
      <c r="H58" s="10" t="s">
        <v>9196</v>
      </c>
      <c r="I58" s="10" t="s">
        <v>18</v>
      </c>
    </row>
    <row r="59" spans="1:9" x14ac:dyDescent="0.2">
      <c r="A59" s="10" t="s">
        <v>157</v>
      </c>
      <c r="B59" s="10">
        <v>1734.46252523871</v>
      </c>
      <c r="C59" s="10">
        <v>6.5300271842083104</v>
      </c>
      <c r="D59" s="10">
        <v>0.33823338839074801</v>
      </c>
      <c r="E59" s="10">
        <v>19.306276105020199</v>
      </c>
      <c r="F59" s="4">
        <v>4.7565731607850101E-83</v>
      </c>
      <c r="G59" s="4">
        <v>3.8597289632111898E-80</v>
      </c>
      <c r="H59" s="10" t="s">
        <v>158</v>
      </c>
      <c r="I59" s="10" t="s">
        <v>18</v>
      </c>
    </row>
    <row r="60" spans="1:9" x14ac:dyDescent="0.2">
      <c r="A60" s="10" t="s">
        <v>9197</v>
      </c>
      <c r="B60" s="10">
        <v>1282.9914516640399</v>
      </c>
      <c r="C60" s="10">
        <v>1.25418439443469</v>
      </c>
      <c r="D60" s="10">
        <v>0.28093180781454202</v>
      </c>
      <c r="E60" s="10">
        <v>4.4643730597520701</v>
      </c>
      <c r="F60" s="4">
        <v>8.03035408930322E-6</v>
      </c>
      <c r="G60" s="4">
        <v>8.4343865184309993E-5</v>
      </c>
      <c r="H60" s="10" t="s">
        <v>9198</v>
      </c>
      <c r="I60" s="10" t="s">
        <v>18</v>
      </c>
    </row>
    <row r="61" spans="1:9" x14ac:dyDescent="0.2">
      <c r="A61" s="10" t="s">
        <v>161</v>
      </c>
      <c r="B61" s="10">
        <v>1801.0757185907601</v>
      </c>
      <c r="C61" s="10">
        <v>-1.3211129078708701</v>
      </c>
      <c r="D61" s="10">
        <v>0.26456033297131398</v>
      </c>
      <c r="E61" s="10">
        <v>-4.9936167415321302</v>
      </c>
      <c r="F61" s="4">
        <v>5.9258937912954401E-7</v>
      </c>
      <c r="G61" s="4">
        <v>7.7598052222819793E-6</v>
      </c>
      <c r="H61" s="10" t="s">
        <v>162</v>
      </c>
      <c r="I61" s="10" t="s">
        <v>18</v>
      </c>
    </row>
    <row r="62" spans="1:9" x14ac:dyDescent="0.2">
      <c r="A62" s="10" t="s">
        <v>165</v>
      </c>
      <c r="B62" s="10">
        <v>361.99672797429599</v>
      </c>
      <c r="C62" s="10">
        <v>-1.41830336520981</v>
      </c>
      <c r="D62" s="10">
        <v>0.372437011473987</v>
      </c>
      <c r="E62" s="10">
        <v>-3.80816976163731</v>
      </c>
      <c r="F62" s="10">
        <v>1.3999915254946801E-4</v>
      </c>
      <c r="G62" s="10">
        <v>1.09058721881149E-3</v>
      </c>
      <c r="H62" s="10" t="s">
        <v>166</v>
      </c>
      <c r="I62" s="10" t="s">
        <v>18</v>
      </c>
    </row>
    <row r="63" spans="1:9" x14ac:dyDescent="0.2">
      <c r="A63" s="10" t="s">
        <v>9199</v>
      </c>
      <c r="B63" s="10">
        <v>1361.36339743858</v>
      </c>
      <c r="C63" s="10">
        <v>-1.0721845028333401</v>
      </c>
      <c r="D63" s="10">
        <v>0.25549434073052002</v>
      </c>
      <c r="E63" s="10">
        <v>-4.1965097926150001</v>
      </c>
      <c r="F63" s="4">
        <v>2.7105974712308599E-5</v>
      </c>
      <c r="G63" s="10">
        <v>2.5253733106967498E-4</v>
      </c>
      <c r="H63" s="10" t="s">
        <v>9200</v>
      </c>
      <c r="I63" s="10" t="s">
        <v>18</v>
      </c>
    </row>
    <row r="64" spans="1:9" x14ac:dyDescent="0.2">
      <c r="A64" s="10" t="s">
        <v>167</v>
      </c>
      <c r="B64" s="10">
        <v>896.50779128755005</v>
      </c>
      <c r="C64" s="10">
        <v>1.1245009122049801</v>
      </c>
      <c r="D64" s="10">
        <v>0.30235501169275802</v>
      </c>
      <c r="E64" s="10">
        <v>3.71914097242631</v>
      </c>
      <c r="F64" s="10">
        <v>1.9990146698245899E-4</v>
      </c>
      <c r="G64" s="10">
        <v>1.49237840932493E-3</v>
      </c>
      <c r="H64" s="10" t="s">
        <v>168</v>
      </c>
      <c r="I64" s="10" t="s">
        <v>18</v>
      </c>
    </row>
    <row r="65" spans="1:9" x14ac:dyDescent="0.2">
      <c r="A65" s="10" t="s">
        <v>9201</v>
      </c>
      <c r="B65" s="10">
        <v>117.07356912355201</v>
      </c>
      <c r="C65" s="10">
        <v>-1.93690510472042</v>
      </c>
      <c r="D65" s="10">
        <v>0.40835223734703702</v>
      </c>
      <c r="E65" s="10">
        <v>-4.7432214827669696</v>
      </c>
      <c r="F65" s="4">
        <v>2.1034607427941302E-6</v>
      </c>
      <c r="G65" s="4">
        <v>2.47024066223092E-5</v>
      </c>
      <c r="H65" s="10" t="s">
        <v>9202</v>
      </c>
      <c r="I65" s="10" t="s">
        <v>18</v>
      </c>
    </row>
    <row r="66" spans="1:9" x14ac:dyDescent="0.2">
      <c r="A66" s="10" t="s">
        <v>169</v>
      </c>
      <c r="B66" s="10">
        <v>3066.3039218516701</v>
      </c>
      <c r="C66" s="10">
        <v>-1.33901736443453</v>
      </c>
      <c r="D66" s="10">
        <v>0.24024025813595101</v>
      </c>
      <c r="E66" s="10">
        <v>-5.5736593642718404</v>
      </c>
      <c r="F66" s="4">
        <v>2.4944325240363502E-8</v>
      </c>
      <c r="G66" s="4">
        <v>4.13083937736238E-7</v>
      </c>
      <c r="H66" s="10" t="s">
        <v>170</v>
      </c>
      <c r="I66" s="10" t="s">
        <v>18</v>
      </c>
    </row>
    <row r="67" spans="1:9" x14ac:dyDescent="0.2">
      <c r="A67" s="10" t="s">
        <v>175</v>
      </c>
      <c r="B67" s="10">
        <v>149.07613520229501</v>
      </c>
      <c r="C67" s="10">
        <v>2.0882277860387002</v>
      </c>
      <c r="D67" s="10">
        <v>0.36748832456748898</v>
      </c>
      <c r="E67" s="10">
        <v>5.6824330092566004</v>
      </c>
      <c r="F67" s="4">
        <v>1.32791934592933E-8</v>
      </c>
      <c r="G67" s="4">
        <v>2.3021234422365399E-7</v>
      </c>
      <c r="H67" s="10" t="s">
        <v>176</v>
      </c>
      <c r="I67" s="10" t="s">
        <v>18</v>
      </c>
    </row>
    <row r="68" spans="1:9" x14ac:dyDescent="0.2">
      <c r="A68" s="10" t="s">
        <v>9203</v>
      </c>
      <c r="B68" s="10">
        <v>3448.7607218391299</v>
      </c>
      <c r="C68" s="10">
        <v>1.04578876420988</v>
      </c>
      <c r="D68" s="10">
        <v>0.29817613057385201</v>
      </c>
      <c r="E68" s="10">
        <v>3.50728531555231</v>
      </c>
      <c r="F68" s="10">
        <v>4.52703475876658E-4</v>
      </c>
      <c r="G68" s="10">
        <v>3.0678221809475499E-3</v>
      </c>
      <c r="H68" s="10" t="s">
        <v>9204</v>
      </c>
      <c r="I68" s="10" t="s">
        <v>18</v>
      </c>
    </row>
    <row r="69" spans="1:9" x14ac:dyDescent="0.2">
      <c r="A69" s="10" t="s">
        <v>177</v>
      </c>
      <c r="B69" s="10">
        <v>1799.00540910922</v>
      </c>
      <c r="C69" s="10">
        <v>6.5232123831814199</v>
      </c>
      <c r="D69" s="10">
        <v>0.31100703478710801</v>
      </c>
      <c r="E69" s="10">
        <v>20.974484990819299</v>
      </c>
      <c r="F69" s="4">
        <v>1.12174480536602E-97</v>
      </c>
      <c r="G69" s="4">
        <v>1.5676383654990101E-94</v>
      </c>
      <c r="H69" s="10" t="s">
        <v>178</v>
      </c>
      <c r="I69" s="10" t="s">
        <v>18</v>
      </c>
    </row>
    <row r="70" spans="1:9" x14ac:dyDescent="0.2">
      <c r="A70" s="10" t="s">
        <v>9205</v>
      </c>
      <c r="B70" s="10">
        <v>2953.8530923399499</v>
      </c>
      <c r="C70" s="10">
        <v>1.08546587462628</v>
      </c>
      <c r="D70" s="10">
        <v>0.27631572196072302</v>
      </c>
      <c r="E70" s="10">
        <v>3.9283536489486202</v>
      </c>
      <c r="F70" s="4">
        <v>8.5529374694856401E-5</v>
      </c>
      <c r="G70" s="10">
        <v>7.0633336193339196E-4</v>
      </c>
      <c r="H70" s="10" t="s">
        <v>9206</v>
      </c>
      <c r="I70" s="10" t="s">
        <v>18</v>
      </c>
    </row>
    <row r="71" spans="1:9" x14ac:dyDescent="0.2">
      <c r="A71" s="10" t="s">
        <v>179</v>
      </c>
      <c r="B71" s="10">
        <v>18996.007304840601</v>
      </c>
      <c r="C71" s="10">
        <v>3.4052967090442001</v>
      </c>
      <c r="D71" s="10">
        <v>0.33691895455869397</v>
      </c>
      <c r="E71" s="10">
        <v>10.1071686913684</v>
      </c>
      <c r="F71" s="4">
        <v>5.1346728804131699E-24</v>
      </c>
      <c r="G71" s="4">
        <v>3.6798488976294399E-22</v>
      </c>
      <c r="H71" s="10" t="s">
        <v>180</v>
      </c>
      <c r="I71" s="10" t="s">
        <v>18</v>
      </c>
    </row>
    <row r="72" spans="1:9" x14ac:dyDescent="0.2">
      <c r="A72" s="10" t="s">
        <v>9207</v>
      </c>
      <c r="B72" s="10">
        <v>95.335460499209404</v>
      </c>
      <c r="C72" s="10">
        <v>-4.0560769156019303</v>
      </c>
      <c r="D72" s="10">
        <v>0.50087253303597701</v>
      </c>
      <c r="E72" s="10">
        <v>-8.0980222473301193</v>
      </c>
      <c r="F72" s="4">
        <v>5.5859855523484597E-16</v>
      </c>
      <c r="G72" s="4">
        <v>2.22334599002097E-14</v>
      </c>
      <c r="H72" s="10" t="s">
        <v>9208</v>
      </c>
      <c r="I72" s="10" t="s">
        <v>18</v>
      </c>
    </row>
    <row r="73" spans="1:9" x14ac:dyDescent="0.2">
      <c r="A73" s="10" t="s">
        <v>9209</v>
      </c>
      <c r="B73" s="10">
        <v>2879.0300906602902</v>
      </c>
      <c r="C73" s="10">
        <v>1.2069867546945201</v>
      </c>
      <c r="D73" s="10">
        <v>0.27031967127975498</v>
      </c>
      <c r="E73" s="10">
        <v>4.4650348566213101</v>
      </c>
      <c r="F73" s="4">
        <v>8.0055717265827301E-6</v>
      </c>
      <c r="G73" s="4">
        <v>8.4118695397739605E-5</v>
      </c>
      <c r="H73" s="10" t="s">
        <v>9210</v>
      </c>
      <c r="I73" s="10" t="s">
        <v>18</v>
      </c>
    </row>
    <row r="74" spans="1:9" x14ac:dyDescent="0.2">
      <c r="A74" s="10" t="s">
        <v>185</v>
      </c>
      <c r="B74" s="10">
        <v>1265.0029226434101</v>
      </c>
      <c r="C74" s="10">
        <v>-2.8447898341402</v>
      </c>
      <c r="D74" s="10">
        <v>0.28733616606867901</v>
      </c>
      <c r="E74" s="10">
        <v>-9.9005630689045692</v>
      </c>
      <c r="F74" s="4">
        <v>4.1393787231341401E-23</v>
      </c>
      <c r="G74" s="4">
        <v>2.74738975673982E-21</v>
      </c>
      <c r="H74" s="10" t="s">
        <v>186</v>
      </c>
      <c r="I74" s="10" t="s">
        <v>18</v>
      </c>
    </row>
    <row r="75" spans="1:9" x14ac:dyDescent="0.2">
      <c r="A75" s="10" t="s">
        <v>189</v>
      </c>
      <c r="B75" s="10">
        <v>821.91281578844701</v>
      </c>
      <c r="C75" s="10">
        <v>1.02412655871928</v>
      </c>
      <c r="D75" s="10">
        <v>0.27117513846104002</v>
      </c>
      <c r="E75" s="10">
        <v>3.7766240833557001</v>
      </c>
      <c r="F75" s="10">
        <v>1.58968380905741E-4</v>
      </c>
      <c r="G75" s="10">
        <v>1.2206500676690899E-3</v>
      </c>
      <c r="H75" s="10" t="s">
        <v>190</v>
      </c>
      <c r="I75" s="10" t="s">
        <v>18</v>
      </c>
    </row>
    <row r="76" spans="1:9" x14ac:dyDescent="0.2">
      <c r="A76" s="10" t="s">
        <v>193</v>
      </c>
      <c r="B76" s="10">
        <v>217.85453247896899</v>
      </c>
      <c r="C76" s="10">
        <v>-1.27984076851277</v>
      </c>
      <c r="D76" s="10">
        <v>0.38351151117042198</v>
      </c>
      <c r="E76" s="10">
        <v>-3.3371638953075502</v>
      </c>
      <c r="F76" s="10">
        <v>8.4638021834178799E-4</v>
      </c>
      <c r="G76" s="10">
        <v>5.2948755017129196E-3</v>
      </c>
      <c r="H76" s="10" t="s">
        <v>194</v>
      </c>
      <c r="I76" s="10" t="s">
        <v>18</v>
      </c>
    </row>
    <row r="77" spans="1:9" x14ac:dyDescent="0.2">
      <c r="A77" s="10" t="s">
        <v>195</v>
      </c>
      <c r="B77" s="10">
        <v>371.34316474968603</v>
      </c>
      <c r="C77" s="10">
        <v>7.1603557278345402</v>
      </c>
      <c r="D77" s="10">
        <v>0.53215061492849103</v>
      </c>
      <c r="E77" s="10">
        <v>13.455505879283301</v>
      </c>
      <c r="F77" s="4">
        <v>2.8577677012401402E-41</v>
      </c>
      <c r="G77" s="4">
        <v>5.0983791861486398E-39</v>
      </c>
      <c r="H77" s="10" t="s">
        <v>196</v>
      </c>
      <c r="I77" s="10" t="s">
        <v>18</v>
      </c>
    </row>
    <row r="78" spans="1:9" x14ac:dyDescent="0.2">
      <c r="A78" s="10" t="s">
        <v>197</v>
      </c>
      <c r="B78" s="10">
        <v>17.7305014392822</v>
      </c>
      <c r="C78" s="10">
        <v>-2.3476023648814199</v>
      </c>
      <c r="D78" s="10">
        <v>0.88277019685179403</v>
      </c>
      <c r="E78" s="10">
        <v>-2.6593584301482198</v>
      </c>
      <c r="F78" s="10">
        <v>7.8289624506861204E-3</v>
      </c>
      <c r="G78" s="10">
        <v>3.4357562883288402E-2</v>
      </c>
      <c r="H78" s="10" t="s">
        <v>198</v>
      </c>
      <c r="I78" s="10" t="s">
        <v>18</v>
      </c>
    </row>
    <row r="79" spans="1:9" x14ac:dyDescent="0.2">
      <c r="A79" s="10" t="s">
        <v>199</v>
      </c>
      <c r="B79" s="10">
        <v>5625.9390024525301</v>
      </c>
      <c r="C79" s="10">
        <v>-1.6000770569104601</v>
      </c>
      <c r="D79" s="10">
        <v>0.25462129472190098</v>
      </c>
      <c r="E79" s="10">
        <v>-6.2841446889116996</v>
      </c>
      <c r="F79" s="4">
        <v>3.2966357243858801E-10</v>
      </c>
      <c r="G79" s="4">
        <v>7.1550363802352697E-9</v>
      </c>
      <c r="H79" s="10" t="s">
        <v>200</v>
      </c>
      <c r="I79" s="10" t="s">
        <v>18</v>
      </c>
    </row>
    <row r="80" spans="1:9" x14ac:dyDescent="0.2">
      <c r="A80" s="10" t="s">
        <v>9211</v>
      </c>
      <c r="B80" s="10">
        <v>27.067198922292999</v>
      </c>
      <c r="C80" s="10">
        <v>-1.81987815359683</v>
      </c>
      <c r="D80" s="10">
        <v>0.70202218967192498</v>
      </c>
      <c r="E80" s="10">
        <v>-2.5923370804665198</v>
      </c>
      <c r="F80" s="10">
        <v>9.5326319719873601E-3</v>
      </c>
      <c r="G80" s="10">
        <v>4.0594781236005101E-2</v>
      </c>
      <c r="H80" s="10" t="s">
        <v>9212</v>
      </c>
      <c r="I80" s="10" t="s">
        <v>18</v>
      </c>
    </row>
    <row r="81" spans="1:9" x14ac:dyDescent="0.2">
      <c r="A81" s="10" t="s">
        <v>203</v>
      </c>
      <c r="B81" s="10">
        <v>19.641556913215201</v>
      </c>
      <c r="C81" s="10">
        <v>2.43000053133848</v>
      </c>
      <c r="D81" s="10">
        <v>0.80915987567944703</v>
      </c>
      <c r="E81" s="10">
        <v>3.0031154588554299</v>
      </c>
      <c r="F81" s="10">
        <v>2.6723102714300302E-3</v>
      </c>
      <c r="G81" s="10">
        <v>1.39725555763506E-2</v>
      </c>
      <c r="H81" s="10" t="s">
        <v>204</v>
      </c>
      <c r="I81" s="10" t="s">
        <v>18</v>
      </c>
    </row>
    <row r="82" spans="1:9" x14ac:dyDescent="0.2">
      <c r="A82" s="10" t="s">
        <v>205</v>
      </c>
      <c r="B82" s="10">
        <v>68.375920457481399</v>
      </c>
      <c r="C82" s="10">
        <v>2.4163000559111198</v>
      </c>
      <c r="D82" s="10">
        <v>0.492260611467918</v>
      </c>
      <c r="E82" s="10">
        <v>4.9085789104794104</v>
      </c>
      <c r="F82" s="4">
        <v>9.1738716200343696E-7</v>
      </c>
      <c r="G82" s="4">
        <v>1.1555770686127401E-5</v>
      </c>
      <c r="H82" s="10" t="s">
        <v>206</v>
      </c>
      <c r="I82" s="10" t="s">
        <v>18</v>
      </c>
    </row>
    <row r="83" spans="1:9" x14ac:dyDescent="0.2">
      <c r="A83" s="10" t="s">
        <v>9213</v>
      </c>
      <c r="B83" s="10">
        <v>754.13620911425301</v>
      </c>
      <c r="C83" s="10">
        <v>1.0422083901885699</v>
      </c>
      <c r="D83" s="10">
        <v>0.26351133291571899</v>
      </c>
      <c r="E83" s="10">
        <v>3.9550799529442302</v>
      </c>
      <c r="F83" s="4">
        <v>7.6509061002841703E-5</v>
      </c>
      <c r="G83" s="10">
        <v>6.4067424418325005E-4</v>
      </c>
      <c r="H83" s="10" t="s">
        <v>9214</v>
      </c>
      <c r="I83" s="10" t="s">
        <v>18</v>
      </c>
    </row>
    <row r="84" spans="1:9" x14ac:dyDescent="0.2">
      <c r="A84" s="10" t="s">
        <v>207</v>
      </c>
      <c r="B84" s="10">
        <v>554.28541933186705</v>
      </c>
      <c r="C84" s="10">
        <v>-2.1537007658711498</v>
      </c>
      <c r="D84" s="10">
        <v>0.30054288877089802</v>
      </c>
      <c r="E84" s="10">
        <v>-7.1660346870256699</v>
      </c>
      <c r="F84" s="4">
        <v>7.7201220657649301E-13</v>
      </c>
      <c r="G84" s="4">
        <v>2.25028586980668E-11</v>
      </c>
      <c r="H84" s="10" t="s">
        <v>208</v>
      </c>
      <c r="I84" s="10" t="s">
        <v>18</v>
      </c>
    </row>
    <row r="85" spans="1:9" x14ac:dyDescent="0.2">
      <c r="A85" s="10" t="s">
        <v>209</v>
      </c>
      <c r="B85" s="10">
        <v>1605.67557530831</v>
      </c>
      <c r="C85" s="10">
        <v>1.0555429726364101</v>
      </c>
      <c r="D85" s="10">
        <v>0.27229311807801498</v>
      </c>
      <c r="E85" s="10">
        <v>3.8764952272278301</v>
      </c>
      <c r="F85" s="10">
        <v>1.05971887678074E-4</v>
      </c>
      <c r="G85" s="10">
        <v>8.5467227782684899E-4</v>
      </c>
      <c r="H85" s="10" t="s">
        <v>210</v>
      </c>
      <c r="I85" s="10" t="s">
        <v>18</v>
      </c>
    </row>
    <row r="86" spans="1:9" x14ac:dyDescent="0.2">
      <c r="A86" s="10" t="s">
        <v>9215</v>
      </c>
      <c r="B86" s="10">
        <v>6625.3333947731298</v>
      </c>
      <c r="C86" s="10">
        <v>-2.1384969999389201</v>
      </c>
      <c r="D86" s="10">
        <v>0.29407469161223698</v>
      </c>
      <c r="E86" s="10">
        <v>-7.2719518575869797</v>
      </c>
      <c r="F86" s="4">
        <v>3.5432988543382501E-13</v>
      </c>
      <c r="G86" s="4">
        <v>1.08405964005533E-11</v>
      </c>
      <c r="H86" s="10" t="s">
        <v>9216</v>
      </c>
      <c r="I86" s="10" t="s">
        <v>18</v>
      </c>
    </row>
    <row r="87" spans="1:9" x14ac:dyDescent="0.2">
      <c r="A87" s="10" t="s">
        <v>211</v>
      </c>
      <c r="B87" s="10">
        <v>23.729438606389401</v>
      </c>
      <c r="C87" s="10">
        <v>5.6398796119623702</v>
      </c>
      <c r="D87" s="10">
        <v>1.22743190859787</v>
      </c>
      <c r="E87" s="10">
        <v>4.5948614928912601</v>
      </c>
      <c r="F87" s="4">
        <v>4.3303680848650196E-6</v>
      </c>
      <c r="G87" s="4">
        <v>4.8241988119920103E-5</v>
      </c>
      <c r="H87" s="10" t="s">
        <v>212</v>
      </c>
      <c r="I87" s="10" t="s">
        <v>18</v>
      </c>
    </row>
    <row r="88" spans="1:9" x14ac:dyDescent="0.2">
      <c r="A88" s="10" t="s">
        <v>213</v>
      </c>
      <c r="B88" s="10">
        <v>16.993841521878601</v>
      </c>
      <c r="C88" s="10">
        <v>6.1524868283102796</v>
      </c>
      <c r="D88" s="10">
        <v>1.61372442343541</v>
      </c>
      <c r="E88" s="10">
        <v>3.81260067639827</v>
      </c>
      <c r="F88" s="10">
        <v>1.37512187076201E-4</v>
      </c>
      <c r="G88" s="10">
        <v>1.07326064719262E-3</v>
      </c>
      <c r="H88" s="10" t="s">
        <v>214</v>
      </c>
      <c r="I88" s="10" t="s">
        <v>18</v>
      </c>
    </row>
    <row r="89" spans="1:9" x14ac:dyDescent="0.2">
      <c r="A89" s="10" t="s">
        <v>215</v>
      </c>
      <c r="B89" s="10">
        <v>2529.0295751620401</v>
      </c>
      <c r="C89" s="10">
        <v>2.3632188241784799</v>
      </c>
      <c r="D89" s="10">
        <v>0.28858487371797098</v>
      </c>
      <c r="E89" s="10">
        <v>8.1889906207905199</v>
      </c>
      <c r="F89" s="4">
        <v>2.6342606607297601E-16</v>
      </c>
      <c r="G89" s="4">
        <v>1.09347899209005E-14</v>
      </c>
      <c r="H89" s="10" t="s">
        <v>216</v>
      </c>
      <c r="I89" s="10" t="s">
        <v>18</v>
      </c>
    </row>
    <row r="90" spans="1:9" x14ac:dyDescent="0.2">
      <c r="A90" s="10" t="s">
        <v>219</v>
      </c>
      <c r="B90" s="10">
        <v>1792.0255809697901</v>
      </c>
      <c r="C90" s="10">
        <v>1.9437033445415</v>
      </c>
      <c r="D90" s="10">
        <v>0.31121767423326402</v>
      </c>
      <c r="E90" s="10">
        <v>6.2454786648288501</v>
      </c>
      <c r="F90" s="4">
        <v>4.2250420560525199E-10</v>
      </c>
      <c r="G90" s="4">
        <v>9.0528903679728404E-9</v>
      </c>
      <c r="H90" s="10" t="s">
        <v>220</v>
      </c>
      <c r="I90" s="10" t="s">
        <v>18</v>
      </c>
    </row>
    <row r="91" spans="1:9" x14ac:dyDescent="0.2">
      <c r="A91" s="10" t="s">
        <v>221</v>
      </c>
      <c r="B91" s="10">
        <v>4063.7688669714198</v>
      </c>
      <c r="C91" s="10">
        <v>1.5524634708237599</v>
      </c>
      <c r="D91" s="10">
        <v>0.28040434949334397</v>
      </c>
      <c r="E91" s="10">
        <v>5.5365170819528098</v>
      </c>
      <c r="F91" s="4">
        <v>3.0854575943625197E-8</v>
      </c>
      <c r="G91" s="4">
        <v>5.0203548373990497E-7</v>
      </c>
      <c r="H91" s="10" t="s">
        <v>222</v>
      </c>
      <c r="I91" s="10" t="s">
        <v>18</v>
      </c>
    </row>
    <row r="92" spans="1:9" x14ac:dyDescent="0.2">
      <c r="A92" s="10" t="s">
        <v>9217</v>
      </c>
      <c r="B92" s="10">
        <v>67.981245639004896</v>
      </c>
      <c r="C92" s="10">
        <v>-1.2109129477151199</v>
      </c>
      <c r="D92" s="10">
        <v>0.46551713389723598</v>
      </c>
      <c r="E92" s="10">
        <v>-2.60122100679206</v>
      </c>
      <c r="F92" s="10">
        <v>9.2892588553163506E-3</v>
      </c>
      <c r="G92" s="10">
        <v>3.9706254291500903E-2</v>
      </c>
      <c r="H92" s="10" t="s">
        <v>9218</v>
      </c>
      <c r="I92" s="10" t="s">
        <v>18</v>
      </c>
    </row>
    <row r="93" spans="1:9" x14ac:dyDescent="0.2">
      <c r="A93" s="10" t="s">
        <v>225</v>
      </c>
      <c r="B93" s="10">
        <v>2229.0187469351499</v>
      </c>
      <c r="C93" s="10">
        <v>6.6250286445661901</v>
      </c>
      <c r="D93" s="10">
        <v>0.36118710741629301</v>
      </c>
      <c r="E93" s="10">
        <v>18.3423729932043</v>
      </c>
      <c r="F93" s="4">
        <v>3.7984867270456798E-75</v>
      </c>
      <c r="G93" s="4">
        <v>2.5824576653738899E-72</v>
      </c>
      <c r="H93" s="10" t="s">
        <v>226</v>
      </c>
      <c r="I93" s="10" t="s">
        <v>18</v>
      </c>
    </row>
    <row r="94" spans="1:9" x14ac:dyDescent="0.2">
      <c r="A94" s="10" t="s">
        <v>231</v>
      </c>
      <c r="B94" s="10">
        <v>2264.3695922366301</v>
      </c>
      <c r="C94" s="10">
        <v>2.02199402406836</v>
      </c>
      <c r="D94" s="10">
        <v>0.31873877623913799</v>
      </c>
      <c r="E94" s="10">
        <v>6.3437340380303402</v>
      </c>
      <c r="F94" s="4">
        <v>2.24261857121268E-10</v>
      </c>
      <c r="G94" s="4">
        <v>4.9659392745470902E-9</v>
      </c>
      <c r="H94" s="10" t="s">
        <v>232</v>
      </c>
      <c r="I94" s="10" t="s">
        <v>18</v>
      </c>
    </row>
    <row r="95" spans="1:9" x14ac:dyDescent="0.2">
      <c r="A95" s="10" t="s">
        <v>237</v>
      </c>
      <c r="B95" s="10">
        <v>1394.2752535099501</v>
      </c>
      <c r="C95" s="10">
        <v>1.3118113492096599</v>
      </c>
      <c r="D95" s="10">
        <v>0.27906613962440002</v>
      </c>
      <c r="E95" s="10">
        <v>4.7007184424998796</v>
      </c>
      <c r="F95" s="4">
        <v>2.5924776378698502E-6</v>
      </c>
      <c r="G95" s="4">
        <v>2.9928304259117001E-5</v>
      </c>
      <c r="H95" s="10" t="s">
        <v>238</v>
      </c>
      <c r="I95" s="10" t="s">
        <v>18</v>
      </c>
    </row>
    <row r="96" spans="1:9" x14ac:dyDescent="0.2">
      <c r="A96" s="10" t="s">
        <v>239</v>
      </c>
      <c r="B96" s="10">
        <v>280.09341863406098</v>
      </c>
      <c r="C96" s="10">
        <v>3.9776889685156398</v>
      </c>
      <c r="D96" s="10">
        <v>0.35543634395929202</v>
      </c>
      <c r="E96" s="10">
        <v>11.191002372484499</v>
      </c>
      <c r="F96" s="4">
        <v>4.51302599932198E-29</v>
      </c>
      <c r="G96" s="4">
        <v>4.33302171805131E-27</v>
      </c>
      <c r="H96" s="10" t="s">
        <v>240</v>
      </c>
      <c r="I96" s="10" t="s">
        <v>18</v>
      </c>
    </row>
    <row r="97" spans="1:9" x14ac:dyDescent="0.2">
      <c r="A97" s="10" t="s">
        <v>241</v>
      </c>
      <c r="B97" s="10">
        <v>3019.4104531492198</v>
      </c>
      <c r="C97" s="10">
        <v>2.32429841205319</v>
      </c>
      <c r="D97" s="10">
        <v>0.29949996201345103</v>
      </c>
      <c r="E97" s="10">
        <v>7.7605966839782203</v>
      </c>
      <c r="F97" s="4">
        <v>8.4530733793375194E-15</v>
      </c>
      <c r="G97" s="4">
        <v>2.9864755738375801E-13</v>
      </c>
      <c r="H97" s="10" t="s">
        <v>242</v>
      </c>
      <c r="I97" s="10" t="s">
        <v>18</v>
      </c>
    </row>
    <row r="98" spans="1:9" x14ac:dyDescent="0.2">
      <c r="A98" s="10" t="s">
        <v>9219</v>
      </c>
      <c r="B98" s="10">
        <v>895.79243677986096</v>
      </c>
      <c r="C98" s="10">
        <v>-1.2840378770830001</v>
      </c>
      <c r="D98" s="10">
        <v>0.27177275887326802</v>
      </c>
      <c r="E98" s="10">
        <v>-4.7246746966342297</v>
      </c>
      <c r="F98" s="4">
        <v>2.3048400657341801E-6</v>
      </c>
      <c r="G98" s="4">
        <v>2.6879115370210101E-5</v>
      </c>
      <c r="H98" s="10" t="s">
        <v>9220</v>
      </c>
      <c r="I98" s="10" t="s">
        <v>18</v>
      </c>
    </row>
    <row r="99" spans="1:9" x14ac:dyDescent="0.2">
      <c r="A99" s="10" t="s">
        <v>9221</v>
      </c>
      <c r="B99" s="10">
        <v>164.74923865194</v>
      </c>
      <c r="C99" s="10">
        <v>-2.7369251286501801</v>
      </c>
      <c r="D99" s="10">
        <v>0.36391900998295801</v>
      </c>
      <c r="E99" s="10">
        <v>-7.5206984344630703</v>
      </c>
      <c r="F99" s="4">
        <v>5.4484390423676603E-14</v>
      </c>
      <c r="G99" s="4">
        <v>1.78225597023093E-12</v>
      </c>
      <c r="H99" s="10" t="s">
        <v>9222</v>
      </c>
      <c r="I99" s="10" t="s">
        <v>18</v>
      </c>
    </row>
    <row r="100" spans="1:9" x14ac:dyDescent="0.2">
      <c r="A100" s="10" t="s">
        <v>9223</v>
      </c>
      <c r="B100" s="10">
        <v>170.66711217357101</v>
      </c>
      <c r="C100" s="10">
        <v>-1.6657993372283399</v>
      </c>
      <c r="D100" s="10">
        <v>0.36350197072597301</v>
      </c>
      <c r="E100" s="10">
        <v>-4.5826418324540601</v>
      </c>
      <c r="F100" s="4">
        <v>4.5913808310604403E-6</v>
      </c>
      <c r="G100" s="4">
        <v>5.0834588382625602E-5</v>
      </c>
      <c r="H100" s="10" t="s">
        <v>9224</v>
      </c>
      <c r="I100" s="10" t="s">
        <v>18</v>
      </c>
    </row>
    <row r="101" spans="1:9" x14ac:dyDescent="0.2">
      <c r="A101" s="10" t="s">
        <v>247</v>
      </c>
      <c r="B101" s="10">
        <v>6478.2603864783896</v>
      </c>
      <c r="C101" s="10">
        <v>3.16198178148445</v>
      </c>
      <c r="D101" s="10">
        <v>0.30231526705599499</v>
      </c>
      <c r="E101" s="10">
        <v>10.4592196493298</v>
      </c>
      <c r="F101" s="4">
        <v>1.3294604336362599E-25</v>
      </c>
      <c r="G101" s="4">
        <v>1.07532402598457E-23</v>
      </c>
      <c r="H101" s="10" t="s">
        <v>248</v>
      </c>
      <c r="I101" s="10" t="s">
        <v>18</v>
      </c>
    </row>
    <row r="102" spans="1:9" x14ac:dyDescent="0.2">
      <c r="A102" s="10" t="s">
        <v>249</v>
      </c>
      <c r="B102" s="10">
        <v>1543.5671520864601</v>
      </c>
      <c r="C102" s="10">
        <v>7.6646836920064203</v>
      </c>
      <c r="D102" s="10">
        <v>0.35840418128088197</v>
      </c>
      <c r="E102" s="10">
        <v>21.385586698832601</v>
      </c>
      <c r="F102" s="4">
        <v>1.8198460707792899E-101</v>
      </c>
      <c r="G102" s="4">
        <v>3.2698734221752101E-98</v>
      </c>
      <c r="H102" s="10" t="s">
        <v>250</v>
      </c>
      <c r="I102" s="10" t="s">
        <v>18</v>
      </c>
    </row>
    <row r="103" spans="1:9" x14ac:dyDescent="0.2">
      <c r="A103" s="10" t="s">
        <v>9225</v>
      </c>
      <c r="B103" s="10">
        <v>1901.2060401067899</v>
      </c>
      <c r="C103" s="10">
        <v>-1.4693110351923699</v>
      </c>
      <c r="D103" s="10">
        <v>0.26967036590041699</v>
      </c>
      <c r="E103" s="10">
        <v>-5.4485446715155703</v>
      </c>
      <c r="F103" s="4">
        <v>5.07836372382275E-8</v>
      </c>
      <c r="G103" s="4">
        <v>7.9543112996738001E-7</v>
      </c>
      <c r="H103" s="10" t="s">
        <v>9226</v>
      </c>
      <c r="I103" s="10" t="s">
        <v>18</v>
      </c>
    </row>
    <row r="104" spans="1:9" x14ac:dyDescent="0.2">
      <c r="A104" s="10" t="s">
        <v>251</v>
      </c>
      <c r="B104" s="10">
        <v>1973.8457690555799</v>
      </c>
      <c r="C104" s="10">
        <v>-1.2585681051962501</v>
      </c>
      <c r="D104" s="10">
        <v>0.249944454767312</v>
      </c>
      <c r="E104" s="10">
        <v>-5.0353911886860301</v>
      </c>
      <c r="F104" s="4">
        <v>4.7687395560812096E-7</v>
      </c>
      <c r="G104" s="4">
        <v>6.3671785314874098E-6</v>
      </c>
      <c r="H104" s="10" t="s">
        <v>252</v>
      </c>
      <c r="I104" s="10" t="s">
        <v>18</v>
      </c>
    </row>
    <row r="105" spans="1:9" x14ac:dyDescent="0.2">
      <c r="A105" s="10" t="s">
        <v>9227</v>
      </c>
      <c r="B105" s="10">
        <v>1121.5882441424801</v>
      </c>
      <c r="C105" s="10">
        <v>-1.2184708377714</v>
      </c>
      <c r="D105" s="10">
        <v>0.26718482532721599</v>
      </c>
      <c r="E105" s="10">
        <v>-4.5604043428707604</v>
      </c>
      <c r="F105" s="4">
        <v>5.10552159047287E-6</v>
      </c>
      <c r="G105" s="4">
        <v>5.5814600438220402E-5</v>
      </c>
      <c r="H105" s="10" t="s">
        <v>9228</v>
      </c>
      <c r="I105" s="10" t="s">
        <v>18</v>
      </c>
    </row>
    <row r="106" spans="1:9" x14ac:dyDescent="0.2">
      <c r="A106" s="10" t="s">
        <v>261</v>
      </c>
      <c r="B106" s="10">
        <v>286.160949941534</v>
      </c>
      <c r="C106" s="10">
        <v>-1.5447337958257701</v>
      </c>
      <c r="D106" s="10">
        <v>0.34394262228632899</v>
      </c>
      <c r="E106" s="10">
        <v>-4.4912543422425699</v>
      </c>
      <c r="F106" s="4">
        <v>7.0804935576490403E-6</v>
      </c>
      <c r="G106" s="4">
        <v>7.5470260780788803E-5</v>
      </c>
      <c r="H106" s="10" t="s">
        <v>262</v>
      </c>
      <c r="I106" s="10" t="s">
        <v>18</v>
      </c>
    </row>
    <row r="107" spans="1:9" x14ac:dyDescent="0.2">
      <c r="A107" s="10" t="s">
        <v>9229</v>
      </c>
      <c r="B107" s="10">
        <v>63.608885573970703</v>
      </c>
      <c r="C107" s="10">
        <v>-1.5033787481279299</v>
      </c>
      <c r="D107" s="10">
        <v>0.51221318108079095</v>
      </c>
      <c r="E107" s="10">
        <v>-2.9350645466712502</v>
      </c>
      <c r="F107" s="10">
        <v>3.3347831063210401E-3</v>
      </c>
      <c r="G107" s="10">
        <v>1.68989663657345E-2</v>
      </c>
      <c r="H107" s="10" t="s">
        <v>9230</v>
      </c>
      <c r="I107" s="10" t="s">
        <v>18</v>
      </c>
    </row>
    <row r="108" spans="1:9" x14ac:dyDescent="0.2">
      <c r="A108" s="10" t="s">
        <v>9231</v>
      </c>
      <c r="B108" s="10">
        <v>147.618510594405</v>
      </c>
      <c r="C108" s="10">
        <v>-1.0453568968356199</v>
      </c>
      <c r="D108" s="10">
        <v>0.39056940937217399</v>
      </c>
      <c r="E108" s="10">
        <v>-2.6764945532114002</v>
      </c>
      <c r="F108" s="10">
        <v>7.4396775024738104E-3</v>
      </c>
      <c r="G108" s="10">
        <v>3.2919100716750901E-2</v>
      </c>
      <c r="H108" s="10" t="s">
        <v>9232</v>
      </c>
      <c r="I108" s="10" t="s">
        <v>18</v>
      </c>
    </row>
    <row r="109" spans="1:9" x14ac:dyDescent="0.2">
      <c r="A109" s="10" t="s">
        <v>9233</v>
      </c>
      <c r="B109" s="10">
        <v>29.4166724826161</v>
      </c>
      <c r="C109" s="10">
        <v>-2.21651087594452</v>
      </c>
      <c r="D109" s="10">
        <v>0.68864559529656399</v>
      </c>
      <c r="E109" s="10">
        <v>-3.2186525131115999</v>
      </c>
      <c r="F109" s="10">
        <v>1.2879445851831401E-3</v>
      </c>
      <c r="G109" s="10">
        <v>7.5732225433104003E-3</v>
      </c>
      <c r="H109" s="10" t="s">
        <v>9234</v>
      </c>
      <c r="I109" s="10" t="s">
        <v>18</v>
      </c>
    </row>
    <row r="110" spans="1:9" x14ac:dyDescent="0.2">
      <c r="A110" s="10" t="s">
        <v>9235</v>
      </c>
      <c r="B110" s="10">
        <v>3358.34886550383</v>
      </c>
      <c r="C110" s="10">
        <v>-1.0844058222411901</v>
      </c>
      <c r="D110" s="10">
        <v>0.24190287363009899</v>
      </c>
      <c r="E110" s="10">
        <v>-4.4828149660569698</v>
      </c>
      <c r="F110" s="4">
        <v>7.3664799944621401E-6</v>
      </c>
      <c r="G110" s="4">
        <v>7.82863558346832E-5</v>
      </c>
      <c r="H110" s="10" t="s">
        <v>9236</v>
      </c>
      <c r="I110" s="10" t="s">
        <v>18</v>
      </c>
    </row>
    <row r="111" spans="1:9" x14ac:dyDescent="0.2">
      <c r="A111" s="10" t="s">
        <v>9237</v>
      </c>
      <c r="B111" s="10">
        <v>7716.2623463945301</v>
      </c>
      <c r="C111" s="10">
        <v>-1.26449968344435</v>
      </c>
      <c r="D111" s="10">
        <v>0.25990288504313802</v>
      </c>
      <c r="E111" s="10">
        <v>-4.8652775948773099</v>
      </c>
      <c r="F111" s="4">
        <v>1.1429627276337701E-6</v>
      </c>
      <c r="G111" s="4">
        <v>1.40860592440886E-5</v>
      </c>
      <c r="H111" s="10" t="s">
        <v>9238</v>
      </c>
      <c r="I111" s="10" t="s">
        <v>18</v>
      </c>
    </row>
    <row r="112" spans="1:9" x14ac:dyDescent="0.2">
      <c r="A112" s="10" t="s">
        <v>9239</v>
      </c>
      <c r="B112" s="10">
        <v>2272.3917365474399</v>
      </c>
      <c r="C112" s="10">
        <v>1.00697448074787</v>
      </c>
      <c r="D112" s="10">
        <v>0.24702703573096399</v>
      </c>
      <c r="E112" s="10">
        <v>4.0763735749335401</v>
      </c>
      <c r="F112" s="4">
        <v>4.5743507712769598E-5</v>
      </c>
      <c r="G112" s="10">
        <v>4.0445621670113201E-4</v>
      </c>
      <c r="H112" s="10" t="s">
        <v>9240</v>
      </c>
      <c r="I112" s="10" t="s">
        <v>18</v>
      </c>
    </row>
    <row r="113" spans="1:9" x14ac:dyDescent="0.2">
      <c r="A113" s="10" t="s">
        <v>265</v>
      </c>
      <c r="B113" s="10">
        <v>2058.3861361479699</v>
      </c>
      <c r="C113" s="10">
        <v>2.6546095521278001</v>
      </c>
      <c r="D113" s="10">
        <v>0.247057046690563</v>
      </c>
      <c r="E113" s="10">
        <v>10.7449254643308</v>
      </c>
      <c r="F113" s="4">
        <v>6.2612475011587098E-27</v>
      </c>
      <c r="G113" s="4">
        <v>5.5263747681279801E-25</v>
      </c>
      <c r="H113" s="10" t="s">
        <v>266</v>
      </c>
      <c r="I113" s="10" t="s">
        <v>18</v>
      </c>
    </row>
    <row r="114" spans="1:9" x14ac:dyDescent="0.2">
      <c r="A114" s="10" t="s">
        <v>269</v>
      </c>
      <c r="B114" s="10">
        <v>7.71045749575124</v>
      </c>
      <c r="C114" s="10">
        <v>4.9561047136097001</v>
      </c>
      <c r="D114" s="10">
        <v>1.81890163236342</v>
      </c>
      <c r="E114" s="10">
        <v>2.7247788585300801</v>
      </c>
      <c r="F114" s="10">
        <v>6.43445682022885E-3</v>
      </c>
      <c r="G114" s="10">
        <v>2.9174254021783901E-2</v>
      </c>
      <c r="H114" s="10" t="s">
        <v>270</v>
      </c>
      <c r="I114" s="10" t="s">
        <v>18</v>
      </c>
    </row>
    <row r="115" spans="1:9" x14ac:dyDescent="0.2">
      <c r="A115" s="10" t="s">
        <v>9241</v>
      </c>
      <c r="B115" s="10">
        <v>655.035873911056</v>
      </c>
      <c r="C115" s="10">
        <v>-1.1010501938897901</v>
      </c>
      <c r="D115" s="10">
        <v>0.291495299796318</v>
      </c>
      <c r="E115" s="10">
        <v>-3.7772485342272901</v>
      </c>
      <c r="F115" s="10">
        <v>1.58570476074342E-4</v>
      </c>
      <c r="G115" s="10">
        <v>1.21796651164888E-3</v>
      </c>
      <c r="H115" s="10" t="s">
        <v>9242</v>
      </c>
      <c r="I115" s="10" t="s">
        <v>18</v>
      </c>
    </row>
    <row r="116" spans="1:9" x14ac:dyDescent="0.2">
      <c r="A116" s="10" t="s">
        <v>9243</v>
      </c>
      <c r="B116" s="10">
        <v>96.053594369621294</v>
      </c>
      <c r="C116" s="10">
        <v>-1.63464114987973</v>
      </c>
      <c r="D116" s="10">
        <v>0.42970233124864698</v>
      </c>
      <c r="E116" s="10">
        <v>-3.80412446246154</v>
      </c>
      <c r="F116" s="10">
        <v>1.4230662030297099E-4</v>
      </c>
      <c r="G116" s="10">
        <v>1.1072449841389501E-3</v>
      </c>
      <c r="H116" s="10" t="s">
        <v>9244</v>
      </c>
      <c r="I116" s="10" t="s">
        <v>18</v>
      </c>
    </row>
    <row r="117" spans="1:9" x14ac:dyDescent="0.2">
      <c r="A117" s="10" t="s">
        <v>9245</v>
      </c>
      <c r="B117" s="10">
        <v>3051.00411021636</v>
      </c>
      <c r="C117" s="10">
        <v>-1.96929977122802</v>
      </c>
      <c r="D117" s="10">
        <v>0.277796215267754</v>
      </c>
      <c r="E117" s="10">
        <v>-7.0890086437279498</v>
      </c>
      <c r="F117" s="4">
        <v>1.3507609058217001E-12</v>
      </c>
      <c r="G117" s="4">
        <v>3.8350327975106999E-11</v>
      </c>
      <c r="H117" s="10" t="s">
        <v>9246</v>
      </c>
      <c r="I117" s="10" t="s">
        <v>18</v>
      </c>
    </row>
    <row r="118" spans="1:9" x14ac:dyDescent="0.2">
      <c r="A118" s="10" t="s">
        <v>275</v>
      </c>
      <c r="B118" s="10">
        <v>60.010037615733197</v>
      </c>
      <c r="C118" s="10">
        <v>2.0997063393859099</v>
      </c>
      <c r="D118" s="10">
        <v>0.49481863909759299</v>
      </c>
      <c r="E118" s="10">
        <v>4.2433857043363803</v>
      </c>
      <c r="F118" s="4">
        <v>2.20172533776195E-5</v>
      </c>
      <c r="G118" s="10">
        <v>2.08840123949479E-4</v>
      </c>
      <c r="H118" s="10" t="s">
        <v>276</v>
      </c>
      <c r="I118" s="10" t="s">
        <v>18</v>
      </c>
    </row>
    <row r="119" spans="1:9" x14ac:dyDescent="0.2">
      <c r="A119" s="10" t="s">
        <v>277</v>
      </c>
      <c r="B119" s="10">
        <v>336.264223909804</v>
      </c>
      <c r="C119" s="10">
        <v>1.2058844824136099</v>
      </c>
      <c r="D119" s="10">
        <v>0.31992724582034499</v>
      </c>
      <c r="E119" s="10">
        <v>3.76924597128802</v>
      </c>
      <c r="F119" s="10">
        <v>1.6374146365081001E-4</v>
      </c>
      <c r="G119" s="10">
        <v>1.2515698930829901E-3</v>
      </c>
      <c r="H119" s="10" t="s">
        <v>278</v>
      </c>
      <c r="I119" s="10" t="s">
        <v>18</v>
      </c>
    </row>
    <row r="120" spans="1:9" x14ac:dyDescent="0.2">
      <c r="A120" s="10" t="s">
        <v>279</v>
      </c>
      <c r="B120" s="10">
        <v>59.745222876874799</v>
      </c>
      <c r="C120" s="10">
        <v>-1.39822290358471</v>
      </c>
      <c r="D120" s="10">
        <v>0.499996043815915</v>
      </c>
      <c r="E120" s="10">
        <v>-2.7964679338532799</v>
      </c>
      <c r="F120" s="10">
        <v>5.1664537522425899E-3</v>
      </c>
      <c r="G120" s="10">
        <v>2.43694251148814E-2</v>
      </c>
      <c r="H120" s="10" t="s">
        <v>280</v>
      </c>
      <c r="I120" s="10" t="s">
        <v>18</v>
      </c>
    </row>
    <row r="121" spans="1:9" x14ac:dyDescent="0.2">
      <c r="A121" s="10" t="s">
        <v>281</v>
      </c>
      <c r="B121" s="10">
        <v>44.346909586187301</v>
      </c>
      <c r="C121" s="10">
        <v>2.1028765865109902</v>
      </c>
      <c r="D121" s="10">
        <v>0.58286636725841501</v>
      </c>
      <c r="E121" s="10">
        <v>3.6078193984705802</v>
      </c>
      <c r="F121" s="10">
        <v>3.0878129943994099E-4</v>
      </c>
      <c r="G121" s="10">
        <v>2.2016421733026402E-3</v>
      </c>
      <c r="H121" s="10" t="s">
        <v>282</v>
      </c>
      <c r="I121" s="10" t="s">
        <v>18</v>
      </c>
    </row>
    <row r="122" spans="1:9" x14ac:dyDescent="0.2">
      <c r="A122" s="10" t="s">
        <v>283</v>
      </c>
      <c r="B122" s="10">
        <v>711.024663113418</v>
      </c>
      <c r="C122" s="10">
        <v>-2.42626124469313</v>
      </c>
      <c r="D122" s="10">
        <v>0.30222186679758301</v>
      </c>
      <c r="E122" s="10">
        <v>-8.0280797362625798</v>
      </c>
      <c r="F122" s="4">
        <v>9.9010125861179002E-16</v>
      </c>
      <c r="G122" s="4">
        <v>3.86739086341298E-14</v>
      </c>
      <c r="H122" s="10" t="s">
        <v>284</v>
      </c>
      <c r="I122" s="10" t="s">
        <v>18</v>
      </c>
    </row>
    <row r="123" spans="1:9" x14ac:dyDescent="0.2">
      <c r="A123" s="10" t="s">
        <v>9247</v>
      </c>
      <c r="B123" s="10">
        <v>840.50942404563705</v>
      </c>
      <c r="C123" s="10">
        <v>1.24807947117842</v>
      </c>
      <c r="D123" s="10">
        <v>0.26160013682031702</v>
      </c>
      <c r="E123" s="10">
        <v>4.7709434954756</v>
      </c>
      <c r="F123" s="4">
        <v>1.83364978092492E-6</v>
      </c>
      <c r="G123" s="4">
        <v>2.1706098936078299E-5</v>
      </c>
      <c r="H123" s="10" t="s">
        <v>9248</v>
      </c>
      <c r="I123" s="10" t="s">
        <v>18</v>
      </c>
    </row>
    <row r="124" spans="1:9" x14ac:dyDescent="0.2">
      <c r="A124" s="10" t="s">
        <v>285</v>
      </c>
      <c r="B124" s="10">
        <v>189.431347714309</v>
      </c>
      <c r="C124" s="10">
        <v>6.6249897095823096</v>
      </c>
      <c r="D124" s="10">
        <v>0.61234026762115901</v>
      </c>
      <c r="E124" s="10">
        <v>10.8191312247344</v>
      </c>
      <c r="F124" s="4">
        <v>2.7941335681132899E-27</v>
      </c>
      <c r="G124" s="4">
        <v>2.48361943130353E-25</v>
      </c>
      <c r="H124" s="10" t="s">
        <v>286</v>
      </c>
      <c r="I124" s="10" t="s">
        <v>18</v>
      </c>
    </row>
    <row r="125" spans="1:9" x14ac:dyDescent="0.2">
      <c r="A125" s="10" t="s">
        <v>287</v>
      </c>
      <c r="B125" s="10">
        <v>95.313684585070206</v>
      </c>
      <c r="C125" s="10">
        <v>-2.9740700175578998</v>
      </c>
      <c r="D125" s="10">
        <v>0.45525024200352399</v>
      </c>
      <c r="E125" s="10">
        <v>-6.5328246822433904</v>
      </c>
      <c r="F125" s="4">
        <v>6.4540679319060004E-11</v>
      </c>
      <c r="G125" s="4">
        <v>1.51306690425998E-9</v>
      </c>
      <c r="H125" s="10" t="s">
        <v>288</v>
      </c>
      <c r="I125" s="10" t="s">
        <v>18</v>
      </c>
    </row>
    <row r="126" spans="1:9" x14ac:dyDescent="0.2">
      <c r="A126" s="10" t="s">
        <v>9249</v>
      </c>
      <c r="B126" s="10">
        <v>6153.9469287245402</v>
      </c>
      <c r="C126" s="10">
        <v>-1.2609615307815201</v>
      </c>
      <c r="D126" s="10">
        <v>0.24027118278484699</v>
      </c>
      <c r="E126" s="10">
        <v>-5.2480764283357999</v>
      </c>
      <c r="F126" s="4">
        <v>1.5369553820217E-7</v>
      </c>
      <c r="G126" s="4">
        <v>2.24518656415539E-6</v>
      </c>
      <c r="H126" s="10" t="s">
        <v>9250</v>
      </c>
      <c r="I126" s="10" t="s">
        <v>18</v>
      </c>
    </row>
    <row r="127" spans="1:9" x14ac:dyDescent="0.2">
      <c r="A127" s="10" t="s">
        <v>289</v>
      </c>
      <c r="B127" s="10">
        <v>85.944455065398998</v>
      </c>
      <c r="C127" s="10">
        <v>4.6583340508931101</v>
      </c>
      <c r="D127" s="10">
        <v>0.56903174014906199</v>
      </c>
      <c r="E127" s="10">
        <v>8.1864221663150598</v>
      </c>
      <c r="F127" s="4">
        <v>2.6910656772303398E-16</v>
      </c>
      <c r="G127" s="4">
        <v>1.11521840380114E-14</v>
      </c>
      <c r="H127" s="10" t="s">
        <v>290</v>
      </c>
      <c r="I127" s="10" t="s">
        <v>18</v>
      </c>
    </row>
    <row r="128" spans="1:9" x14ac:dyDescent="0.2">
      <c r="A128" s="10" t="s">
        <v>291</v>
      </c>
      <c r="B128" s="10">
        <v>194.13213069100701</v>
      </c>
      <c r="C128" s="10">
        <v>1.4519651891155101</v>
      </c>
      <c r="D128" s="10">
        <v>0.34267034304688299</v>
      </c>
      <c r="E128" s="10">
        <v>4.23720703754294</v>
      </c>
      <c r="F128" s="4">
        <v>2.2631743022175898E-5</v>
      </c>
      <c r="G128" s="10">
        <v>2.1434544266672999E-4</v>
      </c>
      <c r="H128" s="10" t="s">
        <v>292</v>
      </c>
      <c r="I128" s="10" t="s">
        <v>18</v>
      </c>
    </row>
    <row r="129" spans="1:9" x14ac:dyDescent="0.2">
      <c r="A129" s="10" t="s">
        <v>9251</v>
      </c>
      <c r="B129" s="10">
        <v>27.700439912083201</v>
      </c>
      <c r="C129" s="10">
        <v>-1.88452733436381</v>
      </c>
      <c r="D129" s="10">
        <v>0.68218659136721604</v>
      </c>
      <c r="E129" s="10">
        <v>-2.7624807614393299</v>
      </c>
      <c r="F129" s="10">
        <v>5.7363942307046998E-3</v>
      </c>
      <c r="G129" s="10">
        <v>2.6506061144999399E-2</v>
      </c>
      <c r="H129" s="10" t="s">
        <v>9252</v>
      </c>
      <c r="I129" s="10" t="s">
        <v>18</v>
      </c>
    </row>
    <row r="130" spans="1:9" x14ac:dyDescent="0.2">
      <c r="A130" s="10" t="s">
        <v>9253</v>
      </c>
      <c r="B130" s="10">
        <v>5205.8379118435696</v>
      </c>
      <c r="C130" s="10">
        <v>-1.25938642003414</v>
      </c>
      <c r="D130" s="10">
        <v>0.28083530163209203</v>
      </c>
      <c r="E130" s="10">
        <v>-4.4844305994123097</v>
      </c>
      <c r="F130" s="4">
        <v>7.3108895288737499E-6</v>
      </c>
      <c r="G130" s="4">
        <v>7.7794173476657797E-5</v>
      </c>
      <c r="H130" s="10" t="s">
        <v>9254</v>
      </c>
      <c r="I130" s="10" t="s">
        <v>18</v>
      </c>
    </row>
    <row r="131" spans="1:9" x14ac:dyDescent="0.2">
      <c r="A131" s="10" t="s">
        <v>293</v>
      </c>
      <c r="B131" s="10">
        <v>3099.1252808008398</v>
      </c>
      <c r="C131" s="10">
        <v>1.6249611776568</v>
      </c>
      <c r="D131" s="10">
        <v>0.29842023421862901</v>
      </c>
      <c r="E131" s="10">
        <v>5.4452111195192003</v>
      </c>
      <c r="F131" s="4">
        <v>5.1743976630104801E-8</v>
      </c>
      <c r="G131" s="4">
        <v>8.0946500754370997E-7</v>
      </c>
      <c r="H131" s="10" t="s">
        <v>294</v>
      </c>
      <c r="I131" s="10" t="s">
        <v>18</v>
      </c>
    </row>
    <row r="132" spans="1:9" x14ac:dyDescent="0.2">
      <c r="A132" s="10" t="s">
        <v>295</v>
      </c>
      <c r="B132" s="10">
        <v>119.746404165556</v>
      </c>
      <c r="C132" s="10">
        <v>-1.5700959523384299</v>
      </c>
      <c r="D132" s="10">
        <v>0.402755577467651</v>
      </c>
      <c r="E132" s="10">
        <v>-3.8983841321590198</v>
      </c>
      <c r="F132" s="4">
        <v>9.6836716897080605E-5</v>
      </c>
      <c r="G132" s="10">
        <v>7.8934789810306601E-4</v>
      </c>
      <c r="H132" s="10" t="s">
        <v>296</v>
      </c>
      <c r="I132" s="10" t="s">
        <v>18</v>
      </c>
    </row>
    <row r="133" spans="1:9" x14ac:dyDescent="0.2">
      <c r="A133" s="10" t="s">
        <v>297</v>
      </c>
      <c r="B133" s="10">
        <v>272.05205257034402</v>
      </c>
      <c r="C133" s="10">
        <v>1.73345490663449</v>
      </c>
      <c r="D133" s="10">
        <v>0.32173230169490702</v>
      </c>
      <c r="E133" s="10">
        <v>5.3878796051951703</v>
      </c>
      <c r="F133" s="4">
        <v>7.1293781810209198E-8</v>
      </c>
      <c r="G133" s="4">
        <v>1.0922016330303401E-6</v>
      </c>
      <c r="H133" s="10" t="s">
        <v>298</v>
      </c>
      <c r="I133" s="10" t="s">
        <v>18</v>
      </c>
    </row>
    <row r="134" spans="1:9" x14ac:dyDescent="0.2">
      <c r="A134" s="10" t="s">
        <v>301</v>
      </c>
      <c r="B134" s="10">
        <v>13.254744988761701</v>
      </c>
      <c r="C134" s="10">
        <v>2.8182625551404401</v>
      </c>
      <c r="D134" s="10">
        <v>1.0305858109602</v>
      </c>
      <c r="E134" s="10">
        <v>2.7346219258682001</v>
      </c>
      <c r="F134" s="10">
        <v>6.2451961565966304E-3</v>
      </c>
      <c r="G134" s="10">
        <v>2.8485568326235399E-2</v>
      </c>
      <c r="H134" s="10" t="s">
        <v>302</v>
      </c>
      <c r="I134" s="10" t="s">
        <v>18</v>
      </c>
    </row>
    <row r="135" spans="1:9" x14ac:dyDescent="0.2">
      <c r="A135" s="10" t="s">
        <v>303</v>
      </c>
      <c r="B135" s="10">
        <v>255.82621295210799</v>
      </c>
      <c r="C135" s="10">
        <v>6.7514670693475196</v>
      </c>
      <c r="D135" s="10">
        <v>0.55379525791191397</v>
      </c>
      <c r="E135" s="10">
        <v>12.1912691972191</v>
      </c>
      <c r="F135" s="4">
        <v>3.45990374840746E-34</v>
      </c>
      <c r="G135" s="4">
        <v>4.24555506298486E-32</v>
      </c>
      <c r="H135" s="10" t="s">
        <v>304</v>
      </c>
      <c r="I135" s="10" t="s">
        <v>18</v>
      </c>
    </row>
    <row r="136" spans="1:9" x14ac:dyDescent="0.2">
      <c r="A136" s="10" t="s">
        <v>307</v>
      </c>
      <c r="B136" s="10">
        <v>116.670345138031</v>
      </c>
      <c r="C136" s="10">
        <v>-1.44695034587442</v>
      </c>
      <c r="D136" s="10">
        <v>0.39271126063302803</v>
      </c>
      <c r="E136" s="10">
        <v>-3.68451452994247</v>
      </c>
      <c r="F136" s="10">
        <v>2.2913895501178001E-4</v>
      </c>
      <c r="G136" s="10">
        <v>1.68636349131694E-3</v>
      </c>
      <c r="H136" s="10" t="s">
        <v>308</v>
      </c>
      <c r="I136" s="10" t="s">
        <v>18</v>
      </c>
    </row>
    <row r="137" spans="1:9" x14ac:dyDescent="0.2">
      <c r="A137" s="10" t="s">
        <v>9255</v>
      </c>
      <c r="B137" s="10">
        <v>556.60809224349896</v>
      </c>
      <c r="C137" s="10">
        <v>-1.08834209534808</v>
      </c>
      <c r="D137" s="10">
        <v>0.28280110309010797</v>
      </c>
      <c r="E137" s="10">
        <v>-3.8484365282030302</v>
      </c>
      <c r="F137" s="10">
        <v>1.1887408757336899E-4</v>
      </c>
      <c r="G137" s="10">
        <v>9.4667174581402203E-4</v>
      </c>
      <c r="H137" s="10" t="s">
        <v>9256</v>
      </c>
      <c r="I137" s="10" t="s">
        <v>18</v>
      </c>
    </row>
    <row r="138" spans="1:9" x14ac:dyDescent="0.2">
      <c r="A138" s="10" t="s">
        <v>9257</v>
      </c>
      <c r="B138" s="10">
        <v>21482.743810984299</v>
      </c>
      <c r="C138" s="10">
        <v>-1.1498069901355299</v>
      </c>
      <c r="D138" s="10">
        <v>0.26803812241742397</v>
      </c>
      <c r="E138" s="10">
        <v>-4.2897143875112498</v>
      </c>
      <c r="F138" s="4">
        <v>1.7890304199101201E-5</v>
      </c>
      <c r="G138" s="10">
        <v>1.73489052478177E-4</v>
      </c>
      <c r="H138" s="10" t="s">
        <v>9258</v>
      </c>
      <c r="I138" s="10" t="s">
        <v>18</v>
      </c>
    </row>
    <row r="139" spans="1:9" x14ac:dyDescent="0.2">
      <c r="A139" s="10" t="s">
        <v>9259</v>
      </c>
      <c r="B139" s="10">
        <v>334.353080554504</v>
      </c>
      <c r="C139" s="10">
        <v>-1.7369579847308101</v>
      </c>
      <c r="D139" s="10">
        <v>0.33907696289654299</v>
      </c>
      <c r="E139" s="10">
        <v>-5.1226068851536297</v>
      </c>
      <c r="F139" s="4">
        <v>3.0134017575451601E-7</v>
      </c>
      <c r="G139" s="4">
        <v>4.1489940454870498E-6</v>
      </c>
      <c r="H139" s="10" t="s">
        <v>9260</v>
      </c>
      <c r="I139" s="10" t="s">
        <v>18</v>
      </c>
    </row>
    <row r="140" spans="1:9" x14ac:dyDescent="0.2">
      <c r="A140" s="10" t="s">
        <v>9261</v>
      </c>
      <c r="B140" s="10">
        <v>2479.6986149218701</v>
      </c>
      <c r="C140" s="10">
        <v>-1.19014221901499</v>
      </c>
      <c r="D140" s="10">
        <v>0.27237943700545197</v>
      </c>
      <c r="E140" s="10">
        <v>-4.3694275606832003</v>
      </c>
      <c r="F140" s="4">
        <v>1.2457265370943999E-5</v>
      </c>
      <c r="G140" s="10">
        <v>1.24498414940841E-4</v>
      </c>
      <c r="H140" s="10" t="s">
        <v>9262</v>
      </c>
      <c r="I140" s="10" t="s">
        <v>18</v>
      </c>
    </row>
    <row r="141" spans="1:9" x14ac:dyDescent="0.2">
      <c r="A141" s="10" t="s">
        <v>315</v>
      </c>
      <c r="B141" s="10">
        <v>65.583272490784296</v>
      </c>
      <c r="C141" s="10">
        <v>3.6813392218197798</v>
      </c>
      <c r="D141" s="10">
        <v>0.54403358034512606</v>
      </c>
      <c r="E141" s="10">
        <v>6.7667499853306898</v>
      </c>
      <c r="F141" s="4">
        <v>1.31707379077296E-11</v>
      </c>
      <c r="G141" s="4">
        <v>3.3465647683730997E-10</v>
      </c>
      <c r="H141" s="10" t="s">
        <v>316</v>
      </c>
      <c r="I141" s="10" t="s">
        <v>18</v>
      </c>
    </row>
    <row r="142" spans="1:9" x14ac:dyDescent="0.2">
      <c r="A142" s="10" t="s">
        <v>317</v>
      </c>
      <c r="B142" s="10">
        <v>1267.1210083439501</v>
      </c>
      <c r="C142" s="10">
        <v>-1.0735252832495601</v>
      </c>
      <c r="D142" s="10">
        <v>0.25771721371813999</v>
      </c>
      <c r="E142" s="10">
        <v>-4.1655164114246901</v>
      </c>
      <c r="F142" s="4">
        <v>3.1064857410476297E-5</v>
      </c>
      <c r="G142" s="10">
        <v>2.8540412277594301E-4</v>
      </c>
      <c r="H142" s="10" t="s">
        <v>318</v>
      </c>
      <c r="I142" s="10" t="s">
        <v>18</v>
      </c>
    </row>
    <row r="143" spans="1:9" x14ac:dyDescent="0.2">
      <c r="A143" s="10" t="s">
        <v>323</v>
      </c>
      <c r="B143" s="10">
        <v>183.354633565277</v>
      </c>
      <c r="C143" s="10">
        <v>-1.4224260391680801</v>
      </c>
      <c r="D143" s="10">
        <v>0.36491233451627098</v>
      </c>
      <c r="E143" s="10">
        <v>-3.8979938594118799</v>
      </c>
      <c r="F143" s="4">
        <v>9.6992875338089605E-5</v>
      </c>
      <c r="G143" s="10">
        <v>7.90108736764781E-4</v>
      </c>
      <c r="H143" s="10" t="s">
        <v>324</v>
      </c>
      <c r="I143" s="10" t="s">
        <v>18</v>
      </c>
    </row>
    <row r="144" spans="1:9" x14ac:dyDescent="0.2">
      <c r="A144" s="10" t="s">
        <v>325</v>
      </c>
      <c r="B144" s="10">
        <v>1949.5665264250799</v>
      </c>
      <c r="C144" s="10">
        <v>3.15057462005913</v>
      </c>
      <c r="D144" s="10">
        <v>0.333903644377466</v>
      </c>
      <c r="E144" s="10">
        <v>9.4355802133669595</v>
      </c>
      <c r="F144" s="4">
        <v>3.88836204022027E-21</v>
      </c>
      <c r="G144" s="4">
        <v>2.2589318041972502E-19</v>
      </c>
      <c r="H144" s="10" t="s">
        <v>326</v>
      </c>
      <c r="I144" s="10" t="s">
        <v>18</v>
      </c>
    </row>
    <row r="145" spans="1:9" x14ac:dyDescent="0.2">
      <c r="A145" s="10" t="s">
        <v>327</v>
      </c>
      <c r="B145" s="10">
        <v>1374.3686265015101</v>
      </c>
      <c r="C145" s="10">
        <v>1.8487752275443401</v>
      </c>
      <c r="D145" s="10">
        <v>0.26541843765238499</v>
      </c>
      <c r="E145" s="10">
        <v>6.9655116799596799</v>
      </c>
      <c r="F145" s="4">
        <v>3.27212272572953E-12</v>
      </c>
      <c r="G145" s="4">
        <v>8.9176865835023205E-11</v>
      </c>
      <c r="H145" s="10" t="s">
        <v>328</v>
      </c>
      <c r="I145" s="10" t="s">
        <v>18</v>
      </c>
    </row>
    <row r="146" spans="1:9" x14ac:dyDescent="0.2">
      <c r="A146" s="10" t="s">
        <v>331</v>
      </c>
      <c r="B146" s="10">
        <v>677.54414125819403</v>
      </c>
      <c r="C146" s="10">
        <v>-1.4227602809597</v>
      </c>
      <c r="D146" s="10">
        <v>0.27131467846937501</v>
      </c>
      <c r="E146" s="10">
        <v>-5.2439487940210903</v>
      </c>
      <c r="F146" s="4">
        <v>1.5717583755620601E-7</v>
      </c>
      <c r="G146" s="4">
        <v>2.28805451025831E-6</v>
      </c>
      <c r="H146" s="10" t="s">
        <v>332</v>
      </c>
      <c r="I146" s="10" t="s">
        <v>18</v>
      </c>
    </row>
    <row r="147" spans="1:9" x14ac:dyDescent="0.2">
      <c r="A147" s="10" t="s">
        <v>9263</v>
      </c>
      <c r="B147" s="10">
        <v>156.18940906100499</v>
      </c>
      <c r="C147" s="10">
        <v>1.43590760743483</v>
      </c>
      <c r="D147" s="10">
        <v>0.39507870804047301</v>
      </c>
      <c r="E147" s="10">
        <v>3.6344849221480402</v>
      </c>
      <c r="F147" s="10">
        <v>2.7853654533076201E-4</v>
      </c>
      <c r="G147" s="10">
        <v>2.00474586489136E-3</v>
      </c>
      <c r="H147" s="10" t="s">
        <v>9264</v>
      </c>
      <c r="I147" s="10" t="s">
        <v>18</v>
      </c>
    </row>
    <row r="148" spans="1:9" x14ac:dyDescent="0.2">
      <c r="A148" s="10" t="s">
        <v>339</v>
      </c>
      <c r="B148" s="10">
        <v>175.90383831238699</v>
      </c>
      <c r="C148" s="10">
        <v>4.7332917688813803</v>
      </c>
      <c r="D148" s="10">
        <v>0.44118635270582002</v>
      </c>
      <c r="E148" s="10">
        <v>10.7285543622368</v>
      </c>
      <c r="F148" s="4">
        <v>7.4756502951480694E-27</v>
      </c>
      <c r="G148" s="4">
        <v>6.57517423686887E-25</v>
      </c>
      <c r="H148" s="10" t="s">
        <v>340</v>
      </c>
      <c r="I148" s="10" t="s">
        <v>18</v>
      </c>
    </row>
    <row r="149" spans="1:9" x14ac:dyDescent="0.2">
      <c r="A149" s="10" t="s">
        <v>341</v>
      </c>
      <c r="B149" s="10">
        <v>45.488129374965503</v>
      </c>
      <c r="C149" s="10">
        <v>3.5629700708606298</v>
      </c>
      <c r="D149" s="10">
        <v>0.62269482203677495</v>
      </c>
      <c r="E149" s="10">
        <v>5.7218559473587698</v>
      </c>
      <c r="F149" s="4">
        <v>1.05366630534869E-8</v>
      </c>
      <c r="G149" s="4">
        <v>1.84832467998928E-7</v>
      </c>
      <c r="H149" s="10" t="s">
        <v>342</v>
      </c>
      <c r="I149" s="10" t="s">
        <v>18</v>
      </c>
    </row>
    <row r="150" spans="1:9" x14ac:dyDescent="0.2">
      <c r="A150" s="10" t="s">
        <v>347</v>
      </c>
      <c r="B150" s="10">
        <v>1276.95066714174</v>
      </c>
      <c r="C150" s="10">
        <v>-1.27235338453845</v>
      </c>
      <c r="D150" s="10">
        <v>0.29199310580994697</v>
      </c>
      <c r="E150" s="10">
        <v>-4.35747748567257</v>
      </c>
      <c r="F150" s="4">
        <v>1.31570027809906E-5</v>
      </c>
      <c r="G150" s="10">
        <v>1.3066103630312599E-4</v>
      </c>
      <c r="H150" s="10" t="s">
        <v>348</v>
      </c>
      <c r="I150" s="10" t="s">
        <v>18</v>
      </c>
    </row>
    <row r="151" spans="1:9" x14ac:dyDescent="0.2">
      <c r="A151" s="10" t="s">
        <v>9265</v>
      </c>
      <c r="B151" s="10">
        <v>39.5086641539068</v>
      </c>
      <c r="C151" s="10">
        <v>-3.7074476716218601</v>
      </c>
      <c r="D151" s="10">
        <v>0.70104208110440003</v>
      </c>
      <c r="E151" s="10">
        <v>-5.2884809222596996</v>
      </c>
      <c r="F151" s="4">
        <v>1.23336349994407E-7</v>
      </c>
      <c r="G151" s="4">
        <v>1.8260893961797E-6</v>
      </c>
      <c r="H151" s="10" t="s">
        <v>9266</v>
      </c>
      <c r="I151" s="10" t="s">
        <v>18</v>
      </c>
    </row>
    <row r="152" spans="1:9" x14ac:dyDescent="0.2">
      <c r="A152" s="10" t="s">
        <v>353</v>
      </c>
      <c r="B152" s="10">
        <v>291.27790009072697</v>
      </c>
      <c r="C152" s="10">
        <v>-1.94949267611225</v>
      </c>
      <c r="D152" s="10">
        <v>0.34751904192717797</v>
      </c>
      <c r="E152" s="10">
        <v>-5.60974346988663</v>
      </c>
      <c r="F152" s="4">
        <v>2.0262674639696199E-8</v>
      </c>
      <c r="G152" s="4">
        <v>3.3935258359624399E-7</v>
      </c>
      <c r="H152" s="10" t="s">
        <v>354</v>
      </c>
      <c r="I152" s="10" t="s">
        <v>18</v>
      </c>
    </row>
    <row r="153" spans="1:9" x14ac:dyDescent="0.2">
      <c r="A153" s="10" t="s">
        <v>355</v>
      </c>
      <c r="B153" s="10">
        <v>166.72607753466301</v>
      </c>
      <c r="C153" s="10">
        <v>-1.3156204320898</v>
      </c>
      <c r="D153" s="10">
        <v>0.38635478699778802</v>
      </c>
      <c r="E153" s="10">
        <v>-3.40521322982167</v>
      </c>
      <c r="F153" s="10">
        <v>6.6112409805740402E-4</v>
      </c>
      <c r="G153" s="10">
        <v>4.2752125158442098E-3</v>
      </c>
      <c r="H153" s="10" t="s">
        <v>356</v>
      </c>
      <c r="I153" s="10" t="s">
        <v>18</v>
      </c>
    </row>
    <row r="154" spans="1:9" x14ac:dyDescent="0.2">
      <c r="A154" s="10" t="s">
        <v>363</v>
      </c>
      <c r="B154" s="10">
        <v>1207.3913453596199</v>
      </c>
      <c r="C154" s="10">
        <v>-1.8886211335181</v>
      </c>
      <c r="D154" s="10">
        <v>0.24997094700602801</v>
      </c>
      <c r="E154" s="10">
        <v>-7.5553625576838002</v>
      </c>
      <c r="F154" s="4">
        <v>4.1769469078367603E-14</v>
      </c>
      <c r="G154" s="4">
        <v>1.3879933879344E-12</v>
      </c>
      <c r="H154" s="10" t="s">
        <v>364</v>
      </c>
      <c r="I154" s="10" t="s">
        <v>18</v>
      </c>
    </row>
    <row r="155" spans="1:9" x14ac:dyDescent="0.2">
      <c r="A155" s="10" t="s">
        <v>369</v>
      </c>
      <c r="B155" s="10">
        <v>582.00972717879404</v>
      </c>
      <c r="C155" s="10">
        <v>-1.9905455899947899</v>
      </c>
      <c r="D155" s="10">
        <v>0.281230638997083</v>
      </c>
      <c r="E155" s="10">
        <v>-7.0779826732016904</v>
      </c>
      <c r="F155" s="4">
        <v>1.4626800770487E-12</v>
      </c>
      <c r="G155" s="4">
        <v>4.1387758535613002E-11</v>
      </c>
      <c r="H155" s="10" t="s">
        <v>370</v>
      </c>
      <c r="I155" s="10" t="s">
        <v>18</v>
      </c>
    </row>
    <row r="156" spans="1:9" x14ac:dyDescent="0.2">
      <c r="A156" s="10" t="s">
        <v>373</v>
      </c>
      <c r="B156" s="10">
        <v>977.23578827925303</v>
      </c>
      <c r="C156" s="10">
        <v>3.9549618495108199</v>
      </c>
      <c r="D156" s="10">
        <v>0.31012998078065102</v>
      </c>
      <c r="E156" s="10">
        <v>12.752594378510199</v>
      </c>
      <c r="F156" s="4">
        <v>3.0154029342820098E-37</v>
      </c>
      <c r="G156" s="4">
        <v>4.2613742029136999E-35</v>
      </c>
      <c r="H156" s="10" t="s">
        <v>374</v>
      </c>
      <c r="I156" s="10" t="s">
        <v>18</v>
      </c>
    </row>
    <row r="157" spans="1:9" x14ac:dyDescent="0.2">
      <c r="A157" s="10" t="s">
        <v>379</v>
      </c>
      <c r="B157" s="10">
        <v>47.250304489811597</v>
      </c>
      <c r="C157" s="10">
        <v>-4.7275158256046801</v>
      </c>
      <c r="D157" s="10">
        <v>1.7034301051504599</v>
      </c>
      <c r="E157" s="10">
        <v>-2.7752919308580202</v>
      </c>
      <c r="F157" s="10">
        <v>5.5152177100152699E-3</v>
      </c>
      <c r="G157" s="10">
        <v>2.5672705680132201E-2</v>
      </c>
      <c r="H157" s="10" t="s">
        <v>380</v>
      </c>
      <c r="I157" s="10" t="s">
        <v>18</v>
      </c>
    </row>
    <row r="158" spans="1:9" x14ac:dyDescent="0.2">
      <c r="A158" s="10" t="s">
        <v>381</v>
      </c>
      <c r="B158" s="10">
        <v>1244.10765339307</v>
      </c>
      <c r="C158" s="10">
        <v>-2.8923834364914902</v>
      </c>
      <c r="D158" s="10">
        <v>0.29511032654526698</v>
      </c>
      <c r="E158" s="10">
        <v>-9.8010241469738197</v>
      </c>
      <c r="F158" s="4">
        <v>1.1144984157084299E-22</v>
      </c>
      <c r="G158" s="4">
        <v>7.1155349358237401E-21</v>
      </c>
      <c r="H158" s="10" t="s">
        <v>382</v>
      </c>
      <c r="I158" s="10" t="s">
        <v>18</v>
      </c>
    </row>
    <row r="159" spans="1:9" x14ac:dyDescent="0.2">
      <c r="A159" s="10" t="s">
        <v>385</v>
      </c>
      <c r="B159" s="10">
        <v>1095.9905812250799</v>
      </c>
      <c r="C159" s="10">
        <v>-1.06621454735806</v>
      </c>
      <c r="D159" s="10">
        <v>0.25368105038329403</v>
      </c>
      <c r="E159" s="10">
        <v>-4.2029727713090397</v>
      </c>
      <c r="F159" s="4">
        <v>2.6343228731784102E-5</v>
      </c>
      <c r="G159" s="10">
        <v>2.4643507577092901E-4</v>
      </c>
      <c r="H159" s="10" t="s">
        <v>386</v>
      </c>
      <c r="I159" s="10" t="s">
        <v>18</v>
      </c>
    </row>
    <row r="160" spans="1:9" x14ac:dyDescent="0.2">
      <c r="A160" s="10" t="s">
        <v>389</v>
      </c>
      <c r="B160" s="10">
        <v>292.53747605479998</v>
      </c>
      <c r="C160" s="10">
        <v>3.9353681289960298</v>
      </c>
      <c r="D160" s="10">
        <v>0.35634634195134302</v>
      </c>
      <c r="E160" s="10">
        <v>11.0436608032681</v>
      </c>
      <c r="F160" s="4">
        <v>2.3524917804522302E-28</v>
      </c>
      <c r="G160" s="4">
        <v>2.19173817545466E-26</v>
      </c>
      <c r="H160" s="10" t="s">
        <v>390</v>
      </c>
      <c r="I160" s="10" t="s">
        <v>18</v>
      </c>
    </row>
    <row r="161" spans="1:9" x14ac:dyDescent="0.2">
      <c r="A161" s="10" t="s">
        <v>391</v>
      </c>
      <c r="B161" s="10">
        <v>123.182171162157</v>
      </c>
      <c r="C161" s="10">
        <v>-2.8593685564262299</v>
      </c>
      <c r="D161" s="10">
        <v>0.41002514975687099</v>
      </c>
      <c r="E161" s="10">
        <v>-6.9736418805571496</v>
      </c>
      <c r="F161" s="4">
        <v>3.08839661164882E-12</v>
      </c>
      <c r="G161" s="4">
        <v>8.4352461200896894E-11</v>
      </c>
      <c r="H161" s="10" t="s">
        <v>392</v>
      </c>
      <c r="I161" s="10" t="s">
        <v>18</v>
      </c>
    </row>
    <row r="162" spans="1:9" x14ac:dyDescent="0.2">
      <c r="A162" s="10" t="s">
        <v>9267</v>
      </c>
      <c r="B162" s="10">
        <v>100.011151881864</v>
      </c>
      <c r="C162" s="10">
        <v>-1.32549577787676</v>
      </c>
      <c r="D162" s="10">
        <v>0.40044815329113997</v>
      </c>
      <c r="E162" s="10">
        <v>-3.31003094154133</v>
      </c>
      <c r="F162" s="10">
        <v>9.3285658509747896E-4</v>
      </c>
      <c r="G162" s="10">
        <v>5.7515522382703297E-3</v>
      </c>
      <c r="H162" s="10" t="s">
        <v>9268</v>
      </c>
      <c r="I162" s="10" t="s">
        <v>18</v>
      </c>
    </row>
    <row r="163" spans="1:9" x14ac:dyDescent="0.2">
      <c r="A163" s="10" t="s">
        <v>9269</v>
      </c>
      <c r="B163" s="10">
        <v>2402.0517260673</v>
      </c>
      <c r="C163" s="10">
        <v>1.3054966392519101</v>
      </c>
      <c r="D163" s="10">
        <v>0.25142397497153801</v>
      </c>
      <c r="E163" s="10">
        <v>5.19241110319608</v>
      </c>
      <c r="F163" s="4">
        <v>2.07587997201502E-7</v>
      </c>
      <c r="G163" s="4">
        <v>2.9502124687026999E-6</v>
      </c>
      <c r="H163" s="10" t="s">
        <v>9270</v>
      </c>
      <c r="I163" s="10" t="s">
        <v>18</v>
      </c>
    </row>
    <row r="164" spans="1:9" x14ac:dyDescent="0.2">
      <c r="A164" s="10" t="s">
        <v>403</v>
      </c>
      <c r="B164" s="10">
        <v>4042.6629688592002</v>
      </c>
      <c r="C164" s="10">
        <v>-1.8422556247991699</v>
      </c>
      <c r="D164" s="10">
        <v>0.25917806443588498</v>
      </c>
      <c r="E164" s="10">
        <v>-7.1080692295813499</v>
      </c>
      <c r="F164" s="4">
        <v>1.17677533014932E-12</v>
      </c>
      <c r="G164" s="4">
        <v>3.36383902612569E-11</v>
      </c>
      <c r="H164" s="10" t="s">
        <v>404</v>
      </c>
      <c r="I164" s="10" t="s">
        <v>18</v>
      </c>
    </row>
    <row r="165" spans="1:9" x14ac:dyDescent="0.2">
      <c r="A165" s="10" t="s">
        <v>405</v>
      </c>
      <c r="B165" s="10">
        <v>1876.3979417405999</v>
      </c>
      <c r="C165" s="10">
        <v>-1.4364983286211901</v>
      </c>
      <c r="D165" s="10">
        <v>0.25849915884695102</v>
      </c>
      <c r="E165" s="10">
        <v>-5.5570715782161999</v>
      </c>
      <c r="F165" s="4">
        <v>2.74338281217646E-8</v>
      </c>
      <c r="G165" s="4">
        <v>4.5045557859202899E-7</v>
      </c>
      <c r="H165" s="10" t="s">
        <v>406</v>
      </c>
      <c r="I165" s="10" t="s">
        <v>18</v>
      </c>
    </row>
    <row r="166" spans="1:9" x14ac:dyDescent="0.2">
      <c r="A166" s="10" t="s">
        <v>411</v>
      </c>
      <c r="B166" s="10">
        <v>642.13550862919305</v>
      </c>
      <c r="C166" s="10">
        <v>-1.3361856262565699</v>
      </c>
      <c r="D166" s="10">
        <v>0.28013648617485798</v>
      </c>
      <c r="E166" s="10">
        <v>-4.76976649668741</v>
      </c>
      <c r="F166" s="4">
        <v>1.8443959020675399E-6</v>
      </c>
      <c r="G166" s="4">
        <v>2.1812778051955299E-5</v>
      </c>
      <c r="H166" s="10" t="s">
        <v>412</v>
      </c>
      <c r="I166" s="10" t="s">
        <v>18</v>
      </c>
    </row>
    <row r="167" spans="1:9" x14ac:dyDescent="0.2">
      <c r="A167" s="10" t="s">
        <v>413</v>
      </c>
      <c r="B167" s="10">
        <v>3559.7241344935501</v>
      </c>
      <c r="C167" s="10">
        <v>-1.0916083229915901</v>
      </c>
      <c r="D167" s="10">
        <v>0.26968348800926401</v>
      </c>
      <c r="E167" s="10">
        <v>-4.0477388180105702</v>
      </c>
      <c r="F167" s="4">
        <v>5.1714806129945999E-5</v>
      </c>
      <c r="G167" s="10">
        <v>4.5263950876784601E-4</v>
      </c>
      <c r="H167" s="10" t="s">
        <v>414</v>
      </c>
      <c r="I167" s="10" t="s">
        <v>18</v>
      </c>
    </row>
    <row r="168" spans="1:9" x14ac:dyDescent="0.2">
      <c r="A168" s="10" t="s">
        <v>9271</v>
      </c>
      <c r="B168" s="10">
        <v>284.52261850056198</v>
      </c>
      <c r="C168" s="10">
        <v>-1.1686541738765399</v>
      </c>
      <c r="D168" s="10">
        <v>0.30543590085276801</v>
      </c>
      <c r="E168" s="10">
        <v>-3.8261847104865399</v>
      </c>
      <c r="F168" s="10">
        <v>1.3014465153682301E-4</v>
      </c>
      <c r="G168" s="10">
        <v>1.0214629358529701E-3</v>
      </c>
      <c r="H168" s="10" t="s">
        <v>9272</v>
      </c>
      <c r="I168" s="10" t="s">
        <v>18</v>
      </c>
    </row>
    <row r="169" spans="1:9" x14ac:dyDescent="0.2">
      <c r="A169" s="10" t="s">
        <v>9273</v>
      </c>
      <c r="B169" s="10">
        <v>90.739070307773801</v>
      </c>
      <c r="C169" s="10">
        <v>-1.59233590606829</v>
      </c>
      <c r="D169" s="10">
        <v>0.45825507022184198</v>
      </c>
      <c r="E169" s="10">
        <v>-3.4747807706686902</v>
      </c>
      <c r="F169" s="10">
        <v>5.1127100395938695E-4</v>
      </c>
      <c r="G169" s="10">
        <v>3.4068932727412899E-3</v>
      </c>
      <c r="H169" s="10" t="s">
        <v>9274</v>
      </c>
      <c r="I169" s="10" t="s">
        <v>18</v>
      </c>
    </row>
    <row r="170" spans="1:9" x14ac:dyDescent="0.2">
      <c r="A170" s="10" t="s">
        <v>419</v>
      </c>
      <c r="B170" s="10">
        <v>25.823525998488499</v>
      </c>
      <c r="C170" s="10">
        <v>1.9775307950944701</v>
      </c>
      <c r="D170" s="10">
        <v>0.69917370636692999</v>
      </c>
      <c r="E170" s="10">
        <v>2.8283826709819899</v>
      </c>
      <c r="F170" s="10">
        <v>4.6783846587747802E-3</v>
      </c>
      <c r="G170" s="10">
        <v>2.2441793686399598E-2</v>
      </c>
      <c r="H170" s="10" t="s">
        <v>420</v>
      </c>
      <c r="I170" s="10" t="s">
        <v>18</v>
      </c>
    </row>
    <row r="171" spans="1:9" x14ac:dyDescent="0.2">
      <c r="A171" s="10" t="s">
        <v>423</v>
      </c>
      <c r="B171" s="10">
        <v>1966.5867754605999</v>
      </c>
      <c r="C171" s="10">
        <v>2.3904710206422499</v>
      </c>
      <c r="D171" s="10">
        <v>0.25764250362985303</v>
      </c>
      <c r="E171" s="10">
        <v>9.2782479092679697</v>
      </c>
      <c r="F171" s="4">
        <v>1.7228825856041301E-20</v>
      </c>
      <c r="G171" s="4">
        <v>9.6523633498600899E-19</v>
      </c>
      <c r="H171" s="10" t="s">
        <v>424</v>
      </c>
      <c r="I171" s="10" t="s">
        <v>18</v>
      </c>
    </row>
    <row r="172" spans="1:9" x14ac:dyDescent="0.2">
      <c r="A172" s="10" t="s">
        <v>431</v>
      </c>
      <c r="B172" s="10">
        <v>92.632393609123895</v>
      </c>
      <c r="C172" s="10">
        <v>-1.43800642739331</v>
      </c>
      <c r="D172" s="10">
        <v>0.41423033076267901</v>
      </c>
      <c r="E172" s="10">
        <v>-3.4715140843155199</v>
      </c>
      <c r="F172" s="10">
        <v>5.1753218255933605E-4</v>
      </c>
      <c r="G172" s="10">
        <v>3.44587666815249E-3</v>
      </c>
      <c r="H172" s="10" t="s">
        <v>432</v>
      </c>
      <c r="I172" s="10" t="s">
        <v>18</v>
      </c>
    </row>
    <row r="173" spans="1:9" x14ac:dyDescent="0.2">
      <c r="A173" s="10" t="s">
        <v>433</v>
      </c>
      <c r="B173" s="10">
        <v>1440.1188132448201</v>
      </c>
      <c r="C173" s="10">
        <v>2.9791737754175198</v>
      </c>
      <c r="D173" s="10">
        <v>0.25987765739604402</v>
      </c>
      <c r="E173" s="10">
        <v>11.463754927101601</v>
      </c>
      <c r="F173" s="4">
        <v>2.0062411186731001E-30</v>
      </c>
      <c r="G173" s="4">
        <v>2.1027914725092399E-28</v>
      </c>
      <c r="H173" s="10" t="s">
        <v>434</v>
      </c>
      <c r="I173" s="10" t="s">
        <v>18</v>
      </c>
    </row>
    <row r="174" spans="1:9" x14ac:dyDescent="0.2">
      <c r="A174" s="10" t="s">
        <v>9275</v>
      </c>
      <c r="B174" s="10">
        <v>402.86081887836201</v>
      </c>
      <c r="C174" s="10">
        <v>3.97411244145612</v>
      </c>
      <c r="D174" s="10">
        <v>0.32136902929998501</v>
      </c>
      <c r="E174" s="10">
        <v>12.366196114518701</v>
      </c>
      <c r="F174" s="4">
        <v>3.9823872916549198E-35</v>
      </c>
      <c r="G174" s="4">
        <v>5.1110689959989599E-33</v>
      </c>
      <c r="H174" s="10" t="s">
        <v>9276</v>
      </c>
      <c r="I174" s="10" t="s">
        <v>18</v>
      </c>
    </row>
    <row r="175" spans="1:9" x14ac:dyDescent="0.2">
      <c r="A175" s="10" t="s">
        <v>9277</v>
      </c>
      <c r="B175" s="10">
        <v>56.4163478366698</v>
      </c>
      <c r="C175" s="10">
        <v>-1.8456729717754199</v>
      </c>
      <c r="D175" s="10">
        <v>0.51243839458801399</v>
      </c>
      <c r="E175" s="10">
        <v>-3.6017460660013398</v>
      </c>
      <c r="F175" s="10">
        <v>3.1608704095533201E-4</v>
      </c>
      <c r="G175" s="10">
        <v>2.2467277522552598E-3</v>
      </c>
      <c r="H175" s="10" t="s">
        <v>9278</v>
      </c>
      <c r="I175" s="10" t="s">
        <v>18</v>
      </c>
    </row>
    <row r="176" spans="1:9" x14ac:dyDescent="0.2">
      <c r="A176" s="10" t="s">
        <v>9279</v>
      </c>
      <c r="B176" s="10">
        <v>510.62327292811398</v>
      </c>
      <c r="C176" s="10">
        <v>-1.3076309704267599</v>
      </c>
      <c r="D176" s="10">
        <v>0.30729005624877698</v>
      </c>
      <c r="E176" s="10">
        <v>-4.2553637640917499</v>
      </c>
      <c r="F176" s="4">
        <v>2.0870941530220801E-5</v>
      </c>
      <c r="G176" s="10">
        <v>1.98866869012388E-4</v>
      </c>
      <c r="H176" s="10" t="s">
        <v>9280</v>
      </c>
      <c r="I176" s="10" t="s">
        <v>18</v>
      </c>
    </row>
    <row r="177" spans="1:9" x14ac:dyDescent="0.2">
      <c r="A177" s="10" t="s">
        <v>443</v>
      </c>
      <c r="B177" s="10">
        <v>305.73619827112799</v>
      </c>
      <c r="C177" s="10">
        <v>1.1696239366246499</v>
      </c>
      <c r="D177" s="10">
        <v>0.30057815465135002</v>
      </c>
      <c r="E177" s="10">
        <v>3.89124731297035</v>
      </c>
      <c r="F177" s="4">
        <v>9.9730215694851E-5</v>
      </c>
      <c r="G177" s="10">
        <v>8.0952358044658796E-4</v>
      </c>
      <c r="H177" s="10" t="s">
        <v>444</v>
      </c>
      <c r="I177" s="10" t="s">
        <v>18</v>
      </c>
    </row>
    <row r="178" spans="1:9" x14ac:dyDescent="0.2">
      <c r="A178" s="10" t="s">
        <v>445</v>
      </c>
      <c r="B178" s="10">
        <v>801.90180952529101</v>
      </c>
      <c r="C178" s="10">
        <v>-2.6388024884510299</v>
      </c>
      <c r="D178" s="10">
        <v>0.30470937641228601</v>
      </c>
      <c r="E178" s="10">
        <v>-8.66006330202522</v>
      </c>
      <c r="F178" s="4">
        <v>4.7150235258393E-18</v>
      </c>
      <c r="G178" s="4">
        <v>2.2210939474248601E-16</v>
      </c>
      <c r="H178" s="10" t="s">
        <v>446</v>
      </c>
      <c r="I178" s="10" t="s">
        <v>18</v>
      </c>
    </row>
    <row r="179" spans="1:9" x14ac:dyDescent="0.2">
      <c r="A179" s="10" t="s">
        <v>449</v>
      </c>
      <c r="B179" s="10">
        <v>147.21291168561299</v>
      </c>
      <c r="C179" s="10">
        <v>4.3343224961951003</v>
      </c>
      <c r="D179" s="10">
        <v>0.46593140522533999</v>
      </c>
      <c r="E179" s="10">
        <v>9.3024905545889993</v>
      </c>
      <c r="F179" s="4">
        <v>1.3719368194207801E-20</v>
      </c>
      <c r="G179" s="4">
        <v>7.7205974703645799E-19</v>
      </c>
      <c r="H179" s="10" t="s">
        <v>450</v>
      </c>
      <c r="I179" s="10" t="s">
        <v>18</v>
      </c>
    </row>
    <row r="180" spans="1:9" x14ac:dyDescent="0.2">
      <c r="A180" s="10" t="s">
        <v>9281</v>
      </c>
      <c r="B180" s="10">
        <v>2436.0463432749998</v>
      </c>
      <c r="C180" s="10">
        <v>1.1534067957351399</v>
      </c>
      <c r="D180" s="10">
        <v>0.30123744045523698</v>
      </c>
      <c r="E180" s="10">
        <v>3.82889588356641</v>
      </c>
      <c r="F180" s="10">
        <v>1.28719444408629E-4</v>
      </c>
      <c r="G180" s="10">
        <v>1.01407379395524E-3</v>
      </c>
      <c r="H180" s="10" t="s">
        <v>9282</v>
      </c>
      <c r="I180" s="10" t="s">
        <v>18</v>
      </c>
    </row>
    <row r="181" spans="1:9" x14ac:dyDescent="0.2">
      <c r="A181" s="10" t="s">
        <v>455</v>
      </c>
      <c r="B181" s="10">
        <v>45.914604889059099</v>
      </c>
      <c r="C181" s="10">
        <v>2.6775900561044801</v>
      </c>
      <c r="D181" s="10">
        <v>0.59089025348250301</v>
      </c>
      <c r="E181" s="10">
        <v>4.5314507056491298</v>
      </c>
      <c r="F181" s="4">
        <v>5.8580007464189302E-6</v>
      </c>
      <c r="G181" s="4">
        <v>6.3407060574943293E-5</v>
      </c>
      <c r="H181" s="10" t="s">
        <v>456</v>
      </c>
      <c r="I181" s="10" t="s">
        <v>18</v>
      </c>
    </row>
    <row r="182" spans="1:9" x14ac:dyDescent="0.2">
      <c r="A182" s="10" t="s">
        <v>457</v>
      </c>
      <c r="B182" s="10">
        <v>1370.97145436815</v>
      </c>
      <c r="C182" s="10">
        <v>-1.29524350656514</v>
      </c>
      <c r="D182" s="10">
        <v>0.24748606413343699</v>
      </c>
      <c r="E182" s="10">
        <v>-5.2336017831969004</v>
      </c>
      <c r="F182" s="4">
        <v>1.6623839695724399E-7</v>
      </c>
      <c r="G182" s="4">
        <v>2.4046733038869801E-6</v>
      </c>
      <c r="H182" s="10" t="s">
        <v>458</v>
      </c>
      <c r="I182" s="10" t="s">
        <v>18</v>
      </c>
    </row>
    <row r="183" spans="1:9" x14ac:dyDescent="0.2">
      <c r="A183" s="10" t="s">
        <v>9283</v>
      </c>
      <c r="B183" s="10">
        <v>30.157733878747202</v>
      </c>
      <c r="C183" s="10">
        <v>-2.7688801599067099</v>
      </c>
      <c r="D183" s="10">
        <v>0.69786888053473795</v>
      </c>
      <c r="E183" s="10">
        <v>-3.9676223387193699</v>
      </c>
      <c r="F183" s="4">
        <v>7.2593249663910003E-5</v>
      </c>
      <c r="G183" s="10">
        <v>6.1195817536717695E-4</v>
      </c>
      <c r="H183" s="10" t="s">
        <v>9284</v>
      </c>
      <c r="I183" s="10" t="s">
        <v>18</v>
      </c>
    </row>
    <row r="184" spans="1:9" x14ac:dyDescent="0.2">
      <c r="A184" s="10" t="s">
        <v>9285</v>
      </c>
      <c r="B184" s="10">
        <v>69.300660904822607</v>
      </c>
      <c r="C184" s="10">
        <v>-1.42583702093836</v>
      </c>
      <c r="D184" s="10">
        <v>0.46526159204303702</v>
      </c>
      <c r="E184" s="10">
        <v>-3.0645921462747201</v>
      </c>
      <c r="F184" s="10">
        <v>2.1796701728568498E-3</v>
      </c>
      <c r="G184" s="10">
        <v>1.1776117525389601E-2</v>
      </c>
      <c r="H184" s="10" t="s">
        <v>9286</v>
      </c>
      <c r="I184" s="10" t="s">
        <v>18</v>
      </c>
    </row>
    <row r="185" spans="1:9" x14ac:dyDescent="0.2">
      <c r="A185" s="10" t="s">
        <v>461</v>
      </c>
      <c r="B185" s="10">
        <v>149.56011362001999</v>
      </c>
      <c r="C185" s="10">
        <v>1.8023804519853099</v>
      </c>
      <c r="D185" s="10">
        <v>0.36224117640044001</v>
      </c>
      <c r="E185" s="10">
        <v>4.9756365907802298</v>
      </c>
      <c r="F185" s="4">
        <v>6.5033556550989996E-7</v>
      </c>
      <c r="G185" s="4">
        <v>8.4587337902800096E-6</v>
      </c>
      <c r="H185" s="10" t="s">
        <v>462</v>
      </c>
      <c r="I185" s="10" t="s">
        <v>18</v>
      </c>
    </row>
    <row r="186" spans="1:9" x14ac:dyDescent="0.2">
      <c r="A186" s="10" t="s">
        <v>463</v>
      </c>
      <c r="B186" s="10">
        <v>438.44533433182301</v>
      </c>
      <c r="C186" s="10">
        <v>-3.2010990717555101</v>
      </c>
      <c r="D186" s="10">
        <v>0.29860323854590698</v>
      </c>
      <c r="E186" s="10">
        <v>-10.720242309975401</v>
      </c>
      <c r="F186" s="4">
        <v>8.17887821961935E-27</v>
      </c>
      <c r="G186" s="4">
        <v>7.1686300214120101E-25</v>
      </c>
      <c r="H186" s="10" t="s">
        <v>464</v>
      </c>
      <c r="I186" s="10" t="s">
        <v>18</v>
      </c>
    </row>
    <row r="187" spans="1:9" x14ac:dyDescent="0.2">
      <c r="A187" s="10" t="s">
        <v>469</v>
      </c>
      <c r="B187" s="10">
        <v>373.78483773242999</v>
      </c>
      <c r="C187" s="10">
        <v>-1.0434675247587799</v>
      </c>
      <c r="D187" s="10">
        <v>0.30207616942913601</v>
      </c>
      <c r="E187" s="10">
        <v>-3.4543192424967901</v>
      </c>
      <c r="F187" s="10">
        <v>5.5168389970529895E-4</v>
      </c>
      <c r="G187" s="10">
        <v>3.6472032843854899E-3</v>
      </c>
      <c r="H187" s="10" t="s">
        <v>470</v>
      </c>
      <c r="I187" s="10" t="s">
        <v>18</v>
      </c>
    </row>
    <row r="188" spans="1:9" x14ac:dyDescent="0.2">
      <c r="A188" s="10" t="s">
        <v>9287</v>
      </c>
      <c r="B188" s="10">
        <v>3870.76434818198</v>
      </c>
      <c r="C188" s="10">
        <v>-1.3960458885089799</v>
      </c>
      <c r="D188" s="10">
        <v>0.248682863498596</v>
      </c>
      <c r="E188" s="10">
        <v>-5.6137599063670898</v>
      </c>
      <c r="F188" s="4">
        <v>1.9797686668572402E-8</v>
      </c>
      <c r="G188" s="4">
        <v>3.3267255053302498E-7</v>
      </c>
      <c r="H188" s="10" t="s">
        <v>9288</v>
      </c>
      <c r="I188" s="10" t="s">
        <v>18</v>
      </c>
    </row>
    <row r="189" spans="1:9" x14ac:dyDescent="0.2">
      <c r="A189" s="10" t="s">
        <v>9289</v>
      </c>
      <c r="B189" s="10">
        <v>7865.7478651668198</v>
      </c>
      <c r="C189" s="10">
        <v>-1.20748740186662</v>
      </c>
      <c r="D189" s="10">
        <v>0.24521344843345599</v>
      </c>
      <c r="E189" s="10">
        <v>-4.9242299293967804</v>
      </c>
      <c r="F189" s="4">
        <v>8.4693207126899603E-7</v>
      </c>
      <c r="G189" s="4">
        <v>1.07381936757921E-5</v>
      </c>
      <c r="H189" s="10" t="s">
        <v>9290</v>
      </c>
      <c r="I189" s="10" t="s">
        <v>18</v>
      </c>
    </row>
    <row r="190" spans="1:9" x14ac:dyDescent="0.2">
      <c r="A190" s="10" t="s">
        <v>9291</v>
      </c>
      <c r="B190" s="10">
        <v>37.734327683228202</v>
      </c>
      <c r="C190" s="10">
        <v>-1.7442249745713501</v>
      </c>
      <c r="D190" s="10">
        <v>0.61364922364256203</v>
      </c>
      <c r="E190" s="10">
        <v>-2.8423811313860998</v>
      </c>
      <c r="F190" s="10">
        <v>4.4777925592681999E-3</v>
      </c>
      <c r="G190" s="10">
        <v>2.1632201234567199E-2</v>
      </c>
      <c r="H190" s="10" t="s">
        <v>9292</v>
      </c>
      <c r="I190" s="10" t="s">
        <v>18</v>
      </c>
    </row>
    <row r="191" spans="1:9" x14ac:dyDescent="0.2">
      <c r="A191" s="10" t="s">
        <v>473</v>
      </c>
      <c r="B191" s="10">
        <v>207.54399640862499</v>
      </c>
      <c r="C191" s="10">
        <v>1.0734160041104399</v>
      </c>
      <c r="D191" s="10">
        <v>0.35734611255265603</v>
      </c>
      <c r="E191" s="10">
        <v>3.0038552719732299</v>
      </c>
      <c r="F191" s="10">
        <v>2.66582103889061E-3</v>
      </c>
      <c r="G191" s="10">
        <v>1.3944422589580599E-2</v>
      </c>
      <c r="H191" s="10" t="s">
        <v>474</v>
      </c>
      <c r="I191" s="10" t="s">
        <v>18</v>
      </c>
    </row>
    <row r="192" spans="1:9" x14ac:dyDescent="0.2">
      <c r="A192" s="10" t="s">
        <v>9293</v>
      </c>
      <c r="B192" s="10">
        <v>941.10861746679302</v>
      </c>
      <c r="C192" s="10">
        <v>-1.06523627558808</v>
      </c>
      <c r="D192" s="10">
        <v>0.27824942004433001</v>
      </c>
      <c r="E192" s="10">
        <v>-3.8283503894396902</v>
      </c>
      <c r="F192" s="10">
        <v>1.29005011950025E-4</v>
      </c>
      <c r="G192" s="10">
        <v>1.0156873476065301E-3</v>
      </c>
      <c r="H192" s="10" t="s">
        <v>9294</v>
      </c>
      <c r="I192" s="10" t="s">
        <v>18</v>
      </c>
    </row>
    <row r="193" spans="1:9" x14ac:dyDescent="0.2">
      <c r="A193" s="10" t="s">
        <v>9295</v>
      </c>
      <c r="B193" s="10">
        <v>667.23674569722095</v>
      </c>
      <c r="C193" s="10">
        <v>-1.0084935608308301</v>
      </c>
      <c r="D193" s="10">
        <v>0.30052089243131502</v>
      </c>
      <c r="E193" s="10">
        <v>-3.3558184679666598</v>
      </c>
      <c r="F193" s="10">
        <v>7.9130491027191703E-4</v>
      </c>
      <c r="G193" s="10">
        <v>4.9887907313007698E-3</v>
      </c>
      <c r="H193" s="10" t="s">
        <v>9296</v>
      </c>
      <c r="I193" s="10" t="s">
        <v>18</v>
      </c>
    </row>
    <row r="194" spans="1:9" x14ac:dyDescent="0.2">
      <c r="A194" s="10" t="s">
        <v>483</v>
      </c>
      <c r="B194" s="10">
        <v>422.840713534587</v>
      </c>
      <c r="C194" s="10">
        <v>-1.2035357784479499</v>
      </c>
      <c r="D194" s="10">
        <v>0.31520870115931399</v>
      </c>
      <c r="E194" s="10">
        <v>-3.8182187675068402</v>
      </c>
      <c r="F194" s="10">
        <v>1.3441870287632301E-4</v>
      </c>
      <c r="G194" s="10">
        <v>1.05172705158753E-3</v>
      </c>
      <c r="H194" s="10" t="s">
        <v>484</v>
      </c>
      <c r="I194" s="10" t="s">
        <v>18</v>
      </c>
    </row>
    <row r="195" spans="1:9" x14ac:dyDescent="0.2">
      <c r="A195" s="10" t="s">
        <v>485</v>
      </c>
      <c r="B195" s="10">
        <v>556.46683508659896</v>
      </c>
      <c r="C195" s="10">
        <v>-1.0732168351796301</v>
      </c>
      <c r="D195" s="10">
        <v>0.27248368817502</v>
      </c>
      <c r="E195" s="10">
        <v>-3.9386461713270999</v>
      </c>
      <c r="F195" s="4">
        <v>8.1942667076226894E-5</v>
      </c>
      <c r="G195" s="10">
        <v>6.7983766170926396E-4</v>
      </c>
      <c r="H195" s="10" t="s">
        <v>486</v>
      </c>
      <c r="I195" s="10" t="s">
        <v>18</v>
      </c>
    </row>
    <row r="196" spans="1:9" x14ac:dyDescent="0.2">
      <c r="A196" s="10" t="s">
        <v>9297</v>
      </c>
      <c r="B196" s="10">
        <v>324.71780971331799</v>
      </c>
      <c r="C196" s="10">
        <v>-1.0506400891333201</v>
      </c>
      <c r="D196" s="10">
        <v>0.30082634937279601</v>
      </c>
      <c r="E196" s="10">
        <v>-3.4925135092848199</v>
      </c>
      <c r="F196" s="10">
        <v>4.7849739146992298E-4</v>
      </c>
      <c r="G196" s="10">
        <v>3.2174824598839701E-3</v>
      </c>
      <c r="H196" s="10" t="s">
        <v>9298</v>
      </c>
      <c r="I196" s="10" t="s">
        <v>18</v>
      </c>
    </row>
    <row r="197" spans="1:9" x14ac:dyDescent="0.2">
      <c r="A197" s="10" t="s">
        <v>487</v>
      </c>
      <c r="B197" s="10">
        <v>1903.5519298604599</v>
      </c>
      <c r="C197" s="10">
        <v>1.0049573888052801</v>
      </c>
      <c r="D197" s="10">
        <v>0.26230172183939898</v>
      </c>
      <c r="E197" s="10">
        <v>3.8313030572501998</v>
      </c>
      <c r="F197" s="10">
        <v>1.27466383150274E-4</v>
      </c>
      <c r="G197" s="10">
        <v>1.0060925221666601E-3</v>
      </c>
      <c r="H197" s="10" t="s">
        <v>488</v>
      </c>
      <c r="I197" s="10" t="s">
        <v>18</v>
      </c>
    </row>
    <row r="198" spans="1:9" x14ac:dyDescent="0.2">
      <c r="A198" s="10" t="s">
        <v>9299</v>
      </c>
      <c r="B198" s="10">
        <v>4669.5706269234397</v>
      </c>
      <c r="C198" s="10">
        <v>1.93460003667036</v>
      </c>
      <c r="D198" s="10">
        <v>0.25622149318450799</v>
      </c>
      <c r="E198" s="10">
        <v>7.5504986432860797</v>
      </c>
      <c r="F198" s="4">
        <v>4.33594916742863E-14</v>
      </c>
      <c r="G198" s="4">
        <v>1.43892877713281E-12</v>
      </c>
      <c r="H198" s="10" t="s">
        <v>9300</v>
      </c>
      <c r="I198" s="10" t="s">
        <v>18</v>
      </c>
    </row>
    <row r="199" spans="1:9" x14ac:dyDescent="0.2">
      <c r="A199" s="10" t="s">
        <v>497</v>
      </c>
      <c r="B199" s="10">
        <v>205.128489415486</v>
      </c>
      <c r="C199" s="10">
        <v>-1.1519989649536699</v>
      </c>
      <c r="D199" s="10">
        <v>0.36592679775761</v>
      </c>
      <c r="E199" s="10">
        <v>-3.1481678084608502</v>
      </c>
      <c r="F199" s="10">
        <v>1.64297345745336E-3</v>
      </c>
      <c r="G199" s="10">
        <v>9.2957708776966602E-3</v>
      </c>
      <c r="H199" s="10" t="s">
        <v>498</v>
      </c>
      <c r="I199" s="10" t="s">
        <v>18</v>
      </c>
    </row>
    <row r="200" spans="1:9" x14ac:dyDescent="0.2">
      <c r="A200" s="10" t="s">
        <v>499</v>
      </c>
      <c r="B200" s="10">
        <v>1554.9589893915299</v>
      </c>
      <c r="C200" s="10">
        <v>-1.13583874152301</v>
      </c>
      <c r="D200" s="10">
        <v>0.323462285561604</v>
      </c>
      <c r="E200" s="10">
        <v>-3.5115028620753601</v>
      </c>
      <c r="F200" s="10">
        <v>4.4558066492471799E-4</v>
      </c>
      <c r="G200" s="10">
        <v>3.0252581986994001E-3</v>
      </c>
      <c r="H200" s="10" t="s">
        <v>500</v>
      </c>
      <c r="I200" s="10" t="s">
        <v>18</v>
      </c>
    </row>
    <row r="201" spans="1:9" x14ac:dyDescent="0.2">
      <c r="A201" s="10" t="s">
        <v>501</v>
      </c>
      <c r="B201" s="10">
        <v>386.95999052167599</v>
      </c>
      <c r="C201" s="10">
        <v>-1.6099169312513399</v>
      </c>
      <c r="D201" s="10">
        <v>0.30644191805288301</v>
      </c>
      <c r="E201" s="10">
        <v>-5.2535793454129198</v>
      </c>
      <c r="F201" s="4">
        <v>1.4917136740162601E-7</v>
      </c>
      <c r="G201" s="4">
        <v>2.18417098194872E-6</v>
      </c>
      <c r="H201" s="10" t="s">
        <v>502</v>
      </c>
      <c r="I201" s="10" t="s">
        <v>18</v>
      </c>
    </row>
    <row r="202" spans="1:9" x14ac:dyDescent="0.2">
      <c r="A202" s="10" t="s">
        <v>503</v>
      </c>
      <c r="B202" s="10">
        <v>821.34093827419599</v>
      </c>
      <c r="C202" s="10">
        <v>-1.6108427280308699</v>
      </c>
      <c r="D202" s="10">
        <v>0.26915606748091903</v>
      </c>
      <c r="E202" s="10">
        <v>-5.9847906945106102</v>
      </c>
      <c r="F202" s="4">
        <v>2.1666830025816199E-9</v>
      </c>
      <c r="G202" s="4">
        <v>4.1860914692734798E-8</v>
      </c>
      <c r="H202" s="10" t="s">
        <v>504</v>
      </c>
      <c r="I202" s="10" t="s">
        <v>18</v>
      </c>
    </row>
    <row r="203" spans="1:9" x14ac:dyDescent="0.2">
      <c r="A203" s="10" t="s">
        <v>505</v>
      </c>
      <c r="B203" s="10">
        <v>1218.4818425882199</v>
      </c>
      <c r="C203" s="10">
        <v>-1.9247560609955101</v>
      </c>
      <c r="D203" s="10">
        <v>0.31262179161877601</v>
      </c>
      <c r="E203" s="10">
        <v>-6.1568198781953098</v>
      </c>
      <c r="F203" s="4">
        <v>7.4220180274179202E-10</v>
      </c>
      <c r="G203" s="4">
        <v>1.5455369493352501E-8</v>
      </c>
      <c r="H203" s="10" t="s">
        <v>506</v>
      </c>
      <c r="I203" s="10" t="s">
        <v>18</v>
      </c>
    </row>
    <row r="204" spans="1:9" x14ac:dyDescent="0.2">
      <c r="A204" s="10" t="s">
        <v>509</v>
      </c>
      <c r="B204" s="10">
        <v>1910.8021248738801</v>
      </c>
      <c r="C204" s="10">
        <v>1.42683278986189</v>
      </c>
      <c r="D204" s="10">
        <v>0.27982683741726899</v>
      </c>
      <c r="E204" s="10">
        <v>5.0989847972810596</v>
      </c>
      <c r="F204" s="4">
        <v>3.4147997351276401E-7</v>
      </c>
      <c r="G204" s="4">
        <v>4.6507464719618804E-6</v>
      </c>
      <c r="H204" s="10" t="s">
        <v>510</v>
      </c>
      <c r="I204" s="10" t="s">
        <v>18</v>
      </c>
    </row>
    <row r="205" spans="1:9" x14ac:dyDescent="0.2">
      <c r="A205" s="10" t="s">
        <v>515</v>
      </c>
      <c r="B205" s="10">
        <v>1751.0542334522299</v>
      </c>
      <c r="C205" s="10">
        <v>2.3293893620602302</v>
      </c>
      <c r="D205" s="10">
        <v>0.24545333178755399</v>
      </c>
      <c r="E205" s="10">
        <v>9.4901517331056997</v>
      </c>
      <c r="F205" s="4">
        <v>2.30698215839645E-21</v>
      </c>
      <c r="G205" s="4">
        <v>1.36225671817988E-19</v>
      </c>
      <c r="H205" s="10" t="s">
        <v>516</v>
      </c>
      <c r="I205" s="10" t="s">
        <v>18</v>
      </c>
    </row>
    <row r="206" spans="1:9" x14ac:dyDescent="0.2">
      <c r="A206" s="10" t="s">
        <v>519</v>
      </c>
      <c r="B206" s="10">
        <v>3311.3139394856298</v>
      </c>
      <c r="C206" s="10">
        <v>1.1192272635506</v>
      </c>
      <c r="D206" s="10">
        <v>0.28849761077581698</v>
      </c>
      <c r="E206" s="10">
        <v>3.87950271248629</v>
      </c>
      <c r="F206" s="10">
        <v>1.04670234047867E-4</v>
      </c>
      <c r="G206" s="10">
        <v>8.4634514222889498E-4</v>
      </c>
      <c r="H206" s="10" t="s">
        <v>520</v>
      </c>
      <c r="I206" s="10" t="s">
        <v>18</v>
      </c>
    </row>
    <row r="207" spans="1:9" x14ac:dyDescent="0.2">
      <c r="A207" s="10" t="s">
        <v>525</v>
      </c>
      <c r="B207" s="10">
        <v>555.18400851226397</v>
      </c>
      <c r="C207" s="10">
        <v>-1.10855228181995</v>
      </c>
      <c r="D207" s="10">
        <v>0.27943982128206202</v>
      </c>
      <c r="E207" s="10">
        <v>-3.9670519281537602</v>
      </c>
      <c r="F207" s="4">
        <v>7.2767142383170293E-5</v>
      </c>
      <c r="G207" s="10">
        <v>6.1301321722995595E-4</v>
      </c>
      <c r="H207" s="10" t="s">
        <v>526</v>
      </c>
      <c r="I207" s="10" t="s">
        <v>18</v>
      </c>
    </row>
    <row r="208" spans="1:9" x14ac:dyDescent="0.2">
      <c r="A208" s="10" t="s">
        <v>527</v>
      </c>
      <c r="B208" s="10">
        <v>125.09519691290799</v>
      </c>
      <c r="C208" s="10">
        <v>-1.8574675696546601</v>
      </c>
      <c r="D208" s="10">
        <v>0.442434123888094</v>
      </c>
      <c r="E208" s="10">
        <v>-4.1982918345703197</v>
      </c>
      <c r="F208" s="4">
        <v>2.6893591025572099E-5</v>
      </c>
      <c r="G208" s="10">
        <v>2.50930371753807E-4</v>
      </c>
      <c r="H208" s="10" t="s">
        <v>528</v>
      </c>
      <c r="I208" s="10" t="s">
        <v>18</v>
      </c>
    </row>
    <row r="209" spans="1:9" x14ac:dyDescent="0.2">
      <c r="A209" s="10" t="s">
        <v>533</v>
      </c>
      <c r="B209" s="10">
        <v>942.26032885247196</v>
      </c>
      <c r="C209" s="10">
        <v>-1.15037654134858</v>
      </c>
      <c r="D209" s="10">
        <v>0.26091105178567803</v>
      </c>
      <c r="E209" s="10">
        <v>-4.4090755584149699</v>
      </c>
      <c r="F209" s="4">
        <v>1.03812803914445E-5</v>
      </c>
      <c r="G209" s="10">
        <v>1.05810821817984E-4</v>
      </c>
      <c r="H209" s="10" t="s">
        <v>534</v>
      </c>
      <c r="I209" s="10" t="s">
        <v>18</v>
      </c>
    </row>
    <row r="210" spans="1:9" x14ac:dyDescent="0.2">
      <c r="A210" s="10" t="s">
        <v>9301</v>
      </c>
      <c r="B210" s="10">
        <v>125.633566099798</v>
      </c>
      <c r="C210" s="10">
        <v>-1.0353646321859</v>
      </c>
      <c r="D210" s="10">
        <v>0.38495544580387903</v>
      </c>
      <c r="E210" s="10">
        <v>-2.6895700358876802</v>
      </c>
      <c r="F210" s="10">
        <v>7.1544132759870501E-3</v>
      </c>
      <c r="G210" s="10">
        <v>3.1830432606553598E-2</v>
      </c>
      <c r="H210" s="10" t="s">
        <v>9302</v>
      </c>
      <c r="I210" s="10" t="s">
        <v>18</v>
      </c>
    </row>
    <row r="211" spans="1:9" x14ac:dyDescent="0.2">
      <c r="A211" s="10" t="s">
        <v>543</v>
      </c>
      <c r="B211" s="10">
        <v>168.54260796798101</v>
      </c>
      <c r="C211" s="10">
        <v>5.2626242563471104</v>
      </c>
      <c r="D211" s="10">
        <v>0.47843733972050401</v>
      </c>
      <c r="E211" s="10">
        <v>10.999610229881799</v>
      </c>
      <c r="F211" s="4">
        <v>3.8378716560384E-28</v>
      </c>
      <c r="G211" s="4">
        <v>3.5493257907222802E-26</v>
      </c>
      <c r="H211" s="10" t="s">
        <v>544</v>
      </c>
      <c r="I211" s="10" t="s">
        <v>18</v>
      </c>
    </row>
    <row r="212" spans="1:9" x14ac:dyDescent="0.2">
      <c r="A212" s="10" t="s">
        <v>545</v>
      </c>
      <c r="B212" s="10">
        <v>1304.4167683479</v>
      </c>
      <c r="C212" s="10">
        <v>-2.8950797548859502</v>
      </c>
      <c r="D212" s="10">
        <v>0.30414615776185699</v>
      </c>
      <c r="E212" s="10">
        <v>-9.5187122408192906</v>
      </c>
      <c r="F212" s="4">
        <v>1.7533828760197899E-21</v>
      </c>
      <c r="G212" s="4">
        <v>1.0402440152424E-19</v>
      </c>
      <c r="H212" s="10" t="s">
        <v>546</v>
      </c>
      <c r="I212" s="10" t="s">
        <v>18</v>
      </c>
    </row>
    <row r="213" spans="1:9" x14ac:dyDescent="0.2">
      <c r="A213" s="10" t="s">
        <v>9303</v>
      </c>
      <c r="B213" s="10">
        <v>360.17296495265902</v>
      </c>
      <c r="C213" s="10">
        <v>1.0204951863015299</v>
      </c>
      <c r="D213" s="10">
        <v>0.294593923705323</v>
      </c>
      <c r="E213" s="10">
        <v>3.4640741175718102</v>
      </c>
      <c r="F213" s="10">
        <v>5.3205989126300696E-4</v>
      </c>
      <c r="G213" s="10">
        <v>3.5313895949131801E-3</v>
      </c>
      <c r="H213" s="10" t="s">
        <v>9304</v>
      </c>
      <c r="I213" s="10" t="s">
        <v>18</v>
      </c>
    </row>
    <row r="214" spans="1:9" x14ac:dyDescent="0.2">
      <c r="A214" s="10" t="s">
        <v>549</v>
      </c>
      <c r="B214" s="10">
        <v>631.69588399958695</v>
      </c>
      <c r="C214" s="10">
        <v>-1.1985292791200299</v>
      </c>
      <c r="D214" s="10">
        <v>0.27065523024164301</v>
      </c>
      <c r="E214" s="10">
        <v>-4.4282509451229597</v>
      </c>
      <c r="F214" s="4">
        <v>9.5000333115652208E-6</v>
      </c>
      <c r="G214" s="4">
        <v>9.7699647568447705E-5</v>
      </c>
      <c r="H214" s="10" t="s">
        <v>550</v>
      </c>
      <c r="I214" s="10" t="s">
        <v>18</v>
      </c>
    </row>
    <row r="215" spans="1:9" x14ac:dyDescent="0.2">
      <c r="A215" s="10" t="s">
        <v>555</v>
      </c>
      <c r="B215" s="10">
        <v>935.87532808281105</v>
      </c>
      <c r="C215" s="10">
        <v>-1.6525305980371401</v>
      </c>
      <c r="D215" s="10">
        <v>0.27194938407252101</v>
      </c>
      <c r="E215" s="10">
        <v>-6.0766109240256903</v>
      </c>
      <c r="F215" s="4">
        <v>1.22749104495195E-9</v>
      </c>
      <c r="G215" s="4">
        <v>2.4662569677129701E-8</v>
      </c>
      <c r="H215" s="10" t="s">
        <v>556</v>
      </c>
      <c r="I215" s="10" t="s">
        <v>18</v>
      </c>
    </row>
    <row r="216" spans="1:9" x14ac:dyDescent="0.2">
      <c r="A216" s="10" t="s">
        <v>559</v>
      </c>
      <c r="B216" s="10">
        <v>521.21794142066994</v>
      </c>
      <c r="C216" s="10">
        <v>-1.5922316456588701</v>
      </c>
      <c r="D216" s="10">
        <v>0.29253945906194401</v>
      </c>
      <c r="E216" s="10">
        <v>-5.4427927458556002</v>
      </c>
      <c r="F216" s="4">
        <v>5.2451661018859202E-8</v>
      </c>
      <c r="G216" s="4">
        <v>8.20025812883407E-7</v>
      </c>
      <c r="H216" s="10" t="s">
        <v>560</v>
      </c>
      <c r="I216" s="10" t="s">
        <v>18</v>
      </c>
    </row>
    <row r="217" spans="1:9" x14ac:dyDescent="0.2">
      <c r="A217" s="10" t="s">
        <v>565</v>
      </c>
      <c r="B217" s="10">
        <v>653.34639351691703</v>
      </c>
      <c r="C217" s="10">
        <v>-1.35311056372482</v>
      </c>
      <c r="D217" s="10">
        <v>0.316052844606171</v>
      </c>
      <c r="E217" s="10">
        <v>-4.2812794974552899</v>
      </c>
      <c r="F217" s="4">
        <v>1.8582179226976999E-5</v>
      </c>
      <c r="G217" s="10">
        <v>1.79299853645802E-4</v>
      </c>
      <c r="H217" s="10" t="s">
        <v>566</v>
      </c>
      <c r="I217" s="10" t="s">
        <v>18</v>
      </c>
    </row>
    <row r="218" spans="1:9" x14ac:dyDescent="0.2">
      <c r="A218" s="10" t="s">
        <v>9305</v>
      </c>
      <c r="B218" s="10">
        <v>40.191092709459902</v>
      </c>
      <c r="C218" s="10">
        <v>-1.54803886021318</v>
      </c>
      <c r="D218" s="10">
        <v>0.579728593147811</v>
      </c>
      <c r="E218" s="10">
        <v>-2.67028205700126</v>
      </c>
      <c r="F218" s="10">
        <v>7.5787553844104101E-3</v>
      </c>
      <c r="G218" s="10">
        <v>3.3446244156990199E-2</v>
      </c>
      <c r="H218" s="10" t="s">
        <v>9306</v>
      </c>
      <c r="I218" s="10" t="s">
        <v>18</v>
      </c>
    </row>
    <row r="219" spans="1:9" x14ac:dyDescent="0.2">
      <c r="A219" s="10" t="s">
        <v>583</v>
      </c>
      <c r="B219" s="10">
        <v>388.55672184428801</v>
      </c>
      <c r="C219" s="10">
        <v>-1.60203812306256</v>
      </c>
      <c r="D219" s="10">
        <v>0.308510579862804</v>
      </c>
      <c r="E219" s="10">
        <v>-5.19281421005073</v>
      </c>
      <c r="F219" s="4">
        <v>2.07138869188025E-7</v>
      </c>
      <c r="G219" s="4">
        <v>2.9454936429761199E-6</v>
      </c>
      <c r="H219" s="10" t="s">
        <v>584</v>
      </c>
      <c r="I219" s="10" t="s">
        <v>18</v>
      </c>
    </row>
    <row r="220" spans="1:9" x14ac:dyDescent="0.2">
      <c r="A220" s="10" t="s">
        <v>585</v>
      </c>
      <c r="B220" s="10">
        <v>2107.2103993904302</v>
      </c>
      <c r="C220" s="10">
        <v>-1.62769583909809</v>
      </c>
      <c r="D220" s="10">
        <v>0.24796088188714199</v>
      </c>
      <c r="E220" s="10">
        <v>-6.5643250931771</v>
      </c>
      <c r="F220" s="4">
        <v>5.2269056129122198E-11</v>
      </c>
      <c r="G220" s="4">
        <v>1.24392441525834E-9</v>
      </c>
      <c r="H220" s="10" t="s">
        <v>586</v>
      </c>
      <c r="I220" s="10" t="s">
        <v>18</v>
      </c>
    </row>
    <row r="221" spans="1:9" x14ac:dyDescent="0.2">
      <c r="A221" s="10" t="s">
        <v>587</v>
      </c>
      <c r="B221" s="10">
        <v>36.871684202706298</v>
      </c>
      <c r="C221" s="10">
        <v>-2.1460508257228099</v>
      </c>
      <c r="D221" s="10">
        <v>0.61737208738058602</v>
      </c>
      <c r="E221" s="10">
        <v>-3.4761060138435602</v>
      </c>
      <c r="F221" s="10">
        <v>5.0875113393777905E-4</v>
      </c>
      <c r="G221" s="10">
        <v>3.39369789822457E-3</v>
      </c>
      <c r="H221" s="10" t="s">
        <v>588</v>
      </c>
      <c r="I221" s="10" t="s">
        <v>18</v>
      </c>
    </row>
    <row r="222" spans="1:9" x14ac:dyDescent="0.2">
      <c r="A222" s="10" t="s">
        <v>9307</v>
      </c>
      <c r="B222" s="10">
        <v>1206.6286976086701</v>
      </c>
      <c r="C222" s="10">
        <v>1.34926460335803</v>
      </c>
      <c r="D222" s="10">
        <v>0.286932114841215</v>
      </c>
      <c r="E222" s="10">
        <v>4.7023826667318103</v>
      </c>
      <c r="F222" s="4">
        <v>2.57142992461807E-6</v>
      </c>
      <c r="G222" s="4">
        <v>2.9726249886841701E-5</v>
      </c>
      <c r="H222" s="10" t="s">
        <v>9308</v>
      </c>
      <c r="I222" s="10" t="s">
        <v>18</v>
      </c>
    </row>
    <row r="223" spans="1:9" x14ac:dyDescent="0.2">
      <c r="A223" s="10" t="s">
        <v>589</v>
      </c>
      <c r="B223" s="10">
        <v>103.802819678497</v>
      </c>
      <c r="C223" s="10">
        <v>2.40556841069965</v>
      </c>
      <c r="D223" s="10">
        <v>0.41680156759248299</v>
      </c>
      <c r="E223" s="10">
        <v>5.7714955934417898</v>
      </c>
      <c r="F223" s="4">
        <v>7.8571014154479997E-9</v>
      </c>
      <c r="G223" s="4">
        <v>1.40547627011365E-7</v>
      </c>
      <c r="H223" s="10" t="s">
        <v>590</v>
      </c>
      <c r="I223" s="10" t="s">
        <v>18</v>
      </c>
    </row>
    <row r="224" spans="1:9" x14ac:dyDescent="0.2">
      <c r="A224" s="10" t="s">
        <v>591</v>
      </c>
      <c r="B224" s="10">
        <v>1958.7845075058699</v>
      </c>
      <c r="C224" s="10">
        <v>2.6464727513978401</v>
      </c>
      <c r="D224" s="10">
        <v>0.33890403288001197</v>
      </c>
      <c r="E224" s="10">
        <v>7.8089148981440797</v>
      </c>
      <c r="F224" s="4">
        <v>5.7682429925841603E-15</v>
      </c>
      <c r="G224" s="4">
        <v>2.08777197810726E-13</v>
      </c>
      <c r="H224" s="10" t="s">
        <v>592</v>
      </c>
      <c r="I224" s="10" t="s">
        <v>18</v>
      </c>
    </row>
    <row r="225" spans="1:9" x14ac:dyDescent="0.2">
      <c r="A225" s="10" t="s">
        <v>9309</v>
      </c>
      <c r="B225" s="10">
        <v>60.614349956084801</v>
      </c>
      <c r="C225" s="10">
        <v>-1.3280054313906999</v>
      </c>
      <c r="D225" s="10">
        <v>0.50329461807437903</v>
      </c>
      <c r="E225" s="10">
        <v>-2.6386243438717698</v>
      </c>
      <c r="F225" s="10">
        <v>8.3243166427232704E-3</v>
      </c>
      <c r="G225" s="10">
        <v>3.6228059714135598E-2</v>
      </c>
      <c r="H225" s="10" t="s">
        <v>9310</v>
      </c>
      <c r="I225" s="10" t="s">
        <v>18</v>
      </c>
    </row>
    <row r="226" spans="1:9" x14ac:dyDescent="0.2">
      <c r="A226" s="10" t="s">
        <v>9311</v>
      </c>
      <c r="B226" s="10">
        <v>370.94580989323998</v>
      </c>
      <c r="C226" s="10">
        <v>1.2446504166000301</v>
      </c>
      <c r="D226" s="10">
        <v>0.32269436880334401</v>
      </c>
      <c r="E226" s="10">
        <v>3.8570565120661899</v>
      </c>
      <c r="F226" s="10">
        <v>1.1476063744245701E-4</v>
      </c>
      <c r="G226" s="10">
        <v>9.1790265019554905E-4</v>
      </c>
      <c r="H226" s="10" t="s">
        <v>9312</v>
      </c>
      <c r="I226" s="10" t="s">
        <v>18</v>
      </c>
    </row>
    <row r="227" spans="1:9" x14ac:dyDescent="0.2">
      <c r="A227" s="10" t="s">
        <v>595</v>
      </c>
      <c r="B227" s="10">
        <v>570.94475655059898</v>
      </c>
      <c r="C227" s="10">
        <v>-1.4902843575954701</v>
      </c>
      <c r="D227" s="10">
        <v>0.313690836633992</v>
      </c>
      <c r="E227" s="10">
        <v>-4.7508061554705296</v>
      </c>
      <c r="F227" s="4">
        <v>2.0260728624807801E-6</v>
      </c>
      <c r="G227" s="4">
        <v>2.3871598527261799E-5</v>
      </c>
      <c r="H227" s="10" t="s">
        <v>596</v>
      </c>
      <c r="I227" s="10" t="s">
        <v>18</v>
      </c>
    </row>
    <row r="228" spans="1:9" x14ac:dyDescent="0.2">
      <c r="A228" s="10" t="s">
        <v>597</v>
      </c>
      <c r="B228" s="10">
        <v>368.93580643244798</v>
      </c>
      <c r="C228" s="10">
        <v>-1.6141878162340999</v>
      </c>
      <c r="D228" s="10">
        <v>0.28886474767293402</v>
      </c>
      <c r="E228" s="10">
        <v>-5.58804017879591</v>
      </c>
      <c r="F228" s="4">
        <v>2.29646518766494E-8</v>
      </c>
      <c r="G228" s="4">
        <v>3.8180820750635498E-7</v>
      </c>
      <c r="H228" s="10" t="s">
        <v>598</v>
      </c>
      <c r="I228" s="10" t="s">
        <v>18</v>
      </c>
    </row>
    <row r="229" spans="1:9" x14ac:dyDescent="0.2">
      <c r="A229" s="10" t="s">
        <v>599</v>
      </c>
      <c r="B229" s="10">
        <v>139.49287195762699</v>
      </c>
      <c r="C229" s="10">
        <v>5.0797762003572</v>
      </c>
      <c r="D229" s="10">
        <v>0.50450993840189196</v>
      </c>
      <c r="E229" s="10">
        <v>10.068733663499501</v>
      </c>
      <c r="F229" s="4">
        <v>7.5949638519545901E-24</v>
      </c>
      <c r="G229" s="4">
        <v>5.3506443183328704E-22</v>
      </c>
      <c r="H229" s="10" t="s">
        <v>600</v>
      </c>
      <c r="I229" s="10" t="s">
        <v>18</v>
      </c>
    </row>
    <row r="230" spans="1:9" x14ac:dyDescent="0.2">
      <c r="A230" s="10" t="s">
        <v>601</v>
      </c>
      <c r="B230" s="10">
        <v>52.073125665790798</v>
      </c>
      <c r="C230" s="10">
        <v>5.7653449507028602</v>
      </c>
      <c r="D230" s="10">
        <v>0.87157940864511696</v>
      </c>
      <c r="E230" s="10">
        <v>6.61482464307546</v>
      </c>
      <c r="F230" s="4">
        <v>3.7199243922554699E-11</v>
      </c>
      <c r="G230" s="4">
        <v>8.9630936865121104E-10</v>
      </c>
      <c r="H230" s="10" t="s">
        <v>602</v>
      </c>
      <c r="I230" s="10" t="s">
        <v>18</v>
      </c>
    </row>
    <row r="231" spans="1:9" x14ac:dyDescent="0.2">
      <c r="A231" s="10" t="s">
        <v>9313</v>
      </c>
      <c r="B231" s="10">
        <v>46.942420106401499</v>
      </c>
      <c r="C231" s="10">
        <v>-1.42401223929012</v>
      </c>
      <c r="D231" s="10">
        <v>0.53193770825372699</v>
      </c>
      <c r="E231" s="10">
        <v>-2.6770281880653699</v>
      </c>
      <c r="F231" s="10">
        <v>7.4278385540039798E-3</v>
      </c>
      <c r="G231" s="10">
        <v>3.2884068783169698E-2</v>
      </c>
      <c r="H231" s="10" t="s">
        <v>9314</v>
      </c>
      <c r="I231" s="10" t="s">
        <v>18</v>
      </c>
    </row>
    <row r="232" spans="1:9" x14ac:dyDescent="0.2">
      <c r="A232" s="10" t="s">
        <v>609</v>
      </c>
      <c r="B232" s="10">
        <v>1399.75569700915</v>
      </c>
      <c r="C232" s="10">
        <v>1.59333855211066</v>
      </c>
      <c r="D232" s="10">
        <v>0.271678716997238</v>
      </c>
      <c r="E232" s="10">
        <v>5.8647897403272298</v>
      </c>
      <c r="F232" s="4">
        <v>4.4970218518211597E-9</v>
      </c>
      <c r="G232" s="4">
        <v>8.3794507172267697E-8</v>
      </c>
      <c r="H232" s="10" t="s">
        <v>610</v>
      </c>
      <c r="I232" s="10" t="s">
        <v>18</v>
      </c>
    </row>
    <row r="233" spans="1:9" x14ac:dyDescent="0.2">
      <c r="A233" s="10" t="s">
        <v>617</v>
      </c>
      <c r="B233" s="10">
        <v>359.05389756938098</v>
      </c>
      <c r="C233" s="10">
        <v>12.006823938576201</v>
      </c>
      <c r="D233" s="10">
        <v>1.4728665003988699</v>
      </c>
      <c r="E233" s="10">
        <v>8.1520110175121996</v>
      </c>
      <c r="F233" s="4">
        <v>3.5792168004299499E-16</v>
      </c>
      <c r="G233" s="4">
        <v>1.4616103671236301E-14</v>
      </c>
      <c r="H233" s="10" t="s">
        <v>618</v>
      </c>
      <c r="I233" s="10" t="s">
        <v>18</v>
      </c>
    </row>
    <row r="234" spans="1:9" x14ac:dyDescent="0.2">
      <c r="A234" s="10" t="s">
        <v>619</v>
      </c>
      <c r="B234" s="10">
        <v>151.885908061104</v>
      </c>
      <c r="C234" s="10">
        <v>9.321077114006</v>
      </c>
      <c r="D234" s="10">
        <v>1.45648121692822</v>
      </c>
      <c r="E234" s="10">
        <v>6.3997235293322596</v>
      </c>
      <c r="F234" s="4">
        <v>1.55658544992762E-10</v>
      </c>
      <c r="G234" s="4">
        <v>3.4960631243687001E-9</v>
      </c>
      <c r="H234" s="10" t="s">
        <v>620</v>
      </c>
      <c r="I234" s="10" t="s">
        <v>18</v>
      </c>
    </row>
    <row r="235" spans="1:9" x14ac:dyDescent="0.2">
      <c r="A235" s="10" t="s">
        <v>621</v>
      </c>
      <c r="B235" s="10">
        <v>8.9059603274215799</v>
      </c>
      <c r="C235" s="10">
        <v>6.6757516571230697</v>
      </c>
      <c r="D235" s="10">
        <v>1.7997326077253999</v>
      </c>
      <c r="E235" s="10">
        <v>3.7093019421147599</v>
      </c>
      <c r="F235" s="10">
        <v>2.0783146020597601E-4</v>
      </c>
      <c r="G235" s="10">
        <v>1.5449173704141E-3</v>
      </c>
      <c r="H235" s="10" t="s">
        <v>622</v>
      </c>
      <c r="I235" s="10" t="s">
        <v>18</v>
      </c>
    </row>
    <row r="236" spans="1:9" x14ac:dyDescent="0.2">
      <c r="A236" s="10" t="s">
        <v>623</v>
      </c>
      <c r="B236" s="10">
        <v>262.46539168099002</v>
      </c>
      <c r="C236" s="10">
        <v>11.554746790478299</v>
      </c>
      <c r="D236" s="10">
        <v>1.4757982769373399</v>
      </c>
      <c r="E236" s="10">
        <v>7.8294892811891303</v>
      </c>
      <c r="F236" s="4">
        <v>4.8985575146916297E-15</v>
      </c>
      <c r="G236" s="4">
        <v>1.7832592515494599E-13</v>
      </c>
      <c r="H236" s="10" t="s">
        <v>624</v>
      </c>
      <c r="I236" s="10" t="s">
        <v>18</v>
      </c>
    </row>
    <row r="237" spans="1:9" x14ac:dyDescent="0.2">
      <c r="A237" s="10" t="s">
        <v>625</v>
      </c>
      <c r="B237" s="10">
        <v>250.57484891257499</v>
      </c>
      <c r="C237" s="10">
        <v>11.487936281168</v>
      </c>
      <c r="D237" s="10">
        <v>1.47671935807947</v>
      </c>
      <c r="E237" s="10">
        <v>7.7793632339921599</v>
      </c>
      <c r="F237" s="4">
        <v>7.2890498111200299E-15</v>
      </c>
      <c r="G237" s="4">
        <v>2.6156354921358699E-13</v>
      </c>
      <c r="H237" s="10" t="s">
        <v>626</v>
      </c>
      <c r="I237" s="10" t="s">
        <v>18</v>
      </c>
    </row>
    <row r="238" spans="1:9" x14ac:dyDescent="0.2">
      <c r="A238" s="10" t="s">
        <v>627</v>
      </c>
      <c r="B238" s="10">
        <v>1564.97218726595</v>
      </c>
      <c r="C238" s="10">
        <v>2.1638639173697101</v>
      </c>
      <c r="D238" s="10">
        <v>0.30335548955293801</v>
      </c>
      <c r="E238" s="10">
        <v>7.1330962909510802</v>
      </c>
      <c r="F238" s="4">
        <v>9.8135851283023199E-13</v>
      </c>
      <c r="G238" s="4">
        <v>2.8212655303136501E-11</v>
      </c>
      <c r="H238" s="10" t="s">
        <v>628</v>
      </c>
      <c r="I238" s="10" t="s">
        <v>18</v>
      </c>
    </row>
    <row r="239" spans="1:9" x14ac:dyDescent="0.2">
      <c r="A239" s="10" t="s">
        <v>9315</v>
      </c>
      <c r="B239" s="10">
        <v>103.358973875876</v>
      </c>
      <c r="C239" s="10">
        <v>-1.19719317819673</v>
      </c>
      <c r="D239" s="10">
        <v>0.42281641261339298</v>
      </c>
      <c r="E239" s="10">
        <v>-2.8314728153455202</v>
      </c>
      <c r="F239" s="10">
        <v>4.6334172036586897E-3</v>
      </c>
      <c r="G239" s="10">
        <v>2.2272809049882301E-2</v>
      </c>
      <c r="H239" s="10" t="s">
        <v>9316</v>
      </c>
      <c r="I239" s="10" t="s">
        <v>18</v>
      </c>
    </row>
    <row r="240" spans="1:9" x14ac:dyDescent="0.2">
      <c r="A240" s="10" t="s">
        <v>9317</v>
      </c>
      <c r="B240" s="10">
        <v>333.38027167464702</v>
      </c>
      <c r="C240" s="10">
        <v>1.3677758890723499</v>
      </c>
      <c r="D240" s="10">
        <v>0.32458054887683702</v>
      </c>
      <c r="E240" s="10">
        <v>4.2139798389193102</v>
      </c>
      <c r="F240" s="4">
        <v>2.50909693107611E-5</v>
      </c>
      <c r="G240" s="10">
        <v>2.36037147723334E-4</v>
      </c>
      <c r="H240" s="10" t="s">
        <v>9318</v>
      </c>
      <c r="I240" s="10" t="s">
        <v>18</v>
      </c>
    </row>
    <row r="241" spans="1:9" x14ac:dyDescent="0.2">
      <c r="A241" s="10" t="s">
        <v>9319</v>
      </c>
      <c r="B241" s="10">
        <v>1037.9558160885199</v>
      </c>
      <c r="C241" s="10">
        <v>1.2664612549624199</v>
      </c>
      <c r="D241" s="10">
        <v>0.28980942500052698</v>
      </c>
      <c r="E241" s="10">
        <v>4.3699795303762796</v>
      </c>
      <c r="F241" s="4">
        <v>1.2425818397045799E-5</v>
      </c>
      <c r="G241" s="10">
        <v>1.24282887386754E-4</v>
      </c>
      <c r="H241" s="10" t="s">
        <v>9320</v>
      </c>
      <c r="I241" s="10" t="s">
        <v>18</v>
      </c>
    </row>
    <row r="242" spans="1:9" x14ac:dyDescent="0.2">
      <c r="A242" s="10" t="s">
        <v>9321</v>
      </c>
      <c r="B242" s="10">
        <v>1013.76295117222</v>
      </c>
      <c r="C242" s="10">
        <v>1.3685924764334301</v>
      </c>
      <c r="D242" s="10">
        <v>0.28915205024530599</v>
      </c>
      <c r="E242" s="10">
        <v>4.7331238885298204</v>
      </c>
      <c r="F242" s="4">
        <v>2.2109044798146502E-6</v>
      </c>
      <c r="G242" s="4">
        <v>2.5855556573564599E-5</v>
      </c>
      <c r="H242" s="10" t="s">
        <v>9322</v>
      </c>
      <c r="I242" s="10" t="s">
        <v>18</v>
      </c>
    </row>
    <row r="243" spans="1:9" x14ac:dyDescent="0.2">
      <c r="A243" s="10" t="s">
        <v>637</v>
      </c>
      <c r="B243" s="10">
        <v>27.5910506582062</v>
      </c>
      <c r="C243" s="10">
        <v>1.67032078996238</v>
      </c>
      <c r="D243" s="10">
        <v>0.66601317596854104</v>
      </c>
      <c r="E243" s="10">
        <v>2.5079395577021999</v>
      </c>
      <c r="F243" s="10">
        <v>1.2143743750362101E-2</v>
      </c>
      <c r="G243" s="10">
        <v>4.94938227544326E-2</v>
      </c>
      <c r="H243" s="10" t="s">
        <v>638</v>
      </c>
      <c r="I243" s="10" t="s">
        <v>18</v>
      </c>
    </row>
    <row r="244" spans="1:9" x14ac:dyDescent="0.2">
      <c r="A244" s="10" t="s">
        <v>643</v>
      </c>
      <c r="B244" s="10">
        <v>1164.4917938666399</v>
      </c>
      <c r="C244" s="10">
        <v>-1.09831413199948</v>
      </c>
      <c r="D244" s="10">
        <v>0.31324384672998301</v>
      </c>
      <c r="E244" s="10">
        <v>-3.5062592400936499</v>
      </c>
      <c r="F244" s="10">
        <v>4.5445236326592601E-4</v>
      </c>
      <c r="G244" s="10">
        <v>3.07718686351396E-3</v>
      </c>
      <c r="H244" s="10" t="s">
        <v>644</v>
      </c>
      <c r="I244" s="10" t="s">
        <v>18</v>
      </c>
    </row>
    <row r="245" spans="1:9" x14ac:dyDescent="0.2">
      <c r="A245" s="10" t="s">
        <v>9323</v>
      </c>
      <c r="B245" s="10">
        <v>369.61603170636101</v>
      </c>
      <c r="C245" s="10">
        <v>-1.0170360994135099</v>
      </c>
      <c r="D245" s="10">
        <v>0.377917612568405</v>
      </c>
      <c r="E245" s="10">
        <v>-2.6911582461095702</v>
      </c>
      <c r="F245" s="10">
        <v>7.1204410702498302E-3</v>
      </c>
      <c r="G245" s="10">
        <v>3.17410411345267E-2</v>
      </c>
      <c r="H245" s="10" t="s">
        <v>9324</v>
      </c>
      <c r="I245" s="10" t="s">
        <v>18</v>
      </c>
    </row>
    <row r="246" spans="1:9" x14ac:dyDescent="0.2">
      <c r="A246" s="10" t="s">
        <v>9325</v>
      </c>
      <c r="B246" s="10">
        <v>20.384368905121999</v>
      </c>
      <c r="C246" s="10">
        <v>-3.3496224085057298</v>
      </c>
      <c r="D246" s="10">
        <v>0.898973597952335</v>
      </c>
      <c r="E246" s="10">
        <v>-3.7260520399436001</v>
      </c>
      <c r="F246" s="10">
        <v>1.94502264494682E-4</v>
      </c>
      <c r="G246" s="10">
        <v>1.4583321798401501E-3</v>
      </c>
      <c r="H246" s="10" t="s">
        <v>9326</v>
      </c>
      <c r="I246" s="10" t="s">
        <v>18</v>
      </c>
    </row>
    <row r="247" spans="1:9" x14ac:dyDescent="0.2">
      <c r="A247" s="10" t="s">
        <v>649</v>
      </c>
      <c r="B247" s="10">
        <v>251.562220809172</v>
      </c>
      <c r="C247" s="10">
        <v>-1.2571180009559</v>
      </c>
      <c r="D247" s="10">
        <v>0.38045883872334002</v>
      </c>
      <c r="E247" s="10">
        <v>-3.3042155234828101</v>
      </c>
      <c r="F247" s="10">
        <v>9.5242581770370002E-4</v>
      </c>
      <c r="G247" s="10">
        <v>5.8563362122553402E-3</v>
      </c>
      <c r="H247" s="10" t="s">
        <v>650</v>
      </c>
      <c r="I247" s="10" t="s">
        <v>18</v>
      </c>
    </row>
    <row r="248" spans="1:9" x14ac:dyDescent="0.2">
      <c r="A248" s="10" t="s">
        <v>651</v>
      </c>
      <c r="B248" s="10">
        <v>170.79905793535599</v>
      </c>
      <c r="C248" s="10">
        <v>-2.2403430418725399</v>
      </c>
      <c r="D248" s="10">
        <v>0.40066088766417302</v>
      </c>
      <c r="E248" s="10">
        <v>-5.5916190245910702</v>
      </c>
      <c r="F248" s="4">
        <v>2.2496199951194298E-8</v>
      </c>
      <c r="G248" s="4">
        <v>3.74426048036557E-7</v>
      </c>
      <c r="H248" s="10" t="s">
        <v>652</v>
      </c>
      <c r="I248" s="10" t="s">
        <v>18</v>
      </c>
    </row>
    <row r="249" spans="1:9" x14ac:dyDescent="0.2">
      <c r="A249" s="10" t="s">
        <v>653</v>
      </c>
      <c r="B249" s="10">
        <v>3336.9744430098299</v>
      </c>
      <c r="C249" s="10">
        <v>-1.6035366580124699</v>
      </c>
      <c r="D249" s="10">
        <v>0.28446007967477099</v>
      </c>
      <c r="E249" s="10">
        <v>-5.6371237041268696</v>
      </c>
      <c r="F249" s="4">
        <v>1.7291390397063801E-8</v>
      </c>
      <c r="G249" s="4">
        <v>2.9458846979423002E-7</v>
      </c>
      <c r="H249" s="10" t="s">
        <v>654</v>
      </c>
      <c r="I249" s="10" t="s">
        <v>18</v>
      </c>
    </row>
    <row r="250" spans="1:9" x14ac:dyDescent="0.2">
      <c r="A250" s="10" t="s">
        <v>657</v>
      </c>
      <c r="B250" s="10">
        <v>1330.1646478176301</v>
      </c>
      <c r="C250" s="10">
        <v>-1.27290718472918</v>
      </c>
      <c r="D250" s="10">
        <v>0.327586652882286</v>
      </c>
      <c r="E250" s="10">
        <v>-3.8857113790487201</v>
      </c>
      <c r="F250" s="10">
        <v>1.02030669538825E-4</v>
      </c>
      <c r="G250" s="10">
        <v>8.2633016492245298E-4</v>
      </c>
      <c r="H250" s="10" t="s">
        <v>658</v>
      </c>
      <c r="I250" s="10" t="s">
        <v>18</v>
      </c>
    </row>
    <row r="251" spans="1:9" x14ac:dyDescent="0.2">
      <c r="A251" s="10" t="s">
        <v>9327</v>
      </c>
      <c r="B251" s="10">
        <v>9414.8562287201294</v>
      </c>
      <c r="C251" s="10">
        <v>1.2077836178533099</v>
      </c>
      <c r="D251" s="10">
        <v>0.29168436015996202</v>
      </c>
      <c r="E251" s="10">
        <v>4.1407212138180904</v>
      </c>
      <c r="F251" s="4">
        <v>3.46215539052099E-5</v>
      </c>
      <c r="G251" s="10">
        <v>3.1588871544633798E-4</v>
      </c>
      <c r="H251" s="10" t="s">
        <v>9328</v>
      </c>
      <c r="I251" s="10" t="s">
        <v>18</v>
      </c>
    </row>
    <row r="252" spans="1:9" x14ac:dyDescent="0.2">
      <c r="A252" s="10" t="s">
        <v>9329</v>
      </c>
      <c r="B252" s="10">
        <v>10055.1297172628</v>
      </c>
      <c r="C252" s="10">
        <v>-1.4145232795153699</v>
      </c>
      <c r="D252" s="10">
        <v>0.23998192143394301</v>
      </c>
      <c r="E252" s="10">
        <v>-5.8942909993523296</v>
      </c>
      <c r="F252" s="4">
        <v>3.7629353108114297E-9</v>
      </c>
      <c r="G252" s="4">
        <v>7.0744871258192501E-8</v>
      </c>
      <c r="H252" s="10" t="s">
        <v>9330</v>
      </c>
      <c r="I252" s="10" t="s">
        <v>18</v>
      </c>
    </row>
    <row r="253" spans="1:9" x14ac:dyDescent="0.2">
      <c r="A253" s="10" t="s">
        <v>669</v>
      </c>
      <c r="B253" s="10">
        <v>610.07530963047498</v>
      </c>
      <c r="C253" s="10">
        <v>3.0026944048657001</v>
      </c>
      <c r="D253" s="10">
        <v>0.35416350672640401</v>
      </c>
      <c r="E253" s="10">
        <v>8.4782716113812295</v>
      </c>
      <c r="F253" s="4">
        <v>2.2856388623159699E-17</v>
      </c>
      <c r="G253" s="4">
        <v>1.03223062085383E-15</v>
      </c>
      <c r="H253" s="10" t="s">
        <v>670</v>
      </c>
      <c r="I253" s="10" t="s">
        <v>18</v>
      </c>
    </row>
    <row r="254" spans="1:9" x14ac:dyDescent="0.2">
      <c r="A254" s="10" t="s">
        <v>671</v>
      </c>
      <c r="B254" s="10">
        <v>416.32595351265297</v>
      </c>
      <c r="C254" s="10">
        <v>5.8684885091725496</v>
      </c>
      <c r="D254" s="10">
        <v>0.40167355755801398</v>
      </c>
      <c r="E254" s="10">
        <v>14.610094189047899</v>
      </c>
      <c r="F254" s="4">
        <v>2.4218292482422699E-48</v>
      </c>
      <c r="G254" s="4">
        <v>6.0317935385677401E-46</v>
      </c>
      <c r="H254" s="10" t="s">
        <v>672</v>
      </c>
      <c r="I254" s="10" t="s">
        <v>18</v>
      </c>
    </row>
    <row r="255" spans="1:9" x14ac:dyDescent="0.2">
      <c r="A255" s="10" t="s">
        <v>677</v>
      </c>
      <c r="B255" s="10">
        <v>28.430669072768598</v>
      </c>
      <c r="C255" s="10">
        <v>4.2599999794314298</v>
      </c>
      <c r="D255" s="10">
        <v>0.87989207500433297</v>
      </c>
      <c r="E255" s="10">
        <v>4.8415028393231703</v>
      </c>
      <c r="F255" s="4">
        <v>1.2886083426752801E-6</v>
      </c>
      <c r="G255" s="4">
        <v>1.56745371663427E-5</v>
      </c>
      <c r="H255" s="10" t="s">
        <v>678</v>
      </c>
      <c r="I255" s="10" t="s">
        <v>18</v>
      </c>
    </row>
    <row r="256" spans="1:9" x14ac:dyDescent="0.2">
      <c r="A256" s="10" t="s">
        <v>683</v>
      </c>
      <c r="B256" s="10">
        <v>649.051138866374</v>
      </c>
      <c r="C256" s="10">
        <v>-1.61717209840335</v>
      </c>
      <c r="D256" s="10">
        <v>0.30850426856275198</v>
      </c>
      <c r="E256" s="10">
        <v>-5.2419764106907598</v>
      </c>
      <c r="F256" s="4">
        <v>1.5886568405893799E-7</v>
      </c>
      <c r="G256" s="4">
        <v>2.3113165312334301E-6</v>
      </c>
      <c r="H256" s="10" t="s">
        <v>684</v>
      </c>
      <c r="I256" s="10" t="s">
        <v>18</v>
      </c>
    </row>
    <row r="257" spans="1:9" x14ac:dyDescent="0.2">
      <c r="A257" s="10" t="s">
        <v>685</v>
      </c>
      <c r="B257" s="10">
        <v>75.110469768520403</v>
      </c>
      <c r="C257" s="10">
        <v>-3.6856821587435098</v>
      </c>
      <c r="D257" s="10">
        <v>0.52965861605603104</v>
      </c>
      <c r="E257" s="10">
        <v>-6.9585994582472903</v>
      </c>
      <c r="F257" s="4">
        <v>3.4367207850662601E-12</v>
      </c>
      <c r="G257" s="4">
        <v>9.35613759181187E-11</v>
      </c>
      <c r="H257" s="10" t="s">
        <v>686</v>
      </c>
      <c r="I257" s="10" t="s">
        <v>18</v>
      </c>
    </row>
    <row r="258" spans="1:9" x14ac:dyDescent="0.2">
      <c r="A258" s="10" t="s">
        <v>9331</v>
      </c>
      <c r="B258" s="10">
        <v>149.145388415019</v>
      </c>
      <c r="C258" s="10">
        <v>-1.87949843872662</v>
      </c>
      <c r="D258" s="10">
        <v>0.35895910549612298</v>
      </c>
      <c r="E258" s="10">
        <v>-5.2359681366180704</v>
      </c>
      <c r="F258" s="4">
        <v>1.6412226746947199E-7</v>
      </c>
      <c r="G258" s="4">
        <v>2.3794893475844098E-6</v>
      </c>
      <c r="H258" s="10" t="s">
        <v>9332</v>
      </c>
      <c r="I258" s="10" t="s">
        <v>18</v>
      </c>
    </row>
    <row r="259" spans="1:9" x14ac:dyDescent="0.2">
      <c r="A259" s="10" t="s">
        <v>687</v>
      </c>
      <c r="B259" s="10">
        <v>10.9065577842347</v>
      </c>
      <c r="C259" s="10">
        <v>4.4632696628485</v>
      </c>
      <c r="D259" s="10">
        <v>1.3893328506140901</v>
      </c>
      <c r="E259" s="10">
        <v>3.2125272650651699</v>
      </c>
      <c r="F259" s="10">
        <v>1.3157265930708901E-3</v>
      </c>
      <c r="G259" s="10">
        <v>7.7077555772469301E-3</v>
      </c>
      <c r="H259" s="10" t="s">
        <v>688</v>
      </c>
      <c r="I259" s="10" t="s">
        <v>18</v>
      </c>
    </row>
    <row r="260" spans="1:9" x14ac:dyDescent="0.2">
      <c r="A260" s="10" t="s">
        <v>9333</v>
      </c>
      <c r="B260" s="10">
        <v>1553.7139741348701</v>
      </c>
      <c r="C260" s="10">
        <v>1.50706253025029</v>
      </c>
      <c r="D260" s="10">
        <v>0.26305383609590599</v>
      </c>
      <c r="E260" s="10">
        <v>5.7291030331176396</v>
      </c>
      <c r="F260" s="4">
        <v>1.00963060549049E-8</v>
      </c>
      <c r="G260" s="4">
        <v>1.7760320196582701E-7</v>
      </c>
      <c r="H260" s="10" t="s">
        <v>9334</v>
      </c>
      <c r="I260" s="10" t="s">
        <v>18</v>
      </c>
    </row>
    <row r="261" spans="1:9" x14ac:dyDescent="0.2">
      <c r="A261" s="10" t="s">
        <v>689</v>
      </c>
      <c r="B261" s="10">
        <v>72.021360836414701</v>
      </c>
      <c r="C261" s="10">
        <v>5.8147191802707203</v>
      </c>
      <c r="D261" s="10">
        <v>1.6146230553770999</v>
      </c>
      <c r="E261" s="10">
        <v>3.60128586105979</v>
      </c>
      <c r="F261" s="10">
        <v>3.1664717567720101E-4</v>
      </c>
      <c r="G261" s="10">
        <v>2.2500733627570601E-3</v>
      </c>
      <c r="H261" s="10" t="s">
        <v>690</v>
      </c>
      <c r="I261" s="10" t="s">
        <v>18</v>
      </c>
    </row>
    <row r="262" spans="1:9" x14ac:dyDescent="0.2">
      <c r="A262" s="10" t="s">
        <v>691</v>
      </c>
      <c r="B262" s="10">
        <v>2912.0675580145999</v>
      </c>
      <c r="C262" s="10">
        <v>8.6749608427282006</v>
      </c>
      <c r="D262" s="10">
        <v>0.366399498513582</v>
      </c>
      <c r="E262" s="10">
        <v>23.6762355787084</v>
      </c>
      <c r="F262" s="4">
        <v>6.3372614807667199E-124</v>
      </c>
      <c r="G262" s="4">
        <v>2.6568968758114499E-120</v>
      </c>
      <c r="H262" s="10" t="s">
        <v>692</v>
      </c>
      <c r="I262" s="10" t="s">
        <v>18</v>
      </c>
    </row>
    <row r="263" spans="1:9" x14ac:dyDescent="0.2">
      <c r="A263" s="10" t="s">
        <v>695</v>
      </c>
      <c r="B263" s="10">
        <v>366.95169199937499</v>
      </c>
      <c r="C263" s="10">
        <v>-2.1522976105346099</v>
      </c>
      <c r="D263" s="10">
        <v>0.33482300246179603</v>
      </c>
      <c r="E263" s="10">
        <v>-6.4281653133440102</v>
      </c>
      <c r="F263" s="4">
        <v>1.29153243362052E-10</v>
      </c>
      <c r="G263" s="4">
        <v>2.9242572788230501E-9</v>
      </c>
      <c r="H263" s="10" t="s">
        <v>696</v>
      </c>
      <c r="I263" s="10" t="s">
        <v>18</v>
      </c>
    </row>
    <row r="264" spans="1:9" x14ac:dyDescent="0.2">
      <c r="A264" s="10" t="s">
        <v>9335</v>
      </c>
      <c r="B264" s="10">
        <v>24.040916378280599</v>
      </c>
      <c r="C264" s="10">
        <v>-2.17318731111463</v>
      </c>
      <c r="D264" s="10">
        <v>0.809470228036965</v>
      </c>
      <c r="E264" s="10">
        <v>-2.6847031995046899</v>
      </c>
      <c r="F264" s="10">
        <v>7.2594240103789499E-3</v>
      </c>
      <c r="G264" s="10">
        <v>3.2251997700650403E-2</v>
      </c>
      <c r="H264" s="10" t="s">
        <v>9336</v>
      </c>
      <c r="I264" s="10" t="s">
        <v>18</v>
      </c>
    </row>
    <row r="265" spans="1:9" x14ac:dyDescent="0.2">
      <c r="A265" s="10" t="s">
        <v>697</v>
      </c>
      <c r="B265" s="10">
        <v>41879.540224566103</v>
      </c>
      <c r="C265" s="10">
        <v>-1.8491343610520401</v>
      </c>
      <c r="D265" s="10">
        <v>0.28281348729216899</v>
      </c>
      <c r="E265" s="10">
        <v>-6.5383528160442204</v>
      </c>
      <c r="F265" s="4">
        <v>6.2200054895973703E-11</v>
      </c>
      <c r="G265" s="4">
        <v>1.46365049664005E-9</v>
      </c>
      <c r="H265" s="10" t="s">
        <v>698</v>
      </c>
      <c r="I265" s="10" t="s">
        <v>18</v>
      </c>
    </row>
    <row r="266" spans="1:9" x14ac:dyDescent="0.2">
      <c r="A266" s="10" t="s">
        <v>701</v>
      </c>
      <c r="B266" s="10">
        <v>370.61645301462602</v>
      </c>
      <c r="C266" s="10">
        <v>-1.68047327982136</v>
      </c>
      <c r="D266" s="10">
        <v>0.31665622700068102</v>
      </c>
      <c r="E266" s="10">
        <v>-5.3069326813451196</v>
      </c>
      <c r="F266" s="4">
        <v>1.1148532741582701E-7</v>
      </c>
      <c r="G266" s="4">
        <v>1.6633531501453899E-6</v>
      </c>
      <c r="H266" s="10" t="s">
        <v>702</v>
      </c>
      <c r="I266" s="10" t="s">
        <v>18</v>
      </c>
    </row>
    <row r="267" spans="1:9" x14ac:dyDescent="0.2">
      <c r="A267" s="10" t="s">
        <v>703</v>
      </c>
      <c r="B267" s="10">
        <v>160.80498191126901</v>
      </c>
      <c r="C267" s="10">
        <v>10.848386546088101</v>
      </c>
      <c r="D267" s="10">
        <v>1.4856622009663201</v>
      </c>
      <c r="E267" s="10">
        <v>7.3020546252250096</v>
      </c>
      <c r="F267" s="4">
        <v>2.8340615576268102E-13</v>
      </c>
      <c r="G267" s="4">
        <v>8.8340543348330194E-12</v>
      </c>
      <c r="H267" s="10" t="s">
        <v>704</v>
      </c>
      <c r="I267" s="10" t="s">
        <v>18</v>
      </c>
    </row>
    <row r="268" spans="1:9" x14ac:dyDescent="0.2">
      <c r="A268" s="10" t="s">
        <v>9337</v>
      </c>
      <c r="B268" s="10">
        <v>759.07578025454404</v>
      </c>
      <c r="C268" s="10">
        <v>1.3031030392612699</v>
      </c>
      <c r="D268" s="10">
        <v>0.28214358967257802</v>
      </c>
      <c r="E268" s="10">
        <v>4.6185810592879104</v>
      </c>
      <c r="F268" s="4">
        <v>3.8637304413948602E-6</v>
      </c>
      <c r="G268" s="4">
        <v>4.3350641950619002E-5</v>
      </c>
      <c r="H268" s="10" t="s">
        <v>9338</v>
      </c>
      <c r="I268" s="10" t="s">
        <v>18</v>
      </c>
    </row>
    <row r="269" spans="1:9" x14ac:dyDescent="0.2">
      <c r="A269" s="10" t="s">
        <v>9339</v>
      </c>
      <c r="B269" s="10">
        <v>895.63081216321996</v>
      </c>
      <c r="C269" s="10">
        <v>1.2195117985285899</v>
      </c>
      <c r="D269" s="10">
        <v>0.26931135107110599</v>
      </c>
      <c r="E269" s="10">
        <v>4.5282599254667399</v>
      </c>
      <c r="F269" s="4">
        <v>5.9471398716433102E-6</v>
      </c>
      <c r="G269" s="4">
        <v>6.4261298741919101E-5</v>
      </c>
      <c r="H269" s="10" t="s">
        <v>9340</v>
      </c>
      <c r="I269" s="10" t="s">
        <v>18</v>
      </c>
    </row>
    <row r="270" spans="1:9" x14ac:dyDescent="0.2">
      <c r="A270" s="10" t="s">
        <v>9341</v>
      </c>
      <c r="B270" s="10">
        <v>1349.9691191818299</v>
      </c>
      <c r="C270" s="10">
        <v>-1.2019682512318699</v>
      </c>
      <c r="D270" s="10">
        <v>0.25869662686314499</v>
      </c>
      <c r="E270" s="10">
        <v>-4.6462463225998203</v>
      </c>
      <c r="F270" s="4">
        <v>3.3802935227253101E-6</v>
      </c>
      <c r="G270" s="4">
        <v>3.8302379983853702E-5</v>
      </c>
      <c r="H270" s="10" t="s">
        <v>9342</v>
      </c>
      <c r="I270" s="10" t="s">
        <v>18</v>
      </c>
    </row>
    <row r="271" spans="1:9" x14ac:dyDescent="0.2">
      <c r="A271" s="10" t="s">
        <v>707</v>
      </c>
      <c r="B271" s="10">
        <v>1390.5721994713499</v>
      </c>
      <c r="C271" s="10">
        <v>-1.0345668870592599</v>
      </c>
      <c r="D271" s="10">
        <v>0.25834950602972601</v>
      </c>
      <c r="E271" s="10">
        <v>-4.0045243474946899</v>
      </c>
      <c r="F271" s="4">
        <v>6.2142390912863903E-5</v>
      </c>
      <c r="G271" s="10">
        <v>5.3369472291331203E-4</v>
      </c>
      <c r="H271" s="10" t="s">
        <v>708</v>
      </c>
      <c r="I271" s="10" t="s">
        <v>18</v>
      </c>
    </row>
    <row r="272" spans="1:9" x14ac:dyDescent="0.2">
      <c r="A272" s="10" t="s">
        <v>711</v>
      </c>
      <c r="B272" s="10">
        <v>18.885423160007502</v>
      </c>
      <c r="C272" s="10">
        <v>3.8896165775907998</v>
      </c>
      <c r="D272" s="10">
        <v>0.97103828039179296</v>
      </c>
      <c r="E272" s="10">
        <v>4.0056264064290303</v>
      </c>
      <c r="F272" s="4">
        <v>6.1853344935227698E-5</v>
      </c>
      <c r="G272" s="10">
        <v>5.3157529615498905E-4</v>
      </c>
      <c r="H272" s="10" t="s">
        <v>712</v>
      </c>
      <c r="I272" s="10" t="s">
        <v>18</v>
      </c>
    </row>
    <row r="273" spans="1:9" x14ac:dyDescent="0.2">
      <c r="A273" s="10" t="s">
        <v>719</v>
      </c>
      <c r="B273" s="10">
        <v>994.22375904800197</v>
      </c>
      <c r="C273" s="10">
        <v>-1.72049823202276</v>
      </c>
      <c r="D273" s="10">
        <v>0.256206486956152</v>
      </c>
      <c r="E273" s="10">
        <v>-6.7152797435500098</v>
      </c>
      <c r="F273" s="4">
        <v>1.8770576001602701E-11</v>
      </c>
      <c r="G273" s="4">
        <v>4.6796217970298798E-10</v>
      </c>
      <c r="H273" s="10" t="s">
        <v>720</v>
      </c>
      <c r="I273" s="10" t="s">
        <v>18</v>
      </c>
    </row>
    <row r="274" spans="1:9" x14ac:dyDescent="0.2">
      <c r="A274" s="10" t="s">
        <v>9343</v>
      </c>
      <c r="B274" s="10">
        <v>404.78496338685301</v>
      </c>
      <c r="C274" s="10">
        <v>-2.6359459834026602</v>
      </c>
      <c r="D274" s="10">
        <v>0.29723050054771799</v>
      </c>
      <c r="E274" s="10">
        <v>-8.8683563044347906</v>
      </c>
      <c r="F274" s="4">
        <v>7.4233477879364402E-19</v>
      </c>
      <c r="G274" s="4">
        <v>3.6904014546549597E-17</v>
      </c>
      <c r="H274" s="10" t="s">
        <v>9344</v>
      </c>
      <c r="I274" s="10" t="s">
        <v>18</v>
      </c>
    </row>
    <row r="275" spans="1:9" x14ac:dyDescent="0.2">
      <c r="A275" s="10" t="s">
        <v>721</v>
      </c>
      <c r="B275" s="10">
        <v>1879.05411406608</v>
      </c>
      <c r="C275" s="10">
        <v>-1.2803782366935701</v>
      </c>
      <c r="D275" s="10">
        <v>0.24991030203585099</v>
      </c>
      <c r="E275" s="10">
        <v>-5.12335116345022</v>
      </c>
      <c r="F275" s="4">
        <v>3.0015258997849502E-7</v>
      </c>
      <c r="G275" s="4">
        <v>4.1349060245942197E-6</v>
      </c>
      <c r="H275" s="10" t="s">
        <v>722</v>
      </c>
      <c r="I275" s="10" t="s">
        <v>18</v>
      </c>
    </row>
    <row r="276" spans="1:9" x14ac:dyDescent="0.2">
      <c r="A276" s="10" t="s">
        <v>9345</v>
      </c>
      <c r="B276" s="10">
        <v>1422.3143458204099</v>
      </c>
      <c r="C276" s="10">
        <v>-1.0038530798331</v>
      </c>
      <c r="D276" s="10">
        <v>0.26808611093915902</v>
      </c>
      <c r="E276" s="10">
        <v>-3.74451729825316</v>
      </c>
      <c r="F276" s="10">
        <v>1.8074092483285001E-4</v>
      </c>
      <c r="G276" s="10">
        <v>1.3632797493764201E-3</v>
      </c>
      <c r="H276" s="10" t="s">
        <v>9346</v>
      </c>
      <c r="I276" s="10" t="s">
        <v>18</v>
      </c>
    </row>
    <row r="277" spans="1:9" x14ac:dyDescent="0.2">
      <c r="A277" s="10" t="s">
        <v>729</v>
      </c>
      <c r="B277" s="10">
        <v>807.58406243916102</v>
      </c>
      <c r="C277" s="10">
        <v>2.3191818535610702</v>
      </c>
      <c r="D277" s="10">
        <v>0.29503834057580902</v>
      </c>
      <c r="E277" s="10">
        <v>7.8606117734897003</v>
      </c>
      <c r="F277" s="4">
        <v>3.8226184189182201E-15</v>
      </c>
      <c r="G277" s="4">
        <v>1.4037659317939801E-13</v>
      </c>
      <c r="H277" s="10" t="s">
        <v>730</v>
      </c>
      <c r="I277" s="10" t="s">
        <v>18</v>
      </c>
    </row>
    <row r="278" spans="1:9" x14ac:dyDescent="0.2">
      <c r="A278" s="10" t="s">
        <v>731</v>
      </c>
      <c r="B278" s="10">
        <v>548.83719340642199</v>
      </c>
      <c r="C278" s="10">
        <v>-1.9300109326651</v>
      </c>
      <c r="D278" s="10">
        <v>0.287368257774403</v>
      </c>
      <c r="E278" s="10">
        <v>-6.7161590762061403</v>
      </c>
      <c r="F278" s="4">
        <v>1.8657710643903299E-11</v>
      </c>
      <c r="G278" s="4">
        <v>4.6560983258669498E-10</v>
      </c>
      <c r="H278" s="10" t="s">
        <v>732</v>
      </c>
      <c r="I278" s="10" t="s">
        <v>18</v>
      </c>
    </row>
    <row r="279" spans="1:9" x14ac:dyDescent="0.2">
      <c r="A279" s="10" t="s">
        <v>9347</v>
      </c>
      <c r="B279" s="10">
        <v>2341.6121409709699</v>
      </c>
      <c r="C279" s="10">
        <v>-1.25634348253461</v>
      </c>
      <c r="D279" s="10">
        <v>0.2562397860499</v>
      </c>
      <c r="E279" s="10">
        <v>-4.9029992644855902</v>
      </c>
      <c r="F279" s="4">
        <v>9.4384337889772997E-7</v>
      </c>
      <c r="G279" s="4">
        <v>1.18652574693515E-5</v>
      </c>
      <c r="H279" s="10" t="s">
        <v>9348</v>
      </c>
      <c r="I279" s="10" t="s">
        <v>18</v>
      </c>
    </row>
    <row r="280" spans="1:9" x14ac:dyDescent="0.2">
      <c r="A280" s="10" t="s">
        <v>739</v>
      </c>
      <c r="B280" s="10">
        <v>1660.35761562069</v>
      </c>
      <c r="C280" s="10">
        <v>-1.2925120892367099</v>
      </c>
      <c r="D280" s="10">
        <v>0.265972153646097</v>
      </c>
      <c r="E280" s="10">
        <v>-4.8595767320684597</v>
      </c>
      <c r="F280" s="4">
        <v>1.1763698272551901E-6</v>
      </c>
      <c r="G280" s="4">
        <v>1.44631392984381E-5</v>
      </c>
      <c r="H280" s="10" t="s">
        <v>740</v>
      </c>
      <c r="I280" s="10" t="s">
        <v>18</v>
      </c>
    </row>
    <row r="281" spans="1:9" x14ac:dyDescent="0.2">
      <c r="A281" s="10" t="s">
        <v>741</v>
      </c>
      <c r="B281" s="10">
        <v>261.70227321184302</v>
      </c>
      <c r="C281" s="10">
        <v>-3.4834739650209401</v>
      </c>
      <c r="D281" s="10">
        <v>0.44218342455787202</v>
      </c>
      <c r="E281" s="10">
        <v>-7.8778935879470797</v>
      </c>
      <c r="F281" s="4">
        <v>3.3294607362706902E-15</v>
      </c>
      <c r="G281" s="4">
        <v>1.2298470605123201E-13</v>
      </c>
      <c r="H281" s="10" t="s">
        <v>742</v>
      </c>
      <c r="I281" s="10" t="s">
        <v>18</v>
      </c>
    </row>
    <row r="282" spans="1:9" x14ac:dyDescent="0.2">
      <c r="A282" s="10" t="s">
        <v>9349</v>
      </c>
      <c r="B282" s="10">
        <v>2429.8135116511799</v>
      </c>
      <c r="C282" s="10">
        <v>-1.03543487210666</v>
      </c>
      <c r="D282" s="10">
        <v>0.28353845841953701</v>
      </c>
      <c r="E282" s="10">
        <v>-3.6518321989836799</v>
      </c>
      <c r="F282" s="10">
        <v>2.6037600381393201E-4</v>
      </c>
      <c r="G282" s="10">
        <v>1.8869946343818601E-3</v>
      </c>
      <c r="H282" s="10" t="s">
        <v>9350</v>
      </c>
      <c r="I282" s="10" t="s">
        <v>18</v>
      </c>
    </row>
    <row r="283" spans="1:9" x14ac:dyDescent="0.2">
      <c r="A283" s="10" t="s">
        <v>9351</v>
      </c>
      <c r="B283" s="10">
        <v>1271.7608716576999</v>
      </c>
      <c r="C283" s="10">
        <v>1.80992785793778</v>
      </c>
      <c r="D283" s="10">
        <v>0.27526060654316198</v>
      </c>
      <c r="E283" s="10">
        <v>6.5753246738340403</v>
      </c>
      <c r="F283" s="4">
        <v>4.8547117469708998E-11</v>
      </c>
      <c r="G283" s="4">
        <v>1.1564419885895199E-9</v>
      </c>
      <c r="H283" s="10" t="s">
        <v>9352</v>
      </c>
      <c r="I283" s="10" t="s">
        <v>18</v>
      </c>
    </row>
    <row r="284" spans="1:9" x14ac:dyDescent="0.2">
      <c r="A284" s="10" t="s">
        <v>749</v>
      </c>
      <c r="B284" s="10">
        <v>2836.15790359021</v>
      </c>
      <c r="C284" s="10">
        <v>1.20692502932135</v>
      </c>
      <c r="D284" s="10">
        <v>0.24290048103718201</v>
      </c>
      <c r="E284" s="10">
        <v>4.9688046074169998</v>
      </c>
      <c r="F284" s="4">
        <v>6.7366909873948997E-7</v>
      </c>
      <c r="G284" s="4">
        <v>8.7171533841521894E-6</v>
      </c>
      <c r="H284" s="10" t="s">
        <v>750</v>
      </c>
      <c r="I284" s="10" t="s">
        <v>18</v>
      </c>
    </row>
    <row r="285" spans="1:9" x14ac:dyDescent="0.2">
      <c r="A285" s="10" t="s">
        <v>751</v>
      </c>
      <c r="B285" s="10">
        <v>3217.92789115095</v>
      </c>
      <c r="C285" s="10">
        <v>4.6591743507040402</v>
      </c>
      <c r="D285" s="10">
        <v>0.248132925740642</v>
      </c>
      <c r="E285" s="10">
        <v>18.776929086686302</v>
      </c>
      <c r="F285" s="4">
        <v>1.16633638558268E-78</v>
      </c>
      <c r="G285" s="4">
        <v>8.6291740527447704E-76</v>
      </c>
      <c r="H285" s="10" t="s">
        <v>752</v>
      </c>
      <c r="I285" s="10" t="s">
        <v>18</v>
      </c>
    </row>
    <row r="286" spans="1:9" x14ac:dyDescent="0.2">
      <c r="A286" s="10" t="s">
        <v>9353</v>
      </c>
      <c r="B286" s="10">
        <v>597.05406008903606</v>
      </c>
      <c r="C286" s="10">
        <v>1.14191872211756</v>
      </c>
      <c r="D286" s="10">
        <v>0.29140092674245799</v>
      </c>
      <c r="E286" s="10">
        <v>3.9187202830236498</v>
      </c>
      <c r="F286" s="4">
        <v>8.9020349851766994E-5</v>
      </c>
      <c r="G286" s="10">
        <v>7.3251779539457E-4</v>
      </c>
      <c r="H286" s="10" t="s">
        <v>9354</v>
      </c>
      <c r="I286" s="10" t="s">
        <v>18</v>
      </c>
    </row>
    <row r="287" spans="1:9" x14ac:dyDescent="0.2">
      <c r="A287" s="10" t="s">
        <v>9355</v>
      </c>
      <c r="B287" s="10">
        <v>44.1720405652446</v>
      </c>
      <c r="C287" s="10">
        <v>-1.5915590456967801</v>
      </c>
      <c r="D287" s="10">
        <v>0.56221638496967696</v>
      </c>
      <c r="E287" s="10">
        <v>-2.83086563865018</v>
      </c>
      <c r="F287" s="10">
        <v>4.6422217569222204E-3</v>
      </c>
      <c r="G287" s="10">
        <v>2.2298088274847899E-2</v>
      </c>
      <c r="H287" s="10" t="s">
        <v>9356</v>
      </c>
      <c r="I287" s="10" t="s">
        <v>18</v>
      </c>
    </row>
    <row r="288" spans="1:9" x14ac:dyDescent="0.2">
      <c r="A288" s="10" t="s">
        <v>765</v>
      </c>
      <c r="B288" s="10">
        <v>2229.5100297843201</v>
      </c>
      <c r="C288" s="10">
        <v>2.2417235927424</v>
      </c>
      <c r="D288" s="10">
        <v>0.244847641203362</v>
      </c>
      <c r="E288" s="10">
        <v>9.1555858235959295</v>
      </c>
      <c r="F288" s="4">
        <v>5.4063666571971303E-20</v>
      </c>
      <c r="G288" s="4">
        <v>2.91839384681961E-18</v>
      </c>
      <c r="H288" s="10" t="s">
        <v>766</v>
      </c>
      <c r="I288" s="10" t="s">
        <v>18</v>
      </c>
    </row>
    <row r="289" spans="1:9" x14ac:dyDescent="0.2">
      <c r="A289" s="10" t="s">
        <v>767</v>
      </c>
      <c r="B289" s="10">
        <v>1213.22394661884</v>
      </c>
      <c r="C289" s="10">
        <v>-2.3801174798292299</v>
      </c>
      <c r="D289" s="10">
        <v>0.26658408336646799</v>
      </c>
      <c r="E289" s="10">
        <v>-8.9282055018916093</v>
      </c>
      <c r="F289" s="4">
        <v>4.3297477260679399E-19</v>
      </c>
      <c r="G289" s="4">
        <v>2.1914447494816699E-17</v>
      </c>
      <c r="H289" s="10" t="s">
        <v>768</v>
      </c>
      <c r="I289" s="10" t="s">
        <v>18</v>
      </c>
    </row>
    <row r="290" spans="1:9" x14ac:dyDescent="0.2">
      <c r="A290" s="10" t="s">
        <v>769</v>
      </c>
      <c r="B290" s="10">
        <v>662.88615851174598</v>
      </c>
      <c r="C290" s="10">
        <v>-1.30723635765489</v>
      </c>
      <c r="D290" s="10">
        <v>0.30582983331914398</v>
      </c>
      <c r="E290" s="10">
        <v>-4.2743912307951204</v>
      </c>
      <c r="F290" s="4">
        <v>1.91660240221617E-5</v>
      </c>
      <c r="G290" s="10">
        <v>1.84156353811107E-4</v>
      </c>
      <c r="H290" s="10" t="s">
        <v>770</v>
      </c>
      <c r="I290" s="10" t="s">
        <v>18</v>
      </c>
    </row>
    <row r="291" spans="1:9" x14ac:dyDescent="0.2">
      <c r="A291" s="10" t="s">
        <v>9357</v>
      </c>
      <c r="B291" s="10">
        <v>1098.4734362244601</v>
      </c>
      <c r="C291" s="10">
        <v>-1.1515172183097999</v>
      </c>
      <c r="D291" s="10">
        <v>0.26837621331586298</v>
      </c>
      <c r="E291" s="10">
        <v>-4.2906828592686601</v>
      </c>
      <c r="F291" s="4">
        <v>1.7812454361381999E-5</v>
      </c>
      <c r="G291" s="10">
        <v>1.7293411403340999E-4</v>
      </c>
      <c r="H291" s="10" t="s">
        <v>9358</v>
      </c>
      <c r="I291" s="10" t="s">
        <v>18</v>
      </c>
    </row>
    <row r="292" spans="1:9" x14ac:dyDescent="0.2">
      <c r="A292" s="10" t="s">
        <v>785</v>
      </c>
      <c r="B292" s="10">
        <v>49.038263048626099</v>
      </c>
      <c r="C292" s="10">
        <v>-2.19079465881814</v>
      </c>
      <c r="D292" s="10">
        <v>0.54943629292864804</v>
      </c>
      <c r="E292" s="10">
        <v>-3.9873497382937599</v>
      </c>
      <c r="F292" s="4">
        <v>6.6815494966712395E-5</v>
      </c>
      <c r="G292" s="10">
        <v>5.6858720429216897E-4</v>
      </c>
      <c r="H292" s="10" t="s">
        <v>786</v>
      </c>
      <c r="I292" s="10" t="s">
        <v>18</v>
      </c>
    </row>
    <row r="293" spans="1:9" x14ac:dyDescent="0.2">
      <c r="A293" s="10" t="s">
        <v>791</v>
      </c>
      <c r="B293" s="10">
        <v>1537.7257635553101</v>
      </c>
      <c r="C293" s="10">
        <v>8.7695906458398003</v>
      </c>
      <c r="D293" s="10">
        <v>0.46457157222308498</v>
      </c>
      <c r="E293" s="10">
        <v>18.876726795561801</v>
      </c>
      <c r="F293" s="4">
        <v>1.77235115482513E-79</v>
      </c>
      <c r="G293" s="4">
        <v>1.3932341656133099E-76</v>
      </c>
      <c r="H293" s="10" t="s">
        <v>792</v>
      </c>
      <c r="I293" s="10" t="s">
        <v>18</v>
      </c>
    </row>
    <row r="294" spans="1:9" x14ac:dyDescent="0.2">
      <c r="A294" s="10" t="s">
        <v>797</v>
      </c>
      <c r="B294" s="10">
        <v>1137.3039077594699</v>
      </c>
      <c r="C294" s="10">
        <v>1.93606661995423</v>
      </c>
      <c r="D294" s="10">
        <v>0.31774597838820201</v>
      </c>
      <c r="E294" s="10">
        <v>6.0931270626149798</v>
      </c>
      <c r="F294" s="4">
        <v>1.10726104471613E-9</v>
      </c>
      <c r="G294" s="4">
        <v>2.2426047970881E-8</v>
      </c>
      <c r="H294" s="10" t="s">
        <v>798</v>
      </c>
      <c r="I294" s="10" t="s">
        <v>18</v>
      </c>
    </row>
    <row r="295" spans="1:9" x14ac:dyDescent="0.2">
      <c r="A295" s="10" t="s">
        <v>9359</v>
      </c>
      <c r="B295" s="10">
        <v>642.60964754070403</v>
      </c>
      <c r="C295" s="10">
        <v>-1.2785549595984</v>
      </c>
      <c r="D295" s="10">
        <v>0.30919478013207702</v>
      </c>
      <c r="E295" s="10">
        <v>-4.13511172165407</v>
      </c>
      <c r="F295" s="4">
        <v>3.5478199411701502E-5</v>
      </c>
      <c r="G295" s="10">
        <v>3.2241839096869599E-4</v>
      </c>
      <c r="H295" s="10" t="s">
        <v>9360</v>
      </c>
      <c r="I295" s="10" t="s">
        <v>18</v>
      </c>
    </row>
    <row r="296" spans="1:9" x14ac:dyDescent="0.2">
      <c r="A296" s="10" t="s">
        <v>801</v>
      </c>
      <c r="B296" s="10">
        <v>1693.91607791501</v>
      </c>
      <c r="C296" s="10">
        <v>1.3994000007927001</v>
      </c>
      <c r="D296" s="10">
        <v>0.25211518936334099</v>
      </c>
      <c r="E296" s="10">
        <v>5.5506374063639896</v>
      </c>
      <c r="F296" s="4">
        <v>2.8462989179963401E-8</v>
      </c>
      <c r="G296" s="4">
        <v>4.6613703959764302E-7</v>
      </c>
      <c r="H296" s="10" t="s">
        <v>802</v>
      </c>
      <c r="I296" s="10" t="s">
        <v>18</v>
      </c>
    </row>
    <row r="297" spans="1:9" x14ac:dyDescent="0.2">
      <c r="A297" s="10" t="s">
        <v>805</v>
      </c>
      <c r="B297" s="10">
        <v>4125.5526359483902</v>
      </c>
      <c r="C297" s="10">
        <v>4.7203729799518799</v>
      </c>
      <c r="D297" s="10">
        <v>0.24388299651140899</v>
      </c>
      <c r="E297" s="10">
        <v>19.355072093888499</v>
      </c>
      <c r="F297" s="4">
        <v>1.8473592388977799E-83</v>
      </c>
      <c r="G297" s="4">
        <v>1.60242488463703E-80</v>
      </c>
      <c r="H297" s="10" t="s">
        <v>806</v>
      </c>
      <c r="I297" s="10" t="s">
        <v>18</v>
      </c>
    </row>
    <row r="298" spans="1:9" x14ac:dyDescent="0.2">
      <c r="A298" s="10" t="s">
        <v>9361</v>
      </c>
      <c r="B298" s="10">
        <v>920.94384421776499</v>
      </c>
      <c r="C298" s="10">
        <v>-1.7551571584132399</v>
      </c>
      <c r="D298" s="10">
        <v>0.25555095336857597</v>
      </c>
      <c r="E298" s="10">
        <v>-6.8681299571667704</v>
      </c>
      <c r="F298" s="4">
        <v>6.5048951158956797E-12</v>
      </c>
      <c r="G298" s="4">
        <v>1.7098290140058101E-10</v>
      </c>
      <c r="H298" s="10" t="s">
        <v>9362</v>
      </c>
      <c r="I298" s="10" t="s">
        <v>18</v>
      </c>
    </row>
    <row r="299" spans="1:9" x14ac:dyDescent="0.2">
      <c r="A299" s="10" t="s">
        <v>807</v>
      </c>
      <c r="B299" s="10">
        <v>752.06483826644603</v>
      </c>
      <c r="C299" s="10">
        <v>-1.35422583328462</v>
      </c>
      <c r="D299" s="10">
        <v>0.32612094048804402</v>
      </c>
      <c r="E299" s="10">
        <v>-4.1525264561607296</v>
      </c>
      <c r="F299" s="4">
        <v>3.2882472497689E-5</v>
      </c>
      <c r="G299" s="10">
        <v>3.0133282174111701E-4</v>
      </c>
      <c r="H299" s="10" t="s">
        <v>808</v>
      </c>
      <c r="I299" s="10" t="s">
        <v>18</v>
      </c>
    </row>
    <row r="300" spans="1:9" x14ac:dyDescent="0.2">
      <c r="A300" s="10" t="s">
        <v>9363</v>
      </c>
      <c r="B300" s="10">
        <v>2431.9855572843699</v>
      </c>
      <c r="C300" s="10">
        <v>1.2158837321347</v>
      </c>
      <c r="D300" s="10">
        <v>0.26380669276917201</v>
      </c>
      <c r="E300" s="10">
        <v>4.6089950159019999</v>
      </c>
      <c r="F300" s="4">
        <v>4.0462003141134003E-6</v>
      </c>
      <c r="G300" s="4">
        <v>4.5256633571152798E-5</v>
      </c>
      <c r="H300" s="10" t="s">
        <v>9364</v>
      </c>
      <c r="I300" s="10" t="s">
        <v>18</v>
      </c>
    </row>
    <row r="301" spans="1:9" x14ac:dyDescent="0.2">
      <c r="A301" s="10" t="s">
        <v>9365</v>
      </c>
      <c r="B301" s="10">
        <v>96.572998767608397</v>
      </c>
      <c r="C301" s="10">
        <v>-1.3233557248960699</v>
      </c>
      <c r="D301" s="10">
        <v>0.42428725929064998</v>
      </c>
      <c r="E301" s="10">
        <v>-3.1190088693884901</v>
      </c>
      <c r="F301" s="10">
        <v>1.8146049888927099E-3</v>
      </c>
      <c r="G301" s="10">
        <v>1.0098758516724799E-2</v>
      </c>
      <c r="H301" s="10" t="s">
        <v>9366</v>
      </c>
      <c r="I301" s="10" t="s">
        <v>18</v>
      </c>
    </row>
    <row r="302" spans="1:9" x14ac:dyDescent="0.2">
      <c r="A302" s="10" t="s">
        <v>815</v>
      </c>
      <c r="B302" s="10">
        <v>739.99561250116199</v>
      </c>
      <c r="C302" s="10">
        <v>1.33316856006341</v>
      </c>
      <c r="D302" s="10">
        <v>0.27521821358874698</v>
      </c>
      <c r="E302" s="10">
        <v>4.8440419065270897</v>
      </c>
      <c r="F302" s="4">
        <v>1.2722408063691099E-6</v>
      </c>
      <c r="G302" s="4">
        <v>1.5505434827623501E-5</v>
      </c>
      <c r="H302" s="10" t="s">
        <v>816</v>
      </c>
      <c r="I302" s="10" t="s">
        <v>18</v>
      </c>
    </row>
    <row r="303" spans="1:9" x14ac:dyDescent="0.2">
      <c r="A303" s="10" t="s">
        <v>819</v>
      </c>
      <c r="B303" s="10">
        <v>81.950380944791405</v>
      </c>
      <c r="C303" s="10">
        <v>3.26873815663944</v>
      </c>
      <c r="D303" s="10">
        <v>0.49030845860012201</v>
      </c>
      <c r="E303" s="10">
        <v>6.6666974621894104</v>
      </c>
      <c r="F303" s="4">
        <v>2.6162361618865301E-11</v>
      </c>
      <c r="G303" s="4">
        <v>6.4206264050981005E-10</v>
      </c>
      <c r="H303" s="10" t="s">
        <v>820</v>
      </c>
      <c r="I303" s="10" t="s">
        <v>18</v>
      </c>
    </row>
    <row r="304" spans="1:9" x14ac:dyDescent="0.2">
      <c r="A304" s="10" t="s">
        <v>9367</v>
      </c>
      <c r="B304" s="10">
        <v>109.46438181523099</v>
      </c>
      <c r="C304" s="10">
        <v>-2.3236075011752</v>
      </c>
      <c r="D304" s="10">
        <v>0.45624265434996097</v>
      </c>
      <c r="E304" s="10">
        <v>-5.0929203550373803</v>
      </c>
      <c r="F304" s="4">
        <v>3.5258984140519601E-7</v>
      </c>
      <c r="G304" s="4">
        <v>4.7942688975933501E-6</v>
      </c>
      <c r="H304" s="10" t="s">
        <v>9368</v>
      </c>
      <c r="I304" s="10" t="s">
        <v>18</v>
      </c>
    </row>
    <row r="305" spans="1:9" x14ac:dyDescent="0.2">
      <c r="A305" s="10" t="s">
        <v>823</v>
      </c>
      <c r="B305" s="10">
        <v>515.41802515028098</v>
      </c>
      <c r="C305" s="10">
        <v>-2.1150910599122499</v>
      </c>
      <c r="D305" s="10">
        <v>0.30028461754998298</v>
      </c>
      <c r="E305" s="10">
        <v>-7.0436210724653101</v>
      </c>
      <c r="F305" s="4">
        <v>1.8730709704044099E-12</v>
      </c>
      <c r="G305" s="4">
        <v>5.2178405604122899E-11</v>
      </c>
      <c r="H305" s="10" t="s">
        <v>824</v>
      </c>
      <c r="I305" s="10" t="s">
        <v>18</v>
      </c>
    </row>
    <row r="306" spans="1:9" x14ac:dyDescent="0.2">
      <c r="A306" s="10" t="s">
        <v>825</v>
      </c>
      <c r="B306" s="10">
        <v>109.28467706807901</v>
      </c>
      <c r="C306" s="10">
        <v>1.76061033702765</v>
      </c>
      <c r="D306" s="10">
        <v>0.39295184917331999</v>
      </c>
      <c r="E306" s="10">
        <v>4.4804734746294503</v>
      </c>
      <c r="F306" s="4">
        <v>7.4477635880093103E-6</v>
      </c>
      <c r="G306" s="4">
        <v>7.8950060285029106E-5</v>
      </c>
      <c r="H306" s="10" t="s">
        <v>826</v>
      </c>
      <c r="I306" s="10" t="s">
        <v>18</v>
      </c>
    </row>
    <row r="307" spans="1:9" x14ac:dyDescent="0.2">
      <c r="A307" s="10" t="s">
        <v>9369</v>
      </c>
      <c r="B307" s="10">
        <v>1627.7128342736501</v>
      </c>
      <c r="C307" s="10">
        <v>1.09451622207059</v>
      </c>
      <c r="D307" s="10">
        <v>0.29049737300363798</v>
      </c>
      <c r="E307" s="10">
        <v>3.7677319101157201</v>
      </c>
      <c r="F307" s="10">
        <v>1.6473747791285299E-4</v>
      </c>
      <c r="G307" s="10">
        <v>1.2580362042798499E-3</v>
      </c>
      <c r="H307" s="10" t="s">
        <v>9370</v>
      </c>
      <c r="I307" s="10" t="s">
        <v>18</v>
      </c>
    </row>
    <row r="308" spans="1:9" x14ac:dyDescent="0.2">
      <c r="A308" s="10" t="s">
        <v>833</v>
      </c>
      <c r="B308" s="10">
        <v>58.750121245739301</v>
      </c>
      <c r="C308" s="10">
        <v>9.3945398439111507</v>
      </c>
      <c r="D308" s="10">
        <v>1.51726530390106</v>
      </c>
      <c r="E308" s="10">
        <v>6.1917581715977503</v>
      </c>
      <c r="F308" s="4">
        <v>5.9496786733396099E-10</v>
      </c>
      <c r="G308" s="4">
        <v>1.25032720992362E-8</v>
      </c>
      <c r="H308" s="10" t="s">
        <v>834</v>
      </c>
      <c r="I308" s="10" t="s">
        <v>18</v>
      </c>
    </row>
    <row r="309" spans="1:9" x14ac:dyDescent="0.2">
      <c r="A309" s="10" t="s">
        <v>835</v>
      </c>
      <c r="B309" s="10">
        <v>40.093414349687997</v>
      </c>
      <c r="C309" s="10">
        <v>2.9926522941549099</v>
      </c>
      <c r="D309" s="10">
        <v>0.61980579144029102</v>
      </c>
      <c r="E309" s="10">
        <v>4.8283709760127502</v>
      </c>
      <c r="F309" s="4">
        <v>1.3765447685607299E-6</v>
      </c>
      <c r="G309" s="4">
        <v>1.6631596375189799E-5</v>
      </c>
      <c r="H309" s="10" t="s">
        <v>836</v>
      </c>
      <c r="I309" s="10" t="s">
        <v>18</v>
      </c>
    </row>
    <row r="310" spans="1:9" x14ac:dyDescent="0.2">
      <c r="A310" s="10" t="s">
        <v>841</v>
      </c>
      <c r="B310" s="10">
        <v>1208.0514269625301</v>
      </c>
      <c r="C310" s="10">
        <v>4.2911579909351296</v>
      </c>
      <c r="D310" s="10">
        <v>0.26517808890411299</v>
      </c>
      <c r="E310" s="10">
        <v>16.182174057701999</v>
      </c>
      <c r="F310" s="4">
        <v>6.7372864669757204E-59</v>
      </c>
      <c r="G310" s="4">
        <v>2.2299531720628199E-56</v>
      </c>
      <c r="H310" s="10" t="s">
        <v>842</v>
      </c>
      <c r="I310" s="10" t="s">
        <v>18</v>
      </c>
    </row>
    <row r="311" spans="1:9" x14ac:dyDescent="0.2">
      <c r="A311" s="10" t="s">
        <v>843</v>
      </c>
      <c r="B311" s="10">
        <v>4577.1100319197603</v>
      </c>
      <c r="C311" s="10">
        <v>2.1103359717297101</v>
      </c>
      <c r="D311" s="10">
        <v>0.29570208839525403</v>
      </c>
      <c r="E311" s="10">
        <v>7.1366962038797102</v>
      </c>
      <c r="F311" s="4">
        <v>9.5600812219865694E-13</v>
      </c>
      <c r="G311" s="4">
        <v>2.7515313860305701E-11</v>
      </c>
      <c r="H311" s="10" t="s">
        <v>844</v>
      </c>
      <c r="I311" s="10" t="s">
        <v>18</v>
      </c>
    </row>
    <row r="312" spans="1:9" x14ac:dyDescent="0.2">
      <c r="A312" s="10" t="s">
        <v>9371</v>
      </c>
      <c r="B312" s="10">
        <v>1384.8418138034799</v>
      </c>
      <c r="C312" s="10">
        <v>-1.22757207919972</v>
      </c>
      <c r="D312" s="10">
        <v>0.26750307615890601</v>
      </c>
      <c r="E312" s="10">
        <v>-4.5890017297240302</v>
      </c>
      <c r="F312" s="4">
        <v>4.4537073939811702E-6</v>
      </c>
      <c r="G312" s="4">
        <v>4.9462697349049099E-5</v>
      </c>
      <c r="H312" s="10" t="s">
        <v>9372</v>
      </c>
      <c r="I312" s="10" t="s">
        <v>18</v>
      </c>
    </row>
    <row r="313" spans="1:9" x14ac:dyDescent="0.2">
      <c r="A313" s="10" t="s">
        <v>845</v>
      </c>
      <c r="B313" s="10">
        <v>1022.48027754324</v>
      </c>
      <c r="C313" s="10">
        <v>-1.27821645954864</v>
      </c>
      <c r="D313" s="10">
        <v>0.27186099374115602</v>
      </c>
      <c r="E313" s="10">
        <v>-4.7017280484366104</v>
      </c>
      <c r="F313" s="4">
        <v>2.57968934423444E-6</v>
      </c>
      <c r="G313" s="4">
        <v>2.9805339128151701E-5</v>
      </c>
      <c r="H313" s="10" t="s">
        <v>846</v>
      </c>
      <c r="I313" s="10" t="s">
        <v>18</v>
      </c>
    </row>
    <row r="314" spans="1:9" x14ac:dyDescent="0.2">
      <c r="A314" s="10" t="s">
        <v>847</v>
      </c>
      <c r="B314" s="10">
        <v>2301.0075050527998</v>
      </c>
      <c r="C314" s="10">
        <v>-2.1155855754286699</v>
      </c>
      <c r="D314" s="10">
        <v>0.26091053187499202</v>
      </c>
      <c r="E314" s="10">
        <v>-8.1084713607586298</v>
      </c>
      <c r="F314" s="4">
        <v>5.1260542940530202E-16</v>
      </c>
      <c r="G314" s="4">
        <v>2.05001424112724E-14</v>
      </c>
      <c r="H314" s="10" t="s">
        <v>848</v>
      </c>
      <c r="I314" s="10" t="s">
        <v>18</v>
      </c>
    </row>
    <row r="315" spans="1:9" x14ac:dyDescent="0.2">
      <c r="A315" s="10" t="s">
        <v>851</v>
      </c>
      <c r="B315" s="10">
        <v>109.435042542728</v>
      </c>
      <c r="C315" s="10">
        <v>-1.22623607815797</v>
      </c>
      <c r="D315" s="10">
        <v>0.405774550695299</v>
      </c>
      <c r="E315" s="10">
        <v>-3.0219639848206299</v>
      </c>
      <c r="F315" s="10">
        <v>2.51140426484369E-3</v>
      </c>
      <c r="G315" s="10">
        <v>1.3258000898665899E-2</v>
      </c>
      <c r="H315" s="10" t="s">
        <v>852</v>
      </c>
      <c r="I315" s="10" t="s">
        <v>18</v>
      </c>
    </row>
    <row r="316" spans="1:9" x14ac:dyDescent="0.2">
      <c r="A316" s="10" t="s">
        <v>855</v>
      </c>
      <c r="B316" s="10">
        <v>1756.7683332315601</v>
      </c>
      <c r="C316" s="10">
        <v>-1.19642732893032</v>
      </c>
      <c r="D316" s="10">
        <v>0.26121408798852003</v>
      </c>
      <c r="E316" s="10">
        <v>-4.5802557516840201</v>
      </c>
      <c r="F316" s="4">
        <v>4.6440768338844204E-6</v>
      </c>
      <c r="G316" s="4">
        <v>5.1372802443431298E-5</v>
      </c>
      <c r="H316" s="10" t="s">
        <v>856</v>
      </c>
      <c r="I316" s="10" t="s">
        <v>18</v>
      </c>
    </row>
    <row r="317" spans="1:9" x14ac:dyDescent="0.2">
      <c r="A317" s="10" t="s">
        <v>863</v>
      </c>
      <c r="B317" s="10">
        <v>121.997819086809</v>
      </c>
      <c r="C317" s="10">
        <v>-1.82644517656286</v>
      </c>
      <c r="D317" s="10">
        <v>0.38799075419899998</v>
      </c>
      <c r="E317" s="10">
        <v>-4.7074451048028898</v>
      </c>
      <c r="F317" s="4">
        <v>2.5084080023337699E-6</v>
      </c>
      <c r="G317" s="4">
        <v>2.9077881704472799E-5</v>
      </c>
      <c r="H317" s="10" t="s">
        <v>864</v>
      </c>
      <c r="I317" s="10" t="s">
        <v>18</v>
      </c>
    </row>
    <row r="318" spans="1:9" x14ac:dyDescent="0.2">
      <c r="A318" s="10" t="s">
        <v>9373</v>
      </c>
      <c r="B318" s="10">
        <v>2063.7735360864099</v>
      </c>
      <c r="C318" s="10">
        <v>1.76586146682569</v>
      </c>
      <c r="D318" s="10">
        <v>0.25524269622293899</v>
      </c>
      <c r="E318" s="10">
        <v>6.9183623780690597</v>
      </c>
      <c r="F318" s="4">
        <v>4.5689434281078097E-12</v>
      </c>
      <c r="G318" s="4">
        <v>1.23449808736898E-10</v>
      </c>
      <c r="H318" s="10" t="s">
        <v>9374</v>
      </c>
      <c r="I318" s="10" t="s">
        <v>18</v>
      </c>
    </row>
    <row r="319" spans="1:9" x14ac:dyDescent="0.2">
      <c r="A319" s="10" t="s">
        <v>869</v>
      </c>
      <c r="B319" s="10">
        <v>279.01155042349097</v>
      </c>
      <c r="C319" s="10">
        <v>1.2704241263707801</v>
      </c>
      <c r="D319" s="10">
        <v>0.32023751648669602</v>
      </c>
      <c r="E319" s="10">
        <v>3.9671308356013699</v>
      </c>
      <c r="F319" s="4">
        <v>7.2743063565225503E-5</v>
      </c>
      <c r="G319" s="10">
        <v>6.1301321722995595E-4</v>
      </c>
      <c r="H319" s="10" t="s">
        <v>870</v>
      </c>
      <c r="I319" s="10" t="s">
        <v>18</v>
      </c>
    </row>
    <row r="320" spans="1:9" x14ac:dyDescent="0.2">
      <c r="A320" s="10" t="s">
        <v>871</v>
      </c>
      <c r="B320" s="10">
        <v>455.06479149095901</v>
      </c>
      <c r="C320" s="10">
        <v>-1.40705276573424</v>
      </c>
      <c r="D320" s="10">
        <v>0.29625008900845101</v>
      </c>
      <c r="E320" s="10">
        <v>-4.7495437737880497</v>
      </c>
      <c r="F320" s="4">
        <v>2.0387606472425101E-6</v>
      </c>
      <c r="G320" s="4">
        <v>2.40098427347309E-5</v>
      </c>
      <c r="H320" s="10" t="s">
        <v>872</v>
      </c>
      <c r="I320" s="10" t="s">
        <v>18</v>
      </c>
    </row>
    <row r="321" spans="1:9" x14ac:dyDescent="0.2">
      <c r="A321" s="10" t="s">
        <v>9375</v>
      </c>
      <c r="B321" s="10">
        <v>746.808523443647</v>
      </c>
      <c r="C321" s="10">
        <v>-1.65529102575694</v>
      </c>
      <c r="D321" s="10">
        <v>0.30107518623642399</v>
      </c>
      <c r="E321" s="10">
        <v>-5.4979324149851996</v>
      </c>
      <c r="F321" s="4">
        <v>3.8427014312287298E-8</v>
      </c>
      <c r="G321" s="4">
        <v>6.1608129064728301E-7</v>
      </c>
      <c r="H321" s="10" t="s">
        <v>9376</v>
      </c>
      <c r="I321" s="10" t="s">
        <v>18</v>
      </c>
    </row>
    <row r="322" spans="1:9" x14ac:dyDescent="0.2">
      <c r="A322" s="10" t="s">
        <v>9377</v>
      </c>
      <c r="B322" s="10">
        <v>1500.43549718074</v>
      </c>
      <c r="C322" s="10">
        <v>-1.55307390097988</v>
      </c>
      <c r="D322" s="10">
        <v>0.30220841959686201</v>
      </c>
      <c r="E322" s="10">
        <v>-5.13908217068089</v>
      </c>
      <c r="F322" s="4">
        <v>2.7608365833079702E-7</v>
      </c>
      <c r="G322" s="4">
        <v>3.8306036543360198E-6</v>
      </c>
      <c r="H322" s="10" t="s">
        <v>9378</v>
      </c>
      <c r="I322" s="10" t="s">
        <v>18</v>
      </c>
    </row>
    <row r="323" spans="1:9" x14ac:dyDescent="0.2">
      <c r="A323" s="10" t="s">
        <v>873</v>
      </c>
      <c r="B323" s="10">
        <v>587.00509966957202</v>
      </c>
      <c r="C323" s="10">
        <v>2.3743139995076299</v>
      </c>
      <c r="D323" s="10">
        <v>0.34764395045001301</v>
      </c>
      <c r="E323" s="10">
        <v>6.8297290846976102</v>
      </c>
      <c r="F323" s="4">
        <v>8.5075140258955703E-12</v>
      </c>
      <c r="G323" s="4">
        <v>2.20306273250918E-10</v>
      </c>
      <c r="H323" s="10" t="s">
        <v>874</v>
      </c>
      <c r="I323" s="10" t="s">
        <v>18</v>
      </c>
    </row>
    <row r="324" spans="1:9" x14ac:dyDescent="0.2">
      <c r="A324" s="10" t="s">
        <v>9379</v>
      </c>
      <c r="B324" s="10">
        <v>661.84985052934303</v>
      </c>
      <c r="C324" s="10">
        <v>-1.22591212380291</v>
      </c>
      <c r="D324" s="10">
        <v>0.26294991225789099</v>
      </c>
      <c r="E324" s="10">
        <v>-4.6621507239773496</v>
      </c>
      <c r="F324" s="4">
        <v>3.1292187240819799E-6</v>
      </c>
      <c r="G324" s="4">
        <v>3.56003724493662E-5</v>
      </c>
      <c r="H324" s="10" t="s">
        <v>9380</v>
      </c>
      <c r="I324" s="10" t="s">
        <v>18</v>
      </c>
    </row>
    <row r="325" spans="1:9" x14ac:dyDescent="0.2">
      <c r="A325" s="10" t="s">
        <v>875</v>
      </c>
      <c r="B325" s="10">
        <v>4620.7368953967298</v>
      </c>
      <c r="C325" s="10">
        <v>-1.0216327229553801</v>
      </c>
      <c r="D325" s="10">
        <v>0.23629789273573101</v>
      </c>
      <c r="E325" s="10">
        <v>-4.3234948527363697</v>
      </c>
      <c r="F325" s="4">
        <v>1.5357672299667199E-5</v>
      </c>
      <c r="G325" s="10">
        <v>1.5084820253734099E-4</v>
      </c>
      <c r="H325" s="10" t="s">
        <v>876</v>
      </c>
      <c r="I325" s="10" t="s">
        <v>18</v>
      </c>
    </row>
    <row r="326" spans="1:9" x14ac:dyDescent="0.2">
      <c r="A326" s="10" t="s">
        <v>879</v>
      </c>
      <c r="B326" s="10">
        <v>30.2997583787919</v>
      </c>
      <c r="C326" s="10">
        <v>1.79393086484288</v>
      </c>
      <c r="D326" s="10">
        <v>0.65612258773474696</v>
      </c>
      <c r="E326" s="10">
        <v>2.7341397756727202</v>
      </c>
      <c r="F326" s="10">
        <v>6.2543488213426899E-3</v>
      </c>
      <c r="G326" s="10">
        <v>2.8522143691239201E-2</v>
      </c>
      <c r="H326" s="10" t="s">
        <v>880</v>
      </c>
      <c r="I326" s="10" t="s">
        <v>18</v>
      </c>
    </row>
    <row r="327" spans="1:9" x14ac:dyDescent="0.2">
      <c r="A327" s="10" t="s">
        <v>881</v>
      </c>
      <c r="B327" s="10">
        <v>26.1908183342697</v>
      </c>
      <c r="C327" s="10">
        <v>2.2992674002864302</v>
      </c>
      <c r="D327" s="10">
        <v>0.71776928495565895</v>
      </c>
      <c r="E327" s="10">
        <v>3.2033516179624</v>
      </c>
      <c r="F327" s="10">
        <v>1.35838019436643E-3</v>
      </c>
      <c r="G327" s="10">
        <v>7.9233166915232307E-3</v>
      </c>
      <c r="H327" s="10" t="s">
        <v>882</v>
      </c>
      <c r="I327" s="10" t="s">
        <v>18</v>
      </c>
    </row>
    <row r="328" spans="1:9" x14ac:dyDescent="0.2">
      <c r="A328" s="10" t="s">
        <v>9381</v>
      </c>
      <c r="B328" s="10">
        <v>2976.9889321870601</v>
      </c>
      <c r="C328" s="10">
        <v>1.19724589016336</v>
      </c>
      <c r="D328" s="10">
        <v>0.27416977703880702</v>
      </c>
      <c r="E328" s="10">
        <v>4.3668047700016803</v>
      </c>
      <c r="F328" s="4">
        <v>1.26077323824038E-5</v>
      </c>
      <c r="G328" s="10">
        <v>1.2575238226779099E-4</v>
      </c>
      <c r="H328" s="10" t="s">
        <v>9382</v>
      </c>
      <c r="I328" s="10" t="s">
        <v>18</v>
      </c>
    </row>
    <row r="329" spans="1:9" x14ac:dyDescent="0.2">
      <c r="A329" s="10" t="s">
        <v>883</v>
      </c>
      <c r="B329" s="10">
        <v>129.185591372879</v>
      </c>
      <c r="C329" s="10">
        <v>4.5818501614207197</v>
      </c>
      <c r="D329" s="10">
        <v>0.49504533025665098</v>
      </c>
      <c r="E329" s="10">
        <v>9.2554153758915501</v>
      </c>
      <c r="F329" s="4">
        <v>2.1339903907195399E-20</v>
      </c>
      <c r="G329" s="4">
        <v>1.1823904907169601E-18</v>
      </c>
      <c r="H329" s="10" t="s">
        <v>884</v>
      </c>
      <c r="I329" s="10" t="s">
        <v>18</v>
      </c>
    </row>
    <row r="330" spans="1:9" x14ac:dyDescent="0.2">
      <c r="A330" s="10" t="s">
        <v>9383</v>
      </c>
      <c r="B330" s="10">
        <v>1464.8157270249999</v>
      </c>
      <c r="C330" s="10">
        <v>-1.4184481218389899</v>
      </c>
      <c r="D330" s="10">
        <v>0.26006595486312001</v>
      </c>
      <c r="E330" s="10">
        <v>-5.4541861220764298</v>
      </c>
      <c r="F330" s="4">
        <v>4.91976514443621E-8</v>
      </c>
      <c r="G330" s="4">
        <v>7.7251368419658396E-7</v>
      </c>
      <c r="H330" s="10" t="s">
        <v>9384</v>
      </c>
      <c r="I330" s="10" t="s">
        <v>18</v>
      </c>
    </row>
    <row r="331" spans="1:9" x14ac:dyDescent="0.2">
      <c r="A331" s="10" t="s">
        <v>897</v>
      </c>
      <c r="B331" s="10">
        <v>12055.7503788493</v>
      </c>
      <c r="C331" s="10">
        <v>-1.6725044219629399</v>
      </c>
      <c r="D331" s="10">
        <v>0.28959724334513398</v>
      </c>
      <c r="E331" s="10">
        <v>-5.77527742544736</v>
      </c>
      <c r="F331" s="4">
        <v>7.6826395105464396E-9</v>
      </c>
      <c r="G331" s="4">
        <v>1.3754932162832399E-7</v>
      </c>
      <c r="H331" s="10" t="s">
        <v>898</v>
      </c>
      <c r="I331" s="10" t="s">
        <v>18</v>
      </c>
    </row>
    <row r="332" spans="1:9" x14ac:dyDescent="0.2">
      <c r="A332" s="10" t="s">
        <v>899</v>
      </c>
      <c r="B332" s="10">
        <v>96.890039913557302</v>
      </c>
      <c r="C332" s="10">
        <v>2.6516415015135602</v>
      </c>
      <c r="D332" s="10">
        <v>0.42805137048609199</v>
      </c>
      <c r="E332" s="10">
        <v>6.1946805555192297</v>
      </c>
      <c r="F332" s="4">
        <v>5.8403356960931803E-10</v>
      </c>
      <c r="G332" s="4">
        <v>1.2294028823031301E-8</v>
      </c>
      <c r="H332" s="10" t="s">
        <v>900</v>
      </c>
      <c r="I332" s="10" t="s">
        <v>18</v>
      </c>
    </row>
    <row r="333" spans="1:9" x14ac:dyDescent="0.2">
      <c r="A333" s="10" t="s">
        <v>901</v>
      </c>
      <c r="B333" s="10">
        <v>201.40051194372899</v>
      </c>
      <c r="C333" s="10">
        <v>-1.4303985435333699</v>
      </c>
      <c r="D333" s="10">
        <v>0.33290033471093999</v>
      </c>
      <c r="E333" s="10">
        <v>-4.2967771263294097</v>
      </c>
      <c r="F333" s="4">
        <v>1.7329927753461301E-5</v>
      </c>
      <c r="G333" s="10">
        <v>1.6863997394132201E-4</v>
      </c>
      <c r="H333" s="10" t="s">
        <v>902</v>
      </c>
      <c r="I333" s="10" t="s">
        <v>18</v>
      </c>
    </row>
    <row r="334" spans="1:9" x14ac:dyDescent="0.2">
      <c r="A334" s="10" t="s">
        <v>907</v>
      </c>
      <c r="B334" s="10">
        <v>105.606034401063</v>
      </c>
      <c r="C334" s="10">
        <v>1.4778950728142299</v>
      </c>
      <c r="D334" s="10">
        <v>0.39919602193116899</v>
      </c>
      <c r="E334" s="10">
        <v>3.7021788585584998</v>
      </c>
      <c r="F334" s="10">
        <v>2.1375583760965599E-4</v>
      </c>
      <c r="G334" s="10">
        <v>1.5833416063224101E-3</v>
      </c>
      <c r="H334" s="10" t="s">
        <v>908</v>
      </c>
      <c r="I334" s="10" t="s">
        <v>18</v>
      </c>
    </row>
    <row r="335" spans="1:9" x14ac:dyDescent="0.2">
      <c r="A335" s="10" t="s">
        <v>909</v>
      </c>
      <c r="B335" s="10">
        <v>2884.51783410078</v>
      </c>
      <c r="C335" s="10">
        <v>2.5146854678743198</v>
      </c>
      <c r="D335" s="10">
        <v>0.246786897004588</v>
      </c>
      <c r="E335" s="10">
        <v>10.1897041471678</v>
      </c>
      <c r="F335" s="4">
        <v>2.2043401614723502E-24</v>
      </c>
      <c r="G335" s="4">
        <v>1.64540583863018E-22</v>
      </c>
      <c r="H335" s="10" t="s">
        <v>910</v>
      </c>
      <c r="I335" s="10" t="s">
        <v>18</v>
      </c>
    </row>
    <row r="336" spans="1:9" x14ac:dyDescent="0.2">
      <c r="A336" s="10" t="s">
        <v>915</v>
      </c>
      <c r="B336" s="10">
        <v>782.85104635708501</v>
      </c>
      <c r="C336" s="10">
        <v>-3.1423019707444602</v>
      </c>
      <c r="D336" s="10">
        <v>0.29701507394322901</v>
      </c>
      <c r="E336" s="10">
        <v>-10.579604358212</v>
      </c>
      <c r="F336" s="4">
        <v>3.7051947194618102E-26</v>
      </c>
      <c r="G336" s="4">
        <v>3.1381876487562899E-24</v>
      </c>
      <c r="H336" s="10" t="s">
        <v>916</v>
      </c>
      <c r="I336" s="10" t="s">
        <v>18</v>
      </c>
    </row>
    <row r="337" spans="1:9" x14ac:dyDescent="0.2">
      <c r="A337" s="10" t="s">
        <v>917</v>
      </c>
      <c r="B337" s="10">
        <v>12494.461098346699</v>
      </c>
      <c r="C337" s="10">
        <v>-2.2167122173737499</v>
      </c>
      <c r="D337" s="10">
        <v>0.24943440279485901</v>
      </c>
      <c r="E337" s="10">
        <v>-8.8869546162676993</v>
      </c>
      <c r="F337" s="4">
        <v>6.2806648972764303E-19</v>
      </c>
      <c r="G337" s="4">
        <v>3.14095676920455E-17</v>
      </c>
      <c r="H337" s="10" t="s">
        <v>918</v>
      </c>
      <c r="I337" s="10" t="s">
        <v>18</v>
      </c>
    </row>
    <row r="338" spans="1:9" x14ac:dyDescent="0.2">
      <c r="A338" s="10" t="s">
        <v>9385</v>
      </c>
      <c r="B338" s="10">
        <v>126.205332962596</v>
      </c>
      <c r="C338" s="10">
        <v>-2.23979126835536</v>
      </c>
      <c r="D338" s="10">
        <v>0.40222352609829598</v>
      </c>
      <c r="E338" s="10">
        <v>-5.5685237760259598</v>
      </c>
      <c r="F338" s="4">
        <v>2.569065776479E-8</v>
      </c>
      <c r="G338" s="4">
        <v>4.24325998734926E-7</v>
      </c>
      <c r="H338" s="10" t="s">
        <v>9386</v>
      </c>
      <c r="I338" s="10" t="s">
        <v>18</v>
      </c>
    </row>
    <row r="339" spans="1:9" x14ac:dyDescent="0.2">
      <c r="A339" s="10" t="s">
        <v>929</v>
      </c>
      <c r="B339" s="10">
        <v>2220.21886281652</v>
      </c>
      <c r="C339" s="10">
        <v>-1.75947889209807</v>
      </c>
      <c r="D339" s="10">
        <v>0.26375231522429499</v>
      </c>
      <c r="E339" s="10">
        <v>-6.6709514591438301</v>
      </c>
      <c r="F339" s="4">
        <v>2.5415027997793399E-11</v>
      </c>
      <c r="G339" s="4">
        <v>6.2433108328563895E-10</v>
      </c>
      <c r="H339" s="10" t="s">
        <v>930</v>
      </c>
      <c r="I339" s="10" t="s">
        <v>18</v>
      </c>
    </row>
    <row r="340" spans="1:9" x14ac:dyDescent="0.2">
      <c r="A340" s="10" t="s">
        <v>931</v>
      </c>
      <c r="B340" s="10">
        <v>1125.4078096363401</v>
      </c>
      <c r="C340" s="10">
        <v>-2.2968492702855601</v>
      </c>
      <c r="D340" s="10">
        <v>0.26794611668934598</v>
      </c>
      <c r="E340" s="10">
        <v>-8.5720565711668897</v>
      </c>
      <c r="F340" s="4">
        <v>1.0165312884907299E-17</v>
      </c>
      <c r="G340" s="4">
        <v>4.6662125113109997E-16</v>
      </c>
      <c r="H340" s="10" t="s">
        <v>932</v>
      </c>
      <c r="I340" s="10" t="s">
        <v>18</v>
      </c>
    </row>
    <row r="341" spans="1:9" x14ac:dyDescent="0.2">
      <c r="A341" s="10" t="s">
        <v>933</v>
      </c>
      <c r="B341" s="10">
        <v>76.333507523531594</v>
      </c>
      <c r="C341" s="10">
        <v>5.2680326130717097</v>
      </c>
      <c r="D341" s="10">
        <v>0.68523204767199897</v>
      </c>
      <c r="E341" s="10">
        <v>7.6879542207187699</v>
      </c>
      <c r="F341" s="4">
        <v>1.49506281766078E-14</v>
      </c>
      <c r="G341" s="4">
        <v>5.1730818677107102E-13</v>
      </c>
      <c r="H341" s="10" t="s">
        <v>934</v>
      </c>
      <c r="I341" s="10" t="s">
        <v>18</v>
      </c>
    </row>
    <row r="342" spans="1:9" x14ac:dyDescent="0.2">
      <c r="A342" s="10" t="s">
        <v>9387</v>
      </c>
      <c r="B342" s="10">
        <v>98.880652003879604</v>
      </c>
      <c r="C342" s="10">
        <v>-1.79383111800353</v>
      </c>
      <c r="D342" s="10">
        <v>0.41947720957864798</v>
      </c>
      <c r="E342" s="10">
        <v>-4.2763494107472004</v>
      </c>
      <c r="F342" s="4">
        <v>1.8998296340455799E-5</v>
      </c>
      <c r="G342" s="10">
        <v>1.8272390450380801E-4</v>
      </c>
      <c r="H342" s="10" t="s">
        <v>9388</v>
      </c>
      <c r="I342" s="10" t="s">
        <v>18</v>
      </c>
    </row>
    <row r="343" spans="1:9" x14ac:dyDescent="0.2">
      <c r="A343" s="10" t="s">
        <v>941</v>
      </c>
      <c r="B343" s="10">
        <v>133.74076431131499</v>
      </c>
      <c r="C343" s="10">
        <v>2.1133967966884999</v>
      </c>
      <c r="D343" s="10">
        <v>0.402205353911534</v>
      </c>
      <c r="E343" s="10">
        <v>5.2545217912572904</v>
      </c>
      <c r="F343" s="4">
        <v>1.4840957432887799E-7</v>
      </c>
      <c r="G343" s="4">
        <v>2.1755494418665099E-6</v>
      </c>
      <c r="H343" s="10" t="s">
        <v>942</v>
      </c>
      <c r="I343" s="10" t="s">
        <v>18</v>
      </c>
    </row>
    <row r="344" spans="1:9" x14ac:dyDescent="0.2">
      <c r="A344" s="10" t="s">
        <v>9389</v>
      </c>
      <c r="B344" s="10">
        <v>418.91723887275299</v>
      </c>
      <c r="C344" s="10">
        <v>-1.44185441599829</v>
      </c>
      <c r="D344" s="10">
        <v>0.28663937085114799</v>
      </c>
      <c r="E344" s="10">
        <v>-5.0302036727084696</v>
      </c>
      <c r="F344" s="4">
        <v>4.8995908547440896E-7</v>
      </c>
      <c r="G344" s="4">
        <v>6.5176736092590004E-6</v>
      </c>
      <c r="H344" s="10" t="s">
        <v>9390</v>
      </c>
      <c r="I344" s="10" t="s">
        <v>18</v>
      </c>
    </row>
    <row r="345" spans="1:9" x14ac:dyDescent="0.2">
      <c r="A345" s="10" t="s">
        <v>945</v>
      </c>
      <c r="B345" s="10">
        <v>248.39865547187401</v>
      </c>
      <c r="C345" s="10">
        <v>1.4334361300289</v>
      </c>
      <c r="D345" s="10">
        <v>0.33103877968794998</v>
      </c>
      <c r="E345" s="10">
        <v>4.3301154365664196</v>
      </c>
      <c r="F345" s="4">
        <v>1.49031196498683E-5</v>
      </c>
      <c r="G345" s="10">
        <v>1.46669786695007E-4</v>
      </c>
      <c r="H345" s="10" t="s">
        <v>946</v>
      </c>
      <c r="I345" s="10" t="s">
        <v>18</v>
      </c>
    </row>
    <row r="346" spans="1:9" x14ac:dyDescent="0.2">
      <c r="A346" s="10" t="s">
        <v>949</v>
      </c>
      <c r="B346" s="10">
        <v>568.58914092908503</v>
      </c>
      <c r="C346" s="10">
        <v>6.6988133165752997</v>
      </c>
      <c r="D346" s="10">
        <v>0.410273729000668</v>
      </c>
      <c r="E346" s="10">
        <v>16.327668195797099</v>
      </c>
      <c r="F346" s="4">
        <v>6.2736747581903497E-60</v>
      </c>
      <c r="G346" s="4">
        <v>2.2871636020620001E-57</v>
      </c>
      <c r="H346" s="10" t="s">
        <v>950</v>
      </c>
      <c r="I346" s="10" t="s">
        <v>18</v>
      </c>
    </row>
    <row r="347" spans="1:9" x14ac:dyDescent="0.2">
      <c r="A347" s="10" t="s">
        <v>955</v>
      </c>
      <c r="B347" s="10">
        <v>12705.6849817046</v>
      </c>
      <c r="C347" s="10">
        <v>1.36438936536399</v>
      </c>
      <c r="D347" s="10">
        <v>0.23142664502925001</v>
      </c>
      <c r="E347" s="10">
        <v>5.89555867774666</v>
      </c>
      <c r="F347" s="4">
        <v>3.7341577913033998E-9</v>
      </c>
      <c r="G347" s="4">
        <v>7.0256349469137601E-8</v>
      </c>
      <c r="H347" s="10" t="s">
        <v>956</v>
      </c>
      <c r="I347" s="10" t="s">
        <v>18</v>
      </c>
    </row>
    <row r="348" spans="1:9" x14ac:dyDescent="0.2">
      <c r="A348" s="10" t="s">
        <v>9391</v>
      </c>
      <c r="B348" s="10">
        <v>11322.236729836601</v>
      </c>
      <c r="C348" s="10">
        <v>-1.34532825926666</v>
      </c>
      <c r="D348" s="10">
        <v>0.23588605950691599</v>
      </c>
      <c r="E348" s="10">
        <v>-5.7032970158510299</v>
      </c>
      <c r="F348" s="4">
        <v>1.17511956020104E-8</v>
      </c>
      <c r="G348" s="4">
        <v>2.0542135188921E-7</v>
      </c>
      <c r="H348" s="10" t="s">
        <v>9392</v>
      </c>
      <c r="I348" s="10" t="s">
        <v>18</v>
      </c>
    </row>
    <row r="349" spans="1:9" x14ac:dyDescent="0.2">
      <c r="A349" s="10" t="s">
        <v>9393</v>
      </c>
      <c r="B349" s="10">
        <v>9326.9567493712402</v>
      </c>
      <c r="C349" s="10">
        <v>-1.41043836501396</v>
      </c>
      <c r="D349" s="10">
        <v>0.241111655605692</v>
      </c>
      <c r="E349" s="10">
        <v>-5.8497311607388998</v>
      </c>
      <c r="F349" s="4">
        <v>4.9236816929509697E-9</v>
      </c>
      <c r="G349" s="4">
        <v>9.1338652644676806E-8</v>
      </c>
      <c r="H349" s="10" t="s">
        <v>9394</v>
      </c>
      <c r="I349" s="10" t="s">
        <v>18</v>
      </c>
    </row>
    <row r="350" spans="1:9" x14ac:dyDescent="0.2">
      <c r="A350" s="10" t="s">
        <v>965</v>
      </c>
      <c r="B350" s="10">
        <v>76.178173988161902</v>
      </c>
      <c r="C350" s="10">
        <v>-1.3700311035906001</v>
      </c>
      <c r="D350" s="10">
        <v>0.45076219458681499</v>
      </c>
      <c r="E350" s="10">
        <v>-3.0393655902008798</v>
      </c>
      <c r="F350" s="10">
        <v>2.3707696514479E-3</v>
      </c>
      <c r="G350" s="10">
        <v>1.26542285724143E-2</v>
      </c>
      <c r="H350" s="10" t="s">
        <v>966</v>
      </c>
      <c r="I350" s="10" t="s">
        <v>18</v>
      </c>
    </row>
    <row r="351" spans="1:9" x14ac:dyDescent="0.2">
      <c r="A351" s="10" t="s">
        <v>969</v>
      </c>
      <c r="B351" s="10">
        <v>3284.6433774460502</v>
      </c>
      <c r="C351" s="10">
        <v>-1.0515326318456699</v>
      </c>
      <c r="D351" s="10">
        <v>0.27478659673730998</v>
      </c>
      <c r="E351" s="10">
        <v>-3.82672460859113</v>
      </c>
      <c r="F351" s="10">
        <v>1.2985965789010401E-4</v>
      </c>
      <c r="G351" s="10">
        <v>1.0201952292704099E-3</v>
      </c>
      <c r="H351" s="10" t="s">
        <v>970</v>
      </c>
      <c r="I351" s="10" t="s">
        <v>18</v>
      </c>
    </row>
    <row r="352" spans="1:9" x14ac:dyDescent="0.2">
      <c r="A352" s="10" t="s">
        <v>9395</v>
      </c>
      <c r="B352" s="10">
        <v>84.366705902161996</v>
      </c>
      <c r="C352" s="10">
        <v>-2.4159772821483601</v>
      </c>
      <c r="D352" s="10">
        <v>0.46320782593293502</v>
      </c>
      <c r="E352" s="10">
        <v>-5.2157522971085504</v>
      </c>
      <c r="F352" s="4">
        <v>1.83072687436043E-7</v>
      </c>
      <c r="G352" s="4">
        <v>2.6315391156878101E-6</v>
      </c>
      <c r="H352" s="10" t="s">
        <v>9396</v>
      </c>
      <c r="I352" s="10" t="s">
        <v>18</v>
      </c>
    </row>
    <row r="353" spans="1:9" x14ac:dyDescent="0.2">
      <c r="A353" s="10" t="s">
        <v>973</v>
      </c>
      <c r="B353" s="10">
        <v>210.093977503611</v>
      </c>
      <c r="C353" s="10">
        <v>3.4374524458451399</v>
      </c>
      <c r="D353" s="10">
        <v>0.36481344692409301</v>
      </c>
      <c r="E353" s="10">
        <v>9.4224938110912895</v>
      </c>
      <c r="F353" s="4">
        <v>4.4049920601921801E-21</v>
      </c>
      <c r="G353" s="4">
        <v>2.5531699371920299E-19</v>
      </c>
      <c r="H353" s="10" t="s">
        <v>974</v>
      </c>
      <c r="I353" s="10" t="s">
        <v>18</v>
      </c>
    </row>
    <row r="354" spans="1:9" x14ac:dyDescent="0.2">
      <c r="A354" s="10" t="s">
        <v>975</v>
      </c>
      <c r="B354" s="10">
        <v>238.567443105564</v>
      </c>
      <c r="C354" s="10">
        <v>-4.1828942825412598</v>
      </c>
      <c r="D354" s="10">
        <v>0.37052192972818798</v>
      </c>
      <c r="E354" s="10">
        <v>-11.289194908408801</v>
      </c>
      <c r="F354" s="4">
        <v>1.4838962725604399E-29</v>
      </c>
      <c r="G354" s="4">
        <v>1.46382002887285E-27</v>
      </c>
      <c r="H354" s="10" t="s">
        <v>976</v>
      </c>
      <c r="I354" s="10" t="s">
        <v>18</v>
      </c>
    </row>
    <row r="355" spans="1:9" x14ac:dyDescent="0.2">
      <c r="A355" s="10" t="s">
        <v>977</v>
      </c>
      <c r="B355" s="10">
        <v>63.889358291846797</v>
      </c>
      <c r="C355" s="10">
        <v>4.27791892892352</v>
      </c>
      <c r="D355" s="10">
        <v>0.64981191255272597</v>
      </c>
      <c r="E355" s="10">
        <v>6.5833187208250896</v>
      </c>
      <c r="F355" s="4">
        <v>4.6006144109452398E-11</v>
      </c>
      <c r="G355" s="4">
        <v>1.0990356648369201E-9</v>
      </c>
      <c r="H355" s="10" t="s">
        <v>978</v>
      </c>
      <c r="I355" s="10" t="s">
        <v>18</v>
      </c>
    </row>
    <row r="356" spans="1:9" x14ac:dyDescent="0.2">
      <c r="A356" s="10" t="s">
        <v>979</v>
      </c>
      <c r="B356" s="10">
        <v>3032.4648684594299</v>
      </c>
      <c r="C356" s="10">
        <v>1.1391434204267701</v>
      </c>
      <c r="D356" s="10">
        <v>0.23855037568533199</v>
      </c>
      <c r="E356" s="10">
        <v>4.7752740575407797</v>
      </c>
      <c r="F356" s="4">
        <v>1.7946268334105501E-6</v>
      </c>
      <c r="G356" s="4">
        <v>2.1274193211329999E-5</v>
      </c>
      <c r="H356" s="10" t="s">
        <v>980</v>
      </c>
      <c r="I356" s="10" t="s">
        <v>18</v>
      </c>
    </row>
    <row r="357" spans="1:9" x14ac:dyDescent="0.2">
      <c r="A357" s="10" t="s">
        <v>981</v>
      </c>
      <c r="B357" s="10">
        <v>11832.437717217201</v>
      </c>
      <c r="C357" s="10">
        <v>1.84576509348125</v>
      </c>
      <c r="D357" s="10">
        <v>0.285191886798561</v>
      </c>
      <c r="E357" s="10">
        <v>6.4720112279525104</v>
      </c>
      <c r="F357" s="4">
        <v>9.67069336974728E-11</v>
      </c>
      <c r="G357" s="4">
        <v>2.2256751300639801E-9</v>
      </c>
      <c r="H357" s="10" t="s">
        <v>982</v>
      </c>
      <c r="I357" s="10" t="s">
        <v>18</v>
      </c>
    </row>
    <row r="358" spans="1:9" x14ac:dyDescent="0.2">
      <c r="A358" s="10" t="s">
        <v>9397</v>
      </c>
      <c r="B358" s="10">
        <v>2651.4724672550601</v>
      </c>
      <c r="C358" s="10">
        <v>1.1746846063979699</v>
      </c>
      <c r="D358" s="10">
        <v>0.27764853882132101</v>
      </c>
      <c r="E358" s="10">
        <v>4.2308330214333498</v>
      </c>
      <c r="F358" s="4">
        <v>2.3282746378569699E-5</v>
      </c>
      <c r="G358" s="10">
        <v>2.2001408157510099E-4</v>
      </c>
      <c r="H358" s="10" t="s">
        <v>9398</v>
      </c>
      <c r="I358" s="10" t="s">
        <v>18</v>
      </c>
    </row>
    <row r="359" spans="1:9" x14ac:dyDescent="0.2">
      <c r="A359" s="10" t="s">
        <v>9399</v>
      </c>
      <c r="B359" s="10">
        <v>1510.0856884064699</v>
      </c>
      <c r="C359" s="10">
        <v>-1.24628886423619</v>
      </c>
      <c r="D359" s="10">
        <v>0.26864774093551302</v>
      </c>
      <c r="E359" s="10">
        <v>-4.6391190928918</v>
      </c>
      <c r="F359" s="4">
        <v>3.49897389899932E-6</v>
      </c>
      <c r="G359" s="4">
        <v>3.9540291297990901E-5</v>
      </c>
      <c r="H359" s="10" t="s">
        <v>9400</v>
      </c>
      <c r="I359" s="10" t="s">
        <v>18</v>
      </c>
    </row>
    <row r="360" spans="1:9" x14ac:dyDescent="0.2">
      <c r="A360" s="10" t="s">
        <v>983</v>
      </c>
      <c r="B360" s="10">
        <v>264.62015861918098</v>
      </c>
      <c r="C360" s="10">
        <v>-1.33718341344165</v>
      </c>
      <c r="D360" s="10">
        <v>0.31225790413357701</v>
      </c>
      <c r="E360" s="10">
        <v>-4.28230445327537</v>
      </c>
      <c r="F360" s="4">
        <v>1.8496766235589301E-5</v>
      </c>
      <c r="G360" s="10">
        <v>1.7874996337159001E-4</v>
      </c>
      <c r="H360" s="10" t="s">
        <v>984</v>
      </c>
      <c r="I360" s="10" t="s">
        <v>18</v>
      </c>
    </row>
    <row r="361" spans="1:9" x14ac:dyDescent="0.2">
      <c r="A361" s="10" t="s">
        <v>987</v>
      </c>
      <c r="B361" s="10">
        <v>16537.072363832998</v>
      </c>
      <c r="C361" s="10">
        <v>5.2853006624399397</v>
      </c>
      <c r="D361" s="10">
        <v>0.25888294202302597</v>
      </c>
      <c r="E361" s="10">
        <v>20.4157934127999</v>
      </c>
      <c r="F361" s="4">
        <v>1.21049951275178E-92</v>
      </c>
      <c r="G361" s="4">
        <v>1.21800460973084E-89</v>
      </c>
      <c r="H361" s="10" t="s">
        <v>988</v>
      </c>
      <c r="I361" s="10" t="s">
        <v>18</v>
      </c>
    </row>
    <row r="362" spans="1:9" x14ac:dyDescent="0.2">
      <c r="A362" s="10" t="s">
        <v>991</v>
      </c>
      <c r="B362" s="10">
        <v>743.70728215595796</v>
      </c>
      <c r="C362" s="10">
        <v>-1.0954772729794</v>
      </c>
      <c r="D362" s="10">
        <v>0.311629199742959</v>
      </c>
      <c r="E362" s="10">
        <v>-3.5153229347024699</v>
      </c>
      <c r="F362" s="10">
        <v>4.3921954047844002E-4</v>
      </c>
      <c r="G362" s="10">
        <v>2.9893310445712E-3</v>
      </c>
      <c r="H362" s="10" t="s">
        <v>992</v>
      </c>
      <c r="I362" s="10" t="s">
        <v>18</v>
      </c>
    </row>
    <row r="363" spans="1:9" x14ac:dyDescent="0.2">
      <c r="A363" s="10" t="s">
        <v>993</v>
      </c>
      <c r="B363" s="10">
        <v>2685.85820963584</v>
      </c>
      <c r="C363" s="10">
        <v>-1.3792630047910099</v>
      </c>
      <c r="D363" s="10">
        <v>0.256741603018594</v>
      </c>
      <c r="E363" s="10">
        <v>-5.3721835050282802</v>
      </c>
      <c r="F363" s="4">
        <v>7.7788885173665804E-8</v>
      </c>
      <c r="G363" s="4">
        <v>1.1844911661885999E-6</v>
      </c>
      <c r="H363" s="10" t="s">
        <v>994</v>
      </c>
      <c r="I363" s="10" t="s">
        <v>18</v>
      </c>
    </row>
    <row r="364" spans="1:9" x14ac:dyDescent="0.2">
      <c r="A364" s="10" t="s">
        <v>995</v>
      </c>
      <c r="B364" s="10">
        <v>134.97730987532699</v>
      </c>
      <c r="C364" s="10">
        <v>-1.27502415786625</v>
      </c>
      <c r="D364" s="10">
        <v>0.37417479990924701</v>
      </c>
      <c r="E364" s="10">
        <v>-3.4075628774986901</v>
      </c>
      <c r="F364" s="10">
        <v>6.5545804949797E-4</v>
      </c>
      <c r="G364" s="10">
        <v>4.24402760234786E-3</v>
      </c>
      <c r="H364" s="10" t="s">
        <v>996</v>
      </c>
      <c r="I364" s="10" t="s">
        <v>18</v>
      </c>
    </row>
    <row r="365" spans="1:9" x14ac:dyDescent="0.2">
      <c r="A365" s="10" t="s">
        <v>9401</v>
      </c>
      <c r="B365" s="10">
        <v>791.511146926077</v>
      </c>
      <c r="C365" s="10">
        <v>-1.20805537239036</v>
      </c>
      <c r="D365" s="10">
        <v>0.29579880409555898</v>
      </c>
      <c r="E365" s="10">
        <v>-4.0840441396784399</v>
      </c>
      <c r="F365" s="4">
        <v>4.4258618193500597E-5</v>
      </c>
      <c r="G365" s="10">
        <v>3.9243057478234301E-4</v>
      </c>
      <c r="H365" s="10" t="s">
        <v>9402</v>
      </c>
      <c r="I365" s="10" t="s">
        <v>18</v>
      </c>
    </row>
    <row r="366" spans="1:9" x14ac:dyDescent="0.2">
      <c r="A366" s="10" t="s">
        <v>999</v>
      </c>
      <c r="B366" s="10">
        <v>485.01852610073098</v>
      </c>
      <c r="C366" s="10">
        <v>1.0167871575414</v>
      </c>
      <c r="D366" s="10">
        <v>0.33896828137006901</v>
      </c>
      <c r="E366" s="10">
        <v>2.99965280949493</v>
      </c>
      <c r="F366" s="10">
        <v>2.7028750577935698E-3</v>
      </c>
      <c r="G366" s="10">
        <v>1.41176956143682E-2</v>
      </c>
      <c r="H366" s="10" t="s">
        <v>1000</v>
      </c>
      <c r="I366" s="10" t="s">
        <v>18</v>
      </c>
    </row>
    <row r="367" spans="1:9" x14ac:dyDescent="0.2">
      <c r="A367" s="10" t="s">
        <v>9403</v>
      </c>
      <c r="B367" s="10">
        <v>83.706814485636997</v>
      </c>
      <c r="C367" s="10">
        <v>-1.2920651435733299</v>
      </c>
      <c r="D367" s="10">
        <v>0.44943959083526602</v>
      </c>
      <c r="E367" s="10">
        <v>-2.87483606233282</v>
      </c>
      <c r="F367" s="10">
        <v>4.0423732601614602E-3</v>
      </c>
      <c r="G367" s="10">
        <v>1.98760553868963E-2</v>
      </c>
      <c r="H367" s="10" t="s">
        <v>9404</v>
      </c>
      <c r="I367" s="10" t="s">
        <v>18</v>
      </c>
    </row>
    <row r="368" spans="1:9" x14ac:dyDescent="0.2">
      <c r="A368" s="10" t="s">
        <v>1001</v>
      </c>
      <c r="B368" s="10">
        <v>219.19351142784399</v>
      </c>
      <c r="C368" s="10">
        <v>3.0288624822833801</v>
      </c>
      <c r="D368" s="10">
        <v>0.34549603749966501</v>
      </c>
      <c r="E368" s="10">
        <v>8.7667068606722207</v>
      </c>
      <c r="F368" s="4">
        <v>1.8396794557795799E-18</v>
      </c>
      <c r="G368" s="4">
        <v>8.9338101757017997E-17</v>
      </c>
      <c r="H368" s="10" t="s">
        <v>1002</v>
      </c>
      <c r="I368" s="10" t="s">
        <v>18</v>
      </c>
    </row>
    <row r="369" spans="1:9" x14ac:dyDescent="0.2">
      <c r="A369" s="10" t="s">
        <v>1007</v>
      </c>
      <c r="B369" s="10">
        <v>199.73366874098301</v>
      </c>
      <c r="C369" s="10">
        <v>2.63491113787958</v>
      </c>
      <c r="D369" s="10">
        <v>0.36469366441108803</v>
      </c>
      <c r="E369" s="10">
        <v>7.2249983890848997</v>
      </c>
      <c r="F369" s="4">
        <v>5.0110777818181495E-13</v>
      </c>
      <c r="G369" s="4">
        <v>1.49885447802182E-11</v>
      </c>
      <c r="H369" s="10" t="s">
        <v>1008</v>
      </c>
      <c r="I369" s="10" t="s">
        <v>18</v>
      </c>
    </row>
    <row r="370" spans="1:9" x14ac:dyDescent="0.2">
      <c r="A370" s="10" t="s">
        <v>1009</v>
      </c>
      <c r="B370" s="10">
        <v>32.775437380377198</v>
      </c>
      <c r="C370" s="10">
        <v>1.5911261969908199</v>
      </c>
      <c r="D370" s="10">
        <v>0.62888859775140304</v>
      </c>
      <c r="E370" s="10">
        <v>2.5300604951018499</v>
      </c>
      <c r="F370" s="10">
        <v>1.14042861871215E-2</v>
      </c>
      <c r="G370" s="10">
        <v>4.7105881615277803E-2</v>
      </c>
      <c r="H370" s="10" t="s">
        <v>1010</v>
      </c>
      <c r="I370" s="10" t="s">
        <v>18</v>
      </c>
    </row>
    <row r="371" spans="1:9" x14ac:dyDescent="0.2">
      <c r="A371" s="10" t="s">
        <v>9405</v>
      </c>
      <c r="B371" s="10">
        <v>910.945209304321</v>
      </c>
      <c r="C371" s="10">
        <v>-3.05124267954763</v>
      </c>
      <c r="D371" s="10">
        <v>0.30870234226745602</v>
      </c>
      <c r="E371" s="10">
        <v>-9.8840930623845793</v>
      </c>
      <c r="F371" s="4">
        <v>4.87980342010058E-23</v>
      </c>
      <c r="G371" s="4">
        <v>3.21338887519974E-21</v>
      </c>
      <c r="H371" s="10" t="s">
        <v>9406</v>
      </c>
      <c r="I371" s="10" t="s">
        <v>18</v>
      </c>
    </row>
    <row r="372" spans="1:9" x14ac:dyDescent="0.2">
      <c r="A372" s="10" t="s">
        <v>1013</v>
      </c>
      <c r="B372" s="10">
        <v>38.429950766264199</v>
      </c>
      <c r="C372" s="10">
        <v>1.6667470728078699</v>
      </c>
      <c r="D372" s="10">
        <v>0.62092149962932197</v>
      </c>
      <c r="E372" s="10">
        <v>2.6843120648952898</v>
      </c>
      <c r="F372" s="10">
        <v>7.2679231916988702E-3</v>
      </c>
      <c r="G372" s="10">
        <v>3.2272658055990298E-2</v>
      </c>
      <c r="H372" s="10" t="s">
        <v>1014</v>
      </c>
      <c r="I372" s="10" t="s">
        <v>18</v>
      </c>
    </row>
    <row r="373" spans="1:9" x14ac:dyDescent="0.2">
      <c r="A373" s="10" t="s">
        <v>1019</v>
      </c>
      <c r="B373" s="10">
        <v>249.66771102803199</v>
      </c>
      <c r="C373" s="10">
        <v>-1.81989161711901</v>
      </c>
      <c r="D373" s="10">
        <v>0.34008881456277201</v>
      </c>
      <c r="E373" s="10">
        <v>-5.3512245601453197</v>
      </c>
      <c r="F373" s="4">
        <v>8.7361031625653201E-8</v>
      </c>
      <c r="G373" s="4">
        <v>1.3190676773969399E-6</v>
      </c>
      <c r="H373" s="10" t="s">
        <v>1020</v>
      </c>
      <c r="I373" s="10" t="s">
        <v>18</v>
      </c>
    </row>
    <row r="374" spans="1:9" x14ac:dyDescent="0.2">
      <c r="A374" s="10" t="s">
        <v>1025</v>
      </c>
      <c r="B374" s="10">
        <v>287.02735165590298</v>
      </c>
      <c r="C374" s="10">
        <v>1.2997657924036099</v>
      </c>
      <c r="D374" s="10">
        <v>0.30176744998948901</v>
      </c>
      <c r="E374" s="10">
        <v>4.3071769087384499</v>
      </c>
      <c r="F374" s="4">
        <v>1.6535136224454199E-5</v>
      </c>
      <c r="G374" s="10">
        <v>1.6134265001014201E-4</v>
      </c>
      <c r="H374" s="10" t="s">
        <v>1026</v>
      </c>
      <c r="I374" s="10" t="s">
        <v>18</v>
      </c>
    </row>
    <row r="375" spans="1:9" x14ac:dyDescent="0.2">
      <c r="A375" s="10" t="s">
        <v>9407</v>
      </c>
      <c r="B375" s="10">
        <v>680.21252508648797</v>
      </c>
      <c r="C375" s="10">
        <v>1.45201139894904</v>
      </c>
      <c r="D375" s="10">
        <v>0.26524685744398802</v>
      </c>
      <c r="E375" s="10">
        <v>5.4741888855578997</v>
      </c>
      <c r="F375" s="4">
        <v>4.3952006816698802E-8</v>
      </c>
      <c r="G375" s="4">
        <v>6.9710764910091897E-7</v>
      </c>
      <c r="H375" s="10" t="s">
        <v>9408</v>
      </c>
      <c r="I375" s="10" t="s">
        <v>18</v>
      </c>
    </row>
    <row r="376" spans="1:9" x14ac:dyDescent="0.2">
      <c r="A376" s="10" t="s">
        <v>1027</v>
      </c>
      <c r="B376" s="10">
        <v>2380.9372713866001</v>
      </c>
      <c r="C376" s="10">
        <v>1.8846638577905199</v>
      </c>
      <c r="D376" s="10">
        <v>0.29277537249337199</v>
      </c>
      <c r="E376" s="10">
        <v>6.4372349413821901</v>
      </c>
      <c r="F376" s="4">
        <v>1.2166953329831601E-10</v>
      </c>
      <c r="G376" s="4">
        <v>2.7647670371446699E-9</v>
      </c>
      <c r="H376" s="10" t="s">
        <v>1028</v>
      </c>
      <c r="I376" s="10" t="s">
        <v>18</v>
      </c>
    </row>
    <row r="377" spans="1:9" x14ac:dyDescent="0.2">
      <c r="A377" s="10" t="s">
        <v>1029</v>
      </c>
      <c r="B377" s="10">
        <v>305.70583537970401</v>
      </c>
      <c r="C377" s="10">
        <v>1.2316401836856199</v>
      </c>
      <c r="D377" s="10">
        <v>0.30530724920957902</v>
      </c>
      <c r="E377" s="10">
        <v>4.0341006866828701</v>
      </c>
      <c r="F377" s="4">
        <v>5.4811813072339099E-5</v>
      </c>
      <c r="G377" s="10">
        <v>4.7692533996357298E-4</v>
      </c>
      <c r="H377" s="10" t="s">
        <v>1030</v>
      </c>
      <c r="I377" s="10" t="s">
        <v>18</v>
      </c>
    </row>
    <row r="378" spans="1:9" x14ac:dyDescent="0.2">
      <c r="A378" s="10" t="s">
        <v>9409</v>
      </c>
      <c r="B378" s="10">
        <v>2207.43177097024</v>
      </c>
      <c r="C378" s="10">
        <v>-1.0663486395022801</v>
      </c>
      <c r="D378" s="10">
        <v>0.25430530018584302</v>
      </c>
      <c r="E378" s="10">
        <v>-4.1931829133054297</v>
      </c>
      <c r="F378" s="4">
        <v>2.7506747085048898E-5</v>
      </c>
      <c r="G378" s="10">
        <v>2.5570296486489502E-4</v>
      </c>
      <c r="H378" s="10" t="s">
        <v>9410</v>
      </c>
      <c r="I378" s="10" t="s">
        <v>18</v>
      </c>
    </row>
    <row r="379" spans="1:9" x14ac:dyDescent="0.2">
      <c r="A379" s="10" t="s">
        <v>9411</v>
      </c>
      <c r="B379" s="10">
        <v>6791.1869254794701</v>
      </c>
      <c r="C379" s="10">
        <v>1.15713234480742</v>
      </c>
      <c r="D379" s="10">
        <v>0.24189021012467199</v>
      </c>
      <c r="E379" s="10">
        <v>4.7837088744146401</v>
      </c>
      <c r="F379" s="4">
        <v>1.72089883481875E-6</v>
      </c>
      <c r="G379" s="4">
        <v>2.0438720580673201E-5</v>
      </c>
      <c r="H379" s="10" t="s">
        <v>9412</v>
      </c>
      <c r="I379" s="10" t="s">
        <v>18</v>
      </c>
    </row>
    <row r="380" spans="1:9" x14ac:dyDescent="0.2">
      <c r="A380" s="10" t="s">
        <v>1051</v>
      </c>
      <c r="B380" s="10">
        <v>2420.2211424868601</v>
      </c>
      <c r="C380" s="10">
        <v>1.57168690863668</v>
      </c>
      <c r="D380" s="10">
        <v>0.27210248854091401</v>
      </c>
      <c r="E380" s="10">
        <v>5.77608428744802</v>
      </c>
      <c r="F380" s="4">
        <v>7.6459082544975505E-9</v>
      </c>
      <c r="G380" s="4">
        <v>1.3708682975187899E-7</v>
      </c>
      <c r="H380" s="10" t="s">
        <v>1052</v>
      </c>
      <c r="I380" s="10" t="s">
        <v>18</v>
      </c>
    </row>
    <row r="381" spans="1:9" x14ac:dyDescent="0.2">
      <c r="A381" s="10" t="s">
        <v>1055</v>
      </c>
      <c r="B381" s="10">
        <v>107.35173055198899</v>
      </c>
      <c r="C381" s="10">
        <v>1.1586623301318699</v>
      </c>
      <c r="D381" s="10">
        <v>0.41266846086652698</v>
      </c>
      <c r="E381" s="10">
        <v>2.8077317265751098</v>
      </c>
      <c r="F381" s="10">
        <v>4.9891770475908497E-3</v>
      </c>
      <c r="G381" s="10">
        <v>2.36663678355927E-2</v>
      </c>
      <c r="H381" s="10" t="s">
        <v>1056</v>
      </c>
      <c r="I381" s="10" t="s">
        <v>18</v>
      </c>
    </row>
    <row r="382" spans="1:9" x14ac:dyDescent="0.2">
      <c r="A382" s="10" t="s">
        <v>9413</v>
      </c>
      <c r="B382" s="10">
        <v>281.15576625835399</v>
      </c>
      <c r="C382" s="10">
        <v>-1.0104188550587501</v>
      </c>
      <c r="D382" s="10">
        <v>0.32160028935118601</v>
      </c>
      <c r="E382" s="10">
        <v>-3.14184684689564</v>
      </c>
      <c r="F382" s="10">
        <v>1.67885828321062E-3</v>
      </c>
      <c r="G382" s="10">
        <v>9.4753601333100995E-3</v>
      </c>
      <c r="H382" s="10" t="s">
        <v>9414</v>
      </c>
      <c r="I382" s="10" t="s">
        <v>18</v>
      </c>
    </row>
    <row r="383" spans="1:9" x14ac:dyDescent="0.2">
      <c r="A383" s="10" t="s">
        <v>1065</v>
      </c>
      <c r="B383" s="10">
        <v>1360.8333285640999</v>
      </c>
      <c r="C383" s="10">
        <v>-1.28110647083127</v>
      </c>
      <c r="D383" s="10">
        <v>0.29456873325472599</v>
      </c>
      <c r="E383" s="10">
        <v>-4.3490918288447196</v>
      </c>
      <c r="F383" s="4">
        <v>1.36702465281619E-5</v>
      </c>
      <c r="G383" s="10">
        <v>1.3549056399366101E-4</v>
      </c>
      <c r="H383" s="10" t="s">
        <v>1066</v>
      </c>
      <c r="I383" s="10" t="s">
        <v>18</v>
      </c>
    </row>
    <row r="384" spans="1:9" x14ac:dyDescent="0.2">
      <c r="A384" s="10" t="s">
        <v>9415</v>
      </c>
      <c r="B384" s="10">
        <v>2921.6456181295698</v>
      </c>
      <c r="C384" s="10">
        <v>1.2245021628394499</v>
      </c>
      <c r="D384" s="10">
        <v>0.24258062975438099</v>
      </c>
      <c r="E384" s="10">
        <v>5.0478150876238201</v>
      </c>
      <c r="F384" s="4">
        <v>4.4689135933012702E-7</v>
      </c>
      <c r="G384" s="4">
        <v>5.9891060969362603E-6</v>
      </c>
      <c r="H384" s="10" t="s">
        <v>9416</v>
      </c>
      <c r="I384" s="10" t="s">
        <v>18</v>
      </c>
    </row>
    <row r="385" spans="1:9" x14ac:dyDescent="0.2">
      <c r="A385" s="10" t="s">
        <v>9417</v>
      </c>
      <c r="B385" s="10">
        <v>574.78789116340999</v>
      </c>
      <c r="C385" s="10">
        <v>-1.48454697396991</v>
      </c>
      <c r="D385" s="10">
        <v>0.29372285220429001</v>
      </c>
      <c r="E385" s="10">
        <v>-5.05424403593008</v>
      </c>
      <c r="F385" s="4">
        <v>4.3209882573026198E-7</v>
      </c>
      <c r="G385" s="4">
        <v>5.80013124933017E-6</v>
      </c>
      <c r="H385" s="10" t="s">
        <v>9418</v>
      </c>
      <c r="I385" s="10" t="s">
        <v>18</v>
      </c>
    </row>
    <row r="386" spans="1:9" x14ac:dyDescent="0.2">
      <c r="A386" s="10" t="s">
        <v>9419</v>
      </c>
      <c r="B386" s="10">
        <v>47.868539604081398</v>
      </c>
      <c r="C386" s="10">
        <v>-2.31935370251961</v>
      </c>
      <c r="D386" s="10">
        <v>0.55254329708733496</v>
      </c>
      <c r="E386" s="10">
        <v>-4.1975963055670098</v>
      </c>
      <c r="F386" s="4">
        <v>2.6976295174199201E-5</v>
      </c>
      <c r="G386" s="10">
        <v>2.51515457786131E-4</v>
      </c>
      <c r="H386" s="10" t="s">
        <v>9420</v>
      </c>
      <c r="I386" s="10" t="s">
        <v>18</v>
      </c>
    </row>
    <row r="387" spans="1:9" x14ac:dyDescent="0.2">
      <c r="A387" s="10" t="s">
        <v>9421</v>
      </c>
      <c r="B387" s="10">
        <v>811.12563654648204</v>
      </c>
      <c r="C387" s="10">
        <v>-1.12009779601172</v>
      </c>
      <c r="D387" s="10">
        <v>0.28874094683065099</v>
      </c>
      <c r="E387" s="10">
        <v>-3.8792481922166302</v>
      </c>
      <c r="F387" s="10">
        <v>1.04779804472732E-4</v>
      </c>
      <c r="G387" s="10">
        <v>8.46958862953593E-4</v>
      </c>
      <c r="H387" s="10" t="s">
        <v>9422</v>
      </c>
      <c r="I387" s="10" t="s">
        <v>18</v>
      </c>
    </row>
    <row r="388" spans="1:9" x14ac:dyDescent="0.2">
      <c r="A388" s="10" t="s">
        <v>9423</v>
      </c>
      <c r="B388" s="10">
        <v>1296.84087479596</v>
      </c>
      <c r="C388" s="10">
        <v>1.1022916144392401</v>
      </c>
      <c r="D388" s="10">
        <v>0.25448095763394102</v>
      </c>
      <c r="E388" s="10">
        <v>4.3315288683597304</v>
      </c>
      <c r="F388" s="4">
        <v>1.48077527965633E-5</v>
      </c>
      <c r="G388" s="10">
        <v>1.45788266770078E-4</v>
      </c>
      <c r="H388" s="10" t="s">
        <v>9424</v>
      </c>
      <c r="I388" s="10" t="s">
        <v>18</v>
      </c>
    </row>
    <row r="389" spans="1:9" x14ac:dyDescent="0.2">
      <c r="A389" s="10" t="s">
        <v>1071</v>
      </c>
      <c r="B389" s="10">
        <v>2963.2412645271502</v>
      </c>
      <c r="C389" s="10">
        <v>-1.6951514979411499</v>
      </c>
      <c r="D389" s="10">
        <v>0.24677662262215699</v>
      </c>
      <c r="E389" s="10">
        <v>-6.8691737488304101</v>
      </c>
      <c r="F389" s="4">
        <v>6.45748182280261E-12</v>
      </c>
      <c r="G389" s="4">
        <v>1.6999132433284299E-10</v>
      </c>
      <c r="H389" s="10" t="s">
        <v>1072</v>
      </c>
      <c r="I389" s="10" t="s">
        <v>18</v>
      </c>
    </row>
    <row r="390" spans="1:9" x14ac:dyDescent="0.2">
      <c r="A390" s="10" t="s">
        <v>1073</v>
      </c>
      <c r="B390" s="10">
        <v>4351.1586372612501</v>
      </c>
      <c r="C390" s="10">
        <v>-2.6341838378176901</v>
      </c>
      <c r="D390" s="10">
        <v>0.26599107549416201</v>
      </c>
      <c r="E390" s="10">
        <v>-9.9032790213877497</v>
      </c>
      <c r="F390" s="4">
        <v>4.0284577342524999E-23</v>
      </c>
      <c r="G390" s="4">
        <v>2.6808427064847002E-21</v>
      </c>
      <c r="H390" s="10" t="s">
        <v>1074</v>
      </c>
      <c r="I390" s="10" t="s">
        <v>18</v>
      </c>
    </row>
    <row r="391" spans="1:9" x14ac:dyDescent="0.2">
      <c r="A391" s="10" t="s">
        <v>9425</v>
      </c>
      <c r="B391" s="10">
        <v>49.197541624383597</v>
      </c>
      <c r="C391" s="10">
        <v>-1.4834798824742901</v>
      </c>
      <c r="D391" s="10">
        <v>0.52065183013687699</v>
      </c>
      <c r="E391" s="10">
        <v>-2.8492743069476698</v>
      </c>
      <c r="F391" s="10">
        <v>4.3819082694526203E-3</v>
      </c>
      <c r="G391" s="10">
        <v>2.1238324184601299E-2</v>
      </c>
      <c r="H391" s="10" t="s">
        <v>9426</v>
      </c>
      <c r="I391" s="10" t="s">
        <v>18</v>
      </c>
    </row>
    <row r="392" spans="1:9" x14ac:dyDescent="0.2">
      <c r="A392" s="10" t="s">
        <v>9427</v>
      </c>
      <c r="B392" s="10">
        <v>579.41844734706694</v>
      </c>
      <c r="C392" s="10">
        <v>-1.0034525036811901</v>
      </c>
      <c r="D392" s="10">
        <v>0.28789570008950499</v>
      </c>
      <c r="E392" s="10">
        <v>-3.4854723546382398</v>
      </c>
      <c r="F392" s="10">
        <v>4.9126898355672998E-4</v>
      </c>
      <c r="G392" s="10">
        <v>3.2901680727820898E-3</v>
      </c>
      <c r="H392" s="10" t="s">
        <v>9428</v>
      </c>
      <c r="I392" s="10" t="s">
        <v>18</v>
      </c>
    </row>
    <row r="393" spans="1:9" x14ac:dyDescent="0.2">
      <c r="A393" s="10" t="s">
        <v>9429</v>
      </c>
      <c r="B393" s="10">
        <v>337.12424375104803</v>
      </c>
      <c r="C393" s="10">
        <v>-1.22832864677989</v>
      </c>
      <c r="D393" s="10">
        <v>0.29837555851620701</v>
      </c>
      <c r="E393" s="10">
        <v>-4.1167200587348596</v>
      </c>
      <c r="F393" s="4">
        <v>3.84302387550355E-5</v>
      </c>
      <c r="G393" s="10">
        <v>3.4574844631005602E-4</v>
      </c>
      <c r="H393" s="10" t="s">
        <v>9430</v>
      </c>
      <c r="I393" s="10" t="s">
        <v>18</v>
      </c>
    </row>
    <row r="394" spans="1:9" x14ac:dyDescent="0.2">
      <c r="A394" s="10" t="s">
        <v>1085</v>
      </c>
      <c r="B394" s="10">
        <v>1201.9880488420099</v>
      </c>
      <c r="C394" s="10">
        <v>-2.2884673124442099</v>
      </c>
      <c r="D394" s="10">
        <v>0.28191459137510899</v>
      </c>
      <c r="E394" s="10">
        <v>-8.1175908677931297</v>
      </c>
      <c r="F394" s="4">
        <v>4.7552873940231302E-16</v>
      </c>
      <c r="G394" s="4">
        <v>1.9078031004250702E-14</v>
      </c>
      <c r="H394" s="10" t="s">
        <v>1086</v>
      </c>
      <c r="I394" s="10" t="s">
        <v>18</v>
      </c>
    </row>
    <row r="395" spans="1:9" x14ac:dyDescent="0.2">
      <c r="A395" s="10" t="s">
        <v>1087</v>
      </c>
      <c r="B395" s="10">
        <v>7719.4893219436899</v>
      </c>
      <c r="C395" s="10">
        <v>1.68204207304621</v>
      </c>
      <c r="D395" s="10">
        <v>0.24519344404438601</v>
      </c>
      <c r="E395" s="10">
        <v>6.8600613674716202</v>
      </c>
      <c r="F395" s="4">
        <v>6.8830972996559301E-12</v>
      </c>
      <c r="G395" s="4">
        <v>1.8054672843883701E-10</v>
      </c>
      <c r="H395" s="10" t="s">
        <v>1088</v>
      </c>
      <c r="I395" s="10" t="s">
        <v>18</v>
      </c>
    </row>
    <row r="396" spans="1:9" x14ac:dyDescent="0.2">
      <c r="A396" s="10" t="s">
        <v>9431</v>
      </c>
      <c r="B396" s="10">
        <v>6911.5683048556502</v>
      </c>
      <c r="C396" s="10">
        <v>1.5315155413346599</v>
      </c>
      <c r="D396" s="10">
        <v>0.23262514529853201</v>
      </c>
      <c r="E396" s="10">
        <v>6.58361992367265</v>
      </c>
      <c r="F396" s="4">
        <v>4.5912992866938701E-11</v>
      </c>
      <c r="G396" s="4">
        <v>1.0978529805778001E-9</v>
      </c>
      <c r="H396" s="10" t="s">
        <v>9432</v>
      </c>
      <c r="I396" s="10" t="s">
        <v>18</v>
      </c>
    </row>
    <row r="397" spans="1:9" x14ac:dyDescent="0.2">
      <c r="A397" s="10" t="s">
        <v>9433</v>
      </c>
      <c r="B397" s="10">
        <v>87.880857082521004</v>
      </c>
      <c r="C397" s="10">
        <v>-1.86885508151891</v>
      </c>
      <c r="D397" s="10">
        <v>0.51622564195564402</v>
      </c>
      <c r="E397" s="10">
        <v>-3.6202290812967601</v>
      </c>
      <c r="F397" s="10">
        <v>2.9434230123192201E-4</v>
      </c>
      <c r="G397" s="10">
        <v>2.1070519600139498E-3</v>
      </c>
      <c r="H397" s="10" t="s">
        <v>9434</v>
      </c>
      <c r="I397" s="10" t="s">
        <v>18</v>
      </c>
    </row>
    <row r="398" spans="1:9" x14ac:dyDescent="0.2">
      <c r="A398" s="10" t="s">
        <v>1107</v>
      </c>
      <c r="B398" s="10">
        <v>88.308320156384198</v>
      </c>
      <c r="C398" s="10">
        <v>-1.6348654456115801</v>
      </c>
      <c r="D398" s="10">
        <v>0.44019462272167398</v>
      </c>
      <c r="E398" s="10">
        <v>-3.71396051024746</v>
      </c>
      <c r="F398" s="10">
        <v>2.0404064749015099E-4</v>
      </c>
      <c r="G398" s="10">
        <v>1.5198822883076E-3</v>
      </c>
      <c r="H398" s="10" t="s">
        <v>1108</v>
      </c>
      <c r="I398" s="10" t="s">
        <v>18</v>
      </c>
    </row>
    <row r="399" spans="1:9" x14ac:dyDescent="0.2">
      <c r="A399" s="10" t="s">
        <v>1109</v>
      </c>
      <c r="B399" s="10">
        <v>83.759045847077303</v>
      </c>
      <c r="C399" s="10">
        <v>1.34732611817919</v>
      </c>
      <c r="D399" s="10">
        <v>0.45504088640947199</v>
      </c>
      <c r="E399" s="10">
        <v>2.9608902373813999</v>
      </c>
      <c r="F399" s="10">
        <v>3.0675123960006E-3</v>
      </c>
      <c r="G399" s="10">
        <v>1.5712334416899801E-2</v>
      </c>
      <c r="H399" s="10" t="s">
        <v>1110</v>
      </c>
      <c r="I399" s="10" t="s">
        <v>18</v>
      </c>
    </row>
    <row r="400" spans="1:9" x14ac:dyDescent="0.2">
      <c r="A400" s="10" t="s">
        <v>9435</v>
      </c>
      <c r="B400" s="10">
        <v>134.762764767661</v>
      </c>
      <c r="C400" s="10">
        <v>-3.15584211265532</v>
      </c>
      <c r="D400" s="10">
        <v>0.422956054956731</v>
      </c>
      <c r="E400" s="10">
        <v>-7.4613948084468502</v>
      </c>
      <c r="F400" s="4">
        <v>8.5611297175938096E-14</v>
      </c>
      <c r="G400" s="4">
        <v>2.7645085756877101E-12</v>
      </c>
      <c r="H400" s="10" t="s">
        <v>9436</v>
      </c>
      <c r="I400" s="10" t="s">
        <v>18</v>
      </c>
    </row>
    <row r="401" spans="1:9" x14ac:dyDescent="0.2">
      <c r="A401" s="10" t="s">
        <v>9437</v>
      </c>
      <c r="B401" s="10">
        <v>204.38491101563301</v>
      </c>
      <c r="C401" s="10">
        <v>2.48050837315443</v>
      </c>
      <c r="D401" s="10">
        <v>0.34511199357368499</v>
      </c>
      <c r="E401" s="10">
        <v>7.1875461280508004</v>
      </c>
      <c r="F401" s="4">
        <v>6.5966119338691398E-13</v>
      </c>
      <c r="G401" s="4">
        <v>1.9430652599119201E-11</v>
      </c>
      <c r="H401" s="10" t="s">
        <v>9438</v>
      </c>
      <c r="I401" s="10" t="s">
        <v>18</v>
      </c>
    </row>
    <row r="402" spans="1:9" x14ac:dyDescent="0.2">
      <c r="A402" s="10" t="s">
        <v>9439</v>
      </c>
      <c r="B402" s="10">
        <v>3056.6395014868599</v>
      </c>
      <c r="C402" s="10">
        <v>1.29968252109501</v>
      </c>
      <c r="D402" s="10">
        <v>0.26780912441875099</v>
      </c>
      <c r="E402" s="10">
        <v>4.8530180736590802</v>
      </c>
      <c r="F402" s="4">
        <v>1.2159660417858101E-6</v>
      </c>
      <c r="G402" s="4">
        <v>1.48772498935419E-5</v>
      </c>
      <c r="H402" s="10" t="s">
        <v>9440</v>
      </c>
      <c r="I402" s="10" t="s">
        <v>18</v>
      </c>
    </row>
    <row r="403" spans="1:9" x14ac:dyDescent="0.2">
      <c r="A403" s="10" t="s">
        <v>1115</v>
      </c>
      <c r="B403" s="10">
        <v>299.335358894975</v>
      </c>
      <c r="C403" s="10">
        <v>-1.00930127344608</v>
      </c>
      <c r="D403" s="10">
        <v>0.32868181874612501</v>
      </c>
      <c r="E403" s="10">
        <v>-3.0707548026125302</v>
      </c>
      <c r="F403" s="10">
        <v>2.1351841578237602E-3</v>
      </c>
      <c r="G403" s="10">
        <v>1.15727306147768E-2</v>
      </c>
      <c r="H403" s="10" t="s">
        <v>1116</v>
      </c>
      <c r="I403" s="10" t="s">
        <v>18</v>
      </c>
    </row>
    <row r="404" spans="1:9" x14ac:dyDescent="0.2">
      <c r="A404" s="10" t="s">
        <v>9441</v>
      </c>
      <c r="B404" s="10">
        <v>1080.07316679512</v>
      </c>
      <c r="C404" s="10">
        <v>-1.4197809277169</v>
      </c>
      <c r="D404" s="10">
        <v>0.31859332947636498</v>
      </c>
      <c r="E404" s="10">
        <v>-4.4564050667678101</v>
      </c>
      <c r="F404" s="4">
        <v>8.3345483555760093E-6</v>
      </c>
      <c r="G404" s="4">
        <v>8.7280479364230796E-5</v>
      </c>
      <c r="H404" s="10" t="s">
        <v>9442</v>
      </c>
      <c r="I404" s="10" t="s">
        <v>18</v>
      </c>
    </row>
    <row r="405" spans="1:9" x14ac:dyDescent="0.2">
      <c r="A405" s="10" t="s">
        <v>1117</v>
      </c>
      <c r="B405" s="10">
        <v>388.89624786605401</v>
      </c>
      <c r="C405" s="10">
        <v>3.4232972036680298</v>
      </c>
      <c r="D405" s="10">
        <v>0.319637713109307</v>
      </c>
      <c r="E405" s="10">
        <v>10.7099289704196</v>
      </c>
      <c r="F405" s="4">
        <v>9.1431937273022807E-27</v>
      </c>
      <c r="G405" s="4">
        <v>7.9860082711905904E-25</v>
      </c>
      <c r="H405" s="10" t="s">
        <v>1118</v>
      </c>
      <c r="I405" s="10" t="s">
        <v>18</v>
      </c>
    </row>
    <row r="406" spans="1:9" x14ac:dyDescent="0.2">
      <c r="A406" s="10" t="s">
        <v>1121</v>
      </c>
      <c r="B406" s="10">
        <v>2524.53555337836</v>
      </c>
      <c r="C406" s="10">
        <v>-1.03381702445614</v>
      </c>
      <c r="D406" s="10">
        <v>0.26832929624726698</v>
      </c>
      <c r="E406" s="10">
        <v>-3.8527922180493799</v>
      </c>
      <c r="F406" s="10">
        <v>1.1677848249365E-4</v>
      </c>
      <c r="G406" s="10">
        <v>9.3053357035097401E-4</v>
      </c>
      <c r="H406" s="10" t="s">
        <v>1122</v>
      </c>
      <c r="I406" s="10" t="s">
        <v>18</v>
      </c>
    </row>
    <row r="407" spans="1:9" x14ac:dyDescent="0.2">
      <c r="A407" s="10" t="s">
        <v>9443</v>
      </c>
      <c r="B407" s="10">
        <v>949.30158658209598</v>
      </c>
      <c r="C407" s="10">
        <v>-1.20809906930245</v>
      </c>
      <c r="D407" s="10">
        <v>0.26625224873333497</v>
      </c>
      <c r="E407" s="10">
        <v>-4.5374229703217202</v>
      </c>
      <c r="F407" s="4">
        <v>5.6945820242025498E-6</v>
      </c>
      <c r="G407" s="4">
        <v>6.1824432809156295E-5</v>
      </c>
      <c r="H407" s="10" t="s">
        <v>9444</v>
      </c>
      <c r="I407" s="10" t="s">
        <v>18</v>
      </c>
    </row>
    <row r="408" spans="1:9" x14ac:dyDescent="0.2">
      <c r="A408" s="10" t="s">
        <v>1125</v>
      </c>
      <c r="B408" s="10">
        <v>3634.24800371122</v>
      </c>
      <c r="C408" s="10">
        <v>-1.1066367051314201</v>
      </c>
      <c r="D408" s="10">
        <v>0.29049281318672199</v>
      </c>
      <c r="E408" s="10">
        <v>-3.8095149170527098</v>
      </c>
      <c r="F408" s="10">
        <v>1.39239706110931E-4</v>
      </c>
      <c r="G408" s="10">
        <v>1.0857330462555701E-3</v>
      </c>
      <c r="H408" s="10" t="s">
        <v>1126</v>
      </c>
      <c r="I408" s="10" t="s">
        <v>18</v>
      </c>
    </row>
    <row r="409" spans="1:9" x14ac:dyDescent="0.2">
      <c r="A409" s="10" t="s">
        <v>9445</v>
      </c>
      <c r="B409" s="10">
        <v>24.737776923333399</v>
      </c>
      <c r="C409" s="10">
        <v>-2.8107805738195801</v>
      </c>
      <c r="D409" s="10">
        <v>0.79112180224881801</v>
      </c>
      <c r="E409" s="10">
        <v>-3.5529049582880199</v>
      </c>
      <c r="F409" s="10">
        <v>3.81002091528613E-4</v>
      </c>
      <c r="G409" s="10">
        <v>2.6380698079830102E-3</v>
      </c>
      <c r="H409" s="10" t="s">
        <v>9446</v>
      </c>
      <c r="I409" s="10" t="s">
        <v>18</v>
      </c>
    </row>
    <row r="410" spans="1:9" x14ac:dyDescent="0.2">
      <c r="A410" s="10" t="s">
        <v>1131</v>
      </c>
      <c r="B410" s="10">
        <v>1511.86235285618</v>
      </c>
      <c r="C410" s="10">
        <v>3.8519051427708701</v>
      </c>
      <c r="D410" s="10">
        <v>0.27164632501154001</v>
      </c>
      <c r="E410" s="10">
        <v>14.1798536851446</v>
      </c>
      <c r="F410" s="4">
        <v>1.22100867486534E-45</v>
      </c>
      <c r="G410" s="4">
        <v>2.6708237579337001E-43</v>
      </c>
      <c r="H410" s="10" t="s">
        <v>1132</v>
      </c>
      <c r="I410" s="10" t="s">
        <v>18</v>
      </c>
    </row>
    <row r="411" spans="1:9" x14ac:dyDescent="0.2">
      <c r="A411" s="10" t="s">
        <v>9447</v>
      </c>
      <c r="B411" s="10">
        <v>77.247054917558401</v>
      </c>
      <c r="C411" s="10">
        <v>-1.3892142532921501</v>
      </c>
      <c r="D411" s="10">
        <v>0.46609978694861398</v>
      </c>
      <c r="E411" s="10">
        <v>-2.9805082349143102</v>
      </c>
      <c r="F411" s="10">
        <v>2.8777050072910002E-3</v>
      </c>
      <c r="G411" s="10">
        <v>1.48877026282528E-2</v>
      </c>
      <c r="H411" s="10" t="s">
        <v>9448</v>
      </c>
      <c r="I411" s="10" t="s">
        <v>18</v>
      </c>
    </row>
    <row r="412" spans="1:9" x14ac:dyDescent="0.2">
      <c r="A412" s="10" t="s">
        <v>9449</v>
      </c>
      <c r="B412" s="10">
        <v>77.822762719977305</v>
      </c>
      <c r="C412" s="10">
        <v>-2.0035806028797301</v>
      </c>
      <c r="D412" s="10">
        <v>0.479734048364168</v>
      </c>
      <c r="E412" s="10">
        <v>-4.1764402791748596</v>
      </c>
      <c r="F412" s="4">
        <v>2.9610643668029402E-5</v>
      </c>
      <c r="G412" s="10">
        <v>2.7274102580347102E-4</v>
      </c>
      <c r="H412" s="10" t="s">
        <v>9450</v>
      </c>
      <c r="I412" s="10" t="s">
        <v>18</v>
      </c>
    </row>
    <row r="413" spans="1:9" x14ac:dyDescent="0.2">
      <c r="A413" s="10" t="s">
        <v>1135</v>
      </c>
      <c r="B413" s="10">
        <v>8549.4143675400792</v>
      </c>
      <c r="C413" s="10">
        <v>-1.36382852661454</v>
      </c>
      <c r="D413" s="10">
        <v>0.25552869710566201</v>
      </c>
      <c r="E413" s="10">
        <v>-5.3372812606272397</v>
      </c>
      <c r="F413" s="4">
        <v>9.4350621923947202E-8</v>
      </c>
      <c r="G413" s="4">
        <v>1.4169491907444099E-6</v>
      </c>
      <c r="H413" s="10" t="s">
        <v>1136</v>
      </c>
      <c r="I413" s="10" t="s">
        <v>18</v>
      </c>
    </row>
    <row r="414" spans="1:9" x14ac:dyDescent="0.2">
      <c r="A414" s="10" t="s">
        <v>9451</v>
      </c>
      <c r="B414" s="10">
        <v>70.353985759630007</v>
      </c>
      <c r="C414" s="10">
        <v>-2.3181218387298701</v>
      </c>
      <c r="D414" s="10">
        <v>0.48260962570389299</v>
      </c>
      <c r="E414" s="10">
        <v>-4.8033062650767802</v>
      </c>
      <c r="F414" s="4">
        <v>1.56066889823136E-6</v>
      </c>
      <c r="G414" s="4">
        <v>1.87124052121114E-5</v>
      </c>
      <c r="H414" s="10" t="s">
        <v>9452</v>
      </c>
      <c r="I414" s="10" t="s">
        <v>18</v>
      </c>
    </row>
    <row r="415" spans="1:9" x14ac:dyDescent="0.2">
      <c r="A415" s="10" t="s">
        <v>9453</v>
      </c>
      <c r="B415" s="10">
        <v>14947.343391100099</v>
      </c>
      <c r="C415" s="10">
        <v>-1.1623608639454499</v>
      </c>
      <c r="D415" s="10">
        <v>0.29853376558598799</v>
      </c>
      <c r="E415" s="10">
        <v>-3.8935658137827902</v>
      </c>
      <c r="F415" s="4">
        <v>9.87813865714721E-5</v>
      </c>
      <c r="G415" s="10">
        <v>8.0311757569663305E-4</v>
      </c>
      <c r="H415" s="10" t="s">
        <v>9454</v>
      </c>
      <c r="I415" s="10" t="s">
        <v>18</v>
      </c>
    </row>
    <row r="416" spans="1:9" x14ac:dyDescent="0.2">
      <c r="A416" s="10" t="s">
        <v>1147</v>
      </c>
      <c r="B416" s="10">
        <v>8329.14974565579</v>
      </c>
      <c r="C416" s="10">
        <v>2.98938343990796</v>
      </c>
      <c r="D416" s="10">
        <v>0.26398802601454102</v>
      </c>
      <c r="E416" s="10">
        <v>11.323935729355</v>
      </c>
      <c r="F416" s="4">
        <v>9.98846215701361E-30</v>
      </c>
      <c r="G416" s="4">
        <v>1.0010349225485199E-27</v>
      </c>
      <c r="H416" s="10" t="s">
        <v>1148</v>
      </c>
      <c r="I416" s="10" t="s">
        <v>18</v>
      </c>
    </row>
    <row r="417" spans="1:9" x14ac:dyDescent="0.2">
      <c r="A417" s="10" t="s">
        <v>1149</v>
      </c>
      <c r="B417" s="10">
        <v>19.802348677262501</v>
      </c>
      <c r="C417" s="10">
        <v>2.58565583094272</v>
      </c>
      <c r="D417" s="10">
        <v>0.82183702953118798</v>
      </c>
      <c r="E417" s="10">
        <v>3.1461904708987101</v>
      </c>
      <c r="F417" s="10">
        <v>1.6541224415644799E-3</v>
      </c>
      <c r="G417" s="10">
        <v>9.3483374562018506E-3</v>
      </c>
      <c r="H417" s="10" t="s">
        <v>1150</v>
      </c>
      <c r="I417" s="10" t="s">
        <v>18</v>
      </c>
    </row>
    <row r="418" spans="1:9" x14ac:dyDescent="0.2">
      <c r="A418" s="10" t="s">
        <v>1151</v>
      </c>
      <c r="B418" s="10">
        <v>1611.2124173168199</v>
      </c>
      <c r="C418" s="10">
        <v>2.2654146907742101</v>
      </c>
      <c r="D418" s="10">
        <v>0.25624867501938903</v>
      </c>
      <c r="E418" s="10">
        <v>8.8406884078631904</v>
      </c>
      <c r="F418" s="4">
        <v>9.5130621271034695E-19</v>
      </c>
      <c r="G418" s="4">
        <v>4.6738491759235898E-17</v>
      </c>
      <c r="H418" s="10" t="s">
        <v>1152</v>
      </c>
      <c r="I418" s="10" t="s">
        <v>18</v>
      </c>
    </row>
    <row r="419" spans="1:9" x14ac:dyDescent="0.2">
      <c r="A419" s="10" t="s">
        <v>1153</v>
      </c>
      <c r="B419" s="10">
        <v>367.55659800470801</v>
      </c>
      <c r="C419" s="10">
        <v>1.9445180640928099</v>
      </c>
      <c r="D419" s="10">
        <v>0.34126181786881199</v>
      </c>
      <c r="E419" s="10">
        <v>5.6980241042972999</v>
      </c>
      <c r="F419" s="4">
        <v>1.2120391816660899E-8</v>
      </c>
      <c r="G419" s="4">
        <v>2.1143443560894901E-7</v>
      </c>
      <c r="H419" s="10" t="s">
        <v>1154</v>
      </c>
      <c r="I419" s="10" t="s">
        <v>18</v>
      </c>
    </row>
    <row r="420" spans="1:9" x14ac:dyDescent="0.2">
      <c r="A420" s="10" t="s">
        <v>9455</v>
      </c>
      <c r="B420" s="10">
        <v>443.83883201907997</v>
      </c>
      <c r="C420" s="10">
        <v>4.0131401360850898</v>
      </c>
      <c r="D420" s="10">
        <v>0.31276476115956803</v>
      </c>
      <c r="E420" s="10">
        <v>12.8311774037665</v>
      </c>
      <c r="F420" s="4">
        <v>1.0968451903109E-37</v>
      </c>
      <c r="G420" s="4">
        <v>1.6230082801335701E-35</v>
      </c>
      <c r="H420" s="10" t="s">
        <v>9456</v>
      </c>
      <c r="I420" s="10" t="s">
        <v>18</v>
      </c>
    </row>
    <row r="421" spans="1:9" x14ac:dyDescent="0.2">
      <c r="A421" s="10" t="s">
        <v>1155</v>
      </c>
      <c r="B421" s="10">
        <v>2017.44607507821</v>
      </c>
      <c r="C421" s="10">
        <v>1.11440442574957</v>
      </c>
      <c r="D421" s="10">
        <v>0.27205676927626199</v>
      </c>
      <c r="E421" s="10">
        <v>4.09622017020257</v>
      </c>
      <c r="F421" s="4">
        <v>4.1995055752612698E-5</v>
      </c>
      <c r="G421" s="10">
        <v>3.7473771814720499E-4</v>
      </c>
      <c r="H421" s="10" t="s">
        <v>1156</v>
      </c>
      <c r="I421" s="10" t="s">
        <v>18</v>
      </c>
    </row>
    <row r="422" spans="1:9" x14ac:dyDescent="0.2">
      <c r="A422" s="10" t="s">
        <v>9457</v>
      </c>
      <c r="B422" s="10">
        <v>4817.7902818308503</v>
      </c>
      <c r="C422" s="10">
        <v>-1.03229275749694</v>
      </c>
      <c r="D422" s="10">
        <v>0.24052034535696701</v>
      </c>
      <c r="E422" s="10">
        <v>-4.2919144988124396</v>
      </c>
      <c r="F422" s="4">
        <v>1.771391615314E-5</v>
      </c>
      <c r="G422" s="10">
        <v>1.7211029773357901E-4</v>
      </c>
      <c r="H422" s="10" t="s">
        <v>9458</v>
      </c>
      <c r="I422" s="10" t="s">
        <v>18</v>
      </c>
    </row>
    <row r="423" spans="1:9" x14ac:dyDescent="0.2">
      <c r="A423" s="10" t="s">
        <v>1161</v>
      </c>
      <c r="B423" s="10">
        <v>2797.28320962099</v>
      </c>
      <c r="C423" s="10">
        <v>-5.1034910174191799</v>
      </c>
      <c r="D423" s="10">
        <v>0.29586264750297703</v>
      </c>
      <c r="E423" s="10">
        <v>-17.249527983649301</v>
      </c>
      <c r="F423" s="4">
        <v>1.12817257555418E-66</v>
      </c>
      <c r="G423" s="4">
        <v>5.3545624788802799E-64</v>
      </c>
      <c r="H423" s="10" t="s">
        <v>1162</v>
      </c>
      <c r="I423" s="10" t="s">
        <v>18</v>
      </c>
    </row>
    <row r="424" spans="1:9" x14ac:dyDescent="0.2">
      <c r="A424" s="10" t="s">
        <v>1163</v>
      </c>
      <c r="B424" s="10">
        <v>372.38107414208099</v>
      </c>
      <c r="C424" s="10">
        <v>8.6168297178208597</v>
      </c>
      <c r="D424" s="10">
        <v>0.77817072973123602</v>
      </c>
      <c r="E424" s="10">
        <v>11.073186626791999</v>
      </c>
      <c r="F424" s="4">
        <v>1.6927222418641199E-28</v>
      </c>
      <c r="G424" s="4">
        <v>1.5829155388138301E-26</v>
      </c>
      <c r="H424" s="10" t="s">
        <v>1164</v>
      </c>
      <c r="I424" s="10" t="s">
        <v>18</v>
      </c>
    </row>
    <row r="425" spans="1:9" x14ac:dyDescent="0.2">
      <c r="A425" s="10" t="s">
        <v>1167</v>
      </c>
      <c r="B425" s="10">
        <v>17.808114459438499</v>
      </c>
      <c r="C425" s="10">
        <v>3.8193468493090901</v>
      </c>
      <c r="D425" s="10">
        <v>0.98499384692291603</v>
      </c>
      <c r="E425" s="10">
        <v>3.87753371377962</v>
      </c>
      <c r="F425" s="10">
        <v>1.05520708907441E-4</v>
      </c>
      <c r="G425" s="10">
        <v>8.5267376568155795E-4</v>
      </c>
      <c r="H425" s="10" t="s">
        <v>1168</v>
      </c>
      <c r="I425" s="10" t="s">
        <v>18</v>
      </c>
    </row>
    <row r="426" spans="1:9" x14ac:dyDescent="0.2">
      <c r="A426" s="10" t="s">
        <v>1171</v>
      </c>
      <c r="B426" s="10">
        <v>644.97316733520597</v>
      </c>
      <c r="C426" s="10">
        <v>-2.4808481873973398</v>
      </c>
      <c r="D426" s="10">
        <v>0.31116735330446099</v>
      </c>
      <c r="E426" s="10">
        <v>-7.9727135930290203</v>
      </c>
      <c r="F426" s="4">
        <v>1.55227631041927E-15</v>
      </c>
      <c r="G426" s="4">
        <v>5.9433045035915695E-14</v>
      </c>
      <c r="H426" s="10" t="s">
        <v>1172</v>
      </c>
      <c r="I426" s="10" t="s">
        <v>18</v>
      </c>
    </row>
    <row r="427" spans="1:9" x14ac:dyDescent="0.2">
      <c r="A427" s="10" t="s">
        <v>1183</v>
      </c>
      <c r="B427" s="10">
        <v>595.26764412084697</v>
      </c>
      <c r="C427" s="10">
        <v>1.90311708911771</v>
      </c>
      <c r="D427" s="10">
        <v>0.27716210806991398</v>
      </c>
      <c r="E427" s="10">
        <v>6.8664403744455802</v>
      </c>
      <c r="F427" s="4">
        <v>6.5823669211817401E-12</v>
      </c>
      <c r="G427" s="4">
        <v>1.7283866378113401E-10</v>
      </c>
      <c r="H427" s="10" t="s">
        <v>1184</v>
      </c>
      <c r="I427" s="10" t="s">
        <v>18</v>
      </c>
    </row>
    <row r="428" spans="1:9" x14ac:dyDescent="0.2">
      <c r="A428" s="10" t="s">
        <v>9459</v>
      </c>
      <c r="B428" s="10">
        <v>5376.23896490066</v>
      </c>
      <c r="C428" s="10">
        <v>1.44683833863989</v>
      </c>
      <c r="D428" s="10">
        <v>0.241216547812733</v>
      </c>
      <c r="E428" s="10">
        <v>5.9980890687612796</v>
      </c>
      <c r="F428" s="4">
        <v>1.9965300970231101E-9</v>
      </c>
      <c r="G428" s="4">
        <v>3.8752094591525001E-8</v>
      </c>
      <c r="H428" s="10" t="s">
        <v>9460</v>
      </c>
      <c r="I428" s="10" t="s">
        <v>18</v>
      </c>
    </row>
    <row r="429" spans="1:9" x14ac:dyDescent="0.2">
      <c r="A429" s="10" t="s">
        <v>9461</v>
      </c>
      <c r="B429" s="10">
        <v>46.928991733639897</v>
      </c>
      <c r="C429" s="10">
        <v>-2.5368311758278499</v>
      </c>
      <c r="D429" s="10">
        <v>0.57976230970261</v>
      </c>
      <c r="E429" s="10">
        <v>-4.3756400396726596</v>
      </c>
      <c r="F429" s="4">
        <v>1.21076678910186E-5</v>
      </c>
      <c r="G429" s="10">
        <v>1.2143875031841E-4</v>
      </c>
      <c r="H429" s="10" t="s">
        <v>9462</v>
      </c>
      <c r="I429" s="10" t="s">
        <v>18</v>
      </c>
    </row>
    <row r="430" spans="1:9" x14ac:dyDescent="0.2">
      <c r="A430" s="10" t="s">
        <v>1203</v>
      </c>
      <c r="B430" s="10">
        <v>1681.7219428154599</v>
      </c>
      <c r="C430" s="10">
        <v>-1.4411469491775299</v>
      </c>
      <c r="D430" s="10">
        <v>0.248285933479646</v>
      </c>
      <c r="E430" s="10">
        <v>-5.8043841992187204</v>
      </c>
      <c r="F430" s="4">
        <v>6.4602990455397096E-9</v>
      </c>
      <c r="G430" s="4">
        <v>1.17419669429589E-7</v>
      </c>
      <c r="H430" s="10" t="s">
        <v>1204</v>
      </c>
      <c r="I430" s="10" t="s">
        <v>18</v>
      </c>
    </row>
    <row r="431" spans="1:9" x14ac:dyDescent="0.2">
      <c r="A431" s="10" t="s">
        <v>9463</v>
      </c>
      <c r="B431" s="10">
        <v>75.284750657591204</v>
      </c>
      <c r="C431" s="10">
        <v>-3.6664969301688202</v>
      </c>
      <c r="D431" s="10">
        <v>0.53616812394490099</v>
      </c>
      <c r="E431" s="10">
        <v>-6.8383344074844796</v>
      </c>
      <c r="F431" s="4">
        <v>8.0119201638125302E-12</v>
      </c>
      <c r="G431" s="4">
        <v>2.0841763363051099E-10</v>
      </c>
      <c r="H431" s="10" t="s">
        <v>9464</v>
      </c>
      <c r="I431" s="10" t="s">
        <v>18</v>
      </c>
    </row>
    <row r="432" spans="1:9" x14ac:dyDescent="0.2">
      <c r="A432" s="10" t="s">
        <v>9465</v>
      </c>
      <c r="B432" s="10">
        <v>3238.1557603516599</v>
      </c>
      <c r="C432" s="10">
        <v>1.0764511440814</v>
      </c>
      <c r="D432" s="10">
        <v>0.26980082082024298</v>
      </c>
      <c r="E432" s="10">
        <v>3.9897993668395699</v>
      </c>
      <c r="F432" s="4">
        <v>6.6129208005313701E-5</v>
      </c>
      <c r="G432" s="10">
        <v>5.6331873598837402E-4</v>
      </c>
      <c r="H432" s="10" t="s">
        <v>9466</v>
      </c>
      <c r="I432" s="10" t="s">
        <v>18</v>
      </c>
    </row>
    <row r="433" spans="1:9" x14ac:dyDescent="0.2">
      <c r="A433" s="10" t="s">
        <v>9467</v>
      </c>
      <c r="B433" s="10">
        <v>404.43017471496</v>
      </c>
      <c r="C433" s="10">
        <v>1.7335697195122199</v>
      </c>
      <c r="D433" s="10">
        <v>0.30177962503573103</v>
      </c>
      <c r="E433" s="10">
        <v>5.7444889439005999</v>
      </c>
      <c r="F433" s="4">
        <v>9.2199019288225503E-9</v>
      </c>
      <c r="G433" s="4">
        <v>1.6309889804467699E-7</v>
      </c>
      <c r="H433" s="10" t="s">
        <v>9468</v>
      </c>
      <c r="I433" s="10" t="s">
        <v>18</v>
      </c>
    </row>
    <row r="434" spans="1:9" x14ac:dyDescent="0.2">
      <c r="A434" s="10" t="s">
        <v>9469</v>
      </c>
      <c r="B434" s="10">
        <v>59.192759092630901</v>
      </c>
      <c r="C434" s="10">
        <v>-1.5092171106554599</v>
      </c>
      <c r="D434" s="10">
        <v>0.49227976610458901</v>
      </c>
      <c r="E434" s="10">
        <v>-3.06577116219482</v>
      </c>
      <c r="F434" s="10">
        <v>2.1710941072840498E-3</v>
      </c>
      <c r="G434" s="10">
        <v>1.17406780389819E-2</v>
      </c>
      <c r="H434" s="10" t="s">
        <v>9470</v>
      </c>
      <c r="I434" s="10" t="s">
        <v>18</v>
      </c>
    </row>
    <row r="435" spans="1:9" x14ac:dyDescent="0.2">
      <c r="A435" s="10" t="s">
        <v>1213</v>
      </c>
      <c r="B435" s="10">
        <v>433.27134133036202</v>
      </c>
      <c r="C435" s="10">
        <v>1.62515850278322</v>
      </c>
      <c r="D435" s="10">
        <v>0.30378957344973301</v>
      </c>
      <c r="E435" s="10">
        <v>5.3496190943239599</v>
      </c>
      <c r="F435" s="4">
        <v>8.8139543724608301E-8</v>
      </c>
      <c r="G435" s="4">
        <v>1.32922675203389E-6</v>
      </c>
      <c r="H435" s="10" t="s">
        <v>1214</v>
      </c>
      <c r="I435" s="10" t="s">
        <v>18</v>
      </c>
    </row>
    <row r="436" spans="1:9" x14ac:dyDescent="0.2">
      <c r="A436" s="10" t="s">
        <v>1219</v>
      </c>
      <c r="B436" s="10">
        <v>861.20130978378802</v>
      </c>
      <c r="C436" s="10">
        <v>-1.0998857943775999</v>
      </c>
      <c r="D436" s="10">
        <v>0.26320338642008201</v>
      </c>
      <c r="E436" s="10">
        <v>-4.1788436286383703</v>
      </c>
      <c r="F436" s="4">
        <v>2.92995044707684E-5</v>
      </c>
      <c r="G436" s="10">
        <v>2.7010759985138802E-4</v>
      </c>
      <c r="H436" s="10" t="s">
        <v>1220</v>
      </c>
      <c r="I436" s="10" t="s">
        <v>18</v>
      </c>
    </row>
    <row r="437" spans="1:9" x14ac:dyDescent="0.2">
      <c r="A437" s="10" t="s">
        <v>9471</v>
      </c>
      <c r="B437" s="10">
        <v>69.777115661986898</v>
      </c>
      <c r="C437" s="10">
        <v>-3.22935679421653</v>
      </c>
      <c r="D437" s="10">
        <v>0.51179552258780003</v>
      </c>
      <c r="E437" s="10">
        <v>-6.3098574561338001</v>
      </c>
      <c r="F437" s="4">
        <v>2.7929258323273799E-10</v>
      </c>
      <c r="G437" s="4">
        <v>6.1051933731125797E-9</v>
      </c>
      <c r="H437" s="10" t="s">
        <v>9472</v>
      </c>
      <c r="I437" s="10" t="s">
        <v>18</v>
      </c>
    </row>
    <row r="438" spans="1:9" x14ac:dyDescent="0.2">
      <c r="A438" s="10" t="s">
        <v>1227</v>
      </c>
      <c r="B438" s="10">
        <v>292.57560877595301</v>
      </c>
      <c r="C438" s="10">
        <v>1.3171235647098201</v>
      </c>
      <c r="D438" s="10">
        <v>0.29965140963956299</v>
      </c>
      <c r="E438" s="10">
        <v>4.39551933459658</v>
      </c>
      <c r="F438" s="4">
        <v>1.1050822661810401E-5</v>
      </c>
      <c r="G438" s="10">
        <v>1.11729680087556E-4</v>
      </c>
      <c r="H438" s="10" t="s">
        <v>1228</v>
      </c>
      <c r="I438" s="10" t="s">
        <v>18</v>
      </c>
    </row>
    <row r="439" spans="1:9" x14ac:dyDescent="0.2">
      <c r="A439" s="10" t="s">
        <v>1229</v>
      </c>
      <c r="B439" s="10">
        <v>253.418497712842</v>
      </c>
      <c r="C439" s="10">
        <v>3.0383863155561799</v>
      </c>
      <c r="D439" s="10">
        <v>0.33064960456667902</v>
      </c>
      <c r="E439" s="10">
        <v>9.1891424444255208</v>
      </c>
      <c r="F439" s="4">
        <v>3.9598552909941801E-20</v>
      </c>
      <c r="G439" s="4">
        <v>2.1560640659081999E-18</v>
      </c>
      <c r="H439" s="10" t="s">
        <v>1230</v>
      </c>
      <c r="I439" s="10" t="s">
        <v>18</v>
      </c>
    </row>
    <row r="440" spans="1:9" x14ac:dyDescent="0.2">
      <c r="A440" s="10" t="s">
        <v>1233</v>
      </c>
      <c r="B440" s="10">
        <v>712.370805423717</v>
      </c>
      <c r="C440" s="10">
        <v>1.38248508283714</v>
      </c>
      <c r="D440" s="10">
        <v>0.26989709743303802</v>
      </c>
      <c r="E440" s="10">
        <v>5.1222673233088001</v>
      </c>
      <c r="F440" s="4">
        <v>3.0188349358835E-7</v>
      </c>
      <c r="G440" s="4">
        <v>4.1542009197018299E-6</v>
      </c>
      <c r="H440" s="10" t="s">
        <v>1234</v>
      </c>
      <c r="I440" s="10" t="s">
        <v>18</v>
      </c>
    </row>
    <row r="441" spans="1:9" x14ac:dyDescent="0.2">
      <c r="A441" s="10" t="s">
        <v>1237</v>
      </c>
      <c r="B441" s="10">
        <v>4382.84783232682</v>
      </c>
      <c r="C441" s="10">
        <v>-1.54007554105169</v>
      </c>
      <c r="D441" s="10">
        <v>0.26991807840842202</v>
      </c>
      <c r="E441" s="10">
        <v>-5.7057146751072496</v>
      </c>
      <c r="F441" s="4">
        <v>1.1585593403471999E-8</v>
      </c>
      <c r="G441" s="4">
        <v>2.0266731715183501E-7</v>
      </c>
      <c r="H441" s="10" t="s">
        <v>1238</v>
      </c>
      <c r="I441" s="10" t="s">
        <v>18</v>
      </c>
    </row>
    <row r="442" spans="1:9" x14ac:dyDescent="0.2">
      <c r="A442" s="10" t="s">
        <v>1251</v>
      </c>
      <c r="B442" s="10">
        <v>784.58522462501901</v>
      </c>
      <c r="C442" s="10">
        <v>-2.0832212367268301</v>
      </c>
      <c r="D442" s="10">
        <v>0.33688092702530997</v>
      </c>
      <c r="E442" s="10">
        <v>-6.1838503447549602</v>
      </c>
      <c r="F442" s="4">
        <v>6.2556676183619598E-10</v>
      </c>
      <c r="G442" s="4">
        <v>1.31025244745958E-8</v>
      </c>
      <c r="H442" s="10" t="s">
        <v>1252</v>
      </c>
      <c r="I442" s="10" t="s">
        <v>18</v>
      </c>
    </row>
    <row r="443" spans="1:9" x14ac:dyDescent="0.2">
      <c r="A443" s="10" t="s">
        <v>1253</v>
      </c>
      <c r="B443" s="10">
        <v>101.905238436524</v>
      </c>
      <c r="C443" s="10">
        <v>1.7037371169214801</v>
      </c>
      <c r="D443" s="10">
        <v>0.42564011155207199</v>
      </c>
      <c r="E443" s="10">
        <v>4.0027644732750902</v>
      </c>
      <c r="F443" s="4">
        <v>6.2606620487488094E-5</v>
      </c>
      <c r="G443" s="10">
        <v>5.36582466222407E-4</v>
      </c>
      <c r="H443" s="10" t="s">
        <v>1254</v>
      </c>
      <c r="I443" s="10" t="s">
        <v>18</v>
      </c>
    </row>
    <row r="444" spans="1:9" x14ac:dyDescent="0.2">
      <c r="A444" s="10" t="s">
        <v>9473</v>
      </c>
      <c r="B444" s="10">
        <v>6756.2895825567302</v>
      </c>
      <c r="C444" s="10">
        <v>1.5028549878023101</v>
      </c>
      <c r="D444" s="10">
        <v>0.27689590932387298</v>
      </c>
      <c r="E444" s="10">
        <v>5.4275088117841799</v>
      </c>
      <c r="F444" s="4">
        <v>5.7146046445114797E-8</v>
      </c>
      <c r="G444" s="4">
        <v>8.8789919600176802E-7</v>
      </c>
      <c r="H444" s="10" t="s">
        <v>9474</v>
      </c>
      <c r="I444" s="10" t="s">
        <v>18</v>
      </c>
    </row>
    <row r="445" spans="1:9" x14ac:dyDescent="0.2">
      <c r="A445" s="10" t="s">
        <v>1255</v>
      </c>
      <c r="B445" s="10">
        <v>1675.5132567958699</v>
      </c>
      <c r="C445" s="10">
        <v>1.7990010470122999</v>
      </c>
      <c r="D445" s="10">
        <v>0.26653299350648801</v>
      </c>
      <c r="E445" s="10">
        <v>6.7496373463741799</v>
      </c>
      <c r="F445" s="4">
        <v>1.4821514776649001E-11</v>
      </c>
      <c r="G445" s="4">
        <v>3.7296033381569601E-10</v>
      </c>
      <c r="H445" s="10" t="s">
        <v>1256</v>
      </c>
      <c r="I445" s="10" t="s">
        <v>18</v>
      </c>
    </row>
    <row r="446" spans="1:9" x14ac:dyDescent="0.2">
      <c r="A446" s="10" t="s">
        <v>1263</v>
      </c>
      <c r="B446" s="10">
        <v>103.319588285926</v>
      </c>
      <c r="C446" s="10">
        <v>1.72809896424557</v>
      </c>
      <c r="D446" s="10">
        <v>0.41217797637845499</v>
      </c>
      <c r="E446" s="10">
        <v>4.1926038344631404</v>
      </c>
      <c r="F446" s="4">
        <v>2.7577078978593299E-5</v>
      </c>
      <c r="G446" s="10">
        <v>2.5613400618401601E-4</v>
      </c>
      <c r="H446" s="10" t="s">
        <v>1264</v>
      </c>
      <c r="I446" s="10" t="s">
        <v>18</v>
      </c>
    </row>
    <row r="447" spans="1:9" x14ac:dyDescent="0.2">
      <c r="A447" s="10" t="s">
        <v>1265</v>
      </c>
      <c r="B447" s="10">
        <v>129.694998314678</v>
      </c>
      <c r="C447" s="10">
        <v>1.38764253746129</v>
      </c>
      <c r="D447" s="10">
        <v>0.410742638326971</v>
      </c>
      <c r="E447" s="10">
        <v>3.3783746998203301</v>
      </c>
      <c r="F447" s="10">
        <v>7.2915653113861801E-4</v>
      </c>
      <c r="G447" s="10">
        <v>4.6624129488540798E-3</v>
      </c>
      <c r="H447" s="10" t="s">
        <v>1266</v>
      </c>
      <c r="I447" s="10" t="s">
        <v>18</v>
      </c>
    </row>
    <row r="448" spans="1:9" x14ac:dyDescent="0.2">
      <c r="A448" s="10" t="s">
        <v>1267</v>
      </c>
      <c r="B448" s="10">
        <v>341.91245444126503</v>
      </c>
      <c r="C448" s="10">
        <v>1.89033478143495</v>
      </c>
      <c r="D448" s="10">
        <v>0.29298840348536997</v>
      </c>
      <c r="E448" s="10">
        <v>6.4519099013737797</v>
      </c>
      <c r="F448" s="4">
        <v>1.10449241031509E-10</v>
      </c>
      <c r="G448" s="4">
        <v>2.5257733255887399E-9</v>
      </c>
      <c r="H448" s="10" t="s">
        <v>1268</v>
      </c>
      <c r="I448" s="10" t="s">
        <v>18</v>
      </c>
    </row>
    <row r="449" spans="1:9" x14ac:dyDescent="0.2">
      <c r="A449" s="10" t="s">
        <v>1269</v>
      </c>
      <c r="B449" s="10">
        <v>83.456951822794693</v>
      </c>
      <c r="C449" s="10">
        <v>2.1529856545272699</v>
      </c>
      <c r="D449" s="10">
        <v>0.46860982058004902</v>
      </c>
      <c r="E449" s="10">
        <v>4.5944100186852497</v>
      </c>
      <c r="F449" s="4">
        <v>4.3397533739704801E-6</v>
      </c>
      <c r="G449" s="4">
        <v>4.83251421523805E-5</v>
      </c>
      <c r="H449" s="10" t="s">
        <v>1270</v>
      </c>
      <c r="I449" s="10" t="s">
        <v>18</v>
      </c>
    </row>
    <row r="450" spans="1:9" x14ac:dyDescent="0.2">
      <c r="A450" s="10" t="s">
        <v>1283</v>
      </c>
      <c r="B450" s="10">
        <v>1184.9615673748899</v>
      </c>
      <c r="C450" s="10">
        <v>-2.6687979748209201</v>
      </c>
      <c r="D450" s="10">
        <v>0.25765682354984198</v>
      </c>
      <c r="E450" s="10">
        <v>-10.357955741485201</v>
      </c>
      <c r="F450" s="4">
        <v>3.8510450480693899E-25</v>
      </c>
      <c r="G450" s="4">
        <v>3.0463219554775299E-23</v>
      </c>
      <c r="H450" s="10" t="s">
        <v>1284</v>
      </c>
      <c r="I450" s="10" t="s">
        <v>18</v>
      </c>
    </row>
    <row r="451" spans="1:9" x14ac:dyDescent="0.2">
      <c r="A451" s="10" t="s">
        <v>9475</v>
      </c>
      <c r="B451" s="10">
        <v>38.071264140370097</v>
      </c>
      <c r="C451" s="10">
        <v>-2.0805448493359</v>
      </c>
      <c r="D451" s="10">
        <v>0.61188174792050598</v>
      </c>
      <c r="E451" s="10">
        <v>-3.40024008953803</v>
      </c>
      <c r="F451" s="10">
        <v>6.7326708692982799E-4</v>
      </c>
      <c r="G451" s="10">
        <v>4.3425727106973901E-3</v>
      </c>
      <c r="H451" s="10" t="s">
        <v>9476</v>
      </c>
      <c r="I451" s="10" t="s">
        <v>18</v>
      </c>
    </row>
    <row r="452" spans="1:9" x14ac:dyDescent="0.2">
      <c r="A452" s="10" t="s">
        <v>9477</v>
      </c>
      <c r="B452" s="10">
        <v>87.287768386568601</v>
      </c>
      <c r="C452" s="10">
        <v>-2.2588868052820001</v>
      </c>
      <c r="D452" s="10">
        <v>0.43726056808336899</v>
      </c>
      <c r="E452" s="10">
        <v>-5.1659970511023001</v>
      </c>
      <c r="F452" s="4">
        <v>2.3916056091066301E-7</v>
      </c>
      <c r="G452" s="4">
        <v>3.3609407316802999E-6</v>
      </c>
      <c r="H452" s="10" t="s">
        <v>9478</v>
      </c>
      <c r="I452" s="10" t="s">
        <v>18</v>
      </c>
    </row>
    <row r="453" spans="1:9" x14ac:dyDescent="0.2">
      <c r="A453" s="10" t="s">
        <v>1297</v>
      </c>
      <c r="B453" s="10">
        <v>995.34061951349395</v>
      </c>
      <c r="C453" s="10">
        <v>-1.28449474700592</v>
      </c>
      <c r="D453" s="10">
        <v>0.25374614329009798</v>
      </c>
      <c r="E453" s="10">
        <v>-5.0621252025785903</v>
      </c>
      <c r="F453" s="4">
        <v>4.14608586707051E-7</v>
      </c>
      <c r="G453" s="4">
        <v>5.5862233522313103E-6</v>
      </c>
      <c r="H453" s="10" t="s">
        <v>1298</v>
      </c>
      <c r="I453" s="10" t="s">
        <v>18</v>
      </c>
    </row>
    <row r="454" spans="1:9" x14ac:dyDescent="0.2">
      <c r="A454" s="10" t="s">
        <v>9479</v>
      </c>
      <c r="B454" s="10">
        <v>59.282730278602003</v>
      </c>
      <c r="C454" s="10">
        <v>-2.2671154614014499</v>
      </c>
      <c r="D454" s="10">
        <v>0.51982512990913798</v>
      </c>
      <c r="E454" s="10">
        <v>-4.3613040827743896</v>
      </c>
      <c r="F454" s="4">
        <v>1.29289534183472E-5</v>
      </c>
      <c r="G454" s="10">
        <v>1.28701156801949E-4</v>
      </c>
      <c r="H454" s="10" t="s">
        <v>9480</v>
      </c>
      <c r="I454" s="10" t="s">
        <v>18</v>
      </c>
    </row>
    <row r="455" spans="1:9" x14ac:dyDescent="0.2">
      <c r="A455" s="10" t="s">
        <v>9481</v>
      </c>
      <c r="B455" s="10">
        <v>643.43733025383403</v>
      </c>
      <c r="C455" s="10">
        <v>1.0719709523154699</v>
      </c>
      <c r="D455" s="10">
        <v>0.27097095230430501</v>
      </c>
      <c r="E455" s="10">
        <v>3.95603640611498</v>
      </c>
      <c r="F455" s="4">
        <v>7.6203552974534396E-5</v>
      </c>
      <c r="G455" s="10">
        <v>6.3854109762638697E-4</v>
      </c>
      <c r="H455" s="10" t="s">
        <v>9482</v>
      </c>
      <c r="I455" s="10" t="s">
        <v>18</v>
      </c>
    </row>
    <row r="456" spans="1:9" x14ac:dyDescent="0.2">
      <c r="A456" s="10" t="s">
        <v>9483</v>
      </c>
      <c r="B456" s="10">
        <v>623.474574600908</v>
      </c>
      <c r="C456" s="10">
        <v>-1.4366864309273999</v>
      </c>
      <c r="D456" s="10">
        <v>0.29726340871119</v>
      </c>
      <c r="E456" s="10">
        <v>-4.8330416352159702</v>
      </c>
      <c r="F456" s="4">
        <v>1.3446265161934399E-6</v>
      </c>
      <c r="G456" s="4">
        <v>1.62850650047405E-5</v>
      </c>
      <c r="H456" s="10" t="s">
        <v>9484</v>
      </c>
      <c r="I456" s="10" t="s">
        <v>18</v>
      </c>
    </row>
    <row r="457" spans="1:9" x14ac:dyDescent="0.2">
      <c r="A457" s="10" t="s">
        <v>9485</v>
      </c>
      <c r="B457" s="10">
        <v>296.92748675535</v>
      </c>
      <c r="C457" s="10">
        <v>-1.51069192508749</v>
      </c>
      <c r="D457" s="10">
        <v>0.30296739974148601</v>
      </c>
      <c r="E457" s="10">
        <v>-4.9863184170195396</v>
      </c>
      <c r="F457" s="4">
        <v>6.1540690295523803E-7</v>
      </c>
      <c r="G457" s="4">
        <v>8.0376742699060304E-6</v>
      </c>
      <c r="H457" s="10" t="s">
        <v>9486</v>
      </c>
      <c r="I457" s="10" t="s">
        <v>18</v>
      </c>
    </row>
    <row r="458" spans="1:9" x14ac:dyDescent="0.2">
      <c r="A458" s="10" t="s">
        <v>1317</v>
      </c>
      <c r="B458" s="10">
        <v>749.871563138282</v>
      </c>
      <c r="C458" s="10">
        <v>-1.8245281653727401</v>
      </c>
      <c r="D458" s="10">
        <v>0.27909098534299698</v>
      </c>
      <c r="E458" s="10">
        <v>-6.5373955490910198</v>
      </c>
      <c r="F458" s="4">
        <v>6.2599333314814606E-11</v>
      </c>
      <c r="G458" s="4">
        <v>1.47166937339641E-9</v>
      </c>
      <c r="H458" s="10" t="s">
        <v>1318</v>
      </c>
      <c r="I458" s="10" t="s">
        <v>18</v>
      </c>
    </row>
    <row r="459" spans="1:9" x14ac:dyDescent="0.2">
      <c r="A459" s="10" t="s">
        <v>1321</v>
      </c>
      <c r="B459" s="10">
        <v>543.23212082749501</v>
      </c>
      <c r="C459" s="10">
        <v>-2.4053496824048901</v>
      </c>
      <c r="D459" s="10">
        <v>0.30520048762840002</v>
      </c>
      <c r="E459" s="10">
        <v>-7.8812117932575196</v>
      </c>
      <c r="F459" s="4">
        <v>3.2422121085534799E-15</v>
      </c>
      <c r="G459" s="4">
        <v>1.2011464740892899E-13</v>
      </c>
      <c r="H459" s="10" t="s">
        <v>1322</v>
      </c>
      <c r="I459" s="10" t="s">
        <v>18</v>
      </c>
    </row>
    <row r="460" spans="1:9" x14ac:dyDescent="0.2">
      <c r="A460" s="10" t="s">
        <v>9487</v>
      </c>
      <c r="B460" s="10">
        <v>45.527759493837998</v>
      </c>
      <c r="C460" s="10">
        <v>-1.53271215717638</v>
      </c>
      <c r="D460" s="10">
        <v>0.54271231353551197</v>
      </c>
      <c r="E460" s="10">
        <v>-2.8241705945300799</v>
      </c>
      <c r="F460" s="10">
        <v>4.7403146785718704E-3</v>
      </c>
      <c r="G460" s="10">
        <v>2.26999078125786E-2</v>
      </c>
      <c r="H460" s="10" t="s">
        <v>9488</v>
      </c>
      <c r="I460" s="10" t="s">
        <v>18</v>
      </c>
    </row>
    <row r="461" spans="1:9" x14ac:dyDescent="0.2">
      <c r="A461" s="10" t="s">
        <v>9489</v>
      </c>
      <c r="B461" s="10">
        <v>919.95996660090896</v>
      </c>
      <c r="C461" s="10">
        <v>-1.78521489898393</v>
      </c>
      <c r="D461" s="10">
        <v>0.25947654881062998</v>
      </c>
      <c r="E461" s="10">
        <v>-6.8800625997488796</v>
      </c>
      <c r="F461" s="4">
        <v>5.9826264950594101E-12</v>
      </c>
      <c r="G461" s="4">
        <v>1.5797806014995701E-10</v>
      </c>
      <c r="H461" s="10" t="s">
        <v>9490</v>
      </c>
      <c r="I461" s="10" t="s">
        <v>18</v>
      </c>
    </row>
    <row r="462" spans="1:9" x14ac:dyDescent="0.2">
      <c r="A462" s="10" t="s">
        <v>9491</v>
      </c>
      <c r="B462" s="10">
        <v>2518.1430602749101</v>
      </c>
      <c r="C462" s="10">
        <v>-1.07856446054079</v>
      </c>
      <c r="D462" s="10">
        <v>0.24702596792654199</v>
      </c>
      <c r="E462" s="10">
        <v>-4.3661987020794601</v>
      </c>
      <c r="F462" s="4">
        <v>1.2642747768234901E-5</v>
      </c>
      <c r="G462" s="10">
        <v>1.2605165283787199E-4</v>
      </c>
      <c r="H462" s="10" t="s">
        <v>9492</v>
      </c>
      <c r="I462" s="10" t="s">
        <v>18</v>
      </c>
    </row>
    <row r="463" spans="1:9" x14ac:dyDescent="0.2">
      <c r="A463" s="10" t="s">
        <v>9493</v>
      </c>
      <c r="B463" s="10">
        <v>1533.44462738523</v>
      </c>
      <c r="C463" s="10">
        <v>1.07174025576385</v>
      </c>
      <c r="D463" s="10">
        <v>0.24376421015691399</v>
      </c>
      <c r="E463" s="10">
        <v>4.3966267856710797</v>
      </c>
      <c r="F463" s="4">
        <v>1.0994615059948E-5</v>
      </c>
      <c r="G463" s="10">
        <v>1.1129559027484599E-4</v>
      </c>
      <c r="H463" s="10" t="s">
        <v>9494</v>
      </c>
      <c r="I463" s="10" t="s">
        <v>18</v>
      </c>
    </row>
    <row r="464" spans="1:9" x14ac:dyDescent="0.2">
      <c r="A464" s="10" t="s">
        <v>1339</v>
      </c>
      <c r="B464" s="10">
        <v>254.36833248146201</v>
      </c>
      <c r="C464" s="10">
        <v>1.7993087099651901</v>
      </c>
      <c r="D464" s="10">
        <v>0.31233046492180699</v>
      </c>
      <c r="E464" s="10">
        <v>5.76091323789261</v>
      </c>
      <c r="F464" s="4">
        <v>8.3660038502483997E-9</v>
      </c>
      <c r="G464" s="4">
        <v>1.4914729046987901E-7</v>
      </c>
      <c r="H464" s="10" t="s">
        <v>1340</v>
      </c>
      <c r="I464" s="10" t="s">
        <v>18</v>
      </c>
    </row>
    <row r="465" spans="1:9" x14ac:dyDescent="0.2">
      <c r="A465" s="10" t="s">
        <v>1341</v>
      </c>
      <c r="B465" s="10">
        <v>3591.8252062148599</v>
      </c>
      <c r="C465" s="10">
        <v>2.2704309793520299</v>
      </c>
      <c r="D465" s="10">
        <v>0.25201126475013402</v>
      </c>
      <c r="E465" s="10">
        <v>9.0092440177352202</v>
      </c>
      <c r="F465" s="4">
        <v>2.0748176093773901E-19</v>
      </c>
      <c r="G465" s="4">
        <v>1.07170507112707E-17</v>
      </c>
      <c r="H465" s="10" t="s">
        <v>1342</v>
      </c>
      <c r="I465" s="10" t="s">
        <v>18</v>
      </c>
    </row>
    <row r="466" spans="1:9" x14ac:dyDescent="0.2">
      <c r="A466" s="10" t="s">
        <v>9495</v>
      </c>
      <c r="B466" s="10">
        <v>1699.34420703976</v>
      </c>
      <c r="C466" s="10">
        <v>1.14430886544719</v>
      </c>
      <c r="D466" s="10">
        <v>0.26411802195238898</v>
      </c>
      <c r="E466" s="10">
        <v>4.3325663920558402</v>
      </c>
      <c r="F466" s="4">
        <v>1.4738119804460899E-5</v>
      </c>
      <c r="G466" s="10">
        <v>1.4515951592843201E-4</v>
      </c>
      <c r="H466" s="10" t="s">
        <v>9496</v>
      </c>
      <c r="I466" s="10" t="s">
        <v>18</v>
      </c>
    </row>
    <row r="467" spans="1:9" x14ac:dyDescent="0.2">
      <c r="A467" s="10" t="s">
        <v>9497</v>
      </c>
      <c r="B467" s="10">
        <v>132.77568980030799</v>
      </c>
      <c r="C467" s="10">
        <v>-1.9481402299469801</v>
      </c>
      <c r="D467" s="10">
        <v>0.38212829206656501</v>
      </c>
      <c r="E467" s="10">
        <v>-5.0981313616203598</v>
      </c>
      <c r="F467" s="4">
        <v>3.4302275600097001E-7</v>
      </c>
      <c r="G467" s="4">
        <v>4.6692302095261903E-6</v>
      </c>
      <c r="H467" s="10" t="s">
        <v>9498</v>
      </c>
      <c r="I467" s="10" t="s">
        <v>18</v>
      </c>
    </row>
    <row r="468" spans="1:9" x14ac:dyDescent="0.2">
      <c r="A468" s="10" t="s">
        <v>9499</v>
      </c>
      <c r="B468" s="10">
        <v>260.319470234378</v>
      </c>
      <c r="C468" s="10">
        <v>1.1753673919471801</v>
      </c>
      <c r="D468" s="10">
        <v>0.31320873177533698</v>
      </c>
      <c r="E468" s="10">
        <v>3.7526648292496101</v>
      </c>
      <c r="F468" s="10">
        <v>1.7496471643340601E-4</v>
      </c>
      <c r="G468" s="10">
        <v>1.32447711161069E-3</v>
      </c>
      <c r="H468" s="10" t="s">
        <v>9500</v>
      </c>
      <c r="I468" s="10" t="s">
        <v>18</v>
      </c>
    </row>
    <row r="469" spans="1:9" x14ac:dyDescent="0.2">
      <c r="A469" s="10" t="s">
        <v>9501</v>
      </c>
      <c r="B469" s="10">
        <v>2734.7552883543199</v>
      </c>
      <c r="C469" s="10">
        <v>-1.15371609831851</v>
      </c>
      <c r="D469" s="10">
        <v>0.26406030044058199</v>
      </c>
      <c r="E469" s="10">
        <v>-4.36913877774714</v>
      </c>
      <c r="F469" s="4">
        <v>1.24737482399979E-5</v>
      </c>
      <c r="G469" s="10">
        <v>1.24600718305508E-4</v>
      </c>
      <c r="H469" s="10" t="s">
        <v>9502</v>
      </c>
      <c r="I469" s="10" t="s">
        <v>18</v>
      </c>
    </row>
    <row r="470" spans="1:9" x14ac:dyDescent="0.2">
      <c r="A470" s="10" t="s">
        <v>9503</v>
      </c>
      <c r="B470" s="10">
        <v>99.191632668967003</v>
      </c>
      <c r="C470" s="10">
        <v>-2.3662306676729701</v>
      </c>
      <c r="D470" s="10">
        <v>0.46284155746441502</v>
      </c>
      <c r="E470" s="10">
        <v>-5.1123988965811398</v>
      </c>
      <c r="F470" s="4">
        <v>3.1809324123310999E-7</v>
      </c>
      <c r="G470" s="4">
        <v>4.36056429603208E-6</v>
      </c>
      <c r="H470" s="10" t="s">
        <v>9504</v>
      </c>
      <c r="I470" s="10" t="s">
        <v>18</v>
      </c>
    </row>
    <row r="471" spans="1:9" x14ac:dyDescent="0.2">
      <c r="A471" s="10" t="s">
        <v>9505</v>
      </c>
      <c r="B471" s="10">
        <v>30.051335717243401</v>
      </c>
      <c r="C471" s="10">
        <v>-2.2261477477126599</v>
      </c>
      <c r="D471" s="10">
        <v>0.72149848524464399</v>
      </c>
      <c r="E471" s="10">
        <v>-3.0854503415316601</v>
      </c>
      <c r="F471" s="10">
        <v>2.0324415987525699E-3</v>
      </c>
      <c r="G471" s="10">
        <v>1.1099884588931999E-2</v>
      </c>
      <c r="H471" s="10" t="s">
        <v>9506</v>
      </c>
      <c r="I471" s="10" t="s">
        <v>18</v>
      </c>
    </row>
    <row r="472" spans="1:9" x14ac:dyDescent="0.2">
      <c r="A472" s="10" t="s">
        <v>9507</v>
      </c>
      <c r="B472" s="10">
        <v>119.975438841738</v>
      </c>
      <c r="C472" s="10">
        <v>-1.7235296648523799</v>
      </c>
      <c r="D472" s="10">
        <v>0.38899643137914602</v>
      </c>
      <c r="E472" s="10">
        <v>-4.4307081654754201</v>
      </c>
      <c r="F472" s="4">
        <v>9.3924129248422404E-6</v>
      </c>
      <c r="G472" s="4">
        <v>9.6751083998528506E-5</v>
      </c>
      <c r="H472" s="10" t="s">
        <v>9508</v>
      </c>
      <c r="I472" s="10" t="s">
        <v>18</v>
      </c>
    </row>
    <row r="473" spans="1:9" x14ac:dyDescent="0.2">
      <c r="A473" s="10" t="s">
        <v>9509</v>
      </c>
      <c r="B473" s="10">
        <v>45.5591448432547</v>
      </c>
      <c r="C473" s="10">
        <v>-3.5117224452295699</v>
      </c>
      <c r="D473" s="10">
        <v>0.65372839650269399</v>
      </c>
      <c r="E473" s="10">
        <v>-5.3718370871091601</v>
      </c>
      <c r="F473" s="4">
        <v>7.7938508045282999E-8</v>
      </c>
      <c r="G473" s="4">
        <v>1.18605152442776E-6</v>
      </c>
      <c r="H473" s="10" t="s">
        <v>9510</v>
      </c>
      <c r="I473" s="10" t="s">
        <v>18</v>
      </c>
    </row>
    <row r="474" spans="1:9" x14ac:dyDescent="0.2">
      <c r="A474" s="10" t="s">
        <v>1381</v>
      </c>
      <c r="B474" s="10">
        <v>208.42275096238501</v>
      </c>
      <c r="C474" s="10">
        <v>1.58633859542276</v>
      </c>
      <c r="D474" s="10">
        <v>0.32457798614943401</v>
      </c>
      <c r="E474" s="10">
        <v>4.8873881258614302</v>
      </c>
      <c r="F474" s="4">
        <v>1.0218252505838399E-6</v>
      </c>
      <c r="G474" s="4">
        <v>1.2775354959461399E-5</v>
      </c>
      <c r="H474" s="10" t="s">
        <v>1382</v>
      </c>
      <c r="I474" s="10" t="s">
        <v>18</v>
      </c>
    </row>
    <row r="475" spans="1:9" x14ac:dyDescent="0.2">
      <c r="A475" s="10" t="s">
        <v>1383</v>
      </c>
      <c r="B475" s="10">
        <v>5065.3009835177099</v>
      </c>
      <c r="C475" s="10">
        <v>3.3007771155407002</v>
      </c>
      <c r="D475" s="10">
        <v>0.252277223083262</v>
      </c>
      <c r="E475" s="10">
        <v>13.083928367371101</v>
      </c>
      <c r="F475" s="4">
        <v>4.0685771107507298E-39</v>
      </c>
      <c r="G475" s="4">
        <v>6.4367960516311102E-37</v>
      </c>
      <c r="H475" s="10" t="s">
        <v>1384</v>
      </c>
      <c r="I475" s="10" t="s">
        <v>18</v>
      </c>
    </row>
    <row r="476" spans="1:9" x14ac:dyDescent="0.2">
      <c r="A476" s="10" t="s">
        <v>9511</v>
      </c>
      <c r="B476" s="10">
        <v>332.24680665056297</v>
      </c>
      <c r="C476" s="10">
        <v>1.05321919300266</v>
      </c>
      <c r="D476" s="10">
        <v>0.31292869934001399</v>
      </c>
      <c r="E476" s="10">
        <v>3.3656842444427899</v>
      </c>
      <c r="F476" s="10">
        <v>7.6354056415332697E-4</v>
      </c>
      <c r="G476" s="10">
        <v>4.8526687446379304E-3</v>
      </c>
      <c r="H476" s="10" t="s">
        <v>9512</v>
      </c>
      <c r="I476" s="10" t="s">
        <v>18</v>
      </c>
    </row>
    <row r="477" spans="1:9" x14ac:dyDescent="0.2">
      <c r="A477" s="10" t="s">
        <v>1389</v>
      </c>
      <c r="B477" s="10">
        <v>1809.76915018311</v>
      </c>
      <c r="C477" s="10">
        <v>1.32646440245922</v>
      </c>
      <c r="D477" s="10">
        <v>0.25024133955691302</v>
      </c>
      <c r="E477" s="10">
        <v>5.3007404963860498</v>
      </c>
      <c r="F477" s="4">
        <v>1.1533392676035001E-7</v>
      </c>
      <c r="G477" s="4">
        <v>1.71568594184306E-6</v>
      </c>
      <c r="H477" s="10" t="s">
        <v>1390</v>
      </c>
      <c r="I477" s="10" t="s">
        <v>18</v>
      </c>
    </row>
    <row r="478" spans="1:9" x14ac:dyDescent="0.2">
      <c r="A478" s="10" t="s">
        <v>1393</v>
      </c>
      <c r="B478" s="10">
        <v>1792.25441813612</v>
      </c>
      <c r="C478" s="10">
        <v>-2.04374151319599</v>
      </c>
      <c r="D478" s="10">
        <v>0.24440380265425499</v>
      </c>
      <c r="E478" s="10">
        <v>-8.3621510426626493</v>
      </c>
      <c r="F478" s="4">
        <v>6.1584927867547103E-17</v>
      </c>
      <c r="G478" s="4">
        <v>2.6942067139272102E-15</v>
      </c>
      <c r="H478" s="10" t="s">
        <v>1394</v>
      </c>
      <c r="I478" s="10" t="s">
        <v>18</v>
      </c>
    </row>
    <row r="479" spans="1:9" x14ac:dyDescent="0.2">
      <c r="A479" s="10" t="s">
        <v>1395</v>
      </c>
      <c r="B479" s="10">
        <v>11561.9676117582</v>
      </c>
      <c r="C479" s="10">
        <v>1.0448248187425</v>
      </c>
      <c r="D479" s="10">
        <v>0.233806099270465</v>
      </c>
      <c r="E479" s="10">
        <v>4.4687663067927996</v>
      </c>
      <c r="F479" s="4">
        <v>7.8672023513230003E-6</v>
      </c>
      <c r="G479" s="4">
        <v>8.2914558651298005E-5</v>
      </c>
      <c r="H479" s="10" t="s">
        <v>1396</v>
      </c>
      <c r="I479" s="10" t="s">
        <v>18</v>
      </c>
    </row>
    <row r="480" spans="1:9" x14ac:dyDescent="0.2">
      <c r="A480" s="10" t="s">
        <v>1401</v>
      </c>
      <c r="B480" s="10">
        <v>5077.83062436005</v>
      </c>
      <c r="C480" s="10">
        <v>1.03051024124118</v>
      </c>
      <c r="D480" s="10">
        <v>0.26842893670616103</v>
      </c>
      <c r="E480" s="10">
        <v>3.8390430401668501</v>
      </c>
      <c r="F480" s="10">
        <v>1.2351477956246501E-4</v>
      </c>
      <c r="G480" s="10">
        <v>9.7827905538218395E-4</v>
      </c>
      <c r="H480" s="10" t="s">
        <v>1402</v>
      </c>
      <c r="I480" s="10" t="s">
        <v>18</v>
      </c>
    </row>
    <row r="481" spans="1:9" x14ac:dyDescent="0.2">
      <c r="A481" s="10" t="s">
        <v>9513</v>
      </c>
      <c r="B481" s="10">
        <v>4242.0977100362297</v>
      </c>
      <c r="C481" s="10">
        <v>2.8341696952766302</v>
      </c>
      <c r="D481" s="10">
        <v>0.272937892660437</v>
      </c>
      <c r="E481" s="10">
        <v>10.383936314781399</v>
      </c>
      <c r="F481" s="4">
        <v>2.93421762816113E-25</v>
      </c>
      <c r="G481" s="4">
        <v>2.3283988781196599E-23</v>
      </c>
      <c r="H481" s="10" t="s">
        <v>9514</v>
      </c>
      <c r="I481" s="10" t="s">
        <v>18</v>
      </c>
    </row>
    <row r="482" spans="1:9" x14ac:dyDescent="0.2">
      <c r="A482" s="10" t="s">
        <v>1403</v>
      </c>
      <c r="B482" s="10">
        <v>2710.8778098853199</v>
      </c>
      <c r="C482" s="10">
        <v>1.54822278300849</v>
      </c>
      <c r="D482" s="10">
        <v>0.27399267854193199</v>
      </c>
      <c r="E482" s="10">
        <v>5.6505991008498802</v>
      </c>
      <c r="F482" s="4">
        <v>1.5988959521222199E-8</v>
      </c>
      <c r="G482" s="4">
        <v>2.7342099031702602E-7</v>
      </c>
      <c r="H482" s="10" t="s">
        <v>1404</v>
      </c>
      <c r="I482" s="10" t="s">
        <v>18</v>
      </c>
    </row>
    <row r="483" spans="1:9" x14ac:dyDescent="0.2">
      <c r="A483" s="10" t="s">
        <v>9515</v>
      </c>
      <c r="B483" s="10">
        <v>3269.8837632941299</v>
      </c>
      <c r="C483" s="10">
        <v>1.1875327245648399</v>
      </c>
      <c r="D483" s="10">
        <v>0.28728495836117601</v>
      </c>
      <c r="E483" s="10">
        <v>4.1336404500226802</v>
      </c>
      <c r="F483" s="4">
        <v>3.5706192412320201E-5</v>
      </c>
      <c r="G483" s="10">
        <v>3.2402210322219098E-4</v>
      </c>
      <c r="H483" s="10" t="s">
        <v>9516</v>
      </c>
      <c r="I483" s="10" t="s">
        <v>18</v>
      </c>
    </row>
    <row r="484" spans="1:9" x14ac:dyDescent="0.2">
      <c r="A484" s="10" t="s">
        <v>1411</v>
      </c>
      <c r="B484" s="10">
        <v>3851.6733256737198</v>
      </c>
      <c r="C484" s="10">
        <v>2.5677310589234601</v>
      </c>
      <c r="D484" s="10">
        <v>0.25808344779435599</v>
      </c>
      <c r="E484" s="10">
        <v>9.9492279759431099</v>
      </c>
      <c r="F484" s="4">
        <v>2.5414711735594499E-23</v>
      </c>
      <c r="G484" s="4">
        <v>1.7185674024432202E-21</v>
      </c>
      <c r="H484" s="10" t="s">
        <v>1412</v>
      </c>
      <c r="I484" s="10" t="s">
        <v>18</v>
      </c>
    </row>
    <row r="485" spans="1:9" x14ac:dyDescent="0.2">
      <c r="A485" s="10" t="s">
        <v>9517</v>
      </c>
      <c r="B485" s="10">
        <v>1242.2053541469299</v>
      </c>
      <c r="C485" s="10">
        <v>-2.50426452475859</v>
      </c>
      <c r="D485" s="10">
        <v>0.25586232765266997</v>
      </c>
      <c r="E485" s="10">
        <v>-9.7875468723089902</v>
      </c>
      <c r="F485" s="4">
        <v>1.2734801957871801E-22</v>
      </c>
      <c r="G485" s="4">
        <v>8.1099732468421305E-21</v>
      </c>
      <c r="H485" s="10" t="s">
        <v>9518</v>
      </c>
      <c r="I485" s="10" t="s">
        <v>18</v>
      </c>
    </row>
    <row r="486" spans="1:9" x14ac:dyDescent="0.2">
      <c r="A486" s="10" t="s">
        <v>1417</v>
      </c>
      <c r="B486" s="10">
        <v>1533.8180533782499</v>
      </c>
      <c r="C486" s="10">
        <v>2.0172254410741002</v>
      </c>
      <c r="D486" s="10">
        <v>0.25308672307514302</v>
      </c>
      <c r="E486" s="10">
        <v>7.9704909706985001</v>
      </c>
      <c r="F486" s="4">
        <v>1.5804521307522799E-15</v>
      </c>
      <c r="G486" s="4">
        <v>6.0419868311662E-14</v>
      </c>
      <c r="H486" s="10" t="s">
        <v>1418</v>
      </c>
      <c r="I486" s="10" t="s">
        <v>18</v>
      </c>
    </row>
    <row r="487" spans="1:9" x14ac:dyDescent="0.2">
      <c r="A487" s="10" t="s">
        <v>9519</v>
      </c>
      <c r="B487" s="10">
        <v>921.38951218775696</v>
      </c>
      <c r="C487" s="10">
        <v>-1.08148906431183</v>
      </c>
      <c r="D487" s="10">
        <v>0.27527823295834702</v>
      </c>
      <c r="E487" s="10">
        <v>-3.9287126072022902</v>
      </c>
      <c r="F487" s="4">
        <v>8.5401827834238E-5</v>
      </c>
      <c r="G487" s="10">
        <v>7.0574342285488099E-4</v>
      </c>
      <c r="H487" s="10" t="s">
        <v>9520</v>
      </c>
      <c r="I487" s="10" t="s">
        <v>18</v>
      </c>
    </row>
    <row r="488" spans="1:9" x14ac:dyDescent="0.2">
      <c r="A488" s="10" t="s">
        <v>1419</v>
      </c>
      <c r="B488" s="10">
        <v>1950.5631661345401</v>
      </c>
      <c r="C488" s="10">
        <v>1.3585238157942501</v>
      </c>
      <c r="D488" s="10">
        <v>0.25801400600955399</v>
      </c>
      <c r="E488" s="10">
        <v>5.2653103480899697</v>
      </c>
      <c r="F488" s="4">
        <v>1.39952730646328E-7</v>
      </c>
      <c r="G488" s="4">
        <v>2.0599829955578601E-6</v>
      </c>
      <c r="H488" s="10" t="s">
        <v>1420</v>
      </c>
      <c r="I488" s="10" t="s">
        <v>18</v>
      </c>
    </row>
    <row r="489" spans="1:9" x14ac:dyDescent="0.2">
      <c r="A489" s="10" t="s">
        <v>1427</v>
      </c>
      <c r="B489" s="10">
        <v>104.506469024784</v>
      </c>
      <c r="C489" s="10">
        <v>-1.8280380956064699</v>
      </c>
      <c r="D489" s="10">
        <v>0.42613257544136202</v>
      </c>
      <c r="E489" s="10">
        <v>-4.2898341993993299</v>
      </c>
      <c r="F489" s="4">
        <v>1.7880655673601E-5</v>
      </c>
      <c r="G489" s="10">
        <v>1.73489052478177E-4</v>
      </c>
      <c r="H489" s="10" t="s">
        <v>1428</v>
      </c>
      <c r="I489" s="10" t="s">
        <v>18</v>
      </c>
    </row>
    <row r="490" spans="1:9" x14ac:dyDescent="0.2">
      <c r="A490" s="10" t="s">
        <v>1431</v>
      </c>
      <c r="B490" s="10">
        <v>233.04141333971901</v>
      </c>
      <c r="C490" s="10">
        <v>1.15571550582986</v>
      </c>
      <c r="D490" s="10">
        <v>0.35515111541849798</v>
      </c>
      <c r="E490" s="10">
        <v>3.2541514179619</v>
      </c>
      <c r="F490" s="10">
        <v>1.1373164199619101E-3</v>
      </c>
      <c r="G490" s="10">
        <v>6.8052318135446797E-3</v>
      </c>
      <c r="H490" s="10" t="s">
        <v>1432</v>
      </c>
      <c r="I490" s="10" t="s">
        <v>18</v>
      </c>
    </row>
    <row r="491" spans="1:9" x14ac:dyDescent="0.2">
      <c r="A491" s="10" t="s">
        <v>9521</v>
      </c>
      <c r="B491" s="10">
        <v>1501.50369212123</v>
      </c>
      <c r="C491" s="10">
        <v>1.52527091782627</v>
      </c>
      <c r="D491" s="10">
        <v>0.24499418058276201</v>
      </c>
      <c r="E491" s="10">
        <v>6.2257434613268803</v>
      </c>
      <c r="F491" s="4">
        <v>4.7927775429043201E-10</v>
      </c>
      <c r="G491" s="4">
        <v>1.02171456857422E-8</v>
      </c>
      <c r="H491" s="10" t="s">
        <v>9522</v>
      </c>
      <c r="I491" s="10" t="s">
        <v>18</v>
      </c>
    </row>
    <row r="492" spans="1:9" x14ac:dyDescent="0.2">
      <c r="A492" s="10" t="s">
        <v>1437</v>
      </c>
      <c r="B492" s="10">
        <v>5217.3785190788703</v>
      </c>
      <c r="C492" s="10">
        <v>3.1791111820393998</v>
      </c>
      <c r="D492" s="10">
        <v>0.25776504783446302</v>
      </c>
      <c r="E492" s="10">
        <v>12.3333679594956</v>
      </c>
      <c r="F492" s="4">
        <v>5.9890119710546196E-35</v>
      </c>
      <c r="G492" s="4">
        <v>7.5326798065939397E-33</v>
      </c>
      <c r="H492" s="10" t="s">
        <v>1438</v>
      </c>
      <c r="I492" s="10" t="s">
        <v>18</v>
      </c>
    </row>
    <row r="493" spans="1:9" x14ac:dyDescent="0.2">
      <c r="A493" s="10" t="s">
        <v>1439</v>
      </c>
      <c r="B493" s="10">
        <v>549.088533061931</v>
      </c>
      <c r="C493" s="10">
        <v>-1.2474625722468</v>
      </c>
      <c r="D493" s="10">
        <v>0.29158724738881098</v>
      </c>
      <c r="E493" s="10">
        <v>-4.2781794588684603</v>
      </c>
      <c r="F493" s="4">
        <v>1.8842808371528499E-5</v>
      </c>
      <c r="G493" s="10">
        <v>1.81605687580766E-4</v>
      </c>
      <c r="H493" s="10" t="s">
        <v>1440</v>
      </c>
      <c r="I493" s="10" t="s">
        <v>18</v>
      </c>
    </row>
    <row r="494" spans="1:9" x14ac:dyDescent="0.2">
      <c r="A494" s="10" t="s">
        <v>1441</v>
      </c>
      <c r="B494" s="10">
        <v>215.18793479035401</v>
      </c>
      <c r="C494" s="10">
        <v>2.4494203533500198</v>
      </c>
      <c r="D494" s="10">
        <v>0.35032388324293001</v>
      </c>
      <c r="E494" s="10">
        <v>6.9918737217567397</v>
      </c>
      <c r="F494" s="4">
        <v>2.7123897272735602E-12</v>
      </c>
      <c r="G494" s="4">
        <v>7.4568484797340199E-11</v>
      </c>
      <c r="H494" s="10" t="s">
        <v>1442</v>
      </c>
      <c r="I494" s="10" t="s">
        <v>18</v>
      </c>
    </row>
    <row r="495" spans="1:9" x14ac:dyDescent="0.2">
      <c r="A495" s="10" t="s">
        <v>9523</v>
      </c>
      <c r="B495" s="10">
        <v>38.6675209699034</v>
      </c>
      <c r="C495" s="10">
        <v>-1.48591113446912</v>
      </c>
      <c r="D495" s="10">
        <v>0.57959646487638194</v>
      </c>
      <c r="E495" s="10">
        <v>-2.56369944351892</v>
      </c>
      <c r="F495" s="10">
        <v>1.0356318144315001E-2</v>
      </c>
      <c r="G495" s="10">
        <v>4.3483167605706301E-2</v>
      </c>
      <c r="H495" s="10" t="s">
        <v>9524</v>
      </c>
      <c r="I495" s="10" t="s">
        <v>18</v>
      </c>
    </row>
    <row r="496" spans="1:9" x14ac:dyDescent="0.2">
      <c r="A496" s="10" t="s">
        <v>1445</v>
      </c>
      <c r="B496" s="10">
        <v>1818.57374732419</v>
      </c>
      <c r="C496" s="10">
        <v>1.2899068325791001</v>
      </c>
      <c r="D496" s="10">
        <v>0.24336525757506899</v>
      </c>
      <c r="E496" s="10">
        <v>5.3002916087199097</v>
      </c>
      <c r="F496" s="4">
        <v>1.15617865040404E-7</v>
      </c>
      <c r="G496" s="4">
        <v>1.7178779652045899E-6</v>
      </c>
      <c r="H496" s="10" t="s">
        <v>1446</v>
      </c>
      <c r="I496" s="10" t="s">
        <v>18</v>
      </c>
    </row>
    <row r="497" spans="1:9" x14ac:dyDescent="0.2">
      <c r="A497" s="10" t="s">
        <v>9525</v>
      </c>
      <c r="B497" s="10">
        <v>3564.5548014033402</v>
      </c>
      <c r="C497" s="10">
        <v>-1.03427071500376</v>
      </c>
      <c r="D497" s="10">
        <v>0.244150807293705</v>
      </c>
      <c r="E497" s="10">
        <v>-4.2361961709983902</v>
      </c>
      <c r="F497" s="4">
        <v>2.2733817999298499E-5</v>
      </c>
      <c r="G497" s="10">
        <v>2.15150185015934E-4</v>
      </c>
      <c r="H497" s="10" t="s">
        <v>9526</v>
      </c>
      <c r="I497" s="10" t="s">
        <v>18</v>
      </c>
    </row>
    <row r="498" spans="1:9" x14ac:dyDescent="0.2">
      <c r="A498" s="10" t="s">
        <v>1459</v>
      </c>
      <c r="B498" s="10">
        <v>1032.28282781494</v>
      </c>
      <c r="C498" s="10">
        <v>-1.4261845789290899</v>
      </c>
      <c r="D498" s="10">
        <v>0.274263961171892</v>
      </c>
      <c r="E498" s="10">
        <v>-5.2000436835930097</v>
      </c>
      <c r="F498" s="4">
        <v>1.9924169380077799E-7</v>
      </c>
      <c r="G498" s="4">
        <v>2.8444522176836401E-6</v>
      </c>
      <c r="H498" s="10" t="s">
        <v>1460</v>
      </c>
      <c r="I498" s="10" t="s">
        <v>18</v>
      </c>
    </row>
    <row r="499" spans="1:9" x14ac:dyDescent="0.2">
      <c r="A499" s="10" t="s">
        <v>1461</v>
      </c>
      <c r="B499" s="10">
        <v>5430.6313809959001</v>
      </c>
      <c r="C499" s="10">
        <v>7.1047878062911201</v>
      </c>
      <c r="D499" s="10">
        <v>0.34714446740710098</v>
      </c>
      <c r="E499" s="10">
        <v>20.466371995954201</v>
      </c>
      <c r="F499" s="4">
        <v>4.2942397446635603E-93</v>
      </c>
      <c r="G499" s="4">
        <v>4.5009000323755003E-90</v>
      </c>
      <c r="H499" s="10" t="s">
        <v>1462</v>
      </c>
      <c r="I499" s="10" t="s">
        <v>18</v>
      </c>
    </row>
    <row r="500" spans="1:9" x14ac:dyDescent="0.2">
      <c r="A500" s="10" t="s">
        <v>1463</v>
      </c>
      <c r="B500" s="10">
        <v>1051.8759047133101</v>
      </c>
      <c r="C500" s="10">
        <v>-1.14201641053429</v>
      </c>
      <c r="D500" s="10">
        <v>0.25762537273700198</v>
      </c>
      <c r="E500" s="10">
        <v>-4.4328568976011704</v>
      </c>
      <c r="F500" s="4">
        <v>9.2992590636830392E-6</v>
      </c>
      <c r="G500" s="4">
        <v>9.6066883674310902E-5</v>
      </c>
      <c r="H500" s="10" t="s">
        <v>1464</v>
      </c>
      <c r="I500" s="10" t="s">
        <v>18</v>
      </c>
    </row>
    <row r="501" spans="1:9" x14ac:dyDescent="0.2">
      <c r="A501" s="10" t="s">
        <v>9527</v>
      </c>
      <c r="B501" s="10">
        <v>168.942012192448</v>
      </c>
      <c r="C501" s="10">
        <v>-2.0251100682983201</v>
      </c>
      <c r="D501" s="10">
        <v>0.348101984176174</v>
      </c>
      <c r="E501" s="10">
        <v>-5.8175769181293102</v>
      </c>
      <c r="F501" s="4">
        <v>5.9706790095045199E-9</v>
      </c>
      <c r="G501" s="4">
        <v>1.09310356975317E-7</v>
      </c>
      <c r="H501" s="10" t="s">
        <v>9528</v>
      </c>
      <c r="I501" s="10" t="s">
        <v>18</v>
      </c>
    </row>
    <row r="502" spans="1:9" x14ac:dyDescent="0.2">
      <c r="A502" s="10" t="s">
        <v>1465</v>
      </c>
      <c r="B502" s="10">
        <v>98.210417752598701</v>
      </c>
      <c r="C502" s="10">
        <v>3.2872763121989301</v>
      </c>
      <c r="D502" s="10">
        <v>0.45846628772263098</v>
      </c>
      <c r="E502" s="10">
        <v>7.17015929028942</v>
      </c>
      <c r="F502" s="4">
        <v>7.4910553752353898E-13</v>
      </c>
      <c r="G502" s="4">
        <v>2.1885888265278298E-11</v>
      </c>
      <c r="H502" s="10" t="s">
        <v>1466</v>
      </c>
      <c r="I502" s="10" t="s">
        <v>18</v>
      </c>
    </row>
    <row r="503" spans="1:9" x14ac:dyDescent="0.2">
      <c r="A503" s="10" t="s">
        <v>1467</v>
      </c>
      <c r="B503" s="10">
        <v>118.272961790053</v>
      </c>
      <c r="C503" s="10">
        <v>4.4226022217457599</v>
      </c>
      <c r="D503" s="10">
        <v>0.48862569659906502</v>
      </c>
      <c r="E503" s="10">
        <v>9.0511044599741304</v>
      </c>
      <c r="F503" s="4">
        <v>1.4152947738969601E-19</v>
      </c>
      <c r="G503" s="4">
        <v>7.4325135777407106E-18</v>
      </c>
      <c r="H503" s="10" t="s">
        <v>1468</v>
      </c>
      <c r="I503" s="10" t="s">
        <v>18</v>
      </c>
    </row>
    <row r="504" spans="1:9" x14ac:dyDescent="0.2">
      <c r="A504" s="10" t="s">
        <v>1471</v>
      </c>
      <c r="B504" s="10">
        <v>8721.9111354728902</v>
      </c>
      <c r="C504" s="10">
        <v>1.9843039598159899</v>
      </c>
      <c r="D504" s="10">
        <v>0.25561402851394999</v>
      </c>
      <c r="E504" s="10">
        <v>7.7628914631643404</v>
      </c>
      <c r="F504" s="4">
        <v>8.3014652442336E-15</v>
      </c>
      <c r="G504" s="4">
        <v>2.9411740594182598E-13</v>
      </c>
      <c r="H504" s="10" t="s">
        <v>1472</v>
      </c>
      <c r="I504" s="10" t="s">
        <v>18</v>
      </c>
    </row>
    <row r="505" spans="1:9" x14ac:dyDescent="0.2">
      <c r="A505" s="10" t="s">
        <v>1473</v>
      </c>
      <c r="B505" s="10">
        <v>243.74995426545499</v>
      </c>
      <c r="C505" s="10">
        <v>6.5309036987772799</v>
      </c>
      <c r="D505" s="10">
        <v>0.53549412769149596</v>
      </c>
      <c r="E505" s="10">
        <v>12.196032339200199</v>
      </c>
      <c r="F505" s="4">
        <v>3.2634180954237599E-34</v>
      </c>
      <c r="G505" s="4">
        <v>4.0240824603129699E-32</v>
      </c>
      <c r="H505" s="10" t="s">
        <v>1474</v>
      </c>
      <c r="I505" s="10" t="s">
        <v>18</v>
      </c>
    </row>
    <row r="506" spans="1:9" x14ac:dyDescent="0.2">
      <c r="A506" s="10" t="s">
        <v>1479</v>
      </c>
      <c r="B506" s="10">
        <v>4274.5239558886797</v>
      </c>
      <c r="C506" s="10">
        <v>-1.0523587966408301</v>
      </c>
      <c r="D506" s="10">
        <v>0.25828792294505099</v>
      </c>
      <c r="E506" s="10">
        <v>-4.0743631550465897</v>
      </c>
      <c r="F506" s="4">
        <v>4.6140434471953601E-5</v>
      </c>
      <c r="G506" s="10">
        <v>4.0767918129328901E-4</v>
      </c>
      <c r="H506" s="10" t="s">
        <v>1480</v>
      </c>
      <c r="I506" s="10" t="s">
        <v>18</v>
      </c>
    </row>
    <row r="507" spans="1:9" x14ac:dyDescent="0.2">
      <c r="A507" s="10" t="s">
        <v>1481</v>
      </c>
      <c r="B507" s="10">
        <v>4169.1374889496001</v>
      </c>
      <c r="C507" s="10">
        <v>-1.45687301726801</v>
      </c>
      <c r="D507" s="10">
        <v>0.24134021850370699</v>
      </c>
      <c r="E507" s="10">
        <v>-6.0365944238408398</v>
      </c>
      <c r="F507" s="4">
        <v>1.5740066484760101E-9</v>
      </c>
      <c r="G507" s="4">
        <v>3.1103014330254502E-8</v>
      </c>
      <c r="H507" s="10" t="s">
        <v>1482</v>
      </c>
      <c r="I507" s="10" t="s">
        <v>18</v>
      </c>
    </row>
    <row r="508" spans="1:9" x14ac:dyDescent="0.2">
      <c r="A508" s="10" t="s">
        <v>9529</v>
      </c>
      <c r="B508" s="10">
        <v>24.659268540337202</v>
      </c>
      <c r="C508" s="10">
        <v>-2.6982844208121199</v>
      </c>
      <c r="D508" s="10">
        <v>0.79088860457367705</v>
      </c>
      <c r="E508" s="10">
        <v>-3.4117123514083301</v>
      </c>
      <c r="F508" s="10">
        <v>6.4556196893638795E-4</v>
      </c>
      <c r="G508" s="10">
        <v>4.19353134188237E-3</v>
      </c>
      <c r="H508" s="10" t="s">
        <v>9530</v>
      </c>
      <c r="I508" s="10" t="s">
        <v>18</v>
      </c>
    </row>
    <row r="509" spans="1:9" x14ac:dyDescent="0.2">
      <c r="A509" s="10" t="s">
        <v>9531</v>
      </c>
      <c r="B509" s="10">
        <v>4.7960985684072801</v>
      </c>
      <c r="C509" s="10">
        <v>-5.6495419353949101</v>
      </c>
      <c r="D509" s="10">
        <v>2.0362999726328699</v>
      </c>
      <c r="E509" s="10">
        <v>-2.7744153667547402</v>
      </c>
      <c r="F509" s="10">
        <v>5.5301020895980602E-3</v>
      </c>
      <c r="G509" s="10">
        <v>2.5727708167900699E-2</v>
      </c>
      <c r="H509" s="10" t="s">
        <v>9532</v>
      </c>
      <c r="I509" s="10" t="s">
        <v>18</v>
      </c>
    </row>
    <row r="510" spans="1:9" x14ac:dyDescent="0.2">
      <c r="A510" s="10" t="s">
        <v>1497</v>
      </c>
      <c r="B510" s="10">
        <v>712.52692443229205</v>
      </c>
      <c r="C510" s="10">
        <v>-2.1888265560596198</v>
      </c>
      <c r="D510" s="10">
        <v>0.30875757305759599</v>
      </c>
      <c r="E510" s="10">
        <v>-7.0891428973996797</v>
      </c>
      <c r="F510" s="4">
        <v>1.34945132387207E-12</v>
      </c>
      <c r="G510" s="4">
        <v>3.8350327975106999E-11</v>
      </c>
      <c r="H510" s="10" t="s">
        <v>1498</v>
      </c>
      <c r="I510" s="10" t="s">
        <v>18</v>
      </c>
    </row>
    <row r="511" spans="1:9" x14ac:dyDescent="0.2">
      <c r="A511" s="10" t="s">
        <v>1499</v>
      </c>
      <c r="B511" s="10">
        <v>142.28446026235599</v>
      </c>
      <c r="C511" s="10">
        <v>6.3062583810915704</v>
      </c>
      <c r="D511" s="10">
        <v>1.7817040826080801</v>
      </c>
      <c r="E511" s="10">
        <v>3.5394532923000401</v>
      </c>
      <c r="F511" s="10">
        <v>4.00956716919021E-4</v>
      </c>
      <c r="G511" s="10">
        <v>2.7602808467701101E-3</v>
      </c>
      <c r="H511" s="10" t="s">
        <v>1500</v>
      </c>
      <c r="I511" s="10" t="s">
        <v>18</v>
      </c>
    </row>
    <row r="512" spans="1:9" x14ac:dyDescent="0.2">
      <c r="A512" s="10" t="s">
        <v>1501</v>
      </c>
      <c r="B512" s="10">
        <v>1310.6905510444799</v>
      </c>
      <c r="C512" s="10">
        <v>-1.7658060722787801</v>
      </c>
      <c r="D512" s="10">
        <v>0.28857694068450801</v>
      </c>
      <c r="E512" s="10">
        <v>-6.1190130718354201</v>
      </c>
      <c r="F512" s="4">
        <v>9.4156681334553793E-10</v>
      </c>
      <c r="G512" s="4">
        <v>1.9240546864099901E-8</v>
      </c>
      <c r="H512" s="10" t="s">
        <v>1502</v>
      </c>
      <c r="I512" s="10" t="s">
        <v>18</v>
      </c>
    </row>
    <row r="513" spans="1:9" x14ac:dyDescent="0.2">
      <c r="A513" s="10" t="s">
        <v>1503</v>
      </c>
      <c r="B513" s="10">
        <v>21.162729034196399</v>
      </c>
      <c r="C513" s="10">
        <v>3.4146303515188698</v>
      </c>
      <c r="D513" s="10">
        <v>0.93991132710543401</v>
      </c>
      <c r="E513" s="10">
        <v>3.6329281848689101</v>
      </c>
      <c r="F513" s="10">
        <v>2.8022302891768201E-4</v>
      </c>
      <c r="G513" s="10">
        <v>2.0157307098725499E-3</v>
      </c>
      <c r="H513" s="10" t="s">
        <v>1504</v>
      </c>
      <c r="I513" s="10" t="s">
        <v>18</v>
      </c>
    </row>
    <row r="514" spans="1:9" x14ac:dyDescent="0.2">
      <c r="A514" s="10" t="s">
        <v>1505</v>
      </c>
      <c r="B514" s="10">
        <v>88.266726993759406</v>
      </c>
      <c r="C514" s="10">
        <v>3.5248188402818998</v>
      </c>
      <c r="D514" s="10">
        <v>0.476085762156502</v>
      </c>
      <c r="E514" s="10">
        <v>7.4037476447850699</v>
      </c>
      <c r="F514" s="4">
        <v>1.3239391120882899E-13</v>
      </c>
      <c r="G514" s="4">
        <v>4.2209997927225399E-12</v>
      </c>
      <c r="H514" s="10" t="s">
        <v>1506</v>
      </c>
      <c r="I514" s="10" t="s">
        <v>18</v>
      </c>
    </row>
    <row r="515" spans="1:9" x14ac:dyDescent="0.2">
      <c r="A515" s="10" t="s">
        <v>1507</v>
      </c>
      <c r="B515" s="10">
        <v>13.4337643627213</v>
      </c>
      <c r="C515" s="10">
        <v>3.4123135274587399</v>
      </c>
      <c r="D515" s="10">
        <v>1.11898013717152</v>
      </c>
      <c r="E515" s="10">
        <v>3.0494853430411699</v>
      </c>
      <c r="F515" s="10">
        <v>2.29233818238414E-3</v>
      </c>
      <c r="G515" s="10">
        <v>1.23002915908432E-2</v>
      </c>
      <c r="H515" s="10" t="s">
        <v>1508</v>
      </c>
      <c r="I515" s="10" t="s">
        <v>18</v>
      </c>
    </row>
    <row r="516" spans="1:9" x14ac:dyDescent="0.2">
      <c r="A516" s="10" t="s">
        <v>1509</v>
      </c>
      <c r="B516" s="10">
        <v>354.52062620789502</v>
      </c>
      <c r="C516" s="10">
        <v>-1.6765027740088401</v>
      </c>
      <c r="D516" s="10">
        <v>0.32278264675908003</v>
      </c>
      <c r="E516" s="10">
        <v>-5.1939061496703101</v>
      </c>
      <c r="F516" s="4">
        <v>2.0592697921880599E-7</v>
      </c>
      <c r="G516" s="4">
        <v>2.92991694697345E-6</v>
      </c>
      <c r="H516" s="10" t="s">
        <v>1510</v>
      </c>
      <c r="I516" s="10" t="s">
        <v>18</v>
      </c>
    </row>
    <row r="517" spans="1:9" x14ac:dyDescent="0.2">
      <c r="A517" s="10" t="s">
        <v>9533</v>
      </c>
      <c r="B517" s="10">
        <v>59.980695292545597</v>
      </c>
      <c r="C517" s="10">
        <v>-1.6152454184793399</v>
      </c>
      <c r="D517" s="10">
        <v>0.527573958858925</v>
      </c>
      <c r="E517" s="10">
        <v>-3.0616473602543</v>
      </c>
      <c r="F517" s="10">
        <v>2.20122612111333E-3</v>
      </c>
      <c r="G517" s="10">
        <v>1.1874725086126E-2</v>
      </c>
      <c r="H517" s="10" t="s">
        <v>9534</v>
      </c>
      <c r="I517" s="10" t="s">
        <v>18</v>
      </c>
    </row>
    <row r="518" spans="1:9" x14ac:dyDescent="0.2">
      <c r="A518" s="10" t="s">
        <v>9535</v>
      </c>
      <c r="B518" s="10">
        <v>38.655703464337797</v>
      </c>
      <c r="C518" s="10">
        <v>-2.0172200462635099</v>
      </c>
      <c r="D518" s="10">
        <v>0.605095177258968</v>
      </c>
      <c r="E518" s="10">
        <v>-3.3337235563524898</v>
      </c>
      <c r="F518" s="10">
        <v>8.5691778338225805E-4</v>
      </c>
      <c r="G518" s="10">
        <v>5.3501531002682302E-3</v>
      </c>
      <c r="H518" s="10" t="s">
        <v>9536</v>
      </c>
      <c r="I518" s="10" t="s">
        <v>18</v>
      </c>
    </row>
    <row r="519" spans="1:9" x14ac:dyDescent="0.2">
      <c r="A519" s="10" t="s">
        <v>9537</v>
      </c>
      <c r="B519" s="10">
        <v>12738.9892456571</v>
      </c>
      <c r="C519" s="10">
        <v>1.02214147553923</v>
      </c>
      <c r="D519" s="10">
        <v>0.24883627343766501</v>
      </c>
      <c r="E519" s="10">
        <v>4.1076867991084098</v>
      </c>
      <c r="F519" s="4">
        <v>3.9964152970792702E-5</v>
      </c>
      <c r="G519" s="10">
        <v>3.5813974634139298E-4</v>
      </c>
      <c r="H519" s="10" t="s">
        <v>9538</v>
      </c>
      <c r="I519" s="10" t="s">
        <v>18</v>
      </c>
    </row>
    <row r="520" spans="1:9" x14ac:dyDescent="0.2">
      <c r="A520" s="10" t="s">
        <v>1519</v>
      </c>
      <c r="B520" s="10">
        <v>25.818153881476199</v>
      </c>
      <c r="C520" s="10">
        <v>2.52456765286699</v>
      </c>
      <c r="D520" s="10">
        <v>0.72590229853184596</v>
      </c>
      <c r="E520" s="10">
        <v>3.4778339426297298</v>
      </c>
      <c r="F520" s="10">
        <v>5.0548296899125802E-4</v>
      </c>
      <c r="G520" s="10">
        <v>3.3745817635284299E-3</v>
      </c>
      <c r="H520" s="10" t="s">
        <v>1520</v>
      </c>
      <c r="I520" s="10" t="s">
        <v>18</v>
      </c>
    </row>
    <row r="521" spans="1:9" x14ac:dyDescent="0.2">
      <c r="A521" s="10" t="s">
        <v>1523</v>
      </c>
      <c r="B521" s="10">
        <v>430.36470493748101</v>
      </c>
      <c r="C521" s="10">
        <v>2.1860868071658799</v>
      </c>
      <c r="D521" s="10">
        <v>0.28630889037687901</v>
      </c>
      <c r="E521" s="10">
        <v>7.63541364114909</v>
      </c>
      <c r="F521" s="4">
        <v>2.2509654850749699E-14</v>
      </c>
      <c r="G521" s="4">
        <v>7.6414354624913502E-13</v>
      </c>
      <c r="H521" s="10" t="s">
        <v>1524</v>
      </c>
      <c r="I521" s="10" t="s">
        <v>18</v>
      </c>
    </row>
    <row r="522" spans="1:9" x14ac:dyDescent="0.2">
      <c r="A522" s="10" t="s">
        <v>1525</v>
      </c>
      <c r="B522" s="10">
        <v>6134.5945916461997</v>
      </c>
      <c r="C522" s="10">
        <v>2.1341408041790699</v>
      </c>
      <c r="D522" s="10">
        <v>0.235448876741886</v>
      </c>
      <c r="E522" s="10">
        <v>9.0641366980003006</v>
      </c>
      <c r="F522" s="4">
        <v>1.2559484937072499E-19</v>
      </c>
      <c r="G522" s="4">
        <v>6.6233510187014398E-18</v>
      </c>
      <c r="H522" s="10" t="s">
        <v>1526</v>
      </c>
      <c r="I522" s="10" t="s">
        <v>18</v>
      </c>
    </row>
    <row r="523" spans="1:9" x14ac:dyDescent="0.2">
      <c r="A523" s="10" t="s">
        <v>1529</v>
      </c>
      <c r="B523" s="10">
        <v>78.098310979202495</v>
      </c>
      <c r="C523" s="10">
        <v>1.8359516371089299</v>
      </c>
      <c r="D523" s="10">
        <v>0.446432185960002</v>
      </c>
      <c r="E523" s="10">
        <v>4.1124983700736504</v>
      </c>
      <c r="F523" s="4">
        <v>3.9140023498704103E-5</v>
      </c>
      <c r="G523" s="10">
        <v>3.5175680282597399E-4</v>
      </c>
      <c r="H523" s="10" t="s">
        <v>1530</v>
      </c>
      <c r="I523" s="10" t="s">
        <v>18</v>
      </c>
    </row>
    <row r="524" spans="1:9" x14ac:dyDescent="0.2">
      <c r="A524" s="10" t="s">
        <v>9539</v>
      </c>
      <c r="B524" s="10">
        <v>21.6597711672758</v>
      </c>
      <c r="C524" s="10">
        <v>-2.7368076181553902</v>
      </c>
      <c r="D524" s="10">
        <v>0.81009571407797698</v>
      </c>
      <c r="E524" s="10">
        <v>-3.37837562968758</v>
      </c>
      <c r="F524" s="10">
        <v>7.2915406527746505E-4</v>
      </c>
      <c r="G524" s="10">
        <v>4.6624129488540798E-3</v>
      </c>
      <c r="H524" s="10" t="s">
        <v>9540</v>
      </c>
      <c r="I524" s="10" t="s">
        <v>18</v>
      </c>
    </row>
    <row r="525" spans="1:9" x14ac:dyDescent="0.2">
      <c r="A525" s="10" t="s">
        <v>1537</v>
      </c>
      <c r="B525" s="10">
        <v>1310.02378143889</v>
      </c>
      <c r="C525" s="10">
        <v>-4.6752846341070899</v>
      </c>
      <c r="D525" s="10">
        <v>0.275524761553744</v>
      </c>
      <c r="E525" s="10">
        <v>-16.968655041173601</v>
      </c>
      <c r="F525" s="4">
        <v>1.40104231728101E-64</v>
      </c>
      <c r="G525" s="4">
        <v>5.7775769657711099E-62</v>
      </c>
      <c r="H525" s="10" t="s">
        <v>1538</v>
      </c>
      <c r="I525" s="10" t="s">
        <v>18</v>
      </c>
    </row>
    <row r="526" spans="1:9" x14ac:dyDescent="0.2">
      <c r="A526" s="10" t="s">
        <v>9541</v>
      </c>
      <c r="B526" s="10">
        <v>11123.3884074292</v>
      </c>
      <c r="C526" s="10">
        <v>-1.8565814451670599</v>
      </c>
      <c r="D526" s="10">
        <v>0.25343429259718703</v>
      </c>
      <c r="E526" s="10">
        <v>-7.3256915082046303</v>
      </c>
      <c r="F526" s="4">
        <v>2.37669954493116E-13</v>
      </c>
      <c r="G526" s="4">
        <v>7.4360543597939405E-12</v>
      </c>
      <c r="H526" s="10" t="s">
        <v>9542</v>
      </c>
      <c r="I526" s="10" t="s">
        <v>18</v>
      </c>
    </row>
    <row r="527" spans="1:9" x14ac:dyDescent="0.2">
      <c r="A527" s="10" t="s">
        <v>9543</v>
      </c>
      <c r="B527" s="10">
        <v>85.553071404902497</v>
      </c>
      <c r="C527" s="10">
        <v>2.8139672908723599</v>
      </c>
      <c r="D527" s="10">
        <v>0.45271897143658202</v>
      </c>
      <c r="E527" s="10">
        <v>6.2157043738259699</v>
      </c>
      <c r="F527" s="4">
        <v>5.1094921479205299E-10</v>
      </c>
      <c r="G527" s="4">
        <v>1.0847960218239501E-8</v>
      </c>
      <c r="H527" s="10" t="s">
        <v>9544</v>
      </c>
      <c r="I527" s="10" t="s">
        <v>18</v>
      </c>
    </row>
    <row r="528" spans="1:9" x14ac:dyDescent="0.2">
      <c r="A528" s="10" t="s">
        <v>1551</v>
      </c>
      <c r="B528" s="10">
        <v>118.021491215957</v>
      </c>
      <c r="C528" s="10">
        <v>2.5944830408572002</v>
      </c>
      <c r="D528" s="10">
        <v>0.41783456363938398</v>
      </c>
      <c r="E528" s="10">
        <v>6.2093547701247402</v>
      </c>
      <c r="F528" s="4">
        <v>5.3202591553661902E-10</v>
      </c>
      <c r="G528" s="4">
        <v>1.12747362302642E-8</v>
      </c>
      <c r="H528" s="10" t="s">
        <v>1552</v>
      </c>
      <c r="I528" s="10" t="s">
        <v>18</v>
      </c>
    </row>
    <row r="529" spans="1:9" x14ac:dyDescent="0.2">
      <c r="A529" s="10" t="s">
        <v>1555</v>
      </c>
      <c r="B529" s="10">
        <v>46.336890956404297</v>
      </c>
      <c r="C529" s="10">
        <v>1.35823164181968</v>
      </c>
      <c r="D529" s="10">
        <v>0.53185838100150495</v>
      </c>
      <c r="E529" s="10">
        <v>2.5537468061744</v>
      </c>
      <c r="F529" s="10">
        <v>1.06570720620875E-2</v>
      </c>
      <c r="G529" s="10">
        <v>4.4516547280274099E-2</v>
      </c>
      <c r="H529" s="10" t="s">
        <v>1556</v>
      </c>
      <c r="I529" s="10" t="s">
        <v>18</v>
      </c>
    </row>
    <row r="530" spans="1:9" x14ac:dyDescent="0.2">
      <c r="A530" s="10" t="s">
        <v>9545</v>
      </c>
      <c r="B530" s="10">
        <v>49.148875986267903</v>
      </c>
      <c r="C530" s="10">
        <v>-2.5267380942364799</v>
      </c>
      <c r="D530" s="10">
        <v>0.55278082377345406</v>
      </c>
      <c r="E530" s="10">
        <v>-4.5709582995086198</v>
      </c>
      <c r="F530" s="4">
        <v>4.8549889607258902E-6</v>
      </c>
      <c r="G530" s="4">
        <v>5.3377293403435202E-5</v>
      </c>
      <c r="H530" s="10" t="s">
        <v>9546</v>
      </c>
      <c r="I530" s="10" t="s">
        <v>18</v>
      </c>
    </row>
    <row r="531" spans="1:9" x14ac:dyDescent="0.2">
      <c r="A531" s="10" t="s">
        <v>9547</v>
      </c>
      <c r="B531" s="10">
        <v>2789.5295925129699</v>
      </c>
      <c r="C531" s="10">
        <v>1.7959936232690099</v>
      </c>
      <c r="D531" s="10">
        <v>0.31069289516760101</v>
      </c>
      <c r="E531" s="10">
        <v>5.7806073173967301</v>
      </c>
      <c r="F531" s="4">
        <v>7.4431439792331903E-9</v>
      </c>
      <c r="G531" s="4">
        <v>1.34024543162213E-7</v>
      </c>
      <c r="H531" s="10" t="s">
        <v>9548</v>
      </c>
      <c r="I531" s="10" t="s">
        <v>18</v>
      </c>
    </row>
    <row r="532" spans="1:9" x14ac:dyDescent="0.2">
      <c r="A532" s="10" t="s">
        <v>9549</v>
      </c>
      <c r="B532" s="10">
        <v>2385.40638166497</v>
      </c>
      <c r="C532" s="10">
        <v>-1.0525456368564301</v>
      </c>
      <c r="D532" s="10">
        <v>0.26276037837584898</v>
      </c>
      <c r="E532" s="10">
        <v>-4.0057243156762601</v>
      </c>
      <c r="F532" s="4">
        <v>6.1827727136204902E-5</v>
      </c>
      <c r="G532" s="10">
        <v>5.3153673141190499E-4</v>
      </c>
      <c r="H532" s="10" t="s">
        <v>9550</v>
      </c>
      <c r="I532" s="10" t="s">
        <v>18</v>
      </c>
    </row>
    <row r="533" spans="1:9" x14ac:dyDescent="0.2">
      <c r="A533" s="10" t="s">
        <v>9551</v>
      </c>
      <c r="B533" s="10">
        <v>59.536914021697598</v>
      </c>
      <c r="C533" s="10">
        <v>-1.48064557960585</v>
      </c>
      <c r="D533" s="10">
        <v>0.48954330266201301</v>
      </c>
      <c r="E533" s="10">
        <v>-3.0245446553031701</v>
      </c>
      <c r="F533" s="10">
        <v>2.4900770897530598E-3</v>
      </c>
      <c r="G533" s="10">
        <v>1.31750053800036E-2</v>
      </c>
      <c r="H533" s="10" t="s">
        <v>9552</v>
      </c>
      <c r="I533" s="10" t="s">
        <v>18</v>
      </c>
    </row>
    <row r="534" spans="1:9" x14ac:dyDescent="0.2">
      <c r="A534" s="10" t="s">
        <v>1579</v>
      </c>
      <c r="B534" s="10">
        <v>485.43513800785399</v>
      </c>
      <c r="C534" s="10">
        <v>4.3707046657320801</v>
      </c>
      <c r="D534" s="10">
        <v>0.33552617602776602</v>
      </c>
      <c r="E534" s="10">
        <v>13.0264193317972</v>
      </c>
      <c r="F534" s="4">
        <v>8.6576094285168794E-39</v>
      </c>
      <c r="G534" s="4">
        <v>1.3611385323396399E-36</v>
      </c>
      <c r="H534" s="10" t="s">
        <v>1580</v>
      </c>
      <c r="I534" s="10" t="s">
        <v>18</v>
      </c>
    </row>
    <row r="535" spans="1:9" x14ac:dyDescent="0.2">
      <c r="A535" s="10" t="s">
        <v>1581</v>
      </c>
      <c r="B535" s="10">
        <v>259.43604660869897</v>
      </c>
      <c r="C535" s="10">
        <v>6.0923209792402204</v>
      </c>
      <c r="D535" s="10">
        <v>0.48074002880228101</v>
      </c>
      <c r="E535" s="10">
        <v>12.672797383689201</v>
      </c>
      <c r="F535" s="4">
        <v>8.3676240929282094E-37</v>
      </c>
      <c r="G535" s="4">
        <v>1.16291482904756E-34</v>
      </c>
      <c r="H535" s="10" t="s">
        <v>1582</v>
      </c>
      <c r="I535" s="10" t="s">
        <v>18</v>
      </c>
    </row>
    <row r="536" spans="1:9" x14ac:dyDescent="0.2">
      <c r="A536" s="10" t="s">
        <v>1585</v>
      </c>
      <c r="B536" s="10">
        <v>17.551312920496599</v>
      </c>
      <c r="C536" s="10">
        <v>6.1971949942801698</v>
      </c>
      <c r="D536" s="10">
        <v>1.6144532497027999</v>
      </c>
      <c r="E536" s="10">
        <v>3.8385719719174198</v>
      </c>
      <c r="F536" s="10">
        <v>1.2375194204958701E-4</v>
      </c>
      <c r="G536" s="10">
        <v>9.7984894625664592E-4</v>
      </c>
      <c r="H536" s="10" t="s">
        <v>1586</v>
      </c>
      <c r="I536" s="10" t="s">
        <v>18</v>
      </c>
    </row>
    <row r="537" spans="1:9" x14ac:dyDescent="0.2">
      <c r="A537" s="10" t="s">
        <v>1587</v>
      </c>
      <c r="B537" s="10">
        <v>31.2833728537083</v>
      </c>
      <c r="C537" s="10">
        <v>3.9831669914594499</v>
      </c>
      <c r="D537" s="10">
        <v>0.80701901780398599</v>
      </c>
      <c r="E537" s="10">
        <v>4.9356544314137896</v>
      </c>
      <c r="F537" s="4">
        <v>7.9882441517143304E-7</v>
      </c>
      <c r="G537" s="4">
        <v>1.02053977468956E-5</v>
      </c>
      <c r="H537" s="10" t="s">
        <v>1588</v>
      </c>
      <c r="I537" s="10" t="s">
        <v>18</v>
      </c>
    </row>
    <row r="538" spans="1:9" x14ac:dyDescent="0.2">
      <c r="A538" s="10" t="s">
        <v>1589</v>
      </c>
      <c r="B538" s="10">
        <v>4749.9634981754398</v>
      </c>
      <c r="C538" s="10">
        <v>4.35556035058279</v>
      </c>
      <c r="D538" s="10">
        <v>0.29514450465887299</v>
      </c>
      <c r="E538" s="10">
        <v>14.7573825086696</v>
      </c>
      <c r="F538" s="4">
        <v>2.7577779250876302E-49</v>
      </c>
      <c r="G538" s="4">
        <v>7.0072630005635598E-47</v>
      </c>
      <c r="H538" s="10" t="s">
        <v>1590</v>
      </c>
      <c r="I538" s="10" t="s">
        <v>18</v>
      </c>
    </row>
    <row r="539" spans="1:9" x14ac:dyDescent="0.2">
      <c r="A539" s="10" t="s">
        <v>1593</v>
      </c>
      <c r="B539" s="10">
        <v>1401.11978211326</v>
      </c>
      <c r="C539" s="10">
        <v>3.75346403476486</v>
      </c>
      <c r="D539" s="10">
        <v>0.30120877920071498</v>
      </c>
      <c r="E539" s="10">
        <v>12.461336766893099</v>
      </c>
      <c r="F539" s="4">
        <v>1.2131980040898799E-35</v>
      </c>
      <c r="G539" s="4">
        <v>1.6062103048884699E-33</v>
      </c>
      <c r="H539" s="10" t="s">
        <v>1594</v>
      </c>
      <c r="I539" s="10" t="s">
        <v>18</v>
      </c>
    </row>
    <row r="540" spans="1:9" x14ac:dyDescent="0.2">
      <c r="A540" s="10" t="s">
        <v>1599</v>
      </c>
      <c r="B540" s="10">
        <v>103.25230872196001</v>
      </c>
      <c r="C540" s="10">
        <v>2.7365844025260699</v>
      </c>
      <c r="D540" s="10">
        <v>0.44942511215827602</v>
      </c>
      <c r="E540" s="10">
        <v>6.0890776427337698</v>
      </c>
      <c r="F540" s="4">
        <v>1.1356303808001299E-9</v>
      </c>
      <c r="G540" s="4">
        <v>2.29452066096606E-8</v>
      </c>
      <c r="H540" s="10" t="s">
        <v>1600</v>
      </c>
      <c r="I540" s="10" t="s">
        <v>18</v>
      </c>
    </row>
    <row r="541" spans="1:9" x14ac:dyDescent="0.2">
      <c r="A541" s="10" t="s">
        <v>9553</v>
      </c>
      <c r="B541" s="10">
        <v>781.65167213370398</v>
      </c>
      <c r="C541" s="10">
        <v>1.1247325334466101</v>
      </c>
      <c r="D541" s="10">
        <v>0.30850980917965298</v>
      </c>
      <c r="E541" s="10">
        <v>3.6456945613410001</v>
      </c>
      <c r="F541" s="10">
        <v>2.6667056571748403E-4</v>
      </c>
      <c r="G541" s="10">
        <v>1.92706063792683E-3</v>
      </c>
      <c r="H541" s="10" t="s">
        <v>9554</v>
      </c>
      <c r="I541" s="10" t="s">
        <v>18</v>
      </c>
    </row>
    <row r="542" spans="1:9" x14ac:dyDescent="0.2">
      <c r="A542" s="10" t="s">
        <v>9555</v>
      </c>
      <c r="B542" s="10">
        <v>1937.0983556049</v>
      </c>
      <c r="C542" s="10">
        <v>1.1626454399488499</v>
      </c>
      <c r="D542" s="10">
        <v>0.30716889459908597</v>
      </c>
      <c r="E542" s="10">
        <v>3.78503637702745</v>
      </c>
      <c r="F542" s="10">
        <v>1.53686096375917E-4</v>
      </c>
      <c r="G542" s="10">
        <v>1.18370292539381E-3</v>
      </c>
      <c r="H542" s="10" t="s">
        <v>9556</v>
      </c>
      <c r="I542" s="10" t="s">
        <v>18</v>
      </c>
    </row>
    <row r="543" spans="1:9" x14ac:dyDescent="0.2">
      <c r="A543" s="10" t="s">
        <v>9557</v>
      </c>
      <c r="B543" s="10">
        <v>114.437845973235</v>
      </c>
      <c r="C543" s="10">
        <v>-1.3083608960238</v>
      </c>
      <c r="D543" s="10">
        <v>0.39219861330505601</v>
      </c>
      <c r="E543" s="10">
        <v>-3.3359651249101701</v>
      </c>
      <c r="F543" s="10">
        <v>8.5003826582528302E-4</v>
      </c>
      <c r="G543" s="10">
        <v>5.3164377366571296E-3</v>
      </c>
      <c r="H543" s="10" t="s">
        <v>9558</v>
      </c>
      <c r="I543" s="10" t="s">
        <v>18</v>
      </c>
    </row>
    <row r="544" spans="1:9" x14ac:dyDescent="0.2">
      <c r="A544" s="10" t="s">
        <v>9559</v>
      </c>
      <c r="B544" s="10">
        <v>1278.5043564308801</v>
      </c>
      <c r="C544" s="10">
        <v>-1.1474155816251099</v>
      </c>
      <c r="D544" s="10">
        <v>0.25031572127443402</v>
      </c>
      <c r="E544" s="10">
        <v>-4.5838734210670697</v>
      </c>
      <c r="F544" s="4">
        <v>4.56440611124069E-6</v>
      </c>
      <c r="G544" s="4">
        <v>5.0580456267955797E-5</v>
      </c>
      <c r="H544" s="10" t="s">
        <v>9560</v>
      </c>
      <c r="I544" s="10" t="s">
        <v>18</v>
      </c>
    </row>
    <row r="545" spans="1:9" x14ac:dyDescent="0.2">
      <c r="A545" s="10" t="s">
        <v>1617</v>
      </c>
      <c r="B545" s="10">
        <v>569.51478708335901</v>
      </c>
      <c r="C545" s="10">
        <v>4.1090112016074603</v>
      </c>
      <c r="D545" s="10">
        <v>0.30263611600246898</v>
      </c>
      <c r="E545" s="10">
        <v>13.5773986789268</v>
      </c>
      <c r="F545" s="4">
        <v>5.45288944531739E-42</v>
      </c>
      <c r="G545" s="4">
        <v>1.00858407350705E-39</v>
      </c>
      <c r="H545" s="10" t="s">
        <v>1618</v>
      </c>
      <c r="I545" s="10" t="s">
        <v>18</v>
      </c>
    </row>
    <row r="546" spans="1:9" x14ac:dyDescent="0.2">
      <c r="A546" s="10" t="s">
        <v>9561</v>
      </c>
      <c r="B546" s="10">
        <v>31.442269369064</v>
      </c>
      <c r="C546" s="10">
        <v>-1.82886141045594</v>
      </c>
      <c r="D546" s="10">
        <v>0.66537532415312195</v>
      </c>
      <c r="E546" s="10">
        <v>-2.7486162231574802</v>
      </c>
      <c r="F546" s="10">
        <v>5.9847413301949599E-3</v>
      </c>
      <c r="G546" s="10">
        <v>2.7471928496542699E-2</v>
      </c>
      <c r="H546" s="10" t="s">
        <v>9562</v>
      </c>
      <c r="I546" s="10" t="s">
        <v>18</v>
      </c>
    </row>
    <row r="547" spans="1:9" x14ac:dyDescent="0.2">
      <c r="A547" s="10" t="s">
        <v>9563</v>
      </c>
      <c r="B547" s="10">
        <v>2899.86425812075</v>
      </c>
      <c r="C547" s="10">
        <v>-1.0687230973898501</v>
      </c>
      <c r="D547" s="10">
        <v>0.27088582086980001</v>
      </c>
      <c r="E547" s="10">
        <v>-3.94528991572257</v>
      </c>
      <c r="F547" s="4">
        <v>7.9703485666421094E-5</v>
      </c>
      <c r="G547" s="10">
        <v>6.6388780858901405E-4</v>
      </c>
      <c r="H547" s="10" t="s">
        <v>9564</v>
      </c>
      <c r="I547" s="10" t="s">
        <v>18</v>
      </c>
    </row>
    <row r="548" spans="1:9" x14ac:dyDescent="0.2">
      <c r="A548" s="10" t="s">
        <v>1629</v>
      </c>
      <c r="B548" s="10">
        <v>688.65832991005595</v>
      </c>
      <c r="C548" s="10">
        <v>-1.1500776124121499</v>
      </c>
      <c r="D548" s="10">
        <v>0.31027175392767398</v>
      </c>
      <c r="E548" s="10">
        <v>-3.7066784128865198</v>
      </c>
      <c r="F548" s="10">
        <v>2.09995317578098E-4</v>
      </c>
      <c r="G548" s="10">
        <v>1.55823959105518E-3</v>
      </c>
      <c r="H548" s="10" t="s">
        <v>1630</v>
      </c>
      <c r="I548" s="10" t="s">
        <v>18</v>
      </c>
    </row>
    <row r="549" spans="1:9" x14ac:dyDescent="0.2">
      <c r="A549" s="10" t="s">
        <v>1635</v>
      </c>
      <c r="B549" s="10">
        <v>685.90617732489795</v>
      </c>
      <c r="C549" s="10">
        <v>4.6348219904627497</v>
      </c>
      <c r="D549" s="10">
        <v>0.29677600924711101</v>
      </c>
      <c r="E549" s="10">
        <v>15.6172394197927</v>
      </c>
      <c r="F549" s="4">
        <v>5.5559584584532304E-55</v>
      </c>
      <c r="G549" s="4">
        <v>1.62511784909757E-52</v>
      </c>
      <c r="H549" s="10" t="s">
        <v>1636</v>
      </c>
      <c r="I549" s="10" t="s">
        <v>18</v>
      </c>
    </row>
    <row r="550" spans="1:9" x14ac:dyDescent="0.2">
      <c r="A550" s="10" t="s">
        <v>1637</v>
      </c>
      <c r="B550" s="10">
        <v>23.070805274239</v>
      </c>
      <c r="C550" s="10">
        <v>3.12504762756069</v>
      </c>
      <c r="D550" s="10">
        <v>0.80094511879961605</v>
      </c>
      <c r="E550" s="10">
        <v>3.9017000718404198</v>
      </c>
      <c r="F550" s="4">
        <v>9.5519465507581299E-5</v>
      </c>
      <c r="G550" s="10">
        <v>7.7962107554938596E-4</v>
      </c>
      <c r="H550" s="10" t="s">
        <v>1638</v>
      </c>
      <c r="I550" s="10" t="s">
        <v>18</v>
      </c>
    </row>
    <row r="551" spans="1:9" x14ac:dyDescent="0.2">
      <c r="A551" s="10" t="s">
        <v>9565</v>
      </c>
      <c r="B551" s="10">
        <v>878.84818772989502</v>
      </c>
      <c r="C551" s="10">
        <v>1.16364471579677</v>
      </c>
      <c r="D551" s="10">
        <v>0.25713627567755099</v>
      </c>
      <c r="E551" s="10">
        <v>4.5254008316430001</v>
      </c>
      <c r="F551" s="4">
        <v>6.0281143429578703E-6</v>
      </c>
      <c r="G551" s="4">
        <v>6.5080350342105201E-5</v>
      </c>
      <c r="H551" s="10" t="s">
        <v>9566</v>
      </c>
      <c r="I551" s="10" t="s">
        <v>18</v>
      </c>
    </row>
    <row r="552" spans="1:9" x14ac:dyDescent="0.2">
      <c r="A552" s="10" t="s">
        <v>1643</v>
      </c>
      <c r="B552" s="10">
        <v>525.09437149761504</v>
      </c>
      <c r="C552" s="10">
        <v>-1.31418995197309</v>
      </c>
      <c r="D552" s="10">
        <v>0.27466414169618403</v>
      </c>
      <c r="E552" s="10">
        <v>-4.7847161404372898</v>
      </c>
      <c r="F552" s="4">
        <v>1.7122914957035101E-6</v>
      </c>
      <c r="G552" s="4">
        <v>2.0355714827231401E-5</v>
      </c>
      <c r="H552" s="10" t="s">
        <v>1644</v>
      </c>
      <c r="I552" s="10" t="s">
        <v>18</v>
      </c>
    </row>
    <row r="553" spans="1:9" x14ac:dyDescent="0.2">
      <c r="A553" s="10" t="s">
        <v>1647</v>
      </c>
      <c r="B553" s="10">
        <v>530.04940784144901</v>
      </c>
      <c r="C553" s="10">
        <v>7.6640102717566201</v>
      </c>
      <c r="D553" s="10">
        <v>0.51472466654612403</v>
      </c>
      <c r="E553" s="10">
        <v>14.889533705822201</v>
      </c>
      <c r="F553" s="4">
        <v>3.8544830904369498E-50</v>
      </c>
      <c r="G553" s="4">
        <v>1.04257550688109E-47</v>
      </c>
      <c r="H553" s="10" t="s">
        <v>1648</v>
      </c>
      <c r="I553" s="10" t="s">
        <v>18</v>
      </c>
    </row>
    <row r="554" spans="1:9" x14ac:dyDescent="0.2">
      <c r="A554" s="10" t="s">
        <v>9567</v>
      </c>
      <c r="B554" s="10">
        <v>3905.8335409494098</v>
      </c>
      <c r="C554" s="10">
        <v>1.5520002643858899</v>
      </c>
      <c r="D554" s="10">
        <v>0.27964994344432598</v>
      </c>
      <c r="E554" s="10">
        <v>5.5497964536326299</v>
      </c>
      <c r="F554" s="4">
        <v>2.8600238832896101E-8</v>
      </c>
      <c r="G554" s="4">
        <v>4.6808003112654598E-7</v>
      </c>
      <c r="H554" s="10" t="s">
        <v>9568</v>
      </c>
      <c r="I554" s="10" t="s">
        <v>18</v>
      </c>
    </row>
    <row r="555" spans="1:9" x14ac:dyDescent="0.2">
      <c r="A555" s="10" t="s">
        <v>9569</v>
      </c>
      <c r="B555" s="10">
        <v>466.535989550203</v>
      </c>
      <c r="C555" s="10">
        <v>1.16320099103899</v>
      </c>
      <c r="D555" s="10">
        <v>0.32080491408206402</v>
      </c>
      <c r="E555" s="10">
        <v>3.62588270933231</v>
      </c>
      <c r="F555" s="10">
        <v>2.8797605163746699E-4</v>
      </c>
      <c r="G555" s="10">
        <v>2.0661829945637401E-3</v>
      </c>
      <c r="H555" s="10" t="s">
        <v>9570</v>
      </c>
      <c r="I555" s="10" t="s">
        <v>18</v>
      </c>
    </row>
    <row r="556" spans="1:9" x14ac:dyDescent="0.2">
      <c r="A556" s="10" t="s">
        <v>1651</v>
      </c>
      <c r="B556" s="10">
        <v>74.612616311920902</v>
      </c>
      <c r="C556" s="10">
        <v>3.97462022862624</v>
      </c>
      <c r="D556" s="10">
        <v>0.53687193038981396</v>
      </c>
      <c r="E556" s="10">
        <v>7.4032930455878603</v>
      </c>
      <c r="F556" s="4">
        <v>1.32848134824054E-13</v>
      </c>
      <c r="G556" s="4">
        <v>4.2301200398722601E-12</v>
      </c>
      <c r="H556" s="10" t="s">
        <v>1652</v>
      </c>
      <c r="I556" s="10" t="s">
        <v>18</v>
      </c>
    </row>
    <row r="557" spans="1:9" x14ac:dyDescent="0.2">
      <c r="A557" s="10" t="s">
        <v>1653</v>
      </c>
      <c r="B557" s="10">
        <v>3182.8301206168699</v>
      </c>
      <c r="C557" s="10">
        <v>2.28247862858538</v>
      </c>
      <c r="D557" s="10">
        <v>0.26276557314216298</v>
      </c>
      <c r="E557" s="10">
        <v>8.6863686185804205</v>
      </c>
      <c r="F557" s="4">
        <v>3.7420927790458597E-18</v>
      </c>
      <c r="G557" s="4">
        <v>1.77608195956412E-16</v>
      </c>
      <c r="H557" s="10" t="s">
        <v>1654</v>
      </c>
      <c r="I557" s="10" t="s">
        <v>18</v>
      </c>
    </row>
    <row r="558" spans="1:9" x14ac:dyDescent="0.2">
      <c r="A558" s="10" t="s">
        <v>1655</v>
      </c>
      <c r="B558" s="10">
        <v>799.00382770237502</v>
      </c>
      <c r="C558" s="10">
        <v>7.0666624335005901</v>
      </c>
      <c r="D558" s="10">
        <v>0.40015098640444302</v>
      </c>
      <c r="E558" s="10">
        <v>17.659990037755701</v>
      </c>
      <c r="F558" s="4">
        <v>8.5254717078825897E-70</v>
      </c>
      <c r="G558" s="4">
        <v>4.5629412938678002E-67</v>
      </c>
      <c r="H558" s="10" t="s">
        <v>1656</v>
      </c>
      <c r="I558" s="10" t="s">
        <v>18</v>
      </c>
    </row>
    <row r="559" spans="1:9" x14ac:dyDescent="0.2">
      <c r="A559" s="10" t="s">
        <v>1661</v>
      </c>
      <c r="B559" s="10">
        <v>490.32434084873898</v>
      </c>
      <c r="C559" s="10">
        <v>-1.1026213125201201</v>
      </c>
      <c r="D559" s="10">
        <v>0.27262308034050298</v>
      </c>
      <c r="E559" s="10">
        <v>-4.0444899644702001</v>
      </c>
      <c r="F559" s="4">
        <v>5.2437154340843301E-5</v>
      </c>
      <c r="G559" s="10">
        <v>4.58164854964888E-4</v>
      </c>
      <c r="H559" s="10" t="s">
        <v>1662</v>
      </c>
      <c r="I559" s="10" t="s">
        <v>18</v>
      </c>
    </row>
    <row r="560" spans="1:9" x14ac:dyDescent="0.2">
      <c r="A560" s="10" t="s">
        <v>1667</v>
      </c>
      <c r="B560" s="10">
        <v>251.083251092811</v>
      </c>
      <c r="C560" s="10">
        <v>5.3722514872303</v>
      </c>
      <c r="D560" s="10">
        <v>0.420677180519341</v>
      </c>
      <c r="E560" s="10">
        <v>12.7704846756795</v>
      </c>
      <c r="F560" s="4">
        <v>2.3965747929649402E-37</v>
      </c>
      <c r="G560" s="4">
        <v>3.4253317566495999E-35</v>
      </c>
      <c r="H560" s="10" t="s">
        <v>1668</v>
      </c>
      <c r="I560" s="10" t="s">
        <v>18</v>
      </c>
    </row>
    <row r="561" spans="1:9" x14ac:dyDescent="0.2">
      <c r="A561" s="10" t="s">
        <v>9571</v>
      </c>
      <c r="B561" s="10">
        <v>19.387095524077498</v>
      </c>
      <c r="C561" s="10">
        <v>-2.8569972414996099</v>
      </c>
      <c r="D561" s="10">
        <v>0.88683041802226803</v>
      </c>
      <c r="E561" s="10">
        <v>-3.22158237182598</v>
      </c>
      <c r="F561" s="10">
        <v>1.27484810759998E-3</v>
      </c>
      <c r="G561" s="10">
        <v>7.5120178371228703E-3</v>
      </c>
      <c r="H561" s="10" t="s">
        <v>9572</v>
      </c>
      <c r="I561" s="10" t="s">
        <v>18</v>
      </c>
    </row>
    <row r="562" spans="1:9" x14ac:dyDescent="0.2">
      <c r="A562" s="10" t="s">
        <v>1669</v>
      </c>
      <c r="B562" s="10">
        <v>420.22005701973097</v>
      </c>
      <c r="C562" s="10">
        <v>1.59658563929603</v>
      </c>
      <c r="D562" s="10">
        <v>0.30931796588611898</v>
      </c>
      <c r="E562" s="10">
        <v>5.1616324151175803</v>
      </c>
      <c r="F562" s="4">
        <v>2.4480563357362402E-7</v>
      </c>
      <c r="G562" s="4">
        <v>3.43643175923243E-6</v>
      </c>
      <c r="H562" s="10" t="s">
        <v>1670</v>
      </c>
      <c r="I562" s="10" t="s">
        <v>18</v>
      </c>
    </row>
    <row r="563" spans="1:9" x14ac:dyDescent="0.2">
      <c r="A563" s="10" t="s">
        <v>1671</v>
      </c>
      <c r="B563" s="10">
        <v>23.336527095754398</v>
      </c>
      <c r="C563" s="10">
        <v>3.3050022363995599</v>
      </c>
      <c r="D563" s="10">
        <v>0.815044971291221</v>
      </c>
      <c r="E563" s="10">
        <v>4.0549937154555602</v>
      </c>
      <c r="F563" s="4">
        <v>5.01356507004699E-5</v>
      </c>
      <c r="G563" s="10">
        <v>4.4034996276896599E-4</v>
      </c>
      <c r="H563" s="10" t="s">
        <v>1672</v>
      </c>
      <c r="I563" s="10" t="s">
        <v>18</v>
      </c>
    </row>
    <row r="564" spans="1:9" x14ac:dyDescent="0.2">
      <c r="A564" s="10" t="s">
        <v>9573</v>
      </c>
      <c r="B564" s="10">
        <v>967.91098214268095</v>
      </c>
      <c r="C564" s="10">
        <v>-1.1498967294451099</v>
      </c>
      <c r="D564" s="10">
        <v>0.26992494226538399</v>
      </c>
      <c r="E564" s="10">
        <v>-4.2600610369476497</v>
      </c>
      <c r="F564" s="4">
        <v>2.0437108556833201E-5</v>
      </c>
      <c r="G564" s="10">
        <v>1.95176714406659E-4</v>
      </c>
      <c r="H564" s="10" t="s">
        <v>9574</v>
      </c>
      <c r="I564" s="10" t="s">
        <v>18</v>
      </c>
    </row>
    <row r="565" spans="1:9" x14ac:dyDescent="0.2">
      <c r="A565" s="10" t="s">
        <v>9575</v>
      </c>
      <c r="B565" s="10">
        <v>406.00408692377499</v>
      </c>
      <c r="C565" s="10">
        <v>-1.21911672564049</v>
      </c>
      <c r="D565" s="10">
        <v>0.29159184028191099</v>
      </c>
      <c r="E565" s="10">
        <v>-4.1809013738582301</v>
      </c>
      <c r="F565" s="4">
        <v>2.90355792316517E-5</v>
      </c>
      <c r="G565" s="10">
        <v>2.6813142275044003E-4</v>
      </c>
      <c r="H565" s="10" t="s">
        <v>9576</v>
      </c>
      <c r="I565" s="10" t="s">
        <v>18</v>
      </c>
    </row>
    <row r="566" spans="1:9" x14ac:dyDescent="0.2">
      <c r="A566" s="10" t="s">
        <v>9577</v>
      </c>
      <c r="B566" s="10">
        <v>3226.2284544650802</v>
      </c>
      <c r="C566" s="10">
        <v>-1.2433289660825799</v>
      </c>
      <c r="D566" s="10">
        <v>0.25260933627601201</v>
      </c>
      <c r="E566" s="10">
        <v>-4.9219438379113001</v>
      </c>
      <c r="F566" s="4">
        <v>8.5688807359160798E-7</v>
      </c>
      <c r="G566" s="4">
        <v>1.08371138718939E-5</v>
      </c>
      <c r="H566" s="10" t="s">
        <v>9578</v>
      </c>
      <c r="I566" s="10" t="s">
        <v>18</v>
      </c>
    </row>
    <row r="567" spans="1:9" x14ac:dyDescent="0.2">
      <c r="A567" s="10" t="s">
        <v>1673</v>
      </c>
      <c r="B567" s="10">
        <v>100.22530892250199</v>
      </c>
      <c r="C567" s="10">
        <v>-1.13561356958617</v>
      </c>
      <c r="D567" s="10">
        <v>0.40904840765023998</v>
      </c>
      <c r="E567" s="10">
        <v>-2.7762327107191398</v>
      </c>
      <c r="F567" s="10">
        <v>5.4992831579930498E-3</v>
      </c>
      <c r="G567" s="10">
        <v>2.5607882347543898E-2</v>
      </c>
      <c r="H567" s="10" t="s">
        <v>1674</v>
      </c>
      <c r="I567" s="10" t="s">
        <v>18</v>
      </c>
    </row>
    <row r="568" spans="1:9" x14ac:dyDescent="0.2">
      <c r="A568" s="10" t="s">
        <v>9579</v>
      </c>
      <c r="B568" s="10">
        <v>1712.58080598898</v>
      </c>
      <c r="C568" s="10">
        <v>1.9163381891539</v>
      </c>
      <c r="D568" s="10">
        <v>0.24519066867713801</v>
      </c>
      <c r="E568" s="10">
        <v>7.8157060360127097</v>
      </c>
      <c r="F568" s="4">
        <v>5.4655795339443803E-15</v>
      </c>
      <c r="G568" s="4">
        <v>1.9868013464793499E-13</v>
      </c>
      <c r="H568" s="10" t="s">
        <v>9580</v>
      </c>
      <c r="I568" s="10" t="s">
        <v>18</v>
      </c>
    </row>
    <row r="569" spans="1:9" x14ac:dyDescent="0.2">
      <c r="A569" s="10" t="s">
        <v>1681</v>
      </c>
      <c r="B569" s="10">
        <v>211.70920954163199</v>
      </c>
      <c r="C569" s="10">
        <v>-1.0086665653754101</v>
      </c>
      <c r="D569" s="10">
        <v>0.332439331711051</v>
      </c>
      <c r="E569" s="10">
        <v>-3.0341372670431102</v>
      </c>
      <c r="F569" s="10">
        <v>2.4122464532368802E-3</v>
      </c>
      <c r="G569" s="10">
        <v>1.28287652285779E-2</v>
      </c>
      <c r="H569" s="10" t="s">
        <v>1682</v>
      </c>
      <c r="I569" s="10" t="s">
        <v>18</v>
      </c>
    </row>
    <row r="570" spans="1:9" x14ac:dyDescent="0.2">
      <c r="A570" s="10" t="s">
        <v>1683</v>
      </c>
      <c r="B570" s="10">
        <v>527.15641722738098</v>
      </c>
      <c r="C570" s="10">
        <v>-1.1067634779179101</v>
      </c>
      <c r="D570" s="10">
        <v>0.27147223360739497</v>
      </c>
      <c r="E570" s="10">
        <v>-4.0768938436574</v>
      </c>
      <c r="F570" s="4">
        <v>4.5641317249670103E-5</v>
      </c>
      <c r="G570" s="10">
        <v>4.03978654263002E-4</v>
      </c>
      <c r="H570" s="10" t="s">
        <v>1684</v>
      </c>
      <c r="I570" s="10" t="s">
        <v>18</v>
      </c>
    </row>
    <row r="571" spans="1:9" x14ac:dyDescent="0.2">
      <c r="A571" s="10" t="s">
        <v>1689</v>
      </c>
      <c r="B571" s="10">
        <v>217.95451078470299</v>
      </c>
      <c r="C571" s="10">
        <v>2.6175123395975999</v>
      </c>
      <c r="D571" s="10">
        <v>0.33613268539167801</v>
      </c>
      <c r="E571" s="10">
        <v>7.7871401781339502</v>
      </c>
      <c r="F571" s="4">
        <v>6.8542894019799901E-15</v>
      </c>
      <c r="G571" s="4">
        <v>2.4737395969412698E-13</v>
      </c>
      <c r="H571" s="10" t="s">
        <v>1690</v>
      </c>
      <c r="I571" s="10" t="s">
        <v>18</v>
      </c>
    </row>
    <row r="572" spans="1:9" x14ac:dyDescent="0.2">
      <c r="A572" s="10" t="s">
        <v>1693</v>
      </c>
      <c r="B572" s="10">
        <v>2885.4360149832501</v>
      </c>
      <c r="C572" s="10">
        <v>1.0286302857548699</v>
      </c>
      <c r="D572" s="10">
        <v>0.24898579265489801</v>
      </c>
      <c r="E572" s="10">
        <v>4.1312810453429396</v>
      </c>
      <c r="F572" s="4">
        <v>3.6074720286747802E-5</v>
      </c>
      <c r="G572" s="10">
        <v>3.26776949518596E-4</v>
      </c>
      <c r="H572" s="10" t="s">
        <v>1694</v>
      </c>
      <c r="I572" s="10" t="s">
        <v>18</v>
      </c>
    </row>
    <row r="573" spans="1:9" x14ac:dyDescent="0.2">
      <c r="A573" s="10" t="s">
        <v>1697</v>
      </c>
      <c r="B573" s="10">
        <v>51.519362813684999</v>
      </c>
      <c r="C573" s="10">
        <v>-3.6333108563561498</v>
      </c>
      <c r="D573" s="10">
        <v>0.62508024989079303</v>
      </c>
      <c r="E573" s="10">
        <v>-5.8125510396319804</v>
      </c>
      <c r="F573" s="4">
        <v>6.1527915309599197E-9</v>
      </c>
      <c r="G573" s="4">
        <v>1.12538318382931E-7</v>
      </c>
      <c r="H573" s="10" t="s">
        <v>1698</v>
      </c>
      <c r="I573" s="10" t="s">
        <v>18</v>
      </c>
    </row>
    <row r="574" spans="1:9" x14ac:dyDescent="0.2">
      <c r="A574" s="10" t="s">
        <v>1699</v>
      </c>
      <c r="B574" s="10">
        <v>1177.95756273811</v>
      </c>
      <c r="C574" s="10">
        <v>2.1816823215486201</v>
      </c>
      <c r="D574" s="10">
        <v>0.30330770695633602</v>
      </c>
      <c r="E574" s="10">
        <v>7.1929669820842896</v>
      </c>
      <c r="F574" s="4">
        <v>6.3398278368743599E-13</v>
      </c>
      <c r="G574" s="4">
        <v>1.8696174588109601E-11</v>
      </c>
      <c r="H574" s="10" t="s">
        <v>1700</v>
      </c>
      <c r="I574" s="10" t="s">
        <v>18</v>
      </c>
    </row>
    <row r="575" spans="1:9" x14ac:dyDescent="0.2">
      <c r="A575" s="10" t="s">
        <v>1705</v>
      </c>
      <c r="B575" s="10">
        <v>1032.7260181289901</v>
      </c>
      <c r="C575" s="10">
        <v>-1.0569720903853299</v>
      </c>
      <c r="D575" s="10">
        <v>0.28142146929584499</v>
      </c>
      <c r="E575" s="10">
        <v>-3.7558331744554501</v>
      </c>
      <c r="F575" s="10">
        <v>1.7276575306347799E-4</v>
      </c>
      <c r="G575" s="10">
        <v>1.3094072064814E-3</v>
      </c>
      <c r="H575" s="10" t="s">
        <v>1706</v>
      </c>
      <c r="I575" s="10" t="s">
        <v>18</v>
      </c>
    </row>
    <row r="576" spans="1:9" x14ac:dyDescent="0.2">
      <c r="A576" s="10" t="s">
        <v>9581</v>
      </c>
      <c r="B576" s="10">
        <v>42.892030614227203</v>
      </c>
      <c r="C576" s="10">
        <v>-2.20927854257401</v>
      </c>
      <c r="D576" s="10">
        <v>0.60986962675704703</v>
      </c>
      <c r="E576" s="10">
        <v>-3.6225423363379199</v>
      </c>
      <c r="F576" s="10">
        <v>2.9172169666257501E-4</v>
      </c>
      <c r="G576" s="10">
        <v>2.0912679622533698E-3</v>
      </c>
      <c r="H576" s="10" t="s">
        <v>9582</v>
      </c>
      <c r="I576" s="10" t="s">
        <v>18</v>
      </c>
    </row>
    <row r="577" spans="1:9" x14ac:dyDescent="0.2">
      <c r="A577" s="10" t="s">
        <v>1715</v>
      </c>
      <c r="B577" s="10">
        <v>7265.9253463605401</v>
      </c>
      <c r="C577" s="10">
        <v>1.8991735464130599</v>
      </c>
      <c r="D577" s="10">
        <v>0.24457676307333001</v>
      </c>
      <c r="E577" s="10">
        <v>7.7651430272778699</v>
      </c>
      <c r="F577" s="4">
        <v>8.1553141749002E-15</v>
      </c>
      <c r="G577" s="4">
        <v>2.9016538623707901E-13</v>
      </c>
      <c r="H577" s="10" t="s">
        <v>1716</v>
      </c>
      <c r="I577" s="10" t="s">
        <v>18</v>
      </c>
    </row>
    <row r="578" spans="1:9" x14ac:dyDescent="0.2">
      <c r="A578" s="10" t="s">
        <v>1719</v>
      </c>
      <c r="B578" s="10">
        <v>30.549922980893299</v>
      </c>
      <c r="C578" s="10">
        <v>2.8683632355202899</v>
      </c>
      <c r="D578" s="10">
        <v>0.72833650907685299</v>
      </c>
      <c r="E578" s="10">
        <v>3.9382389867505898</v>
      </c>
      <c r="F578" s="4">
        <v>8.2081818906338698E-5</v>
      </c>
      <c r="G578" s="10">
        <v>6.8076760784337295E-4</v>
      </c>
      <c r="H578" s="10" t="s">
        <v>1720</v>
      </c>
      <c r="I578" s="10" t="s">
        <v>18</v>
      </c>
    </row>
    <row r="579" spans="1:9" x14ac:dyDescent="0.2">
      <c r="A579" s="10" t="s">
        <v>1721</v>
      </c>
      <c r="B579" s="10">
        <v>327.99211577924598</v>
      </c>
      <c r="C579" s="10">
        <v>-1.3314311938119801</v>
      </c>
      <c r="D579" s="10">
        <v>0.31739819345679898</v>
      </c>
      <c r="E579" s="10">
        <v>-4.1948291491873499</v>
      </c>
      <c r="F579" s="4">
        <v>2.73077342775977E-5</v>
      </c>
      <c r="G579" s="10">
        <v>2.5404070109207499E-4</v>
      </c>
      <c r="H579" s="10" t="s">
        <v>1722</v>
      </c>
      <c r="I579" s="10" t="s">
        <v>18</v>
      </c>
    </row>
    <row r="580" spans="1:9" x14ac:dyDescent="0.2">
      <c r="A580" s="10" t="s">
        <v>9583</v>
      </c>
      <c r="B580" s="10">
        <v>201.92939917945401</v>
      </c>
      <c r="C580" s="10">
        <v>-1.0972325598828601</v>
      </c>
      <c r="D580" s="10">
        <v>0.34625965451518398</v>
      </c>
      <c r="E580" s="10">
        <v>-3.1688143437304399</v>
      </c>
      <c r="F580" s="10">
        <v>1.5306213304684901E-3</v>
      </c>
      <c r="G580" s="10">
        <v>8.7705648218530507E-3</v>
      </c>
      <c r="H580" s="10" t="s">
        <v>9584</v>
      </c>
      <c r="I580" s="10" t="s">
        <v>18</v>
      </c>
    </row>
    <row r="581" spans="1:9" x14ac:dyDescent="0.2">
      <c r="A581" s="10" t="s">
        <v>1723</v>
      </c>
      <c r="B581" s="10">
        <v>8.9669145852016108</v>
      </c>
      <c r="C581" s="10">
        <v>4.16441213609487</v>
      </c>
      <c r="D581" s="10">
        <v>1.4395907762776501</v>
      </c>
      <c r="E581" s="10">
        <v>2.8927749501582598</v>
      </c>
      <c r="F581" s="10">
        <v>3.8185479716864902E-3</v>
      </c>
      <c r="G581" s="10">
        <v>1.8923477980254799E-2</v>
      </c>
      <c r="H581" s="10" t="s">
        <v>1724</v>
      </c>
      <c r="I581" s="10" t="s">
        <v>18</v>
      </c>
    </row>
    <row r="582" spans="1:9" x14ac:dyDescent="0.2">
      <c r="A582" s="10" t="s">
        <v>1735</v>
      </c>
      <c r="B582" s="10">
        <v>222.44654963647901</v>
      </c>
      <c r="C582" s="10">
        <v>6.41050464907884</v>
      </c>
      <c r="D582" s="10">
        <v>0.54268952690393502</v>
      </c>
      <c r="E582" s="10">
        <v>11.812471645898601</v>
      </c>
      <c r="F582" s="4">
        <v>3.3652085361025398E-32</v>
      </c>
      <c r="G582" s="4">
        <v>3.8131450777324099E-30</v>
      </c>
      <c r="H582" s="10" t="s">
        <v>1736</v>
      </c>
      <c r="I582" s="10" t="s">
        <v>18</v>
      </c>
    </row>
    <row r="583" spans="1:9" x14ac:dyDescent="0.2">
      <c r="A583" s="10" t="s">
        <v>9585</v>
      </c>
      <c r="B583" s="10">
        <v>23.268516636756299</v>
      </c>
      <c r="C583" s="10">
        <v>-3.3532094804124402</v>
      </c>
      <c r="D583" s="10">
        <v>0.83135373361280296</v>
      </c>
      <c r="E583" s="10">
        <v>-4.0334328756069198</v>
      </c>
      <c r="F583" s="4">
        <v>5.4967887391842297E-5</v>
      </c>
      <c r="G583" s="10">
        <v>4.78117983174894E-4</v>
      </c>
      <c r="H583" s="10" t="s">
        <v>9586</v>
      </c>
      <c r="I583" s="10" t="s">
        <v>18</v>
      </c>
    </row>
    <row r="584" spans="1:9" x14ac:dyDescent="0.2">
      <c r="A584" s="10" t="s">
        <v>9587</v>
      </c>
      <c r="B584" s="10">
        <v>18.623751954167702</v>
      </c>
      <c r="C584" s="10">
        <v>-2.19535895986755</v>
      </c>
      <c r="D584" s="10">
        <v>0.82654408306367599</v>
      </c>
      <c r="E584" s="10">
        <v>-2.6560700207667201</v>
      </c>
      <c r="F584" s="10">
        <v>7.9057197266978307E-3</v>
      </c>
      <c r="G584" s="10">
        <v>3.4654811207994601E-2</v>
      </c>
      <c r="H584" s="10" t="s">
        <v>9588</v>
      </c>
      <c r="I584" s="10" t="s">
        <v>18</v>
      </c>
    </row>
    <row r="585" spans="1:9" x14ac:dyDescent="0.2">
      <c r="A585" s="10" t="s">
        <v>9589</v>
      </c>
      <c r="B585" s="10">
        <v>1292.2415504150399</v>
      </c>
      <c r="C585" s="10">
        <v>1.04246488075431</v>
      </c>
      <c r="D585" s="10">
        <v>0.28240154580020699</v>
      </c>
      <c r="E585" s="10">
        <v>3.6914276719003398</v>
      </c>
      <c r="F585" s="10">
        <v>2.2299881325075601E-4</v>
      </c>
      <c r="G585" s="10">
        <v>1.64599036012992E-3</v>
      </c>
      <c r="H585" s="10" t="s">
        <v>9590</v>
      </c>
      <c r="I585" s="10" t="s">
        <v>18</v>
      </c>
    </row>
    <row r="586" spans="1:9" x14ac:dyDescent="0.2">
      <c r="A586" s="10" t="s">
        <v>9591</v>
      </c>
      <c r="B586" s="10">
        <v>548.08191466586902</v>
      </c>
      <c r="C586" s="10">
        <v>-2.5019477676167501</v>
      </c>
      <c r="D586" s="10">
        <v>0.29027626696412101</v>
      </c>
      <c r="E586" s="10">
        <v>-8.6191950647002198</v>
      </c>
      <c r="F586" s="4">
        <v>6.7426407378452801E-18</v>
      </c>
      <c r="G586" s="4">
        <v>3.1409468103795901E-16</v>
      </c>
      <c r="H586" s="10" t="s">
        <v>9592</v>
      </c>
      <c r="I586" s="10" t="s">
        <v>18</v>
      </c>
    </row>
    <row r="587" spans="1:9" x14ac:dyDescent="0.2">
      <c r="A587" s="10" t="s">
        <v>9593</v>
      </c>
      <c r="B587" s="10">
        <v>232.971482131767</v>
      </c>
      <c r="C587" s="10">
        <v>-1.0228764537700601</v>
      </c>
      <c r="D587" s="10">
        <v>0.32849397809776498</v>
      </c>
      <c r="E587" s="10">
        <v>-3.1138362404489501</v>
      </c>
      <c r="F587" s="10">
        <v>1.84671956227907E-3</v>
      </c>
      <c r="G587" s="10">
        <v>1.02403714800139E-2</v>
      </c>
      <c r="H587" s="10" t="s">
        <v>9594</v>
      </c>
      <c r="I587" s="10" t="s">
        <v>18</v>
      </c>
    </row>
    <row r="588" spans="1:9" x14ac:dyDescent="0.2">
      <c r="A588" s="10" t="s">
        <v>1745</v>
      </c>
      <c r="B588" s="10">
        <v>1796.1790926809499</v>
      </c>
      <c r="C588" s="10">
        <v>-2.3527142052773899</v>
      </c>
      <c r="D588" s="10">
        <v>0.252870726162157</v>
      </c>
      <c r="E588" s="10">
        <v>-9.3040196506126094</v>
      </c>
      <c r="F588" s="4">
        <v>1.35234096928068E-20</v>
      </c>
      <c r="G588" s="4">
        <v>7.6273849960214002E-19</v>
      </c>
      <c r="H588" s="10" t="s">
        <v>1746</v>
      </c>
      <c r="I588" s="10" t="s">
        <v>18</v>
      </c>
    </row>
    <row r="589" spans="1:9" x14ac:dyDescent="0.2">
      <c r="A589" s="10" t="s">
        <v>9595</v>
      </c>
      <c r="B589" s="10">
        <v>889.73405488807498</v>
      </c>
      <c r="C589" s="10">
        <v>1.2203574878915999</v>
      </c>
      <c r="D589" s="10">
        <v>0.30373572686672101</v>
      </c>
      <c r="E589" s="10">
        <v>4.0178266168440899</v>
      </c>
      <c r="F589" s="4">
        <v>5.8737389171606098E-5</v>
      </c>
      <c r="G589" s="10">
        <v>5.0722245953029597E-4</v>
      </c>
      <c r="H589" s="10" t="s">
        <v>9596</v>
      </c>
      <c r="I589" s="10" t="s">
        <v>18</v>
      </c>
    </row>
    <row r="590" spans="1:9" x14ac:dyDescent="0.2">
      <c r="A590" s="10" t="s">
        <v>9597</v>
      </c>
      <c r="B590" s="10">
        <v>411.61828943756501</v>
      </c>
      <c r="C590" s="10">
        <v>1.4609612331539901</v>
      </c>
      <c r="D590" s="10">
        <v>0.34800133945727202</v>
      </c>
      <c r="E590" s="10">
        <v>4.1981483043497603</v>
      </c>
      <c r="F590" s="4">
        <v>2.6910638186477498E-5</v>
      </c>
      <c r="G590" s="10">
        <v>2.5099633058244002E-4</v>
      </c>
      <c r="H590" s="10" t="s">
        <v>9598</v>
      </c>
      <c r="I590" s="10" t="s">
        <v>18</v>
      </c>
    </row>
    <row r="591" spans="1:9" x14ac:dyDescent="0.2">
      <c r="A591" s="10" t="s">
        <v>1747</v>
      </c>
      <c r="B591" s="10">
        <v>182.66218181065599</v>
      </c>
      <c r="C591" s="10">
        <v>3.2209072933545801</v>
      </c>
      <c r="D591" s="10">
        <v>0.39295515725968599</v>
      </c>
      <c r="E591" s="10">
        <v>8.1966281237175291</v>
      </c>
      <c r="F591" s="4">
        <v>2.4722375732105998E-16</v>
      </c>
      <c r="G591" s="4">
        <v>1.0279196058531E-14</v>
      </c>
      <c r="H591" s="10" t="s">
        <v>1748</v>
      </c>
      <c r="I591" s="10" t="s">
        <v>18</v>
      </c>
    </row>
    <row r="592" spans="1:9" x14ac:dyDescent="0.2">
      <c r="A592" s="10" t="s">
        <v>1749</v>
      </c>
      <c r="B592" s="10">
        <v>6270.3737592182197</v>
      </c>
      <c r="C592" s="10">
        <v>4.1508468099773497</v>
      </c>
      <c r="D592" s="10">
        <v>0.319414945972605</v>
      </c>
      <c r="E592" s="10">
        <v>12.9951552434035</v>
      </c>
      <c r="F592" s="4">
        <v>1.3034300616279499E-38</v>
      </c>
      <c r="G592" s="4">
        <v>2.0365082733075101E-36</v>
      </c>
      <c r="H592" s="10" t="s">
        <v>1750</v>
      </c>
      <c r="I592" s="10" t="s">
        <v>18</v>
      </c>
    </row>
    <row r="593" spans="1:9" x14ac:dyDescent="0.2">
      <c r="A593" s="10" t="s">
        <v>1751</v>
      </c>
      <c r="B593" s="10">
        <v>965.87716115058697</v>
      </c>
      <c r="C593" s="10">
        <v>-1.0075852387550699</v>
      </c>
      <c r="D593" s="10">
        <v>0.30321897312975998</v>
      </c>
      <c r="E593" s="10">
        <v>-3.3229623738745402</v>
      </c>
      <c r="F593" s="10">
        <v>8.9066927290196803E-4</v>
      </c>
      <c r="G593" s="10">
        <v>5.5320458172466698E-3</v>
      </c>
      <c r="H593" s="10" t="s">
        <v>1752</v>
      </c>
      <c r="I593" s="10" t="s">
        <v>18</v>
      </c>
    </row>
    <row r="594" spans="1:9" x14ac:dyDescent="0.2">
      <c r="A594" s="10" t="s">
        <v>9599</v>
      </c>
      <c r="B594" s="10">
        <v>1254.9006479341599</v>
      </c>
      <c r="C594" s="10">
        <v>1.01790268329804</v>
      </c>
      <c r="D594" s="10">
        <v>0.32131255081329801</v>
      </c>
      <c r="E594" s="10">
        <v>3.16795182983532</v>
      </c>
      <c r="F594" s="10">
        <v>1.5351695438583399E-3</v>
      </c>
      <c r="G594" s="10">
        <v>8.7886185425026294E-3</v>
      </c>
      <c r="H594" s="10" t="s">
        <v>9600</v>
      </c>
      <c r="I594" s="10" t="s">
        <v>18</v>
      </c>
    </row>
    <row r="595" spans="1:9" x14ac:dyDescent="0.2">
      <c r="A595" s="10" t="s">
        <v>1757</v>
      </c>
      <c r="B595" s="10">
        <v>35.384291926687801</v>
      </c>
      <c r="C595" s="10">
        <v>2.5315106845353501</v>
      </c>
      <c r="D595" s="10">
        <v>0.64003558802236105</v>
      </c>
      <c r="E595" s="10">
        <v>3.9552655069656901</v>
      </c>
      <c r="F595" s="4">
        <v>7.6449701374014801E-5</v>
      </c>
      <c r="G595" s="10">
        <v>6.4039035566544795E-4</v>
      </c>
      <c r="H595" s="10" t="s">
        <v>1758</v>
      </c>
      <c r="I595" s="10" t="s">
        <v>18</v>
      </c>
    </row>
    <row r="596" spans="1:9" x14ac:dyDescent="0.2">
      <c r="A596" s="10" t="s">
        <v>1759</v>
      </c>
      <c r="B596" s="10">
        <v>178.687695101473</v>
      </c>
      <c r="C596" s="10">
        <v>-1.71392077695839</v>
      </c>
      <c r="D596" s="10">
        <v>0.40269728096892698</v>
      </c>
      <c r="E596" s="10">
        <v>-4.2561021838402802</v>
      </c>
      <c r="F596" s="4">
        <v>2.0802166195747199E-5</v>
      </c>
      <c r="G596" s="10">
        <v>1.9836182359894599E-4</v>
      </c>
      <c r="H596" s="10" t="s">
        <v>1760</v>
      </c>
      <c r="I596" s="10" t="s">
        <v>18</v>
      </c>
    </row>
    <row r="597" spans="1:9" x14ac:dyDescent="0.2">
      <c r="A597" s="10" t="s">
        <v>9601</v>
      </c>
      <c r="B597" s="10">
        <v>11.3440824275542</v>
      </c>
      <c r="C597" s="10">
        <v>-4.3539208970176402</v>
      </c>
      <c r="D597" s="10">
        <v>1.40586468207756</v>
      </c>
      <c r="E597" s="10">
        <v>-3.0969701085196202</v>
      </c>
      <c r="F597" s="10">
        <v>1.9550958717397299E-3</v>
      </c>
      <c r="G597" s="10">
        <v>1.07404316780111E-2</v>
      </c>
      <c r="H597" s="10" t="s">
        <v>9602</v>
      </c>
      <c r="I597" s="10" t="s">
        <v>18</v>
      </c>
    </row>
    <row r="598" spans="1:9" x14ac:dyDescent="0.2">
      <c r="A598" s="10" t="s">
        <v>1763</v>
      </c>
      <c r="B598" s="10">
        <v>4078.1857683447402</v>
      </c>
      <c r="C598" s="10">
        <v>2.37383200963255</v>
      </c>
      <c r="D598" s="10">
        <v>0.299059839623881</v>
      </c>
      <c r="E598" s="10">
        <v>7.9376489087202504</v>
      </c>
      <c r="F598" s="4">
        <v>2.0604959980379899E-15</v>
      </c>
      <c r="G598" s="4">
        <v>7.77088108405483E-14</v>
      </c>
      <c r="H598" s="10" t="s">
        <v>1764</v>
      </c>
      <c r="I598" s="10" t="s">
        <v>18</v>
      </c>
    </row>
    <row r="599" spans="1:9" x14ac:dyDescent="0.2">
      <c r="A599" s="10" t="s">
        <v>1765</v>
      </c>
      <c r="B599" s="10">
        <v>1064.4253636405101</v>
      </c>
      <c r="C599" s="10">
        <v>-1.1369537666893399</v>
      </c>
      <c r="D599" s="10">
        <v>0.31361630303175098</v>
      </c>
      <c r="E599" s="10">
        <v>-3.6253018599426499</v>
      </c>
      <c r="F599" s="10">
        <v>2.8862411980462398E-4</v>
      </c>
      <c r="G599" s="10">
        <v>2.0702422964600301E-3</v>
      </c>
      <c r="H599" s="10" t="s">
        <v>1766</v>
      </c>
      <c r="I599" s="10" t="s">
        <v>18</v>
      </c>
    </row>
    <row r="600" spans="1:9" x14ac:dyDescent="0.2">
      <c r="A600" s="10" t="s">
        <v>1767</v>
      </c>
      <c r="B600" s="10">
        <v>2549.3048087949601</v>
      </c>
      <c r="C600" s="10">
        <v>-1.1420296192827799</v>
      </c>
      <c r="D600" s="10">
        <v>0.29553815512607501</v>
      </c>
      <c r="E600" s="10">
        <v>-3.8642374917566702</v>
      </c>
      <c r="F600" s="10">
        <v>1.1143676006671E-4</v>
      </c>
      <c r="G600" s="10">
        <v>8.9473083290075904E-4</v>
      </c>
      <c r="H600" s="10" t="s">
        <v>1768</v>
      </c>
      <c r="I600" s="10" t="s">
        <v>18</v>
      </c>
    </row>
    <row r="601" spans="1:9" x14ac:dyDescent="0.2">
      <c r="A601" s="10" t="s">
        <v>9603</v>
      </c>
      <c r="B601" s="10">
        <v>6503.7021358328702</v>
      </c>
      <c r="C601" s="10">
        <v>2.6445985367506002</v>
      </c>
      <c r="D601" s="10">
        <v>0.30604079596782302</v>
      </c>
      <c r="E601" s="10">
        <v>8.6413268152284406</v>
      </c>
      <c r="F601" s="4">
        <v>5.5563925541275698E-18</v>
      </c>
      <c r="G601" s="4">
        <v>2.5979749944066701E-16</v>
      </c>
      <c r="H601" s="10" t="s">
        <v>9604</v>
      </c>
      <c r="I601" s="10" t="s">
        <v>18</v>
      </c>
    </row>
    <row r="602" spans="1:9" x14ac:dyDescent="0.2">
      <c r="A602" s="10" t="s">
        <v>1769</v>
      </c>
      <c r="B602" s="10">
        <v>1304.12563996227</v>
      </c>
      <c r="C602" s="10">
        <v>-1.2798765847503999</v>
      </c>
      <c r="D602" s="10">
        <v>0.31110787385902899</v>
      </c>
      <c r="E602" s="10">
        <v>-4.1139318297368197</v>
      </c>
      <c r="F602" s="4">
        <v>3.8897634902818603E-5</v>
      </c>
      <c r="G602" s="10">
        <v>3.49703361679915E-4</v>
      </c>
      <c r="H602" s="10" t="s">
        <v>1770</v>
      </c>
      <c r="I602" s="10" t="s">
        <v>18</v>
      </c>
    </row>
    <row r="603" spans="1:9" x14ac:dyDescent="0.2">
      <c r="A603" s="10" t="s">
        <v>1777</v>
      </c>
      <c r="B603" s="10">
        <v>904.56594428015205</v>
      </c>
      <c r="C603" s="10">
        <v>1.52068371887469</v>
      </c>
      <c r="D603" s="10">
        <v>0.28997232552361302</v>
      </c>
      <c r="E603" s="10">
        <v>5.2442374151696702</v>
      </c>
      <c r="F603" s="4">
        <v>1.56930022862112E-7</v>
      </c>
      <c r="G603" s="4">
        <v>2.2857989143580898E-6</v>
      </c>
      <c r="H603" s="10" t="s">
        <v>1778</v>
      </c>
      <c r="I603" s="10" t="s">
        <v>18</v>
      </c>
    </row>
    <row r="604" spans="1:9" x14ac:dyDescent="0.2">
      <c r="A604" s="10" t="s">
        <v>9605</v>
      </c>
      <c r="B604" s="10">
        <v>2488.0354163997199</v>
      </c>
      <c r="C604" s="10">
        <v>1.07115079999923</v>
      </c>
      <c r="D604" s="10">
        <v>0.29797912766350898</v>
      </c>
      <c r="E604" s="10">
        <v>3.5947175508507998</v>
      </c>
      <c r="F604" s="10">
        <v>3.2474369181854403E-4</v>
      </c>
      <c r="G604" s="10">
        <v>2.2985164793740799E-3</v>
      </c>
      <c r="H604" s="10" t="s">
        <v>9606</v>
      </c>
      <c r="I604" s="10" t="s">
        <v>18</v>
      </c>
    </row>
    <row r="605" spans="1:9" x14ac:dyDescent="0.2">
      <c r="A605" s="10" t="s">
        <v>1781</v>
      </c>
      <c r="B605" s="10">
        <v>1930.5838213828599</v>
      </c>
      <c r="C605" s="10">
        <v>1.66122513948268</v>
      </c>
      <c r="D605" s="10">
        <v>0.28477522333275801</v>
      </c>
      <c r="E605" s="10">
        <v>5.83346093119044</v>
      </c>
      <c r="F605" s="4">
        <v>5.4289323523290198E-9</v>
      </c>
      <c r="G605" s="4">
        <v>9.9682330892581494E-8</v>
      </c>
      <c r="H605" s="10" t="s">
        <v>1782</v>
      </c>
      <c r="I605" s="10" t="s">
        <v>18</v>
      </c>
    </row>
    <row r="606" spans="1:9" x14ac:dyDescent="0.2">
      <c r="A606" s="10" t="s">
        <v>1783</v>
      </c>
      <c r="B606" s="10">
        <v>691.94110336851497</v>
      </c>
      <c r="C606" s="10">
        <v>-1.22899136123431</v>
      </c>
      <c r="D606" s="10">
        <v>0.307630039517303</v>
      </c>
      <c r="E606" s="10">
        <v>-3.99503040458176</v>
      </c>
      <c r="F606" s="4">
        <v>6.4685951057253101E-5</v>
      </c>
      <c r="G606" s="10">
        <v>5.5233370632898902E-4</v>
      </c>
      <c r="H606" s="10" t="s">
        <v>1784</v>
      </c>
      <c r="I606" s="10" t="s">
        <v>18</v>
      </c>
    </row>
    <row r="607" spans="1:9" x14ac:dyDescent="0.2">
      <c r="A607" s="10" t="s">
        <v>1785</v>
      </c>
      <c r="B607" s="10">
        <v>373.47467655614997</v>
      </c>
      <c r="C607" s="10">
        <v>1.1225868981454099</v>
      </c>
      <c r="D607" s="10">
        <v>0.28529571673188697</v>
      </c>
      <c r="E607" s="10">
        <v>3.9348186190975398</v>
      </c>
      <c r="F607" s="4">
        <v>8.3259549699819406E-5</v>
      </c>
      <c r="G607" s="10">
        <v>6.8917208710067698E-4</v>
      </c>
      <c r="H607" s="10" t="s">
        <v>1786</v>
      </c>
      <c r="I607" s="10" t="s">
        <v>18</v>
      </c>
    </row>
    <row r="608" spans="1:9" x14ac:dyDescent="0.2">
      <c r="A608" s="10" t="s">
        <v>1787</v>
      </c>
      <c r="B608" s="10">
        <v>1357.5120758779501</v>
      </c>
      <c r="C608" s="10">
        <v>-2.21099602037763</v>
      </c>
      <c r="D608" s="10">
        <v>0.26672980964893001</v>
      </c>
      <c r="E608" s="10">
        <v>-8.2892722912663697</v>
      </c>
      <c r="F608" s="4">
        <v>1.13943427978134E-16</v>
      </c>
      <c r="G608" s="4">
        <v>4.9079570732704602E-15</v>
      </c>
      <c r="H608" s="10" t="s">
        <v>1788</v>
      </c>
      <c r="I608" s="10" t="s">
        <v>18</v>
      </c>
    </row>
    <row r="609" spans="1:9" x14ac:dyDescent="0.2">
      <c r="A609" s="10" t="s">
        <v>1789</v>
      </c>
      <c r="B609" s="10">
        <v>267.63425687925002</v>
      </c>
      <c r="C609" s="10">
        <v>-3.1424495256784901</v>
      </c>
      <c r="D609" s="10">
        <v>0.34785007283792102</v>
      </c>
      <c r="E609" s="10">
        <v>-9.0339194125818008</v>
      </c>
      <c r="F609" s="4">
        <v>1.6563070014941601E-19</v>
      </c>
      <c r="G609" s="4">
        <v>8.6261703152351197E-18</v>
      </c>
      <c r="H609" s="10" t="s">
        <v>1790</v>
      </c>
      <c r="I609" s="10" t="s">
        <v>18</v>
      </c>
    </row>
    <row r="610" spans="1:9" x14ac:dyDescent="0.2">
      <c r="A610" s="10" t="s">
        <v>1793</v>
      </c>
      <c r="B610" s="10">
        <v>4895.63785392509</v>
      </c>
      <c r="C610" s="10">
        <v>-1.3044371672527</v>
      </c>
      <c r="D610" s="10">
        <v>0.29586917104267502</v>
      </c>
      <c r="E610" s="10">
        <v>-4.4088309797729996</v>
      </c>
      <c r="F610" s="4">
        <v>1.0393009414919601E-5</v>
      </c>
      <c r="G610" s="10">
        <v>1.0588746530267401E-4</v>
      </c>
      <c r="H610" s="10" t="s">
        <v>1794</v>
      </c>
      <c r="I610" s="10" t="s">
        <v>18</v>
      </c>
    </row>
    <row r="611" spans="1:9" x14ac:dyDescent="0.2">
      <c r="A611" s="10" t="s">
        <v>9607</v>
      </c>
      <c r="B611" s="10">
        <v>16589.350963172099</v>
      </c>
      <c r="C611" s="10">
        <v>1.4126550119530501</v>
      </c>
      <c r="D611" s="10">
        <v>0.29204748137266401</v>
      </c>
      <c r="E611" s="10">
        <v>4.8370730859015403</v>
      </c>
      <c r="F611" s="4">
        <v>1.3176498897946299E-6</v>
      </c>
      <c r="G611" s="4">
        <v>1.5981428629596899E-5</v>
      </c>
      <c r="H611" s="10" t="s">
        <v>9608</v>
      </c>
      <c r="I611" s="10" t="s">
        <v>18</v>
      </c>
    </row>
    <row r="612" spans="1:9" x14ac:dyDescent="0.2">
      <c r="A612" s="10" t="s">
        <v>1805</v>
      </c>
      <c r="B612" s="10">
        <v>3271.4928452651802</v>
      </c>
      <c r="C612" s="10">
        <v>1.8834246565114801</v>
      </c>
      <c r="D612" s="10">
        <v>0.236496013262532</v>
      </c>
      <c r="E612" s="10">
        <v>7.9638748684558802</v>
      </c>
      <c r="F612" s="4">
        <v>1.6673387083037501E-15</v>
      </c>
      <c r="G612" s="4">
        <v>6.36447726970878E-14</v>
      </c>
      <c r="H612" s="10" t="s">
        <v>1806</v>
      </c>
      <c r="I612" s="10" t="s">
        <v>18</v>
      </c>
    </row>
    <row r="613" spans="1:9" x14ac:dyDescent="0.2">
      <c r="A613" s="10" t="s">
        <v>9609</v>
      </c>
      <c r="B613" s="10">
        <v>2591.7982747545898</v>
      </c>
      <c r="C613" s="10">
        <v>-1.3308565235233401</v>
      </c>
      <c r="D613" s="10">
        <v>0.243930683416757</v>
      </c>
      <c r="E613" s="10">
        <v>-5.4558799445888502</v>
      </c>
      <c r="F613" s="4">
        <v>4.8730911125245603E-8</v>
      </c>
      <c r="G613" s="4">
        <v>7.6593016696430995E-7</v>
      </c>
      <c r="H613" s="10" t="s">
        <v>9610</v>
      </c>
      <c r="I613" s="10" t="s">
        <v>18</v>
      </c>
    </row>
    <row r="614" spans="1:9" x14ac:dyDescent="0.2">
      <c r="A614" s="10" t="s">
        <v>1809</v>
      </c>
      <c r="B614" s="10">
        <v>329.66446820057598</v>
      </c>
      <c r="C614" s="10">
        <v>-1.7432063205830799</v>
      </c>
      <c r="D614" s="10">
        <v>0.30181076765606502</v>
      </c>
      <c r="E614" s="10">
        <v>-5.7758254754170704</v>
      </c>
      <c r="F614" s="4">
        <v>7.6576716654623104E-9</v>
      </c>
      <c r="G614" s="4">
        <v>1.3719995067286599E-7</v>
      </c>
      <c r="H614" s="10" t="s">
        <v>1810</v>
      </c>
      <c r="I614" s="10" t="s">
        <v>18</v>
      </c>
    </row>
    <row r="615" spans="1:9" x14ac:dyDescent="0.2">
      <c r="A615" s="10" t="s">
        <v>1811</v>
      </c>
      <c r="B615" s="10">
        <v>500.656457184168</v>
      </c>
      <c r="C615" s="10">
        <v>-1.31356658434712</v>
      </c>
      <c r="D615" s="10">
        <v>0.29192603913965898</v>
      </c>
      <c r="E615" s="10">
        <v>-4.49965542031934</v>
      </c>
      <c r="F615" s="4">
        <v>6.8063701387145998E-6</v>
      </c>
      <c r="G615" s="4">
        <v>7.2702437723722201E-5</v>
      </c>
      <c r="H615" s="10" t="s">
        <v>1812</v>
      </c>
      <c r="I615" s="10" t="s">
        <v>18</v>
      </c>
    </row>
    <row r="616" spans="1:9" x14ac:dyDescent="0.2">
      <c r="A616" s="10" t="s">
        <v>1817</v>
      </c>
      <c r="B616" s="10">
        <v>143.67537178804599</v>
      </c>
      <c r="C616" s="10">
        <v>2.26361089946655</v>
      </c>
      <c r="D616" s="10">
        <v>0.39116250357046201</v>
      </c>
      <c r="E616" s="10">
        <v>5.78688110134462</v>
      </c>
      <c r="F616" s="4">
        <v>7.1705294440858504E-9</v>
      </c>
      <c r="G616" s="4">
        <v>1.2948648109546299E-7</v>
      </c>
      <c r="H616" s="10" t="s">
        <v>1818</v>
      </c>
      <c r="I616" s="10" t="s">
        <v>18</v>
      </c>
    </row>
    <row r="617" spans="1:9" x14ac:dyDescent="0.2">
      <c r="A617" s="10" t="s">
        <v>9611</v>
      </c>
      <c r="B617" s="10">
        <v>43.174297989870603</v>
      </c>
      <c r="C617" s="10">
        <v>-1.58772580214089</v>
      </c>
      <c r="D617" s="10">
        <v>0.57185308091078901</v>
      </c>
      <c r="E617" s="10">
        <v>-2.77645754677429</v>
      </c>
      <c r="F617" s="10">
        <v>5.4954811322407496E-3</v>
      </c>
      <c r="G617" s="10">
        <v>2.5599377386828302E-2</v>
      </c>
      <c r="H617" s="10" t="s">
        <v>9612</v>
      </c>
      <c r="I617" s="10" t="s">
        <v>18</v>
      </c>
    </row>
    <row r="618" spans="1:9" x14ac:dyDescent="0.2">
      <c r="A618" s="10" t="s">
        <v>1819</v>
      </c>
      <c r="B618" s="10">
        <v>1598.3944970258301</v>
      </c>
      <c r="C618" s="10">
        <v>-2.3735155657295701</v>
      </c>
      <c r="D618" s="10">
        <v>0.26160101789136497</v>
      </c>
      <c r="E618" s="10">
        <v>-9.0730364310555505</v>
      </c>
      <c r="F618" s="4">
        <v>1.1574556739693699E-19</v>
      </c>
      <c r="G618" s="4">
        <v>6.1167641761973898E-18</v>
      </c>
      <c r="H618" s="10" t="s">
        <v>1820</v>
      </c>
      <c r="I618" s="10" t="s">
        <v>18</v>
      </c>
    </row>
    <row r="619" spans="1:9" x14ac:dyDescent="0.2">
      <c r="A619" s="10" t="s">
        <v>9613</v>
      </c>
      <c r="B619" s="10">
        <v>383.58780783927199</v>
      </c>
      <c r="C619" s="10">
        <v>-1.1089415825590001</v>
      </c>
      <c r="D619" s="10">
        <v>0.32866080414732901</v>
      </c>
      <c r="E619" s="10">
        <v>-3.37412179537505</v>
      </c>
      <c r="F619" s="10">
        <v>7.4051595615321896E-4</v>
      </c>
      <c r="G619" s="10">
        <v>4.7266376242157404E-3</v>
      </c>
      <c r="H619" s="10" t="s">
        <v>9614</v>
      </c>
      <c r="I619" s="10" t="s">
        <v>18</v>
      </c>
    </row>
    <row r="620" spans="1:9" x14ac:dyDescent="0.2">
      <c r="A620" s="10" t="s">
        <v>1821</v>
      </c>
      <c r="B620" s="10">
        <v>82.142793714651305</v>
      </c>
      <c r="C620" s="10">
        <v>-1.89725065978198</v>
      </c>
      <c r="D620" s="10">
        <v>0.43660209870033401</v>
      </c>
      <c r="E620" s="10">
        <v>-4.3454913877639898</v>
      </c>
      <c r="F620" s="4">
        <v>1.3896422440496401E-5</v>
      </c>
      <c r="G620" s="10">
        <v>1.37407431796654E-4</v>
      </c>
      <c r="H620" s="10" t="s">
        <v>1822</v>
      </c>
      <c r="I620" s="10" t="s">
        <v>18</v>
      </c>
    </row>
    <row r="621" spans="1:9" x14ac:dyDescent="0.2">
      <c r="A621" s="10" t="s">
        <v>1823</v>
      </c>
      <c r="B621" s="10">
        <v>206.26630536268499</v>
      </c>
      <c r="C621" s="10">
        <v>-2.1858364092592701</v>
      </c>
      <c r="D621" s="10">
        <v>0.33733295267723701</v>
      </c>
      <c r="E621" s="10">
        <v>-6.4797595132981396</v>
      </c>
      <c r="F621" s="4">
        <v>9.1868927020379503E-11</v>
      </c>
      <c r="G621" s="4">
        <v>2.1184671217687698E-9</v>
      </c>
      <c r="H621" s="10" t="s">
        <v>1824</v>
      </c>
      <c r="I621" s="10" t="s">
        <v>18</v>
      </c>
    </row>
    <row r="622" spans="1:9" x14ac:dyDescent="0.2">
      <c r="A622" s="10" t="s">
        <v>1827</v>
      </c>
      <c r="B622" s="10">
        <v>260.26406265270799</v>
      </c>
      <c r="C622" s="10">
        <v>-2.3406882721653401</v>
      </c>
      <c r="D622" s="10">
        <v>0.32194114442654498</v>
      </c>
      <c r="E622" s="10">
        <v>-7.2705471564831301</v>
      </c>
      <c r="F622" s="4">
        <v>3.58034294959701E-13</v>
      </c>
      <c r="G622" s="4">
        <v>1.0930039671979699E-11</v>
      </c>
      <c r="H622" s="10" t="s">
        <v>1828</v>
      </c>
      <c r="I622" s="10" t="s">
        <v>18</v>
      </c>
    </row>
    <row r="623" spans="1:9" x14ac:dyDescent="0.2">
      <c r="A623" s="10" t="s">
        <v>1833</v>
      </c>
      <c r="B623" s="10">
        <v>2012.88954038271</v>
      </c>
      <c r="C623" s="10">
        <v>2.2343157435527199</v>
      </c>
      <c r="D623" s="10">
        <v>0.25109256709562999</v>
      </c>
      <c r="E623" s="10">
        <v>8.8983746886532504</v>
      </c>
      <c r="F623" s="4">
        <v>5.66704240956365E-19</v>
      </c>
      <c r="G623" s="4">
        <v>2.8397301157883198E-17</v>
      </c>
      <c r="H623" s="10" t="s">
        <v>1834</v>
      </c>
      <c r="I623" s="10" t="s">
        <v>18</v>
      </c>
    </row>
    <row r="624" spans="1:9" x14ac:dyDescent="0.2">
      <c r="A624" s="10" t="s">
        <v>1837</v>
      </c>
      <c r="B624" s="10">
        <v>68.921656500097896</v>
      </c>
      <c r="C624" s="10">
        <v>2.4651736796248902</v>
      </c>
      <c r="D624" s="10">
        <v>0.50099619576988297</v>
      </c>
      <c r="E624" s="10">
        <v>4.9205437095917404</v>
      </c>
      <c r="F624" s="4">
        <v>8.6304122792929402E-7</v>
      </c>
      <c r="G624" s="4">
        <v>1.0909448285709199E-5</v>
      </c>
      <c r="H624" s="10" t="s">
        <v>1838</v>
      </c>
      <c r="I624" s="10" t="s">
        <v>18</v>
      </c>
    </row>
    <row r="625" spans="1:9" x14ac:dyDescent="0.2">
      <c r="A625" s="10" t="s">
        <v>1839</v>
      </c>
      <c r="B625" s="10">
        <v>1225.5016316531601</v>
      </c>
      <c r="C625" s="10">
        <v>2.8440682970303999</v>
      </c>
      <c r="D625" s="10">
        <v>0.26362900305604497</v>
      </c>
      <c r="E625" s="10">
        <v>10.7881464636339</v>
      </c>
      <c r="F625" s="4">
        <v>3.9160796591917298E-27</v>
      </c>
      <c r="G625" s="4">
        <v>3.46862619109042E-25</v>
      </c>
      <c r="H625" s="10" t="s">
        <v>1840</v>
      </c>
      <c r="I625" s="10" t="s">
        <v>18</v>
      </c>
    </row>
    <row r="626" spans="1:9" x14ac:dyDescent="0.2">
      <c r="A626" s="10" t="s">
        <v>1841</v>
      </c>
      <c r="B626" s="10">
        <v>457.27091378820501</v>
      </c>
      <c r="C626" s="10">
        <v>-1.2269405807561</v>
      </c>
      <c r="D626" s="10">
        <v>0.28032551507977599</v>
      </c>
      <c r="E626" s="10">
        <v>-4.37684233062744</v>
      </c>
      <c r="F626" s="4">
        <v>1.20411011073799E-5</v>
      </c>
      <c r="G626" s="10">
        <v>1.20964016915392E-4</v>
      </c>
      <c r="H626" s="10" t="s">
        <v>1842</v>
      </c>
      <c r="I626" s="10" t="s">
        <v>18</v>
      </c>
    </row>
    <row r="627" spans="1:9" x14ac:dyDescent="0.2">
      <c r="A627" s="10" t="s">
        <v>1853</v>
      </c>
      <c r="B627" s="10">
        <v>198.25004418132801</v>
      </c>
      <c r="C627" s="10">
        <v>-1.4285760999216499</v>
      </c>
      <c r="D627" s="10">
        <v>0.32798502356809101</v>
      </c>
      <c r="E627" s="10">
        <v>-4.3556138154737196</v>
      </c>
      <c r="F627" s="4">
        <v>1.32694545683737E-5</v>
      </c>
      <c r="G627" s="10">
        <v>1.3172578124208401E-4</v>
      </c>
      <c r="H627" s="10" t="s">
        <v>1854</v>
      </c>
      <c r="I627" s="10" t="s">
        <v>18</v>
      </c>
    </row>
    <row r="628" spans="1:9" x14ac:dyDescent="0.2">
      <c r="A628" s="10" t="s">
        <v>9615</v>
      </c>
      <c r="B628" s="10">
        <v>180.16390769955899</v>
      </c>
      <c r="C628" s="10">
        <v>-1.2884284947092</v>
      </c>
      <c r="D628" s="10">
        <v>0.37023553846217</v>
      </c>
      <c r="E628" s="10">
        <v>-3.4800238249976898</v>
      </c>
      <c r="F628" s="10">
        <v>5.0136919487054797E-4</v>
      </c>
      <c r="G628" s="10">
        <v>3.3488959365291101E-3</v>
      </c>
      <c r="H628" s="10" t="s">
        <v>9616</v>
      </c>
      <c r="I628" s="10" t="s">
        <v>18</v>
      </c>
    </row>
    <row r="629" spans="1:9" x14ac:dyDescent="0.2">
      <c r="A629" s="10" t="s">
        <v>9617</v>
      </c>
      <c r="B629" s="10">
        <v>337.37561279059599</v>
      </c>
      <c r="C629" s="10">
        <v>-1.3088773465732499</v>
      </c>
      <c r="D629" s="10">
        <v>0.30702609042382001</v>
      </c>
      <c r="E629" s="10">
        <v>-4.2630818272364603</v>
      </c>
      <c r="F629" s="4">
        <v>2.01626641605055E-5</v>
      </c>
      <c r="G629" s="10">
        <v>1.92848599603618E-4</v>
      </c>
      <c r="H629" s="10" t="s">
        <v>9618</v>
      </c>
      <c r="I629" s="10" t="s">
        <v>18</v>
      </c>
    </row>
    <row r="630" spans="1:9" x14ac:dyDescent="0.2">
      <c r="A630" s="10" t="s">
        <v>9619</v>
      </c>
      <c r="B630" s="10">
        <v>2089.1301353434201</v>
      </c>
      <c r="C630" s="10">
        <v>-1.10350180515313</v>
      </c>
      <c r="D630" s="10">
        <v>0.25771006335705099</v>
      </c>
      <c r="E630" s="10">
        <v>-4.2819507735879903</v>
      </c>
      <c r="F630" s="4">
        <v>1.8526197197118401E-5</v>
      </c>
      <c r="G630" s="10">
        <v>1.78923713094603E-4</v>
      </c>
      <c r="H630" s="10" t="s">
        <v>9620</v>
      </c>
      <c r="I630" s="10" t="s">
        <v>18</v>
      </c>
    </row>
    <row r="631" spans="1:9" x14ac:dyDescent="0.2">
      <c r="A631" s="10" t="s">
        <v>1873</v>
      </c>
      <c r="B631" s="10">
        <v>1203.2855167809901</v>
      </c>
      <c r="C631" s="10">
        <v>3.4932003881258402</v>
      </c>
      <c r="D631" s="10">
        <v>0.26153353386884098</v>
      </c>
      <c r="E631" s="10">
        <v>13.356606078200601</v>
      </c>
      <c r="F631" s="4">
        <v>1.0839473705257E-40</v>
      </c>
      <c r="G631" s="4">
        <v>1.9067619654247501E-38</v>
      </c>
      <c r="H631" s="10" t="s">
        <v>1874</v>
      </c>
      <c r="I631" s="10" t="s">
        <v>18</v>
      </c>
    </row>
    <row r="632" spans="1:9" x14ac:dyDescent="0.2">
      <c r="A632" s="10" t="s">
        <v>1877</v>
      </c>
      <c r="B632" s="10">
        <v>27.9493005706113</v>
      </c>
      <c r="C632" s="10">
        <v>2.8432324392662198</v>
      </c>
      <c r="D632" s="10">
        <v>0.76559177811419199</v>
      </c>
      <c r="E632" s="10">
        <v>3.7137708639840401</v>
      </c>
      <c r="F632" s="10">
        <v>2.0419369147151999E-4</v>
      </c>
      <c r="G632" s="10">
        <v>1.5205720275210501E-3</v>
      </c>
      <c r="H632" s="10" t="s">
        <v>1878</v>
      </c>
      <c r="I632" s="10" t="s">
        <v>18</v>
      </c>
    </row>
    <row r="633" spans="1:9" x14ac:dyDescent="0.2">
      <c r="A633" s="10" t="s">
        <v>1879</v>
      </c>
      <c r="B633" s="10">
        <v>235.51893444068099</v>
      </c>
      <c r="C633" s="10">
        <v>2.9336133151455499</v>
      </c>
      <c r="D633" s="10">
        <v>0.34428978316564401</v>
      </c>
      <c r="E633" s="10">
        <v>8.5207678490248409</v>
      </c>
      <c r="F633" s="4">
        <v>1.5849895659037399E-17</v>
      </c>
      <c r="G633" s="4">
        <v>7.2229008207080596E-16</v>
      </c>
      <c r="H633" s="10" t="s">
        <v>1880</v>
      </c>
      <c r="I633" s="10" t="s">
        <v>18</v>
      </c>
    </row>
    <row r="634" spans="1:9" x14ac:dyDescent="0.2">
      <c r="A634" s="10" t="s">
        <v>9621</v>
      </c>
      <c r="B634" s="10">
        <v>721.88244059316503</v>
      </c>
      <c r="C634" s="10">
        <v>-1.0398803516153901</v>
      </c>
      <c r="D634" s="10">
        <v>0.27382416087897199</v>
      </c>
      <c r="E634" s="10">
        <v>-3.7976208829687699</v>
      </c>
      <c r="F634" s="10">
        <v>1.4609153671771001E-4</v>
      </c>
      <c r="G634" s="10">
        <v>1.1324907877146399E-3</v>
      </c>
      <c r="H634" s="10" t="s">
        <v>9622</v>
      </c>
      <c r="I634" s="10" t="s">
        <v>18</v>
      </c>
    </row>
    <row r="635" spans="1:9" x14ac:dyDescent="0.2">
      <c r="A635" s="10" t="s">
        <v>9623</v>
      </c>
      <c r="B635" s="10">
        <v>1524.8579913808101</v>
      </c>
      <c r="C635" s="10">
        <v>1.56969274695497</v>
      </c>
      <c r="D635" s="10">
        <v>0.24571735830533201</v>
      </c>
      <c r="E635" s="10">
        <v>6.3882045525023301</v>
      </c>
      <c r="F635" s="4">
        <v>1.6784472746853899E-10</v>
      </c>
      <c r="G635" s="4">
        <v>3.7496750616972499E-9</v>
      </c>
      <c r="H635" s="10" t="s">
        <v>9624</v>
      </c>
      <c r="I635" s="10" t="s">
        <v>18</v>
      </c>
    </row>
    <row r="636" spans="1:9" x14ac:dyDescent="0.2">
      <c r="A636" s="10" t="s">
        <v>9625</v>
      </c>
      <c r="B636" s="10">
        <v>2547.4595133788398</v>
      </c>
      <c r="C636" s="10">
        <v>1.00472532784933</v>
      </c>
      <c r="D636" s="10">
        <v>0.24373926554303901</v>
      </c>
      <c r="E636" s="10">
        <v>4.12213159669147</v>
      </c>
      <c r="F636" s="4">
        <v>3.7538264340293197E-5</v>
      </c>
      <c r="G636" s="10">
        <v>3.3857118661888698E-4</v>
      </c>
      <c r="H636" s="10" t="s">
        <v>9626</v>
      </c>
      <c r="I636" s="10" t="s">
        <v>18</v>
      </c>
    </row>
    <row r="637" spans="1:9" x14ac:dyDescent="0.2">
      <c r="A637" s="10" t="s">
        <v>1901</v>
      </c>
      <c r="B637" s="10">
        <v>2632.09531415735</v>
      </c>
      <c r="C637" s="10">
        <v>-1.4904012099675701</v>
      </c>
      <c r="D637" s="10">
        <v>0.24824298789150401</v>
      </c>
      <c r="E637" s="10">
        <v>-6.0037998359049398</v>
      </c>
      <c r="F637" s="4">
        <v>1.9275230751877201E-9</v>
      </c>
      <c r="G637" s="4">
        <v>3.7499491845589403E-8</v>
      </c>
      <c r="H637" s="10" t="s">
        <v>1902</v>
      </c>
      <c r="I637" s="10" t="s">
        <v>18</v>
      </c>
    </row>
    <row r="638" spans="1:9" x14ac:dyDescent="0.2">
      <c r="A638" s="10" t="s">
        <v>1911</v>
      </c>
      <c r="B638" s="10">
        <v>7069.40396293716</v>
      </c>
      <c r="C638" s="10">
        <v>10.5392833629487</v>
      </c>
      <c r="D638" s="10">
        <v>0.42555402862088498</v>
      </c>
      <c r="E638" s="10">
        <v>24.7660288802902</v>
      </c>
      <c r="F638" s="4">
        <v>2.0834105937207101E-135</v>
      </c>
      <c r="G638" s="4">
        <v>1.04816386970089E-131</v>
      </c>
      <c r="H638" s="10" t="s">
        <v>1912</v>
      </c>
      <c r="I638" s="10" t="s">
        <v>18</v>
      </c>
    </row>
    <row r="639" spans="1:9" x14ac:dyDescent="0.2">
      <c r="A639" s="10" t="s">
        <v>9627</v>
      </c>
      <c r="B639" s="10">
        <v>305.172433041006</v>
      </c>
      <c r="C639" s="10">
        <v>1.03999569186359</v>
      </c>
      <c r="D639" s="10">
        <v>0.29570223231292803</v>
      </c>
      <c r="E639" s="10">
        <v>3.51703699944684</v>
      </c>
      <c r="F639" s="10">
        <v>4.3639294739127699E-4</v>
      </c>
      <c r="G639" s="10">
        <v>2.9725059820275099E-3</v>
      </c>
      <c r="H639" s="10" t="s">
        <v>9628</v>
      </c>
      <c r="I639" s="10" t="s">
        <v>18</v>
      </c>
    </row>
    <row r="640" spans="1:9" x14ac:dyDescent="0.2">
      <c r="A640" s="10" t="s">
        <v>1921</v>
      </c>
      <c r="B640" s="10">
        <v>332.80840683621602</v>
      </c>
      <c r="C640" s="10">
        <v>1.38441987478985</v>
      </c>
      <c r="D640" s="10">
        <v>0.31491419231612999</v>
      </c>
      <c r="E640" s="10">
        <v>4.3961812727705896</v>
      </c>
      <c r="F640" s="4">
        <v>1.1017193739710399E-5</v>
      </c>
      <c r="G640" s="10">
        <v>1.11479287418509E-4</v>
      </c>
      <c r="H640" s="10" t="s">
        <v>1922</v>
      </c>
      <c r="I640" s="10" t="s">
        <v>18</v>
      </c>
    </row>
    <row r="641" spans="1:9" x14ac:dyDescent="0.2">
      <c r="A641" s="10" t="s">
        <v>1927</v>
      </c>
      <c r="B641" s="10">
        <v>459.34924800774598</v>
      </c>
      <c r="C641" s="10">
        <v>-3.51032935854793</v>
      </c>
      <c r="D641" s="10">
        <v>0.35275454319642402</v>
      </c>
      <c r="E641" s="10">
        <v>-9.9511953176837693</v>
      </c>
      <c r="F641" s="4">
        <v>2.4917212491281601E-23</v>
      </c>
      <c r="G641" s="4">
        <v>1.68946760166628E-21</v>
      </c>
      <c r="H641" s="10" t="s">
        <v>1928</v>
      </c>
      <c r="I641" s="10" t="s">
        <v>18</v>
      </c>
    </row>
    <row r="642" spans="1:9" x14ac:dyDescent="0.2">
      <c r="A642" s="10" t="s">
        <v>9629</v>
      </c>
      <c r="B642" s="10">
        <v>1057.37790692369</v>
      </c>
      <c r="C642" s="10">
        <v>2.23887762325502</v>
      </c>
      <c r="D642" s="10">
        <v>0.30849710543230302</v>
      </c>
      <c r="E642" s="10">
        <v>7.2573699520377497</v>
      </c>
      <c r="F642" s="4">
        <v>3.94689143454677E-13</v>
      </c>
      <c r="G642" s="4">
        <v>1.19763635749124E-11</v>
      </c>
      <c r="H642" s="10" t="s">
        <v>9630</v>
      </c>
      <c r="I642" s="10" t="s">
        <v>18</v>
      </c>
    </row>
    <row r="643" spans="1:9" x14ac:dyDescent="0.2">
      <c r="A643" s="10" t="s">
        <v>9631</v>
      </c>
      <c r="B643" s="10">
        <v>1855.6197066899599</v>
      </c>
      <c r="C643" s="10">
        <v>1.1740232779755899</v>
      </c>
      <c r="D643" s="10">
        <v>0.25546061759605798</v>
      </c>
      <c r="E643" s="10">
        <v>4.5957114212883798</v>
      </c>
      <c r="F643" s="4">
        <v>4.3127524328171596E-6</v>
      </c>
      <c r="G643" s="4">
        <v>4.8088336634537097E-5</v>
      </c>
      <c r="H643" s="10" t="s">
        <v>9632</v>
      </c>
      <c r="I643" s="10" t="s">
        <v>18</v>
      </c>
    </row>
    <row r="644" spans="1:9" x14ac:dyDescent="0.2">
      <c r="A644" s="10" t="s">
        <v>1941</v>
      </c>
      <c r="B644" s="10">
        <v>4937.8815208586502</v>
      </c>
      <c r="C644" s="10">
        <v>-2.1388415794200299</v>
      </c>
      <c r="D644" s="10">
        <v>0.31020236708684901</v>
      </c>
      <c r="E644" s="10">
        <v>-6.8949879380553103</v>
      </c>
      <c r="F644" s="4">
        <v>5.3869373777830901E-12</v>
      </c>
      <c r="G644" s="4">
        <v>1.4354704421412499E-10</v>
      </c>
      <c r="H644" s="10" t="s">
        <v>1942</v>
      </c>
      <c r="I644" s="10" t="s">
        <v>18</v>
      </c>
    </row>
    <row r="645" spans="1:9" x14ac:dyDescent="0.2">
      <c r="A645" s="10" t="s">
        <v>1943</v>
      </c>
      <c r="B645" s="10">
        <v>724.99068730699901</v>
      </c>
      <c r="C645" s="10">
        <v>-1.2804842570397099</v>
      </c>
      <c r="D645" s="10">
        <v>0.29967709218468902</v>
      </c>
      <c r="E645" s="10">
        <v>-4.2728800112974703</v>
      </c>
      <c r="F645" s="4">
        <v>1.9296430598022299E-5</v>
      </c>
      <c r="G645" s="10">
        <v>1.8519714295812701E-4</v>
      </c>
      <c r="H645" s="10" t="s">
        <v>1944</v>
      </c>
      <c r="I645" s="10" t="s">
        <v>18</v>
      </c>
    </row>
    <row r="646" spans="1:9" x14ac:dyDescent="0.2">
      <c r="A646" s="10" t="s">
        <v>1949</v>
      </c>
      <c r="B646" s="10">
        <v>232.72616815661601</v>
      </c>
      <c r="C646" s="10">
        <v>1.4056071894526001</v>
      </c>
      <c r="D646" s="10">
        <v>0.33277949351907898</v>
      </c>
      <c r="E646" s="10">
        <v>4.2238395599096803</v>
      </c>
      <c r="F646" s="4">
        <v>2.4017505832173E-5</v>
      </c>
      <c r="G646" s="10">
        <v>2.26531818225839E-4</v>
      </c>
      <c r="H646" s="10" t="s">
        <v>1950</v>
      </c>
      <c r="I646" s="10" t="s">
        <v>18</v>
      </c>
    </row>
    <row r="647" spans="1:9" x14ac:dyDescent="0.2">
      <c r="A647" s="10" t="s">
        <v>1953</v>
      </c>
      <c r="B647" s="10">
        <v>83.917658987096402</v>
      </c>
      <c r="C647" s="10">
        <v>-2.0723854258929602</v>
      </c>
      <c r="D647" s="10">
        <v>0.45651116680650999</v>
      </c>
      <c r="E647" s="10">
        <v>-4.5396160632612403</v>
      </c>
      <c r="F647" s="4">
        <v>5.6356752392005399E-6</v>
      </c>
      <c r="G647" s="4">
        <v>6.1290709313484499E-5</v>
      </c>
      <c r="H647" s="10" t="s">
        <v>1954</v>
      </c>
      <c r="I647" s="10" t="s">
        <v>18</v>
      </c>
    </row>
    <row r="648" spans="1:9" x14ac:dyDescent="0.2">
      <c r="A648" s="10" t="s">
        <v>9633</v>
      </c>
      <c r="B648" s="10">
        <v>1084.00240741622</v>
      </c>
      <c r="C648" s="10">
        <v>-1.4205338278645501</v>
      </c>
      <c r="D648" s="10">
        <v>0.27532421812211599</v>
      </c>
      <c r="E648" s="10">
        <v>-5.1594946407311397</v>
      </c>
      <c r="F648" s="4">
        <v>2.4761731142333402E-7</v>
      </c>
      <c r="G648" s="4">
        <v>3.46815894702337E-6</v>
      </c>
      <c r="H648" s="10" t="s">
        <v>9634</v>
      </c>
      <c r="I648" s="10" t="s">
        <v>18</v>
      </c>
    </row>
    <row r="649" spans="1:9" x14ac:dyDescent="0.2">
      <c r="A649" s="10" t="s">
        <v>9635</v>
      </c>
      <c r="B649" s="10">
        <v>1028.6716780549</v>
      </c>
      <c r="C649" s="10">
        <v>-1.1982451225675601</v>
      </c>
      <c r="D649" s="10">
        <v>0.26896736034475699</v>
      </c>
      <c r="E649" s="10">
        <v>-4.4549833891802697</v>
      </c>
      <c r="F649" s="4">
        <v>8.3899690373017703E-6</v>
      </c>
      <c r="G649" s="4">
        <v>8.7681624899595302E-5</v>
      </c>
      <c r="H649" s="10" t="s">
        <v>9636</v>
      </c>
      <c r="I649" s="10" t="s">
        <v>18</v>
      </c>
    </row>
    <row r="650" spans="1:9" x14ac:dyDescent="0.2">
      <c r="A650" s="10" t="s">
        <v>1959</v>
      </c>
      <c r="B650" s="10">
        <v>45.560410408013603</v>
      </c>
      <c r="C650" s="10">
        <v>3.8896055725820302</v>
      </c>
      <c r="D650" s="10">
        <v>0.66105029090394396</v>
      </c>
      <c r="E650" s="10">
        <v>5.8839783086143704</v>
      </c>
      <c r="F650" s="4">
        <v>4.0052035394459799E-9</v>
      </c>
      <c r="G650" s="4">
        <v>7.5019281485304303E-8</v>
      </c>
      <c r="H650" s="10" t="s">
        <v>1960</v>
      </c>
      <c r="I650" s="10" t="s">
        <v>18</v>
      </c>
    </row>
    <row r="651" spans="1:9" x14ac:dyDescent="0.2">
      <c r="A651" s="10" t="s">
        <v>1977</v>
      </c>
      <c r="B651" s="10">
        <v>1562.3282627646099</v>
      </c>
      <c r="C651" s="10">
        <v>-1.2370262002319199</v>
      </c>
      <c r="D651" s="10">
        <v>0.26519967021146901</v>
      </c>
      <c r="E651" s="10">
        <v>-4.6645088179993701</v>
      </c>
      <c r="F651" s="4">
        <v>3.0935506712102499E-6</v>
      </c>
      <c r="G651" s="4">
        <v>3.5211885581128502E-5</v>
      </c>
      <c r="H651" s="10" t="s">
        <v>1978</v>
      </c>
      <c r="I651" s="10" t="s">
        <v>18</v>
      </c>
    </row>
    <row r="652" spans="1:9" x14ac:dyDescent="0.2">
      <c r="A652" s="10" t="s">
        <v>9637</v>
      </c>
      <c r="B652" s="10">
        <v>533.90981324336303</v>
      </c>
      <c r="C652" s="10">
        <v>-1.03363222298873</v>
      </c>
      <c r="D652" s="10">
        <v>0.27380302982948801</v>
      </c>
      <c r="E652" s="10">
        <v>-3.7750941749345701</v>
      </c>
      <c r="F652" s="10">
        <v>1.5994722491674299E-4</v>
      </c>
      <c r="G652" s="10">
        <v>1.2266684276770301E-3</v>
      </c>
      <c r="H652" s="10" t="s">
        <v>9638</v>
      </c>
      <c r="I652" s="10" t="s">
        <v>18</v>
      </c>
    </row>
    <row r="653" spans="1:9" x14ac:dyDescent="0.2">
      <c r="A653" s="10" t="s">
        <v>1993</v>
      </c>
      <c r="B653" s="10">
        <v>993.23476137429498</v>
      </c>
      <c r="C653" s="10">
        <v>1.5288327850466901</v>
      </c>
      <c r="D653" s="10">
        <v>0.27012404908190402</v>
      </c>
      <c r="E653" s="10">
        <v>5.6597433299363198</v>
      </c>
      <c r="F653" s="4">
        <v>1.5159955784982801E-8</v>
      </c>
      <c r="G653" s="4">
        <v>2.6066212424555197E-7</v>
      </c>
      <c r="H653" s="10" t="s">
        <v>1994</v>
      </c>
      <c r="I653" s="10" t="s">
        <v>18</v>
      </c>
    </row>
    <row r="654" spans="1:9" x14ac:dyDescent="0.2">
      <c r="A654" s="10" t="s">
        <v>9639</v>
      </c>
      <c r="B654" s="10">
        <v>222.59426712409001</v>
      </c>
      <c r="C654" s="10">
        <v>1.7733549732263301</v>
      </c>
      <c r="D654" s="10">
        <v>0.32643493251143502</v>
      </c>
      <c r="E654" s="10">
        <v>5.4324914297099802</v>
      </c>
      <c r="F654" s="4">
        <v>5.5572623515488899E-8</v>
      </c>
      <c r="G654" s="4">
        <v>8.65055287457996E-7</v>
      </c>
      <c r="H654" s="10" t="s">
        <v>9640</v>
      </c>
      <c r="I654" s="10" t="s">
        <v>18</v>
      </c>
    </row>
    <row r="655" spans="1:9" x14ac:dyDescent="0.2">
      <c r="A655" s="10" t="s">
        <v>9641</v>
      </c>
      <c r="B655" s="10">
        <v>449.15138512763099</v>
      </c>
      <c r="C655" s="10">
        <v>-1.2553710497099799</v>
      </c>
      <c r="D655" s="10">
        <v>0.277861895750108</v>
      </c>
      <c r="E655" s="10">
        <v>-4.5179676267629798</v>
      </c>
      <c r="F655" s="4">
        <v>6.2436027143273199E-6</v>
      </c>
      <c r="G655" s="4">
        <v>6.7176144687298501E-5</v>
      </c>
      <c r="H655" s="10" t="s">
        <v>9642</v>
      </c>
      <c r="I655" s="10" t="s">
        <v>18</v>
      </c>
    </row>
    <row r="656" spans="1:9" x14ac:dyDescent="0.2">
      <c r="A656" s="10" t="s">
        <v>9643</v>
      </c>
      <c r="B656" s="10">
        <v>3407.69374363423</v>
      </c>
      <c r="C656" s="10">
        <v>-1.4309995869010499</v>
      </c>
      <c r="D656" s="10">
        <v>0.26151188519725499</v>
      </c>
      <c r="E656" s="10">
        <v>-5.4720250508754598</v>
      </c>
      <c r="F656" s="4">
        <v>4.4492192076262599E-8</v>
      </c>
      <c r="G656" s="4">
        <v>7.0434304070382999E-7</v>
      </c>
      <c r="H656" s="10" t="s">
        <v>9644</v>
      </c>
      <c r="I656" s="10" t="s">
        <v>18</v>
      </c>
    </row>
    <row r="657" spans="1:9" x14ac:dyDescent="0.2">
      <c r="A657" s="10" t="s">
        <v>2003</v>
      </c>
      <c r="B657" s="10">
        <v>219.541363920858</v>
      </c>
      <c r="C657" s="10">
        <v>-3.59802977270071</v>
      </c>
      <c r="D657" s="10">
        <v>0.37242872801732302</v>
      </c>
      <c r="E657" s="10">
        <v>-9.6609888067854808</v>
      </c>
      <c r="F657" s="4">
        <v>4.41580906537612E-22</v>
      </c>
      <c r="G657" s="4">
        <v>2.71588452419404E-20</v>
      </c>
      <c r="H657" s="10" t="s">
        <v>2004</v>
      </c>
      <c r="I657" s="10" t="s">
        <v>18</v>
      </c>
    </row>
    <row r="658" spans="1:9" x14ac:dyDescent="0.2">
      <c r="A658" s="10" t="s">
        <v>2005</v>
      </c>
      <c r="B658" s="10">
        <v>331.74005606601497</v>
      </c>
      <c r="C658" s="10">
        <v>-1.7295312307570501</v>
      </c>
      <c r="D658" s="10">
        <v>0.30235963608736799</v>
      </c>
      <c r="E658" s="10">
        <v>-5.7201128204073299</v>
      </c>
      <c r="F658" s="4">
        <v>1.0645334376325E-8</v>
      </c>
      <c r="G658" s="4">
        <v>1.8660863152366201E-7</v>
      </c>
      <c r="H658" s="10" t="s">
        <v>2006</v>
      </c>
      <c r="I658" s="10" t="s">
        <v>18</v>
      </c>
    </row>
    <row r="659" spans="1:9" x14ac:dyDescent="0.2">
      <c r="A659" s="10" t="s">
        <v>9645</v>
      </c>
      <c r="B659" s="10">
        <v>200.567515958927</v>
      </c>
      <c r="C659" s="10">
        <v>-1.0499248779244501</v>
      </c>
      <c r="D659" s="10">
        <v>0.335342478158899</v>
      </c>
      <c r="E659" s="10">
        <v>-3.1309033191642301</v>
      </c>
      <c r="F659" s="10">
        <v>1.7426952154355E-3</v>
      </c>
      <c r="G659" s="10">
        <v>9.7611886315475092E-3</v>
      </c>
      <c r="H659" s="10" t="s">
        <v>9646</v>
      </c>
      <c r="I659" s="10" t="s">
        <v>18</v>
      </c>
    </row>
    <row r="660" spans="1:9" x14ac:dyDescent="0.2">
      <c r="A660" s="10" t="s">
        <v>9647</v>
      </c>
      <c r="B660" s="10">
        <v>55.154989744305901</v>
      </c>
      <c r="C660" s="10">
        <v>-3.7029673018350802</v>
      </c>
      <c r="D660" s="10">
        <v>0.60697556496658001</v>
      </c>
      <c r="E660" s="10">
        <v>-6.1006859510711404</v>
      </c>
      <c r="F660" s="4">
        <v>1.0561423502534601E-9</v>
      </c>
      <c r="G660" s="4">
        <v>2.1425210339214301E-8</v>
      </c>
      <c r="H660" s="10" t="s">
        <v>9648</v>
      </c>
      <c r="I660" s="10" t="s">
        <v>18</v>
      </c>
    </row>
    <row r="661" spans="1:9" x14ac:dyDescent="0.2">
      <c r="A661" s="10" t="s">
        <v>9649</v>
      </c>
      <c r="B661" s="10">
        <v>19.6137072646119</v>
      </c>
      <c r="C661" s="10">
        <v>-2.2594225465173099</v>
      </c>
      <c r="D661" s="10">
        <v>0.812382153366906</v>
      </c>
      <c r="E661" s="10">
        <v>-2.7812311449151901</v>
      </c>
      <c r="F661" s="10">
        <v>5.41531647722717E-3</v>
      </c>
      <c r="G661" s="10">
        <v>2.5329543693687201E-2</v>
      </c>
      <c r="H661" s="10" t="s">
        <v>9650</v>
      </c>
      <c r="I661" s="10" t="s">
        <v>18</v>
      </c>
    </row>
    <row r="662" spans="1:9" x14ac:dyDescent="0.2">
      <c r="A662" s="10" t="s">
        <v>2011</v>
      </c>
      <c r="B662" s="10">
        <v>87.673177758700305</v>
      </c>
      <c r="C662" s="10">
        <v>3.09618739919601</v>
      </c>
      <c r="D662" s="10">
        <v>0.49521257598197699</v>
      </c>
      <c r="E662" s="10">
        <v>6.2522390370568797</v>
      </c>
      <c r="F662" s="4">
        <v>4.04609472675789E-10</v>
      </c>
      <c r="G662" s="4">
        <v>8.69910366252947E-9</v>
      </c>
      <c r="H662" s="10" t="s">
        <v>2012</v>
      </c>
      <c r="I662" s="10" t="s">
        <v>18</v>
      </c>
    </row>
    <row r="663" spans="1:9" x14ac:dyDescent="0.2">
      <c r="A663" s="10" t="s">
        <v>9651</v>
      </c>
      <c r="B663" s="10">
        <v>4539.9136840339697</v>
      </c>
      <c r="C663" s="10">
        <v>-1.0547096385680601</v>
      </c>
      <c r="D663" s="10">
        <v>0.23688826598758</v>
      </c>
      <c r="E663" s="10">
        <v>-4.4523507070770503</v>
      </c>
      <c r="F663" s="4">
        <v>8.4935291967557098E-6</v>
      </c>
      <c r="G663" s="4">
        <v>8.86534136698713E-5</v>
      </c>
      <c r="H663" s="10" t="s">
        <v>9652</v>
      </c>
      <c r="I663" s="10" t="s">
        <v>18</v>
      </c>
    </row>
    <row r="664" spans="1:9" x14ac:dyDescent="0.2">
      <c r="A664" s="10" t="s">
        <v>2015</v>
      </c>
      <c r="B664" s="10">
        <v>95.238450517207696</v>
      </c>
      <c r="C664" s="10">
        <v>8.6437032077357596</v>
      </c>
      <c r="D664" s="10">
        <v>1.4770231314315001</v>
      </c>
      <c r="E664" s="10">
        <v>5.8521109275780097</v>
      </c>
      <c r="F664" s="4">
        <v>4.8537271034591401E-9</v>
      </c>
      <c r="G664" s="4">
        <v>9.0173933004072805E-8</v>
      </c>
      <c r="H664" s="10" t="s">
        <v>2016</v>
      </c>
      <c r="I664" s="10" t="s">
        <v>18</v>
      </c>
    </row>
    <row r="665" spans="1:9" x14ac:dyDescent="0.2">
      <c r="A665" s="10" t="s">
        <v>9653</v>
      </c>
      <c r="B665" s="10">
        <v>3880.7495784934399</v>
      </c>
      <c r="C665" s="10">
        <v>1.5992690045993501</v>
      </c>
      <c r="D665" s="10">
        <v>0.23892298377593199</v>
      </c>
      <c r="E665" s="10">
        <v>6.6936591002027104</v>
      </c>
      <c r="F665" s="4">
        <v>2.1765814294796301E-11</v>
      </c>
      <c r="G665" s="4">
        <v>5.3889671120630002E-10</v>
      </c>
      <c r="H665" s="10" t="s">
        <v>9654</v>
      </c>
      <c r="I665" s="10" t="s">
        <v>18</v>
      </c>
    </row>
    <row r="666" spans="1:9" x14ac:dyDescent="0.2">
      <c r="A666" s="10" t="s">
        <v>2025</v>
      </c>
      <c r="B666" s="10">
        <v>227.537325917321</v>
      </c>
      <c r="C666" s="10">
        <v>-1.9553022423553601</v>
      </c>
      <c r="D666" s="10">
        <v>0.32169215928820499</v>
      </c>
      <c r="E666" s="10">
        <v>-6.07817811500838</v>
      </c>
      <c r="F666" s="4">
        <v>1.2155569321323501E-9</v>
      </c>
      <c r="G666" s="4">
        <v>2.4442313851150601E-8</v>
      </c>
      <c r="H666" s="10" t="s">
        <v>2026</v>
      </c>
      <c r="I666" s="10" t="s">
        <v>18</v>
      </c>
    </row>
    <row r="667" spans="1:9" x14ac:dyDescent="0.2">
      <c r="A667" s="10" t="s">
        <v>9655</v>
      </c>
      <c r="B667" s="10">
        <v>31.775088867639798</v>
      </c>
      <c r="C667" s="10">
        <v>-2.6112938627900801</v>
      </c>
      <c r="D667" s="10">
        <v>0.68573376116997498</v>
      </c>
      <c r="E667" s="10">
        <v>-3.80802872872232</v>
      </c>
      <c r="F667" s="10">
        <v>1.4007900234466099E-4</v>
      </c>
      <c r="G667" s="10">
        <v>1.09058721881149E-3</v>
      </c>
      <c r="H667" s="10" t="s">
        <v>9656</v>
      </c>
      <c r="I667" s="10" t="s">
        <v>18</v>
      </c>
    </row>
    <row r="668" spans="1:9" x14ac:dyDescent="0.2">
      <c r="A668" s="10" t="s">
        <v>9657</v>
      </c>
      <c r="B668" s="10">
        <v>4.9720917044530202</v>
      </c>
      <c r="C668" s="10">
        <v>-5.7092864768483302</v>
      </c>
      <c r="D668" s="10">
        <v>2.06083449740927</v>
      </c>
      <c r="E668" s="10">
        <v>-2.77037602195889</v>
      </c>
      <c r="F668" s="10">
        <v>5.5991611460012901E-3</v>
      </c>
      <c r="G668" s="10">
        <v>2.5991308106230401E-2</v>
      </c>
      <c r="H668" s="10" t="s">
        <v>9658</v>
      </c>
      <c r="I668" s="10" t="s">
        <v>18</v>
      </c>
    </row>
    <row r="669" spans="1:9" x14ac:dyDescent="0.2">
      <c r="A669" s="10" t="s">
        <v>9659</v>
      </c>
      <c r="B669" s="10">
        <v>240.44054570072501</v>
      </c>
      <c r="C669" s="10">
        <v>-2.6227203139976498</v>
      </c>
      <c r="D669" s="10">
        <v>0.33277325884110198</v>
      </c>
      <c r="E669" s="10">
        <v>-7.8814034611176096</v>
      </c>
      <c r="F669" s="4">
        <v>3.2372417654217501E-15</v>
      </c>
      <c r="G669" s="4">
        <v>1.2010739912859001E-13</v>
      </c>
      <c r="H669" s="10" t="s">
        <v>9660</v>
      </c>
      <c r="I669" s="10" t="s">
        <v>18</v>
      </c>
    </row>
    <row r="670" spans="1:9" x14ac:dyDescent="0.2">
      <c r="A670" s="10" t="s">
        <v>2033</v>
      </c>
      <c r="B670" s="10">
        <v>28.170244092820798</v>
      </c>
      <c r="C670" s="10">
        <v>3.0378014891077898</v>
      </c>
      <c r="D670" s="10">
        <v>0.75602695673412301</v>
      </c>
      <c r="E670" s="10">
        <v>4.0181126639061304</v>
      </c>
      <c r="F670" s="4">
        <v>5.8666147329748299E-5</v>
      </c>
      <c r="G670" s="10">
        <v>5.0695531984878701E-4</v>
      </c>
      <c r="H670" s="10" t="s">
        <v>2034</v>
      </c>
      <c r="I670" s="10" t="s">
        <v>18</v>
      </c>
    </row>
    <row r="671" spans="1:9" x14ac:dyDescent="0.2">
      <c r="A671" s="10" t="s">
        <v>2035</v>
      </c>
      <c r="B671" s="10">
        <v>143.456887054264</v>
      </c>
      <c r="C671" s="10">
        <v>-2.5920301235792902</v>
      </c>
      <c r="D671" s="10">
        <v>0.38604911507050099</v>
      </c>
      <c r="E671" s="10">
        <v>-6.7142496184868499</v>
      </c>
      <c r="F671" s="4">
        <v>1.8903646568717699E-11</v>
      </c>
      <c r="G671" s="4">
        <v>4.7081309845157797E-10</v>
      </c>
      <c r="H671" s="10" t="s">
        <v>2036</v>
      </c>
      <c r="I671" s="10" t="s">
        <v>18</v>
      </c>
    </row>
    <row r="672" spans="1:9" x14ac:dyDescent="0.2">
      <c r="A672" s="10" t="s">
        <v>9661</v>
      </c>
      <c r="B672" s="10">
        <v>20.561344507921699</v>
      </c>
      <c r="C672" s="10">
        <v>-2.6373079827588302</v>
      </c>
      <c r="D672" s="10">
        <v>0.82059902019824504</v>
      </c>
      <c r="E672" s="10">
        <v>-3.21388146688464</v>
      </c>
      <c r="F672" s="10">
        <v>1.3095372081961499E-3</v>
      </c>
      <c r="G672" s="10">
        <v>7.6750718714292303E-3</v>
      </c>
      <c r="H672" s="10" t="s">
        <v>9662</v>
      </c>
      <c r="I672" s="10" t="s">
        <v>18</v>
      </c>
    </row>
    <row r="673" spans="1:9" x14ac:dyDescent="0.2">
      <c r="A673" s="10" t="s">
        <v>2037</v>
      </c>
      <c r="B673" s="10">
        <v>255.584734080809</v>
      </c>
      <c r="C673" s="10">
        <v>-4.3839646426584302</v>
      </c>
      <c r="D673" s="10">
        <v>0.37050039335392898</v>
      </c>
      <c r="E673" s="10">
        <v>-11.8325505756496</v>
      </c>
      <c r="F673" s="4">
        <v>2.6496609127345498E-32</v>
      </c>
      <c r="G673" s="4">
        <v>3.0159375683184398E-30</v>
      </c>
      <c r="H673" s="10" t="s">
        <v>2038</v>
      </c>
      <c r="I673" s="10" t="s">
        <v>18</v>
      </c>
    </row>
    <row r="674" spans="1:9" x14ac:dyDescent="0.2">
      <c r="A674" s="10" t="s">
        <v>2039</v>
      </c>
      <c r="B674" s="10">
        <v>675.35883453148597</v>
      </c>
      <c r="C674" s="10">
        <v>-1.0407298159209999</v>
      </c>
      <c r="D674" s="10">
        <v>0.27262184541268702</v>
      </c>
      <c r="E674" s="10">
        <v>-3.8174850380958198</v>
      </c>
      <c r="F674" s="10">
        <v>1.3481896032662601E-4</v>
      </c>
      <c r="G674" s="10">
        <v>1.0545307671070499E-3</v>
      </c>
      <c r="H674" s="10" t="s">
        <v>2040</v>
      </c>
      <c r="I674" s="10" t="s">
        <v>18</v>
      </c>
    </row>
    <row r="675" spans="1:9" x14ac:dyDescent="0.2">
      <c r="A675" s="10" t="s">
        <v>9663</v>
      </c>
      <c r="B675" s="10">
        <v>932.359708537188</v>
      </c>
      <c r="C675" s="10">
        <v>-1.3305285532795601</v>
      </c>
      <c r="D675" s="10">
        <v>0.27653882682834302</v>
      </c>
      <c r="E675" s="10">
        <v>-4.8113625436961396</v>
      </c>
      <c r="F675" s="4">
        <v>1.4990481460129701E-6</v>
      </c>
      <c r="G675" s="4">
        <v>1.8025122424931301E-5</v>
      </c>
      <c r="H675" s="10" t="s">
        <v>9664</v>
      </c>
      <c r="I675" s="10" t="s">
        <v>18</v>
      </c>
    </row>
    <row r="676" spans="1:9" x14ac:dyDescent="0.2">
      <c r="A676" s="10" t="s">
        <v>2041</v>
      </c>
      <c r="B676" s="10">
        <v>625.38302742235396</v>
      </c>
      <c r="C676" s="10">
        <v>-1.3529266764279799</v>
      </c>
      <c r="D676" s="10">
        <v>0.26705668989669101</v>
      </c>
      <c r="E676" s="10">
        <v>-5.06606547453032</v>
      </c>
      <c r="F676" s="4">
        <v>4.0612227826301399E-7</v>
      </c>
      <c r="G676" s="4">
        <v>5.4806898657221598E-6</v>
      </c>
      <c r="H676" s="10" t="s">
        <v>2042</v>
      </c>
      <c r="I676" s="10" t="s">
        <v>18</v>
      </c>
    </row>
    <row r="677" spans="1:9" x14ac:dyDescent="0.2">
      <c r="A677" s="10" t="s">
        <v>9665</v>
      </c>
      <c r="B677" s="10">
        <v>967.50028609900198</v>
      </c>
      <c r="C677" s="10">
        <v>-1.57307369069418</v>
      </c>
      <c r="D677" s="10">
        <v>0.25427585178331702</v>
      </c>
      <c r="E677" s="10">
        <v>-6.1864847946107204</v>
      </c>
      <c r="F677" s="4">
        <v>6.1520615611586998E-10</v>
      </c>
      <c r="G677" s="4">
        <v>1.29177886954046E-8</v>
      </c>
      <c r="H677" s="10" t="s">
        <v>9666</v>
      </c>
      <c r="I677" s="10" t="s">
        <v>18</v>
      </c>
    </row>
    <row r="678" spans="1:9" x14ac:dyDescent="0.2">
      <c r="A678" s="10" t="s">
        <v>2047</v>
      </c>
      <c r="B678" s="10">
        <v>126.944816317408</v>
      </c>
      <c r="C678" s="10">
        <v>1.44514951765495</v>
      </c>
      <c r="D678" s="10">
        <v>0.38738108921800501</v>
      </c>
      <c r="E678" s="10">
        <v>3.7305628949834202</v>
      </c>
      <c r="F678" s="10">
        <v>1.9105244020023099E-4</v>
      </c>
      <c r="G678" s="10">
        <v>1.43460421887666E-3</v>
      </c>
      <c r="H678" s="10" t="s">
        <v>2048</v>
      </c>
      <c r="I678" s="10" t="s">
        <v>18</v>
      </c>
    </row>
    <row r="679" spans="1:9" x14ac:dyDescent="0.2">
      <c r="A679" s="10" t="s">
        <v>9667</v>
      </c>
      <c r="B679" s="10">
        <v>5573.0762976674496</v>
      </c>
      <c r="C679" s="10">
        <v>-1.3703351075352299</v>
      </c>
      <c r="D679" s="10">
        <v>0.275396763356617</v>
      </c>
      <c r="E679" s="10">
        <v>-4.9758577073789203</v>
      </c>
      <c r="F679" s="4">
        <v>6.4959354300984398E-7</v>
      </c>
      <c r="G679" s="4">
        <v>8.4534534787442392E-6</v>
      </c>
      <c r="H679" s="10" t="s">
        <v>9668</v>
      </c>
      <c r="I679" s="10" t="s">
        <v>18</v>
      </c>
    </row>
    <row r="680" spans="1:9" x14ac:dyDescent="0.2">
      <c r="A680" s="10" t="s">
        <v>2053</v>
      </c>
      <c r="B680" s="10">
        <v>8490.7785909946306</v>
      </c>
      <c r="C680" s="10">
        <v>3.8534954193830901</v>
      </c>
      <c r="D680" s="10">
        <v>0.24285647678210101</v>
      </c>
      <c r="E680" s="10">
        <v>15.8673775986653</v>
      </c>
      <c r="F680" s="4">
        <v>1.0660279161552399E-56</v>
      </c>
      <c r="G680" s="4">
        <v>3.3519915288606402E-54</v>
      </c>
      <c r="H680" s="10" t="s">
        <v>2054</v>
      </c>
      <c r="I680" s="10" t="s">
        <v>18</v>
      </c>
    </row>
    <row r="681" spans="1:9" x14ac:dyDescent="0.2">
      <c r="A681" s="10" t="s">
        <v>9669</v>
      </c>
      <c r="B681" s="10">
        <v>1739.2644324031601</v>
      </c>
      <c r="C681" s="10">
        <v>-1.0278234488661</v>
      </c>
      <c r="D681" s="10">
        <v>0.25510478624875699</v>
      </c>
      <c r="E681" s="10">
        <v>-4.0290245588095202</v>
      </c>
      <c r="F681" s="4">
        <v>5.6008767619518002E-5</v>
      </c>
      <c r="G681" s="10">
        <v>4.8582777567895697E-4</v>
      </c>
      <c r="H681" s="10" t="s">
        <v>9670</v>
      </c>
      <c r="I681" s="10" t="s">
        <v>18</v>
      </c>
    </row>
    <row r="682" spans="1:9" x14ac:dyDescent="0.2">
      <c r="A682" s="10" t="s">
        <v>2063</v>
      </c>
      <c r="B682" s="10">
        <v>19.107169181834799</v>
      </c>
      <c r="C682" s="10">
        <v>3.6326218834925101</v>
      </c>
      <c r="D682" s="10">
        <v>0.94559969293422097</v>
      </c>
      <c r="E682" s="10">
        <v>3.8416064542284101</v>
      </c>
      <c r="F682" s="10">
        <v>1.2223170320795499E-4</v>
      </c>
      <c r="G682" s="10">
        <v>9.6933748240734705E-4</v>
      </c>
      <c r="H682" s="10" t="s">
        <v>2064</v>
      </c>
      <c r="I682" s="10" t="s">
        <v>18</v>
      </c>
    </row>
    <row r="683" spans="1:9" x14ac:dyDescent="0.2">
      <c r="A683" s="10" t="s">
        <v>2065</v>
      </c>
      <c r="B683" s="10">
        <v>195.03337960529399</v>
      </c>
      <c r="C683" s="10">
        <v>4.3049816471735696</v>
      </c>
      <c r="D683" s="10">
        <v>0.396387734866542</v>
      </c>
      <c r="E683" s="10">
        <v>10.8605319198965</v>
      </c>
      <c r="F683" s="4">
        <v>1.7771102502290001E-27</v>
      </c>
      <c r="G683" s="4">
        <v>1.59654315516109E-25</v>
      </c>
      <c r="H683" s="10" t="s">
        <v>2066</v>
      </c>
      <c r="I683" s="10" t="s">
        <v>18</v>
      </c>
    </row>
    <row r="684" spans="1:9" x14ac:dyDescent="0.2">
      <c r="A684" s="10" t="s">
        <v>2077</v>
      </c>
      <c r="B684" s="10">
        <v>227.1877231798</v>
      </c>
      <c r="C684" s="10">
        <v>-1.0982459592746701</v>
      </c>
      <c r="D684" s="10">
        <v>0.35417456327748598</v>
      </c>
      <c r="E684" s="10">
        <v>-3.1008606296049099</v>
      </c>
      <c r="F684" s="10">
        <v>1.92959087907884E-3</v>
      </c>
      <c r="G684" s="10">
        <v>1.0625844694226901E-2</v>
      </c>
      <c r="H684" s="10" t="s">
        <v>2078</v>
      </c>
      <c r="I684" s="10" t="s">
        <v>18</v>
      </c>
    </row>
    <row r="685" spans="1:9" x14ac:dyDescent="0.2">
      <c r="A685" s="10" t="s">
        <v>9671</v>
      </c>
      <c r="B685" s="10">
        <v>65.2175176965372</v>
      </c>
      <c r="C685" s="10">
        <v>-2.0565295005890198</v>
      </c>
      <c r="D685" s="10">
        <v>0.50800212725369298</v>
      </c>
      <c r="E685" s="10">
        <v>-4.04826946632451</v>
      </c>
      <c r="F685" s="4">
        <v>5.1597721754539599E-5</v>
      </c>
      <c r="G685" s="10">
        <v>4.5192920986610101E-4</v>
      </c>
      <c r="H685" s="10" t="s">
        <v>9672</v>
      </c>
      <c r="I685" s="10" t="s">
        <v>18</v>
      </c>
    </row>
    <row r="686" spans="1:9" x14ac:dyDescent="0.2">
      <c r="A686" s="10" t="s">
        <v>2079</v>
      </c>
      <c r="B686" s="10">
        <v>486.82696966092499</v>
      </c>
      <c r="C686" s="10">
        <v>-1.3611025308137401</v>
      </c>
      <c r="D686" s="10">
        <v>0.31865210063939697</v>
      </c>
      <c r="E686" s="10">
        <v>-4.2714374958853201</v>
      </c>
      <c r="F686" s="4">
        <v>1.9421696525425901E-5</v>
      </c>
      <c r="G686" s="10">
        <v>1.86328289892101E-4</v>
      </c>
      <c r="H686" s="10" t="s">
        <v>2080</v>
      </c>
      <c r="I686" s="10" t="s">
        <v>18</v>
      </c>
    </row>
    <row r="687" spans="1:9" x14ac:dyDescent="0.2">
      <c r="A687" s="10" t="s">
        <v>9673</v>
      </c>
      <c r="B687" s="10">
        <v>1917.4702177377601</v>
      </c>
      <c r="C687" s="10">
        <v>1.0589368734876901</v>
      </c>
      <c r="D687" s="10">
        <v>0.257600771264277</v>
      </c>
      <c r="E687" s="10">
        <v>4.1107674805884402</v>
      </c>
      <c r="F687" s="4">
        <v>3.94346162693562E-5</v>
      </c>
      <c r="G687" s="10">
        <v>3.5402490087639397E-4</v>
      </c>
      <c r="H687" s="10" t="s">
        <v>9674</v>
      </c>
      <c r="I687" s="10" t="s">
        <v>18</v>
      </c>
    </row>
    <row r="688" spans="1:9" x14ac:dyDescent="0.2">
      <c r="A688" s="10" t="s">
        <v>2083</v>
      </c>
      <c r="B688" s="10">
        <v>220.544713064788</v>
      </c>
      <c r="C688" s="10">
        <v>-1.4822157205133499</v>
      </c>
      <c r="D688" s="10">
        <v>0.327665149139588</v>
      </c>
      <c r="E688" s="10">
        <v>-4.5235684185684102</v>
      </c>
      <c r="F688" s="4">
        <v>6.0805651166744203E-6</v>
      </c>
      <c r="G688" s="4">
        <v>6.5562201247297506E-5</v>
      </c>
      <c r="H688" s="10" t="s">
        <v>2084</v>
      </c>
      <c r="I688" s="10" t="s">
        <v>18</v>
      </c>
    </row>
    <row r="689" spans="1:9" x14ac:dyDescent="0.2">
      <c r="A689" s="10" t="s">
        <v>9675</v>
      </c>
      <c r="B689" s="10">
        <v>1459.48975411777</v>
      </c>
      <c r="C689" s="10">
        <v>-1.03777891067717</v>
      </c>
      <c r="D689" s="10">
        <v>0.24737065690351201</v>
      </c>
      <c r="E689" s="10">
        <v>-4.1952385285614504</v>
      </c>
      <c r="F689" s="4">
        <v>2.7258457551674499E-5</v>
      </c>
      <c r="G689" s="10">
        <v>2.5369122758190401E-4</v>
      </c>
      <c r="H689" s="10" t="s">
        <v>9676</v>
      </c>
      <c r="I689" s="10" t="s">
        <v>18</v>
      </c>
    </row>
    <row r="690" spans="1:9" x14ac:dyDescent="0.2">
      <c r="A690" s="10" t="s">
        <v>2085</v>
      </c>
      <c r="B690" s="10">
        <v>2034.9664277655199</v>
      </c>
      <c r="C690" s="10">
        <v>1.1619720196379699</v>
      </c>
      <c r="D690" s="10">
        <v>0.26583397167269801</v>
      </c>
      <c r="E690" s="10">
        <v>4.3710441232418002</v>
      </c>
      <c r="F690" s="4">
        <v>1.2365379935299201E-5</v>
      </c>
      <c r="G690" s="10">
        <v>1.2377681347888999E-4</v>
      </c>
      <c r="H690" s="10" t="s">
        <v>2086</v>
      </c>
      <c r="I690" s="10" t="s">
        <v>18</v>
      </c>
    </row>
    <row r="691" spans="1:9" x14ac:dyDescent="0.2">
      <c r="A691" s="10" t="s">
        <v>9677</v>
      </c>
      <c r="B691" s="10">
        <v>331.796166731217</v>
      </c>
      <c r="C691" s="10">
        <v>-1.23635403192404</v>
      </c>
      <c r="D691" s="10">
        <v>0.29182544197731802</v>
      </c>
      <c r="E691" s="10">
        <v>-4.2366218090749399</v>
      </c>
      <c r="F691" s="4">
        <v>2.2690784757228599E-5</v>
      </c>
      <c r="G691" s="10">
        <v>2.1482374503879799E-4</v>
      </c>
      <c r="H691" s="10" t="s">
        <v>9678</v>
      </c>
      <c r="I691" s="10" t="s">
        <v>18</v>
      </c>
    </row>
    <row r="692" spans="1:9" x14ac:dyDescent="0.2">
      <c r="A692" s="10" t="s">
        <v>2091</v>
      </c>
      <c r="B692" s="10">
        <v>58017.1114306538</v>
      </c>
      <c r="C692" s="10">
        <v>-1.4722600483146699</v>
      </c>
      <c r="D692" s="10">
        <v>0.29798449473083399</v>
      </c>
      <c r="E692" s="10">
        <v>-4.9407270322724104</v>
      </c>
      <c r="F692" s="4">
        <v>7.78318075271146E-7</v>
      </c>
      <c r="G692" s="4">
        <v>9.9738110970176607E-6</v>
      </c>
      <c r="H692" s="10" t="s">
        <v>2092</v>
      </c>
      <c r="I692" s="10" t="s">
        <v>18</v>
      </c>
    </row>
    <row r="693" spans="1:9" x14ac:dyDescent="0.2">
      <c r="A693" s="10" t="s">
        <v>9679</v>
      </c>
      <c r="B693" s="10">
        <v>1215.4768408980699</v>
      </c>
      <c r="C693" s="10">
        <v>-1.1903553069992301</v>
      </c>
      <c r="D693" s="10">
        <v>0.26854678414968303</v>
      </c>
      <c r="E693" s="10">
        <v>-4.4325807541070699</v>
      </c>
      <c r="F693" s="4">
        <v>9.3111810767381505E-6</v>
      </c>
      <c r="G693" s="4">
        <v>9.6150558286267699E-5</v>
      </c>
      <c r="H693" s="10" t="s">
        <v>9680</v>
      </c>
      <c r="I693" s="10" t="s">
        <v>18</v>
      </c>
    </row>
    <row r="694" spans="1:9" x14ac:dyDescent="0.2">
      <c r="A694" s="10" t="s">
        <v>2093</v>
      </c>
      <c r="B694" s="10">
        <v>36.396582144228603</v>
      </c>
      <c r="C694" s="10">
        <v>2.8077101677547902</v>
      </c>
      <c r="D694" s="10">
        <v>0.645883428296117</v>
      </c>
      <c r="E694" s="10">
        <v>4.3470850075248197</v>
      </c>
      <c r="F694" s="4">
        <v>1.37958761163761E-5</v>
      </c>
      <c r="G694" s="10">
        <v>1.36628056577733E-4</v>
      </c>
      <c r="H694" s="10" t="s">
        <v>2094</v>
      </c>
      <c r="I694" s="10" t="s">
        <v>18</v>
      </c>
    </row>
    <row r="695" spans="1:9" x14ac:dyDescent="0.2">
      <c r="A695" s="10" t="s">
        <v>9681</v>
      </c>
      <c r="B695" s="10">
        <v>5613.47093842293</v>
      </c>
      <c r="C695" s="10">
        <v>1.1049614768520799</v>
      </c>
      <c r="D695" s="10">
        <v>0.23795032591308499</v>
      </c>
      <c r="E695" s="10">
        <v>4.6436644817022996</v>
      </c>
      <c r="F695" s="4">
        <v>3.4228325629066101E-6</v>
      </c>
      <c r="G695" s="4">
        <v>3.87494838523474E-5</v>
      </c>
      <c r="H695" s="10" t="s">
        <v>9682</v>
      </c>
      <c r="I695" s="10" t="s">
        <v>18</v>
      </c>
    </row>
    <row r="696" spans="1:9" x14ac:dyDescent="0.2">
      <c r="A696" s="10" t="s">
        <v>2099</v>
      </c>
      <c r="B696" s="10">
        <v>33.458365460116397</v>
      </c>
      <c r="C696" s="10">
        <v>2.0378774788495901</v>
      </c>
      <c r="D696" s="10">
        <v>0.67365813328064394</v>
      </c>
      <c r="E696" s="10">
        <v>3.0250914791532999</v>
      </c>
      <c r="F696" s="10">
        <v>2.4855793576145499E-3</v>
      </c>
      <c r="G696" s="10">
        <v>1.3157564970705801E-2</v>
      </c>
      <c r="H696" s="10" t="s">
        <v>2100</v>
      </c>
      <c r="I696" s="10" t="s">
        <v>18</v>
      </c>
    </row>
    <row r="697" spans="1:9" x14ac:dyDescent="0.2">
      <c r="A697" s="10" t="s">
        <v>2105</v>
      </c>
      <c r="B697" s="10">
        <v>501.38246150524702</v>
      </c>
      <c r="C697" s="10">
        <v>-1.6403463343956499</v>
      </c>
      <c r="D697" s="10">
        <v>0.336319429691464</v>
      </c>
      <c r="E697" s="10">
        <v>-4.8773463248926401</v>
      </c>
      <c r="F697" s="4">
        <v>1.0752255723901401E-6</v>
      </c>
      <c r="G697" s="4">
        <v>1.33435122217435E-5</v>
      </c>
      <c r="H697" s="10" t="s">
        <v>2106</v>
      </c>
      <c r="I697" s="10" t="s">
        <v>18</v>
      </c>
    </row>
    <row r="698" spans="1:9" x14ac:dyDescent="0.2">
      <c r="A698" s="10" t="s">
        <v>2109</v>
      </c>
      <c r="B698" s="10">
        <v>664.35823735488702</v>
      </c>
      <c r="C698" s="10">
        <v>1.64291637512449</v>
      </c>
      <c r="D698" s="10">
        <v>0.289301308993898</v>
      </c>
      <c r="E698" s="10">
        <v>5.67891096254648</v>
      </c>
      <c r="F698" s="4">
        <v>1.35555013564556E-8</v>
      </c>
      <c r="G698" s="4">
        <v>2.3467903415116401E-7</v>
      </c>
      <c r="H698" s="10" t="s">
        <v>2110</v>
      </c>
      <c r="I698" s="10" t="s">
        <v>18</v>
      </c>
    </row>
    <row r="699" spans="1:9" x14ac:dyDescent="0.2">
      <c r="A699" s="10" t="s">
        <v>9683</v>
      </c>
      <c r="B699" s="10">
        <v>1143.13530010511</v>
      </c>
      <c r="C699" s="10">
        <v>1.3718976619661101</v>
      </c>
      <c r="D699" s="10">
        <v>0.325532180511731</v>
      </c>
      <c r="E699" s="10">
        <v>4.2143227124565996</v>
      </c>
      <c r="F699" s="4">
        <v>2.50528854646943E-5</v>
      </c>
      <c r="G699" s="10">
        <v>2.3576705344720701E-4</v>
      </c>
      <c r="H699" s="10" t="s">
        <v>9684</v>
      </c>
      <c r="I699" s="10" t="s">
        <v>18</v>
      </c>
    </row>
    <row r="700" spans="1:9" x14ac:dyDescent="0.2">
      <c r="A700" s="10" t="s">
        <v>2119</v>
      </c>
      <c r="B700" s="10">
        <v>814.77957281685701</v>
      </c>
      <c r="C700" s="10">
        <v>2.2218573123519998</v>
      </c>
      <c r="D700" s="10">
        <v>0.28821682665409198</v>
      </c>
      <c r="E700" s="10">
        <v>7.7089784734137101</v>
      </c>
      <c r="F700" s="4">
        <v>1.2682880238075301E-14</v>
      </c>
      <c r="G700" s="4">
        <v>4.4207077849865698E-13</v>
      </c>
      <c r="H700" s="10" t="s">
        <v>2120</v>
      </c>
      <c r="I700" s="10" t="s">
        <v>18</v>
      </c>
    </row>
    <row r="701" spans="1:9" x14ac:dyDescent="0.2">
      <c r="A701" s="10" t="s">
        <v>9685</v>
      </c>
      <c r="B701" s="10">
        <v>22.507775194684999</v>
      </c>
      <c r="C701" s="10">
        <v>-4.8126584560896104</v>
      </c>
      <c r="D701" s="10">
        <v>1.0764045696189499</v>
      </c>
      <c r="E701" s="10">
        <v>-4.4710498189294103</v>
      </c>
      <c r="F701" s="4">
        <v>7.7836562198185407E-6</v>
      </c>
      <c r="G701" s="4">
        <v>8.2129979953664099E-5</v>
      </c>
      <c r="H701" s="10" t="s">
        <v>9686</v>
      </c>
      <c r="I701" s="10" t="s">
        <v>18</v>
      </c>
    </row>
    <row r="702" spans="1:9" x14ac:dyDescent="0.2">
      <c r="A702" s="10" t="s">
        <v>9687</v>
      </c>
      <c r="B702" s="10">
        <v>2314.3746293660101</v>
      </c>
      <c r="C702" s="10">
        <v>1.2213089663918</v>
      </c>
      <c r="D702" s="10">
        <v>0.28554086087318098</v>
      </c>
      <c r="E702" s="10">
        <v>4.2771775733149102</v>
      </c>
      <c r="F702" s="4">
        <v>1.8927781660814898E-5</v>
      </c>
      <c r="G702" s="10">
        <v>1.8221521151083001E-4</v>
      </c>
      <c r="H702" s="10" t="s">
        <v>9688</v>
      </c>
      <c r="I702" s="10" t="s">
        <v>18</v>
      </c>
    </row>
    <row r="703" spans="1:9" x14ac:dyDescent="0.2">
      <c r="A703" s="10" t="s">
        <v>2127</v>
      </c>
      <c r="B703" s="10">
        <v>260.906000877574</v>
      </c>
      <c r="C703" s="10">
        <v>1.8762194695732699</v>
      </c>
      <c r="D703" s="10">
        <v>0.36859527292212002</v>
      </c>
      <c r="E703" s="10">
        <v>5.0901886361675999</v>
      </c>
      <c r="F703" s="4">
        <v>3.5770748653528398E-7</v>
      </c>
      <c r="G703" s="4">
        <v>4.85860249664961E-6</v>
      </c>
      <c r="H703" s="10" t="s">
        <v>2128</v>
      </c>
      <c r="I703" s="10" t="s">
        <v>18</v>
      </c>
    </row>
    <row r="704" spans="1:9" x14ac:dyDescent="0.2">
      <c r="A704" s="10" t="s">
        <v>9689</v>
      </c>
      <c r="B704" s="10">
        <v>410.568566610358</v>
      </c>
      <c r="C704" s="10">
        <v>1.0288038141498901</v>
      </c>
      <c r="D704" s="10">
        <v>0.34018587925586002</v>
      </c>
      <c r="E704" s="10">
        <v>3.0242402077368702</v>
      </c>
      <c r="F704" s="10">
        <v>2.4925844556663002E-3</v>
      </c>
      <c r="G704" s="10">
        <v>1.31791735098037E-2</v>
      </c>
      <c r="H704" s="10" t="s">
        <v>9690</v>
      </c>
      <c r="I704" s="10" t="s">
        <v>18</v>
      </c>
    </row>
    <row r="705" spans="1:9" x14ac:dyDescent="0.2">
      <c r="A705" s="10" t="s">
        <v>2131</v>
      </c>
      <c r="B705" s="10">
        <v>98.715659679531996</v>
      </c>
      <c r="C705" s="10">
        <v>2.6614371550948102</v>
      </c>
      <c r="D705" s="10">
        <v>0.44920479275595199</v>
      </c>
      <c r="E705" s="10">
        <v>5.9247746195369198</v>
      </c>
      <c r="F705" s="4">
        <v>3.12725994480515E-9</v>
      </c>
      <c r="G705" s="4">
        <v>5.9325960717627097E-8</v>
      </c>
      <c r="H705" s="10" t="s">
        <v>2132</v>
      </c>
      <c r="I705" s="10" t="s">
        <v>18</v>
      </c>
    </row>
    <row r="706" spans="1:9" x14ac:dyDescent="0.2">
      <c r="A706" s="10" t="s">
        <v>2135</v>
      </c>
      <c r="B706" s="10">
        <v>736.87648739501697</v>
      </c>
      <c r="C706" s="10">
        <v>-1.5847300321050299</v>
      </c>
      <c r="D706" s="10">
        <v>0.31878499297663099</v>
      </c>
      <c r="E706" s="10">
        <v>-4.9711563185824001</v>
      </c>
      <c r="F706" s="4">
        <v>6.6554759778048601E-7</v>
      </c>
      <c r="G706" s="4">
        <v>8.6298194959629494E-6</v>
      </c>
      <c r="H706" s="10" t="s">
        <v>2136</v>
      </c>
      <c r="I706" s="10" t="s">
        <v>18</v>
      </c>
    </row>
    <row r="707" spans="1:9" x14ac:dyDescent="0.2">
      <c r="A707" s="10" t="s">
        <v>9691</v>
      </c>
      <c r="B707" s="10">
        <v>1053.04639766734</v>
      </c>
      <c r="C707" s="10">
        <v>1.1163937097088401</v>
      </c>
      <c r="D707" s="10">
        <v>0.27504439408275799</v>
      </c>
      <c r="E707" s="10">
        <v>4.0589582399302699</v>
      </c>
      <c r="F707" s="4">
        <v>4.9292126826776601E-5</v>
      </c>
      <c r="G707" s="10">
        <v>4.3385005259886803E-4</v>
      </c>
      <c r="H707" s="10" t="s">
        <v>9692</v>
      </c>
      <c r="I707" s="10" t="s">
        <v>18</v>
      </c>
    </row>
    <row r="708" spans="1:9" x14ac:dyDescent="0.2">
      <c r="A708" s="10" t="s">
        <v>2137</v>
      </c>
      <c r="B708" s="10">
        <v>2002.0533457218</v>
      </c>
      <c r="C708" s="10">
        <v>-1.45481564719895</v>
      </c>
      <c r="D708" s="10">
        <v>0.24591331668390701</v>
      </c>
      <c r="E708" s="10">
        <v>-5.9159693619559102</v>
      </c>
      <c r="F708" s="4">
        <v>3.2992662655112999E-9</v>
      </c>
      <c r="G708" s="4">
        <v>6.2541855997691596E-8</v>
      </c>
      <c r="H708" s="10" t="s">
        <v>2138</v>
      </c>
      <c r="I708" s="10" t="s">
        <v>18</v>
      </c>
    </row>
    <row r="709" spans="1:9" x14ac:dyDescent="0.2">
      <c r="A709" s="10" t="s">
        <v>9693</v>
      </c>
      <c r="B709" s="10">
        <v>725.357126233656</v>
      </c>
      <c r="C709" s="10">
        <v>2.52204480121318</v>
      </c>
      <c r="D709" s="10">
        <v>0.30938585539064101</v>
      </c>
      <c r="E709" s="10">
        <v>8.1517779732650002</v>
      </c>
      <c r="F709" s="4">
        <v>3.5861225297968202E-16</v>
      </c>
      <c r="G709" s="4">
        <v>1.4620569244252699E-14</v>
      </c>
      <c r="H709" s="10" t="s">
        <v>9694</v>
      </c>
      <c r="I709" s="10" t="s">
        <v>18</v>
      </c>
    </row>
    <row r="710" spans="1:9" x14ac:dyDescent="0.2">
      <c r="A710" s="10" t="s">
        <v>9695</v>
      </c>
      <c r="B710" s="10">
        <v>1110.88344591583</v>
      </c>
      <c r="C710" s="10">
        <v>1.01060236854234</v>
      </c>
      <c r="D710" s="10">
        <v>0.313842205428496</v>
      </c>
      <c r="E710" s="10">
        <v>3.2200970776462201</v>
      </c>
      <c r="F710" s="10">
        <v>1.2814719351011299E-3</v>
      </c>
      <c r="G710" s="10">
        <v>7.5422149104980903E-3</v>
      </c>
      <c r="H710" s="10" t="s">
        <v>9696</v>
      </c>
      <c r="I710" s="10" t="s">
        <v>18</v>
      </c>
    </row>
    <row r="711" spans="1:9" x14ac:dyDescent="0.2">
      <c r="A711" s="10" t="s">
        <v>9697</v>
      </c>
      <c r="B711" s="10">
        <v>302.14799513631402</v>
      </c>
      <c r="C711" s="10">
        <v>1.4754115818790099</v>
      </c>
      <c r="D711" s="10">
        <v>0.39366155056691698</v>
      </c>
      <c r="E711" s="10">
        <v>3.7479189414212599</v>
      </c>
      <c r="F711" s="10">
        <v>1.78307855137048E-4</v>
      </c>
      <c r="G711" s="10">
        <v>1.34619443381857E-3</v>
      </c>
      <c r="H711" s="10" t="s">
        <v>9698</v>
      </c>
      <c r="I711" s="10" t="s">
        <v>18</v>
      </c>
    </row>
    <row r="712" spans="1:9" x14ac:dyDescent="0.2">
      <c r="A712" s="10" t="s">
        <v>2149</v>
      </c>
      <c r="B712" s="10">
        <v>8354.0842566014508</v>
      </c>
      <c r="C712" s="10">
        <v>1.5412550355483901</v>
      </c>
      <c r="D712" s="10">
        <v>0.285401324885727</v>
      </c>
      <c r="E712" s="10">
        <v>5.40030792136477</v>
      </c>
      <c r="F712" s="4">
        <v>6.6526607738847995E-8</v>
      </c>
      <c r="G712" s="4">
        <v>1.0235332218169501E-6</v>
      </c>
      <c r="H712" s="10" t="s">
        <v>2150</v>
      </c>
      <c r="I712" s="10" t="s">
        <v>18</v>
      </c>
    </row>
    <row r="713" spans="1:9" x14ac:dyDescent="0.2">
      <c r="A713" s="10" t="s">
        <v>2153</v>
      </c>
      <c r="B713" s="10">
        <v>1398.04299720109</v>
      </c>
      <c r="C713" s="10">
        <v>-1.3254018826388401</v>
      </c>
      <c r="D713" s="10">
        <v>0.25685329514126398</v>
      </c>
      <c r="E713" s="10">
        <v>-5.1601513693250203</v>
      </c>
      <c r="F713" s="4">
        <v>2.4675025523867603E-7</v>
      </c>
      <c r="G713" s="4">
        <v>3.4598677093249102E-6</v>
      </c>
      <c r="H713" s="10" t="s">
        <v>2154</v>
      </c>
      <c r="I713" s="10" t="s">
        <v>18</v>
      </c>
    </row>
    <row r="714" spans="1:9" x14ac:dyDescent="0.2">
      <c r="A714" s="10" t="s">
        <v>2155</v>
      </c>
      <c r="B714" s="10">
        <v>195.11185765843399</v>
      </c>
      <c r="C714" s="10">
        <v>5.6665651015466096</v>
      </c>
      <c r="D714" s="10">
        <v>0.48734496685531098</v>
      </c>
      <c r="E714" s="10">
        <v>11.6274209993616</v>
      </c>
      <c r="F714" s="4">
        <v>2.9899486321096101E-31</v>
      </c>
      <c r="G714" s="4">
        <v>3.2141947795178298E-29</v>
      </c>
      <c r="H714" s="10" t="s">
        <v>2156</v>
      </c>
      <c r="I714" s="10" t="s">
        <v>18</v>
      </c>
    </row>
    <row r="715" spans="1:9" x14ac:dyDescent="0.2">
      <c r="A715" s="10" t="s">
        <v>2165</v>
      </c>
      <c r="B715" s="10">
        <v>3530.4413455404401</v>
      </c>
      <c r="C715" s="10">
        <v>1.8625821048303499</v>
      </c>
      <c r="D715" s="10">
        <v>0.26738052161055698</v>
      </c>
      <c r="E715" s="10">
        <v>6.9660351233184299</v>
      </c>
      <c r="F715" s="4">
        <v>3.25997788664834E-12</v>
      </c>
      <c r="G715" s="4">
        <v>8.8942238328241802E-11</v>
      </c>
      <c r="H715" s="10" t="s">
        <v>2166</v>
      </c>
      <c r="I715" s="10" t="s">
        <v>18</v>
      </c>
    </row>
    <row r="716" spans="1:9" x14ac:dyDescent="0.2">
      <c r="A716" s="10" t="s">
        <v>2169</v>
      </c>
      <c r="B716" s="10">
        <v>1202.06779262584</v>
      </c>
      <c r="C716" s="10">
        <v>8.5017085968911097</v>
      </c>
      <c r="D716" s="10">
        <v>0.46378610627708</v>
      </c>
      <c r="E716" s="10">
        <v>18.331098068323598</v>
      </c>
      <c r="F716" s="4">
        <v>4.6737388000500996E-75</v>
      </c>
      <c r="G716" s="4">
        <v>3.0938920925068502E-72</v>
      </c>
      <c r="H716" s="10" t="s">
        <v>2170</v>
      </c>
      <c r="I716" s="10" t="s">
        <v>18</v>
      </c>
    </row>
    <row r="717" spans="1:9" x14ac:dyDescent="0.2">
      <c r="A717" s="10" t="s">
        <v>2177</v>
      </c>
      <c r="B717" s="10">
        <v>34.761582086667097</v>
      </c>
      <c r="C717" s="10">
        <v>8.6386112799420101</v>
      </c>
      <c r="D717" s="10">
        <v>1.5534091032214601</v>
      </c>
      <c r="E717" s="10">
        <v>5.5610664711744402</v>
      </c>
      <c r="F717" s="4">
        <v>2.68131038707435E-8</v>
      </c>
      <c r="G717" s="4">
        <v>4.41415986824969E-7</v>
      </c>
      <c r="H717" s="10" t="s">
        <v>2178</v>
      </c>
      <c r="I717" s="10" t="s">
        <v>18</v>
      </c>
    </row>
    <row r="718" spans="1:9" x14ac:dyDescent="0.2">
      <c r="A718" s="10" t="s">
        <v>9699</v>
      </c>
      <c r="B718" s="10">
        <v>2369.4138147325398</v>
      </c>
      <c r="C718" s="10">
        <v>1.19066998739133</v>
      </c>
      <c r="D718" s="10">
        <v>0.25330042514717199</v>
      </c>
      <c r="E718" s="10">
        <v>4.7006237225994596</v>
      </c>
      <c r="F718" s="4">
        <v>2.5936805359847398E-6</v>
      </c>
      <c r="G718" s="4">
        <v>2.9928455909493699E-5</v>
      </c>
      <c r="H718" s="10" t="s">
        <v>9700</v>
      </c>
      <c r="I718" s="10" t="s">
        <v>18</v>
      </c>
    </row>
    <row r="719" spans="1:9" x14ac:dyDescent="0.2">
      <c r="A719" s="10" t="s">
        <v>2179</v>
      </c>
      <c r="B719" s="10">
        <v>485.15605524937502</v>
      </c>
      <c r="C719" s="10">
        <v>1.3151047376124601</v>
      </c>
      <c r="D719" s="10">
        <v>0.29845041458444399</v>
      </c>
      <c r="E719" s="10">
        <v>4.4064429913544902</v>
      </c>
      <c r="F719" s="4">
        <v>1.0508194818027099E-5</v>
      </c>
      <c r="G719" s="10">
        <v>1.06844640520401E-4</v>
      </c>
      <c r="H719" s="10" t="s">
        <v>2180</v>
      </c>
      <c r="I719" s="10" t="s">
        <v>18</v>
      </c>
    </row>
    <row r="720" spans="1:9" x14ac:dyDescent="0.2">
      <c r="A720" s="10" t="s">
        <v>9701</v>
      </c>
      <c r="B720" s="10">
        <v>395.589224362435</v>
      </c>
      <c r="C720" s="10">
        <v>-1.0732722249522699</v>
      </c>
      <c r="D720" s="10">
        <v>0.29298336182601997</v>
      </c>
      <c r="E720" s="10">
        <v>-3.6632531562990498</v>
      </c>
      <c r="F720" s="10">
        <v>2.49032196252544E-4</v>
      </c>
      <c r="G720" s="10">
        <v>1.8131417935550601E-3</v>
      </c>
      <c r="H720" s="10" t="s">
        <v>9702</v>
      </c>
      <c r="I720" s="10" t="s">
        <v>18</v>
      </c>
    </row>
    <row r="721" spans="1:9" x14ac:dyDescent="0.2">
      <c r="A721" s="10" t="s">
        <v>2181</v>
      </c>
      <c r="B721" s="10">
        <v>849.37059698169196</v>
      </c>
      <c r="C721" s="10">
        <v>-2.2885049234641901</v>
      </c>
      <c r="D721" s="10">
        <v>0.26945686475520902</v>
      </c>
      <c r="E721" s="10">
        <v>-8.4930288398597895</v>
      </c>
      <c r="F721" s="4">
        <v>2.0132031681152E-17</v>
      </c>
      <c r="G721" s="4">
        <v>9.1247073322410596E-16</v>
      </c>
      <c r="H721" s="10" t="s">
        <v>2182</v>
      </c>
      <c r="I721" s="10" t="s">
        <v>18</v>
      </c>
    </row>
    <row r="722" spans="1:9" x14ac:dyDescent="0.2">
      <c r="A722" s="10" t="s">
        <v>9703</v>
      </c>
      <c r="B722" s="10">
        <v>11.3632630879742</v>
      </c>
      <c r="C722" s="10">
        <v>-5.43347092644626</v>
      </c>
      <c r="D722" s="10">
        <v>1.7041541679877701</v>
      </c>
      <c r="E722" s="10">
        <v>-3.1883681820066601</v>
      </c>
      <c r="F722" s="10">
        <v>1.4307822854316499E-3</v>
      </c>
      <c r="G722" s="10">
        <v>8.2757710715183203E-3</v>
      </c>
      <c r="H722" s="10" t="s">
        <v>9704</v>
      </c>
      <c r="I722" s="10" t="s">
        <v>18</v>
      </c>
    </row>
    <row r="723" spans="1:9" x14ac:dyDescent="0.2">
      <c r="A723" s="10" t="s">
        <v>9705</v>
      </c>
      <c r="B723" s="10">
        <v>51.533986598789902</v>
      </c>
      <c r="C723" s="10">
        <v>-1.7815301220491799</v>
      </c>
      <c r="D723" s="10">
        <v>0.52076156475219904</v>
      </c>
      <c r="E723" s="10">
        <v>-3.4210092346137499</v>
      </c>
      <c r="F723" s="10">
        <v>6.2389213768404095E-4</v>
      </c>
      <c r="G723" s="10">
        <v>4.0658048506326599E-3</v>
      </c>
      <c r="H723" s="10" t="s">
        <v>9706</v>
      </c>
      <c r="I723" s="10" t="s">
        <v>18</v>
      </c>
    </row>
    <row r="724" spans="1:9" x14ac:dyDescent="0.2">
      <c r="A724" s="10" t="s">
        <v>9707</v>
      </c>
      <c r="B724" s="10">
        <v>79.952661402117002</v>
      </c>
      <c r="C724" s="10">
        <v>-3.4359159057268802</v>
      </c>
      <c r="D724" s="10">
        <v>0.49724603868856398</v>
      </c>
      <c r="E724" s="10">
        <v>-6.9098909561728403</v>
      </c>
      <c r="F724" s="4">
        <v>4.8502638470002701E-12</v>
      </c>
      <c r="G724" s="4">
        <v>1.30350840888132E-10</v>
      </c>
      <c r="H724" s="10" t="s">
        <v>9708</v>
      </c>
      <c r="I724" s="10" t="s">
        <v>18</v>
      </c>
    </row>
    <row r="725" spans="1:9" x14ac:dyDescent="0.2">
      <c r="A725" s="10" t="s">
        <v>9709</v>
      </c>
      <c r="B725" s="10">
        <v>256.54419877607597</v>
      </c>
      <c r="C725" s="10">
        <v>1.4694007680550301</v>
      </c>
      <c r="D725" s="10">
        <v>0.30893450627187502</v>
      </c>
      <c r="E725" s="10">
        <v>4.75635041804588</v>
      </c>
      <c r="F725" s="4">
        <v>1.97124178040736E-6</v>
      </c>
      <c r="G725" s="4">
        <v>2.3247345047420099E-5</v>
      </c>
      <c r="H725" s="10" t="s">
        <v>9710</v>
      </c>
      <c r="I725" s="10" t="s">
        <v>18</v>
      </c>
    </row>
    <row r="726" spans="1:9" x14ac:dyDescent="0.2">
      <c r="A726" s="10" t="s">
        <v>9711</v>
      </c>
      <c r="B726" s="10">
        <v>30.899528367011499</v>
      </c>
      <c r="C726" s="10">
        <v>-1.92797099649166</v>
      </c>
      <c r="D726" s="10">
        <v>0.64992179806878703</v>
      </c>
      <c r="E726" s="10">
        <v>-2.9664661228789901</v>
      </c>
      <c r="F726" s="10">
        <v>3.0124354640901699E-3</v>
      </c>
      <c r="G726" s="10">
        <v>1.54680167583564E-2</v>
      </c>
      <c r="H726" s="10" t="s">
        <v>9712</v>
      </c>
      <c r="I726" s="10" t="s">
        <v>18</v>
      </c>
    </row>
    <row r="727" spans="1:9" x14ac:dyDescent="0.2">
      <c r="A727" s="10" t="s">
        <v>2193</v>
      </c>
      <c r="B727" s="10">
        <v>513.72623769046697</v>
      </c>
      <c r="C727" s="10">
        <v>-1.26381515399279</v>
      </c>
      <c r="D727" s="10">
        <v>0.29291846283812001</v>
      </c>
      <c r="E727" s="10">
        <v>-4.3145629734211504</v>
      </c>
      <c r="F727" s="4">
        <v>1.5991894479556101E-5</v>
      </c>
      <c r="G727" s="10">
        <v>1.5652766756156999E-4</v>
      </c>
      <c r="H727" s="10" t="s">
        <v>2194</v>
      </c>
      <c r="I727" s="10" t="s">
        <v>18</v>
      </c>
    </row>
    <row r="728" spans="1:9" x14ac:dyDescent="0.2">
      <c r="A728" s="10" t="s">
        <v>2199</v>
      </c>
      <c r="B728" s="10">
        <v>1927.5726621028</v>
      </c>
      <c r="C728" s="10">
        <v>2.5013200042190502</v>
      </c>
      <c r="D728" s="10">
        <v>0.243967452577939</v>
      </c>
      <c r="E728" s="10">
        <v>10.252679108578899</v>
      </c>
      <c r="F728" s="4">
        <v>1.1510798563097899E-24</v>
      </c>
      <c r="G728" s="4">
        <v>8.6953194550969199E-23</v>
      </c>
      <c r="H728" s="10" t="s">
        <v>2200</v>
      </c>
      <c r="I728" s="10" t="s">
        <v>18</v>
      </c>
    </row>
    <row r="729" spans="1:9" x14ac:dyDescent="0.2">
      <c r="A729" s="10" t="s">
        <v>9713</v>
      </c>
      <c r="B729" s="10">
        <v>3250.3706998390498</v>
      </c>
      <c r="C729" s="10">
        <v>1.8074424428815901</v>
      </c>
      <c r="D729" s="10">
        <v>0.25019453410693099</v>
      </c>
      <c r="E729" s="10">
        <v>7.22414839849821</v>
      </c>
      <c r="F729" s="4">
        <v>5.0425169978609401E-13</v>
      </c>
      <c r="G729" s="4">
        <v>1.50646692495477E-11</v>
      </c>
      <c r="H729" s="10" t="s">
        <v>9714</v>
      </c>
      <c r="I729" s="10" t="s">
        <v>18</v>
      </c>
    </row>
    <row r="730" spans="1:9" x14ac:dyDescent="0.2">
      <c r="A730" s="10" t="s">
        <v>9715</v>
      </c>
      <c r="B730" s="10">
        <v>1187.69315402085</v>
      </c>
      <c r="C730" s="10">
        <v>-2.96458161588341</v>
      </c>
      <c r="D730" s="10">
        <v>0.282669733925622</v>
      </c>
      <c r="E730" s="10">
        <v>-10.487792855330801</v>
      </c>
      <c r="F730" s="4">
        <v>9.8297753828865798E-26</v>
      </c>
      <c r="G730" s="4">
        <v>8.0281818102763605E-24</v>
      </c>
      <c r="H730" s="10" t="s">
        <v>9716</v>
      </c>
      <c r="I730" s="10" t="s">
        <v>18</v>
      </c>
    </row>
    <row r="731" spans="1:9" x14ac:dyDescent="0.2">
      <c r="A731" s="10" t="s">
        <v>2207</v>
      </c>
      <c r="B731" s="10">
        <v>647.19987466558496</v>
      </c>
      <c r="C731" s="10">
        <v>2.1229609359230599</v>
      </c>
      <c r="D731" s="10">
        <v>0.27627688031949399</v>
      </c>
      <c r="E731" s="10">
        <v>7.6841787610603296</v>
      </c>
      <c r="F731" s="4">
        <v>1.5398153275136301E-14</v>
      </c>
      <c r="G731" s="4">
        <v>5.3133133832106095E-13</v>
      </c>
      <c r="H731" s="10" t="s">
        <v>2208</v>
      </c>
      <c r="I731" s="10" t="s">
        <v>18</v>
      </c>
    </row>
    <row r="732" spans="1:9" x14ac:dyDescent="0.2">
      <c r="A732" s="10" t="s">
        <v>2213</v>
      </c>
      <c r="B732" s="10">
        <v>1307.86789637058</v>
      </c>
      <c r="C732" s="10">
        <v>6.9889151671922498</v>
      </c>
      <c r="D732" s="10">
        <v>0.33685128012988202</v>
      </c>
      <c r="E732" s="10">
        <v>20.747776777031898</v>
      </c>
      <c r="F732" s="4">
        <v>1.28392666301077E-95</v>
      </c>
      <c r="G732" s="4">
        <v>1.40422500904504E-92</v>
      </c>
      <c r="H732" s="10" t="s">
        <v>2214</v>
      </c>
      <c r="I732" s="10" t="s">
        <v>18</v>
      </c>
    </row>
    <row r="733" spans="1:9" x14ac:dyDescent="0.2">
      <c r="A733" s="10" t="s">
        <v>9717</v>
      </c>
      <c r="B733" s="10">
        <v>29.468811149513801</v>
      </c>
      <c r="C733" s="10">
        <v>-2.2068921731401598</v>
      </c>
      <c r="D733" s="10">
        <v>0.68908264084543602</v>
      </c>
      <c r="E733" s="10">
        <v>-3.2026523994749398</v>
      </c>
      <c r="F733" s="10">
        <v>1.3616823027445401E-3</v>
      </c>
      <c r="G733" s="10">
        <v>7.9344726257908095E-3</v>
      </c>
      <c r="H733" s="10" t="s">
        <v>9718</v>
      </c>
      <c r="I733" s="10" t="s">
        <v>18</v>
      </c>
    </row>
    <row r="734" spans="1:9" x14ac:dyDescent="0.2">
      <c r="A734" s="10" t="s">
        <v>2221</v>
      </c>
      <c r="B734" s="10">
        <v>214.078328527004</v>
      </c>
      <c r="C734" s="10">
        <v>-1.1672850520210101</v>
      </c>
      <c r="D734" s="10">
        <v>0.34576726290405402</v>
      </c>
      <c r="E734" s="10">
        <v>-3.3759270389484799</v>
      </c>
      <c r="F734" s="10">
        <v>7.3567425587849305E-4</v>
      </c>
      <c r="G734" s="10">
        <v>4.6981177726893898E-3</v>
      </c>
      <c r="H734" s="10" t="s">
        <v>2222</v>
      </c>
      <c r="I734" s="10" t="s">
        <v>18</v>
      </c>
    </row>
    <row r="735" spans="1:9" x14ac:dyDescent="0.2">
      <c r="A735" s="10" t="s">
        <v>2227</v>
      </c>
      <c r="B735" s="10">
        <v>2069.0125518268301</v>
      </c>
      <c r="C735" s="10">
        <v>-1.1278474097962801</v>
      </c>
      <c r="D735" s="10">
        <v>0.24627893624976199</v>
      </c>
      <c r="E735" s="10">
        <v>-4.5795528719211198</v>
      </c>
      <c r="F735" s="4">
        <v>4.6597099020946502E-6</v>
      </c>
      <c r="G735" s="4">
        <v>5.1483549886062298E-5</v>
      </c>
      <c r="H735" s="10" t="s">
        <v>2228</v>
      </c>
      <c r="I735" s="10" t="s">
        <v>18</v>
      </c>
    </row>
    <row r="736" spans="1:9" x14ac:dyDescent="0.2">
      <c r="A736" s="10" t="s">
        <v>2229</v>
      </c>
      <c r="B736" s="10">
        <v>8148.8790278755596</v>
      </c>
      <c r="C736" s="10">
        <v>-1.4397876047498499</v>
      </c>
      <c r="D736" s="10">
        <v>0.26418706568338102</v>
      </c>
      <c r="E736" s="10">
        <v>-5.4498792400207101</v>
      </c>
      <c r="F736" s="4">
        <v>5.0404033024637197E-8</v>
      </c>
      <c r="G736" s="4">
        <v>7.8997722787211702E-7</v>
      </c>
      <c r="H736" s="10" t="s">
        <v>2230</v>
      </c>
      <c r="I736" s="10" t="s">
        <v>18</v>
      </c>
    </row>
    <row r="737" spans="1:9" x14ac:dyDescent="0.2">
      <c r="A737" s="10" t="s">
        <v>2231</v>
      </c>
      <c r="B737" s="10">
        <v>593.31826228902503</v>
      </c>
      <c r="C737" s="10">
        <v>6.8876198592551896</v>
      </c>
      <c r="D737" s="10">
        <v>0.41458385141757897</v>
      </c>
      <c r="E737" s="10">
        <v>16.6133336735246</v>
      </c>
      <c r="F737" s="4">
        <v>5.58039759826582E-62</v>
      </c>
      <c r="G737" s="4">
        <v>2.1268924482481301E-59</v>
      </c>
      <c r="H737" s="10" t="s">
        <v>2232</v>
      </c>
      <c r="I737" s="10" t="s">
        <v>18</v>
      </c>
    </row>
    <row r="738" spans="1:9" x14ac:dyDescent="0.2">
      <c r="A738" s="10" t="s">
        <v>9719</v>
      </c>
      <c r="B738" s="10">
        <v>852.38540931181103</v>
      </c>
      <c r="C738" s="10">
        <v>2.1122855892287902</v>
      </c>
      <c r="D738" s="10">
        <v>0.27745094907280199</v>
      </c>
      <c r="E738" s="10">
        <v>7.6131856686297796</v>
      </c>
      <c r="F738" s="4">
        <v>2.6742119507359399E-14</v>
      </c>
      <c r="G738" s="4">
        <v>9.0295035732567297E-13</v>
      </c>
      <c r="H738" s="10" t="s">
        <v>9720</v>
      </c>
      <c r="I738" s="10" t="s">
        <v>18</v>
      </c>
    </row>
    <row r="739" spans="1:9" x14ac:dyDescent="0.2">
      <c r="A739" s="10" t="s">
        <v>9721</v>
      </c>
      <c r="B739" s="10">
        <v>1399.4853965366799</v>
      </c>
      <c r="C739" s="10">
        <v>1.3078247101101399</v>
      </c>
      <c r="D739" s="10">
        <v>0.26444137022432601</v>
      </c>
      <c r="E739" s="10">
        <v>4.9456131202191003</v>
      </c>
      <c r="F739" s="4">
        <v>7.59045766479507E-7</v>
      </c>
      <c r="G739" s="4">
        <v>9.7467055925431296E-6</v>
      </c>
      <c r="H739" s="10" t="s">
        <v>9722</v>
      </c>
      <c r="I739" s="10" t="s">
        <v>18</v>
      </c>
    </row>
    <row r="740" spans="1:9" x14ac:dyDescent="0.2">
      <c r="A740" s="10" t="s">
        <v>9723</v>
      </c>
      <c r="B740" s="10">
        <v>106.73870788102001</v>
      </c>
      <c r="C740" s="10">
        <v>-3.8832669995631299</v>
      </c>
      <c r="D740" s="10">
        <v>0.52008729462787995</v>
      </c>
      <c r="E740" s="10">
        <v>-7.4665677082951802</v>
      </c>
      <c r="F740" s="4">
        <v>8.2313627433346604E-14</v>
      </c>
      <c r="G740" s="4">
        <v>2.6648639615004301E-12</v>
      </c>
      <c r="H740" s="10" t="s">
        <v>9724</v>
      </c>
      <c r="I740" s="10" t="s">
        <v>18</v>
      </c>
    </row>
    <row r="741" spans="1:9" x14ac:dyDescent="0.2">
      <c r="A741" s="10" t="s">
        <v>2243</v>
      </c>
      <c r="B741" s="10">
        <v>158.049498686655</v>
      </c>
      <c r="C741" s="10">
        <v>-1.1853448538786999</v>
      </c>
      <c r="D741" s="10">
        <v>0.36931787307484498</v>
      </c>
      <c r="E741" s="10">
        <v>-3.2095518259374298</v>
      </c>
      <c r="F741" s="10">
        <v>1.32942078113081E-3</v>
      </c>
      <c r="G741" s="10">
        <v>7.7807305140403698E-3</v>
      </c>
      <c r="H741" s="10" t="s">
        <v>2244</v>
      </c>
      <c r="I741" s="10" t="s">
        <v>18</v>
      </c>
    </row>
    <row r="742" spans="1:9" x14ac:dyDescent="0.2">
      <c r="A742" s="10" t="s">
        <v>9725</v>
      </c>
      <c r="B742" s="10">
        <v>750.82411916255001</v>
      </c>
      <c r="C742" s="10">
        <v>-1.15249974438694</v>
      </c>
      <c r="D742" s="10">
        <v>0.261359421525095</v>
      </c>
      <c r="E742" s="10">
        <v>-4.4096353506670098</v>
      </c>
      <c r="F742" s="4">
        <v>1.0354482528558E-5</v>
      </c>
      <c r="G742" s="10">
        <v>1.05580465344904E-4</v>
      </c>
      <c r="H742" s="10" t="s">
        <v>9726</v>
      </c>
      <c r="I742" s="10" t="s">
        <v>18</v>
      </c>
    </row>
    <row r="743" spans="1:9" x14ac:dyDescent="0.2">
      <c r="A743" s="10" t="s">
        <v>9727</v>
      </c>
      <c r="B743" s="10">
        <v>62283.007908483298</v>
      </c>
      <c r="C743" s="10">
        <v>3.6816252587835501</v>
      </c>
      <c r="D743" s="10">
        <v>0.297918373530699</v>
      </c>
      <c r="E743" s="10">
        <v>12.3578321644005</v>
      </c>
      <c r="F743" s="4">
        <v>4.4191383678475401E-35</v>
      </c>
      <c r="G743" s="4">
        <v>5.6188870296521802E-33</v>
      </c>
      <c r="H743" s="10" t="s">
        <v>9728</v>
      </c>
      <c r="I743" s="10" t="s">
        <v>18</v>
      </c>
    </row>
    <row r="744" spans="1:9" x14ac:dyDescent="0.2">
      <c r="A744" s="10" t="s">
        <v>9729</v>
      </c>
      <c r="B744" s="10">
        <v>113711.882998699</v>
      </c>
      <c r="C744" s="10">
        <v>-1.5908050926672099</v>
      </c>
      <c r="D744" s="10">
        <v>0.274865171601823</v>
      </c>
      <c r="E744" s="10">
        <v>-5.7875833573112301</v>
      </c>
      <c r="F744" s="4">
        <v>7.1406255294154597E-9</v>
      </c>
      <c r="G744" s="4">
        <v>1.29131872891765E-7</v>
      </c>
      <c r="H744" s="10" t="s">
        <v>9730</v>
      </c>
      <c r="I744" s="10" t="s">
        <v>18</v>
      </c>
    </row>
    <row r="745" spans="1:9" x14ac:dyDescent="0.2">
      <c r="A745" s="10" t="s">
        <v>9731</v>
      </c>
      <c r="B745" s="10">
        <v>39.276526958207597</v>
      </c>
      <c r="C745" s="10">
        <v>-2.4456174421817201</v>
      </c>
      <c r="D745" s="10">
        <v>0.66084452915675995</v>
      </c>
      <c r="E745" s="10">
        <v>-3.7007455373843099</v>
      </c>
      <c r="F745" s="10">
        <v>2.14966960651482E-4</v>
      </c>
      <c r="G745" s="10">
        <v>1.5918439491280599E-3</v>
      </c>
      <c r="H745" s="10" t="s">
        <v>9732</v>
      </c>
      <c r="I745" s="10" t="s">
        <v>18</v>
      </c>
    </row>
    <row r="746" spans="1:9" x14ac:dyDescent="0.2">
      <c r="A746" s="10" t="s">
        <v>9733</v>
      </c>
      <c r="B746" s="10">
        <v>261.82967292360098</v>
      </c>
      <c r="C746" s="10">
        <v>-6.2673022138770396</v>
      </c>
      <c r="D746" s="10">
        <v>0.50337027293535297</v>
      </c>
      <c r="E746" s="10">
        <v>-12.4506800477706</v>
      </c>
      <c r="F746" s="4">
        <v>1.38658639277948E-35</v>
      </c>
      <c r="G746" s="4">
        <v>1.8072321611589499E-33</v>
      </c>
      <c r="H746" s="10" t="s">
        <v>9734</v>
      </c>
      <c r="I746" s="10" t="s">
        <v>18</v>
      </c>
    </row>
    <row r="747" spans="1:9" x14ac:dyDescent="0.2">
      <c r="A747" s="10" t="s">
        <v>9735</v>
      </c>
      <c r="B747" s="10">
        <v>17.4016768971358</v>
      </c>
      <c r="C747" s="10">
        <v>-3.3503058724649102</v>
      </c>
      <c r="D747" s="10">
        <v>0.95686310245511297</v>
      </c>
      <c r="E747" s="10">
        <v>-3.5013429443237101</v>
      </c>
      <c r="F747" s="10">
        <v>4.6291973019881797E-4</v>
      </c>
      <c r="G747" s="10">
        <v>3.12778560654076E-3</v>
      </c>
      <c r="H747" s="10" t="s">
        <v>9736</v>
      </c>
      <c r="I747" s="10" t="s">
        <v>18</v>
      </c>
    </row>
    <row r="748" spans="1:9" x14ac:dyDescent="0.2">
      <c r="A748" s="10" t="s">
        <v>2257</v>
      </c>
      <c r="B748" s="10">
        <v>363.34044666996198</v>
      </c>
      <c r="C748" s="10">
        <v>-1.61995546486811</v>
      </c>
      <c r="D748" s="10">
        <v>0.28851056156549798</v>
      </c>
      <c r="E748" s="10">
        <v>-5.6148913789429598</v>
      </c>
      <c r="F748" s="4">
        <v>1.96685760106114E-8</v>
      </c>
      <c r="G748" s="4">
        <v>3.30945170265505E-7</v>
      </c>
      <c r="H748" s="10" t="s">
        <v>2258</v>
      </c>
      <c r="I748" s="10" t="s">
        <v>18</v>
      </c>
    </row>
    <row r="749" spans="1:9" x14ac:dyDescent="0.2">
      <c r="A749" s="10" t="s">
        <v>2263</v>
      </c>
      <c r="B749" s="10">
        <v>340.32563770785202</v>
      </c>
      <c r="C749" s="10">
        <v>-1.4949954623192701</v>
      </c>
      <c r="D749" s="10">
        <v>0.29887009029691503</v>
      </c>
      <c r="E749" s="10">
        <v>-5.0021581645525401</v>
      </c>
      <c r="F749" s="4">
        <v>5.6692047706049497E-7</v>
      </c>
      <c r="G749" s="4">
        <v>7.4508278999251603E-6</v>
      </c>
      <c r="H749" s="10" t="s">
        <v>2264</v>
      </c>
      <c r="I749" s="10" t="s">
        <v>18</v>
      </c>
    </row>
    <row r="750" spans="1:9" x14ac:dyDescent="0.2">
      <c r="A750" s="10" t="s">
        <v>2269</v>
      </c>
      <c r="B750" s="10">
        <v>144.66107998017799</v>
      </c>
      <c r="C750" s="10">
        <v>3.0143012237363398</v>
      </c>
      <c r="D750" s="10">
        <v>0.39312951022840897</v>
      </c>
      <c r="E750" s="10">
        <v>7.6674509170909904</v>
      </c>
      <c r="F750" s="4">
        <v>1.75448126492213E-14</v>
      </c>
      <c r="G750" s="4">
        <v>6.0374796469379301E-13</v>
      </c>
      <c r="H750" s="10" t="s">
        <v>2270</v>
      </c>
      <c r="I750" s="10" t="s">
        <v>18</v>
      </c>
    </row>
    <row r="751" spans="1:9" x14ac:dyDescent="0.2">
      <c r="A751" s="10" t="s">
        <v>2271</v>
      </c>
      <c r="B751" s="10">
        <v>4000.8707616718998</v>
      </c>
      <c r="C751" s="10">
        <v>-1.2607028423678499</v>
      </c>
      <c r="D751" s="10">
        <v>0.27578720469777201</v>
      </c>
      <c r="E751" s="10">
        <v>-4.5712883734016101</v>
      </c>
      <c r="F751" s="4">
        <v>4.8473466784509098E-6</v>
      </c>
      <c r="G751" s="4">
        <v>5.3316574419078603E-5</v>
      </c>
      <c r="H751" s="10" t="s">
        <v>2272</v>
      </c>
      <c r="I751" s="10" t="s">
        <v>18</v>
      </c>
    </row>
    <row r="752" spans="1:9" x14ac:dyDescent="0.2">
      <c r="A752" s="10" t="s">
        <v>9737</v>
      </c>
      <c r="B752" s="10">
        <v>219.907291063191</v>
      </c>
      <c r="C752" s="10">
        <v>-3.1465131370605599</v>
      </c>
      <c r="D752" s="10">
        <v>0.36014158969532101</v>
      </c>
      <c r="E752" s="10">
        <v>-8.7368780143457094</v>
      </c>
      <c r="F752" s="4">
        <v>2.3964101513026198E-18</v>
      </c>
      <c r="G752" s="4">
        <v>1.15041407167972E-16</v>
      </c>
      <c r="H752" s="10" t="s">
        <v>9738</v>
      </c>
      <c r="I752" s="10" t="s">
        <v>18</v>
      </c>
    </row>
    <row r="753" spans="1:9" x14ac:dyDescent="0.2">
      <c r="A753" s="10" t="s">
        <v>9739</v>
      </c>
      <c r="B753" s="10">
        <v>736.73432339607598</v>
      </c>
      <c r="C753" s="10">
        <v>3.1368990069814502</v>
      </c>
      <c r="D753" s="10">
        <v>0.26956514463514297</v>
      </c>
      <c r="E753" s="10">
        <v>11.636886553813399</v>
      </c>
      <c r="F753" s="4">
        <v>2.6760699673944599E-31</v>
      </c>
      <c r="G753" s="4">
        <v>2.88912188969132E-29</v>
      </c>
      <c r="H753" s="10" t="s">
        <v>9740</v>
      </c>
      <c r="I753" s="10" t="s">
        <v>18</v>
      </c>
    </row>
    <row r="754" spans="1:9" x14ac:dyDescent="0.2">
      <c r="A754" s="10" t="s">
        <v>2291</v>
      </c>
      <c r="B754" s="10">
        <v>3137.4080338959898</v>
      </c>
      <c r="C754" s="10">
        <v>-1.4775269783145399</v>
      </c>
      <c r="D754" s="10">
        <v>0.26541799199489802</v>
      </c>
      <c r="E754" s="10">
        <v>-5.5667928432784501</v>
      </c>
      <c r="F754" s="4">
        <v>2.59470553037128E-8</v>
      </c>
      <c r="G754" s="4">
        <v>4.2826859973826397E-7</v>
      </c>
      <c r="H754" s="10" t="s">
        <v>2292</v>
      </c>
      <c r="I754" s="10" t="s">
        <v>18</v>
      </c>
    </row>
    <row r="755" spans="1:9" x14ac:dyDescent="0.2">
      <c r="A755" s="10" t="s">
        <v>2295</v>
      </c>
      <c r="B755" s="10">
        <v>1232.6672895393001</v>
      </c>
      <c r="C755" s="10">
        <v>-1.8769829962958899</v>
      </c>
      <c r="D755" s="10">
        <v>0.30209872859062598</v>
      </c>
      <c r="E755" s="10">
        <v>-6.2131443089897704</v>
      </c>
      <c r="F755" s="4">
        <v>5.1934712083843095E-10</v>
      </c>
      <c r="G755" s="4">
        <v>1.10153261590984E-8</v>
      </c>
      <c r="H755" s="10" t="s">
        <v>2296</v>
      </c>
      <c r="I755" s="10" t="s">
        <v>18</v>
      </c>
    </row>
    <row r="756" spans="1:9" x14ac:dyDescent="0.2">
      <c r="A756" s="10" t="s">
        <v>2297</v>
      </c>
      <c r="B756" s="10">
        <v>446.447440103536</v>
      </c>
      <c r="C756" s="10">
        <v>-1.3217136378611301</v>
      </c>
      <c r="D756" s="10">
        <v>0.29212302292290299</v>
      </c>
      <c r="E756" s="10">
        <v>-4.5245103403231299</v>
      </c>
      <c r="F756" s="4">
        <v>6.0535493485327799E-6</v>
      </c>
      <c r="G756" s="4">
        <v>6.53047215942908E-5</v>
      </c>
      <c r="H756" s="10" t="s">
        <v>2298</v>
      </c>
      <c r="I756" s="10" t="s">
        <v>18</v>
      </c>
    </row>
    <row r="757" spans="1:9" x14ac:dyDescent="0.2">
      <c r="A757" s="10" t="s">
        <v>9741</v>
      </c>
      <c r="B757" s="10">
        <v>66.978389115127996</v>
      </c>
      <c r="C757" s="10">
        <v>-2.1734898565515199</v>
      </c>
      <c r="D757" s="10">
        <v>0.49679347402972701</v>
      </c>
      <c r="E757" s="10">
        <v>-4.3750370529655296</v>
      </c>
      <c r="F757" s="4">
        <v>1.2141185322817299E-5</v>
      </c>
      <c r="G757" s="10">
        <v>1.21726391708039E-4</v>
      </c>
      <c r="H757" s="10" t="s">
        <v>9742</v>
      </c>
      <c r="I757" s="10" t="s">
        <v>18</v>
      </c>
    </row>
    <row r="758" spans="1:9" x14ac:dyDescent="0.2">
      <c r="A758" s="10" t="s">
        <v>2313</v>
      </c>
      <c r="B758" s="10">
        <v>326.536176867986</v>
      </c>
      <c r="C758" s="10">
        <v>-1.4034884201830999</v>
      </c>
      <c r="D758" s="10">
        <v>0.30918545031123901</v>
      </c>
      <c r="E758" s="10">
        <v>-4.5393093975485801</v>
      </c>
      <c r="F758" s="4">
        <v>5.6438771022799999E-6</v>
      </c>
      <c r="G758" s="4">
        <v>6.1353383106246102E-5</v>
      </c>
      <c r="H758" s="10" t="s">
        <v>2314</v>
      </c>
      <c r="I758" s="10" t="s">
        <v>18</v>
      </c>
    </row>
    <row r="759" spans="1:9" x14ac:dyDescent="0.2">
      <c r="A759" s="10" t="s">
        <v>2315</v>
      </c>
      <c r="B759" s="10">
        <v>1624.4235085800599</v>
      </c>
      <c r="C759" s="10">
        <v>-4.2100145232094999</v>
      </c>
      <c r="D759" s="10">
        <v>0.34667648128108403</v>
      </c>
      <c r="E759" s="10">
        <v>-12.143928851625899</v>
      </c>
      <c r="F759" s="4">
        <v>6.1786446771894898E-34</v>
      </c>
      <c r="G759" s="4">
        <v>7.4011336597477002E-32</v>
      </c>
      <c r="H759" s="10" t="s">
        <v>2316</v>
      </c>
      <c r="I759" s="10" t="s">
        <v>18</v>
      </c>
    </row>
    <row r="760" spans="1:9" x14ac:dyDescent="0.2">
      <c r="A760" s="10" t="s">
        <v>2317</v>
      </c>
      <c r="B760" s="10">
        <v>7540.1315234625699</v>
      </c>
      <c r="C760" s="10">
        <v>-1.4000835438447401</v>
      </c>
      <c r="D760" s="10">
        <v>0.24668049508939999</v>
      </c>
      <c r="E760" s="10">
        <v>-5.6756961807512702</v>
      </c>
      <c r="F760" s="4">
        <v>1.38125742032816E-8</v>
      </c>
      <c r="G760" s="4">
        <v>2.3880089627735201E-7</v>
      </c>
      <c r="H760" s="10" t="s">
        <v>2318</v>
      </c>
      <c r="I760" s="10" t="s">
        <v>18</v>
      </c>
    </row>
    <row r="761" spans="1:9" x14ac:dyDescent="0.2">
      <c r="A761" s="10" t="s">
        <v>9743</v>
      </c>
      <c r="B761" s="10">
        <v>93.571444013814499</v>
      </c>
      <c r="C761" s="10">
        <v>-2.5481988597386298</v>
      </c>
      <c r="D761" s="10">
        <v>0.46166557704657402</v>
      </c>
      <c r="E761" s="10">
        <v>-5.5195773443632001</v>
      </c>
      <c r="F761" s="4">
        <v>3.3981600096782803E-8</v>
      </c>
      <c r="G761" s="4">
        <v>5.4865670759600204E-7</v>
      </c>
      <c r="H761" s="10" t="s">
        <v>9744</v>
      </c>
      <c r="I761" s="10" t="s">
        <v>18</v>
      </c>
    </row>
    <row r="762" spans="1:9" x14ac:dyDescent="0.2">
      <c r="A762" s="10" t="s">
        <v>2321</v>
      </c>
      <c r="B762" s="10">
        <v>825.81142895495998</v>
      </c>
      <c r="C762" s="10">
        <v>-1.0972701759496499</v>
      </c>
      <c r="D762" s="10">
        <v>0.27211663712689399</v>
      </c>
      <c r="E762" s="10">
        <v>-4.03235240423012</v>
      </c>
      <c r="F762" s="4">
        <v>5.5221296657148498E-5</v>
      </c>
      <c r="G762" s="10">
        <v>4.7982442743024902E-4</v>
      </c>
      <c r="H762" s="10" t="s">
        <v>2322</v>
      </c>
      <c r="I762" s="10" t="s">
        <v>18</v>
      </c>
    </row>
    <row r="763" spans="1:9" x14ac:dyDescent="0.2">
      <c r="A763" s="10" t="s">
        <v>2325</v>
      </c>
      <c r="B763" s="10">
        <v>1759.1669405069299</v>
      </c>
      <c r="C763" s="10">
        <v>1.5640430869389801</v>
      </c>
      <c r="D763" s="10">
        <v>0.28836220204175</v>
      </c>
      <c r="E763" s="10">
        <v>5.42388383728784</v>
      </c>
      <c r="F763" s="4">
        <v>5.8317788673640199E-8</v>
      </c>
      <c r="G763" s="4">
        <v>9.0275936866795097E-7</v>
      </c>
      <c r="H763" s="10" t="s">
        <v>2326</v>
      </c>
      <c r="I763" s="10" t="s">
        <v>18</v>
      </c>
    </row>
    <row r="764" spans="1:9" x14ac:dyDescent="0.2">
      <c r="A764" s="10" t="s">
        <v>9745</v>
      </c>
      <c r="B764" s="10">
        <v>176.80176108634799</v>
      </c>
      <c r="C764" s="10">
        <v>-2.6654425321115398</v>
      </c>
      <c r="D764" s="10">
        <v>0.376563803881656</v>
      </c>
      <c r="E764" s="10">
        <v>-7.0783291028928002</v>
      </c>
      <c r="F764" s="4">
        <v>1.4590290473812699E-12</v>
      </c>
      <c r="G764" s="4">
        <v>4.13309410888242E-11</v>
      </c>
      <c r="H764" s="10" t="s">
        <v>9746</v>
      </c>
      <c r="I764" s="10" t="s">
        <v>18</v>
      </c>
    </row>
    <row r="765" spans="1:9" x14ac:dyDescent="0.2">
      <c r="A765" s="10" t="s">
        <v>2333</v>
      </c>
      <c r="B765" s="10">
        <v>1229.2222991899901</v>
      </c>
      <c r="C765" s="10">
        <v>-1.0450704923880301</v>
      </c>
      <c r="D765" s="10">
        <v>0.26963800490530199</v>
      </c>
      <c r="E765" s="10">
        <v>-3.8758278631940701</v>
      </c>
      <c r="F765" s="10">
        <v>1.06262789462342E-4</v>
      </c>
      <c r="G765" s="10">
        <v>8.5674374004013397E-4</v>
      </c>
      <c r="H765" s="10" t="s">
        <v>2334</v>
      </c>
      <c r="I765" s="10" t="s">
        <v>18</v>
      </c>
    </row>
    <row r="766" spans="1:9" x14ac:dyDescent="0.2">
      <c r="A766" s="10" t="s">
        <v>9747</v>
      </c>
      <c r="B766" s="10">
        <v>2505.30634440832</v>
      </c>
      <c r="C766" s="10">
        <v>1.31115375782101</v>
      </c>
      <c r="D766" s="10">
        <v>0.24589077823793201</v>
      </c>
      <c r="E766" s="10">
        <v>5.3322607997616398</v>
      </c>
      <c r="F766" s="4">
        <v>9.6997494562582102E-8</v>
      </c>
      <c r="G766" s="4">
        <v>1.45119235803925E-6</v>
      </c>
      <c r="H766" s="10" t="s">
        <v>9748</v>
      </c>
      <c r="I766" s="10" t="s">
        <v>18</v>
      </c>
    </row>
    <row r="767" spans="1:9" x14ac:dyDescent="0.2">
      <c r="A767" s="10" t="s">
        <v>2341</v>
      </c>
      <c r="B767" s="10">
        <v>230.02878209669501</v>
      </c>
      <c r="C767" s="10">
        <v>-2.2383728450268898</v>
      </c>
      <c r="D767" s="10">
        <v>0.32651473609834902</v>
      </c>
      <c r="E767" s="10">
        <v>-6.8553501498097003</v>
      </c>
      <c r="F767" s="4">
        <v>7.1138057043800101E-12</v>
      </c>
      <c r="G767" s="4">
        <v>1.8601640591858501E-10</v>
      </c>
      <c r="H767" s="10" t="s">
        <v>2342</v>
      </c>
      <c r="I767" s="10" t="s">
        <v>18</v>
      </c>
    </row>
    <row r="768" spans="1:9" x14ac:dyDescent="0.2">
      <c r="A768" s="10" t="s">
        <v>2345</v>
      </c>
      <c r="B768" s="10">
        <v>1135.738501217</v>
      </c>
      <c r="C768" s="10">
        <v>-2.5597500470439698</v>
      </c>
      <c r="D768" s="10">
        <v>0.26460764054867197</v>
      </c>
      <c r="E768" s="10">
        <v>-9.6737571210576192</v>
      </c>
      <c r="F768" s="4">
        <v>3.89799029781692E-22</v>
      </c>
      <c r="G768" s="4">
        <v>2.4210850849773999E-20</v>
      </c>
      <c r="H768" s="10" t="s">
        <v>2346</v>
      </c>
      <c r="I768" s="10" t="s">
        <v>18</v>
      </c>
    </row>
    <row r="769" spans="1:9" x14ac:dyDescent="0.2">
      <c r="A769" s="10" t="s">
        <v>9749</v>
      </c>
      <c r="B769" s="10">
        <v>217.947743373093</v>
      </c>
      <c r="C769" s="10">
        <v>-1.1376267993157001</v>
      </c>
      <c r="D769" s="10">
        <v>0.31757882493968198</v>
      </c>
      <c r="E769" s="10">
        <v>-3.5821871925238602</v>
      </c>
      <c r="F769" s="10">
        <v>3.4072949102890602E-4</v>
      </c>
      <c r="G769" s="10">
        <v>2.3974966005124798E-3</v>
      </c>
      <c r="H769" s="10" t="s">
        <v>9750</v>
      </c>
      <c r="I769" s="10" t="s">
        <v>18</v>
      </c>
    </row>
    <row r="770" spans="1:9" x14ac:dyDescent="0.2">
      <c r="A770" s="10" t="s">
        <v>2349</v>
      </c>
      <c r="B770" s="10">
        <v>223.20147687002401</v>
      </c>
      <c r="C770" s="10">
        <v>-2.9798180243365899</v>
      </c>
      <c r="D770" s="10">
        <v>0.35239083107439201</v>
      </c>
      <c r="E770" s="10">
        <v>-8.4560032826380098</v>
      </c>
      <c r="F770" s="4">
        <v>2.7669782186977901E-17</v>
      </c>
      <c r="G770" s="4">
        <v>1.2429167337739801E-15</v>
      </c>
      <c r="H770" s="10" t="s">
        <v>2350</v>
      </c>
      <c r="I770" s="10" t="s">
        <v>18</v>
      </c>
    </row>
    <row r="771" spans="1:9" x14ac:dyDescent="0.2">
      <c r="A771" s="10" t="s">
        <v>2361</v>
      </c>
      <c r="B771" s="10">
        <v>49.142730785883998</v>
      </c>
      <c r="C771" s="10">
        <v>-1.8073497914225201</v>
      </c>
      <c r="D771" s="10">
        <v>0.545148651006375</v>
      </c>
      <c r="E771" s="10">
        <v>-3.3153338783578601</v>
      </c>
      <c r="F771" s="10">
        <v>9.1533726948314696E-4</v>
      </c>
      <c r="G771" s="10">
        <v>5.6656764305729797E-3</v>
      </c>
      <c r="H771" s="10" t="s">
        <v>2362</v>
      </c>
      <c r="I771" s="10" t="s">
        <v>18</v>
      </c>
    </row>
    <row r="772" spans="1:9" x14ac:dyDescent="0.2">
      <c r="A772" s="10" t="s">
        <v>9751</v>
      </c>
      <c r="B772" s="10">
        <v>2137.7073259561198</v>
      </c>
      <c r="C772" s="10">
        <v>-1.1608743957965799</v>
      </c>
      <c r="D772" s="10">
        <v>0.240144385800583</v>
      </c>
      <c r="E772" s="10">
        <v>-4.8340684373132703</v>
      </c>
      <c r="F772" s="4">
        <v>1.3377056408522901E-6</v>
      </c>
      <c r="G772" s="4">
        <v>1.6209048841830201E-5</v>
      </c>
      <c r="H772" s="10" t="s">
        <v>9752</v>
      </c>
      <c r="I772" s="10" t="s">
        <v>18</v>
      </c>
    </row>
    <row r="773" spans="1:9" x14ac:dyDescent="0.2">
      <c r="A773" s="10" t="s">
        <v>9753</v>
      </c>
      <c r="B773" s="10">
        <v>7688.6626601603102</v>
      </c>
      <c r="C773" s="10">
        <v>-1.04628035986238</v>
      </c>
      <c r="D773" s="10">
        <v>0.25665088888368698</v>
      </c>
      <c r="E773" s="10">
        <v>-4.0766675869045903</v>
      </c>
      <c r="F773" s="4">
        <v>4.5685731656200497E-5</v>
      </c>
      <c r="G773" s="10">
        <v>4.0408740499708998E-4</v>
      </c>
      <c r="H773" s="10" t="s">
        <v>9754</v>
      </c>
      <c r="I773" s="10" t="s">
        <v>18</v>
      </c>
    </row>
    <row r="774" spans="1:9" x14ac:dyDescent="0.2">
      <c r="A774" s="10" t="s">
        <v>9755</v>
      </c>
      <c r="B774" s="10">
        <v>115.54345417787</v>
      </c>
      <c r="C774" s="10">
        <v>-2.1403506657409599</v>
      </c>
      <c r="D774" s="10">
        <v>0.405900508335581</v>
      </c>
      <c r="E774" s="10">
        <v>-5.2730918581935198</v>
      </c>
      <c r="F774" s="4">
        <v>1.3414437785338599E-7</v>
      </c>
      <c r="G774" s="4">
        <v>1.9791213049278098E-6</v>
      </c>
      <c r="H774" s="10" t="s">
        <v>9756</v>
      </c>
      <c r="I774" s="10" t="s">
        <v>18</v>
      </c>
    </row>
    <row r="775" spans="1:9" x14ac:dyDescent="0.2">
      <c r="A775" s="10" t="s">
        <v>2371</v>
      </c>
      <c r="B775" s="10">
        <v>1365.2206576788601</v>
      </c>
      <c r="C775" s="10">
        <v>1.0851917057047999</v>
      </c>
      <c r="D775" s="10">
        <v>0.27025194191483198</v>
      </c>
      <c r="E775" s="10">
        <v>4.0154816206530297</v>
      </c>
      <c r="F775" s="4">
        <v>5.9324522127921001E-5</v>
      </c>
      <c r="G775" s="10">
        <v>5.11765553541788E-4</v>
      </c>
      <c r="H775" s="10" t="s">
        <v>2372</v>
      </c>
      <c r="I775" s="10" t="s">
        <v>18</v>
      </c>
    </row>
    <row r="776" spans="1:9" x14ac:dyDescent="0.2">
      <c r="A776" s="10" t="s">
        <v>2373</v>
      </c>
      <c r="B776" s="10">
        <v>3940.2794794012102</v>
      </c>
      <c r="C776" s="10">
        <v>3.32417980931148</v>
      </c>
      <c r="D776" s="10">
        <v>0.25153462502318602</v>
      </c>
      <c r="E776" s="10">
        <v>13.2155953042452</v>
      </c>
      <c r="F776" s="4">
        <v>7.1319822421367396E-40</v>
      </c>
      <c r="G776" s="4">
        <v>1.18029614013783E-37</v>
      </c>
      <c r="H776" s="10" t="s">
        <v>2374</v>
      </c>
      <c r="I776" s="10" t="s">
        <v>18</v>
      </c>
    </row>
    <row r="777" spans="1:9" x14ac:dyDescent="0.2">
      <c r="A777" s="10" t="s">
        <v>9757</v>
      </c>
      <c r="B777" s="10">
        <v>1291.5100705416401</v>
      </c>
      <c r="C777" s="10">
        <v>-1.02667421691867</v>
      </c>
      <c r="D777" s="10">
        <v>0.30997053302446897</v>
      </c>
      <c r="E777" s="10">
        <v>-3.31216714989365</v>
      </c>
      <c r="F777" s="10">
        <v>9.2576215604845595E-4</v>
      </c>
      <c r="G777" s="10">
        <v>5.7161382021106797E-3</v>
      </c>
      <c r="H777" s="10" t="s">
        <v>9758</v>
      </c>
      <c r="I777" s="10" t="s">
        <v>18</v>
      </c>
    </row>
    <row r="778" spans="1:9" x14ac:dyDescent="0.2">
      <c r="A778" s="10" t="s">
        <v>2375</v>
      </c>
      <c r="B778" s="10">
        <v>1049.50266796191</v>
      </c>
      <c r="C778" s="10">
        <v>-1.72898263834253</v>
      </c>
      <c r="D778" s="10">
        <v>0.25248911072179397</v>
      </c>
      <c r="E778" s="10">
        <v>-6.8477513085608397</v>
      </c>
      <c r="F778" s="4">
        <v>7.5019830723844598E-12</v>
      </c>
      <c r="G778" s="4">
        <v>1.9535443497497999E-10</v>
      </c>
      <c r="H778" s="10" t="s">
        <v>2376</v>
      </c>
      <c r="I778" s="10" t="s">
        <v>18</v>
      </c>
    </row>
    <row r="779" spans="1:9" x14ac:dyDescent="0.2">
      <c r="A779" s="10" t="s">
        <v>2377</v>
      </c>
      <c r="B779" s="10">
        <v>1444.3172121684599</v>
      </c>
      <c r="C779" s="10">
        <v>-2.4805004507449002</v>
      </c>
      <c r="D779" s="10">
        <v>0.26666763830430901</v>
      </c>
      <c r="E779" s="10">
        <v>-9.3018427977161195</v>
      </c>
      <c r="F779" s="4">
        <v>1.38032245102463E-20</v>
      </c>
      <c r="G779" s="4">
        <v>7.7504489409653098E-19</v>
      </c>
      <c r="H779" s="10" t="s">
        <v>2378</v>
      </c>
      <c r="I779" s="10" t="s">
        <v>18</v>
      </c>
    </row>
    <row r="780" spans="1:9" x14ac:dyDescent="0.2">
      <c r="A780" s="10" t="s">
        <v>2379</v>
      </c>
      <c r="B780" s="10">
        <v>272.58952014887501</v>
      </c>
      <c r="C780" s="10">
        <v>-2.0844814790073798</v>
      </c>
      <c r="D780" s="10">
        <v>0.31451512805055498</v>
      </c>
      <c r="E780" s="10">
        <v>-6.6276032314487798</v>
      </c>
      <c r="F780" s="4">
        <v>3.4118103084554497E-11</v>
      </c>
      <c r="G780" s="4">
        <v>8.2602587400574402E-10</v>
      </c>
      <c r="H780" s="10" t="s">
        <v>2380</v>
      </c>
      <c r="I780" s="10" t="s">
        <v>18</v>
      </c>
    </row>
    <row r="781" spans="1:9" x14ac:dyDescent="0.2">
      <c r="A781" s="10" t="s">
        <v>2383</v>
      </c>
      <c r="B781" s="10">
        <v>271.208377957903</v>
      </c>
      <c r="C781" s="10">
        <v>-2.9192473999423898</v>
      </c>
      <c r="D781" s="10">
        <v>0.34892182746542899</v>
      </c>
      <c r="E781" s="10">
        <v>-8.3664797388797094</v>
      </c>
      <c r="F781" s="4">
        <v>5.9365122995949906E-17</v>
      </c>
      <c r="G781" s="4">
        <v>2.6107162044809799E-15</v>
      </c>
      <c r="H781" s="10" t="s">
        <v>2384</v>
      </c>
      <c r="I781" s="10" t="s">
        <v>18</v>
      </c>
    </row>
    <row r="782" spans="1:9" x14ac:dyDescent="0.2">
      <c r="A782" s="10" t="s">
        <v>9759</v>
      </c>
      <c r="B782" s="10">
        <v>25.927763093727599</v>
      </c>
      <c r="C782" s="10">
        <v>-3.3434880577487101</v>
      </c>
      <c r="D782" s="10">
        <v>0.78966330912460403</v>
      </c>
      <c r="E782" s="10">
        <v>-4.2340678857869101</v>
      </c>
      <c r="F782" s="4">
        <v>2.29501614821967E-5</v>
      </c>
      <c r="G782" s="10">
        <v>2.17115950389116E-4</v>
      </c>
      <c r="H782" s="10" t="s">
        <v>9760</v>
      </c>
      <c r="I782" s="10" t="s">
        <v>18</v>
      </c>
    </row>
    <row r="783" spans="1:9" x14ac:dyDescent="0.2">
      <c r="A783" s="10" t="s">
        <v>9761</v>
      </c>
      <c r="B783" s="10">
        <v>438.773708221226</v>
      </c>
      <c r="C783" s="10">
        <v>1.13841779306121</v>
      </c>
      <c r="D783" s="10">
        <v>0.28480470560152499</v>
      </c>
      <c r="E783" s="10">
        <v>3.9971874434335599</v>
      </c>
      <c r="F783" s="4">
        <v>6.4099543393154797E-5</v>
      </c>
      <c r="G783" s="10">
        <v>5.4788447640326504E-4</v>
      </c>
      <c r="H783" s="10" t="s">
        <v>9762</v>
      </c>
      <c r="I783" s="10" t="s">
        <v>18</v>
      </c>
    </row>
    <row r="784" spans="1:9" x14ac:dyDescent="0.2">
      <c r="A784" s="10" t="s">
        <v>2389</v>
      </c>
      <c r="B784" s="10">
        <v>443.972966811954</v>
      </c>
      <c r="C784" s="10">
        <v>-1.1634107684794199</v>
      </c>
      <c r="D784" s="10">
        <v>0.284603310080142</v>
      </c>
      <c r="E784" s="10">
        <v>-4.08783287921639</v>
      </c>
      <c r="F784" s="4">
        <v>4.3542163344627901E-5</v>
      </c>
      <c r="G784" s="10">
        <v>3.8730661914219099E-4</v>
      </c>
      <c r="H784" s="10" t="s">
        <v>2390</v>
      </c>
      <c r="I784" s="10" t="s">
        <v>18</v>
      </c>
    </row>
    <row r="785" spans="1:9" x14ac:dyDescent="0.2">
      <c r="A785" s="10" t="s">
        <v>2393</v>
      </c>
      <c r="B785" s="10">
        <v>178.032117379559</v>
      </c>
      <c r="C785" s="10">
        <v>2.44472128841808</v>
      </c>
      <c r="D785" s="10">
        <v>0.35360584364798398</v>
      </c>
      <c r="E785" s="10">
        <v>6.9136902919845697</v>
      </c>
      <c r="F785" s="4">
        <v>4.7220551547503098E-12</v>
      </c>
      <c r="G785" s="4">
        <v>1.2717697796332301E-10</v>
      </c>
      <c r="H785" s="10" t="s">
        <v>2394</v>
      </c>
      <c r="I785" s="10" t="s">
        <v>18</v>
      </c>
    </row>
    <row r="786" spans="1:9" x14ac:dyDescent="0.2">
      <c r="A786" s="10" t="s">
        <v>2399</v>
      </c>
      <c r="B786" s="10">
        <v>354.68480720872202</v>
      </c>
      <c r="C786" s="10">
        <v>-2.0376239012025699</v>
      </c>
      <c r="D786" s="10">
        <v>0.299292341769829</v>
      </c>
      <c r="E786" s="10">
        <v>-6.8081391229502604</v>
      </c>
      <c r="F786" s="4">
        <v>9.8869232106634893E-12</v>
      </c>
      <c r="G786" s="4">
        <v>2.5404040180208401E-10</v>
      </c>
      <c r="H786" s="10" t="s">
        <v>2400</v>
      </c>
      <c r="I786" s="10" t="s">
        <v>18</v>
      </c>
    </row>
    <row r="787" spans="1:9" x14ac:dyDescent="0.2">
      <c r="A787" s="10" t="s">
        <v>9763</v>
      </c>
      <c r="B787" s="10">
        <v>1903.60946700151</v>
      </c>
      <c r="C787" s="10">
        <v>1.42249740067639</v>
      </c>
      <c r="D787" s="10">
        <v>0.25032017683538099</v>
      </c>
      <c r="E787" s="10">
        <v>5.6827117120960997</v>
      </c>
      <c r="F787" s="4">
        <v>1.32575641109456E-8</v>
      </c>
      <c r="G787" s="4">
        <v>2.2999587945575E-7</v>
      </c>
      <c r="H787" s="10" t="s">
        <v>9764</v>
      </c>
      <c r="I787" s="10" t="s">
        <v>18</v>
      </c>
    </row>
    <row r="788" spans="1:9" x14ac:dyDescent="0.2">
      <c r="A788" s="10" t="s">
        <v>2401</v>
      </c>
      <c r="B788" s="10">
        <v>80.159674071436797</v>
      </c>
      <c r="C788" s="10">
        <v>1.47163805391444</v>
      </c>
      <c r="D788" s="10">
        <v>0.441343958620115</v>
      </c>
      <c r="E788" s="10">
        <v>3.3344470342713999</v>
      </c>
      <c r="F788" s="10">
        <v>8.5469176053734901E-4</v>
      </c>
      <c r="G788" s="10">
        <v>5.3402313055928999E-3</v>
      </c>
      <c r="H788" s="10" t="s">
        <v>2402</v>
      </c>
      <c r="I788" s="10" t="s">
        <v>18</v>
      </c>
    </row>
    <row r="789" spans="1:9" x14ac:dyDescent="0.2">
      <c r="A789" s="10" t="s">
        <v>9765</v>
      </c>
      <c r="B789" s="10">
        <v>35.800209939359902</v>
      </c>
      <c r="C789" s="10">
        <v>-3.83857083055545</v>
      </c>
      <c r="D789" s="10">
        <v>0.73654769011054</v>
      </c>
      <c r="E789" s="10">
        <v>-5.21157133759983</v>
      </c>
      <c r="F789" s="4">
        <v>1.8724781231914999E-7</v>
      </c>
      <c r="G789" s="4">
        <v>2.6900164014210302E-6</v>
      </c>
      <c r="H789" s="10" t="s">
        <v>9766</v>
      </c>
      <c r="I789" s="10" t="s">
        <v>18</v>
      </c>
    </row>
    <row r="790" spans="1:9" x14ac:dyDescent="0.2">
      <c r="A790" s="10" t="s">
        <v>2405</v>
      </c>
      <c r="B790" s="10">
        <v>599.95958646083602</v>
      </c>
      <c r="C790" s="10">
        <v>-1.54338379549861</v>
      </c>
      <c r="D790" s="10">
        <v>0.26826652151506197</v>
      </c>
      <c r="E790" s="10">
        <v>-5.7531733247301799</v>
      </c>
      <c r="F790" s="4">
        <v>8.7583606043295201E-9</v>
      </c>
      <c r="G790" s="4">
        <v>1.55480988709886E-7</v>
      </c>
      <c r="H790" s="10" t="s">
        <v>2406</v>
      </c>
      <c r="I790" s="10" t="s">
        <v>18</v>
      </c>
    </row>
    <row r="791" spans="1:9" x14ac:dyDescent="0.2">
      <c r="A791" s="10" t="s">
        <v>2407</v>
      </c>
      <c r="B791" s="10">
        <v>1058.33886306311</v>
      </c>
      <c r="C791" s="10">
        <v>-1.8411792482852201</v>
      </c>
      <c r="D791" s="10">
        <v>0.275387341524511</v>
      </c>
      <c r="E791" s="10">
        <v>-6.6857802471699301</v>
      </c>
      <c r="F791" s="4">
        <v>2.2969749260505599E-11</v>
      </c>
      <c r="G791" s="4">
        <v>5.6758746822005601E-10</v>
      </c>
      <c r="H791" s="10" t="s">
        <v>2408</v>
      </c>
      <c r="I791" s="10" t="s">
        <v>18</v>
      </c>
    </row>
    <row r="792" spans="1:9" x14ac:dyDescent="0.2">
      <c r="A792" s="10" t="s">
        <v>2409</v>
      </c>
      <c r="B792" s="10">
        <v>4304.9822266608699</v>
      </c>
      <c r="C792" s="10">
        <v>-1.8802489719094999</v>
      </c>
      <c r="D792" s="10">
        <v>0.302959566875944</v>
      </c>
      <c r="E792" s="10">
        <v>-6.2062703326989803</v>
      </c>
      <c r="F792" s="4">
        <v>5.4256815834019799E-10</v>
      </c>
      <c r="G792" s="4">
        <v>1.14595315054976E-8</v>
      </c>
      <c r="H792" s="10" t="s">
        <v>2410</v>
      </c>
      <c r="I792" s="10" t="s">
        <v>18</v>
      </c>
    </row>
    <row r="793" spans="1:9" x14ac:dyDescent="0.2">
      <c r="A793" s="10" t="s">
        <v>2411</v>
      </c>
      <c r="B793" s="10">
        <v>3560.8667613418202</v>
      </c>
      <c r="C793" s="10">
        <v>-2.3528834736201198</v>
      </c>
      <c r="D793" s="10">
        <v>0.316280391315863</v>
      </c>
      <c r="E793" s="10">
        <v>-7.4392328396683398</v>
      </c>
      <c r="F793" s="4">
        <v>1.0127168762757199E-13</v>
      </c>
      <c r="G793" s="4">
        <v>3.2618300925372299E-12</v>
      </c>
      <c r="H793" s="10" t="s">
        <v>2412</v>
      </c>
      <c r="I793" s="10" t="s">
        <v>18</v>
      </c>
    </row>
    <row r="794" spans="1:9" x14ac:dyDescent="0.2">
      <c r="A794" s="10" t="s">
        <v>9767</v>
      </c>
      <c r="B794" s="10">
        <v>385.45926048118298</v>
      </c>
      <c r="C794" s="10">
        <v>1.8644168123059099</v>
      </c>
      <c r="D794" s="10">
        <v>0.28825167316658101</v>
      </c>
      <c r="E794" s="10">
        <v>6.4680173121786702</v>
      </c>
      <c r="F794" s="4">
        <v>9.9297124290960202E-11</v>
      </c>
      <c r="G794" s="4">
        <v>2.2831985023209398E-9</v>
      </c>
      <c r="H794" s="10" t="s">
        <v>9768</v>
      </c>
      <c r="I794" s="10" t="s">
        <v>18</v>
      </c>
    </row>
    <row r="795" spans="1:9" x14ac:dyDescent="0.2">
      <c r="A795" s="10" t="s">
        <v>2419</v>
      </c>
      <c r="B795" s="10">
        <v>1020.0202726841</v>
      </c>
      <c r="C795" s="10">
        <v>-1.8016247324438299</v>
      </c>
      <c r="D795" s="10">
        <v>0.25553723914124299</v>
      </c>
      <c r="E795" s="10">
        <v>-7.0503412281448998</v>
      </c>
      <c r="F795" s="4">
        <v>1.7847956140489201E-12</v>
      </c>
      <c r="G795" s="4">
        <v>4.9940526886986201E-11</v>
      </c>
      <c r="H795" s="10" t="s">
        <v>2420</v>
      </c>
      <c r="I795" s="10" t="s">
        <v>18</v>
      </c>
    </row>
    <row r="796" spans="1:9" x14ac:dyDescent="0.2">
      <c r="A796" s="10" t="s">
        <v>9769</v>
      </c>
      <c r="B796" s="10">
        <v>46.218817046336099</v>
      </c>
      <c r="C796" s="10">
        <v>2.4160774630642798</v>
      </c>
      <c r="D796" s="10">
        <v>0.60339386836162001</v>
      </c>
      <c r="E796" s="10">
        <v>4.0041465280789001</v>
      </c>
      <c r="F796" s="4">
        <v>6.2241778697194605E-5</v>
      </c>
      <c r="G796" s="10">
        <v>5.3436585089690499E-4</v>
      </c>
      <c r="H796" s="10" t="s">
        <v>9770</v>
      </c>
      <c r="I796" s="10" t="s">
        <v>18</v>
      </c>
    </row>
    <row r="797" spans="1:9" x14ac:dyDescent="0.2">
      <c r="A797" s="10" t="s">
        <v>2429</v>
      </c>
      <c r="B797" s="10">
        <v>10804.5303439493</v>
      </c>
      <c r="C797" s="10">
        <v>1.27320629105878</v>
      </c>
      <c r="D797" s="10">
        <v>0.23286808323266001</v>
      </c>
      <c r="E797" s="10">
        <v>5.4675001974689401</v>
      </c>
      <c r="F797" s="4">
        <v>4.56426700359346E-8</v>
      </c>
      <c r="G797" s="4">
        <v>7.2164762083842503E-7</v>
      </c>
      <c r="H797" s="10" t="s">
        <v>2430</v>
      </c>
      <c r="I797" s="10" t="s">
        <v>18</v>
      </c>
    </row>
    <row r="798" spans="1:9" x14ac:dyDescent="0.2">
      <c r="A798" s="10" t="s">
        <v>2437</v>
      </c>
      <c r="B798" s="10">
        <v>194.288251365332</v>
      </c>
      <c r="C798" s="10">
        <v>1.4146262688690801</v>
      </c>
      <c r="D798" s="10">
        <v>0.36416977172035297</v>
      </c>
      <c r="E798" s="10">
        <v>3.8845241388002298</v>
      </c>
      <c r="F798" s="10">
        <v>1.02530506280078E-4</v>
      </c>
      <c r="G798" s="10">
        <v>8.3011100272782504E-4</v>
      </c>
      <c r="H798" s="10" t="s">
        <v>2438</v>
      </c>
      <c r="I798" s="10" t="s">
        <v>18</v>
      </c>
    </row>
    <row r="799" spans="1:9" x14ac:dyDescent="0.2">
      <c r="A799" s="10" t="s">
        <v>9771</v>
      </c>
      <c r="B799" s="10">
        <v>453.10738286355797</v>
      </c>
      <c r="C799" s="10">
        <v>-1.33638522568832</v>
      </c>
      <c r="D799" s="10">
        <v>0.28851136349677398</v>
      </c>
      <c r="E799" s="10">
        <v>-4.6320020448804904</v>
      </c>
      <c r="F799" s="4">
        <v>3.6214657599253398E-6</v>
      </c>
      <c r="G799" s="4">
        <v>4.0796225343001299E-5</v>
      </c>
      <c r="H799" s="10" t="s">
        <v>9772</v>
      </c>
      <c r="I799" s="10" t="s">
        <v>18</v>
      </c>
    </row>
    <row r="800" spans="1:9" x14ac:dyDescent="0.2">
      <c r="A800" s="10" t="s">
        <v>9773</v>
      </c>
      <c r="B800" s="10">
        <v>362.77633858182099</v>
      </c>
      <c r="C800" s="10">
        <v>-1.06597565019306</v>
      </c>
      <c r="D800" s="10">
        <v>0.30050811266247401</v>
      </c>
      <c r="E800" s="10">
        <v>-3.5472441683807401</v>
      </c>
      <c r="F800" s="10">
        <v>3.8928362504014001E-4</v>
      </c>
      <c r="G800" s="10">
        <v>2.6872748594634201E-3</v>
      </c>
      <c r="H800" s="10" t="s">
        <v>9774</v>
      </c>
      <c r="I800" s="10" t="s">
        <v>18</v>
      </c>
    </row>
    <row r="801" spans="1:9" x14ac:dyDescent="0.2">
      <c r="A801" s="10" t="s">
        <v>9775</v>
      </c>
      <c r="B801" s="10">
        <v>1433.0637528038601</v>
      </c>
      <c r="C801" s="10">
        <v>-1.08936709814625</v>
      </c>
      <c r="D801" s="10">
        <v>0.30041753092763601</v>
      </c>
      <c r="E801" s="10">
        <v>-3.62617685719764</v>
      </c>
      <c r="F801" s="10">
        <v>2.8764838374916297E-4</v>
      </c>
      <c r="G801" s="10">
        <v>2.0644208539829399E-3</v>
      </c>
      <c r="H801" s="10" t="s">
        <v>9776</v>
      </c>
      <c r="I801" s="10" t="s">
        <v>18</v>
      </c>
    </row>
    <row r="802" spans="1:9" x14ac:dyDescent="0.2">
      <c r="A802" s="10" t="s">
        <v>2453</v>
      </c>
      <c r="B802" s="10">
        <v>73.723341137266004</v>
      </c>
      <c r="C802" s="10">
        <v>1.6470438357372299</v>
      </c>
      <c r="D802" s="10">
        <v>0.45177772499226199</v>
      </c>
      <c r="E802" s="10">
        <v>3.6456950943418902</v>
      </c>
      <c r="F802" s="10">
        <v>2.6667001294768198E-4</v>
      </c>
      <c r="G802" s="10">
        <v>1.92706063792683E-3</v>
      </c>
      <c r="H802" s="10" t="s">
        <v>2454</v>
      </c>
      <c r="I802" s="10" t="s">
        <v>18</v>
      </c>
    </row>
    <row r="803" spans="1:9" x14ac:dyDescent="0.2">
      <c r="A803" s="10" t="s">
        <v>9777</v>
      </c>
      <c r="B803" s="10">
        <v>1548.59719195497</v>
      </c>
      <c r="C803" s="10">
        <v>-1.5631916373952299</v>
      </c>
      <c r="D803" s="10">
        <v>0.25965685850894599</v>
      </c>
      <c r="E803" s="10">
        <v>-6.0202208652284703</v>
      </c>
      <c r="F803" s="4">
        <v>1.74179235754322E-9</v>
      </c>
      <c r="G803" s="4">
        <v>3.4097110314396699E-8</v>
      </c>
      <c r="H803" s="10" t="s">
        <v>9778</v>
      </c>
      <c r="I803" s="10" t="s">
        <v>18</v>
      </c>
    </row>
    <row r="804" spans="1:9" x14ac:dyDescent="0.2">
      <c r="A804" s="10" t="s">
        <v>9779</v>
      </c>
      <c r="B804" s="10">
        <v>1626.01832994694</v>
      </c>
      <c r="C804" s="10">
        <v>1.2620989846194499</v>
      </c>
      <c r="D804" s="10">
        <v>0.268267579963333</v>
      </c>
      <c r="E804" s="10">
        <v>4.7046273157269303</v>
      </c>
      <c r="F804" s="4">
        <v>2.5433011461264099E-6</v>
      </c>
      <c r="G804" s="4">
        <v>2.94416660519143E-5</v>
      </c>
      <c r="H804" s="10" t="s">
        <v>9780</v>
      </c>
      <c r="I804" s="10" t="s">
        <v>18</v>
      </c>
    </row>
    <row r="805" spans="1:9" x14ac:dyDescent="0.2">
      <c r="A805" s="10" t="s">
        <v>2465</v>
      </c>
      <c r="B805" s="10">
        <v>43.353040601384699</v>
      </c>
      <c r="C805" s="10">
        <v>2.3229796752751</v>
      </c>
      <c r="D805" s="10">
        <v>0.72615200669172397</v>
      </c>
      <c r="E805" s="10">
        <v>3.19902672425069</v>
      </c>
      <c r="F805" s="10">
        <v>1.3789238598348999E-3</v>
      </c>
      <c r="G805" s="10">
        <v>8.0145170272982492E-3</v>
      </c>
      <c r="H805" s="10" t="s">
        <v>2466</v>
      </c>
      <c r="I805" s="10" t="s">
        <v>18</v>
      </c>
    </row>
    <row r="806" spans="1:9" x14ac:dyDescent="0.2">
      <c r="A806" s="10" t="s">
        <v>2467</v>
      </c>
      <c r="B806" s="10">
        <v>17.6784430021793</v>
      </c>
      <c r="C806" s="10">
        <v>2.5203852358429799</v>
      </c>
      <c r="D806" s="10">
        <v>0.85825537579646904</v>
      </c>
      <c r="E806" s="10">
        <v>2.9366378666769601</v>
      </c>
      <c r="F806" s="10">
        <v>3.3179130270031298E-3</v>
      </c>
      <c r="G806" s="10">
        <v>1.6830429964562198E-2</v>
      </c>
      <c r="H806" s="10" t="s">
        <v>2468</v>
      </c>
      <c r="I806" s="10" t="s">
        <v>18</v>
      </c>
    </row>
    <row r="807" spans="1:9" x14ac:dyDescent="0.2">
      <c r="A807" s="10" t="s">
        <v>9781</v>
      </c>
      <c r="B807" s="10">
        <v>256.23503754097499</v>
      </c>
      <c r="C807" s="10">
        <v>-1.9065179307937601</v>
      </c>
      <c r="D807" s="10">
        <v>0.38440343394218401</v>
      </c>
      <c r="E807" s="10">
        <v>-4.9596797594698696</v>
      </c>
      <c r="F807" s="4">
        <v>7.0609482857705399E-7</v>
      </c>
      <c r="G807" s="4">
        <v>9.1086232886439993E-6</v>
      </c>
      <c r="H807" s="10" t="s">
        <v>9782</v>
      </c>
      <c r="I807" s="10" t="s">
        <v>18</v>
      </c>
    </row>
    <row r="808" spans="1:9" x14ac:dyDescent="0.2">
      <c r="A808" s="10" t="s">
        <v>2469</v>
      </c>
      <c r="B808" s="10">
        <v>1358.8500235858701</v>
      </c>
      <c r="C808" s="10">
        <v>-1.5346595254459401</v>
      </c>
      <c r="D808" s="10">
        <v>0.25006335952641601</v>
      </c>
      <c r="E808" s="10">
        <v>-6.1370827311620504</v>
      </c>
      <c r="F808" s="4">
        <v>8.4050620409770402E-10</v>
      </c>
      <c r="G808" s="4">
        <v>1.7301909626904899E-8</v>
      </c>
      <c r="H808" s="10" t="s">
        <v>2470</v>
      </c>
      <c r="I808" s="10" t="s">
        <v>18</v>
      </c>
    </row>
    <row r="809" spans="1:9" x14ac:dyDescent="0.2">
      <c r="A809" s="10" t="s">
        <v>2471</v>
      </c>
      <c r="B809" s="10">
        <v>330.28349555997897</v>
      </c>
      <c r="C809" s="10">
        <v>4.9112153923204804</v>
      </c>
      <c r="D809" s="10">
        <v>0.36959547637410101</v>
      </c>
      <c r="E809" s="10">
        <v>13.2880830699059</v>
      </c>
      <c r="F809" s="4">
        <v>2.71443427734261E-40</v>
      </c>
      <c r="G809" s="4">
        <v>4.5521062831035498E-38</v>
      </c>
      <c r="H809" s="10" t="s">
        <v>2472</v>
      </c>
      <c r="I809" s="10" t="s">
        <v>18</v>
      </c>
    </row>
    <row r="810" spans="1:9" x14ac:dyDescent="0.2">
      <c r="A810" s="10" t="s">
        <v>9783</v>
      </c>
      <c r="B810" s="10">
        <v>1285.3797682342899</v>
      </c>
      <c r="C810" s="10">
        <v>1.15027514767631</v>
      </c>
      <c r="D810" s="10">
        <v>0.29191648630725398</v>
      </c>
      <c r="E810" s="10">
        <v>3.9404254354637498</v>
      </c>
      <c r="F810" s="4">
        <v>8.1337230494823597E-5</v>
      </c>
      <c r="G810" s="10">
        <v>6.7548300861580896E-4</v>
      </c>
      <c r="H810" s="10" t="s">
        <v>9784</v>
      </c>
      <c r="I810" s="10" t="s">
        <v>18</v>
      </c>
    </row>
    <row r="811" spans="1:9" x14ac:dyDescent="0.2">
      <c r="A811" s="10" t="s">
        <v>2473</v>
      </c>
      <c r="B811" s="10">
        <v>18.93762628004</v>
      </c>
      <c r="C811" s="10">
        <v>-4.1287503790436304</v>
      </c>
      <c r="D811" s="10">
        <v>1.02859277903441</v>
      </c>
      <c r="E811" s="10">
        <v>-4.0139795487573604</v>
      </c>
      <c r="F811" s="4">
        <v>5.9703521751350302E-5</v>
      </c>
      <c r="G811" s="10">
        <v>5.1432948275863504E-4</v>
      </c>
      <c r="H811" s="10" t="s">
        <v>2474</v>
      </c>
      <c r="I811" s="10" t="s">
        <v>18</v>
      </c>
    </row>
    <row r="812" spans="1:9" x14ac:dyDescent="0.2">
      <c r="A812" s="10" t="s">
        <v>2475</v>
      </c>
      <c r="B812" s="10">
        <v>257.07485067707103</v>
      </c>
      <c r="C812" s="10">
        <v>-1.5564095933789399</v>
      </c>
      <c r="D812" s="10">
        <v>0.352914938811414</v>
      </c>
      <c r="E812" s="10">
        <v>-4.4101550323168199</v>
      </c>
      <c r="F812" s="4">
        <v>1.03296639440923E-5</v>
      </c>
      <c r="G812" s="10">
        <v>1.0541285862622399E-4</v>
      </c>
      <c r="H812" s="10" t="s">
        <v>2476</v>
      </c>
      <c r="I812" s="10" t="s">
        <v>18</v>
      </c>
    </row>
    <row r="813" spans="1:9" x14ac:dyDescent="0.2">
      <c r="A813" s="10" t="s">
        <v>9785</v>
      </c>
      <c r="B813" s="10">
        <v>1472.35650163063</v>
      </c>
      <c r="C813" s="10">
        <v>1.71864655585818</v>
      </c>
      <c r="D813" s="10">
        <v>0.27261945734308901</v>
      </c>
      <c r="E813" s="10">
        <v>6.3041962323887999</v>
      </c>
      <c r="F813" s="4">
        <v>2.8969327728240898E-10</v>
      </c>
      <c r="G813" s="4">
        <v>6.3257242969088596E-9</v>
      </c>
      <c r="H813" s="10" t="s">
        <v>9786</v>
      </c>
      <c r="I813" s="10" t="s">
        <v>18</v>
      </c>
    </row>
    <row r="814" spans="1:9" x14ac:dyDescent="0.2">
      <c r="A814" s="10" t="s">
        <v>2477</v>
      </c>
      <c r="B814" s="10">
        <v>465.865322813148</v>
      </c>
      <c r="C814" s="10">
        <v>7.9407492800843702</v>
      </c>
      <c r="D814" s="10">
        <v>0.58340833694012095</v>
      </c>
      <c r="E814" s="10">
        <v>13.6109629864604</v>
      </c>
      <c r="F814" s="4">
        <v>3.4467211210065703E-42</v>
      </c>
      <c r="G814" s="4">
        <v>6.47031864171047E-40</v>
      </c>
      <c r="H814" s="10" t="s">
        <v>2478</v>
      </c>
      <c r="I814" s="10" t="s">
        <v>18</v>
      </c>
    </row>
    <row r="815" spans="1:9" x14ac:dyDescent="0.2">
      <c r="A815" s="10" t="s">
        <v>9787</v>
      </c>
      <c r="B815" s="10">
        <v>1029.7489762375301</v>
      </c>
      <c r="C815" s="10">
        <v>-1.48333574808753</v>
      </c>
      <c r="D815" s="10">
        <v>0.25292779902081203</v>
      </c>
      <c r="E815" s="10">
        <v>-5.8646607997623699</v>
      </c>
      <c r="F815" s="4">
        <v>4.5005176773219297E-9</v>
      </c>
      <c r="G815" s="4">
        <v>8.37975737772266E-8</v>
      </c>
      <c r="H815" s="10" t="s">
        <v>9788</v>
      </c>
      <c r="I815" s="10" t="s">
        <v>18</v>
      </c>
    </row>
    <row r="816" spans="1:9" x14ac:dyDescent="0.2">
      <c r="A816" s="10" t="s">
        <v>2481</v>
      </c>
      <c r="B816" s="10">
        <v>3728.6905172614402</v>
      </c>
      <c r="C816" s="10">
        <v>4.7568704873028702</v>
      </c>
      <c r="D816" s="10">
        <v>0.253798211388295</v>
      </c>
      <c r="E816" s="10">
        <v>18.742726598751201</v>
      </c>
      <c r="F816" s="4">
        <v>2.21956956598248E-78</v>
      </c>
      <c r="G816" s="4">
        <v>1.5952363552082701E-75</v>
      </c>
      <c r="H816" s="10" t="s">
        <v>2482</v>
      </c>
      <c r="I816" s="10" t="s">
        <v>18</v>
      </c>
    </row>
    <row r="817" spans="1:9" x14ac:dyDescent="0.2">
      <c r="A817" s="10" t="s">
        <v>9789</v>
      </c>
      <c r="B817" s="10">
        <v>77.136346082114002</v>
      </c>
      <c r="C817" s="10">
        <v>-2.0949994037655801</v>
      </c>
      <c r="D817" s="10">
        <v>0.49718207296281602</v>
      </c>
      <c r="E817" s="10">
        <v>-4.2137468699967799</v>
      </c>
      <c r="F817" s="4">
        <v>2.5116877182331401E-5</v>
      </c>
      <c r="G817" s="10">
        <v>2.36192540381887E-4</v>
      </c>
      <c r="H817" s="10" t="s">
        <v>9790</v>
      </c>
      <c r="I817" s="10" t="s">
        <v>18</v>
      </c>
    </row>
    <row r="818" spans="1:9" x14ac:dyDescent="0.2">
      <c r="A818" s="10" t="s">
        <v>2489</v>
      </c>
      <c r="B818" s="10">
        <v>339.788857778254</v>
      </c>
      <c r="C818" s="10">
        <v>1.0167301973345499</v>
      </c>
      <c r="D818" s="10">
        <v>0.29061346691006701</v>
      </c>
      <c r="E818" s="10">
        <v>3.4985653216448802</v>
      </c>
      <c r="F818" s="10">
        <v>4.6776849254766598E-4</v>
      </c>
      <c r="G818" s="10">
        <v>3.1546156648891502E-3</v>
      </c>
      <c r="H818" s="10" t="s">
        <v>2490</v>
      </c>
      <c r="I818" s="10" t="s">
        <v>18</v>
      </c>
    </row>
    <row r="819" spans="1:9" x14ac:dyDescent="0.2">
      <c r="A819" s="10" t="s">
        <v>2493</v>
      </c>
      <c r="B819" s="10">
        <v>18.091563499186801</v>
      </c>
      <c r="C819" s="10">
        <v>3.2256159232285002</v>
      </c>
      <c r="D819" s="10">
        <v>1.05670217519592</v>
      </c>
      <c r="E819" s="10">
        <v>3.0525307877126702</v>
      </c>
      <c r="F819" s="10">
        <v>2.2692045165141599E-3</v>
      </c>
      <c r="G819" s="10">
        <v>1.2207407958279201E-2</v>
      </c>
      <c r="H819" s="10" t="s">
        <v>2494</v>
      </c>
      <c r="I819" s="10" t="s">
        <v>18</v>
      </c>
    </row>
    <row r="820" spans="1:9" x14ac:dyDescent="0.2">
      <c r="A820" s="10" t="s">
        <v>2499</v>
      </c>
      <c r="B820" s="10">
        <v>111.64891339715599</v>
      </c>
      <c r="C820" s="10">
        <v>-1.2420201528549699</v>
      </c>
      <c r="D820" s="10">
        <v>0.41135911307297401</v>
      </c>
      <c r="E820" s="10">
        <v>-3.0193087095523699</v>
      </c>
      <c r="F820" s="10">
        <v>2.533522285057E-3</v>
      </c>
      <c r="G820" s="10">
        <v>1.3352347178003101E-2</v>
      </c>
      <c r="H820" s="10" t="s">
        <v>2500</v>
      </c>
      <c r="I820" s="10" t="s">
        <v>18</v>
      </c>
    </row>
    <row r="821" spans="1:9" x14ac:dyDescent="0.2">
      <c r="A821" s="10" t="s">
        <v>9791</v>
      </c>
      <c r="B821" s="10">
        <v>2404.88863578992</v>
      </c>
      <c r="C821" s="10">
        <v>1.0572137584685699</v>
      </c>
      <c r="D821" s="10">
        <v>0.25494435212927002</v>
      </c>
      <c r="E821" s="10">
        <v>4.1468412602155302</v>
      </c>
      <c r="F821" s="4">
        <v>3.3709359939172799E-5</v>
      </c>
      <c r="G821" s="10">
        <v>3.0812461819400099E-4</v>
      </c>
      <c r="H821" s="10" t="s">
        <v>9792</v>
      </c>
      <c r="I821" s="10" t="s">
        <v>18</v>
      </c>
    </row>
    <row r="822" spans="1:9" x14ac:dyDescent="0.2">
      <c r="A822" s="10" t="s">
        <v>2503</v>
      </c>
      <c r="B822" s="10">
        <v>705.01317337677199</v>
      </c>
      <c r="C822" s="10">
        <v>-1.63386732803695</v>
      </c>
      <c r="D822" s="10">
        <v>0.29410243235713701</v>
      </c>
      <c r="E822" s="10">
        <v>-5.5554362979660601</v>
      </c>
      <c r="F822" s="4">
        <v>2.7691919343980799E-8</v>
      </c>
      <c r="G822" s="4">
        <v>4.5439675870700399E-7</v>
      </c>
      <c r="H822" s="10" t="s">
        <v>2504</v>
      </c>
      <c r="I822" s="10" t="s">
        <v>18</v>
      </c>
    </row>
    <row r="823" spans="1:9" x14ac:dyDescent="0.2">
      <c r="A823" s="10" t="s">
        <v>2507</v>
      </c>
      <c r="B823" s="10">
        <v>1249.7637270849</v>
      </c>
      <c r="C823" s="10">
        <v>-2.41298786546675</v>
      </c>
      <c r="D823" s="10">
        <v>0.26026257608637399</v>
      </c>
      <c r="E823" s="10">
        <v>-9.2713593392925997</v>
      </c>
      <c r="F823" s="4">
        <v>1.8378847539624101E-20</v>
      </c>
      <c r="G823" s="4">
        <v>1.02509957840187E-18</v>
      </c>
      <c r="H823" s="10" t="s">
        <v>2508</v>
      </c>
      <c r="I823" s="10" t="s">
        <v>18</v>
      </c>
    </row>
    <row r="824" spans="1:9" x14ac:dyDescent="0.2">
      <c r="A824" s="10" t="s">
        <v>9793</v>
      </c>
      <c r="B824" s="10">
        <v>4452.5229309447104</v>
      </c>
      <c r="C824" s="10">
        <v>-1.21781865206232</v>
      </c>
      <c r="D824" s="10">
        <v>0.271658707223424</v>
      </c>
      <c r="E824" s="10">
        <v>-4.48289938691617</v>
      </c>
      <c r="F824" s="4">
        <v>7.3635652731292198E-6</v>
      </c>
      <c r="G824" s="4">
        <v>7.82863558346832E-5</v>
      </c>
      <c r="H824" s="10" t="s">
        <v>9794</v>
      </c>
      <c r="I824" s="10" t="s">
        <v>18</v>
      </c>
    </row>
    <row r="825" spans="1:9" x14ac:dyDescent="0.2">
      <c r="A825" s="10" t="s">
        <v>2509</v>
      </c>
      <c r="B825" s="10">
        <v>3752.1590535216901</v>
      </c>
      <c r="C825" s="10">
        <v>2.4003549200955399</v>
      </c>
      <c r="D825" s="10">
        <v>0.248439499259241</v>
      </c>
      <c r="E825" s="10">
        <v>9.6617282165378207</v>
      </c>
      <c r="F825" s="4">
        <v>4.3840475417503001E-22</v>
      </c>
      <c r="G825" s="4">
        <v>2.70295872335119E-20</v>
      </c>
      <c r="H825" s="10" t="s">
        <v>2510</v>
      </c>
      <c r="I825" s="10" t="s">
        <v>18</v>
      </c>
    </row>
    <row r="826" spans="1:9" x14ac:dyDescent="0.2">
      <c r="A826" s="10" t="s">
        <v>2513</v>
      </c>
      <c r="B826" s="10">
        <v>4865.5670293518097</v>
      </c>
      <c r="C826" s="10">
        <v>1.9575995733092399</v>
      </c>
      <c r="D826" s="10">
        <v>0.252243815861808</v>
      </c>
      <c r="E826" s="10">
        <v>7.7607435751039802</v>
      </c>
      <c r="F826" s="4">
        <v>8.4432876898897105E-15</v>
      </c>
      <c r="G826" s="4">
        <v>2.9864755738375801E-13</v>
      </c>
      <c r="H826" s="10" t="s">
        <v>2514</v>
      </c>
      <c r="I826" s="10" t="s">
        <v>18</v>
      </c>
    </row>
    <row r="827" spans="1:9" x14ac:dyDescent="0.2">
      <c r="A827" s="10" t="s">
        <v>9795</v>
      </c>
      <c r="B827" s="10">
        <v>226.009250035767</v>
      </c>
      <c r="C827" s="10">
        <v>-1.60792814018848</v>
      </c>
      <c r="D827" s="10">
        <v>0.34300491318433202</v>
      </c>
      <c r="E827" s="10">
        <v>-4.6877699950740004</v>
      </c>
      <c r="F827" s="4">
        <v>2.7619818290933401E-6</v>
      </c>
      <c r="G827" s="4">
        <v>3.1696009539618203E-5</v>
      </c>
      <c r="H827" s="10" t="s">
        <v>9796</v>
      </c>
      <c r="I827" s="10" t="s">
        <v>18</v>
      </c>
    </row>
    <row r="828" spans="1:9" x14ac:dyDescent="0.2">
      <c r="A828" s="10" t="s">
        <v>9797</v>
      </c>
      <c r="B828" s="10">
        <v>32.753642127370902</v>
      </c>
      <c r="C828" s="10">
        <v>-3.1080579144676399</v>
      </c>
      <c r="D828" s="10">
        <v>0.70360405372964396</v>
      </c>
      <c r="E828" s="10">
        <v>-4.4173394084251401</v>
      </c>
      <c r="F828" s="4">
        <v>9.9923259519697492E-6</v>
      </c>
      <c r="G828" s="10">
        <v>1.02302384746357E-4</v>
      </c>
      <c r="H828" s="10" t="s">
        <v>9798</v>
      </c>
      <c r="I828" s="10" t="s">
        <v>18</v>
      </c>
    </row>
    <row r="829" spans="1:9" x14ac:dyDescent="0.2">
      <c r="A829" s="10" t="s">
        <v>9799</v>
      </c>
      <c r="B829" s="10">
        <v>35.069391471963897</v>
      </c>
      <c r="C829" s="10">
        <v>-1.92540441940691</v>
      </c>
      <c r="D829" s="10">
        <v>0.63565206721997602</v>
      </c>
      <c r="E829" s="10">
        <v>-3.0290225088509</v>
      </c>
      <c r="F829" s="10">
        <v>2.4534640252136201E-3</v>
      </c>
      <c r="G829" s="10">
        <v>1.3009846801664501E-2</v>
      </c>
      <c r="H829" s="10" t="s">
        <v>9800</v>
      </c>
      <c r="I829" s="10" t="s">
        <v>18</v>
      </c>
    </row>
    <row r="830" spans="1:9" x14ac:dyDescent="0.2">
      <c r="A830" s="10" t="s">
        <v>9801</v>
      </c>
      <c r="B830" s="10">
        <v>38.448597034289001</v>
      </c>
      <c r="C830" s="10">
        <v>-3.3796826459806999</v>
      </c>
      <c r="D830" s="10">
        <v>0.70758433610305804</v>
      </c>
      <c r="E830" s="10">
        <v>-4.7763672449194203</v>
      </c>
      <c r="F830" s="4">
        <v>1.78490293630829E-6</v>
      </c>
      <c r="G830" s="4">
        <v>2.11688983323127E-5</v>
      </c>
      <c r="H830" s="10" t="s">
        <v>9802</v>
      </c>
      <c r="I830" s="10" t="s">
        <v>18</v>
      </c>
    </row>
    <row r="831" spans="1:9" x14ac:dyDescent="0.2">
      <c r="A831" s="10" t="s">
        <v>9803</v>
      </c>
      <c r="B831" s="10">
        <v>120.128866675986</v>
      </c>
      <c r="C831" s="10">
        <v>-1.5530885837220501</v>
      </c>
      <c r="D831" s="10">
        <v>0.40007155684684897</v>
      </c>
      <c r="E831" s="10">
        <v>-3.8820269952772102</v>
      </c>
      <c r="F831" s="10">
        <v>1.03589374380322E-4</v>
      </c>
      <c r="G831" s="10">
        <v>8.3814432696590799E-4</v>
      </c>
      <c r="H831" s="10" t="s">
        <v>9804</v>
      </c>
      <c r="I831" s="10" t="s">
        <v>18</v>
      </c>
    </row>
    <row r="832" spans="1:9" x14ac:dyDescent="0.2">
      <c r="A832" s="10" t="s">
        <v>2521</v>
      </c>
      <c r="B832" s="10">
        <v>3066.5255361008199</v>
      </c>
      <c r="C832" s="10">
        <v>-1.59352710373759</v>
      </c>
      <c r="D832" s="10">
        <v>0.26171371338291999</v>
      </c>
      <c r="E832" s="10">
        <v>-6.08881775104408</v>
      </c>
      <c r="F832" s="4">
        <v>1.13747512799294E-9</v>
      </c>
      <c r="G832" s="4">
        <v>2.2964034385764298E-8</v>
      </c>
      <c r="H832" s="10" t="s">
        <v>2522</v>
      </c>
      <c r="I832" s="10" t="s">
        <v>18</v>
      </c>
    </row>
    <row r="833" spans="1:9" x14ac:dyDescent="0.2">
      <c r="A833" s="10" t="s">
        <v>2525</v>
      </c>
      <c r="B833" s="10">
        <v>83.197387476143504</v>
      </c>
      <c r="C833" s="10">
        <v>-2.3775481210334002</v>
      </c>
      <c r="D833" s="10">
        <v>0.48868540470973698</v>
      </c>
      <c r="E833" s="10">
        <v>-4.8651915897622997</v>
      </c>
      <c r="F833" s="4">
        <v>1.1434598678763199E-6</v>
      </c>
      <c r="G833" s="4">
        <v>1.40860592440886E-5</v>
      </c>
      <c r="H833" s="10" t="s">
        <v>2526</v>
      </c>
      <c r="I833" s="10" t="s">
        <v>18</v>
      </c>
    </row>
    <row r="834" spans="1:9" x14ac:dyDescent="0.2">
      <c r="A834" s="10" t="s">
        <v>2527</v>
      </c>
      <c r="B834" s="10">
        <v>1813.6943258993099</v>
      </c>
      <c r="C834" s="10">
        <v>-2.3317557728958902</v>
      </c>
      <c r="D834" s="10">
        <v>0.28291325394690198</v>
      </c>
      <c r="E834" s="10">
        <v>-8.2419460395217694</v>
      </c>
      <c r="F834" s="4">
        <v>1.69431981895747E-16</v>
      </c>
      <c r="G834" s="4">
        <v>7.1751877181607907E-15</v>
      </c>
      <c r="H834" s="10" t="s">
        <v>2528</v>
      </c>
      <c r="I834" s="10" t="s">
        <v>18</v>
      </c>
    </row>
    <row r="835" spans="1:9" x14ac:dyDescent="0.2">
      <c r="A835" s="10" t="s">
        <v>9805</v>
      </c>
      <c r="B835" s="10">
        <v>3566.84128842364</v>
      </c>
      <c r="C835" s="10">
        <v>-1.00325681652027</v>
      </c>
      <c r="D835" s="10">
        <v>0.24837298899700699</v>
      </c>
      <c r="E835" s="10">
        <v>-4.0393153078830197</v>
      </c>
      <c r="F835" s="4">
        <v>5.3607460693849202E-5</v>
      </c>
      <c r="G835" s="10">
        <v>4.67416178077566E-4</v>
      </c>
      <c r="H835" s="10" t="s">
        <v>9806</v>
      </c>
      <c r="I835" s="10" t="s">
        <v>18</v>
      </c>
    </row>
    <row r="836" spans="1:9" x14ac:dyDescent="0.2">
      <c r="A836" s="10" t="s">
        <v>9807</v>
      </c>
      <c r="B836" s="10">
        <v>18.696881346032299</v>
      </c>
      <c r="C836" s="10">
        <v>-3.2297021076393402</v>
      </c>
      <c r="D836" s="10">
        <v>0.95086571727906699</v>
      </c>
      <c r="E836" s="10">
        <v>-3.3965911789113998</v>
      </c>
      <c r="F836" s="10">
        <v>6.8230821571177197E-4</v>
      </c>
      <c r="G836" s="10">
        <v>4.3963788847924202E-3</v>
      </c>
      <c r="H836" s="10" t="s">
        <v>9808</v>
      </c>
      <c r="I836" s="10" t="s">
        <v>18</v>
      </c>
    </row>
    <row r="837" spans="1:9" x14ac:dyDescent="0.2">
      <c r="A837" s="10" t="s">
        <v>9809</v>
      </c>
      <c r="B837" s="10">
        <v>34.515016493688996</v>
      </c>
      <c r="C837" s="10">
        <v>-3.1087834366925802</v>
      </c>
      <c r="D837" s="10">
        <v>0.70799706071780699</v>
      </c>
      <c r="E837" s="10">
        <v>-4.3909552866514998</v>
      </c>
      <c r="F837" s="4">
        <v>1.1285374821438701E-5</v>
      </c>
      <c r="G837" s="10">
        <v>1.13960802054988E-4</v>
      </c>
      <c r="H837" s="10" t="s">
        <v>9810</v>
      </c>
      <c r="I837" s="10" t="s">
        <v>18</v>
      </c>
    </row>
    <row r="838" spans="1:9" x14ac:dyDescent="0.2">
      <c r="A838" s="10" t="s">
        <v>2535</v>
      </c>
      <c r="B838" s="10">
        <v>1659.5525191982899</v>
      </c>
      <c r="C838" s="10">
        <v>5.2818883196777104</v>
      </c>
      <c r="D838" s="10">
        <v>0.26738370629722302</v>
      </c>
      <c r="E838" s="10">
        <v>19.753964790234299</v>
      </c>
      <c r="F838" s="4">
        <v>7.4160650692797896E-87</v>
      </c>
      <c r="G838" s="4">
        <v>7.1750429545281997E-84</v>
      </c>
      <c r="H838" s="10" t="s">
        <v>2536</v>
      </c>
      <c r="I838" s="10" t="s">
        <v>18</v>
      </c>
    </row>
    <row r="839" spans="1:9" x14ac:dyDescent="0.2">
      <c r="A839" s="10" t="s">
        <v>2537</v>
      </c>
      <c r="B839" s="10">
        <v>1524.1404021258199</v>
      </c>
      <c r="C839" s="10">
        <v>-1.03547062620691</v>
      </c>
      <c r="D839" s="10">
        <v>0.25303979590545</v>
      </c>
      <c r="E839" s="10">
        <v>-4.0921255982747402</v>
      </c>
      <c r="F839" s="4">
        <v>4.2743702013211303E-5</v>
      </c>
      <c r="G839" s="10">
        <v>3.80608079342418E-4</v>
      </c>
      <c r="H839" s="10" t="s">
        <v>2538</v>
      </c>
      <c r="I839" s="10" t="s">
        <v>18</v>
      </c>
    </row>
    <row r="840" spans="1:9" x14ac:dyDescent="0.2">
      <c r="A840" s="10" t="s">
        <v>9811</v>
      </c>
      <c r="B840" s="10">
        <v>434.14132044548001</v>
      </c>
      <c r="C840" s="10">
        <v>-1.8079834773244701</v>
      </c>
      <c r="D840" s="10">
        <v>0.293803102714223</v>
      </c>
      <c r="E840" s="10">
        <v>-6.1537249287767501</v>
      </c>
      <c r="F840" s="4">
        <v>7.5683908113246804E-10</v>
      </c>
      <c r="G840" s="4">
        <v>1.5734121558584499E-8</v>
      </c>
      <c r="H840" s="10" t="s">
        <v>9812</v>
      </c>
      <c r="I840" s="10" t="s">
        <v>18</v>
      </c>
    </row>
    <row r="841" spans="1:9" x14ac:dyDescent="0.2">
      <c r="A841" s="10" t="s">
        <v>9813</v>
      </c>
      <c r="B841" s="10">
        <v>779.84600985772704</v>
      </c>
      <c r="C841" s="10">
        <v>2.1293369459892202</v>
      </c>
      <c r="D841" s="10">
        <v>0.26814381270855198</v>
      </c>
      <c r="E841" s="10">
        <v>7.9410258416203501</v>
      </c>
      <c r="F841" s="4">
        <v>2.0051589068494101E-15</v>
      </c>
      <c r="G841" s="4">
        <v>7.5849281656837406E-14</v>
      </c>
      <c r="H841" s="10" t="s">
        <v>9814</v>
      </c>
      <c r="I841" s="10" t="s">
        <v>18</v>
      </c>
    </row>
    <row r="842" spans="1:9" x14ac:dyDescent="0.2">
      <c r="A842" s="10" t="s">
        <v>2545</v>
      </c>
      <c r="B842" s="10">
        <v>3719.3978233032999</v>
      </c>
      <c r="C842" s="10">
        <v>3.8186261897603</v>
      </c>
      <c r="D842" s="10">
        <v>0.24647683173090101</v>
      </c>
      <c r="E842" s="10">
        <v>15.4928402923055</v>
      </c>
      <c r="F842" s="4">
        <v>3.8777374593130799E-54</v>
      </c>
      <c r="G842" s="4">
        <v>1.1212009860807E-51</v>
      </c>
      <c r="H842" s="10" t="s">
        <v>2546</v>
      </c>
      <c r="I842" s="10" t="s">
        <v>18</v>
      </c>
    </row>
    <row r="843" spans="1:9" x14ac:dyDescent="0.2">
      <c r="A843" s="10" t="s">
        <v>9815</v>
      </c>
      <c r="B843" s="10">
        <v>634.53177478546797</v>
      </c>
      <c r="C843" s="10">
        <v>-1.27368971143062</v>
      </c>
      <c r="D843" s="10">
        <v>0.272167052048641</v>
      </c>
      <c r="E843" s="10">
        <v>-4.6798086022660303</v>
      </c>
      <c r="F843" s="4">
        <v>2.8714284953592998E-6</v>
      </c>
      <c r="G843" s="4">
        <v>3.2862583766062398E-5</v>
      </c>
      <c r="H843" s="10" t="s">
        <v>9816</v>
      </c>
      <c r="I843" s="10" t="s">
        <v>18</v>
      </c>
    </row>
    <row r="844" spans="1:9" x14ac:dyDescent="0.2">
      <c r="A844" s="10" t="s">
        <v>9817</v>
      </c>
      <c r="B844" s="10">
        <v>540.20860119658801</v>
      </c>
      <c r="C844" s="10">
        <v>1.5169413855528</v>
      </c>
      <c r="D844" s="10">
        <v>0.26995795509971598</v>
      </c>
      <c r="E844" s="10">
        <v>5.6191764565429203</v>
      </c>
      <c r="F844" s="4">
        <v>1.9186981977995499E-8</v>
      </c>
      <c r="G844" s="4">
        <v>3.2436057234978298E-7</v>
      </c>
      <c r="H844" s="10" t="s">
        <v>9818</v>
      </c>
      <c r="I844" s="10" t="s">
        <v>18</v>
      </c>
    </row>
    <row r="845" spans="1:9" x14ac:dyDescent="0.2">
      <c r="A845" s="10" t="s">
        <v>2547</v>
      </c>
      <c r="B845" s="10">
        <v>2658.7228670212298</v>
      </c>
      <c r="C845" s="10">
        <v>1.6303119419193399</v>
      </c>
      <c r="D845" s="10">
        <v>0.243874619819337</v>
      </c>
      <c r="E845" s="10">
        <v>6.6850414492786401</v>
      </c>
      <c r="F845" s="4">
        <v>2.3085929266870099E-11</v>
      </c>
      <c r="G845" s="4">
        <v>5.6989847959579604E-10</v>
      </c>
      <c r="H845" s="10" t="s">
        <v>2548</v>
      </c>
      <c r="I845" s="10" t="s">
        <v>18</v>
      </c>
    </row>
    <row r="846" spans="1:9" x14ac:dyDescent="0.2">
      <c r="A846" s="10" t="s">
        <v>9819</v>
      </c>
      <c r="B846" s="10">
        <v>989.93847139750301</v>
      </c>
      <c r="C846" s="10">
        <v>1.06966188322442</v>
      </c>
      <c r="D846" s="10">
        <v>0.25181766774060499</v>
      </c>
      <c r="E846" s="10">
        <v>4.2477634425804904</v>
      </c>
      <c r="F846" s="4">
        <v>2.1591519998776101E-5</v>
      </c>
      <c r="G846" s="10">
        <v>2.05033856387019E-4</v>
      </c>
      <c r="H846" s="10" t="s">
        <v>9820</v>
      </c>
      <c r="I846" s="10" t="s">
        <v>18</v>
      </c>
    </row>
    <row r="847" spans="1:9" x14ac:dyDescent="0.2">
      <c r="A847" s="10" t="s">
        <v>2551</v>
      </c>
      <c r="B847" s="10">
        <v>1532.7243714380199</v>
      </c>
      <c r="C847" s="10">
        <v>1.7986705970791199</v>
      </c>
      <c r="D847" s="10">
        <v>0.263691349389852</v>
      </c>
      <c r="E847" s="10">
        <v>6.8211209857320503</v>
      </c>
      <c r="F847" s="4">
        <v>9.0332822885162804E-12</v>
      </c>
      <c r="G847" s="4">
        <v>2.3329796300577698E-10</v>
      </c>
      <c r="H847" s="10" t="s">
        <v>2552</v>
      </c>
      <c r="I847" s="10" t="s">
        <v>18</v>
      </c>
    </row>
    <row r="848" spans="1:9" x14ac:dyDescent="0.2">
      <c r="A848" s="10" t="s">
        <v>2555</v>
      </c>
      <c r="B848" s="10">
        <v>2561.9204481049301</v>
      </c>
      <c r="C848" s="10">
        <v>2.94737577994337</v>
      </c>
      <c r="D848" s="10">
        <v>0.26004940446179298</v>
      </c>
      <c r="E848" s="10">
        <v>11.3339070552511</v>
      </c>
      <c r="F848" s="4">
        <v>8.9137882529551802E-30</v>
      </c>
      <c r="G848" s="4">
        <v>9.0050740362685695E-28</v>
      </c>
      <c r="H848" s="10" t="s">
        <v>2556</v>
      </c>
      <c r="I848" s="10" t="s">
        <v>18</v>
      </c>
    </row>
    <row r="849" spans="1:9" x14ac:dyDescent="0.2">
      <c r="A849" s="10" t="s">
        <v>9821</v>
      </c>
      <c r="B849" s="10">
        <v>2568.6146471533798</v>
      </c>
      <c r="C849" s="10">
        <v>1.3320257421794199</v>
      </c>
      <c r="D849" s="10">
        <v>0.23799445139120701</v>
      </c>
      <c r="E849" s="10">
        <v>5.5968772985799102</v>
      </c>
      <c r="F849" s="4">
        <v>2.18247053516375E-8</v>
      </c>
      <c r="G849" s="4">
        <v>3.6430024095583298E-7</v>
      </c>
      <c r="H849" s="10" t="s">
        <v>9822</v>
      </c>
      <c r="I849" s="10" t="s">
        <v>18</v>
      </c>
    </row>
    <row r="850" spans="1:9" x14ac:dyDescent="0.2">
      <c r="A850" s="10" t="s">
        <v>9823</v>
      </c>
      <c r="B850" s="10">
        <v>6364.9796634021804</v>
      </c>
      <c r="C850" s="10">
        <v>1.49876156634303</v>
      </c>
      <c r="D850" s="10">
        <v>0.25402879761783698</v>
      </c>
      <c r="E850" s="10">
        <v>5.8999671706425199</v>
      </c>
      <c r="F850" s="4">
        <v>3.6357390771343599E-9</v>
      </c>
      <c r="G850" s="4">
        <v>6.8507128453419404E-8</v>
      </c>
      <c r="H850" s="10" t="s">
        <v>9824</v>
      </c>
      <c r="I850" s="10" t="s">
        <v>18</v>
      </c>
    </row>
    <row r="851" spans="1:9" x14ac:dyDescent="0.2">
      <c r="A851" s="10" t="s">
        <v>9825</v>
      </c>
      <c r="B851" s="10">
        <v>498.26471266938597</v>
      </c>
      <c r="C851" s="10">
        <v>-1.01612529147925</v>
      </c>
      <c r="D851" s="10">
        <v>0.28300715004232202</v>
      </c>
      <c r="E851" s="10">
        <v>-3.59045801961997</v>
      </c>
      <c r="F851" s="10">
        <v>3.3009739521343902E-4</v>
      </c>
      <c r="G851" s="10">
        <v>2.3298540899534398E-3</v>
      </c>
      <c r="H851" s="10" t="s">
        <v>9826</v>
      </c>
      <c r="I851" s="10" t="s">
        <v>18</v>
      </c>
    </row>
    <row r="852" spans="1:9" x14ac:dyDescent="0.2">
      <c r="A852" s="10" t="s">
        <v>2569</v>
      </c>
      <c r="B852" s="10">
        <v>680.03485557858301</v>
      </c>
      <c r="C852" s="10">
        <v>-1.5691059709341</v>
      </c>
      <c r="D852" s="10">
        <v>0.27103484772384601</v>
      </c>
      <c r="E852" s="10">
        <v>-5.7893144889355304</v>
      </c>
      <c r="F852" s="4">
        <v>7.06742641020779E-9</v>
      </c>
      <c r="G852" s="4">
        <v>1.2790008010703399E-7</v>
      </c>
      <c r="H852" s="10" t="s">
        <v>2570</v>
      </c>
      <c r="I852" s="10" t="s">
        <v>18</v>
      </c>
    </row>
    <row r="853" spans="1:9" x14ac:dyDescent="0.2">
      <c r="A853" s="10" t="s">
        <v>9827</v>
      </c>
      <c r="B853" s="10">
        <v>1390.33540445113</v>
      </c>
      <c r="C853" s="10">
        <v>1.14238016357405</v>
      </c>
      <c r="D853" s="10">
        <v>0.257500101812564</v>
      </c>
      <c r="E853" s="10">
        <v>4.4364260655927596</v>
      </c>
      <c r="F853" s="4">
        <v>9.1464729351216104E-6</v>
      </c>
      <c r="G853" s="4">
        <v>9.4605068537411199E-5</v>
      </c>
      <c r="H853" s="10" t="s">
        <v>9828</v>
      </c>
      <c r="I853" s="10" t="s">
        <v>18</v>
      </c>
    </row>
    <row r="854" spans="1:9" x14ac:dyDescent="0.2">
      <c r="A854" s="10" t="s">
        <v>2571</v>
      </c>
      <c r="B854" s="10">
        <v>147.98113150310499</v>
      </c>
      <c r="C854" s="10">
        <v>6.2810082587340998</v>
      </c>
      <c r="D854" s="10">
        <v>0.62139365631244103</v>
      </c>
      <c r="E854" s="10">
        <v>10.107937528695899</v>
      </c>
      <c r="F854" s="4">
        <v>5.0945453531098096E-24</v>
      </c>
      <c r="G854" s="4">
        <v>3.6615225244993498E-22</v>
      </c>
      <c r="H854" s="10" t="s">
        <v>2572</v>
      </c>
      <c r="I854" s="10" t="s">
        <v>18</v>
      </c>
    </row>
    <row r="855" spans="1:9" x14ac:dyDescent="0.2">
      <c r="A855" s="10" t="s">
        <v>2575</v>
      </c>
      <c r="B855" s="10">
        <v>2821.7554936608599</v>
      </c>
      <c r="C855" s="10">
        <v>-1.1219802505940799</v>
      </c>
      <c r="D855" s="10">
        <v>0.25068719170270898</v>
      </c>
      <c r="E855" s="10">
        <v>-4.4756185705915001</v>
      </c>
      <c r="F855" s="4">
        <v>7.6190400799186899E-6</v>
      </c>
      <c r="G855" s="4">
        <v>8.0528131600989301E-5</v>
      </c>
      <c r="H855" s="10" t="s">
        <v>2576</v>
      </c>
      <c r="I855" s="10" t="s">
        <v>18</v>
      </c>
    </row>
    <row r="856" spans="1:9" x14ac:dyDescent="0.2">
      <c r="A856" s="10" t="s">
        <v>9829</v>
      </c>
      <c r="B856" s="10">
        <v>593.35335628122698</v>
      </c>
      <c r="C856" s="10">
        <v>-1.54614067102736</v>
      </c>
      <c r="D856" s="10">
        <v>0.28248717568116</v>
      </c>
      <c r="E856" s="10">
        <v>-5.4733127877368704</v>
      </c>
      <c r="F856" s="4">
        <v>4.4169947683602497E-8</v>
      </c>
      <c r="G856" s="4">
        <v>6.9995609129661202E-7</v>
      </c>
      <c r="H856" s="10" t="s">
        <v>9830</v>
      </c>
      <c r="I856" s="10" t="s">
        <v>18</v>
      </c>
    </row>
    <row r="857" spans="1:9" x14ac:dyDescent="0.2">
      <c r="A857" s="10" t="s">
        <v>9831</v>
      </c>
      <c r="B857" s="10">
        <v>40.8720238833968</v>
      </c>
      <c r="C857" s="10">
        <v>-1.75337205733859</v>
      </c>
      <c r="D857" s="10">
        <v>0.56904460323896899</v>
      </c>
      <c r="E857" s="10">
        <v>-3.0812559285484902</v>
      </c>
      <c r="F857" s="10">
        <v>2.0612939151944299E-3</v>
      </c>
      <c r="G857" s="10">
        <v>1.12379385428513E-2</v>
      </c>
      <c r="H857" s="10" t="s">
        <v>9832</v>
      </c>
      <c r="I857" s="10" t="s">
        <v>18</v>
      </c>
    </row>
    <row r="858" spans="1:9" x14ac:dyDescent="0.2">
      <c r="A858" s="10" t="s">
        <v>9833</v>
      </c>
      <c r="B858" s="10">
        <v>2794.8238490102899</v>
      </c>
      <c r="C858" s="10">
        <v>-1.5956193836421799</v>
      </c>
      <c r="D858" s="10">
        <v>0.24520045147696401</v>
      </c>
      <c r="E858" s="10">
        <v>-6.5074080167103103</v>
      </c>
      <c r="F858" s="4">
        <v>7.6458538533604206E-11</v>
      </c>
      <c r="G858" s="4">
        <v>1.77919938650584E-9</v>
      </c>
      <c r="H858" s="10" t="s">
        <v>9834</v>
      </c>
      <c r="I858" s="10" t="s">
        <v>18</v>
      </c>
    </row>
    <row r="859" spans="1:9" x14ac:dyDescent="0.2">
      <c r="A859" s="10" t="s">
        <v>9835</v>
      </c>
      <c r="B859" s="10">
        <v>425.90488461586602</v>
      </c>
      <c r="C859" s="10">
        <v>-1.0363969600354099</v>
      </c>
      <c r="D859" s="10">
        <v>0.28323930757799198</v>
      </c>
      <c r="E859" s="10">
        <v>-3.6590859118310499</v>
      </c>
      <c r="F859" s="10">
        <v>2.5311648149388199E-4</v>
      </c>
      <c r="G859" s="10">
        <v>1.83862116430222E-3</v>
      </c>
      <c r="H859" s="10" t="s">
        <v>9836</v>
      </c>
      <c r="I859" s="10" t="s">
        <v>18</v>
      </c>
    </row>
    <row r="860" spans="1:9" x14ac:dyDescent="0.2">
      <c r="A860" s="10" t="s">
        <v>2587</v>
      </c>
      <c r="B860" s="10">
        <v>187.95861134278201</v>
      </c>
      <c r="C860" s="10">
        <v>-1.57475358731226</v>
      </c>
      <c r="D860" s="10">
        <v>0.34881382230454899</v>
      </c>
      <c r="E860" s="10">
        <v>-4.5145962878080503</v>
      </c>
      <c r="F860" s="4">
        <v>6.3437495047448697E-6</v>
      </c>
      <c r="G860" s="4">
        <v>6.8137070363730699E-5</v>
      </c>
      <c r="H860" s="10" t="s">
        <v>2588</v>
      </c>
      <c r="I860" s="10" t="s">
        <v>18</v>
      </c>
    </row>
    <row r="861" spans="1:9" x14ac:dyDescent="0.2">
      <c r="A861" s="10" t="s">
        <v>2591</v>
      </c>
      <c r="B861" s="10">
        <v>703.99156843829405</v>
      </c>
      <c r="C861" s="10">
        <v>-1.1066755619248001</v>
      </c>
      <c r="D861" s="10">
        <v>0.26855844128922601</v>
      </c>
      <c r="E861" s="10">
        <v>-4.1207997656381901</v>
      </c>
      <c r="F861" s="4">
        <v>3.7755946373226902E-5</v>
      </c>
      <c r="G861" s="10">
        <v>3.4029051630903701E-4</v>
      </c>
      <c r="H861" s="10" t="s">
        <v>2592</v>
      </c>
      <c r="I861" s="10" t="s">
        <v>18</v>
      </c>
    </row>
    <row r="862" spans="1:9" x14ac:dyDescent="0.2">
      <c r="A862" s="10" t="s">
        <v>9837</v>
      </c>
      <c r="B862" s="10">
        <v>133.512540974757</v>
      </c>
      <c r="C862" s="10">
        <v>1.0447162166877599</v>
      </c>
      <c r="D862" s="10">
        <v>0.376703367285181</v>
      </c>
      <c r="E862" s="10">
        <v>2.7733126576935101</v>
      </c>
      <c r="F862" s="10">
        <v>5.5488779762452103E-3</v>
      </c>
      <c r="G862" s="10">
        <v>2.58007440836318E-2</v>
      </c>
      <c r="H862" s="10" t="s">
        <v>9838</v>
      </c>
      <c r="I862" s="10" t="s">
        <v>18</v>
      </c>
    </row>
    <row r="863" spans="1:9" x14ac:dyDescent="0.2">
      <c r="A863" s="10" t="s">
        <v>9839</v>
      </c>
      <c r="B863" s="10">
        <v>617.75590928485201</v>
      </c>
      <c r="C863" s="10">
        <v>-1.0795048247827299</v>
      </c>
      <c r="D863" s="10">
        <v>0.298482864610712</v>
      </c>
      <c r="E863" s="10">
        <v>-3.6166391869451102</v>
      </c>
      <c r="F863" s="10">
        <v>2.9845286587591599E-4</v>
      </c>
      <c r="G863" s="10">
        <v>2.13465505860355E-3</v>
      </c>
      <c r="H863" s="10" t="s">
        <v>9840</v>
      </c>
      <c r="I863" s="10" t="s">
        <v>18</v>
      </c>
    </row>
    <row r="864" spans="1:9" x14ac:dyDescent="0.2">
      <c r="A864" s="10" t="s">
        <v>9841</v>
      </c>
      <c r="B864" s="10">
        <v>1389.62400387086</v>
      </c>
      <c r="C864" s="10">
        <v>-1.3560874177417399</v>
      </c>
      <c r="D864" s="10">
        <v>0.28300649705554698</v>
      </c>
      <c r="E864" s="10">
        <v>-4.7917183239633196</v>
      </c>
      <c r="F864" s="4">
        <v>1.6535894896017801E-6</v>
      </c>
      <c r="G864" s="4">
        <v>1.9704426153923601E-5</v>
      </c>
      <c r="H864" s="10" t="s">
        <v>9842</v>
      </c>
      <c r="I864" s="10" t="s">
        <v>18</v>
      </c>
    </row>
    <row r="865" spans="1:9" x14ac:dyDescent="0.2">
      <c r="A865" s="10" t="s">
        <v>2599</v>
      </c>
      <c r="B865" s="10">
        <v>34.168847209708701</v>
      </c>
      <c r="C865" s="10">
        <v>-2.4769178563811098</v>
      </c>
      <c r="D865" s="10">
        <v>0.68251473940059504</v>
      </c>
      <c r="E865" s="10">
        <v>-3.6291052975008502</v>
      </c>
      <c r="F865" s="10">
        <v>2.8440522317609203E-4</v>
      </c>
      <c r="G865" s="10">
        <v>2.0440609682841702E-3</v>
      </c>
      <c r="H865" s="10" t="s">
        <v>2600</v>
      </c>
      <c r="I865" s="10" t="s">
        <v>18</v>
      </c>
    </row>
    <row r="866" spans="1:9" x14ac:dyDescent="0.2">
      <c r="A866" s="10" t="s">
        <v>2601</v>
      </c>
      <c r="B866" s="10">
        <v>180.80554602201201</v>
      </c>
      <c r="C866" s="10">
        <v>-2.5469411555956598</v>
      </c>
      <c r="D866" s="10">
        <v>0.36332142787054</v>
      </c>
      <c r="E866" s="10">
        <v>-7.0101594902439803</v>
      </c>
      <c r="F866" s="4">
        <v>2.3804660948170499E-12</v>
      </c>
      <c r="G866" s="4">
        <v>6.5730652705952696E-11</v>
      </c>
      <c r="H866" s="10" t="s">
        <v>2602</v>
      </c>
      <c r="I866" s="10" t="s">
        <v>18</v>
      </c>
    </row>
    <row r="867" spans="1:9" x14ac:dyDescent="0.2">
      <c r="A867" s="10" t="s">
        <v>9843</v>
      </c>
      <c r="B867" s="10">
        <v>1213.8221319366601</v>
      </c>
      <c r="C867" s="10">
        <v>3.4329742486636201</v>
      </c>
      <c r="D867" s="10">
        <v>0.28176358426453602</v>
      </c>
      <c r="E867" s="10">
        <v>12.1838819506234</v>
      </c>
      <c r="F867" s="4">
        <v>3.78812671447005E-34</v>
      </c>
      <c r="G867" s="4">
        <v>4.6257440535191298E-32</v>
      </c>
      <c r="H867" s="10" t="s">
        <v>9844</v>
      </c>
      <c r="I867" s="10" t="s">
        <v>18</v>
      </c>
    </row>
    <row r="868" spans="1:9" x14ac:dyDescent="0.2">
      <c r="A868" s="10" t="s">
        <v>2613</v>
      </c>
      <c r="B868" s="10">
        <v>29.460008023379299</v>
      </c>
      <c r="C868" s="10">
        <v>8.3994151504869592</v>
      </c>
      <c r="D868" s="10">
        <v>1.56831887676527</v>
      </c>
      <c r="E868" s="10">
        <v>5.3556807068541801</v>
      </c>
      <c r="F868" s="4">
        <v>8.5234911106300004E-8</v>
      </c>
      <c r="G868" s="4">
        <v>1.29006268885618E-6</v>
      </c>
      <c r="H868" s="10" t="s">
        <v>2614</v>
      </c>
      <c r="I868" s="10" t="s">
        <v>18</v>
      </c>
    </row>
    <row r="869" spans="1:9" x14ac:dyDescent="0.2">
      <c r="A869" s="10" t="s">
        <v>9845</v>
      </c>
      <c r="B869" s="10">
        <v>122.765920757807</v>
      </c>
      <c r="C869" s="10">
        <v>-1.24092821286346</v>
      </c>
      <c r="D869" s="10">
        <v>0.39779257722370098</v>
      </c>
      <c r="E869" s="10">
        <v>-3.1195358684775401</v>
      </c>
      <c r="F869" s="10">
        <v>1.8113620580156901E-3</v>
      </c>
      <c r="G869" s="10">
        <v>1.0085173211461801E-2</v>
      </c>
      <c r="H869" s="10" t="s">
        <v>9846</v>
      </c>
      <c r="I869" s="10" t="s">
        <v>18</v>
      </c>
    </row>
    <row r="870" spans="1:9" x14ac:dyDescent="0.2">
      <c r="A870" s="10" t="s">
        <v>2615</v>
      </c>
      <c r="B870" s="10">
        <v>90.201832080093197</v>
      </c>
      <c r="C870" s="10">
        <v>-1.2206197578417</v>
      </c>
      <c r="D870" s="10">
        <v>0.41264574687472999</v>
      </c>
      <c r="E870" s="10">
        <v>-2.9580330515614102</v>
      </c>
      <c r="F870" s="10">
        <v>3.0960892507064298E-3</v>
      </c>
      <c r="G870" s="10">
        <v>1.58297002238862E-2</v>
      </c>
      <c r="H870" s="10" t="s">
        <v>2616</v>
      </c>
      <c r="I870" s="10" t="s">
        <v>18</v>
      </c>
    </row>
    <row r="871" spans="1:9" x14ac:dyDescent="0.2">
      <c r="A871" s="10" t="s">
        <v>9847</v>
      </c>
      <c r="B871" s="10">
        <v>58.556210518011802</v>
      </c>
      <c r="C871" s="10">
        <v>-1.3328349694544599</v>
      </c>
      <c r="D871" s="10">
        <v>0.49533664167244201</v>
      </c>
      <c r="E871" s="10">
        <v>-2.69076595051459</v>
      </c>
      <c r="F871" s="10">
        <v>7.1288188740563103E-3</v>
      </c>
      <c r="G871" s="10">
        <v>3.1767128215568902E-2</v>
      </c>
      <c r="H871" s="10" t="s">
        <v>9848</v>
      </c>
      <c r="I871" s="10" t="s">
        <v>18</v>
      </c>
    </row>
    <row r="872" spans="1:9" x14ac:dyDescent="0.2">
      <c r="A872" s="10" t="s">
        <v>2621</v>
      </c>
      <c r="B872" s="10">
        <v>1083.61145091248</v>
      </c>
      <c r="C872" s="10">
        <v>2.5114870612803299</v>
      </c>
      <c r="D872" s="10">
        <v>0.254616302488885</v>
      </c>
      <c r="E872" s="10">
        <v>9.8638109057842804</v>
      </c>
      <c r="F872" s="4">
        <v>5.9738042857875599E-23</v>
      </c>
      <c r="G872" s="4">
        <v>3.8829727857619099E-21</v>
      </c>
      <c r="H872" s="10" t="s">
        <v>2622</v>
      </c>
      <c r="I872" s="10" t="s">
        <v>18</v>
      </c>
    </row>
    <row r="873" spans="1:9" x14ac:dyDescent="0.2">
      <c r="A873" s="10" t="s">
        <v>2625</v>
      </c>
      <c r="B873" s="10">
        <v>2174.6647108724601</v>
      </c>
      <c r="C873" s="10">
        <v>-3.5974573019106399</v>
      </c>
      <c r="D873" s="10">
        <v>0.26316898451361298</v>
      </c>
      <c r="E873" s="10">
        <v>-13.669761687758999</v>
      </c>
      <c r="F873" s="4">
        <v>1.5389837251588401E-42</v>
      </c>
      <c r="G873" s="4">
        <v>2.9779335081823598E-40</v>
      </c>
      <c r="H873" s="10" t="s">
        <v>2626</v>
      </c>
      <c r="I873" s="10" t="s">
        <v>18</v>
      </c>
    </row>
    <row r="874" spans="1:9" x14ac:dyDescent="0.2">
      <c r="A874" s="10" t="s">
        <v>2629</v>
      </c>
      <c r="B874" s="10">
        <v>2239.1429201218798</v>
      </c>
      <c r="C874" s="10">
        <v>1.1554568522753601</v>
      </c>
      <c r="D874" s="10">
        <v>0.27402165256673899</v>
      </c>
      <c r="E874" s="10">
        <v>4.2166625938216704</v>
      </c>
      <c r="F874" s="4">
        <v>2.4794453076295899E-5</v>
      </c>
      <c r="G874" s="10">
        <v>2.3350972187728301E-4</v>
      </c>
      <c r="H874" s="10" t="s">
        <v>2630</v>
      </c>
      <c r="I874" s="10" t="s">
        <v>18</v>
      </c>
    </row>
    <row r="875" spans="1:9" x14ac:dyDescent="0.2">
      <c r="A875" s="10" t="s">
        <v>9849</v>
      </c>
      <c r="B875" s="10">
        <v>489.34193317081701</v>
      </c>
      <c r="C875" s="10">
        <v>1.0150383951031301</v>
      </c>
      <c r="D875" s="10">
        <v>0.29481857585742099</v>
      </c>
      <c r="E875" s="10">
        <v>3.4429255081743002</v>
      </c>
      <c r="F875" s="10">
        <v>5.7545779840627396E-4</v>
      </c>
      <c r="G875" s="10">
        <v>3.7825035063783199E-3</v>
      </c>
      <c r="H875" s="10" t="s">
        <v>9850</v>
      </c>
      <c r="I875" s="10" t="s">
        <v>18</v>
      </c>
    </row>
    <row r="876" spans="1:9" x14ac:dyDescent="0.2">
      <c r="A876" s="10" t="s">
        <v>9851</v>
      </c>
      <c r="B876" s="10">
        <v>582.10938375271303</v>
      </c>
      <c r="C876" s="10">
        <v>-3.7168808461060401</v>
      </c>
      <c r="D876" s="10">
        <v>0.286440767330505</v>
      </c>
      <c r="E876" s="10">
        <v>-12.976088846380501</v>
      </c>
      <c r="F876" s="4">
        <v>1.6720320358217899E-38</v>
      </c>
      <c r="G876" s="4">
        <v>2.5962941889566099E-36</v>
      </c>
      <c r="H876" s="10" t="s">
        <v>9852</v>
      </c>
      <c r="I876" s="10" t="s">
        <v>18</v>
      </c>
    </row>
    <row r="877" spans="1:9" x14ac:dyDescent="0.2">
      <c r="A877" s="10" t="s">
        <v>2631</v>
      </c>
      <c r="B877" s="10">
        <v>10412.373262658301</v>
      </c>
      <c r="C877" s="10">
        <v>2.1071840097604499</v>
      </c>
      <c r="D877" s="10">
        <v>0.23422783262828401</v>
      </c>
      <c r="E877" s="10">
        <v>8.9963006791960396</v>
      </c>
      <c r="F877" s="4">
        <v>2.3345132693923998E-19</v>
      </c>
      <c r="G877" s="4">
        <v>1.20091372784388E-17</v>
      </c>
      <c r="H877" s="10" t="s">
        <v>2632</v>
      </c>
      <c r="I877" s="10" t="s">
        <v>18</v>
      </c>
    </row>
    <row r="878" spans="1:9" x14ac:dyDescent="0.2">
      <c r="A878" s="10" t="s">
        <v>2635</v>
      </c>
      <c r="B878" s="10">
        <v>2733.5788774620701</v>
      </c>
      <c r="C878" s="10">
        <v>-1.3024607379094699</v>
      </c>
      <c r="D878" s="10">
        <v>0.243292503811533</v>
      </c>
      <c r="E878" s="10">
        <v>-5.3534766484972698</v>
      </c>
      <c r="F878" s="4">
        <v>8.6280174356019804E-8</v>
      </c>
      <c r="G878" s="4">
        <v>1.3035302017571601E-6</v>
      </c>
      <c r="H878" s="10" t="s">
        <v>2636</v>
      </c>
      <c r="I878" s="10" t="s">
        <v>18</v>
      </c>
    </row>
    <row r="879" spans="1:9" x14ac:dyDescent="0.2">
      <c r="A879" s="10" t="s">
        <v>9853</v>
      </c>
      <c r="B879" s="10">
        <v>1876.8287879597101</v>
      </c>
      <c r="C879" s="10">
        <v>-1.64679678866743</v>
      </c>
      <c r="D879" s="10">
        <v>0.263547863270093</v>
      </c>
      <c r="E879" s="10">
        <v>-6.2485681660781998</v>
      </c>
      <c r="F879" s="4">
        <v>4.1423243570605998E-10</v>
      </c>
      <c r="G879" s="4">
        <v>8.89079941995388E-9</v>
      </c>
      <c r="H879" s="10" t="s">
        <v>9854</v>
      </c>
      <c r="I879" s="10" t="s">
        <v>18</v>
      </c>
    </row>
    <row r="880" spans="1:9" x14ac:dyDescent="0.2">
      <c r="A880" s="10" t="s">
        <v>2641</v>
      </c>
      <c r="B880" s="10">
        <v>1054.7995268228899</v>
      </c>
      <c r="C880" s="10">
        <v>5.50973690271457</v>
      </c>
      <c r="D880" s="10">
        <v>0.30204603495140098</v>
      </c>
      <c r="E880" s="10">
        <v>18.241381329839601</v>
      </c>
      <c r="F880" s="4">
        <v>2.4225807078582599E-74</v>
      </c>
      <c r="G880" s="4">
        <v>1.45095280252797E-71</v>
      </c>
      <c r="H880" s="10" t="s">
        <v>2642</v>
      </c>
      <c r="I880" s="10" t="s">
        <v>18</v>
      </c>
    </row>
    <row r="881" spans="1:9" x14ac:dyDescent="0.2">
      <c r="A881" s="10" t="s">
        <v>9855</v>
      </c>
      <c r="B881" s="10">
        <v>51.9696872906582</v>
      </c>
      <c r="C881" s="10">
        <v>-3.0259742442153601</v>
      </c>
      <c r="D881" s="10">
        <v>0.57096820896437295</v>
      </c>
      <c r="E881" s="10">
        <v>-5.2997245673343096</v>
      </c>
      <c r="F881" s="4">
        <v>1.159775070048E-7</v>
      </c>
      <c r="G881" s="4">
        <v>1.7222043616917001E-6</v>
      </c>
      <c r="H881" s="10" t="s">
        <v>9856</v>
      </c>
      <c r="I881" s="10" t="s">
        <v>18</v>
      </c>
    </row>
    <row r="882" spans="1:9" x14ac:dyDescent="0.2">
      <c r="A882" s="10" t="s">
        <v>9857</v>
      </c>
      <c r="B882" s="10">
        <v>708.00198384969997</v>
      </c>
      <c r="C882" s="10">
        <v>-1.0910864945705501</v>
      </c>
      <c r="D882" s="10">
        <v>0.27277501442791302</v>
      </c>
      <c r="E882" s="10">
        <v>-3.9999502771867501</v>
      </c>
      <c r="F882" s="4">
        <v>6.3355793820472998E-5</v>
      </c>
      <c r="G882" s="10">
        <v>5.42448942666439E-4</v>
      </c>
      <c r="H882" s="10" t="s">
        <v>9858</v>
      </c>
      <c r="I882" s="10" t="s">
        <v>18</v>
      </c>
    </row>
    <row r="883" spans="1:9" x14ac:dyDescent="0.2">
      <c r="A883" s="10" t="s">
        <v>2645</v>
      </c>
      <c r="B883" s="10">
        <v>4509.6947714468997</v>
      </c>
      <c r="C883" s="10">
        <v>2.1779828044526202</v>
      </c>
      <c r="D883" s="10">
        <v>0.259650316925298</v>
      </c>
      <c r="E883" s="10">
        <v>8.3881384403594996</v>
      </c>
      <c r="F883" s="4">
        <v>4.9390039748772298E-17</v>
      </c>
      <c r="G883" s="4">
        <v>2.1796604383866102E-15</v>
      </c>
      <c r="H883" s="10" t="s">
        <v>2646</v>
      </c>
      <c r="I883" s="10" t="s">
        <v>18</v>
      </c>
    </row>
    <row r="884" spans="1:9" x14ac:dyDescent="0.2">
      <c r="A884" s="10" t="s">
        <v>2651</v>
      </c>
      <c r="B884" s="10">
        <v>135.22556582036501</v>
      </c>
      <c r="C884" s="10">
        <v>-1.0219793950798799</v>
      </c>
      <c r="D884" s="10">
        <v>0.396658893044813</v>
      </c>
      <c r="E884" s="10">
        <v>-2.5764691350671902</v>
      </c>
      <c r="F884" s="10">
        <v>9.9815116420785208E-3</v>
      </c>
      <c r="G884" s="10">
        <v>4.2241743835209497E-2</v>
      </c>
      <c r="H884" s="10" t="s">
        <v>2652</v>
      </c>
      <c r="I884" s="10" t="s">
        <v>18</v>
      </c>
    </row>
    <row r="885" spans="1:9" x14ac:dyDescent="0.2">
      <c r="A885" s="10" t="s">
        <v>9859</v>
      </c>
      <c r="B885" s="10">
        <v>33.084957092879698</v>
      </c>
      <c r="C885" s="10">
        <v>-2.0689447542713202</v>
      </c>
      <c r="D885" s="10">
        <v>0.660646664354125</v>
      </c>
      <c r="E885" s="10">
        <v>-3.1316963604047001</v>
      </c>
      <c r="F885" s="10">
        <v>1.7379952048511499E-3</v>
      </c>
      <c r="G885" s="10">
        <v>9.7370310418776595E-3</v>
      </c>
      <c r="H885" s="10" t="s">
        <v>9860</v>
      </c>
      <c r="I885" s="10" t="s">
        <v>18</v>
      </c>
    </row>
    <row r="886" spans="1:9" x14ac:dyDescent="0.2">
      <c r="A886" s="10" t="s">
        <v>9861</v>
      </c>
      <c r="B886" s="10">
        <v>4249.8321641156799</v>
      </c>
      <c r="C886" s="10">
        <v>-1.1527861121</v>
      </c>
      <c r="D886" s="10">
        <v>0.23626117616663</v>
      </c>
      <c r="E886" s="10">
        <v>-4.8792871126949802</v>
      </c>
      <c r="F886" s="4">
        <v>1.06469976852676E-6</v>
      </c>
      <c r="G886" s="4">
        <v>1.3232471678503299E-5</v>
      </c>
      <c r="H886" s="10" t="s">
        <v>9862</v>
      </c>
      <c r="I886" s="10" t="s">
        <v>18</v>
      </c>
    </row>
    <row r="887" spans="1:9" x14ac:dyDescent="0.2">
      <c r="A887" s="10" t="s">
        <v>9863</v>
      </c>
      <c r="B887" s="10">
        <v>833.36076951194798</v>
      </c>
      <c r="C887" s="10">
        <v>-1.1022950452661699</v>
      </c>
      <c r="D887" s="10">
        <v>0.256084384224262</v>
      </c>
      <c r="E887" s="10">
        <v>-4.3044211719714003</v>
      </c>
      <c r="F887" s="4">
        <v>1.67422890696206E-5</v>
      </c>
      <c r="G887" s="10">
        <v>1.63174072664202E-4</v>
      </c>
      <c r="H887" s="10" t="s">
        <v>9864</v>
      </c>
      <c r="I887" s="10" t="s">
        <v>18</v>
      </c>
    </row>
    <row r="888" spans="1:9" x14ac:dyDescent="0.2">
      <c r="A888" s="10" t="s">
        <v>9865</v>
      </c>
      <c r="B888" s="10">
        <v>4.5019424986100303</v>
      </c>
      <c r="C888" s="10">
        <v>-5.5598648329560403</v>
      </c>
      <c r="D888" s="10">
        <v>2.0648310284237699</v>
      </c>
      <c r="E888" s="10">
        <v>-2.6926488203735901</v>
      </c>
      <c r="F888" s="10">
        <v>7.0886891359519004E-3</v>
      </c>
      <c r="G888" s="10">
        <v>3.1627523095933002E-2</v>
      </c>
      <c r="H888" s="10" t="s">
        <v>9866</v>
      </c>
      <c r="I888" s="10" t="s">
        <v>18</v>
      </c>
    </row>
    <row r="889" spans="1:9" x14ac:dyDescent="0.2">
      <c r="A889" s="10" t="s">
        <v>9867</v>
      </c>
      <c r="B889" s="10">
        <v>31.395441430638002</v>
      </c>
      <c r="C889" s="10">
        <v>-3.35835729013003</v>
      </c>
      <c r="D889" s="10">
        <v>0.75368237325046705</v>
      </c>
      <c r="E889" s="10">
        <v>-4.45593184785014</v>
      </c>
      <c r="F889" s="4">
        <v>8.3529566905877906E-6</v>
      </c>
      <c r="G889" s="4">
        <v>8.7367411871823599E-5</v>
      </c>
      <c r="H889" s="10" t="s">
        <v>9868</v>
      </c>
      <c r="I889" s="10" t="s">
        <v>18</v>
      </c>
    </row>
    <row r="890" spans="1:9" x14ac:dyDescent="0.2">
      <c r="A890" s="10" t="s">
        <v>9869</v>
      </c>
      <c r="B890" s="10">
        <v>3308.2888775839501</v>
      </c>
      <c r="C890" s="10">
        <v>-1.08353246517892</v>
      </c>
      <c r="D890" s="10">
        <v>0.238904625332446</v>
      </c>
      <c r="E890" s="10">
        <v>-4.5354185322746901</v>
      </c>
      <c r="F890" s="4">
        <v>5.7489366440787297E-6</v>
      </c>
      <c r="G890" s="4">
        <v>6.2333836759396704E-5</v>
      </c>
      <c r="H890" s="10" t="s">
        <v>9870</v>
      </c>
      <c r="I890" s="10" t="s">
        <v>18</v>
      </c>
    </row>
    <row r="891" spans="1:9" x14ac:dyDescent="0.2">
      <c r="A891" s="10" t="s">
        <v>2667</v>
      </c>
      <c r="B891" s="10">
        <v>1911.1632714976399</v>
      </c>
      <c r="C891" s="10">
        <v>5.5138218572737898</v>
      </c>
      <c r="D891" s="10">
        <v>0.315357759120105</v>
      </c>
      <c r="E891" s="10">
        <v>17.484338652894301</v>
      </c>
      <c r="F891" s="4">
        <v>1.88588184001364E-68</v>
      </c>
      <c r="G891" s="4">
        <v>9.3018348403025701E-66</v>
      </c>
      <c r="H891" s="10" t="s">
        <v>2668</v>
      </c>
      <c r="I891" s="10" t="s">
        <v>18</v>
      </c>
    </row>
    <row r="892" spans="1:9" x14ac:dyDescent="0.2">
      <c r="A892" s="10" t="s">
        <v>2675</v>
      </c>
      <c r="B892" s="10">
        <v>304.30311377723001</v>
      </c>
      <c r="C892" s="10">
        <v>1.01829730624869</v>
      </c>
      <c r="D892" s="10">
        <v>0.30887624690813498</v>
      </c>
      <c r="E892" s="10">
        <v>3.2967808837419099</v>
      </c>
      <c r="F892" s="10">
        <v>9.7799768054874689E-4</v>
      </c>
      <c r="G892" s="10">
        <v>5.9843180866464901E-3</v>
      </c>
      <c r="H892" s="10" t="s">
        <v>2676</v>
      </c>
      <c r="I892" s="10" t="s">
        <v>18</v>
      </c>
    </row>
    <row r="893" spans="1:9" x14ac:dyDescent="0.2">
      <c r="A893" s="10" t="s">
        <v>2677</v>
      </c>
      <c r="B893" s="10">
        <v>464.440206492747</v>
      </c>
      <c r="C893" s="10">
        <v>1.0624154931793801</v>
      </c>
      <c r="D893" s="10">
        <v>0.29767246838415001</v>
      </c>
      <c r="E893" s="10">
        <v>3.5690754302756802</v>
      </c>
      <c r="F893" s="10">
        <v>3.58243278313353E-4</v>
      </c>
      <c r="G893" s="10">
        <v>2.5032249072145501E-3</v>
      </c>
      <c r="H893" s="10" t="s">
        <v>2678</v>
      </c>
      <c r="I893" s="10" t="s">
        <v>18</v>
      </c>
    </row>
    <row r="894" spans="1:9" x14ac:dyDescent="0.2">
      <c r="A894" s="10" t="s">
        <v>9871</v>
      </c>
      <c r="B894" s="10">
        <v>265.468712100728</v>
      </c>
      <c r="C894" s="10">
        <v>-2.2962080622980801</v>
      </c>
      <c r="D894" s="10">
        <v>0.32020198554503798</v>
      </c>
      <c r="E894" s="10">
        <v>-7.17112374674862</v>
      </c>
      <c r="F894" s="4">
        <v>7.4384627278860703E-13</v>
      </c>
      <c r="G894" s="4">
        <v>2.17575034790668E-11</v>
      </c>
      <c r="H894" s="10" t="s">
        <v>9872</v>
      </c>
      <c r="I894" s="10" t="s">
        <v>18</v>
      </c>
    </row>
    <row r="895" spans="1:9" x14ac:dyDescent="0.2">
      <c r="A895" s="10" t="s">
        <v>2681</v>
      </c>
      <c r="B895" s="10">
        <v>1404.5650969616299</v>
      </c>
      <c r="C895" s="10">
        <v>1.23647144503225</v>
      </c>
      <c r="D895" s="10">
        <v>0.27613073718567099</v>
      </c>
      <c r="E895" s="10">
        <v>4.4778479123128001</v>
      </c>
      <c r="F895" s="4">
        <v>7.5399285015436998E-6</v>
      </c>
      <c r="G895" s="4">
        <v>7.9758999771375894E-5</v>
      </c>
      <c r="H895" s="10" t="s">
        <v>2682</v>
      </c>
      <c r="I895" s="10" t="s">
        <v>18</v>
      </c>
    </row>
    <row r="896" spans="1:9" x14ac:dyDescent="0.2">
      <c r="A896" s="10" t="s">
        <v>2683</v>
      </c>
      <c r="B896" s="10">
        <v>25.619916643120799</v>
      </c>
      <c r="C896" s="10">
        <v>4.7250470548937997</v>
      </c>
      <c r="D896" s="10">
        <v>1.0020038477381199</v>
      </c>
      <c r="E896" s="10">
        <v>4.71559771507855</v>
      </c>
      <c r="F896" s="4">
        <v>2.4100219481811098E-6</v>
      </c>
      <c r="G896" s="4">
        <v>2.8001894737411499E-5</v>
      </c>
      <c r="H896" s="10" t="s">
        <v>2684</v>
      </c>
      <c r="I896" s="10" t="s">
        <v>18</v>
      </c>
    </row>
    <row r="897" spans="1:9" x14ac:dyDescent="0.2">
      <c r="A897" s="10" t="s">
        <v>9873</v>
      </c>
      <c r="B897" s="10">
        <v>38.2865909866305</v>
      </c>
      <c r="C897" s="10">
        <v>2.48746907423088</v>
      </c>
      <c r="D897" s="10">
        <v>0.62821942449067303</v>
      </c>
      <c r="E897" s="10">
        <v>3.95955453979728</v>
      </c>
      <c r="F897" s="4">
        <v>7.5089695012024493E-5</v>
      </c>
      <c r="G897" s="10">
        <v>6.3046771629755502E-4</v>
      </c>
      <c r="H897" s="10" t="s">
        <v>9874</v>
      </c>
      <c r="I897" s="10" t="s">
        <v>18</v>
      </c>
    </row>
    <row r="898" spans="1:9" x14ac:dyDescent="0.2">
      <c r="A898" s="10" t="s">
        <v>9875</v>
      </c>
      <c r="B898" s="10">
        <v>16.859206528340401</v>
      </c>
      <c r="C898" s="10">
        <v>3.2231166957107402</v>
      </c>
      <c r="D898" s="10">
        <v>0.94312923689279304</v>
      </c>
      <c r="E898" s="10">
        <v>3.41747087210394</v>
      </c>
      <c r="F898" s="10">
        <v>6.3205857124244301E-4</v>
      </c>
      <c r="G898" s="10">
        <v>4.1147601862328298E-3</v>
      </c>
      <c r="H898" s="10" t="s">
        <v>9876</v>
      </c>
      <c r="I898" s="10" t="s">
        <v>18</v>
      </c>
    </row>
    <row r="899" spans="1:9" x14ac:dyDescent="0.2">
      <c r="A899" s="10" t="s">
        <v>9877</v>
      </c>
      <c r="B899" s="10">
        <v>24.1626644042374</v>
      </c>
      <c r="C899" s="10">
        <v>2.3236788251488401</v>
      </c>
      <c r="D899" s="10">
        <v>0.73178341762421995</v>
      </c>
      <c r="E899" s="10">
        <v>3.1753641435232498</v>
      </c>
      <c r="F899" s="10">
        <v>1.49648577500712E-3</v>
      </c>
      <c r="G899" s="10">
        <v>8.5925815271180195E-3</v>
      </c>
      <c r="H899" s="10" t="s">
        <v>9878</v>
      </c>
      <c r="I899" s="10" t="s">
        <v>18</v>
      </c>
    </row>
    <row r="900" spans="1:9" x14ac:dyDescent="0.2">
      <c r="A900" s="10" t="s">
        <v>9879</v>
      </c>
      <c r="B900" s="10">
        <v>24.245932033146001</v>
      </c>
      <c r="C900" s="10">
        <v>2.46340235462374</v>
      </c>
      <c r="D900" s="10">
        <v>0.75252458433773795</v>
      </c>
      <c r="E900" s="10">
        <v>3.2735174450036899</v>
      </c>
      <c r="F900" s="10">
        <v>1.06217833844565E-3</v>
      </c>
      <c r="G900" s="10">
        <v>6.4274948529228397E-3</v>
      </c>
      <c r="H900" s="10" t="s">
        <v>9880</v>
      </c>
      <c r="I900" s="10" t="s">
        <v>18</v>
      </c>
    </row>
    <row r="901" spans="1:9" x14ac:dyDescent="0.2">
      <c r="A901" s="10" t="s">
        <v>9881</v>
      </c>
      <c r="B901" s="10">
        <v>116.471345391296</v>
      </c>
      <c r="C901" s="10">
        <v>-1.6222040483595599</v>
      </c>
      <c r="D901" s="10">
        <v>0.40870347562861098</v>
      </c>
      <c r="E901" s="10">
        <v>-3.9691466921452299</v>
      </c>
      <c r="F901" s="4">
        <v>7.2130469034535795E-5</v>
      </c>
      <c r="G901" s="10">
        <v>6.0846477148348405E-4</v>
      </c>
      <c r="H901" s="10" t="s">
        <v>9882</v>
      </c>
      <c r="I901" s="10" t="s">
        <v>18</v>
      </c>
    </row>
    <row r="902" spans="1:9" x14ac:dyDescent="0.2">
      <c r="A902" s="10" t="s">
        <v>9883</v>
      </c>
      <c r="B902" s="10">
        <v>23.4277044077268</v>
      </c>
      <c r="C902" s="10">
        <v>-3.5368613411558001</v>
      </c>
      <c r="D902" s="10">
        <v>0.88533657626369</v>
      </c>
      <c r="E902" s="10">
        <v>-3.99493417077844</v>
      </c>
      <c r="F902" s="4">
        <v>6.4712230917468794E-5</v>
      </c>
      <c r="G902" s="10">
        <v>5.5237060357276203E-4</v>
      </c>
      <c r="H902" s="10" t="s">
        <v>9884</v>
      </c>
      <c r="I902" s="10" t="s">
        <v>18</v>
      </c>
    </row>
    <row r="903" spans="1:9" x14ac:dyDescent="0.2">
      <c r="A903" s="10" t="s">
        <v>2693</v>
      </c>
      <c r="B903" s="10">
        <v>3762.4472393440601</v>
      </c>
      <c r="C903" s="10">
        <v>1.37884927644449</v>
      </c>
      <c r="D903" s="10">
        <v>0.26320947879937301</v>
      </c>
      <c r="E903" s="10">
        <v>5.2386003829880599</v>
      </c>
      <c r="F903" s="4">
        <v>1.6179896130754601E-7</v>
      </c>
      <c r="G903" s="4">
        <v>2.3485590719511402E-6</v>
      </c>
      <c r="H903" s="10" t="s">
        <v>2694</v>
      </c>
      <c r="I903" s="10" t="s">
        <v>18</v>
      </c>
    </row>
    <row r="904" spans="1:9" x14ac:dyDescent="0.2">
      <c r="A904" s="10" t="s">
        <v>2697</v>
      </c>
      <c r="B904" s="10">
        <v>262.10625942045601</v>
      </c>
      <c r="C904" s="10">
        <v>-2.4522283716391402</v>
      </c>
      <c r="D904" s="10">
        <v>0.37566713270993501</v>
      </c>
      <c r="E904" s="10">
        <v>-6.5276628113553699</v>
      </c>
      <c r="F904" s="4">
        <v>6.6803875627630604E-11</v>
      </c>
      <c r="G904" s="4">
        <v>1.5646661931220201E-9</v>
      </c>
      <c r="H904" s="10" t="s">
        <v>2698</v>
      </c>
      <c r="I904" s="10" t="s">
        <v>18</v>
      </c>
    </row>
    <row r="905" spans="1:9" x14ac:dyDescent="0.2">
      <c r="A905" s="10" t="s">
        <v>9885</v>
      </c>
      <c r="B905" s="10">
        <v>37.946343273800501</v>
      </c>
      <c r="C905" s="10">
        <v>-2.8191252305417098</v>
      </c>
      <c r="D905" s="10">
        <v>0.74256952732579096</v>
      </c>
      <c r="E905" s="10">
        <v>-3.7964461599901602</v>
      </c>
      <c r="F905" s="10">
        <v>1.46785223510976E-4</v>
      </c>
      <c r="G905" s="10">
        <v>1.1375176517001201E-3</v>
      </c>
      <c r="H905" s="10" t="s">
        <v>9886</v>
      </c>
      <c r="I905" s="10" t="s">
        <v>18</v>
      </c>
    </row>
    <row r="906" spans="1:9" x14ac:dyDescent="0.2">
      <c r="A906" s="10" t="s">
        <v>2705</v>
      </c>
      <c r="B906" s="10">
        <v>33.069895419447299</v>
      </c>
      <c r="C906" s="10">
        <v>3.8759043229398298</v>
      </c>
      <c r="D906" s="10">
        <v>0.749957804491997</v>
      </c>
      <c r="E906" s="10">
        <v>5.1681631949483702</v>
      </c>
      <c r="F906" s="4">
        <v>2.3640584508687E-7</v>
      </c>
      <c r="G906" s="4">
        <v>3.32594464941846E-6</v>
      </c>
      <c r="H906" s="10" t="s">
        <v>2706</v>
      </c>
      <c r="I906" s="10" t="s">
        <v>18</v>
      </c>
    </row>
    <row r="907" spans="1:9" x14ac:dyDescent="0.2">
      <c r="A907" s="10" t="s">
        <v>9887</v>
      </c>
      <c r="B907" s="10">
        <v>122.48552598007601</v>
      </c>
      <c r="C907" s="10">
        <v>-1.9825773237651301</v>
      </c>
      <c r="D907" s="10">
        <v>0.427080708933678</v>
      </c>
      <c r="E907" s="10">
        <v>-4.6421607960592901</v>
      </c>
      <c r="F907" s="4">
        <v>3.44784370590683E-6</v>
      </c>
      <c r="G907" s="4">
        <v>3.9015073514208899E-5</v>
      </c>
      <c r="H907" s="10" t="s">
        <v>9888</v>
      </c>
      <c r="I907" s="10" t="s">
        <v>18</v>
      </c>
    </row>
    <row r="908" spans="1:9" x14ac:dyDescent="0.2">
      <c r="A908" s="10" t="s">
        <v>9889</v>
      </c>
      <c r="B908" s="10">
        <v>53.2921286557239</v>
      </c>
      <c r="C908" s="10">
        <v>-1.64730020054624</v>
      </c>
      <c r="D908" s="10">
        <v>0.51098031253723097</v>
      </c>
      <c r="E908" s="10">
        <v>-3.22380365765307</v>
      </c>
      <c r="F908" s="10">
        <v>1.26500100803011E-3</v>
      </c>
      <c r="G908" s="10">
        <v>7.4679888188212496E-3</v>
      </c>
      <c r="H908" s="10" t="s">
        <v>9890</v>
      </c>
      <c r="I908" s="10" t="s">
        <v>18</v>
      </c>
    </row>
    <row r="909" spans="1:9" x14ac:dyDescent="0.2">
      <c r="A909" s="10" t="s">
        <v>2707</v>
      </c>
      <c r="B909" s="10">
        <v>1472.4218466249699</v>
      </c>
      <c r="C909" s="10">
        <v>-1.01812472432837</v>
      </c>
      <c r="D909" s="10">
        <v>0.24793750629696101</v>
      </c>
      <c r="E909" s="10">
        <v>-4.1063763991759199</v>
      </c>
      <c r="F909" s="4">
        <v>4.0191436540820502E-5</v>
      </c>
      <c r="G909" s="10">
        <v>3.59920109001189E-4</v>
      </c>
      <c r="H909" s="10" t="s">
        <v>2708</v>
      </c>
      <c r="I909" s="10" t="s">
        <v>18</v>
      </c>
    </row>
    <row r="910" spans="1:9" x14ac:dyDescent="0.2">
      <c r="A910" s="10" t="s">
        <v>2711</v>
      </c>
      <c r="B910" s="10">
        <v>80.733737750874695</v>
      </c>
      <c r="C910" s="10">
        <v>2.2765589987141301</v>
      </c>
      <c r="D910" s="10">
        <v>0.45102515479979699</v>
      </c>
      <c r="E910" s="10">
        <v>5.0475211293362596</v>
      </c>
      <c r="F910" s="4">
        <v>4.4757928480111199E-7</v>
      </c>
      <c r="G910" s="4">
        <v>5.9919408776859901E-6</v>
      </c>
      <c r="H910" s="10" t="s">
        <v>2712</v>
      </c>
      <c r="I910" s="10" t="s">
        <v>18</v>
      </c>
    </row>
    <row r="911" spans="1:9" x14ac:dyDescent="0.2">
      <c r="A911" s="10" t="s">
        <v>2717</v>
      </c>
      <c r="B911" s="10">
        <v>128.10558007830301</v>
      </c>
      <c r="C911" s="10">
        <v>4.1504607002819496</v>
      </c>
      <c r="D911" s="10">
        <v>0.45001504629324801</v>
      </c>
      <c r="E911" s="10">
        <v>9.2229376205731199</v>
      </c>
      <c r="F911" s="4">
        <v>2.8906999668233498E-20</v>
      </c>
      <c r="G911" s="4">
        <v>1.5842169426022099E-18</v>
      </c>
      <c r="H911" s="10" t="s">
        <v>2718</v>
      </c>
      <c r="I911" s="10" t="s">
        <v>18</v>
      </c>
    </row>
    <row r="912" spans="1:9" x14ac:dyDescent="0.2">
      <c r="A912" s="10" t="s">
        <v>2719</v>
      </c>
      <c r="B912" s="10">
        <v>901.586861498551</v>
      </c>
      <c r="C912" s="10">
        <v>-3.1061070598907699</v>
      </c>
      <c r="D912" s="10">
        <v>0.29018203685868899</v>
      </c>
      <c r="E912" s="10">
        <v>-10.703994959561699</v>
      </c>
      <c r="F912" s="4">
        <v>9.7482708792572594E-27</v>
      </c>
      <c r="G912" s="4">
        <v>8.4850433898863798E-25</v>
      </c>
      <c r="H912" s="10" t="s">
        <v>2720</v>
      </c>
      <c r="I912" s="10" t="s">
        <v>18</v>
      </c>
    </row>
    <row r="913" spans="1:9" x14ac:dyDescent="0.2">
      <c r="A913" s="10" t="s">
        <v>9891</v>
      </c>
      <c r="B913" s="10">
        <v>4487.04207315656</v>
      </c>
      <c r="C913" s="10">
        <v>-1.5043032255981801</v>
      </c>
      <c r="D913" s="10">
        <v>0.31067320877948801</v>
      </c>
      <c r="E913" s="10">
        <v>-4.8420757989013303</v>
      </c>
      <c r="F913" s="4">
        <v>1.28489728286864E-6</v>
      </c>
      <c r="G913" s="4">
        <v>1.5636957499061799E-5</v>
      </c>
      <c r="H913" s="10" t="s">
        <v>9892</v>
      </c>
      <c r="I913" s="10" t="s">
        <v>18</v>
      </c>
    </row>
    <row r="914" spans="1:9" x14ac:dyDescent="0.2">
      <c r="A914" s="10" t="s">
        <v>9893</v>
      </c>
      <c r="B914" s="10">
        <v>623.48909561409198</v>
      </c>
      <c r="C914" s="10">
        <v>-1.4746133033368101</v>
      </c>
      <c r="D914" s="10">
        <v>0.29470604907244002</v>
      </c>
      <c r="E914" s="10">
        <v>-5.0036750449406204</v>
      </c>
      <c r="F914" s="4">
        <v>5.6247543166507898E-7</v>
      </c>
      <c r="G914" s="4">
        <v>7.3966199981888201E-6</v>
      </c>
      <c r="H914" s="10" t="s">
        <v>9894</v>
      </c>
      <c r="I914" s="10" t="s">
        <v>18</v>
      </c>
    </row>
    <row r="915" spans="1:9" x14ac:dyDescent="0.2">
      <c r="A915" s="10" t="s">
        <v>9895</v>
      </c>
      <c r="B915" s="10">
        <v>3056.7301778664</v>
      </c>
      <c r="C915" s="10">
        <v>1.17370139255772</v>
      </c>
      <c r="D915" s="10">
        <v>0.280014534874719</v>
      </c>
      <c r="E915" s="10">
        <v>4.1915731020278804</v>
      </c>
      <c r="F915" s="4">
        <v>2.7702689588960499E-5</v>
      </c>
      <c r="G915" s="10">
        <v>2.5704948602371902E-4</v>
      </c>
      <c r="H915" s="10" t="s">
        <v>9896</v>
      </c>
      <c r="I915" s="10" t="s">
        <v>18</v>
      </c>
    </row>
    <row r="916" spans="1:9" x14ac:dyDescent="0.2">
      <c r="A916" s="10" t="s">
        <v>2731</v>
      </c>
      <c r="B916" s="10">
        <v>1815.4653404363601</v>
      </c>
      <c r="C916" s="10">
        <v>-1.0161457843924699</v>
      </c>
      <c r="D916" s="10">
        <v>0.29015861264795501</v>
      </c>
      <c r="E916" s="10">
        <v>-3.5020355767462399</v>
      </c>
      <c r="F916" s="10">
        <v>4.6171796139170702E-4</v>
      </c>
      <c r="G916" s="10">
        <v>3.1213424667584999E-3</v>
      </c>
      <c r="H916" s="10" t="s">
        <v>2732</v>
      </c>
      <c r="I916" s="10" t="s">
        <v>18</v>
      </c>
    </row>
    <row r="917" spans="1:9" x14ac:dyDescent="0.2">
      <c r="A917" s="10" t="s">
        <v>2735</v>
      </c>
      <c r="B917" s="10">
        <v>10475.9700892295</v>
      </c>
      <c r="C917" s="10">
        <v>3.4640152338557102</v>
      </c>
      <c r="D917" s="10">
        <v>0.247982683252259</v>
      </c>
      <c r="E917" s="10">
        <v>13.9687787406186</v>
      </c>
      <c r="F917" s="4">
        <v>2.4173633545645198E-44</v>
      </c>
      <c r="G917" s="4">
        <v>4.9843258347598703E-42</v>
      </c>
      <c r="H917" s="10" t="s">
        <v>2736</v>
      </c>
      <c r="I917" s="10" t="s">
        <v>18</v>
      </c>
    </row>
    <row r="918" spans="1:9" x14ac:dyDescent="0.2">
      <c r="A918" s="10" t="s">
        <v>9897</v>
      </c>
      <c r="B918" s="10">
        <v>513.42566212933195</v>
      </c>
      <c r="C918" s="10">
        <v>1.78193764199514</v>
      </c>
      <c r="D918" s="10">
        <v>0.29609255692347702</v>
      </c>
      <c r="E918" s="10">
        <v>6.0181777634338296</v>
      </c>
      <c r="F918" s="4">
        <v>1.76391429054133E-9</v>
      </c>
      <c r="G918" s="4">
        <v>3.44765065878532E-8</v>
      </c>
      <c r="H918" s="10" t="s">
        <v>9898</v>
      </c>
      <c r="I918" s="10" t="s">
        <v>18</v>
      </c>
    </row>
    <row r="919" spans="1:9" x14ac:dyDescent="0.2">
      <c r="A919" s="10" t="s">
        <v>2741</v>
      </c>
      <c r="B919" s="10">
        <v>2829.1169247901498</v>
      </c>
      <c r="C919" s="10">
        <v>1.81690702267774</v>
      </c>
      <c r="D919" s="10">
        <v>0.24484008488183401</v>
      </c>
      <c r="E919" s="10">
        <v>7.4207906910121597</v>
      </c>
      <c r="F919" s="4">
        <v>1.1642318113585699E-13</v>
      </c>
      <c r="G919" s="4">
        <v>3.7354912263679602E-12</v>
      </c>
      <c r="H919" s="10" t="s">
        <v>2742</v>
      </c>
      <c r="I919" s="10" t="s">
        <v>18</v>
      </c>
    </row>
    <row r="920" spans="1:9" x14ac:dyDescent="0.2">
      <c r="A920" s="10" t="s">
        <v>2743</v>
      </c>
      <c r="B920" s="10">
        <v>2455.8128958760999</v>
      </c>
      <c r="C920" s="10">
        <v>3.4231455987002599</v>
      </c>
      <c r="D920" s="10">
        <v>0.245694164338534</v>
      </c>
      <c r="E920" s="10">
        <v>13.932547433172299</v>
      </c>
      <c r="F920" s="4">
        <v>4.01765847056686E-44</v>
      </c>
      <c r="G920" s="4">
        <v>8.1503386150894706E-42</v>
      </c>
      <c r="H920" s="10" t="s">
        <v>2744</v>
      </c>
      <c r="I920" s="10" t="s">
        <v>18</v>
      </c>
    </row>
    <row r="921" spans="1:9" x14ac:dyDescent="0.2">
      <c r="A921" s="10" t="s">
        <v>2747</v>
      </c>
      <c r="B921" s="10">
        <v>27.2017625885772</v>
      </c>
      <c r="C921" s="10">
        <v>1.91278847616949</v>
      </c>
      <c r="D921" s="10">
        <v>0.68795269569429596</v>
      </c>
      <c r="E921" s="10">
        <v>2.7804069787662802</v>
      </c>
      <c r="F921" s="10">
        <v>5.4290811264798497E-3</v>
      </c>
      <c r="G921" s="10">
        <v>2.53750530911558E-2</v>
      </c>
      <c r="H921" s="10" t="s">
        <v>2748</v>
      </c>
      <c r="I921" s="10" t="s">
        <v>18</v>
      </c>
    </row>
    <row r="922" spans="1:9" x14ac:dyDescent="0.2">
      <c r="A922" s="10" t="s">
        <v>2749</v>
      </c>
      <c r="B922" s="10">
        <v>4375.5836623572404</v>
      </c>
      <c r="C922" s="10">
        <v>6.3737456411693598</v>
      </c>
      <c r="D922" s="10">
        <v>0.27078727873400998</v>
      </c>
      <c r="E922" s="10">
        <v>23.53783261521</v>
      </c>
      <c r="F922" s="4">
        <v>1.6726379181353899E-122</v>
      </c>
      <c r="G922" s="4">
        <v>6.0107438329565505E-119</v>
      </c>
      <c r="H922" s="10" t="s">
        <v>2750</v>
      </c>
      <c r="I922" s="10" t="s">
        <v>18</v>
      </c>
    </row>
    <row r="923" spans="1:9" x14ac:dyDescent="0.2">
      <c r="A923" s="10" t="s">
        <v>2755</v>
      </c>
      <c r="B923" s="10">
        <v>2259.4295917501599</v>
      </c>
      <c r="C923" s="10">
        <v>1.43968095501808</v>
      </c>
      <c r="D923" s="10">
        <v>0.28833587375521103</v>
      </c>
      <c r="E923" s="10">
        <v>4.99306914629822</v>
      </c>
      <c r="F923" s="4">
        <v>5.9427269189729896E-7</v>
      </c>
      <c r="G923" s="4">
        <v>7.7777989410387795E-6</v>
      </c>
      <c r="H923" s="10" t="s">
        <v>2756</v>
      </c>
      <c r="I923" s="10" t="s">
        <v>18</v>
      </c>
    </row>
    <row r="924" spans="1:9" x14ac:dyDescent="0.2">
      <c r="A924" s="10" t="s">
        <v>9899</v>
      </c>
      <c r="B924" s="10">
        <v>7194.1819345263402</v>
      </c>
      <c r="C924" s="10">
        <v>1.5808535358601301</v>
      </c>
      <c r="D924" s="10">
        <v>0.26262875337069802</v>
      </c>
      <c r="E924" s="10">
        <v>6.0193467606678004</v>
      </c>
      <c r="F924" s="4">
        <v>1.7512235425567201E-9</v>
      </c>
      <c r="G924" s="4">
        <v>3.4255076370928799E-8</v>
      </c>
      <c r="H924" s="10" t="s">
        <v>9900</v>
      </c>
      <c r="I924" s="10" t="s">
        <v>18</v>
      </c>
    </row>
    <row r="925" spans="1:9" x14ac:dyDescent="0.2">
      <c r="A925" s="10" t="s">
        <v>2759</v>
      </c>
      <c r="B925" s="10">
        <v>1800.5961750643801</v>
      </c>
      <c r="C925" s="10">
        <v>1.5177043851880001</v>
      </c>
      <c r="D925" s="10">
        <v>0.30302549887735297</v>
      </c>
      <c r="E925" s="10">
        <v>5.0085038744619998</v>
      </c>
      <c r="F925" s="4">
        <v>5.4854771518862004E-7</v>
      </c>
      <c r="G925" s="4">
        <v>7.2244595683611197E-6</v>
      </c>
      <c r="H925" s="10" t="s">
        <v>2760</v>
      </c>
      <c r="I925" s="10" t="s">
        <v>18</v>
      </c>
    </row>
    <row r="926" spans="1:9" x14ac:dyDescent="0.2">
      <c r="A926" s="10" t="s">
        <v>2761</v>
      </c>
      <c r="B926" s="10">
        <v>1967.6579577105499</v>
      </c>
      <c r="C926" s="10">
        <v>1.0857178410686199</v>
      </c>
      <c r="D926" s="10">
        <v>0.25136253627086802</v>
      </c>
      <c r="E926" s="10">
        <v>4.3193303870018802</v>
      </c>
      <c r="F926" s="4">
        <v>1.5650333741996801E-5</v>
      </c>
      <c r="G926" s="10">
        <v>1.5336351588622101E-4</v>
      </c>
      <c r="H926" s="10" t="s">
        <v>2762</v>
      </c>
      <c r="I926" s="10" t="s">
        <v>18</v>
      </c>
    </row>
    <row r="927" spans="1:9" x14ac:dyDescent="0.2">
      <c r="A927" s="10" t="s">
        <v>2775</v>
      </c>
      <c r="B927" s="10">
        <v>466.35775115599603</v>
      </c>
      <c r="C927" s="10">
        <v>1.5487207064291799</v>
      </c>
      <c r="D927" s="10">
        <v>0.320464527203289</v>
      </c>
      <c r="E927" s="10">
        <v>4.8327367772806102</v>
      </c>
      <c r="F927" s="4">
        <v>1.3466879481283601E-6</v>
      </c>
      <c r="G927" s="4">
        <v>1.6302182548204401E-5</v>
      </c>
      <c r="H927" s="10" t="s">
        <v>2776</v>
      </c>
      <c r="I927" s="10" t="s">
        <v>18</v>
      </c>
    </row>
    <row r="928" spans="1:9" x14ac:dyDescent="0.2">
      <c r="A928" s="10" t="s">
        <v>2777</v>
      </c>
      <c r="B928" s="10">
        <v>884.20954243800895</v>
      </c>
      <c r="C928" s="10">
        <v>1.5851257552323299</v>
      </c>
      <c r="D928" s="10">
        <v>0.26115911243329398</v>
      </c>
      <c r="E928" s="10">
        <v>6.0695785816671801</v>
      </c>
      <c r="F928" s="4">
        <v>1.2824632848171201E-9</v>
      </c>
      <c r="G928" s="4">
        <v>2.57259680459128E-8</v>
      </c>
      <c r="H928" s="10" t="s">
        <v>2778</v>
      </c>
      <c r="I928" s="10" t="s">
        <v>18</v>
      </c>
    </row>
    <row r="929" spans="1:9" x14ac:dyDescent="0.2">
      <c r="A929" s="10" t="s">
        <v>2783</v>
      </c>
      <c r="B929" s="10">
        <v>4697.2389348967699</v>
      </c>
      <c r="C929" s="10">
        <v>1.76013493490997</v>
      </c>
      <c r="D929" s="10">
        <v>0.234394444619414</v>
      </c>
      <c r="E929" s="10">
        <v>7.5092860573888496</v>
      </c>
      <c r="F929" s="4">
        <v>5.9450690145705604E-14</v>
      </c>
      <c r="G929" s="4">
        <v>1.9396655131196199E-12</v>
      </c>
      <c r="H929" s="10" t="s">
        <v>2784</v>
      </c>
      <c r="I929" s="10" t="s">
        <v>18</v>
      </c>
    </row>
    <row r="930" spans="1:9" x14ac:dyDescent="0.2">
      <c r="A930" s="10" t="s">
        <v>2785</v>
      </c>
      <c r="B930" s="10">
        <v>2352.9402719331601</v>
      </c>
      <c r="C930" s="10">
        <v>1.6926011001927801</v>
      </c>
      <c r="D930" s="10">
        <v>0.34737556263602698</v>
      </c>
      <c r="E930" s="10">
        <v>4.8725393558160297</v>
      </c>
      <c r="F930" s="4">
        <v>1.10172899900108E-6</v>
      </c>
      <c r="G930" s="4">
        <v>1.3644956583463599E-5</v>
      </c>
      <c r="H930" s="10" t="s">
        <v>2786</v>
      </c>
      <c r="I930" s="10" t="s">
        <v>18</v>
      </c>
    </row>
    <row r="931" spans="1:9" x14ac:dyDescent="0.2">
      <c r="A931" s="10" t="s">
        <v>2789</v>
      </c>
      <c r="B931" s="10">
        <v>311.41251719157799</v>
      </c>
      <c r="C931" s="10">
        <v>1.2394233869012301</v>
      </c>
      <c r="D931" s="10">
        <v>0.40136758792381599</v>
      </c>
      <c r="E931" s="10">
        <v>3.0880006861353499</v>
      </c>
      <c r="F931" s="10">
        <v>2.01508005680164E-3</v>
      </c>
      <c r="G931" s="10">
        <v>1.10170264787753E-2</v>
      </c>
      <c r="H931" s="10" t="s">
        <v>2790</v>
      </c>
      <c r="I931" s="10" t="s">
        <v>18</v>
      </c>
    </row>
    <row r="932" spans="1:9" x14ac:dyDescent="0.2">
      <c r="A932" s="10" t="s">
        <v>2791</v>
      </c>
      <c r="B932" s="10">
        <v>169.56384119281199</v>
      </c>
      <c r="C932" s="10">
        <v>-1.30987577193315</v>
      </c>
      <c r="D932" s="10">
        <v>0.34397418190082002</v>
      </c>
      <c r="E932" s="10">
        <v>-3.8080642119553998</v>
      </c>
      <c r="F932" s="10">
        <v>1.4005890846560199E-4</v>
      </c>
      <c r="G932" s="10">
        <v>1.09058721881149E-3</v>
      </c>
      <c r="H932" s="10" t="s">
        <v>2792</v>
      </c>
      <c r="I932" s="10" t="s">
        <v>18</v>
      </c>
    </row>
    <row r="933" spans="1:9" x14ac:dyDescent="0.2">
      <c r="A933" s="10" t="s">
        <v>9901</v>
      </c>
      <c r="B933" s="10">
        <v>1464.3194256561601</v>
      </c>
      <c r="C933" s="10">
        <v>1.0948503754325301</v>
      </c>
      <c r="D933" s="10">
        <v>0.25219870894875102</v>
      </c>
      <c r="E933" s="10">
        <v>4.3412211743519302</v>
      </c>
      <c r="F933" s="4">
        <v>1.41693004085662E-5</v>
      </c>
      <c r="G933" s="10">
        <v>1.3999558200215401E-4</v>
      </c>
      <c r="H933" s="10" t="s">
        <v>9902</v>
      </c>
      <c r="I933" s="10" t="s">
        <v>18</v>
      </c>
    </row>
    <row r="934" spans="1:9" x14ac:dyDescent="0.2">
      <c r="A934" s="10" t="s">
        <v>2793</v>
      </c>
      <c r="B934" s="10">
        <v>4555.7354324149301</v>
      </c>
      <c r="C934" s="10">
        <v>-1.33147063356579</v>
      </c>
      <c r="D934" s="10">
        <v>0.296134174181371</v>
      </c>
      <c r="E934" s="10">
        <v>-4.4961735242023098</v>
      </c>
      <c r="F934" s="4">
        <v>6.9187279616988704E-6</v>
      </c>
      <c r="G934" s="4">
        <v>7.3871223207357895E-5</v>
      </c>
      <c r="H934" s="10" t="s">
        <v>2794</v>
      </c>
      <c r="I934" s="10" t="s">
        <v>18</v>
      </c>
    </row>
    <row r="935" spans="1:9" x14ac:dyDescent="0.2">
      <c r="A935" s="10" t="s">
        <v>2795</v>
      </c>
      <c r="B935" s="10">
        <v>72.184159474991404</v>
      </c>
      <c r="C935" s="10">
        <v>-1.7356780884265699</v>
      </c>
      <c r="D935" s="10">
        <v>0.46080813340722199</v>
      </c>
      <c r="E935" s="10">
        <v>-3.7665960355190502</v>
      </c>
      <c r="F935" s="10">
        <v>1.6548844410931899E-4</v>
      </c>
      <c r="G935" s="10">
        <v>1.2607092100454E-3</v>
      </c>
      <c r="H935" s="10" t="s">
        <v>2796</v>
      </c>
      <c r="I935" s="10" t="s">
        <v>18</v>
      </c>
    </row>
    <row r="936" spans="1:9" x14ac:dyDescent="0.2">
      <c r="A936" s="10" t="s">
        <v>2797</v>
      </c>
      <c r="B936" s="10">
        <v>3872.39266116304</v>
      </c>
      <c r="C936" s="10">
        <v>-1.2201120294774399</v>
      </c>
      <c r="D936" s="10">
        <v>0.301412208979699</v>
      </c>
      <c r="E936" s="10">
        <v>-4.0479847634825399</v>
      </c>
      <c r="F936" s="4">
        <v>5.1660508461950302E-5</v>
      </c>
      <c r="G936" s="10">
        <v>4.52321646488117E-4</v>
      </c>
      <c r="H936" s="10" t="s">
        <v>2798</v>
      </c>
      <c r="I936" s="10" t="s">
        <v>18</v>
      </c>
    </row>
    <row r="937" spans="1:9" x14ac:dyDescent="0.2">
      <c r="A937" s="10" t="s">
        <v>9903</v>
      </c>
      <c r="B937" s="10">
        <v>93.119046072103501</v>
      </c>
      <c r="C937" s="10">
        <v>-1.29622762318234</v>
      </c>
      <c r="D937" s="10">
        <v>0.423847079501258</v>
      </c>
      <c r="E937" s="10">
        <v>-3.0582436116054401</v>
      </c>
      <c r="F937" s="10">
        <v>2.2263850319935402E-3</v>
      </c>
      <c r="G937" s="10">
        <v>1.2000153306149E-2</v>
      </c>
      <c r="H937" s="10" t="s">
        <v>9904</v>
      </c>
      <c r="I937" s="10" t="s">
        <v>18</v>
      </c>
    </row>
    <row r="938" spans="1:9" x14ac:dyDescent="0.2">
      <c r="A938" s="10" t="s">
        <v>9905</v>
      </c>
      <c r="B938" s="10">
        <v>1774.4160638297501</v>
      </c>
      <c r="C938" s="10">
        <v>1.06622404259648</v>
      </c>
      <c r="D938" s="10">
        <v>0.26769281309038501</v>
      </c>
      <c r="E938" s="10">
        <v>3.9830133289251899</v>
      </c>
      <c r="F938" s="4">
        <v>6.8046937569222595E-5</v>
      </c>
      <c r="G938" s="10">
        <v>5.7847945743622704E-4</v>
      </c>
      <c r="H938" s="10" t="s">
        <v>9906</v>
      </c>
      <c r="I938" s="10" t="s">
        <v>18</v>
      </c>
    </row>
    <row r="939" spans="1:9" x14ac:dyDescent="0.2">
      <c r="A939" s="10" t="s">
        <v>2811</v>
      </c>
      <c r="B939" s="10">
        <v>571.26959887467103</v>
      </c>
      <c r="C939" s="10">
        <v>4.6922185672082</v>
      </c>
      <c r="D939" s="10">
        <v>0.32375706623451</v>
      </c>
      <c r="E939" s="10">
        <v>14.4930228760148</v>
      </c>
      <c r="F939" s="4">
        <v>1.34108525257756E-47</v>
      </c>
      <c r="G939" s="4">
        <v>3.2128570979608199E-45</v>
      </c>
      <c r="H939" s="10" t="s">
        <v>2812</v>
      </c>
      <c r="I939" s="10" t="s">
        <v>18</v>
      </c>
    </row>
    <row r="940" spans="1:9" x14ac:dyDescent="0.2">
      <c r="A940" s="10" t="s">
        <v>2813</v>
      </c>
      <c r="B940" s="10">
        <v>11.0492509532915</v>
      </c>
      <c r="C940" s="10">
        <v>3.0686000140459799</v>
      </c>
      <c r="D940" s="10">
        <v>1.1215372703372699</v>
      </c>
      <c r="E940" s="10">
        <v>2.7360660186738102</v>
      </c>
      <c r="F940" s="10">
        <v>6.2178550180484599E-3</v>
      </c>
      <c r="G940" s="10">
        <v>2.8402059738334699E-2</v>
      </c>
      <c r="H940" s="10" t="s">
        <v>2814</v>
      </c>
      <c r="I940" s="10" t="s">
        <v>18</v>
      </c>
    </row>
    <row r="941" spans="1:9" x14ac:dyDescent="0.2">
      <c r="A941" s="10" t="s">
        <v>9907</v>
      </c>
      <c r="B941" s="10">
        <v>21.811642648749601</v>
      </c>
      <c r="C941" s="10">
        <v>-3.2622646094082799</v>
      </c>
      <c r="D941" s="10">
        <v>0.85015823857955397</v>
      </c>
      <c r="E941" s="10">
        <v>-3.8372440110195001</v>
      </c>
      <c r="F941" s="10">
        <v>1.24422825847795E-4</v>
      </c>
      <c r="G941" s="10">
        <v>9.8423150446581408E-4</v>
      </c>
      <c r="H941" s="10" t="s">
        <v>9908</v>
      </c>
      <c r="I941" s="10" t="s">
        <v>18</v>
      </c>
    </row>
    <row r="942" spans="1:9" x14ac:dyDescent="0.2">
      <c r="A942" s="10" t="s">
        <v>9909</v>
      </c>
      <c r="B942" s="10">
        <v>46.3711264161374</v>
      </c>
      <c r="C942" s="10">
        <v>-2.8723562205454098</v>
      </c>
      <c r="D942" s="10">
        <v>0.64524267688741899</v>
      </c>
      <c r="E942" s="10">
        <v>-4.4515905773643896</v>
      </c>
      <c r="F942" s="4">
        <v>8.5236565098808701E-6</v>
      </c>
      <c r="G942" s="4">
        <v>8.8894104272824702E-5</v>
      </c>
      <c r="H942" s="10" t="s">
        <v>9910</v>
      </c>
      <c r="I942" s="10" t="s">
        <v>18</v>
      </c>
    </row>
    <row r="943" spans="1:9" x14ac:dyDescent="0.2">
      <c r="A943" s="10" t="s">
        <v>9911</v>
      </c>
      <c r="B943" s="10">
        <v>273.53016076838998</v>
      </c>
      <c r="C943" s="10">
        <v>-1.3586397983004099</v>
      </c>
      <c r="D943" s="10">
        <v>0.31028931163451001</v>
      </c>
      <c r="E943" s="10">
        <v>-4.37862261881825</v>
      </c>
      <c r="F943" s="4">
        <v>1.19431737404457E-5</v>
      </c>
      <c r="G943" s="10">
        <v>1.20028180359933E-4</v>
      </c>
      <c r="H943" s="10" t="s">
        <v>9912</v>
      </c>
      <c r="I943" s="10" t="s">
        <v>18</v>
      </c>
    </row>
    <row r="944" spans="1:9" x14ac:dyDescent="0.2">
      <c r="A944" s="10" t="s">
        <v>9913</v>
      </c>
      <c r="B944" s="10">
        <v>1926.83177826869</v>
      </c>
      <c r="C944" s="10">
        <v>-2.0442313346861498</v>
      </c>
      <c r="D944" s="10">
        <v>0.300365144809292</v>
      </c>
      <c r="E944" s="10">
        <v>-6.8058207485561297</v>
      </c>
      <c r="F944" s="4">
        <v>1.00474752690278E-11</v>
      </c>
      <c r="G944" s="4">
        <v>2.5763938877919999E-10</v>
      </c>
      <c r="H944" s="10" t="s">
        <v>9914</v>
      </c>
      <c r="I944" s="10" t="s">
        <v>18</v>
      </c>
    </row>
    <row r="945" spans="1:9" x14ac:dyDescent="0.2">
      <c r="A945" s="10" t="s">
        <v>2837</v>
      </c>
      <c r="B945" s="10">
        <v>867.97016678229795</v>
      </c>
      <c r="C945" s="10">
        <v>-2.73022313817934</v>
      </c>
      <c r="D945" s="10">
        <v>0.29148503327693398</v>
      </c>
      <c r="E945" s="10">
        <v>-9.36659802901581</v>
      </c>
      <c r="F945" s="4">
        <v>7.4908030391386797E-21</v>
      </c>
      <c r="G945" s="4">
        <v>4.2825261465803101E-19</v>
      </c>
      <c r="H945" s="10" t="s">
        <v>2838</v>
      </c>
      <c r="I945" s="10" t="s">
        <v>18</v>
      </c>
    </row>
    <row r="946" spans="1:9" x14ac:dyDescent="0.2">
      <c r="A946" s="10" t="s">
        <v>2843</v>
      </c>
      <c r="B946" s="10">
        <v>718.85070774765404</v>
      </c>
      <c r="C946" s="10">
        <v>-1.9575311784625899</v>
      </c>
      <c r="D946" s="10">
        <v>0.28576175072104498</v>
      </c>
      <c r="E946" s="10">
        <v>-6.8502211143488099</v>
      </c>
      <c r="F946" s="4">
        <v>7.3735927665818506E-12</v>
      </c>
      <c r="G946" s="4">
        <v>1.9221007880141601E-10</v>
      </c>
      <c r="H946" s="10" t="s">
        <v>2844</v>
      </c>
      <c r="I946" s="10" t="s">
        <v>18</v>
      </c>
    </row>
    <row r="947" spans="1:9" x14ac:dyDescent="0.2">
      <c r="A947" s="10" t="s">
        <v>9915</v>
      </c>
      <c r="B947" s="10">
        <v>32.089474268835602</v>
      </c>
      <c r="C947" s="10">
        <v>2.87938171168061</v>
      </c>
      <c r="D947" s="10">
        <v>0.70805837284265005</v>
      </c>
      <c r="E947" s="10">
        <v>4.0665880414925804</v>
      </c>
      <c r="F947" s="4">
        <v>4.7706467058647502E-5</v>
      </c>
      <c r="G947" s="10">
        <v>4.2062957548555098E-4</v>
      </c>
      <c r="H947" s="10" t="s">
        <v>9916</v>
      </c>
      <c r="I947" s="10" t="s">
        <v>18</v>
      </c>
    </row>
    <row r="948" spans="1:9" x14ac:dyDescent="0.2">
      <c r="A948" s="10" t="s">
        <v>2857</v>
      </c>
      <c r="B948" s="10">
        <v>93.285511024928994</v>
      </c>
      <c r="C948" s="10">
        <v>1.34869976168956</v>
      </c>
      <c r="D948" s="10">
        <v>0.43103853769528</v>
      </c>
      <c r="E948" s="10">
        <v>3.12895401163183</v>
      </c>
      <c r="F948" s="10">
        <v>1.7542976249314401E-3</v>
      </c>
      <c r="G948" s="10">
        <v>9.8152483886010892E-3</v>
      </c>
      <c r="H948" s="10" t="s">
        <v>2858</v>
      </c>
      <c r="I948" s="10" t="s">
        <v>18</v>
      </c>
    </row>
    <row r="949" spans="1:9" x14ac:dyDescent="0.2">
      <c r="A949" s="10" t="s">
        <v>2861</v>
      </c>
      <c r="B949" s="10">
        <v>3428.96350008442</v>
      </c>
      <c r="C949" s="10">
        <v>-1.5870028264514799</v>
      </c>
      <c r="D949" s="10">
        <v>0.25214418169777397</v>
      </c>
      <c r="E949" s="10">
        <v>-6.2940291374785797</v>
      </c>
      <c r="F949" s="4">
        <v>3.09329722276981E-10</v>
      </c>
      <c r="G949" s="4">
        <v>6.73113249470369E-9</v>
      </c>
      <c r="H949" s="10" t="s">
        <v>2862</v>
      </c>
      <c r="I949" s="10" t="s">
        <v>18</v>
      </c>
    </row>
    <row r="950" spans="1:9" x14ac:dyDescent="0.2">
      <c r="A950" s="10" t="s">
        <v>9917</v>
      </c>
      <c r="B950" s="10">
        <v>1270.54233447006</v>
      </c>
      <c r="C950" s="10">
        <v>-1.88794779343215</v>
      </c>
      <c r="D950" s="10">
        <v>0.26083935208738501</v>
      </c>
      <c r="E950" s="10">
        <v>-7.23797148828855</v>
      </c>
      <c r="F950" s="4">
        <v>4.5544515219500703E-13</v>
      </c>
      <c r="G950" s="4">
        <v>1.37535687916751E-11</v>
      </c>
      <c r="H950" s="10" t="s">
        <v>9918</v>
      </c>
      <c r="I950" s="10" t="s">
        <v>18</v>
      </c>
    </row>
    <row r="951" spans="1:9" x14ac:dyDescent="0.2">
      <c r="A951" s="10" t="s">
        <v>9919</v>
      </c>
      <c r="B951" s="10">
        <v>415.62939219353501</v>
      </c>
      <c r="C951" s="10">
        <v>1.57559101188587</v>
      </c>
      <c r="D951" s="10">
        <v>0.28988390949370602</v>
      </c>
      <c r="E951" s="10">
        <v>5.4352482503692903</v>
      </c>
      <c r="F951" s="4">
        <v>5.4720193698763299E-8</v>
      </c>
      <c r="G951" s="4">
        <v>8.52313605258447E-7</v>
      </c>
      <c r="H951" s="10" t="s">
        <v>9920</v>
      </c>
      <c r="I951" s="10" t="s">
        <v>18</v>
      </c>
    </row>
    <row r="952" spans="1:9" x14ac:dyDescent="0.2">
      <c r="A952" s="10" t="s">
        <v>9921</v>
      </c>
      <c r="B952" s="10">
        <v>1255.0863370382499</v>
      </c>
      <c r="C952" s="10">
        <v>-1.2702652478081999</v>
      </c>
      <c r="D952" s="10">
        <v>0.28106447501399501</v>
      </c>
      <c r="E952" s="10">
        <v>-4.5194799084620998</v>
      </c>
      <c r="F952" s="4">
        <v>6.1991730047129296E-6</v>
      </c>
      <c r="G952" s="4">
        <v>6.6755221290048698E-5</v>
      </c>
      <c r="H952" s="10" t="s">
        <v>9922</v>
      </c>
      <c r="I952" s="10" t="s">
        <v>18</v>
      </c>
    </row>
    <row r="953" spans="1:9" x14ac:dyDescent="0.2">
      <c r="A953" s="10" t="s">
        <v>9923</v>
      </c>
      <c r="B953" s="10">
        <v>2186.2360263271898</v>
      </c>
      <c r="C953" s="10">
        <v>1.1183385591372399</v>
      </c>
      <c r="D953" s="10">
        <v>0.24957845081706201</v>
      </c>
      <c r="E953" s="10">
        <v>4.4809099322319597</v>
      </c>
      <c r="F953" s="4">
        <v>7.4325474550002798E-6</v>
      </c>
      <c r="G953" s="4">
        <v>7.8855221944551702E-5</v>
      </c>
      <c r="H953" s="10" t="s">
        <v>9924</v>
      </c>
      <c r="I953" s="10" t="s">
        <v>18</v>
      </c>
    </row>
    <row r="954" spans="1:9" x14ac:dyDescent="0.2">
      <c r="A954" s="10" t="s">
        <v>9925</v>
      </c>
      <c r="B954" s="10">
        <v>768.92179937339495</v>
      </c>
      <c r="C954" s="10">
        <v>-1.8337408732199101</v>
      </c>
      <c r="D954" s="10">
        <v>0.26535755371471798</v>
      </c>
      <c r="E954" s="10">
        <v>-6.9104528872441398</v>
      </c>
      <c r="F954" s="4">
        <v>4.83108867534898E-12</v>
      </c>
      <c r="G954" s="4">
        <v>1.29974369656047E-10</v>
      </c>
      <c r="H954" s="10" t="s">
        <v>9926</v>
      </c>
      <c r="I954" s="10" t="s">
        <v>18</v>
      </c>
    </row>
    <row r="955" spans="1:9" x14ac:dyDescent="0.2">
      <c r="A955" s="10" t="s">
        <v>9927</v>
      </c>
      <c r="B955" s="10">
        <v>1786.3750345119199</v>
      </c>
      <c r="C955" s="10">
        <v>-1.0341018888660201</v>
      </c>
      <c r="D955" s="10">
        <v>0.24296793890632501</v>
      </c>
      <c r="E955" s="10">
        <v>-4.2561248760673296</v>
      </c>
      <c r="F955" s="4">
        <v>2.08000560960801E-5</v>
      </c>
      <c r="G955" s="10">
        <v>1.9836182359894599E-4</v>
      </c>
      <c r="H955" s="10" t="s">
        <v>9928</v>
      </c>
      <c r="I955" s="10" t="s">
        <v>18</v>
      </c>
    </row>
    <row r="956" spans="1:9" x14ac:dyDescent="0.2">
      <c r="A956" s="10" t="s">
        <v>2873</v>
      </c>
      <c r="B956" s="10">
        <v>1005.77909867164</v>
      </c>
      <c r="C956" s="10">
        <v>-1.8422464881726801</v>
      </c>
      <c r="D956" s="10">
        <v>0.26691553681980101</v>
      </c>
      <c r="E956" s="10">
        <v>-6.9019829648073596</v>
      </c>
      <c r="F956" s="4">
        <v>5.1281586363769196E-12</v>
      </c>
      <c r="G956" s="4">
        <v>1.36941433649747E-10</v>
      </c>
      <c r="H956" s="10" t="s">
        <v>2874</v>
      </c>
      <c r="I956" s="10" t="s">
        <v>18</v>
      </c>
    </row>
    <row r="957" spans="1:9" x14ac:dyDescent="0.2">
      <c r="A957" s="10" t="s">
        <v>9929</v>
      </c>
      <c r="B957" s="10">
        <v>1032.71148949347</v>
      </c>
      <c r="C957" s="10">
        <v>-1.33646332898485</v>
      </c>
      <c r="D957" s="10">
        <v>0.27532799289285897</v>
      </c>
      <c r="E957" s="10">
        <v>-4.85407718605975</v>
      </c>
      <c r="F957" s="4">
        <v>1.20948624492381E-6</v>
      </c>
      <c r="G957" s="4">
        <v>1.4814093631954301E-5</v>
      </c>
      <c r="H957" s="10" t="s">
        <v>9930</v>
      </c>
      <c r="I957" s="10" t="s">
        <v>18</v>
      </c>
    </row>
    <row r="958" spans="1:9" x14ac:dyDescent="0.2">
      <c r="A958" s="10" t="s">
        <v>2875</v>
      </c>
      <c r="B958" s="10">
        <v>1070.90250724304</v>
      </c>
      <c r="C958" s="10">
        <v>4.0462020800699099</v>
      </c>
      <c r="D958" s="10">
        <v>0.27886304573323001</v>
      </c>
      <c r="E958" s="10">
        <v>14.5096388423608</v>
      </c>
      <c r="F958" s="4">
        <v>1.0527337731977801E-47</v>
      </c>
      <c r="G958" s="4">
        <v>2.57102117133885E-45</v>
      </c>
      <c r="H958" s="10" t="s">
        <v>2876</v>
      </c>
      <c r="I958" s="10" t="s">
        <v>18</v>
      </c>
    </row>
    <row r="959" spans="1:9" x14ac:dyDescent="0.2">
      <c r="A959" s="10" t="s">
        <v>9931</v>
      </c>
      <c r="B959" s="10">
        <v>259.39532272691503</v>
      </c>
      <c r="C959" s="10">
        <v>-1.35727921470847</v>
      </c>
      <c r="D959" s="10">
        <v>0.31224000222961401</v>
      </c>
      <c r="E959" s="10">
        <v>-4.3469100852438496</v>
      </c>
      <c r="F959" s="4">
        <v>1.3806878499330499E-5</v>
      </c>
      <c r="G959" s="10">
        <v>1.3668320686763399E-4</v>
      </c>
      <c r="H959" s="10" t="s">
        <v>9932</v>
      </c>
      <c r="I959" s="10" t="s">
        <v>18</v>
      </c>
    </row>
    <row r="960" spans="1:9" x14ac:dyDescent="0.2">
      <c r="A960" s="10" t="s">
        <v>2877</v>
      </c>
      <c r="B960" s="10">
        <v>11961.2988404075</v>
      </c>
      <c r="C960" s="10">
        <v>-1.25487980256623</v>
      </c>
      <c r="D960" s="10">
        <v>0.24280017923816399</v>
      </c>
      <c r="E960" s="10">
        <v>-5.1683643994978796</v>
      </c>
      <c r="F960" s="4">
        <v>2.3615153204418299E-7</v>
      </c>
      <c r="G960" s="4">
        <v>3.32594464941846E-6</v>
      </c>
      <c r="H960" s="10" t="s">
        <v>2878</v>
      </c>
      <c r="I960" s="10" t="s">
        <v>18</v>
      </c>
    </row>
    <row r="961" spans="1:9" x14ac:dyDescent="0.2">
      <c r="A961" s="10" t="s">
        <v>9933</v>
      </c>
      <c r="B961" s="10">
        <v>18.5113013168362</v>
      </c>
      <c r="C961" s="10">
        <v>-2.1860209751623598</v>
      </c>
      <c r="D961" s="10">
        <v>0.83290310350205399</v>
      </c>
      <c r="E961" s="10">
        <v>-2.6245801774191202</v>
      </c>
      <c r="F961" s="10">
        <v>8.6755864123447303E-3</v>
      </c>
      <c r="G961" s="10">
        <v>3.7555390845384902E-2</v>
      </c>
      <c r="H961" s="10" t="s">
        <v>9934</v>
      </c>
      <c r="I961" s="10" t="s">
        <v>18</v>
      </c>
    </row>
    <row r="962" spans="1:9" x14ac:dyDescent="0.2">
      <c r="A962" s="10" t="s">
        <v>2885</v>
      </c>
      <c r="B962" s="10">
        <v>53.998431658315504</v>
      </c>
      <c r="C962" s="10">
        <v>1.41536839740445</v>
      </c>
      <c r="D962" s="10">
        <v>0.54542024878446504</v>
      </c>
      <c r="E962" s="10">
        <v>2.59500522864484</v>
      </c>
      <c r="F962" s="10">
        <v>9.4589480027517693E-3</v>
      </c>
      <c r="G962" s="10">
        <v>4.03493025282722E-2</v>
      </c>
      <c r="H962" s="10" t="s">
        <v>2886</v>
      </c>
      <c r="I962" s="10" t="s">
        <v>18</v>
      </c>
    </row>
    <row r="963" spans="1:9" x14ac:dyDescent="0.2">
      <c r="A963" s="10" t="s">
        <v>2887</v>
      </c>
      <c r="B963" s="10">
        <v>607.859610128182</v>
      </c>
      <c r="C963" s="10">
        <v>2.0529215497764302</v>
      </c>
      <c r="D963" s="10">
        <v>0.30604251355565498</v>
      </c>
      <c r="E963" s="10">
        <v>6.7079619949700202</v>
      </c>
      <c r="F963" s="4">
        <v>1.9736131325171501E-11</v>
      </c>
      <c r="G963" s="4">
        <v>4.9009119791183505E-10</v>
      </c>
      <c r="H963" s="10" t="s">
        <v>2888</v>
      </c>
      <c r="I963" s="10" t="s">
        <v>18</v>
      </c>
    </row>
    <row r="964" spans="1:9" x14ac:dyDescent="0.2">
      <c r="A964" s="10" t="s">
        <v>2889</v>
      </c>
      <c r="B964" s="10">
        <v>443.23364642117798</v>
      </c>
      <c r="C964" s="10">
        <v>-5.8604802052574003</v>
      </c>
      <c r="D964" s="10">
        <v>0.39572898595413702</v>
      </c>
      <c r="E964" s="10">
        <v>-14.8093276289258</v>
      </c>
      <c r="F964" s="4">
        <v>1.27509384795274E-49</v>
      </c>
      <c r="G964" s="4">
        <v>3.3066995613660999E-47</v>
      </c>
      <c r="H964" s="10" t="s">
        <v>2890</v>
      </c>
      <c r="I964" s="10" t="s">
        <v>18</v>
      </c>
    </row>
    <row r="965" spans="1:9" x14ac:dyDescent="0.2">
      <c r="A965" s="10" t="s">
        <v>9935</v>
      </c>
      <c r="B965" s="10">
        <v>20.6631418546812</v>
      </c>
      <c r="C965" s="10">
        <v>-3.3956849867036598</v>
      </c>
      <c r="D965" s="10">
        <v>0.91119588143109398</v>
      </c>
      <c r="E965" s="10">
        <v>-3.7266245994994098</v>
      </c>
      <c r="F965" s="10">
        <v>1.9406115981178101E-4</v>
      </c>
      <c r="G965" s="10">
        <v>1.4554586985883601E-3</v>
      </c>
      <c r="H965" s="10" t="s">
        <v>9936</v>
      </c>
      <c r="I965" s="10" t="s">
        <v>18</v>
      </c>
    </row>
    <row r="966" spans="1:9" x14ac:dyDescent="0.2">
      <c r="A966" s="10" t="s">
        <v>2891</v>
      </c>
      <c r="B966" s="10">
        <v>137.88778797903299</v>
      </c>
      <c r="C966" s="10">
        <v>-2.6801313875634198</v>
      </c>
      <c r="D966" s="10">
        <v>0.43283023477049698</v>
      </c>
      <c r="E966" s="10">
        <v>-6.1921076030756703</v>
      </c>
      <c r="F966" s="4">
        <v>5.9365000571201405E-10</v>
      </c>
      <c r="G966" s="4">
        <v>1.2486008272312501E-8</v>
      </c>
      <c r="H966" s="10" t="s">
        <v>2892</v>
      </c>
      <c r="I966" s="10" t="s">
        <v>18</v>
      </c>
    </row>
    <row r="967" spans="1:9" x14ac:dyDescent="0.2">
      <c r="A967" s="10" t="s">
        <v>2893</v>
      </c>
      <c r="B967" s="10">
        <v>2187.1993440363099</v>
      </c>
      <c r="C967" s="10">
        <v>2.2739320509376801</v>
      </c>
      <c r="D967" s="10">
        <v>0.24870491739029499</v>
      </c>
      <c r="E967" s="10">
        <v>9.1430924438425105</v>
      </c>
      <c r="F967" s="4">
        <v>6.0691472115716898E-20</v>
      </c>
      <c r="G967" s="4">
        <v>3.2552110470594001E-18</v>
      </c>
      <c r="H967" s="10" t="s">
        <v>2894</v>
      </c>
      <c r="I967" s="10" t="s">
        <v>18</v>
      </c>
    </row>
    <row r="968" spans="1:9" x14ac:dyDescent="0.2">
      <c r="A968" s="10" t="s">
        <v>2895</v>
      </c>
      <c r="B968" s="10">
        <v>324.35914761483201</v>
      </c>
      <c r="C968" s="10">
        <v>-1.43033506422485</v>
      </c>
      <c r="D968" s="10">
        <v>0.38905795143670102</v>
      </c>
      <c r="E968" s="10">
        <v>-3.67640619846724</v>
      </c>
      <c r="F968" s="10">
        <v>2.36542775562574E-4</v>
      </c>
      <c r="G968" s="10">
        <v>1.73223683239492E-3</v>
      </c>
      <c r="H968" s="10" t="s">
        <v>2896</v>
      </c>
      <c r="I968" s="10" t="s">
        <v>18</v>
      </c>
    </row>
    <row r="969" spans="1:9" x14ac:dyDescent="0.2">
      <c r="A969" s="10" t="s">
        <v>2899</v>
      </c>
      <c r="B969" s="10">
        <v>7373.4438795473197</v>
      </c>
      <c r="C969" s="10">
        <v>-1.2042952659881601</v>
      </c>
      <c r="D969" s="10">
        <v>0.32570993402574699</v>
      </c>
      <c r="E969" s="10">
        <v>-3.6974471460024998</v>
      </c>
      <c r="F969" s="10">
        <v>2.1777854371573499E-4</v>
      </c>
      <c r="G969" s="10">
        <v>1.6107672058716001E-3</v>
      </c>
      <c r="H969" s="10" t="s">
        <v>2900</v>
      </c>
      <c r="I969" s="10" t="s">
        <v>18</v>
      </c>
    </row>
    <row r="970" spans="1:9" x14ac:dyDescent="0.2">
      <c r="A970" s="10" t="s">
        <v>2901</v>
      </c>
      <c r="B970" s="10">
        <v>1016.53253319934</v>
      </c>
      <c r="C970" s="10">
        <v>-2.1343377606909</v>
      </c>
      <c r="D970" s="10">
        <v>0.34301046682887498</v>
      </c>
      <c r="E970" s="10">
        <v>-6.2223691901381804</v>
      </c>
      <c r="F970" s="4">
        <v>4.8970302955579701E-10</v>
      </c>
      <c r="G970" s="4">
        <v>1.0430550134188E-8</v>
      </c>
      <c r="H970" s="10" t="s">
        <v>2902</v>
      </c>
      <c r="I970" s="10" t="s">
        <v>18</v>
      </c>
    </row>
    <row r="971" spans="1:9" x14ac:dyDescent="0.2">
      <c r="A971" s="10" t="s">
        <v>2903</v>
      </c>
      <c r="B971" s="10">
        <v>535.93806406125304</v>
      </c>
      <c r="C971" s="10">
        <v>-1.28185559144759</v>
      </c>
      <c r="D971" s="10">
        <v>0.30124627116137498</v>
      </c>
      <c r="E971" s="10">
        <v>-4.2551749653389397</v>
      </c>
      <c r="F971" s="4">
        <v>2.0888560689695201E-5</v>
      </c>
      <c r="G971" s="10">
        <v>1.9895938816708999E-4</v>
      </c>
      <c r="H971" s="10" t="s">
        <v>2904</v>
      </c>
      <c r="I971" s="10" t="s">
        <v>18</v>
      </c>
    </row>
    <row r="972" spans="1:9" x14ac:dyDescent="0.2">
      <c r="A972" s="10" t="s">
        <v>9937</v>
      </c>
      <c r="B972" s="10">
        <v>158.075319984788</v>
      </c>
      <c r="C972" s="10">
        <v>-1.9020830180653701</v>
      </c>
      <c r="D972" s="10">
        <v>0.36206531316044999</v>
      </c>
      <c r="E972" s="10">
        <v>-5.2534251388573603</v>
      </c>
      <c r="F972" s="4">
        <v>1.49296374347306E-7</v>
      </c>
      <c r="G972" s="4">
        <v>2.1847296664959101E-6</v>
      </c>
      <c r="H972" s="10" t="s">
        <v>9938</v>
      </c>
      <c r="I972" s="10" t="s">
        <v>18</v>
      </c>
    </row>
    <row r="973" spans="1:9" x14ac:dyDescent="0.2">
      <c r="A973" s="10" t="s">
        <v>2909</v>
      </c>
      <c r="B973" s="10">
        <v>9253.45956658057</v>
      </c>
      <c r="C973" s="10">
        <v>-1.6688673558698</v>
      </c>
      <c r="D973" s="10">
        <v>0.30747330174222798</v>
      </c>
      <c r="E973" s="10">
        <v>-5.4276821643165096</v>
      </c>
      <c r="F973" s="4">
        <v>5.7090587105637299E-8</v>
      </c>
      <c r="G973" s="4">
        <v>8.8758573463677799E-7</v>
      </c>
      <c r="H973" s="10" t="s">
        <v>2910</v>
      </c>
      <c r="I973" s="10" t="s">
        <v>18</v>
      </c>
    </row>
    <row r="974" spans="1:9" x14ac:dyDescent="0.2">
      <c r="A974" s="10" t="s">
        <v>2919</v>
      </c>
      <c r="B974" s="10">
        <v>42.362775533938098</v>
      </c>
      <c r="C974" s="10">
        <v>2.1406475402357001</v>
      </c>
      <c r="D974" s="10">
        <v>0.63743093391560102</v>
      </c>
      <c r="E974" s="10">
        <v>3.3582423229543701</v>
      </c>
      <c r="F974" s="10">
        <v>7.8439816061139805E-4</v>
      </c>
      <c r="G974" s="10">
        <v>4.9542604701454098E-3</v>
      </c>
      <c r="H974" s="10" t="s">
        <v>2920</v>
      </c>
      <c r="I974" s="10" t="s">
        <v>18</v>
      </c>
    </row>
    <row r="975" spans="1:9" x14ac:dyDescent="0.2">
      <c r="A975" s="10" t="s">
        <v>2921</v>
      </c>
      <c r="B975" s="10">
        <v>4316.8711144455101</v>
      </c>
      <c r="C975" s="10">
        <v>-1.9449631911388801</v>
      </c>
      <c r="D975" s="10">
        <v>0.31988134141115698</v>
      </c>
      <c r="E975" s="10">
        <v>-6.0802645836067404</v>
      </c>
      <c r="F975" s="4">
        <v>1.1998439403756201E-9</v>
      </c>
      <c r="G975" s="4">
        <v>2.4145659456118901E-8</v>
      </c>
      <c r="H975" s="10" t="s">
        <v>2922</v>
      </c>
      <c r="I975" s="10" t="s">
        <v>18</v>
      </c>
    </row>
    <row r="976" spans="1:9" x14ac:dyDescent="0.2">
      <c r="A976" s="10" t="s">
        <v>2923</v>
      </c>
      <c r="B976" s="10">
        <v>1478.6368370042601</v>
      </c>
      <c r="C976" s="10">
        <v>-1.1361847643888101</v>
      </c>
      <c r="D976" s="10">
        <v>0.31981584297519</v>
      </c>
      <c r="E976" s="10">
        <v>-3.55262188958209</v>
      </c>
      <c r="F976" s="10">
        <v>3.81412268882742E-4</v>
      </c>
      <c r="G976" s="10">
        <v>2.64018316558761E-3</v>
      </c>
      <c r="H976" s="10" t="s">
        <v>2924</v>
      </c>
      <c r="I976" s="10" t="s">
        <v>18</v>
      </c>
    </row>
    <row r="977" spans="1:9" x14ac:dyDescent="0.2">
      <c r="A977" s="10" t="s">
        <v>2931</v>
      </c>
      <c r="B977" s="10">
        <v>284.54556892735599</v>
      </c>
      <c r="C977" s="10">
        <v>-1.0580981544910599</v>
      </c>
      <c r="D977" s="10">
        <v>0.30099171047907403</v>
      </c>
      <c r="E977" s="10">
        <v>-3.5153730739193199</v>
      </c>
      <c r="F977" s="10">
        <v>4.3913661589137102E-4</v>
      </c>
      <c r="G977" s="10">
        <v>2.9893310445712E-3</v>
      </c>
      <c r="H977" s="10" t="s">
        <v>2932</v>
      </c>
      <c r="I977" s="10" t="s">
        <v>18</v>
      </c>
    </row>
    <row r="978" spans="1:9" x14ac:dyDescent="0.2">
      <c r="A978" s="10" t="s">
        <v>2937</v>
      </c>
      <c r="B978" s="10">
        <v>1346.5832727243301</v>
      </c>
      <c r="C978" s="10">
        <v>-1.72996147683256</v>
      </c>
      <c r="D978" s="10">
        <v>0.317376657898088</v>
      </c>
      <c r="E978" s="10">
        <v>-5.4508150923564802</v>
      </c>
      <c r="F978" s="4">
        <v>5.0139481550918601E-8</v>
      </c>
      <c r="G978" s="4">
        <v>7.8632085935994798E-7</v>
      </c>
      <c r="H978" s="10" t="s">
        <v>2938</v>
      </c>
      <c r="I978" s="10" t="s">
        <v>18</v>
      </c>
    </row>
    <row r="979" spans="1:9" x14ac:dyDescent="0.2">
      <c r="A979" s="10" t="s">
        <v>9939</v>
      </c>
      <c r="B979" s="10">
        <v>139.54041894102801</v>
      </c>
      <c r="C979" s="10">
        <v>-1.7998758364135099</v>
      </c>
      <c r="D979" s="10">
        <v>0.37014802966368199</v>
      </c>
      <c r="E979" s="10">
        <v>-4.8625838642147601</v>
      </c>
      <c r="F979" s="4">
        <v>1.15863263399995E-6</v>
      </c>
      <c r="G979" s="4">
        <v>1.4252031250987101E-5</v>
      </c>
      <c r="H979" s="10" t="s">
        <v>9940</v>
      </c>
      <c r="I979" s="10" t="s">
        <v>18</v>
      </c>
    </row>
    <row r="980" spans="1:9" x14ac:dyDescent="0.2">
      <c r="A980" s="10" t="s">
        <v>2941</v>
      </c>
      <c r="B980" s="10">
        <v>1498.62994053534</v>
      </c>
      <c r="C980" s="10">
        <v>1.4088066487898501</v>
      </c>
      <c r="D980" s="10">
        <v>0.28632066665295702</v>
      </c>
      <c r="E980" s="10">
        <v>4.9203805832760201</v>
      </c>
      <c r="F980" s="4">
        <v>8.6376088168937795E-7</v>
      </c>
      <c r="G980" s="4">
        <v>1.09130612651413E-5</v>
      </c>
      <c r="H980" s="10" t="s">
        <v>2942</v>
      </c>
      <c r="I980" s="10" t="s">
        <v>18</v>
      </c>
    </row>
    <row r="981" spans="1:9" x14ac:dyDescent="0.2">
      <c r="A981" s="10" t="s">
        <v>2947</v>
      </c>
      <c r="B981" s="10">
        <v>431.49950310658801</v>
      </c>
      <c r="C981" s="10">
        <v>4.9739863759061</v>
      </c>
      <c r="D981" s="10">
        <v>0.36905751998338399</v>
      </c>
      <c r="E981" s="10">
        <v>13.4775369869988</v>
      </c>
      <c r="F981" s="4">
        <v>2.1206867712298299E-41</v>
      </c>
      <c r="G981" s="4">
        <v>3.8104196950204501E-39</v>
      </c>
      <c r="H981" s="10" t="s">
        <v>2948</v>
      </c>
      <c r="I981" s="10" t="s">
        <v>18</v>
      </c>
    </row>
    <row r="982" spans="1:9" x14ac:dyDescent="0.2">
      <c r="A982" s="10" t="s">
        <v>2949</v>
      </c>
      <c r="B982" s="10">
        <v>160.15080277505999</v>
      </c>
      <c r="C982" s="10">
        <v>3.2197019856942002</v>
      </c>
      <c r="D982" s="10">
        <v>0.43636144140213901</v>
      </c>
      <c r="E982" s="10">
        <v>7.3785208320618203</v>
      </c>
      <c r="F982" s="4">
        <v>1.60057750375456E-13</v>
      </c>
      <c r="G982" s="4">
        <v>5.0772417537132397E-12</v>
      </c>
      <c r="H982" s="10" t="s">
        <v>2950</v>
      </c>
      <c r="I982" s="10" t="s">
        <v>18</v>
      </c>
    </row>
    <row r="983" spans="1:9" x14ac:dyDescent="0.2">
      <c r="A983" s="10" t="s">
        <v>2951</v>
      </c>
      <c r="B983" s="10">
        <v>251.50995151195099</v>
      </c>
      <c r="C983" s="10">
        <v>-1.7095988547296599</v>
      </c>
      <c r="D983" s="10">
        <v>0.36405609512817799</v>
      </c>
      <c r="E983" s="10">
        <v>-4.6959764651866003</v>
      </c>
      <c r="F983" s="4">
        <v>2.6533609280294899E-6</v>
      </c>
      <c r="G983" s="4">
        <v>3.0547045375094602E-5</v>
      </c>
      <c r="H983" s="10" t="s">
        <v>2952</v>
      </c>
      <c r="I983" s="10" t="s">
        <v>18</v>
      </c>
    </row>
    <row r="984" spans="1:9" x14ac:dyDescent="0.2">
      <c r="A984" s="10" t="s">
        <v>2953</v>
      </c>
      <c r="B984" s="10">
        <v>1167.5704854118901</v>
      </c>
      <c r="C984" s="10">
        <v>-1.66715905576446</v>
      </c>
      <c r="D984" s="10">
        <v>0.31689966170732498</v>
      </c>
      <c r="E984" s="10">
        <v>-5.2608420178882298</v>
      </c>
      <c r="F984" s="4">
        <v>1.4339720305418199E-7</v>
      </c>
      <c r="G984" s="4">
        <v>2.1082154546042902E-6</v>
      </c>
      <c r="H984" s="10" t="s">
        <v>2954</v>
      </c>
      <c r="I984" s="10" t="s">
        <v>18</v>
      </c>
    </row>
    <row r="985" spans="1:9" x14ac:dyDescent="0.2">
      <c r="A985" s="10" t="s">
        <v>2959</v>
      </c>
      <c r="B985" s="10">
        <v>2335.9769251482699</v>
      </c>
      <c r="C985" s="10">
        <v>-1.32955992056664</v>
      </c>
      <c r="D985" s="10">
        <v>0.34002168934547</v>
      </c>
      <c r="E985" s="10">
        <v>-3.9102209130423198</v>
      </c>
      <c r="F985" s="4">
        <v>9.2211747794373395E-5</v>
      </c>
      <c r="G985" s="10">
        <v>7.5507373560138697E-4</v>
      </c>
      <c r="H985" s="10" t="s">
        <v>2960</v>
      </c>
      <c r="I985" s="10" t="s">
        <v>18</v>
      </c>
    </row>
    <row r="986" spans="1:9" x14ac:dyDescent="0.2">
      <c r="A986" s="10" t="s">
        <v>2961</v>
      </c>
      <c r="B986" s="10">
        <v>257.77045668087499</v>
      </c>
      <c r="C986" s="10">
        <v>-1.14840633917321</v>
      </c>
      <c r="D986" s="10">
        <v>0.37913542207428802</v>
      </c>
      <c r="E986" s="10">
        <v>-3.02901357222219</v>
      </c>
      <c r="F986" s="10">
        <v>2.45353660215053E-3</v>
      </c>
      <c r="G986" s="10">
        <v>1.3009846801664501E-2</v>
      </c>
      <c r="H986" s="10" t="s">
        <v>2962</v>
      </c>
      <c r="I986" s="10" t="s">
        <v>18</v>
      </c>
    </row>
    <row r="987" spans="1:9" x14ac:dyDescent="0.2">
      <c r="A987" s="10" t="s">
        <v>2969</v>
      </c>
      <c r="B987" s="10">
        <v>481.941339777179</v>
      </c>
      <c r="C987" s="10">
        <v>-1.1981153038775501</v>
      </c>
      <c r="D987" s="10">
        <v>0.371674655367565</v>
      </c>
      <c r="E987" s="10">
        <v>-3.2235593322678402</v>
      </c>
      <c r="F987" s="10">
        <v>1.2660806703906999E-3</v>
      </c>
      <c r="G987" s="10">
        <v>7.4691039548963299E-3</v>
      </c>
      <c r="H987" s="10" t="s">
        <v>2970</v>
      </c>
      <c r="I987" s="10" t="s">
        <v>18</v>
      </c>
    </row>
    <row r="988" spans="1:9" x14ac:dyDescent="0.2">
      <c r="A988" s="10" t="s">
        <v>2971</v>
      </c>
      <c r="B988" s="10">
        <v>247.97311041753699</v>
      </c>
      <c r="C988" s="10">
        <v>-1.35919786320936</v>
      </c>
      <c r="D988" s="10">
        <v>0.38229622153742099</v>
      </c>
      <c r="E988" s="10">
        <v>-3.5553525947582898</v>
      </c>
      <c r="F988" s="10">
        <v>3.77472528756239E-4</v>
      </c>
      <c r="G988" s="10">
        <v>2.61579103605046E-3</v>
      </c>
      <c r="H988" s="10" t="s">
        <v>2972</v>
      </c>
      <c r="I988" s="10" t="s">
        <v>18</v>
      </c>
    </row>
    <row r="989" spans="1:9" x14ac:dyDescent="0.2">
      <c r="A989" s="10" t="s">
        <v>2973</v>
      </c>
      <c r="B989" s="10">
        <v>1338.4744592704899</v>
      </c>
      <c r="C989" s="10">
        <v>-1.86943594803396</v>
      </c>
      <c r="D989" s="10">
        <v>0.34292661123881402</v>
      </c>
      <c r="E989" s="10">
        <v>-5.4514169701810697</v>
      </c>
      <c r="F989" s="4">
        <v>4.99700513376196E-8</v>
      </c>
      <c r="G989" s="4">
        <v>7.84152614721037E-7</v>
      </c>
      <c r="H989" s="10" t="s">
        <v>2974</v>
      </c>
      <c r="I989" s="10" t="s">
        <v>18</v>
      </c>
    </row>
    <row r="990" spans="1:9" x14ac:dyDescent="0.2">
      <c r="A990" s="10" t="s">
        <v>2981</v>
      </c>
      <c r="B990" s="10">
        <v>231.07971580556</v>
      </c>
      <c r="C990" s="10">
        <v>1.0214562339992399</v>
      </c>
      <c r="D990" s="10">
        <v>0.360781939419905</v>
      </c>
      <c r="E990" s="10">
        <v>2.8312288459938499</v>
      </c>
      <c r="F990" s="10">
        <v>4.63695313777048E-3</v>
      </c>
      <c r="G990" s="10">
        <v>2.2281290578914301E-2</v>
      </c>
      <c r="H990" s="10" t="s">
        <v>2982</v>
      </c>
      <c r="I990" s="10" t="s">
        <v>18</v>
      </c>
    </row>
    <row r="991" spans="1:9" x14ac:dyDescent="0.2">
      <c r="A991" s="10" t="s">
        <v>9941</v>
      </c>
      <c r="B991" s="10">
        <v>93.823047135025803</v>
      </c>
      <c r="C991" s="10">
        <v>1.0402282046456199</v>
      </c>
      <c r="D991" s="10">
        <v>0.41104484004747099</v>
      </c>
      <c r="E991" s="10">
        <v>2.5306927694931902</v>
      </c>
      <c r="F991" s="10">
        <v>1.13837512178676E-2</v>
      </c>
      <c r="G991" s="10">
        <v>4.7036508194063797E-2</v>
      </c>
      <c r="H991" s="10" t="s">
        <v>9942</v>
      </c>
      <c r="I991" s="10" t="s">
        <v>18</v>
      </c>
    </row>
    <row r="992" spans="1:9" x14ac:dyDescent="0.2">
      <c r="A992" s="10" t="s">
        <v>9943</v>
      </c>
      <c r="B992" s="10">
        <v>27.4858742907116</v>
      </c>
      <c r="C992" s="10">
        <v>-2.3844073605779301</v>
      </c>
      <c r="D992" s="10">
        <v>0.71303605509311896</v>
      </c>
      <c r="E992" s="10">
        <v>-3.3440207455800199</v>
      </c>
      <c r="F992" s="10">
        <v>8.25735624295895E-4</v>
      </c>
      <c r="G992" s="10">
        <v>5.1824799473960204E-3</v>
      </c>
      <c r="H992" s="10" t="s">
        <v>9944</v>
      </c>
      <c r="I992" s="10" t="s">
        <v>18</v>
      </c>
    </row>
    <row r="993" spans="1:9" x14ac:dyDescent="0.2">
      <c r="A993" s="10" t="s">
        <v>9945</v>
      </c>
      <c r="B993" s="10">
        <v>89.126024600679102</v>
      </c>
      <c r="C993" s="10">
        <v>-2.2379578940590199</v>
      </c>
      <c r="D993" s="10">
        <v>0.46240691174828502</v>
      </c>
      <c r="E993" s="10">
        <v>-4.8398019951684299</v>
      </c>
      <c r="F993" s="4">
        <v>1.2996855398451599E-6</v>
      </c>
      <c r="G993" s="4">
        <v>1.5794004712466201E-5</v>
      </c>
      <c r="H993" s="10" t="s">
        <v>9946</v>
      </c>
      <c r="I993" s="10" t="s">
        <v>18</v>
      </c>
    </row>
    <row r="994" spans="1:9" x14ac:dyDescent="0.2">
      <c r="A994" s="10" t="s">
        <v>9947</v>
      </c>
      <c r="B994" s="10">
        <v>133.90586680933001</v>
      </c>
      <c r="C994" s="10">
        <v>-1.47313422085692</v>
      </c>
      <c r="D994" s="10">
        <v>0.39174700984854</v>
      </c>
      <c r="E994" s="10">
        <v>-3.7604223741911298</v>
      </c>
      <c r="F994" s="10">
        <v>1.69626707108119E-4</v>
      </c>
      <c r="G994" s="10">
        <v>1.2898911176858301E-3</v>
      </c>
      <c r="H994" s="10" t="s">
        <v>9948</v>
      </c>
      <c r="I994" s="10" t="s">
        <v>18</v>
      </c>
    </row>
    <row r="995" spans="1:9" x14ac:dyDescent="0.2">
      <c r="A995" s="10" t="s">
        <v>9949</v>
      </c>
      <c r="B995" s="10">
        <v>12030.0955147718</v>
      </c>
      <c r="C995" s="10">
        <v>-1.1670546748777499</v>
      </c>
      <c r="D995" s="10">
        <v>0.27013063070494497</v>
      </c>
      <c r="E995" s="10">
        <v>-4.3203344686685501</v>
      </c>
      <c r="F995" s="4">
        <v>1.5579288477346599E-5</v>
      </c>
      <c r="G995" s="10">
        <v>1.5278635541818899E-4</v>
      </c>
      <c r="H995" s="10" t="s">
        <v>9950</v>
      </c>
      <c r="I995" s="10" t="s">
        <v>18</v>
      </c>
    </row>
    <row r="996" spans="1:9" x14ac:dyDescent="0.2">
      <c r="A996" s="10" t="s">
        <v>2985</v>
      </c>
      <c r="B996" s="10">
        <v>174.84101269219801</v>
      </c>
      <c r="C996" s="10">
        <v>2.88060700313358</v>
      </c>
      <c r="D996" s="10">
        <v>0.364598477346816</v>
      </c>
      <c r="E996" s="10">
        <v>7.9007653133819096</v>
      </c>
      <c r="F996" s="4">
        <v>2.7719613730109002E-15</v>
      </c>
      <c r="G996" s="4">
        <v>1.03455027207848E-13</v>
      </c>
      <c r="H996" s="10" t="s">
        <v>2986</v>
      </c>
      <c r="I996" s="10" t="s">
        <v>18</v>
      </c>
    </row>
    <row r="997" spans="1:9" x14ac:dyDescent="0.2">
      <c r="A997" s="10" t="s">
        <v>9951</v>
      </c>
      <c r="B997" s="10">
        <v>30.4065213202656</v>
      </c>
      <c r="C997" s="10">
        <v>-2.41602760738947</v>
      </c>
      <c r="D997" s="10">
        <v>0.73125945509081802</v>
      </c>
      <c r="E997" s="10">
        <v>-3.3039266577270001</v>
      </c>
      <c r="F997" s="10">
        <v>9.5340771149043599E-4</v>
      </c>
      <c r="G997" s="10">
        <v>5.8595413695864103E-3</v>
      </c>
      <c r="H997" s="10" t="s">
        <v>9952</v>
      </c>
      <c r="I997" s="10" t="s">
        <v>18</v>
      </c>
    </row>
    <row r="998" spans="1:9" x14ac:dyDescent="0.2">
      <c r="A998" s="10" t="s">
        <v>9953</v>
      </c>
      <c r="B998" s="10">
        <v>13.2236179465202</v>
      </c>
      <c r="C998" s="10">
        <v>-2.6178667836035201</v>
      </c>
      <c r="D998" s="10">
        <v>1.0312181949141099</v>
      </c>
      <c r="E998" s="10">
        <v>-2.5386157813299302</v>
      </c>
      <c r="F998" s="10">
        <v>1.11291971190431E-2</v>
      </c>
      <c r="G998" s="10">
        <v>4.6143885533134699E-2</v>
      </c>
      <c r="H998" s="10" t="s">
        <v>9954</v>
      </c>
      <c r="I998" s="10" t="s">
        <v>18</v>
      </c>
    </row>
    <row r="999" spans="1:9" x14ac:dyDescent="0.2">
      <c r="A999" s="10" t="s">
        <v>9955</v>
      </c>
      <c r="B999" s="10">
        <v>321.88179476119001</v>
      </c>
      <c r="C999" s="10">
        <v>-2.13074070372011</v>
      </c>
      <c r="D999" s="10">
        <v>0.30106224528408898</v>
      </c>
      <c r="E999" s="10">
        <v>-7.0774091972558697</v>
      </c>
      <c r="F999" s="4">
        <v>1.4687436624419701E-12</v>
      </c>
      <c r="G999" s="4">
        <v>4.15126368862109E-11</v>
      </c>
      <c r="H999" s="10" t="s">
        <v>9956</v>
      </c>
      <c r="I999" s="10" t="s">
        <v>18</v>
      </c>
    </row>
    <row r="1000" spans="1:9" x14ac:dyDescent="0.2">
      <c r="A1000" s="10" t="s">
        <v>9957</v>
      </c>
      <c r="B1000" s="10">
        <v>967.767322227264</v>
      </c>
      <c r="C1000" s="10">
        <v>-1.50814857223285</v>
      </c>
      <c r="D1000" s="10">
        <v>0.31046254543174501</v>
      </c>
      <c r="E1000" s="10">
        <v>-4.8577472369027497</v>
      </c>
      <c r="F1000" s="4">
        <v>1.1872883893065501E-6</v>
      </c>
      <c r="G1000" s="4">
        <v>1.45760075319698E-5</v>
      </c>
      <c r="H1000" s="10" t="s">
        <v>9958</v>
      </c>
      <c r="I1000" s="10" t="s">
        <v>18</v>
      </c>
    </row>
    <row r="1001" spans="1:9" x14ac:dyDescent="0.2">
      <c r="A1001" s="10" t="s">
        <v>9959</v>
      </c>
      <c r="B1001" s="10">
        <v>3397.34665696208</v>
      </c>
      <c r="C1001" s="10">
        <v>-1.1075404950687999</v>
      </c>
      <c r="D1001" s="10">
        <v>0.27327606816521599</v>
      </c>
      <c r="E1001" s="10">
        <v>-4.0528265153434901</v>
      </c>
      <c r="F1001" s="4">
        <v>5.0602527157824901E-5</v>
      </c>
      <c r="G1001" s="10">
        <v>4.43985549583218E-4</v>
      </c>
      <c r="H1001" s="10" t="s">
        <v>9960</v>
      </c>
      <c r="I1001" s="10" t="s">
        <v>18</v>
      </c>
    </row>
    <row r="1002" spans="1:9" x14ac:dyDescent="0.2">
      <c r="A1002" s="10" t="s">
        <v>2987</v>
      </c>
      <c r="B1002" s="10">
        <v>571.78282471156194</v>
      </c>
      <c r="C1002" s="10">
        <v>-1.43233267656768</v>
      </c>
      <c r="D1002" s="10">
        <v>0.30976085761909899</v>
      </c>
      <c r="E1002" s="10">
        <v>-4.6239950637306402</v>
      </c>
      <c r="F1002" s="4">
        <v>3.7641882682978101E-6</v>
      </c>
      <c r="G1002" s="4">
        <v>4.2328187701846801E-5</v>
      </c>
      <c r="H1002" s="10" t="s">
        <v>2988</v>
      </c>
      <c r="I1002" s="10" t="s">
        <v>18</v>
      </c>
    </row>
    <row r="1003" spans="1:9" x14ac:dyDescent="0.2">
      <c r="A1003" s="10" t="s">
        <v>2989</v>
      </c>
      <c r="B1003" s="10">
        <v>46177.731939383702</v>
      </c>
      <c r="C1003" s="10">
        <v>-1.6110605196074499</v>
      </c>
      <c r="D1003" s="10">
        <v>0.27548430333394203</v>
      </c>
      <c r="E1003" s="10">
        <v>-5.8481027779449199</v>
      </c>
      <c r="F1003" s="4">
        <v>4.97211320453823E-9</v>
      </c>
      <c r="G1003" s="4">
        <v>9.21012574817078E-8</v>
      </c>
      <c r="H1003" s="10" t="s">
        <v>2990</v>
      </c>
      <c r="I1003" s="10" t="s">
        <v>18</v>
      </c>
    </row>
    <row r="1004" spans="1:9" x14ac:dyDescent="0.2">
      <c r="A1004" s="10" t="s">
        <v>2991</v>
      </c>
      <c r="B1004" s="10">
        <v>4511.4830124606997</v>
      </c>
      <c r="C1004" s="10">
        <v>1.3142920174300099</v>
      </c>
      <c r="D1004" s="10">
        <v>0.29732634627853199</v>
      </c>
      <c r="E1004" s="10">
        <v>4.4203685071312</v>
      </c>
      <c r="F1004" s="4">
        <v>9.8532727988577004E-6</v>
      </c>
      <c r="G1004" s="10">
        <v>1.01084452387955E-4</v>
      </c>
      <c r="H1004" s="10" t="s">
        <v>2992</v>
      </c>
      <c r="I1004" s="10" t="s">
        <v>18</v>
      </c>
    </row>
    <row r="1005" spans="1:9" x14ac:dyDescent="0.2">
      <c r="A1005" s="10" t="s">
        <v>2993</v>
      </c>
      <c r="B1005" s="10">
        <v>2167.0774726852001</v>
      </c>
      <c r="C1005" s="10">
        <v>-1.0474578674766499</v>
      </c>
      <c r="D1005" s="10">
        <v>0.28703379231944498</v>
      </c>
      <c r="E1005" s="10">
        <v>-3.64924930619638</v>
      </c>
      <c r="F1005" s="10">
        <v>2.6300776550324602E-4</v>
      </c>
      <c r="G1005" s="10">
        <v>1.9041795540960099E-3</v>
      </c>
      <c r="H1005" s="10" t="s">
        <v>2994</v>
      </c>
      <c r="I1005" s="10" t="s">
        <v>18</v>
      </c>
    </row>
    <row r="1006" spans="1:9" x14ac:dyDescent="0.2">
      <c r="A1006" s="10" t="s">
        <v>2995</v>
      </c>
      <c r="B1006" s="10">
        <v>517.85359894069097</v>
      </c>
      <c r="C1006" s="10">
        <v>-1.1164022721109901</v>
      </c>
      <c r="D1006" s="10">
        <v>0.29236217208911902</v>
      </c>
      <c r="E1006" s="10">
        <v>-3.81855923471071</v>
      </c>
      <c r="F1006" s="10">
        <v>1.3423335480695499E-4</v>
      </c>
      <c r="G1006" s="10">
        <v>1.05060362170783E-3</v>
      </c>
      <c r="H1006" s="10" t="s">
        <v>2996</v>
      </c>
      <c r="I1006" s="10" t="s">
        <v>18</v>
      </c>
    </row>
    <row r="1007" spans="1:9" x14ac:dyDescent="0.2">
      <c r="A1007" s="10" t="s">
        <v>9961</v>
      </c>
      <c r="B1007" s="10">
        <v>124.317715273814</v>
      </c>
      <c r="C1007" s="10">
        <v>1.4616039892750801</v>
      </c>
      <c r="D1007" s="10">
        <v>0.41326527813165498</v>
      </c>
      <c r="E1007" s="10">
        <v>3.5367210037167802</v>
      </c>
      <c r="F1007" s="10">
        <v>4.0512738712005002E-4</v>
      </c>
      <c r="G1007" s="10">
        <v>2.7851815859537702E-3</v>
      </c>
      <c r="H1007" s="10" t="s">
        <v>9962</v>
      </c>
      <c r="I1007" s="10" t="s">
        <v>18</v>
      </c>
    </row>
    <row r="1008" spans="1:9" x14ac:dyDescent="0.2">
      <c r="A1008" s="10" t="s">
        <v>9963</v>
      </c>
      <c r="B1008" s="10">
        <v>3546.76594248129</v>
      </c>
      <c r="C1008" s="10">
        <v>-1.07254075511236</v>
      </c>
      <c r="D1008" s="10">
        <v>0.27627589591674501</v>
      </c>
      <c r="E1008" s="10">
        <v>-3.8821365561169499</v>
      </c>
      <c r="F1008" s="10">
        <v>1.03542701443483E-4</v>
      </c>
      <c r="G1008" s="10">
        <v>8.3803624672162404E-4</v>
      </c>
      <c r="H1008" s="10" t="s">
        <v>9964</v>
      </c>
      <c r="I1008" s="10" t="s">
        <v>18</v>
      </c>
    </row>
    <row r="1009" spans="1:9" x14ac:dyDescent="0.2">
      <c r="A1009" s="10" t="s">
        <v>9965</v>
      </c>
      <c r="B1009" s="10">
        <v>667.049243124094</v>
      </c>
      <c r="C1009" s="10">
        <v>1.10991849200897</v>
      </c>
      <c r="D1009" s="10">
        <v>0.31885267555999403</v>
      </c>
      <c r="E1009" s="10">
        <v>3.4809759399372902</v>
      </c>
      <c r="F1009" s="10">
        <v>4.9959036617126297E-4</v>
      </c>
      <c r="G1009" s="10">
        <v>3.33878737009515E-3</v>
      </c>
      <c r="H1009" s="10" t="s">
        <v>9966</v>
      </c>
      <c r="I1009" s="10" t="s">
        <v>18</v>
      </c>
    </row>
    <row r="1010" spans="1:9" x14ac:dyDescent="0.2">
      <c r="A1010" s="10" t="s">
        <v>2999</v>
      </c>
      <c r="B1010" s="10">
        <v>549.27916549929705</v>
      </c>
      <c r="C1010" s="10">
        <v>-1.90444970128045</v>
      </c>
      <c r="D1010" s="10">
        <v>0.31496430609269299</v>
      </c>
      <c r="E1010" s="10">
        <v>-6.04655722709093</v>
      </c>
      <c r="F1010" s="4">
        <v>1.4797368794206899E-9</v>
      </c>
      <c r="G1010" s="4">
        <v>2.9355505679674701E-8</v>
      </c>
      <c r="H1010" s="10" t="s">
        <v>3000</v>
      </c>
      <c r="I1010" s="10" t="s">
        <v>18</v>
      </c>
    </row>
    <row r="1011" spans="1:9" x14ac:dyDescent="0.2">
      <c r="A1011" s="10" t="s">
        <v>9967</v>
      </c>
      <c r="B1011" s="10">
        <v>12924.344244928399</v>
      </c>
      <c r="C1011" s="10">
        <v>-1.0002233362517901</v>
      </c>
      <c r="D1011" s="10">
        <v>0.26598000869422</v>
      </c>
      <c r="E1011" s="10">
        <v>-3.7605207292164802</v>
      </c>
      <c r="F1011" s="10">
        <v>1.6956002248248199E-4</v>
      </c>
      <c r="G1011" s="10">
        <v>1.2897739236609699E-3</v>
      </c>
      <c r="H1011" s="10" t="s">
        <v>9968</v>
      </c>
      <c r="I1011" s="10" t="s">
        <v>18</v>
      </c>
    </row>
    <row r="1012" spans="1:9" x14ac:dyDescent="0.2">
      <c r="A1012" s="10" t="s">
        <v>3009</v>
      </c>
      <c r="B1012" s="10">
        <v>170.912140146376</v>
      </c>
      <c r="C1012" s="10">
        <v>-1.4657124017251</v>
      </c>
      <c r="D1012" s="10">
        <v>0.36982514568396402</v>
      </c>
      <c r="E1012" s="10">
        <v>-3.9632578228675399</v>
      </c>
      <c r="F1012" s="4">
        <v>7.3933860507372699E-5</v>
      </c>
      <c r="G1012" s="10">
        <v>6.2200878296420103E-4</v>
      </c>
      <c r="H1012" s="10" t="s">
        <v>3010</v>
      </c>
      <c r="I1012" s="10" t="s">
        <v>18</v>
      </c>
    </row>
    <row r="1013" spans="1:9" x14ac:dyDescent="0.2">
      <c r="A1013" s="10" t="s">
        <v>3013</v>
      </c>
      <c r="B1013" s="10">
        <v>176.48492908414201</v>
      </c>
      <c r="C1013" s="10">
        <v>1.8494764896323701</v>
      </c>
      <c r="D1013" s="10">
        <v>0.35658830191132701</v>
      </c>
      <c r="E1013" s="10">
        <v>5.1865876690825399</v>
      </c>
      <c r="F1013" s="4">
        <v>2.1418222076400999E-7</v>
      </c>
      <c r="G1013" s="4">
        <v>3.0353542328555899E-6</v>
      </c>
      <c r="H1013" s="10" t="s">
        <v>3014</v>
      </c>
      <c r="I1013" s="10" t="s">
        <v>18</v>
      </c>
    </row>
    <row r="1014" spans="1:9" x14ac:dyDescent="0.2">
      <c r="A1014" s="10" t="s">
        <v>9969</v>
      </c>
      <c r="B1014" s="10">
        <v>144.57231813737801</v>
      </c>
      <c r="C1014" s="10">
        <v>-2.3144054322738601</v>
      </c>
      <c r="D1014" s="10">
        <v>0.40668476672301501</v>
      </c>
      <c r="E1014" s="10">
        <v>-5.6909076062102804</v>
      </c>
      <c r="F1014" s="4">
        <v>1.2636587473970701E-8</v>
      </c>
      <c r="G1014" s="4">
        <v>2.1964124150432199E-7</v>
      </c>
      <c r="H1014" s="10" t="s">
        <v>9970</v>
      </c>
      <c r="I1014" s="10" t="s">
        <v>18</v>
      </c>
    </row>
    <row r="1015" spans="1:9" x14ac:dyDescent="0.2">
      <c r="A1015" s="10" t="s">
        <v>3015</v>
      </c>
      <c r="B1015" s="10">
        <v>188.24512238616001</v>
      </c>
      <c r="C1015" s="10">
        <v>-1.7190729384565</v>
      </c>
      <c r="D1015" s="10">
        <v>0.36534039038994698</v>
      </c>
      <c r="E1015" s="10">
        <v>-4.7054007267623597</v>
      </c>
      <c r="F1015" s="4">
        <v>2.5336777557662602E-6</v>
      </c>
      <c r="G1015" s="4">
        <v>2.9343767931077401E-5</v>
      </c>
      <c r="H1015" s="10" t="s">
        <v>3016</v>
      </c>
      <c r="I1015" s="10" t="s">
        <v>18</v>
      </c>
    </row>
    <row r="1016" spans="1:9" x14ac:dyDescent="0.2">
      <c r="A1016" s="10" t="s">
        <v>9971</v>
      </c>
      <c r="B1016" s="10">
        <v>12.8288756103147</v>
      </c>
      <c r="C1016" s="10">
        <v>-3.55697283560955</v>
      </c>
      <c r="D1016" s="10">
        <v>1.1721156495348899</v>
      </c>
      <c r="E1016" s="10">
        <v>-3.03466030593568</v>
      </c>
      <c r="F1016" s="10">
        <v>2.4080674340744498E-3</v>
      </c>
      <c r="G1016" s="10">
        <v>1.2811957763143599E-2</v>
      </c>
      <c r="H1016" s="10" t="s">
        <v>9972</v>
      </c>
      <c r="I1016" s="10" t="s">
        <v>18</v>
      </c>
    </row>
    <row r="1017" spans="1:9" x14ac:dyDescent="0.2">
      <c r="A1017" s="10" t="s">
        <v>9973</v>
      </c>
      <c r="B1017" s="10">
        <v>421.65371436970901</v>
      </c>
      <c r="C1017" s="10">
        <v>-1.51538170746864</v>
      </c>
      <c r="D1017" s="10">
        <v>0.29090396346868702</v>
      </c>
      <c r="E1017" s="10">
        <v>-5.20921643486564</v>
      </c>
      <c r="F1017" s="4">
        <v>1.8963979464497799E-7</v>
      </c>
      <c r="G1017" s="4">
        <v>2.71972008796718E-6</v>
      </c>
      <c r="H1017" s="10" t="s">
        <v>9974</v>
      </c>
      <c r="I1017" s="10" t="s">
        <v>18</v>
      </c>
    </row>
    <row r="1018" spans="1:9" x14ac:dyDescent="0.2">
      <c r="A1018" s="10" t="s">
        <v>9975</v>
      </c>
      <c r="B1018" s="10">
        <v>200.203216249305</v>
      </c>
      <c r="C1018" s="10">
        <v>-2.8240550415864099</v>
      </c>
      <c r="D1018" s="10">
        <v>0.415896906591884</v>
      </c>
      <c r="E1018" s="10">
        <v>-6.7902766210224197</v>
      </c>
      <c r="F1018" s="4">
        <v>1.1191874236605901E-11</v>
      </c>
      <c r="G1018" s="4">
        <v>2.8610934595713698E-10</v>
      </c>
      <c r="H1018" s="10" t="s">
        <v>9976</v>
      </c>
      <c r="I1018" s="10" t="s">
        <v>18</v>
      </c>
    </row>
    <row r="1019" spans="1:9" x14ac:dyDescent="0.2">
      <c r="A1019" s="10" t="s">
        <v>3017</v>
      </c>
      <c r="B1019" s="10">
        <v>3481.8867127332101</v>
      </c>
      <c r="C1019" s="10">
        <v>1.34096061719105</v>
      </c>
      <c r="D1019" s="10">
        <v>0.266256616280928</v>
      </c>
      <c r="E1019" s="10">
        <v>5.0363466490395199</v>
      </c>
      <c r="F1019" s="4">
        <v>4.74500919392627E-7</v>
      </c>
      <c r="G1019" s="4">
        <v>6.3388585381420802E-6</v>
      </c>
      <c r="H1019" s="10" t="s">
        <v>3018</v>
      </c>
      <c r="I1019" s="10" t="s">
        <v>18</v>
      </c>
    </row>
    <row r="1020" spans="1:9" x14ac:dyDescent="0.2">
      <c r="A1020" s="10" t="s">
        <v>3019</v>
      </c>
      <c r="B1020" s="10">
        <v>352.00203533431198</v>
      </c>
      <c r="C1020" s="10">
        <v>8.5354196549504895</v>
      </c>
      <c r="D1020" s="10">
        <v>0.77909915436905797</v>
      </c>
      <c r="E1020" s="10">
        <v>10.9554985486575</v>
      </c>
      <c r="F1020" s="4">
        <v>6.2533080537823698E-28</v>
      </c>
      <c r="G1020" s="4">
        <v>5.69934652510491E-26</v>
      </c>
      <c r="H1020" s="10" t="s">
        <v>3020</v>
      </c>
      <c r="I1020" s="10" t="s">
        <v>18</v>
      </c>
    </row>
    <row r="1021" spans="1:9" x14ac:dyDescent="0.2">
      <c r="A1021" s="10" t="s">
        <v>9977</v>
      </c>
      <c r="B1021" s="10">
        <v>125.78407661632301</v>
      </c>
      <c r="C1021" s="10">
        <v>-3.4861893665109598</v>
      </c>
      <c r="D1021" s="10">
        <v>0.451250481023865</v>
      </c>
      <c r="E1021" s="10">
        <v>-7.7256191696482501</v>
      </c>
      <c r="F1021" s="4">
        <v>1.11310950276886E-14</v>
      </c>
      <c r="G1021" s="4">
        <v>3.9106521706914399E-13</v>
      </c>
      <c r="H1021" s="10" t="s">
        <v>9978</v>
      </c>
      <c r="I1021" s="10" t="s">
        <v>18</v>
      </c>
    </row>
    <row r="1022" spans="1:9" x14ac:dyDescent="0.2">
      <c r="A1022" s="10" t="s">
        <v>9979</v>
      </c>
      <c r="B1022" s="10">
        <v>296.39225330532503</v>
      </c>
      <c r="C1022" s="10">
        <v>2.4189351417932201</v>
      </c>
      <c r="D1022" s="10">
        <v>0.37291459740295801</v>
      </c>
      <c r="E1022" s="10">
        <v>6.4865659822359003</v>
      </c>
      <c r="F1022" s="4">
        <v>8.7814831724023004E-11</v>
      </c>
      <c r="G1022" s="4">
        <v>2.0321822373668802E-9</v>
      </c>
      <c r="H1022" s="10" t="s">
        <v>9980</v>
      </c>
      <c r="I1022" s="10" t="s">
        <v>18</v>
      </c>
    </row>
    <row r="1023" spans="1:9" x14ac:dyDescent="0.2">
      <c r="A1023" s="10" t="s">
        <v>3025</v>
      </c>
      <c r="B1023" s="10">
        <v>1973.6734692554801</v>
      </c>
      <c r="C1023" s="10">
        <v>-1.53736213107236</v>
      </c>
      <c r="D1023" s="10">
        <v>0.281751633411914</v>
      </c>
      <c r="E1023" s="10">
        <v>-5.4564444310595102</v>
      </c>
      <c r="F1023" s="4">
        <v>4.85763200983448E-8</v>
      </c>
      <c r="G1023" s="4">
        <v>7.6418845032762001E-7</v>
      </c>
      <c r="H1023" s="10" t="s">
        <v>3026</v>
      </c>
      <c r="I1023" s="10" t="s">
        <v>18</v>
      </c>
    </row>
    <row r="1024" spans="1:9" x14ac:dyDescent="0.2">
      <c r="A1024" s="10" t="s">
        <v>3027</v>
      </c>
      <c r="B1024" s="10">
        <v>1577.5726219170999</v>
      </c>
      <c r="C1024" s="10">
        <v>1.83578828125014</v>
      </c>
      <c r="D1024" s="10">
        <v>0.27283759731592799</v>
      </c>
      <c r="E1024" s="10">
        <v>6.7285018608502796</v>
      </c>
      <c r="F1024" s="4">
        <v>1.7141880622841699E-11</v>
      </c>
      <c r="G1024" s="4">
        <v>4.28632213784874E-10</v>
      </c>
      <c r="H1024" s="10" t="s">
        <v>3028</v>
      </c>
      <c r="I1024" s="10" t="s">
        <v>18</v>
      </c>
    </row>
    <row r="1025" spans="1:9" x14ac:dyDescent="0.2">
      <c r="A1025" s="10" t="s">
        <v>9981</v>
      </c>
      <c r="B1025" s="10">
        <v>10280.0698127663</v>
      </c>
      <c r="C1025" s="10">
        <v>1.28346267657293</v>
      </c>
      <c r="D1025" s="10">
        <v>0.31402340823678399</v>
      </c>
      <c r="E1025" s="10">
        <v>4.0871560619619904</v>
      </c>
      <c r="F1025" s="4">
        <v>4.36693378249855E-5</v>
      </c>
      <c r="G1025" s="10">
        <v>3.8802620734281601E-4</v>
      </c>
      <c r="H1025" s="10" t="s">
        <v>9982</v>
      </c>
      <c r="I1025" s="10" t="s">
        <v>18</v>
      </c>
    </row>
    <row r="1026" spans="1:9" x14ac:dyDescent="0.2">
      <c r="A1026" s="10" t="s">
        <v>3029</v>
      </c>
      <c r="B1026" s="10">
        <v>887.28356281446304</v>
      </c>
      <c r="C1026" s="10">
        <v>9.0717332265800792</v>
      </c>
      <c r="D1026" s="10">
        <v>0.61085652218545405</v>
      </c>
      <c r="E1026" s="10">
        <v>14.850841232118199</v>
      </c>
      <c r="F1026" s="4">
        <v>6.8701108807609997E-50</v>
      </c>
      <c r="G1026" s="4">
        <v>1.83848552346322E-47</v>
      </c>
      <c r="H1026" s="10" t="s">
        <v>3030</v>
      </c>
      <c r="I1026" s="10" t="s">
        <v>18</v>
      </c>
    </row>
    <row r="1027" spans="1:9" x14ac:dyDescent="0.2">
      <c r="A1027" s="10" t="s">
        <v>9983</v>
      </c>
      <c r="B1027" s="10">
        <v>391.94896703762902</v>
      </c>
      <c r="C1027" s="10">
        <v>1.1682149220268001</v>
      </c>
      <c r="D1027" s="10">
        <v>0.32372429838448102</v>
      </c>
      <c r="E1027" s="10">
        <v>3.6086723420412898</v>
      </c>
      <c r="F1027" s="10">
        <v>3.0776802888448702E-4</v>
      </c>
      <c r="G1027" s="10">
        <v>2.19628504016717E-3</v>
      </c>
      <c r="H1027" s="10" t="s">
        <v>9984</v>
      </c>
      <c r="I1027" s="10" t="s">
        <v>18</v>
      </c>
    </row>
    <row r="1028" spans="1:9" x14ac:dyDescent="0.2">
      <c r="A1028" s="10" t="s">
        <v>9985</v>
      </c>
      <c r="B1028" s="10">
        <v>964.01336016957498</v>
      </c>
      <c r="C1028" s="10">
        <v>-1.0554102446417499</v>
      </c>
      <c r="D1028" s="10">
        <v>0.28504749896493098</v>
      </c>
      <c r="E1028" s="10">
        <v>-3.7025767581689699</v>
      </c>
      <c r="F1028" s="10">
        <v>2.1342075971348301E-4</v>
      </c>
      <c r="G1028" s="10">
        <v>1.5813252461244901E-3</v>
      </c>
      <c r="H1028" s="10" t="s">
        <v>9986</v>
      </c>
      <c r="I1028" s="10" t="s">
        <v>18</v>
      </c>
    </row>
    <row r="1029" spans="1:9" x14ac:dyDescent="0.2">
      <c r="A1029" s="10" t="s">
        <v>9987</v>
      </c>
      <c r="B1029" s="10">
        <v>2921.2802758613102</v>
      </c>
      <c r="C1029" s="10">
        <v>1.0887410366982799</v>
      </c>
      <c r="D1029" s="10">
        <v>0.29275696146424601</v>
      </c>
      <c r="E1029" s="10">
        <v>3.7189245005579399</v>
      </c>
      <c r="F1029" s="10">
        <v>2.0007283652712299E-4</v>
      </c>
      <c r="G1029" s="10">
        <v>1.49297899817258E-3</v>
      </c>
      <c r="H1029" s="10" t="s">
        <v>9988</v>
      </c>
      <c r="I1029" s="10" t="s">
        <v>18</v>
      </c>
    </row>
    <row r="1030" spans="1:9" x14ac:dyDescent="0.2">
      <c r="A1030" s="10" t="s">
        <v>3045</v>
      </c>
      <c r="B1030" s="10">
        <v>2434.6986601763401</v>
      </c>
      <c r="C1030" s="10">
        <v>-1.5649564391463</v>
      </c>
      <c r="D1030" s="10">
        <v>0.24240238545807499</v>
      </c>
      <c r="E1030" s="10">
        <v>-6.4560273868136804</v>
      </c>
      <c r="F1030" s="4">
        <v>1.0748716548877801E-10</v>
      </c>
      <c r="G1030" s="4">
        <v>2.4647581110940801E-9</v>
      </c>
      <c r="H1030" s="10" t="s">
        <v>3046</v>
      </c>
      <c r="I1030" s="10" t="s">
        <v>18</v>
      </c>
    </row>
    <row r="1031" spans="1:9" x14ac:dyDescent="0.2">
      <c r="A1031" s="10" t="s">
        <v>9989</v>
      </c>
      <c r="B1031" s="10">
        <v>25.7164123326287</v>
      </c>
      <c r="C1031" s="10">
        <v>-2.1440887063761398</v>
      </c>
      <c r="D1031" s="10">
        <v>0.733066451369219</v>
      </c>
      <c r="E1031" s="10">
        <v>-2.9248217571155002</v>
      </c>
      <c r="F1031" s="10">
        <v>3.4465357225729799E-3</v>
      </c>
      <c r="G1031" s="10">
        <v>1.7394184651882801E-2</v>
      </c>
      <c r="H1031" s="10" t="s">
        <v>9990</v>
      </c>
      <c r="I1031" s="10" t="s">
        <v>18</v>
      </c>
    </row>
    <row r="1032" spans="1:9" x14ac:dyDescent="0.2">
      <c r="A1032" s="10" t="s">
        <v>9991</v>
      </c>
      <c r="B1032" s="10">
        <v>51.123391948016902</v>
      </c>
      <c r="C1032" s="10">
        <v>-2.0547048935131502</v>
      </c>
      <c r="D1032" s="10">
        <v>0.53286898158325902</v>
      </c>
      <c r="E1032" s="10">
        <v>-3.8559288765658999</v>
      </c>
      <c r="F1032" s="10">
        <v>1.1529100748291401E-4</v>
      </c>
      <c r="G1032" s="10">
        <v>9.2097341798434099E-4</v>
      </c>
      <c r="H1032" s="10" t="s">
        <v>9992</v>
      </c>
      <c r="I1032" s="10" t="s">
        <v>18</v>
      </c>
    </row>
    <row r="1033" spans="1:9" x14ac:dyDescent="0.2">
      <c r="A1033" s="10" t="s">
        <v>3047</v>
      </c>
      <c r="B1033" s="10">
        <v>2995.9647434199201</v>
      </c>
      <c r="C1033" s="10">
        <v>1.85501065189616</v>
      </c>
      <c r="D1033" s="10">
        <v>0.27043894486480302</v>
      </c>
      <c r="E1033" s="10">
        <v>6.8592585761770097</v>
      </c>
      <c r="F1033" s="4">
        <v>6.9218849935863401E-12</v>
      </c>
      <c r="G1033" s="4">
        <v>1.8137501772256699E-10</v>
      </c>
      <c r="H1033" s="10" t="s">
        <v>3048</v>
      </c>
      <c r="I1033" s="10" t="s">
        <v>18</v>
      </c>
    </row>
    <row r="1034" spans="1:9" x14ac:dyDescent="0.2">
      <c r="A1034" s="10" t="s">
        <v>3051</v>
      </c>
      <c r="B1034" s="10">
        <v>44.830562440236697</v>
      </c>
      <c r="C1034" s="10">
        <v>3.8739440244919199</v>
      </c>
      <c r="D1034" s="10">
        <v>0.65623146652612296</v>
      </c>
      <c r="E1034" s="10">
        <v>5.9033195177295097</v>
      </c>
      <c r="F1034" s="4">
        <v>3.5625933313983198E-9</v>
      </c>
      <c r="G1034" s="4">
        <v>6.7280056494988606E-8</v>
      </c>
      <c r="H1034" s="10" t="s">
        <v>3052</v>
      </c>
      <c r="I1034" s="10" t="s">
        <v>18</v>
      </c>
    </row>
    <row r="1035" spans="1:9" x14ac:dyDescent="0.2">
      <c r="A1035" s="10" t="s">
        <v>3055</v>
      </c>
      <c r="B1035" s="10">
        <v>2976.5149516046599</v>
      </c>
      <c r="C1035" s="10">
        <v>-1.1365531253021799</v>
      </c>
      <c r="D1035" s="10">
        <v>0.23941118986582499</v>
      </c>
      <c r="E1035" s="10">
        <v>-4.7472848948252997</v>
      </c>
      <c r="F1035" s="4">
        <v>2.0616546067164098E-6</v>
      </c>
      <c r="G1035" s="4">
        <v>2.4256745384448699E-5</v>
      </c>
      <c r="H1035" s="10" t="s">
        <v>3056</v>
      </c>
      <c r="I1035" s="10" t="s">
        <v>18</v>
      </c>
    </row>
    <row r="1036" spans="1:9" x14ac:dyDescent="0.2">
      <c r="A1036" s="10" t="s">
        <v>3057</v>
      </c>
      <c r="B1036" s="10">
        <v>18070.590214567601</v>
      </c>
      <c r="C1036" s="10">
        <v>7.5546845062547101</v>
      </c>
      <c r="D1036" s="10">
        <v>0.27881984903834001</v>
      </c>
      <c r="E1036" s="10">
        <v>27.095217690961</v>
      </c>
      <c r="F1036" s="4">
        <v>1.1210693486504501E-161</v>
      </c>
      <c r="G1036" s="4">
        <v>9.4001664884340402E-158</v>
      </c>
      <c r="H1036" s="10" t="s">
        <v>3058</v>
      </c>
      <c r="I1036" s="10" t="s">
        <v>18</v>
      </c>
    </row>
    <row r="1037" spans="1:9" x14ac:dyDescent="0.2">
      <c r="A1037" s="10" t="s">
        <v>3061</v>
      </c>
      <c r="B1037" s="10">
        <v>1261.7499321262101</v>
      </c>
      <c r="C1037" s="10">
        <v>-1.2691686722984401</v>
      </c>
      <c r="D1037" s="10">
        <v>0.29585800425754799</v>
      </c>
      <c r="E1037" s="10">
        <v>-4.2897898790448599</v>
      </c>
      <c r="F1037" s="4">
        <v>1.7884224241269901E-5</v>
      </c>
      <c r="G1037" s="10">
        <v>1.73489052478177E-4</v>
      </c>
      <c r="H1037" s="10" t="s">
        <v>3062</v>
      </c>
      <c r="I1037" s="10" t="s">
        <v>18</v>
      </c>
    </row>
    <row r="1038" spans="1:9" x14ac:dyDescent="0.2">
      <c r="A1038" s="10" t="s">
        <v>9993</v>
      </c>
      <c r="B1038" s="10">
        <v>13.443995462987299</v>
      </c>
      <c r="C1038" s="10">
        <v>-3.5819831338642998</v>
      </c>
      <c r="D1038" s="10">
        <v>1.10838324759576</v>
      </c>
      <c r="E1038" s="10">
        <v>-3.2317189398469601</v>
      </c>
      <c r="F1038" s="10">
        <v>1.2304801970927E-3</v>
      </c>
      <c r="G1038" s="10">
        <v>7.2967301645136696E-3</v>
      </c>
      <c r="H1038" s="10" t="s">
        <v>9994</v>
      </c>
      <c r="I1038" s="10" t="s">
        <v>18</v>
      </c>
    </row>
    <row r="1039" spans="1:9" x14ac:dyDescent="0.2">
      <c r="A1039" s="10" t="s">
        <v>3071</v>
      </c>
      <c r="B1039" s="10">
        <v>20.209144006750101</v>
      </c>
      <c r="C1039" s="10">
        <v>7.8535831840798904</v>
      </c>
      <c r="D1039" s="10">
        <v>1.6205243719056399</v>
      </c>
      <c r="E1039" s="10">
        <v>4.8463221659817002</v>
      </c>
      <c r="F1039" s="4">
        <v>1.25771221066575E-6</v>
      </c>
      <c r="G1039" s="4">
        <v>1.5343235043305899E-5</v>
      </c>
      <c r="H1039" s="10" t="s">
        <v>3072</v>
      </c>
      <c r="I1039" s="10" t="s">
        <v>18</v>
      </c>
    </row>
    <row r="1040" spans="1:9" x14ac:dyDescent="0.2">
      <c r="A1040" s="10" t="s">
        <v>3073</v>
      </c>
      <c r="B1040" s="10">
        <v>3197.0621165505099</v>
      </c>
      <c r="C1040" s="10">
        <v>11.140147328304099</v>
      </c>
      <c r="D1040" s="10">
        <v>0.64927073304921001</v>
      </c>
      <c r="E1040" s="10">
        <v>17.157938532029501</v>
      </c>
      <c r="F1040" s="4">
        <v>5.4825376629250796E-66</v>
      </c>
      <c r="G1040" s="4">
        <v>2.5075133620160098E-63</v>
      </c>
      <c r="H1040" s="10" t="s">
        <v>3074</v>
      </c>
      <c r="I1040" s="10" t="s">
        <v>18</v>
      </c>
    </row>
    <row r="1041" spans="1:9" x14ac:dyDescent="0.2">
      <c r="A1041" s="10" t="s">
        <v>3075</v>
      </c>
      <c r="B1041" s="10">
        <v>443.74045469045302</v>
      </c>
      <c r="C1041" s="10">
        <v>4.8065261949414504</v>
      </c>
      <c r="D1041" s="10">
        <v>0.37170181169250099</v>
      </c>
      <c r="E1041" s="10">
        <v>12.9311346992243</v>
      </c>
      <c r="F1041" s="4">
        <v>3.0035305876056302E-38</v>
      </c>
      <c r="G1041" s="4">
        <v>4.6352031859643902E-36</v>
      </c>
      <c r="H1041" s="10" t="s">
        <v>3076</v>
      </c>
      <c r="I1041" s="10" t="s">
        <v>18</v>
      </c>
    </row>
    <row r="1042" spans="1:9" x14ac:dyDescent="0.2">
      <c r="A1042" s="10" t="s">
        <v>9995</v>
      </c>
      <c r="B1042" s="10">
        <v>331.65021973839703</v>
      </c>
      <c r="C1042" s="10">
        <v>1.0396472290546801</v>
      </c>
      <c r="D1042" s="10">
        <v>0.341527699864206</v>
      </c>
      <c r="E1042" s="10">
        <v>3.04410807518118</v>
      </c>
      <c r="F1042" s="10">
        <v>2.3337128675631198E-3</v>
      </c>
      <c r="G1042" s="10">
        <v>1.2499527539476901E-2</v>
      </c>
      <c r="H1042" s="10" t="s">
        <v>9996</v>
      </c>
      <c r="I1042" s="10" t="s">
        <v>18</v>
      </c>
    </row>
    <row r="1043" spans="1:9" x14ac:dyDescent="0.2">
      <c r="A1043" s="10" t="s">
        <v>9997</v>
      </c>
      <c r="B1043" s="10">
        <v>188.00042902372101</v>
      </c>
      <c r="C1043" s="10">
        <v>1.6646383659911901</v>
      </c>
      <c r="D1043" s="10">
        <v>0.42568876134515898</v>
      </c>
      <c r="E1043" s="10">
        <v>3.9104588073478999</v>
      </c>
      <c r="F1043" s="4">
        <v>9.2120970287818996E-5</v>
      </c>
      <c r="G1043" s="10">
        <v>7.5457603633672602E-4</v>
      </c>
      <c r="H1043" s="10" t="s">
        <v>9998</v>
      </c>
      <c r="I1043" s="10" t="s">
        <v>18</v>
      </c>
    </row>
    <row r="1044" spans="1:9" x14ac:dyDescent="0.2">
      <c r="A1044" s="10" t="s">
        <v>3079</v>
      </c>
      <c r="B1044" s="10">
        <v>125.603131619891</v>
      </c>
      <c r="C1044" s="10">
        <v>2.0641115324284098</v>
      </c>
      <c r="D1044" s="10">
        <v>0.41012539885640598</v>
      </c>
      <c r="E1044" s="10">
        <v>5.0328790613407097</v>
      </c>
      <c r="F1044" s="4">
        <v>4.8316795888844704E-7</v>
      </c>
      <c r="G1044" s="4">
        <v>6.4409591975828704E-6</v>
      </c>
      <c r="H1044" s="10" t="s">
        <v>3080</v>
      </c>
      <c r="I1044" s="10" t="s">
        <v>18</v>
      </c>
    </row>
    <row r="1045" spans="1:9" x14ac:dyDescent="0.2">
      <c r="A1045" s="10" t="s">
        <v>3085</v>
      </c>
      <c r="B1045" s="10">
        <v>73.437977202613794</v>
      </c>
      <c r="C1045" s="10">
        <v>2.75596172312438</v>
      </c>
      <c r="D1045" s="10">
        <v>0.535963198680659</v>
      </c>
      <c r="E1045" s="10">
        <v>5.1420726831777301</v>
      </c>
      <c r="F1045" s="4">
        <v>2.7172394931832502E-7</v>
      </c>
      <c r="G1045" s="4">
        <v>3.7784499420135201E-6</v>
      </c>
      <c r="H1045" s="10" t="s">
        <v>3086</v>
      </c>
      <c r="I1045" s="10" t="s">
        <v>18</v>
      </c>
    </row>
    <row r="1046" spans="1:9" x14ac:dyDescent="0.2">
      <c r="A1046" s="10" t="s">
        <v>3087</v>
      </c>
      <c r="B1046" s="10">
        <v>7749.2281237039497</v>
      </c>
      <c r="C1046" s="10">
        <v>1.7545868981203701</v>
      </c>
      <c r="D1046" s="10">
        <v>0.26556622335690799</v>
      </c>
      <c r="E1046" s="10">
        <v>6.6069655844835502</v>
      </c>
      <c r="F1046" s="4">
        <v>3.9227718571390502E-11</v>
      </c>
      <c r="G1046" s="4">
        <v>9.4337787826322095E-10</v>
      </c>
      <c r="H1046" s="10" t="s">
        <v>3088</v>
      </c>
      <c r="I1046" s="10" t="s">
        <v>18</v>
      </c>
    </row>
    <row r="1047" spans="1:9" x14ac:dyDescent="0.2">
      <c r="A1047" s="10" t="s">
        <v>9999</v>
      </c>
      <c r="B1047" s="10">
        <v>2537.9104079811</v>
      </c>
      <c r="C1047" s="10">
        <v>-1.22597885899031</v>
      </c>
      <c r="D1047" s="10">
        <v>0.29547765288238198</v>
      </c>
      <c r="E1047" s="10">
        <v>-4.1491424039378098</v>
      </c>
      <c r="F1047" s="4">
        <v>3.3372316800088202E-5</v>
      </c>
      <c r="G1047" s="10">
        <v>3.05376729394768E-4</v>
      </c>
      <c r="H1047" s="10" t="s">
        <v>10000</v>
      </c>
      <c r="I1047" s="10" t="s">
        <v>18</v>
      </c>
    </row>
    <row r="1048" spans="1:9" x14ac:dyDescent="0.2">
      <c r="A1048" s="10" t="s">
        <v>10001</v>
      </c>
      <c r="B1048" s="10">
        <v>2804.2612570143501</v>
      </c>
      <c r="C1048" s="10">
        <v>-1.25090281958085</v>
      </c>
      <c r="D1048" s="10">
        <v>0.280701745121684</v>
      </c>
      <c r="E1048" s="10">
        <v>-4.4563414418338896</v>
      </c>
      <c r="F1048" s="4">
        <v>8.3370211233389399E-6</v>
      </c>
      <c r="G1048" s="4">
        <v>8.7280479364230796E-5</v>
      </c>
      <c r="H1048" s="10" t="s">
        <v>10002</v>
      </c>
      <c r="I1048" s="10" t="s">
        <v>18</v>
      </c>
    </row>
    <row r="1049" spans="1:9" x14ac:dyDescent="0.2">
      <c r="A1049" s="10" t="s">
        <v>10003</v>
      </c>
      <c r="B1049" s="10">
        <v>1249.2432991159101</v>
      </c>
      <c r="C1049" s="10">
        <v>1.2542222733711099</v>
      </c>
      <c r="D1049" s="10">
        <v>0.30076130878935298</v>
      </c>
      <c r="E1049" s="10">
        <v>4.1701583173038701</v>
      </c>
      <c r="F1049" s="4">
        <v>3.0438810824440801E-5</v>
      </c>
      <c r="G1049" s="10">
        <v>2.7985682978392098E-4</v>
      </c>
      <c r="H1049" s="10" t="s">
        <v>10004</v>
      </c>
      <c r="I1049" s="10" t="s">
        <v>18</v>
      </c>
    </row>
    <row r="1050" spans="1:9" x14ac:dyDescent="0.2">
      <c r="A1050" s="10" t="s">
        <v>3091</v>
      </c>
      <c r="B1050" s="10">
        <v>68.916182647336498</v>
      </c>
      <c r="C1050" s="10">
        <v>-3.4148111774133501</v>
      </c>
      <c r="D1050" s="10">
        <v>0.56123297808532802</v>
      </c>
      <c r="E1050" s="10">
        <v>-6.0844806181260704</v>
      </c>
      <c r="F1050" s="4">
        <v>1.16869538355825E-9</v>
      </c>
      <c r="G1050" s="4">
        <v>2.3575406875226698E-8</v>
      </c>
      <c r="H1050" s="10" t="s">
        <v>3092</v>
      </c>
      <c r="I1050" s="10" t="s">
        <v>18</v>
      </c>
    </row>
    <row r="1051" spans="1:9" x14ac:dyDescent="0.2">
      <c r="A1051" s="10" t="s">
        <v>3097</v>
      </c>
      <c r="B1051" s="10">
        <v>3718.7529627024101</v>
      </c>
      <c r="C1051" s="10">
        <v>3.7193778755728801</v>
      </c>
      <c r="D1051" s="10">
        <v>0.24638331645702799</v>
      </c>
      <c r="E1051" s="10">
        <v>15.0958998728373</v>
      </c>
      <c r="F1051" s="4">
        <v>1.72320805722555E-51</v>
      </c>
      <c r="G1051" s="4">
        <v>4.7634394153306298E-49</v>
      </c>
      <c r="H1051" s="10" t="s">
        <v>3098</v>
      </c>
      <c r="I1051" s="10" t="s">
        <v>18</v>
      </c>
    </row>
    <row r="1052" spans="1:9" x14ac:dyDescent="0.2">
      <c r="A1052" s="10" t="s">
        <v>3105</v>
      </c>
      <c r="B1052" s="10">
        <v>3771.9989974485802</v>
      </c>
      <c r="C1052" s="10">
        <v>1.56240023836025</v>
      </c>
      <c r="D1052" s="10">
        <v>0.303810894185359</v>
      </c>
      <c r="E1052" s="10">
        <v>5.1426735125798899</v>
      </c>
      <c r="F1052" s="4">
        <v>2.7085608960002801E-7</v>
      </c>
      <c r="G1052" s="4">
        <v>3.7690356427658899E-6</v>
      </c>
      <c r="H1052" s="10" t="s">
        <v>3106</v>
      </c>
      <c r="I1052" s="10" t="s">
        <v>18</v>
      </c>
    </row>
    <row r="1053" spans="1:9" x14ac:dyDescent="0.2">
      <c r="A1053" s="10" t="s">
        <v>3107</v>
      </c>
      <c r="B1053" s="10">
        <v>197.43618710619299</v>
      </c>
      <c r="C1053" s="10">
        <v>6.3646436883631798</v>
      </c>
      <c r="D1053" s="10">
        <v>0.55938625156316601</v>
      </c>
      <c r="E1053" s="10">
        <v>11.377905106851699</v>
      </c>
      <c r="F1053" s="4">
        <v>5.3878423230100403E-30</v>
      </c>
      <c r="G1053" s="4">
        <v>5.5774145528937304E-28</v>
      </c>
      <c r="H1053" s="10" t="s">
        <v>3108</v>
      </c>
      <c r="I1053" s="10" t="s">
        <v>18</v>
      </c>
    </row>
    <row r="1054" spans="1:9" x14ac:dyDescent="0.2">
      <c r="A1054" s="10" t="s">
        <v>10005</v>
      </c>
      <c r="B1054" s="10">
        <v>4129.0933632358201</v>
      </c>
      <c r="C1054" s="10">
        <v>1.56279675389085</v>
      </c>
      <c r="D1054" s="10">
        <v>0.28372358403655901</v>
      </c>
      <c r="E1054" s="10">
        <v>5.5081665459628502</v>
      </c>
      <c r="F1054" s="4">
        <v>3.6259028557539701E-8</v>
      </c>
      <c r="G1054" s="4">
        <v>5.8280885838013505E-7</v>
      </c>
      <c r="H1054" s="10" t="s">
        <v>10006</v>
      </c>
      <c r="I1054" s="10" t="s">
        <v>18</v>
      </c>
    </row>
    <row r="1055" spans="1:9" x14ac:dyDescent="0.2">
      <c r="A1055" s="10" t="s">
        <v>3117</v>
      </c>
      <c r="B1055" s="10">
        <v>154.93705994596499</v>
      </c>
      <c r="C1055" s="10">
        <v>-1.22588276148208</v>
      </c>
      <c r="D1055" s="10">
        <v>0.37974740618077601</v>
      </c>
      <c r="E1055" s="10">
        <v>-3.2281530868403299</v>
      </c>
      <c r="F1055" s="10">
        <v>1.24592278121997E-3</v>
      </c>
      <c r="G1055" s="10">
        <v>7.36919528840543E-3</v>
      </c>
      <c r="H1055" s="10" t="s">
        <v>3118</v>
      </c>
      <c r="I1055" s="10" t="s">
        <v>18</v>
      </c>
    </row>
    <row r="1056" spans="1:9" x14ac:dyDescent="0.2">
      <c r="A1056" s="10" t="s">
        <v>10007</v>
      </c>
      <c r="B1056" s="10">
        <v>1924.36760235564</v>
      </c>
      <c r="C1056" s="10">
        <v>8.7385554469904605</v>
      </c>
      <c r="D1056" s="10">
        <v>0.415082093471348</v>
      </c>
      <c r="E1056" s="10">
        <v>21.0525955815381</v>
      </c>
      <c r="F1056" s="4">
        <v>2.1649339922525701E-98</v>
      </c>
      <c r="G1056" s="4">
        <v>3.2034655632419598E-95</v>
      </c>
      <c r="H1056" s="10" t="s">
        <v>10008</v>
      </c>
      <c r="I1056" s="10" t="s">
        <v>18</v>
      </c>
    </row>
    <row r="1057" spans="1:9" x14ac:dyDescent="0.2">
      <c r="A1057" s="10" t="s">
        <v>10009</v>
      </c>
      <c r="B1057" s="10">
        <v>769.93384275030496</v>
      </c>
      <c r="C1057" s="10">
        <v>-1.41989768818974</v>
      </c>
      <c r="D1057" s="10">
        <v>0.30191176167251699</v>
      </c>
      <c r="E1057" s="10">
        <v>-4.7030221026297596</v>
      </c>
      <c r="F1057" s="4">
        <v>2.56338657347767E-6</v>
      </c>
      <c r="G1057" s="4">
        <v>2.96468916118763E-5</v>
      </c>
      <c r="H1057" s="10" t="s">
        <v>10010</v>
      </c>
      <c r="I1057" s="10" t="s">
        <v>18</v>
      </c>
    </row>
    <row r="1058" spans="1:9" x14ac:dyDescent="0.2">
      <c r="A1058" s="10" t="s">
        <v>3127</v>
      </c>
      <c r="B1058" s="10">
        <v>12725.5973966442</v>
      </c>
      <c r="C1058" s="10">
        <v>-2.3382199524945899</v>
      </c>
      <c r="D1058" s="10">
        <v>0.25299610235756198</v>
      </c>
      <c r="E1058" s="10">
        <v>-9.2421184781335608</v>
      </c>
      <c r="F1058" s="4">
        <v>2.4166431507419701E-20</v>
      </c>
      <c r="G1058" s="4">
        <v>1.33605842762449E-18</v>
      </c>
      <c r="H1058" s="10" t="s">
        <v>3128</v>
      </c>
      <c r="I1058" s="10" t="s">
        <v>18</v>
      </c>
    </row>
    <row r="1059" spans="1:9" x14ac:dyDescent="0.2">
      <c r="A1059" s="10" t="s">
        <v>3131</v>
      </c>
      <c r="B1059" s="10">
        <v>481.46282512935102</v>
      </c>
      <c r="C1059" s="10">
        <v>-1.40838966534592</v>
      </c>
      <c r="D1059" s="10">
        <v>0.28835859977772699</v>
      </c>
      <c r="E1059" s="10">
        <v>-4.8841604392292899</v>
      </c>
      <c r="F1059" s="4">
        <v>1.03870474658158E-6</v>
      </c>
      <c r="G1059" s="4">
        <v>1.2967056029905501E-5</v>
      </c>
      <c r="H1059" s="10" t="s">
        <v>3132</v>
      </c>
      <c r="I1059" s="10" t="s">
        <v>18</v>
      </c>
    </row>
    <row r="1060" spans="1:9" x14ac:dyDescent="0.2">
      <c r="A1060" s="10" t="s">
        <v>10011</v>
      </c>
      <c r="B1060" s="10">
        <v>37.021232347208702</v>
      </c>
      <c r="C1060" s="10">
        <v>-2.0835183965519199</v>
      </c>
      <c r="D1060" s="10">
        <v>0.665179262583523</v>
      </c>
      <c r="E1060" s="10">
        <v>-3.1322660127130799</v>
      </c>
      <c r="F1060" s="10">
        <v>1.73462631968168E-3</v>
      </c>
      <c r="G1060" s="10">
        <v>9.7311608099002606E-3</v>
      </c>
      <c r="H1060" s="10" t="s">
        <v>10012</v>
      </c>
      <c r="I1060" s="10" t="s">
        <v>18</v>
      </c>
    </row>
    <row r="1061" spans="1:9" x14ac:dyDescent="0.2">
      <c r="A1061" s="10" t="s">
        <v>10013</v>
      </c>
      <c r="B1061" s="10">
        <v>325.55640782087198</v>
      </c>
      <c r="C1061" s="10">
        <v>-1.0705058922486199</v>
      </c>
      <c r="D1061" s="10">
        <v>0.30736045794766897</v>
      </c>
      <c r="E1061" s="10">
        <v>-3.4829004986415302</v>
      </c>
      <c r="F1061" s="10">
        <v>4.9601268290529296E-4</v>
      </c>
      <c r="G1061" s="10">
        <v>3.31817863847449E-3</v>
      </c>
      <c r="H1061" s="10" t="s">
        <v>10014</v>
      </c>
      <c r="I1061" s="10" t="s">
        <v>18</v>
      </c>
    </row>
    <row r="1062" spans="1:9" x14ac:dyDescent="0.2">
      <c r="A1062" s="10" t="s">
        <v>10015</v>
      </c>
      <c r="B1062" s="10">
        <v>77.152247567792301</v>
      </c>
      <c r="C1062" s="10">
        <v>-1.6272301778831799</v>
      </c>
      <c r="D1062" s="10">
        <v>0.45794711147798101</v>
      </c>
      <c r="E1062" s="10">
        <v>-3.5533146450721098</v>
      </c>
      <c r="F1062" s="10">
        <v>3.8040916985652398E-4</v>
      </c>
      <c r="G1062" s="10">
        <v>2.63468961116213E-3</v>
      </c>
      <c r="H1062" s="10" t="s">
        <v>10016</v>
      </c>
      <c r="I1062" s="10" t="s">
        <v>18</v>
      </c>
    </row>
    <row r="1063" spans="1:9" x14ac:dyDescent="0.2">
      <c r="A1063" s="10" t="s">
        <v>10017</v>
      </c>
      <c r="B1063" s="10">
        <v>34.7758112079566</v>
      </c>
      <c r="C1063" s="10">
        <v>-7.0499058462466904</v>
      </c>
      <c r="D1063" s="10">
        <v>1.54356171485729</v>
      </c>
      <c r="E1063" s="10">
        <v>-4.5672976845622699</v>
      </c>
      <c r="F1063" s="4">
        <v>4.9405214376557798E-6</v>
      </c>
      <c r="G1063" s="4">
        <v>5.4175595799577598E-5</v>
      </c>
      <c r="H1063" s="10" t="s">
        <v>10018</v>
      </c>
      <c r="I1063" s="10" t="s">
        <v>18</v>
      </c>
    </row>
    <row r="1064" spans="1:9" x14ac:dyDescent="0.2">
      <c r="A1064" s="10" t="s">
        <v>3139</v>
      </c>
      <c r="B1064" s="10">
        <v>24956.975778186799</v>
      </c>
      <c r="C1064" s="10">
        <v>1.0608125449197601</v>
      </c>
      <c r="D1064" s="10">
        <v>0.27922430115581498</v>
      </c>
      <c r="E1064" s="10">
        <v>3.7991411941175999</v>
      </c>
      <c r="F1064" s="10">
        <v>1.4519835838770699E-4</v>
      </c>
      <c r="G1064" s="10">
        <v>1.1269560954158501E-3</v>
      </c>
      <c r="H1064" s="10" t="s">
        <v>3140</v>
      </c>
      <c r="I1064" s="10" t="s">
        <v>18</v>
      </c>
    </row>
    <row r="1065" spans="1:9" x14ac:dyDescent="0.2">
      <c r="A1065" s="10" t="s">
        <v>3141</v>
      </c>
      <c r="B1065" s="10">
        <v>1780.5311553935501</v>
      </c>
      <c r="C1065" s="10">
        <v>-1.63433607557058</v>
      </c>
      <c r="D1065" s="10">
        <v>0.24523604387801101</v>
      </c>
      <c r="E1065" s="10">
        <v>-6.6643387722546601</v>
      </c>
      <c r="F1065" s="4">
        <v>2.6585957672544601E-11</v>
      </c>
      <c r="G1065" s="4">
        <v>6.5182238328738696E-10</v>
      </c>
      <c r="H1065" s="10" t="s">
        <v>3142</v>
      </c>
      <c r="I1065" s="10" t="s">
        <v>18</v>
      </c>
    </row>
    <row r="1066" spans="1:9" x14ac:dyDescent="0.2">
      <c r="A1066" s="10" t="s">
        <v>3153</v>
      </c>
      <c r="B1066" s="10">
        <v>221.45378321470801</v>
      </c>
      <c r="C1066" s="10">
        <v>1.6192558928301199</v>
      </c>
      <c r="D1066" s="10">
        <v>0.33739506321007301</v>
      </c>
      <c r="E1066" s="10">
        <v>4.7992874508122902</v>
      </c>
      <c r="F1066" s="4">
        <v>1.59231120941556E-6</v>
      </c>
      <c r="G1066" s="4">
        <v>1.9028308063110901E-5</v>
      </c>
      <c r="H1066" s="10" t="s">
        <v>3154</v>
      </c>
      <c r="I1066" s="10" t="s">
        <v>18</v>
      </c>
    </row>
    <row r="1067" spans="1:9" x14ac:dyDescent="0.2">
      <c r="A1067" s="10" t="s">
        <v>3159</v>
      </c>
      <c r="B1067" s="10">
        <v>1183.9848529486501</v>
      </c>
      <c r="C1067" s="10">
        <v>4.2202842274852799</v>
      </c>
      <c r="D1067" s="10">
        <v>0.26757664059910502</v>
      </c>
      <c r="E1067" s="10">
        <v>15.772244610127601</v>
      </c>
      <c r="F1067" s="4">
        <v>4.8302192000511199E-56</v>
      </c>
      <c r="G1067" s="4">
        <v>1.4464781425867401E-53</v>
      </c>
      <c r="H1067" s="10" t="s">
        <v>3160</v>
      </c>
      <c r="I1067" s="10" t="s">
        <v>18</v>
      </c>
    </row>
    <row r="1068" spans="1:9" x14ac:dyDescent="0.2">
      <c r="A1068" s="10" t="s">
        <v>10019</v>
      </c>
      <c r="B1068" s="10">
        <v>3342.6254649561201</v>
      </c>
      <c r="C1068" s="10">
        <v>1.1463142020453401</v>
      </c>
      <c r="D1068" s="10">
        <v>0.28270223483118101</v>
      </c>
      <c r="E1068" s="10">
        <v>4.05484662238299</v>
      </c>
      <c r="F1068" s="4">
        <v>5.0167209128484897E-5</v>
      </c>
      <c r="G1068" s="10">
        <v>4.4047334925900099E-4</v>
      </c>
      <c r="H1068" s="10" t="s">
        <v>10020</v>
      </c>
      <c r="I1068" s="10" t="s">
        <v>18</v>
      </c>
    </row>
    <row r="1069" spans="1:9" x14ac:dyDescent="0.2">
      <c r="A1069" s="10" t="s">
        <v>3165</v>
      </c>
      <c r="B1069" s="10">
        <v>3737.8492687840699</v>
      </c>
      <c r="C1069" s="10">
        <v>1.89581970925829</v>
      </c>
      <c r="D1069" s="10">
        <v>0.24505846797998601</v>
      </c>
      <c r="E1069" s="10">
        <v>7.7361934271666302</v>
      </c>
      <c r="F1069" s="4">
        <v>1.02437576819038E-14</v>
      </c>
      <c r="G1069" s="4">
        <v>3.6089877379312501E-13</v>
      </c>
      <c r="H1069" s="10" t="s">
        <v>3166</v>
      </c>
      <c r="I1069" s="10" t="s">
        <v>18</v>
      </c>
    </row>
    <row r="1070" spans="1:9" x14ac:dyDescent="0.2">
      <c r="A1070" s="10" t="s">
        <v>10021</v>
      </c>
      <c r="B1070" s="10">
        <v>1196.3251800225601</v>
      </c>
      <c r="C1070" s="10">
        <v>-1.34544967678799</v>
      </c>
      <c r="D1070" s="10">
        <v>0.30747020685163801</v>
      </c>
      <c r="E1070" s="10">
        <v>-4.3758700739327301</v>
      </c>
      <c r="F1070" s="4">
        <v>1.20949045629744E-5</v>
      </c>
      <c r="G1070" s="10">
        <v>1.2135912416498601E-4</v>
      </c>
      <c r="H1070" s="10" t="s">
        <v>10022</v>
      </c>
      <c r="I1070" s="10" t="s">
        <v>18</v>
      </c>
    </row>
    <row r="1071" spans="1:9" x14ac:dyDescent="0.2">
      <c r="A1071" s="10" t="s">
        <v>10023</v>
      </c>
      <c r="B1071" s="10">
        <v>562.85604794015501</v>
      </c>
      <c r="C1071" s="10">
        <v>-1.40530826756826</v>
      </c>
      <c r="D1071" s="10">
        <v>0.29735337574778098</v>
      </c>
      <c r="E1071" s="10">
        <v>-4.7260545269889898</v>
      </c>
      <c r="F1071" s="4">
        <v>2.2892420127093799E-6</v>
      </c>
      <c r="G1071" s="4">
        <v>2.6721987391974299E-5</v>
      </c>
      <c r="H1071" s="10" t="s">
        <v>10024</v>
      </c>
      <c r="I1071" s="10" t="s">
        <v>18</v>
      </c>
    </row>
    <row r="1072" spans="1:9" x14ac:dyDescent="0.2">
      <c r="A1072" s="10" t="s">
        <v>3167</v>
      </c>
      <c r="B1072" s="10">
        <v>2173.8511132624899</v>
      </c>
      <c r="C1072" s="10">
        <v>-1.50157457988081</v>
      </c>
      <c r="D1072" s="10">
        <v>0.249126619681733</v>
      </c>
      <c r="E1072" s="10">
        <v>-6.02735501247966</v>
      </c>
      <c r="F1072" s="4">
        <v>1.6666464637693901E-9</v>
      </c>
      <c r="G1072" s="4">
        <v>3.27535092157179E-8</v>
      </c>
      <c r="H1072" s="10" t="s">
        <v>3168</v>
      </c>
      <c r="I1072" s="10" t="s">
        <v>18</v>
      </c>
    </row>
    <row r="1073" spans="1:9" x14ac:dyDescent="0.2">
      <c r="A1073" s="10" t="s">
        <v>10025</v>
      </c>
      <c r="B1073" s="10">
        <v>184.45328248875799</v>
      </c>
      <c r="C1073" s="10">
        <v>-1.34260665412124</v>
      </c>
      <c r="D1073" s="10">
        <v>0.34396301445153699</v>
      </c>
      <c r="E1073" s="10">
        <v>-3.9033459927721701</v>
      </c>
      <c r="F1073" s="4">
        <v>9.4871927256288496E-5</v>
      </c>
      <c r="G1073" s="10">
        <v>7.7509039627539301E-4</v>
      </c>
      <c r="H1073" s="10" t="s">
        <v>10026</v>
      </c>
      <c r="I1073" s="10" t="s">
        <v>18</v>
      </c>
    </row>
    <row r="1074" spans="1:9" x14ac:dyDescent="0.2">
      <c r="A1074" s="10" t="s">
        <v>10027</v>
      </c>
      <c r="B1074" s="10">
        <v>13.9921379982984</v>
      </c>
      <c r="C1074" s="10">
        <v>-2.79332037059948</v>
      </c>
      <c r="D1074" s="10">
        <v>1.0239759916046101</v>
      </c>
      <c r="E1074" s="10">
        <v>-2.7279158823072001</v>
      </c>
      <c r="F1074" s="10">
        <v>6.3735858683211001E-3</v>
      </c>
      <c r="G1074" s="10">
        <v>2.8945216197439502E-2</v>
      </c>
      <c r="H1074" s="10" t="s">
        <v>10028</v>
      </c>
      <c r="I1074" s="10" t="s">
        <v>18</v>
      </c>
    </row>
    <row r="1075" spans="1:9" x14ac:dyDescent="0.2">
      <c r="A1075" s="10" t="s">
        <v>3175</v>
      </c>
      <c r="B1075" s="10">
        <v>900.45276702453498</v>
      </c>
      <c r="C1075" s="10">
        <v>-5.2176083554594701</v>
      </c>
      <c r="D1075" s="10">
        <v>0.31972120623213102</v>
      </c>
      <c r="E1075" s="10">
        <v>-16.319243934264598</v>
      </c>
      <c r="F1075" s="4">
        <v>7.20220775793925E-60</v>
      </c>
      <c r="G1075" s="4">
        <v>2.5881648021566003E-57</v>
      </c>
      <c r="H1075" s="10" t="s">
        <v>3176</v>
      </c>
      <c r="I1075" s="10" t="s">
        <v>18</v>
      </c>
    </row>
    <row r="1076" spans="1:9" x14ac:dyDescent="0.2">
      <c r="A1076" s="10" t="s">
        <v>3179</v>
      </c>
      <c r="B1076" s="10">
        <v>37.6433283099704</v>
      </c>
      <c r="C1076" s="10">
        <v>-2.3268087011729301</v>
      </c>
      <c r="D1076" s="10">
        <v>0.61312317321732701</v>
      </c>
      <c r="E1076" s="10">
        <v>-3.7950102080845101</v>
      </c>
      <c r="F1076" s="10">
        <v>1.4763738164409501E-4</v>
      </c>
      <c r="G1076" s="10">
        <v>1.14271333392529E-3</v>
      </c>
      <c r="H1076" s="10" t="s">
        <v>3180</v>
      </c>
      <c r="I1076" s="10" t="s">
        <v>18</v>
      </c>
    </row>
    <row r="1077" spans="1:9" x14ac:dyDescent="0.2">
      <c r="A1077" s="10" t="s">
        <v>3183</v>
      </c>
      <c r="B1077" s="10">
        <v>1780.64810847339</v>
      </c>
      <c r="C1077" s="10">
        <v>-1.4906645796008899</v>
      </c>
      <c r="D1077" s="10">
        <v>0.24370323116346801</v>
      </c>
      <c r="E1077" s="10">
        <v>-6.1167206215702601</v>
      </c>
      <c r="F1077" s="4">
        <v>9.5520612675222709E-10</v>
      </c>
      <c r="G1077" s="4">
        <v>1.9487599447244298E-8</v>
      </c>
      <c r="H1077" s="10" t="s">
        <v>3184</v>
      </c>
      <c r="I1077" s="10" t="s">
        <v>18</v>
      </c>
    </row>
    <row r="1078" spans="1:9" x14ac:dyDescent="0.2">
      <c r="A1078" s="10" t="s">
        <v>10029</v>
      </c>
      <c r="B1078" s="10">
        <v>67.202217118250005</v>
      </c>
      <c r="C1078" s="10">
        <v>-3.1572483304902201</v>
      </c>
      <c r="D1078" s="10">
        <v>0.528829118271959</v>
      </c>
      <c r="E1078" s="10">
        <v>-5.97026188876867</v>
      </c>
      <c r="F1078" s="4">
        <v>2.36873052453289E-9</v>
      </c>
      <c r="G1078" s="4">
        <v>4.5450355716723702E-8</v>
      </c>
      <c r="H1078" s="10" t="s">
        <v>10030</v>
      </c>
      <c r="I1078" s="10" t="s">
        <v>18</v>
      </c>
    </row>
    <row r="1079" spans="1:9" x14ac:dyDescent="0.2">
      <c r="A1079" s="10" t="s">
        <v>10031</v>
      </c>
      <c r="B1079" s="10">
        <v>17.030305674257601</v>
      </c>
      <c r="C1079" s="10">
        <v>-2.50181773302605</v>
      </c>
      <c r="D1079" s="10">
        <v>0.90567432644479695</v>
      </c>
      <c r="E1079" s="10">
        <v>-2.76238120036688</v>
      </c>
      <c r="F1079" s="10">
        <v>5.7381439711103E-3</v>
      </c>
      <c r="G1079" s="10">
        <v>2.6509276692980598E-2</v>
      </c>
      <c r="H1079" s="10" t="s">
        <v>10032</v>
      </c>
      <c r="I1079" s="10" t="s">
        <v>18</v>
      </c>
    </row>
    <row r="1080" spans="1:9" x14ac:dyDescent="0.2">
      <c r="A1080" s="10" t="s">
        <v>10033</v>
      </c>
      <c r="B1080" s="10">
        <v>5691.15509035176</v>
      </c>
      <c r="C1080" s="10">
        <v>2.13234034351744</v>
      </c>
      <c r="D1080" s="10">
        <v>0.25251277967139002</v>
      </c>
      <c r="E1080" s="10">
        <v>8.4444848545581692</v>
      </c>
      <c r="F1080" s="4">
        <v>3.05389155174477E-17</v>
      </c>
      <c r="G1080" s="4">
        <v>1.3644874242298399E-15</v>
      </c>
      <c r="H1080" s="10" t="s">
        <v>10034</v>
      </c>
      <c r="I1080" s="10" t="s">
        <v>18</v>
      </c>
    </row>
    <row r="1081" spans="1:9" x14ac:dyDescent="0.2">
      <c r="A1081" s="10" t="s">
        <v>3201</v>
      </c>
      <c r="B1081" s="10">
        <v>1604.60140541583</v>
      </c>
      <c r="C1081" s="10">
        <v>-1.71976331056679</v>
      </c>
      <c r="D1081" s="10">
        <v>0.25507192987972599</v>
      </c>
      <c r="E1081" s="10">
        <v>-6.7422680001586501</v>
      </c>
      <c r="F1081" s="4">
        <v>1.5593311135943001E-11</v>
      </c>
      <c r="G1081" s="4">
        <v>3.9107651208838198E-10</v>
      </c>
      <c r="H1081" s="10" t="s">
        <v>3202</v>
      </c>
      <c r="I1081" s="10" t="s">
        <v>18</v>
      </c>
    </row>
    <row r="1082" spans="1:9" x14ac:dyDescent="0.2">
      <c r="A1082" s="10" t="s">
        <v>3205</v>
      </c>
      <c r="B1082" s="10">
        <v>7004.8439126896201</v>
      </c>
      <c r="C1082" s="10">
        <v>-1.1642779751726799</v>
      </c>
      <c r="D1082" s="10">
        <v>0.24803964039009299</v>
      </c>
      <c r="E1082" s="10">
        <v>-4.6939189773925296</v>
      </c>
      <c r="F1082" s="4">
        <v>2.6802022237116499E-6</v>
      </c>
      <c r="G1082" s="4">
        <v>3.0813750885496601E-5</v>
      </c>
      <c r="H1082" s="10" t="s">
        <v>3206</v>
      </c>
      <c r="I1082" s="10" t="s">
        <v>18</v>
      </c>
    </row>
    <row r="1083" spans="1:9" x14ac:dyDescent="0.2">
      <c r="A1083" s="10" t="s">
        <v>3209</v>
      </c>
      <c r="B1083" s="10">
        <v>645.56561131251999</v>
      </c>
      <c r="C1083" s="10">
        <v>-1.57380610527288</v>
      </c>
      <c r="D1083" s="10">
        <v>0.272112087895444</v>
      </c>
      <c r="E1083" s="10">
        <v>-5.7836684781074297</v>
      </c>
      <c r="F1083" s="4">
        <v>7.3088915303281301E-9</v>
      </c>
      <c r="G1083" s="4">
        <v>1.3189036330373301E-7</v>
      </c>
      <c r="H1083" s="10" t="s">
        <v>3210</v>
      </c>
      <c r="I1083" s="10" t="s">
        <v>18</v>
      </c>
    </row>
    <row r="1084" spans="1:9" x14ac:dyDescent="0.2">
      <c r="A1084" s="10" t="s">
        <v>3215</v>
      </c>
      <c r="B1084" s="10">
        <v>3197.7997012768201</v>
      </c>
      <c r="C1084" s="10">
        <v>3.6262086424748201</v>
      </c>
      <c r="D1084" s="10">
        <v>0.26641403276738801</v>
      </c>
      <c r="E1084" s="10">
        <v>13.611177327288001</v>
      </c>
      <c r="F1084" s="4">
        <v>3.4366267330694997E-42</v>
      </c>
      <c r="G1084" s="4">
        <v>6.47031864171047E-40</v>
      </c>
      <c r="H1084" s="10" t="s">
        <v>3216</v>
      </c>
      <c r="I1084" s="10" t="s">
        <v>18</v>
      </c>
    </row>
    <row r="1085" spans="1:9" x14ac:dyDescent="0.2">
      <c r="A1085" s="10" t="s">
        <v>10035</v>
      </c>
      <c r="B1085" s="10">
        <v>5856.4469074796998</v>
      </c>
      <c r="C1085" s="10">
        <v>1.3379810185304699</v>
      </c>
      <c r="D1085" s="10">
        <v>0.26884093702948503</v>
      </c>
      <c r="E1085" s="10">
        <v>4.9768500039996599</v>
      </c>
      <c r="F1085" s="4">
        <v>6.4627363150228399E-7</v>
      </c>
      <c r="G1085" s="4">
        <v>8.4146031058177904E-6</v>
      </c>
      <c r="H1085" s="10" t="s">
        <v>10036</v>
      </c>
      <c r="I1085" s="10" t="s">
        <v>18</v>
      </c>
    </row>
    <row r="1086" spans="1:9" x14ac:dyDescent="0.2">
      <c r="A1086" s="10" t="s">
        <v>10037</v>
      </c>
      <c r="B1086" s="10">
        <v>265.246204753038</v>
      </c>
      <c r="C1086" s="10">
        <v>1.0735279192601399</v>
      </c>
      <c r="D1086" s="10">
        <v>0.31502667989245797</v>
      </c>
      <c r="E1086" s="10">
        <v>3.40773651179836</v>
      </c>
      <c r="F1086" s="10">
        <v>6.5504113670080896E-4</v>
      </c>
      <c r="G1086" s="10">
        <v>4.2424201322628302E-3</v>
      </c>
      <c r="H1086" s="10" t="s">
        <v>10038</v>
      </c>
      <c r="I1086" s="10" t="s">
        <v>18</v>
      </c>
    </row>
    <row r="1087" spans="1:9" x14ac:dyDescent="0.2">
      <c r="A1087" s="10" t="s">
        <v>10039</v>
      </c>
      <c r="B1087" s="10">
        <v>782.81100935696702</v>
      </c>
      <c r="C1087" s="10">
        <v>-3.3864544366206002</v>
      </c>
      <c r="D1087" s="10">
        <v>0.27403450126201201</v>
      </c>
      <c r="E1087" s="10">
        <v>-12.3577667082975</v>
      </c>
      <c r="F1087" s="4">
        <v>4.4227375546457202E-35</v>
      </c>
      <c r="G1087" s="4">
        <v>5.6188870296521802E-33</v>
      </c>
      <c r="H1087" s="10" t="s">
        <v>10040</v>
      </c>
      <c r="I1087" s="10" t="s">
        <v>18</v>
      </c>
    </row>
    <row r="1088" spans="1:9" x14ac:dyDescent="0.2">
      <c r="A1088" s="10" t="s">
        <v>10041</v>
      </c>
      <c r="B1088" s="10">
        <v>2462.0788708659602</v>
      </c>
      <c r="C1088" s="10">
        <v>-1.6832762603957201</v>
      </c>
      <c r="D1088" s="10">
        <v>0.24369901768358199</v>
      </c>
      <c r="E1088" s="10">
        <v>-6.9071934568947499</v>
      </c>
      <c r="F1088" s="4">
        <v>4.9433561374375497E-12</v>
      </c>
      <c r="G1088" s="4">
        <v>1.3242824668502801E-10</v>
      </c>
      <c r="H1088" s="10" t="s">
        <v>10042</v>
      </c>
      <c r="I1088" s="10" t="s">
        <v>18</v>
      </c>
    </row>
    <row r="1089" spans="1:9" x14ac:dyDescent="0.2">
      <c r="A1089" s="10" t="s">
        <v>3235</v>
      </c>
      <c r="B1089" s="10">
        <v>956.15465665695399</v>
      </c>
      <c r="C1089" s="10">
        <v>2.5244058929828599</v>
      </c>
      <c r="D1089" s="10">
        <v>0.28030356650757798</v>
      </c>
      <c r="E1089" s="10">
        <v>9.0059713632456102</v>
      </c>
      <c r="F1089" s="4">
        <v>2.13764960632322E-19</v>
      </c>
      <c r="G1089" s="4">
        <v>1.10189704604632E-17</v>
      </c>
      <c r="H1089" s="10" t="s">
        <v>3236</v>
      </c>
      <c r="I1089" s="10" t="s">
        <v>18</v>
      </c>
    </row>
    <row r="1090" spans="1:9" x14ac:dyDescent="0.2">
      <c r="A1090" s="10" t="s">
        <v>3247</v>
      </c>
      <c r="B1090" s="10">
        <v>534.76774259223998</v>
      </c>
      <c r="C1090" s="10">
        <v>-1.59094814255005</v>
      </c>
      <c r="D1090" s="10">
        <v>0.28336639249097101</v>
      </c>
      <c r="E1090" s="10">
        <v>-5.6144560001085599</v>
      </c>
      <c r="F1090" s="4">
        <v>1.9718159388891199E-8</v>
      </c>
      <c r="G1090" s="4">
        <v>3.3155768678312702E-7</v>
      </c>
      <c r="H1090" s="10" t="s">
        <v>3248</v>
      </c>
      <c r="I1090" s="10" t="s">
        <v>18</v>
      </c>
    </row>
    <row r="1091" spans="1:9" x14ac:dyDescent="0.2">
      <c r="A1091" s="10" t="s">
        <v>10043</v>
      </c>
      <c r="B1091" s="10">
        <v>3050.4711558987101</v>
      </c>
      <c r="C1091" s="10">
        <v>1.2616419224304301</v>
      </c>
      <c r="D1091" s="10">
        <v>0.26052127521510099</v>
      </c>
      <c r="E1091" s="10">
        <v>4.8427596609480501</v>
      </c>
      <c r="F1091" s="4">
        <v>1.28048136442936E-6</v>
      </c>
      <c r="G1091" s="4">
        <v>1.55907593040758E-5</v>
      </c>
      <c r="H1091" s="10" t="s">
        <v>10044</v>
      </c>
      <c r="I1091" s="10" t="s">
        <v>18</v>
      </c>
    </row>
    <row r="1092" spans="1:9" x14ac:dyDescent="0.2">
      <c r="A1092" s="10" t="s">
        <v>10045</v>
      </c>
      <c r="B1092" s="10">
        <v>7007.0888646690801</v>
      </c>
      <c r="C1092" s="10">
        <v>1.35881596967773</v>
      </c>
      <c r="D1092" s="10">
        <v>0.25186380396471802</v>
      </c>
      <c r="E1092" s="10">
        <v>5.3950426710305504</v>
      </c>
      <c r="F1092" s="4">
        <v>6.8507269662964696E-8</v>
      </c>
      <c r="G1092" s="4">
        <v>1.05271861232247E-6</v>
      </c>
      <c r="H1092" s="10" t="s">
        <v>10046</v>
      </c>
      <c r="I1092" s="10" t="s">
        <v>18</v>
      </c>
    </row>
    <row r="1093" spans="1:9" x14ac:dyDescent="0.2">
      <c r="A1093" s="10" t="s">
        <v>3271</v>
      </c>
      <c r="B1093" s="10">
        <v>525.30011226661702</v>
      </c>
      <c r="C1093" s="10">
        <v>-2.0681524894583601</v>
      </c>
      <c r="D1093" s="10">
        <v>0.29314411022430198</v>
      </c>
      <c r="E1093" s="10">
        <v>-7.0550709269781597</v>
      </c>
      <c r="F1093" s="4">
        <v>1.72512705611376E-12</v>
      </c>
      <c r="G1093" s="4">
        <v>4.8486671616247601E-11</v>
      </c>
      <c r="H1093" s="10" t="s">
        <v>3272</v>
      </c>
      <c r="I1093" s="10" t="s">
        <v>18</v>
      </c>
    </row>
    <row r="1094" spans="1:9" x14ac:dyDescent="0.2">
      <c r="A1094" s="10" t="s">
        <v>10047</v>
      </c>
      <c r="B1094" s="10">
        <v>2512.8695767548502</v>
      </c>
      <c r="C1094" s="10">
        <v>-1.87956705532381</v>
      </c>
      <c r="D1094" s="10">
        <v>0.25336818932250799</v>
      </c>
      <c r="E1094" s="10">
        <v>-7.41832295660189</v>
      </c>
      <c r="F1094" s="4">
        <v>1.18612591426304E-13</v>
      </c>
      <c r="G1094" s="4">
        <v>3.7960556454563302E-12</v>
      </c>
      <c r="H1094" s="10" t="s">
        <v>10048</v>
      </c>
      <c r="I1094" s="10" t="s">
        <v>18</v>
      </c>
    </row>
    <row r="1095" spans="1:9" x14ac:dyDescent="0.2">
      <c r="A1095" s="10" t="s">
        <v>3275</v>
      </c>
      <c r="B1095" s="10">
        <v>506.68382204591001</v>
      </c>
      <c r="C1095" s="10">
        <v>-1.08172253344445</v>
      </c>
      <c r="D1095" s="10">
        <v>0.33018035412554803</v>
      </c>
      <c r="E1095" s="10">
        <v>-3.2761565608871299</v>
      </c>
      <c r="F1095" s="10">
        <v>1.0523020969994501E-3</v>
      </c>
      <c r="G1095" s="10">
        <v>6.3802953067999104E-3</v>
      </c>
      <c r="H1095" s="10" t="s">
        <v>3276</v>
      </c>
      <c r="I1095" s="10" t="s">
        <v>18</v>
      </c>
    </row>
    <row r="1096" spans="1:9" x14ac:dyDescent="0.2">
      <c r="A1096" s="10" t="s">
        <v>10049</v>
      </c>
      <c r="B1096" s="10">
        <v>3847.1505619476702</v>
      </c>
      <c r="C1096" s="10">
        <v>-2.2290167385397299</v>
      </c>
      <c r="D1096" s="10">
        <v>0.28677832800629099</v>
      </c>
      <c r="E1096" s="10">
        <v>-7.7726122264400397</v>
      </c>
      <c r="F1096" s="4">
        <v>7.6883834024627203E-15</v>
      </c>
      <c r="G1096" s="4">
        <v>2.7432806310489298E-13</v>
      </c>
      <c r="H1096" s="10" t="s">
        <v>10050</v>
      </c>
      <c r="I1096" s="10" t="s">
        <v>18</v>
      </c>
    </row>
    <row r="1097" spans="1:9" x14ac:dyDescent="0.2">
      <c r="A1097" s="10" t="s">
        <v>3283</v>
      </c>
      <c r="B1097" s="10">
        <v>12919.361847333001</v>
      </c>
      <c r="C1097" s="10">
        <v>1.51979948790004</v>
      </c>
      <c r="D1097" s="10">
        <v>0.230951856863505</v>
      </c>
      <c r="E1097" s="10">
        <v>6.5805900352567903</v>
      </c>
      <c r="F1097" s="4">
        <v>4.68584974777167E-11</v>
      </c>
      <c r="G1097" s="4">
        <v>1.1172753592909599E-9</v>
      </c>
      <c r="H1097" s="10" t="s">
        <v>3284</v>
      </c>
      <c r="I1097" s="10" t="s">
        <v>18</v>
      </c>
    </row>
    <row r="1098" spans="1:9" x14ac:dyDescent="0.2">
      <c r="A1098" s="10" t="s">
        <v>10051</v>
      </c>
      <c r="B1098" s="10">
        <v>1362.25868169512</v>
      </c>
      <c r="C1098" s="10">
        <v>1.1253042128964501</v>
      </c>
      <c r="D1098" s="10">
        <v>0.24682129082687701</v>
      </c>
      <c r="E1098" s="10">
        <v>4.5591861590487603</v>
      </c>
      <c r="F1098" s="4">
        <v>5.1352236130232803E-6</v>
      </c>
      <c r="G1098" s="4">
        <v>5.6090555790534398E-5</v>
      </c>
      <c r="H1098" s="10" t="s">
        <v>10052</v>
      </c>
      <c r="I1098" s="10" t="s">
        <v>18</v>
      </c>
    </row>
    <row r="1099" spans="1:9" x14ac:dyDescent="0.2">
      <c r="A1099" s="10" t="s">
        <v>3285</v>
      </c>
      <c r="B1099" s="10">
        <v>4205.1390921375296</v>
      </c>
      <c r="C1099" s="10">
        <v>-1.12286065556091</v>
      </c>
      <c r="D1099" s="10">
        <v>0.28846501173218297</v>
      </c>
      <c r="E1099" s="10">
        <v>-3.8925367371880699</v>
      </c>
      <c r="F1099" s="4">
        <v>9.9201471794776506E-5</v>
      </c>
      <c r="G1099" s="10">
        <v>8.0627238222862703E-4</v>
      </c>
      <c r="H1099" s="10" t="s">
        <v>3286</v>
      </c>
      <c r="I1099" s="10" t="s">
        <v>18</v>
      </c>
    </row>
    <row r="1100" spans="1:9" x14ac:dyDescent="0.2">
      <c r="A1100" s="10" t="s">
        <v>10053</v>
      </c>
      <c r="B1100" s="10">
        <v>596.11397491637399</v>
      </c>
      <c r="C1100" s="10">
        <v>1.28426178366373</v>
      </c>
      <c r="D1100" s="10">
        <v>0.272587394140613</v>
      </c>
      <c r="E1100" s="10">
        <v>4.7113762825042604</v>
      </c>
      <c r="F1100" s="4">
        <v>2.4604944999110598E-6</v>
      </c>
      <c r="G1100" s="4">
        <v>2.8561946998275299E-5</v>
      </c>
      <c r="H1100" s="10" t="s">
        <v>10054</v>
      </c>
      <c r="I1100" s="10" t="s">
        <v>18</v>
      </c>
    </row>
    <row r="1101" spans="1:9" x14ac:dyDescent="0.2">
      <c r="A1101" s="10" t="s">
        <v>10055</v>
      </c>
      <c r="B1101" s="10">
        <v>3460.7021289853401</v>
      </c>
      <c r="C1101" s="10">
        <v>1.4439065907430999</v>
      </c>
      <c r="D1101" s="10">
        <v>0.244212073550062</v>
      </c>
      <c r="E1101" s="10">
        <v>5.9125110800351601</v>
      </c>
      <c r="F1101" s="4">
        <v>3.36931173753879E-9</v>
      </c>
      <c r="G1101" s="4">
        <v>6.3821563823635704E-8</v>
      </c>
      <c r="H1101" s="10" t="s">
        <v>10056</v>
      </c>
      <c r="I1101" s="10" t="s">
        <v>18</v>
      </c>
    </row>
    <row r="1102" spans="1:9" x14ac:dyDescent="0.2">
      <c r="A1102" s="10" t="s">
        <v>3293</v>
      </c>
      <c r="B1102" s="10">
        <v>178.36444927245901</v>
      </c>
      <c r="C1102" s="10">
        <v>-1.5592191901822501</v>
      </c>
      <c r="D1102" s="10">
        <v>0.352996148326924</v>
      </c>
      <c r="E1102" s="10">
        <v>-4.4170997263635803</v>
      </c>
      <c r="F1102" s="4">
        <v>1.0003408403553899E-5</v>
      </c>
      <c r="G1102" s="10">
        <v>1.02374181607567E-4</v>
      </c>
      <c r="H1102" s="10" t="s">
        <v>3294</v>
      </c>
      <c r="I1102" s="10" t="s">
        <v>18</v>
      </c>
    </row>
    <row r="1103" spans="1:9" x14ac:dyDescent="0.2">
      <c r="A1103" s="10" t="s">
        <v>10057</v>
      </c>
      <c r="B1103" s="10">
        <v>31.031690386298799</v>
      </c>
      <c r="C1103" s="10">
        <v>-4.5009749457356696</v>
      </c>
      <c r="D1103" s="10">
        <v>0.88080690336629697</v>
      </c>
      <c r="E1103" s="10">
        <v>-5.1100586615905303</v>
      </c>
      <c r="F1103" s="4">
        <v>3.2205879881141102E-7</v>
      </c>
      <c r="G1103" s="4">
        <v>4.40771984989175E-6</v>
      </c>
      <c r="H1103" s="10" t="s">
        <v>10058</v>
      </c>
      <c r="I1103" s="10" t="s">
        <v>18</v>
      </c>
    </row>
    <row r="1104" spans="1:9" x14ac:dyDescent="0.2">
      <c r="A1104" s="10" t="s">
        <v>10059</v>
      </c>
      <c r="B1104" s="10">
        <v>2572.7351519877002</v>
      </c>
      <c r="C1104" s="10">
        <v>1.0992937300191601</v>
      </c>
      <c r="D1104" s="10">
        <v>0.26570946078177698</v>
      </c>
      <c r="E1104" s="10">
        <v>4.1372020656878101</v>
      </c>
      <c r="F1104" s="4">
        <v>3.5156649147151499E-5</v>
      </c>
      <c r="G1104" s="10">
        <v>3.2007437904328401E-4</v>
      </c>
      <c r="H1104" s="10" t="s">
        <v>10060</v>
      </c>
      <c r="I1104" s="10" t="s">
        <v>18</v>
      </c>
    </row>
    <row r="1105" spans="1:9" x14ac:dyDescent="0.2">
      <c r="A1105" s="10" t="s">
        <v>10061</v>
      </c>
      <c r="B1105" s="10">
        <v>200.245197946557</v>
      </c>
      <c r="C1105" s="10">
        <v>-1.7426068331243001</v>
      </c>
      <c r="D1105" s="10">
        <v>0.34723698293134397</v>
      </c>
      <c r="E1105" s="10">
        <v>-5.0184943389766996</v>
      </c>
      <c r="F1105" s="4">
        <v>5.2078027779665797E-7</v>
      </c>
      <c r="G1105" s="4">
        <v>6.8912298200815002E-6</v>
      </c>
      <c r="H1105" s="10" t="s">
        <v>10062</v>
      </c>
      <c r="I1105" s="10" t="s">
        <v>18</v>
      </c>
    </row>
    <row r="1106" spans="1:9" x14ac:dyDescent="0.2">
      <c r="A1106" s="10" t="s">
        <v>10063</v>
      </c>
      <c r="B1106" s="10">
        <v>51.4277927276528</v>
      </c>
      <c r="C1106" s="10">
        <v>-1.660550021318</v>
      </c>
      <c r="D1106" s="10">
        <v>0.51766848128318799</v>
      </c>
      <c r="E1106" s="10">
        <v>-3.2077479726056599</v>
      </c>
      <c r="F1106" s="10">
        <v>1.3377867588955899E-3</v>
      </c>
      <c r="G1106" s="10">
        <v>7.8237893917487006E-3</v>
      </c>
      <c r="H1106" s="10" t="s">
        <v>10064</v>
      </c>
      <c r="I1106" s="10" t="s">
        <v>18</v>
      </c>
    </row>
    <row r="1107" spans="1:9" x14ac:dyDescent="0.2">
      <c r="A1107" s="10" t="s">
        <v>3305</v>
      </c>
      <c r="B1107" s="10">
        <v>52.572677838431098</v>
      </c>
      <c r="C1107" s="10">
        <v>2.8563706559286999</v>
      </c>
      <c r="D1107" s="10">
        <v>0.55209904742656002</v>
      </c>
      <c r="E1107" s="10">
        <v>5.1736561931102703</v>
      </c>
      <c r="F1107" s="4">
        <v>2.2955705332672999E-7</v>
      </c>
      <c r="G1107" s="4">
        <v>3.2361669941299399E-6</v>
      </c>
      <c r="H1107" s="10" t="s">
        <v>3306</v>
      </c>
      <c r="I1107" s="10" t="s">
        <v>18</v>
      </c>
    </row>
    <row r="1108" spans="1:9" x14ac:dyDescent="0.2">
      <c r="A1108" s="10" t="s">
        <v>3309</v>
      </c>
      <c r="B1108" s="10">
        <v>335.624564007868</v>
      </c>
      <c r="C1108" s="10">
        <v>3.7055945974849802</v>
      </c>
      <c r="D1108" s="10">
        <v>0.317989666149397</v>
      </c>
      <c r="E1108" s="10">
        <v>11.6531918862546</v>
      </c>
      <c r="F1108" s="4">
        <v>2.2102216063062499E-31</v>
      </c>
      <c r="G1108" s="4">
        <v>2.4068452167373999E-29</v>
      </c>
      <c r="H1108" s="10" t="s">
        <v>3310</v>
      </c>
      <c r="I1108" s="10" t="s">
        <v>18</v>
      </c>
    </row>
    <row r="1109" spans="1:9" x14ac:dyDescent="0.2">
      <c r="A1109" s="10" t="s">
        <v>10065</v>
      </c>
      <c r="B1109" s="10">
        <v>5104.14232644603</v>
      </c>
      <c r="C1109" s="10">
        <v>-1.3038683489695599</v>
      </c>
      <c r="D1109" s="10">
        <v>0.23790713134902</v>
      </c>
      <c r="E1109" s="10">
        <v>-5.48057698639027</v>
      </c>
      <c r="F1109" s="4">
        <v>4.2394099248681003E-8</v>
      </c>
      <c r="G1109" s="4">
        <v>6.7409833539859002E-7</v>
      </c>
      <c r="H1109" s="10" t="s">
        <v>10066</v>
      </c>
      <c r="I1109" s="10" t="s">
        <v>18</v>
      </c>
    </row>
    <row r="1110" spans="1:9" x14ac:dyDescent="0.2">
      <c r="A1110" s="10" t="s">
        <v>3315</v>
      </c>
      <c r="B1110" s="10">
        <v>1365.6365952564799</v>
      </c>
      <c r="C1110" s="10">
        <v>1.9775656868942599</v>
      </c>
      <c r="D1110" s="10">
        <v>0.24907830320009999</v>
      </c>
      <c r="E1110" s="10">
        <v>7.9395341203427199</v>
      </c>
      <c r="F1110" s="4">
        <v>2.0294205924106998E-15</v>
      </c>
      <c r="G1110" s="4">
        <v>7.6651764267404098E-14</v>
      </c>
      <c r="H1110" s="10" t="s">
        <v>3316</v>
      </c>
      <c r="I1110" s="10" t="s">
        <v>18</v>
      </c>
    </row>
    <row r="1111" spans="1:9" x14ac:dyDescent="0.2">
      <c r="A1111" s="10" t="s">
        <v>3319</v>
      </c>
      <c r="B1111" s="10">
        <v>1786.07562205716</v>
      </c>
      <c r="C1111" s="10">
        <v>-2.22092425514884</v>
      </c>
      <c r="D1111" s="10">
        <v>0.25395521047924502</v>
      </c>
      <c r="E1111" s="10">
        <v>-8.7453384041921094</v>
      </c>
      <c r="F1111" s="4">
        <v>2.2234823633689001E-18</v>
      </c>
      <c r="G1111" s="4">
        <v>1.07148848372691E-16</v>
      </c>
      <c r="H1111" s="10" t="s">
        <v>3320</v>
      </c>
      <c r="I1111" s="10" t="s">
        <v>18</v>
      </c>
    </row>
    <row r="1112" spans="1:9" x14ac:dyDescent="0.2">
      <c r="A1112" s="10" t="s">
        <v>10067</v>
      </c>
      <c r="B1112" s="10">
        <v>450.010803577952</v>
      </c>
      <c r="C1112" s="10">
        <v>-1.00340135301508</v>
      </c>
      <c r="D1112" s="10">
        <v>0.30131043696070398</v>
      </c>
      <c r="E1112" s="10">
        <v>-3.33012478139264</v>
      </c>
      <c r="F1112" s="10">
        <v>8.6807072786936198E-4</v>
      </c>
      <c r="G1112" s="10">
        <v>5.4103863130708103E-3</v>
      </c>
      <c r="H1112" s="10" t="s">
        <v>10068</v>
      </c>
      <c r="I1112" s="10" t="s">
        <v>18</v>
      </c>
    </row>
    <row r="1113" spans="1:9" x14ac:dyDescent="0.2">
      <c r="A1113" s="10" t="s">
        <v>3323</v>
      </c>
      <c r="B1113" s="10">
        <v>3793.4937264709101</v>
      </c>
      <c r="C1113" s="10">
        <v>1.1934040411539799</v>
      </c>
      <c r="D1113" s="10">
        <v>0.24294351962623201</v>
      </c>
      <c r="E1113" s="10">
        <v>4.9122694978241404</v>
      </c>
      <c r="F1113" s="4">
        <v>9.0028191930717304E-7</v>
      </c>
      <c r="G1113" s="4">
        <v>1.1351675027655101E-5</v>
      </c>
      <c r="H1113" s="10" t="s">
        <v>3324</v>
      </c>
      <c r="I1113" s="10" t="s">
        <v>18</v>
      </c>
    </row>
    <row r="1114" spans="1:9" x14ac:dyDescent="0.2">
      <c r="A1114" s="10" t="s">
        <v>3325</v>
      </c>
      <c r="B1114" s="10">
        <v>379.81363320377301</v>
      </c>
      <c r="C1114" s="10">
        <v>-1.48435803688607</v>
      </c>
      <c r="D1114" s="10">
        <v>0.32185272498101702</v>
      </c>
      <c r="E1114" s="10">
        <v>-4.6119169473355397</v>
      </c>
      <c r="F1114" s="4">
        <v>3.9897241271599699E-6</v>
      </c>
      <c r="G1114" s="4">
        <v>4.4644800008322502E-5</v>
      </c>
      <c r="H1114" s="10" t="s">
        <v>3326</v>
      </c>
      <c r="I1114" s="10" t="s">
        <v>18</v>
      </c>
    </row>
    <row r="1115" spans="1:9" x14ac:dyDescent="0.2">
      <c r="A1115" s="10" t="s">
        <v>3335</v>
      </c>
      <c r="B1115" s="10">
        <v>3246.7670553146099</v>
      </c>
      <c r="C1115" s="10">
        <v>-1.27898154036192</v>
      </c>
      <c r="D1115" s="10">
        <v>0.25258907679916598</v>
      </c>
      <c r="E1115" s="10">
        <v>-5.0634871332097804</v>
      </c>
      <c r="F1115" s="4">
        <v>4.1165617832774699E-7</v>
      </c>
      <c r="G1115" s="4">
        <v>5.54941648758547E-6</v>
      </c>
      <c r="H1115" s="10" t="s">
        <v>3336</v>
      </c>
      <c r="I1115" s="10" t="s">
        <v>18</v>
      </c>
    </row>
    <row r="1116" spans="1:9" x14ac:dyDescent="0.2">
      <c r="A1116" s="10" t="s">
        <v>3337</v>
      </c>
      <c r="B1116" s="10">
        <v>415.21237971913803</v>
      </c>
      <c r="C1116" s="10">
        <v>-2.2898651312947198</v>
      </c>
      <c r="D1116" s="10">
        <v>0.28767190334506199</v>
      </c>
      <c r="E1116" s="10">
        <v>-7.9599888090149404</v>
      </c>
      <c r="F1116" s="4">
        <v>1.72054840484709E-15</v>
      </c>
      <c r="G1116" s="4">
        <v>6.5477148447698302E-14</v>
      </c>
      <c r="H1116" s="10" t="s">
        <v>3338</v>
      </c>
      <c r="I1116" s="10" t="s">
        <v>18</v>
      </c>
    </row>
    <row r="1117" spans="1:9" x14ac:dyDescent="0.2">
      <c r="A1117" s="10" t="s">
        <v>10069</v>
      </c>
      <c r="B1117" s="10">
        <v>16.9238780965076</v>
      </c>
      <c r="C1117" s="10">
        <v>-2.6512869352869899</v>
      </c>
      <c r="D1117" s="10">
        <v>0.89228723835010904</v>
      </c>
      <c r="E1117" s="10">
        <v>-2.97133795187901</v>
      </c>
      <c r="F1117" s="10">
        <v>2.9650530366043299E-3</v>
      </c>
      <c r="G1117" s="10">
        <v>1.52716218409535E-2</v>
      </c>
      <c r="H1117" s="10" t="s">
        <v>10070</v>
      </c>
      <c r="I1117" s="10" t="s">
        <v>18</v>
      </c>
    </row>
    <row r="1118" spans="1:9" x14ac:dyDescent="0.2">
      <c r="A1118" s="10" t="s">
        <v>3353</v>
      </c>
      <c r="B1118" s="10">
        <v>31.32797237682</v>
      </c>
      <c r="C1118" s="10">
        <v>-2.8815023081511</v>
      </c>
      <c r="D1118" s="10">
        <v>0.77151950925839796</v>
      </c>
      <c r="E1118" s="10">
        <v>-3.7348404979685599</v>
      </c>
      <c r="F1118" s="10">
        <v>1.87834197028889E-4</v>
      </c>
      <c r="G1118" s="10">
        <v>1.41339193127781E-3</v>
      </c>
      <c r="H1118" s="10" t="s">
        <v>3354</v>
      </c>
      <c r="I1118" s="10" t="s">
        <v>18</v>
      </c>
    </row>
    <row r="1119" spans="1:9" x14ac:dyDescent="0.2">
      <c r="A1119" s="10" t="s">
        <v>3355</v>
      </c>
      <c r="B1119" s="10">
        <v>233.701632098831</v>
      </c>
      <c r="C1119" s="10">
        <v>-2.1457737064017102</v>
      </c>
      <c r="D1119" s="10">
        <v>0.35538416440778697</v>
      </c>
      <c r="E1119" s="10">
        <v>-6.0378990436375801</v>
      </c>
      <c r="F1119" s="4">
        <v>1.5613369323226201E-9</v>
      </c>
      <c r="G1119" s="4">
        <v>3.0901204195574698E-8</v>
      </c>
      <c r="H1119" s="10" t="s">
        <v>3356</v>
      </c>
      <c r="I1119" s="10" t="s">
        <v>18</v>
      </c>
    </row>
    <row r="1120" spans="1:9" x14ac:dyDescent="0.2">
      <c r="A1120" s="10" t="s">
        <v>10071</v>
      </c>
      <c r="B1120" s="10">
        <v>28.628034387918099</v>
      </c>
      <c r="C1120" s="10">
        <v>-3.4778526349461201</v>
      </c>
      <c r="D1120" s="10">
        <v>0.78206976823190399</v>
      </c>
      <c r="E1120" s="10">
        <v>-4.4469851363885597</v>
      </c>
      <c r="F1120" s="4">
        <v>8.7083860897175396E-6</v>
      </c>
      <c r="G1120" s="4">
        <v>9.0520434746630101E-5</v>
      </c>
      <c r="H1120" s="10" t="s">
        <v>10072</v>
      </c>
      <c r="I1120" s="10" t="s">
        <v>18</v>
      </c>
    </row>
    <row r="1121" spans="1:9" x14ac:dyDescent="0.2">
      <c r="A1121" s="10" t="s">
        <v>3357</v>
      </c>
      <c r="B1121" s="10">
        <v>23.149933402454501</v>
      </c>
      <c r="C1121" s="10">
        <v>3.4985906707719199</v>
      </c>
      <c r="D1121" s="10">
        <v>0.84821473311004103</v>
      </c>
      <c r="E1121" s="10">
        <v>4.1246520889163003</v>
      </c>
      <c r="F1121" s="4">
        <v>3.7129557753738801E-5</v>
      </c>
      <c r="G1121" s="10">
        <v>3.3512523333164602E-4</v>
      </c>
      <c r="H1121" s="10" t="s">
        <v>3358</v>
      </c>
      <c r="I1121" s="10" t="s">
        <v>18</v>
      </c>
    </row>
    <row r="1122" spans="1:9" x14ac:dyDescent="0.2">
      <c r="A1122" s="10" t="s">
        <v>3361</v>
      </c>
      <c r="B1122" s="10">
        <v>511.43607840559503</v>
      </c>
      <c r="C1122" s="10">
        <v>1.0997007885443499</v>
      </c>
      <c r="D1122" s="10">
        <v>0.28028014564231402</v>
      </c>
      <c r="E1122" s="10">
        <v>3.9235771981785699</v>
      </c>
      <c r="F1122" s="4">
        <v>8.7243791775189403E-5</v>
      </c>
      <c r="G1122" s="10">
        <v>7.1954674823111102E-4</v>
      </c>
      <c r="H1122" s="10" t="s">
        <v>3362</v>
      </c>
      <c r="I1122" s="10" t="s">
        <v>18</v>
      </c>
    </row>
    <row r="1123" spans="1:9" x14ac:dyDescent="0.2">
      <c r="A1123" s="10" t="s">
        <v>3363</v>
      </c>
      <c r="B1123" s="10">
        <v>220.876714648541</v>
      </c>
      <c r="C1123" s="10">
        <v>2.1837493722148098</v>
      </c>
      <c r="D1123" s="10">
        <v>0.36229955860473401</v>
      </c>
      <c r="E1123" s="10">
        <v>6.0274690386726704</v>
      </c>
      <c r="F1123" s="4">
        <v>1.66547142687497E-9</v>
      </c>
      <c r="G1123" s="4">
        <v>3.27535092157179E-8</v>
      </c>
      <c r="H1123" s="10" t="s">
        <v>3364</v>
      </c>
      <c r="I1123" s="10" t="s">
        <v>18</v>
      </c>
    </row>
    <row r="1124" spans="1:9" x14ac:dyDescent="0.2">
      <c r="A1124" s="10" t="s">
        <v>10073</v>
      </c>
      <c r="B1124" s="10">
        <v>493.83528745806001</v>
      </c>
      <c r="C1124" s="10">
        <v>1.0122344972922299</v>
      </c>
      <c r="D1124" s="10">
        <v>0.36201203520999298</v>
      </c>
      <c r="E1124" s="10">
        <v>2.7961349315501698</v>
      </c>
      <c r="F1124" s="10">
        <v>5.1717803208043396E-3</v>
      </c>
      <c r="G1124" s="10">
        <v>2.43877967110156E-2</v>
      </c>
      <c r="H1124" s="10" t="s">
        <v>10074</v>
      </c>
      <c r="I1124" s="10" t="s">
        <v>18</v>
      </c>
    </row>
    <row r="1125" spans="1:9" x14ac:dyDescent="0.2">
      <c r="A1125" s="10" t="s">
        <v>10075</v>
      </c>
      <c r="B1125" s="10">
        <v>93.284876479195205</v>
      </c>
      <c r="C1125" s="10">
        <v>2.1688226569971598</v>
      </c>
      <c r="D1125" s="10">
        <v>0.44543508457062198</v>
      </c>
      <c r="E1125" s="10">
        <v>4.8689982718532399</v>
      </c>
      <c r="F1125" s="4">
        <v>1.1216538858066201E-6</v>
      </c>
      <c r="G1125" s="4">
        <v>1.38581549594624E-5</v>
      </c>
      <c r="H1125" s="10" t="s">
        <v>10076</v>
      </c>
      <c r="I1125" s="10" t="s">
        <v>18</v>
      </c>
    </row>
    <row r="1126" spans="1:9" x14ac:dyDescent="0.2">
      <c r="A1126" s="10" t="s">
        <v>3367</v>
      </c>
      <c r="B1126" s="10">
        <v>378.89529383818302</v>
      </c>
      <c r="C1126" s="10">
        <v>1.38127411443727</v>
      </c>
      <c r="D1126" s="10">
        <v>0.316882726468252</v>
      </c>
      <c r="E1126" s="10">
        <v>4.3589441741806496</v>
      </c>
      <c r="F1126" s="4">
        <v>1.30691443181237E-5</v>
      </c>
      <c r="G1126" s="10">
        <v>1.2983978093301799E-4</v>
      </c>
      <c r="H1126" s="10" t="s">
        <v>3368</v>
      </c>
      <c r="I1126" s="10" t="s">
        <v>18</v>
      </c>
    </row>
    <row r="1127" spans="1:9" x14ac:dyDescent="0.2">
      <c r="A1127" s="10" t="s">
        <v>10077</v>
      </c>
      <c r="B1127" s="10">
        <v>1110.2198762990699</v>
      </c>
      <c r="C1127" s="10">
        <v>1.7404765075829101</v>
      </c>
      <c r="D1127" s="10">
        <v>0.30548588097715601</v>
      </c>
      <c r="E1127" s="10">
        <v>5.6974040895626699</v>
      </c>
      <c r="F1127" s="4">
        <v>1.2164537272109299E-8</v>
      </c>
      <c r="G1127" s="4">
        <v>2.12057474067851E-7</v>
      </c>
      <c r="H1127" s="10" t="s">
        <v>10078</v>
      </c>
      <c r="I1127" s="10" t="s">
        <v>18</v>
      </c>
    </row>
    <row r="1128" spans="1:9" x14ac:dyDescent="0.2">
      <c r="A1128" s="10" t="s">
        <v>3371</v>
      </c>
      <c r="B1128" s="10">
        <v>476.95303667496103</v>
      </c>
      <c r="C1128" s="10">
        <v>-2.1388264790276699</v>
      </c>
      <c r="D1128" s="10">
        <v>0.34894023422792497</v>
      </c>
      <c r="E1128" s="10">
        <v>-6.1294923004797504</v>
      </c>
      <c r="F1128" s="4">
        <v>8.8159941173200897E-10</v>
      </c>
      <c r="G1128" s="4">
        <v>1.8118164380815901E-8</v>
      </c>
      <c r="H1128" s="10" t="s">
        <v>3372</v>
      </c>
      <c r="I1128" s="10" t="s">
        <v>18</v>
      </c>
    </row>
    <row r="1129" spans="1:9" x14ac:dyDescent="0.2">
      <c r="A1129" s="10" t="s">
        <v>3373</v>
      </c>
      <c r="B1129" s="10">
        <v>744.77221494444098</v>
      </c>
      <c r="C1129" s="10">
        <v>2.5916357817911302</v>
      </c>
      <c r="D1129" s="10">
        <v>0.32576224013029098</v>
      </c>
      <c r="E1129" s="10">
        <v>7.9556052314552899</v>
      </c>
      <c r="F1129" s="4">
        <v>1.7825793528384399E-15</v>
      </c>
      <c r="G1129" s="4">
        <v>6.7735322689804998E-14</v>
      </c>
      <c r="H1129" s="10" t="s">
        <v>3374</v>
      </c>
      <c r="I1129" s="10" t="s">
        <v>18</v>
      </c>
    </row>
    <row r="1130" spans="1:9" x14ac:dyDescent="0.2">
      <c r="A1130" s="10" t="s">
        <v>3377</v>
      </c>
      <c r="B1130" s="10">
        <v>258.07064107962702</v>
      </c>
      <c r="C1130" s="10">
        <v>2.81623258088135</v>
      </c>
      <c r="D1130" s="10">
        <v>0.37955941699671297</v>
      </c>
      <c r="E1130" s="10">
        <v>7.4197410333405998</v>
      </c>
      <c r="F1130" s="4">
        <v>1.1734955590890101E-13</v>
      </c>
      <c r="G1130" s="4">
        <v>3.76041793488968E-12</v>
      </c>
      <c r="H1130" s="10" t="s">
        <v>3378</v>
      </c>
      <c r="I1130" s="10" t="s">
        <v>18</v>
      </c>
    </row>
    <row r="1131" spans="1:9" x14ac:dyDescent="0.2">
      <c r="A1131" s="10" t="s">
        <v>10079</v>
      </c>
      <c r="B1131" s="10">
        <v>10368.392833660801</v>
      </c>
      <c r="C1131" s="10">
        <v>-1.0334183103925001</v>
      </c>
      <c r="D1131" s="10">
        <v>0.26172457781729802</v>
      </c>
      <c r="E1131" s="10">
        <v>-3.94849547188457</v>
      </c>
      <c r="F1131" s="4">
        <v>7.8643903333976305E-5</v>
      </c>
      <c r="G1131" s="10">
        <v>6.5636608771273196E-4</v>
      </c>
      <c r="H1131" s="10" t="s">
        <v>10080</v>
      </c>
      <c r="I1131" s="10" t="s">
        <v>18</v>
      </c>
    </row>
    <row r="1132" spans="1:9" x14ac:dyDescent="0.2">
      <c r="A1132" s="10" t="s">
        <v>10081</v>
      </c>
      <c r="B1132" s="10">
        <v>12956.103026820099</v>
      </c>
      <c r="C1132" s="10">
        <v>2.6705346780953101</v>
      </c>
      <c r="D1132" s="10">
        <v>0.300550449294475</v>
      </c>
      <c r="E1132" s="10">
        <v>8.8854789083304695</v>
      </c>
      <c r="F1132" s="4">
        <v>6.3646001874943099E-19</v>
      </c>
      <c r="G1132" s="4">
        <v>3.1766174150083197E-17</v>
      </c>
      <c r="H1132" s="10" t="s">
        <v>10082</v>
      </c>
      <c r="I1132" s="10" t="s">
        <v>18</v>
      </c>
    </row>
    <row r="1133" spans="1:9" x14ac:dyDescent="0.2">
      <c r="A1133" s="10" t="s">
        <v>3379</v>
      </c>
      <c r="B1133" s="10">
        <v>95.075637230692607</v>
      </c>
      <c r="C1133" s="10">
        <v>2.76370623759323</v>
      </c>
      <c r="D1133" s="10">
        <v>0.46602256855292601</v>
      </c>
      <c r="E1133" s="10">
        <v>5.9304128685762496</v>
      </c>
      <c r="F1133" s="4">
        <v>3.0217389995880798E-9</v>
      </c>
      <c r="G1133" s="4">
        <v>5.73674298374628E-8</v>
      </c>
      <c r="H1133" s="10" t="s">
        <v>3380</v>
      </c>
      <c r="I1133" s="10" t="s">
        <v>18</v>
      </c>
    </row>
    <row r="1134" spans="1:9" x14ac:dyDescent="0.2">
      <c r="A1134" s="10" t="s">
        <v>3381</v>
      </c>
      <c r="B1134" s="10">
        <v>1147.93271419946</v>
      </c>
      <c r="C1134" s="10">
        <v>-1.6060592190873899</v>
      </c>
      <c r="D1134" s="10">
        <v>0.32248239609838297</v>
      </c>
      <c r="E1134" s="10">
        <v>-4.98030043970964</v>
      </c>
      <c r="F1134" s="4">
        <v>6.3485637543862795E-7</v>
      </c>
      <c r="G1134" s="4">
        <v>8.27451405396823E-6</v>
      </c>
      <c r="H1134" s="10" t="s">
        <v>3382</v>
      </c>
      <c r="I1134" s="10" t="s">
        <v>18</v>
      </c>
    </row>
    <row r="1135" spans="1:9" x14ac:dyDescent="0.2">
      <c r="A1135" s="10" t="s">
        <v>3383</v>
      </c>
      <c r="B1135" s="10">
        <v>7142.6480227687598</v>
      </c>
      <c r="C1135" s="10">
        <v>-1.2201029002959201</v>
      </c>
      <c r="D1135" s="10">
        <v>0.28488286996457501</v>
      </c>
      <c r="E1135" s="10">
        <v>-4.2828229736931398</v>
      </c>
      <c r="F1135" s="4">
        <v>1.84536987832359E-5</v>
      </c>
      <c r="G1135" s="10">
        <v>1.78402303186894E-4</v>
      </c>
      <c r="H1135" s="10" t="s">
        <v>3384</v>
      </c>
      <c r="I1135" s="10" t="s">
        <v>18</v>
      </c>
    </row>
    <row r="1136" spans="1:9" x14ac:dyDescent="0.2">
      <c r="A1136" s="10" t="s">
        <v>3385</v>
      </c>
      <c r="B1136" s="10">
        <v>74695.520389013793</v>
      </c>
      <c r="C1136" s="10">
        <v>-1.2204736483252701</v>
      </c>
      <c r="D1136" s="10">
        <v>0.26145550087490099</v>
      </c>
      <c r="E1136" s="10">
        <v>-4.6679975913347898</v>
      </c>
      <c r="F1136" s="4">
        <v>3.0414946510064902E-6</v>
      </c>
      <c r="G1136" s="4">
        <v>3.4666424080683401E-5</v>
      </c>
      <c r="H1136" s="10" t="s">
        <v>3386</v>
      </c>
      <c r="I1136" s="10" t="s">
        <v>18</v>
      </c>
    </row>
    <row r="1137" spans="1:9" x14ac:dyDescent="0.2">
      <c r="A1137" s="10" t="s">
        <v>10083</v>
      </c>
      <c r="B1137" s="10">
        <v>2035.4524697427</v>
      </c>
      <c r="C1137" s="10">
        <v>-1.0656959484608299</v>
      </c>
      <c r="D1137" s="10">
        <v>0.27570352925751102</v>
      </c>
      <c r="E1137" s="10">
        <v>-3.86536926578643</v>
      </c>
      <c r="F1137" s="10">
        <v>1.1092125160888101E-4</v>
      </c>
      <c r="G1137" s="10">
        <v>8.9087614438742202E-4</v>
      </c>
      <c r="H1137" s="10" t="s">
        <v>10084</v>
      </c>
      <c r="I1137" s="10" t="s">
        <v>18</v>
      </c>
    </row>
    <row r="1138" spans="1:9" x14ac:dyDescent="0.2">
      <c r="A1138" s="10" t="s">
        <v>3387</v>
      </c>
      <c r="B1138" s="10">
        <v>7125.3497398875397</v>
      </c>
      <c r="C1138" s="10">
        <v>-1.2087364181087299</v>
      </c>
      <c r="D1138" s="10">
        <v>0.252181072009664</v>
      </c>
      <c r="E1138" s="10">
        <v>-4.7931290341346902</v>
      </c>
      <c r="F1138" s="4">
        <v>1.64199938233586E-6</v>
      </c>
      <c r="G1138" s="4">
        <v>1.9584871722455499E-5</v>
      </c>
      <c r="H1138" s="10" t="s">
        <v>3388</v>
      </c>
      <c r="I1138" s="10" t="s">
        <v>18</v>
      </c>
    </row>
    <row r="1139" spans="1:9" x14ac:dyDescent="0.2">
      <c r="A1139" s="10" t="s">
        <v>3389</v>
      </c>
      <c r="B1139" s="10">
        <v>388.50918179503401</v>
      </c>
      <c r="C1139" s="10">
        <v>-1.13367117615418</v>
      </c>
      <c r="D1139" s="10">
        <v>0.34378557068978999</v>
      </c>
      <c r="E1139" s="10">
        <v>-3.2976112810072902</v>
      </c>
      <c r="F1139" s="10">
        <v>9.7511026407833099E-4</v>
      </c>
      <c r="G1139" s="10">
        <v>5.97100747149231E-3</v>
      </c>
      <c r="H1139" s="10" t="s">
        <v>3390</v>
      </c>
      <c r="I1139" s="10" t="s">
        <v>18</v>
      </c>
    </row>
    <row r="1140" spans="1:9" x14ac:dyDescent="0.2">
      <c r="A1140" s="10" t="s">
        <v>3391</v>
      </c>
      <c r="B1140" s="10">
        <v>6636.7750441042499</v>
      </c>
      <c r="C1140" s="10">
        <v>-1.10154301426479</v>
      </c>
      <c r="D1140" s="10">
        <v>0.24853498535490601</v>
      </c>
      <c r="E1140" s="10">
        <v>-4.43214468454733</v>
      </c>
      <c r="F1140" s="4">
        <v>9.3300373603702098E-6</v>
      </c>
      <c r="G1140" s="4">
        <v>9.6305740582729806E-5</v>
      </c>
      <c r="H1140" s="10" t="s">
        <v>3392</v>
      </c>
      <c r="I1140" s="10" t="s">
        <v>18</v>
      </c>
    </row>
    <row r="1141" spans="1:9" x14ac:dyDescent="0.2">
      <c r="A1141" s="10" t="s">
        <v>3393</v>
      </c>
      <c r="B1141" s="10">
        <v>90.259835375404194</v>
      </c>
      <c r="C1141" s="10">
        <v>-1.3105493592072199</v>
      </c>
      <c r="D1141" s="10">
        <v>0.431031260691009</v>
      </c>
      <c r="E1141" s="10">
        <v>-3.04049724167617</v>
      </c>
      <c r="F1141" s="10">
        <v>2.3618785502811401E-3</v>
      </c>
      <c r="G1141" s="10">
        <v>1.26169154666218E-2</v>
      </c>
      <c r="H1141" s="10" t="s">
        <v>3394</v>
      </c>
      <c r="I1141" s="10" t="s">
        <v>18</v>
      </c>
    </row>
    <row r="1142" spans="1:9" x14ac:dyDescent="0.2">
      <c r="A1142" s="10" t="s">
        <v>10085</v>
      </c>
      <c r="B1142" s="10">
        <v>915.77695636067403</v>
      </c>
      <c r="C1142" s="10">
        <v>-1.08969084317572</v>
      </c>
      <c r="D1142" s="10">
        <v>0.30716892216122899</v>
      </c>
      <c r="E1142" s="10">
        <v>-3.5475295987259901</v>
      </c>
      <c r="F1142" s="10">
        <v>3.8886205533422702E-4</v>
      </c>
      <c r="G1142" s="10">
        <v>2.6851015651749902E-3</v>
      </c>
      <c r="H1142" s="10" t="s">
        <v>10086</v>
      </c>
      <c r="I1142" s="10" t="s">
        <v>18</v>
      </c>
    </row>
    <row r="1143" spans="1:9" x14ac:dyDescent="0.2">
      <c r="A1143" s="10" t="s">
        <v>3395</v>
      </c>
      <c r="B1143" s="10">
        <v>787.94538735979404</v>
      </c>
      <c r="C1143" s="10">
        <v>-1.95139811927114</v>
      </c>
      <c r="D1143" s="10">
        <v>0.25945704462064301</v>
      </c>
      <c r="E1143" s="10">
        <v>-7.5210835848543303</v>
      </c>
      <c r="F1143" s="4">
        <v>5.4324103865522498E-14</v>
      </c>
      <c r="G1143" s="4">
        <v>1.7793266051265901E-12</v>
      </c>
      <c r="H1143" s="10" t="s">
        <v>3396</v>
      </c>
      <c r="I1143" s="10" t="s">
        <v>18</v>
      </c>
    </row>
    <row r="1144" spans="1:9" x14ac:dyDescent="0.2">
      <c r="A1144" s="10" t="s">
        <v>10087</v>
      </c>
      <c r="B1144" s="10">
        <v>1490.1511430241701</v>
      </c>
      <c r="C1144" s="10">
        <v>1.00051988806433</v>
      </c>
      <c r="D1144" s="10">
        <v>0.26119684151152001</v>
      </c>
      <c r="E1144" s="10">
        <v>3.8305206229693201</v>
      </c>
      <c r="F1144" s="10">
        <v>1.27872414935244E-4</v>
      </c>
      <c r="G1144" s="10">
        <v>1.00866434546757E-3</v>
      </c>
      <c r="H1144" s="10" t="s">
        <v>10088</v>
      </c>
      <c r="I1144" s="10" t="s">
        <v>18</v>
      </c>
    </row>
    <row r="1145" spans="1:9" x14ac:dyDescent="0.2">
      <c r="A1145" s="10" t="s">
        <v>10089</v>
      </c>
      <c r="B1145" s="10">
        <v>28.323769497323202</v>
      </c>
      <c r="C1145" s="10">
        <v>-3.67301083822835</v>
      </c>
      <c r="D1145" s="10">
        <v>0.79353428645035495</v>
      </c>
      <c r="E1145" s="10">
        <v>-4.6286731410919799</v>
      </c>
      <c r="F1145" s="4">
        <v>3.6801609972563399E-6</v>
      </c>
      <c r="G1145" s="4">
        <v>4.1420335519455501E-5</v>
      </c>
      <c r="H1145" s="10" t="s">
        <v>10090</v>
      </c>
      <c r="I1145" s="10" t="s">
        <v>18</v>
      </c>
    </row>
    <row r="1146" spans="1:9" x14ac:dyDescent="0.2">
      <c r="A1146" s="10" t="s">
        <v>3401</v>
      </c>
      <c r="B1146" s="10">
        <v>114.674245802679</v>
      </c>
      <c r="C1146" s="10">
        <v>2.0336936864503001</v>
      </c>
      <c r="D1146" s="10">
        <v>0.39349674026878301</v>
      </c>
      <c r="E1146" s="10">
        <v>5.1682605682099503</v>
      </c>
      <c r="F1146" s="4">
        <v>2.3628273686265199E-7</v>
      </c>
      <c r="G1146" s="4">
        <v>3.32594464941846E-6</v>
      </c>
      <c r="H1146" s="10" t="s">
        <v>3402</v>
      </c>
      <c r="I1146" s="10" t="s">
        <v>18</v>
      </c>
    </row>
    <row r="1147" spans="1:9" x14ac:dyDescent="0.2">
      <c r="A1147" s="10" t="s">
        <v>10091</v>
      </c>
      <c r="B1147" s="10">
        <v>2040.8985320859899</v>
      </c>
      <c r="C1147" s="10">
        <v>-1.00203150493987</v>
      </c>
      <c r="D1147" s="10">
        <v>0.25454614652207802</v>
      </c>
      <c r="E1147" s="10">
        <v>-3.93654163942711</v>
      </c>
      <c r="F1147" s="4">
        <v>8.2664282301127102E-5</v>
      </c>
      <c r="G1147" s="10">
        <v>6.8514662974789205E-4</v>
      </c>
      <c r="H1147" s="10" t="s">
        <v>10092</v>
      </c>
      <c r="I1147" s="10" t="s">
        <v>18</v>
      </c>
    </row>
    <row r="1148" spans="1:9" x14ac:dyDescent="0.2">
      <c r="A1148" s="10" t="s">
        <v>10093</v>
      </c>
      <c r="B1148" s="10">
        <v>392.22912664341402</v>
      </c>
      <c r="C1148" s="10">
        <v>-2.4179781335039201</v>
      </c>
      <c r="D1148" s="10">
        <v>0.30491282369183398</v>
      </c>
      <c r="E1148" s="10">
        <v>-7.9300637612660596</v>
      </c>
      <c r="F1148" s="4">
        <v>2.1903339850577E-15</v>
      </c>
      <c r="G1148" s="4">
        <v>8.2481813464261001E-14</v>
      </c>
      <c r="H1148" s="10" t="s">
        <v>10094</v>
      </c>
      <c r="I1148" s="10" t="s">
        <v>18</v>
      </c>
    </row>
    <row r="1149" spans="1:9" x14ac:dyDescent="0.2">
      <c r="A1149" s="10" t="s">
        <v>10095</v>
      </c>
      <c r="B1149" s="10">
        <v>29.9608339484022</v>
      </c>
      <c r="C1149" s="10">
        <v>-1.71085540131576</v>
      </c>
      <c r="D1149" s="10">
        <v>0.66923151251621504</v>
      </c>
      <c r="E1149" s="10">
        <v>-2.5564477603321301</v>
      </c>
      <c r="F1149" s="10">
        <v>1.05746947841502E-2</v>
      </c>
      <c r="G1149" s="10">
        <v>4.4253276874945797E-2</v>
      </c>
      <c r="H1149" s="10" t="s">
        <v>10096</v>
      </c>
      <c r="I1149" s="10" t="s">
        <v>18</v>
      </c>
    </row>
    <row r="1150" spans="1:9" x14ac:dyDescent="0.2">
      <c r="A1150" s="10" t="s">
        <v>10097</v>
      </c>
      <c r="B1150" s="10">
        <v>2579.4931336908598</v>
      </c>
      <c r="C1150" s="10">
        <v>1.1238219272443599</v>
      </c>
      <c r="D1150" s="10">
        <v>0.25930431768029899</v>
      </c>
      <c r="E1150" s="10">
        <v>4.3339884861845599</v>
      </c>
      <c r="F1150" s="4">
        <v>1.46431836559292E-5</v>
      </c>
      <c r="G1150" s="10">
        <v>1.4439407481963901E-4</v>
      </c>
      <c r="H1150" s="10" t="s">
        <v>10098</v>
      </c>
      <c r="I1150" s="10" t="s">
        <v>18</v>
      </c>
    </row>
    <row r="1151" spans="1:9" x14ac:dyDescent="0.2">
      <c r="A1151" s="10" t="s">
        <v>10099</v>
      </c>
      <c r="B1151" s="10">
        <v>25.8940545460053</v>
      </c>
      <c r="C1151" s="10">
        <v>-2.8796622949708799</v>
      </c>
      <c r="D1151" s="10">
        <v>0.76145689732629396</v>
      </c>
      <c r="E1151" s="10">
        <v>-3.7817797764814398</v>
      </c>
      <c r="F1151" s="10">
        <v>1.55711087558285E-4</v>
      </c>
      <c r="G1151" s="10">
        <v>1.1985656081789E-3</v>
      </c>
      <c r="H1151" s="10" t="s">
        <v>10100</v>
      </c>
      <c r="I1151" s="10" t="s">
        <v>18</v>
      </c>
    </row>
    <row r="1152" spans="1:9" x14ac:dyDescent="0.2">
      <c r="A1152" s="10" t="s">
        <v>3407</v>
      </c>
      <c r="B1152" s="10">
        <v>544.96862502939496</v>
      </c>
      <c r="C1152" s="10">
        <v>-2.5782208648832499</v>
      </c>
      <c r="D1152" s="10">
        <v>0.27824595286516701</v>
      </c>
      <c r="E1152" s="10">
        <v>-9.2659779534425208</v>
      </c>
      <c r="F1152" s="4">
        <v>1.9329772113860899E-20</v>
      </c>
      <c r="G1152" s="4">
        <v>1.07575313611542E-18</v>
      </c>
      <c r="H1152" s="10" t="s">
        <v>3408</v>
      </c>
      <c r="I1152" s="10" t="s">
        <v>18</v>
      </c>
    </row>
    <row r="1153" spans="1:9" x14ac:dyDescent="0.2">
      <c r="A1153" s="10" t="s">
        <v>3411</v>
      </c>
      <c r="B1153" s="10">
        <v>1034.0154338432501</v>
      </c>
      <c r="C1153" s="10">
        <v>1.53227794714073</v>
      </c>
      <c r="D1153" s="10">
        <v>0.256363232635685</v>
      </c>
      <c r="E1153" s="10">
        <v>5.9769801284969502</v>
      </c>
      <c r="F1153" s="4">
        <v>2.2731191390051999E-9</v>
      </c>
      <c r="G1153" s="4">
        <v>4.3749282281312699E-8</v>
      </c>
      <c r="H1153" s="10" t="s">
        <v>3412</v>
      </c>
      <c r="I1153" s="10" t="s">
        <v>18</v>
      </c>
    </row>
    <row r="1154" spans="1:9" x14ac:dyDescent="0.2">
      <c r="A1154" s="10" t="s">
        <v>3415</v>
      </c>
      <c r="B1154" s="10">
        <v>1379.09363535539</v>
      </c>
      <c r="C1154" s="10">
        <v>-1.87582850941774</v>
      </c>
      <c r="D1154" s="10">
        <v>0.29859535686958599</v>
      </c>
      <c r="E1154" s="10">
        <v>-6.2821757480878198</v>
      </c>
      <c r="F1154" s="4">
        <v>3.3386710509033198E-10</v>
      </c>
      <c r="G1154" s="4">
        <v>7.2400233004718203E-9</v>
      </c>
      <c r="H1154" s="10" t="s">
        <v>3416</v>
      </c>
      <c r="I1154" s="10" t="s">
        <v>18</v>
      </c>
    </row>
    <row r="1155" spans="1:9" x14ac:dyDescent="0.2">
      <c r="A1155" s="10" t="s">
        <v>3417</v>
      </c>
      <c r="B1155" s="10">
        <v>4071.6904196783398</v>
      </c>
      <c r="C1155" s="10">
        <v>2.2765812238629799</v>
      </c>
      <c r="D1155" s="10">
        <v>0.23992781293573501</v>
      </c>
      <c r="E1155" s="10">
        <v>9.4886090779011294</v>
      </c>
      <c r="F1155" s="4">
        <v>2.34137468464116E-21</v>
      </c>
      <c r="G1155" s="4">
        <v>1.3793274049683501E-19</v>
      </c>
      <c r="H1155" s="10" t="s">
        <v>3418</v>
      </c>
      <c r="I1155" s="10" t="s">
        <v>18</v>
      </c>
    </row>
    <row r="1156" spans="1:9" x14ac:dyDescent="0.2">
      <c r="A1156" s="10" t="s">
        <v>3419</v>
      </c>
      <c r="B1156" s="10">
        <v>4398.9685484022002</v>
      </c>
      <c r="C1156" s="10">
        <v>1.5143912007509801</v>
      </c>
      <c r="D1156" s="10">
        <v>0.23537719646217301</v>
      </c>
      <c r="E1156" s="10">
        <v>6.4338908930557803</v>
      </c>
      <c r="F1156" s="4">
        <v>1.24378156418622E-10</v>
      </c>
      <c r="G1156" s="4">
        <v>2.82121958945937E-9</v>
      </c>
      <c r="H1156" s="10" t="s">
        <v>3420</v>
      </c>
      <c r="I1156" s="10" t="s">
        <v>18</v>
      </c>
    </row>
    <row r="1157" spans="1:9" x14ac:dyDescent="0.2">
      <c r="A1157" s="10" t="s">
        <v>3421</v>
      </c>
      <c r="B1157" s="10">
        <v>799.51416737493196</v>
      </c>
      <c r="C1157" s="10">
        <v>-1.1792447730768101</v>
      </c>
      <c r="D1157" s="10">
        <v>0.27213600306775398</v>
      </c>
      <c r="E1157" s="10">
        <v>-4.3332920296592201</v>
      </c>
      <c r="F1157" s="4">
        <v>1.4689604598952899E-5</v>
      </c>
      <c r="G1157" s="10">
        <v>1.4479506414053999E-4</v>
      </c>
      <c r="H1157" s="10" t="s">
        <v>3422</v>
      </c>
      <c r="I1157" s="10" t="s">
        <v>18</v>
      </c>
    </row>
    <row r="1158" spans="1:9" x14ac:dyDescent="0.2">
      <c r="A1158" s="10" t="s">
        <v>10101</v>
      </c>
      <c r="B1158" s="10">
        <v>5412.2763506388301</v>
      </c>
      <c r="C1158" s="10">
        <v>-1.24835656290575</v>
      </c>
      <c r="D1158" s="10">
        <v>0.25584441469623398</v>
      </c>
      <c r="E1158" s="10">
        <v>-4.8793582786942098</v>
      </c>
      <c r="F1158" s="4">
        <v>1.0643156929332701E-6</v>
      </c>
      <c r="G1158" s="4">
        <v>1.3232471678503299E-5</v>
      </c>
      <c r="H1158" s="10" t="s">
        <v>10102</v>
      </c>
      <c r="I1158" s="10" t="s">
        <v>18</v>
      </c>
    </row>
    <row r="1159" spans="1:9" x14ac:dyDescent="0.2">
      <c r="A1159" s="10" t="s">
        <v>10103</v>
      </c>
      <c r="B1159" s="10">
        <v>1381.8887029549401</v>
      </c>
      <c r="C1159" s="10">
        <v>1.02433881211071</v>
      </c>
      <c r="D1159" s="10">
        <v>0.271054314552926</v>
      </c>
      <c r="E1159" s="10">
        <v>3.7790905996100701</v>
      </c>
      <c r="F1159" s="10">
        <v>1.57402151660189E-4</v>
      </c>
      <c r="G1159" s="10">
        <v>1.2112117237724201E-3</v>
      </c>
      <c r="H1159" s="10" t="s">
        <v>10104</v>
      </c>
      <c r="I1159" s="10" t="s">
        <v>18</v>
      </c>
    </row>
    <row r="1160" spans="1:9" x14ac:dyDescent="0.2">
      <c r="A1160" s="10" t="s">
        <v>10105</v>
      </c>
      <c r="B1160" s="10">
        <v>103.77258507316699</v>
      </c>
      <c r="C1160" s="10">
        <v>1.38097155150206</v>
      </c>
      <c r="D1160" s="10">
        <v>0.39807041419674799</v>
      </c>
      <c r="E1160" s="10">
        <v>3.4691640027774402</v>
      </c>
      <c r="F1160" s="10">
        <v>5.2208064819716702E-4</v>
      </c>
      <c r="G1160" s="10">
        <v>3.4734035190160601E-3</v>
      </c>
      <c r="H1160" s="10" t="s">
        <v>10106</v>
      </c>
      <c r="I1160" s="10" t="s">
        <v>18</v>
      </c>
    </row>
    <row r="1161" spans="1:9" x14ac:dyDescent="0.2">
      <c r="A1161" s="10" t="s">
        <v>3427</v>
      </c>
      <c r="B1161" s="10">
        <v>29.139128309837499</v>
      </c>
      <c r="C1161" s="10">
        <v>1.84311844264839</v>
      </c>
      <c r="D1161" s="10">
        <v>0.66743729977239696</v>
      </c>
      <c r="E1161" s="10">
        <v>2.76148552572191</v>
      </c>
      <c r="F1161" s="10">
        <v>5.7539066987894799E-3</v>
      </c>
      <c r="G1161" s="10">
        <v>2.6572337618514599E-2</v>
      </c>
      <c r="H1161" s="10" t="s">
        <v>3428</v>
      </c>
      <c r="I1161" s="10" t="s">
        <v>18</v>
      </c>
    </row>
    <row r="1162" spans="1:9" x14ac:dyDescent="0.2">
      <c r="A1162" s="10" t="s">
        <v>10107</v>
      </c>
      <c r="B1162" s="10">
        <v>17.546336780804001</v>
      </c>
      <c r="C1162" s="10">
        <v>-3.10332914424554</v>
      </c>
      <c r="D1162" s="10">
        <v>0.937825524890191</v>
      </c>
      <c r="E1162" s="10">
        <v>-3.3090687573351198</v>
      </c>
      <c r="F1162" s="10">
        <v>9.3606845998331703E-4</v>
      </c>
      <c r="G1162" s="10">
        <v>5.76844735690356E-3</v>
      </c>
      <c r="H1162" s="10" t="s">
        <v>10108</v>
      </c>
      <c r="I1162" s="10" t="s">
        <v>18</v>
      </c>
    </row>
    <row r="1163" spans="1:9" x14ac:dyDescent="0.2">
      <c r="A1163" s="10" t="s">
        <v>10109</v>
      </c>
      <c r="B1163" s="10">
        <v>422.89781318469198</v>
      </c>
      <c r="C1163" s="10">
        <v>-1.7581663124629301</v>
      </c>
      <c r="D1163" s="10">
        <v>0.28326210864552498</v>
      </c>
      <c r="E1163" s="10">
        <v>-6.2068531540273799</v>
      </c>
      <c r="F1163" s="4">
        <v>5.4056064649082495E-10</v>
      </c>
      <c r="G1163" s="4">
        <v>1.14267252625855E-8</v>
      </c>
      <c r="H1163" s="10" t="s">
        <v>10110</v>
      </c>
      <c r="I1163" s="10" t="s">
        <v>18</v>
      </c>
    </row>
    <row r="1164" spans="1:9" x14ac:dyDescent="0.2">
      <c r="A1164" s="10" t="s">
        <v>10111</v>
      </c>
      <c r="B1164" s="10">
        <v>2675.7715222881902</v>
      </c>
      <c r="C1164" s="10">
        <v>-1.1624262357413999</v>
      </c>
      <c r="D1164" s="10">
        <v>0.251947993704216</v>
      </c>
      <c r="E1164" s="10">
        <v>-4.6137546826670697</v>
      </c>
      <c r="F1164" s="4">
        <v>3.9545915457128201E-6</v>
      </c>
      <c r="G1164" s="4">
        <v>4.43108019298022E-5</v>
      </c>
      <c r="H1164" s="10" t="s">
        <v>10112</v>
      </c>
      <c r="I1164" s="10" t="s">
        <v>18</v>
      </c>
    </row>
    <row r="1165" spans="1:9" x14ac:dyDescent="0.2">
      <c r="A1165" s="10" t="s">
        <v>3433</v>
      </c>
      <c r="B1165" s="10">
        <v>1271.9776638671699</v>
      </c>
      <c r="C1165" s="10">
        <v>2.1322934411620098</v>
      </c>
      <c r="D1165" s="10">
        <v>0.262715969575122</v>
      </c>
      <c r="E1165" s="10">
        <v>8.1163449812756596</v>
      </c>
      <c r="F1165" s="4">
        <v>4.8043372635778997E-16</v>
      </c>
      <c r="G1165" s="4">
        <v>1.9244124819315601E-14</v>
      </c>
      <c r="H1165" s="10" t="s">
        <v>3434</v>
      </c>
      <c r="I1165" s="10" t="s">
        <v>18</v>
      </c>
    </row>
    <row r="1166" spans="1:9" x14ac:dyDescent="0.2">
      <c r="A1166" s="10" t="s">
        <v>3435</v>
      </c>
      <c r="B1166" s="10">
        <v>949.34142092284605</v>
      </c>
      <c r="C1166" s="10">
        <v>-1.30602267284773</v>
      </c>
      <c r="D1166" s="10">
        <v>0.28342401450146998</v>
      </c>
      <c r="E1166" s="10">
        <v>-4.60801698524015</v>
      </c>
      <c r="F1166" s="4">
        <v>4.0652746159479398E-6</v>
      </c>
      <c r="G1166" s="4">
        <v>4.5449770206298003E-5</v>
      </c>
      <c r="H1166" s="10" t="s">
        <v>3436</v>
      </c>
      <c r="I1166" s="10" t="s">
        <v>18</v>
      </c>
    </row>
    <row r="1167" spans="1:9" x14ac:dyDescent="0.2">
      <c r="A1167" s="10" t="s">
        <v>3437</v>
      </c>
      <c r="B1167" s="10">
        <v>154.04018153333601</v>
      </c>
      <c r="C1167" s="10">
        <v>-1.12988086693665</v>
      </c>
      <c r="D1167" s="10">
        <v>0.37668642241171402</v>
      </c>
      <c r="E1167" s="10">
        <v>-2.9995263957289802</v>
      </c>
      <c r="F1167" s="10">
        <v>2.7039969313929798E-3</v>
      </c>
      <c r="G1167" s="10">
        <v>1.41206233774528E-2</v>
      </c>
      <c r="H1167" s="10" t="s">
        <v>3438</v>
      </c>
      <c r="I1167" s="10" t="s">
        <v>18</v>
      </c>
    </row>
    <row r="1168" spans="1:9" x14ac:dyDescent="0.2">
      <c r="A1168" s="10" t="s">
        <v>10113</v>
      </c>
      <c r="B1168" s="10">
        <v>1779.0577347522401</v>
      </c>
      <c r="C1168" s="10">
        <v>-1.0195862481340501</v>
      </c>
      <c r="D1168" s="10">
        <v>0.26441504590810899</v>
      </c>
      <c r="E1168" s="10">
        <v>-3.85600692514444</v>
      </c>
      <c r="F1168" s="10">
        <v>1.15254223918058E-4</v>
      </c>
      <c r="G1168" s="10">
        <v>9.2097204658791597E-4</v>
      </c>
      <c r="H1168" s="10" t="s">
        <v>10114</v>
      </c>
      <c r="I1168" s="10" t="s">
        <v>18</v>
      </c>
    </row>
    <row r="1169" spans="1:9" x14ac:dyDescent="0.2">
      <c r="A1169" s="10" t="s">
        <v>10115</v>
      </c>
      <c r="B1169" s="10">
        <v>447.21166415089999</v>
      </c>
      <c r="C1169" s="10">
        <v>1.15788426516867</v>
      </c>
      <c r="D1169" s="10">
        <v>0.27925589802140599</v>
      </c>
      <c r="E1169" s="10">
        <v>4.1463198212555499</v>
      </c>
      <c r="F1169" s="4">
        <v>3.3786181953193402E-5</v>
      </c>
      <c r="G1169" s="10">
        <v>3.0860254431103098E-4</v>
      </c>
      <c r="H1169" s="10" t="s">
        <v>10116</v>
      </c>
      <c r="I1169" s="10" t="s">
        <v>18</v>
      </c>
    </row>
    <row r="1170" spans="1:9" x14ac:dyDescent="0.2">
      <c r="A1170" s="10" t="s">
        <v>3447</v>
      </c>
      <c r="B1170" s="10">
        <v>171.248683538216</v>
      </c>
      <c r="C1170" s="10">
        <v>1.1320993241898201</v>
      </c>
      <c r="D1170" s="10">
        <v>0.34094011684293002</v>
      </c>
      <c r="E1170" s="10">
        <v>3.32052248551136</v>
      </c>
      <c r="F1170" s="10">
        <v>8.9849121063691195E-4</v>
      </c>
      <c r="G1170" s="10">
        <v>5.5737475717809E-3</v>
      </c>
      <c r="H1170" s="10" t="s">
        <v>3448</v>
      </c>
      <c r="I1170" s="10" t="s">
        <v>18</v>
      </c>
    </row>
    <row r="1171" spans="1:9" x14ac:dyDescent="0.2">
      <c r="A1171" s="10" t="s">
        <v>3453</v>
      </c>
      <c r="B1171" s="10">
        <v>707.03315042938004</v>
      </c>
      <c r="C1171" s="10">
        <v>2.0261467258111199</v>
      </c>
      <c r="D1171" s="10">
        <v>0.26444046539185101</v>
      </c>
      <c r="E1171" s="10">
        <v>7.6620146724093496</v>
      </c>
      <c r="F1171" s="4">
        <v>1.8303872211749299E-14</v>
      </c>
      <c r="G1171" s="4">
        <v>6.28149939272242E-13</v>
      </c>
      <c r="H1171" s="10" t="s">
        <v>3454</v>
      </c>
      <c r="I1171" s="10" t="s">
        <v>18</v>
      </c>
    </row>
    <row r="1172" spans="1:9" x14ac:dyDescent="0.2">
      <c r="A1172" s="10" t="s">
        <v>3461</v>
      </c>
      <c r="B1172" s="10">
        <v>1987.1299381891299</v>
      </c>
      <c r="C1172" s="10">
        <v>-1.68246328979982</v>
      </c>
      <c r="D1172" s="10">
        <v>0.291517056257249</v>
      </c>
      <c r="E1172" s="10">
        <v>-5.77140600759612</v>
      </c>
      <c r="F1172" s="4">
        <v>7.8612805090435608E-9</v>
      </c>
      <c r="G1172" s="4">
        <v>1.40547627011365E-7</v>
      </c>
      <c r="H1172" s="10" t="s">
        <v>3462</v>
      </c>
      <c r="I1172" s="10" t="s">
        <v>18</v>
      </c>
    </row>
    <row r="1173" spans="1:9" x14ac:dyDescent="0.2">
      <c r="A1173" s="10" t="s">
        <v>3463</v>
      </c>
      <c r="B1173" s="10">
        <v>52.427020964825999</v>
      </c>
      <c r="C1173" s="10">
        <v>1.4869499118613001</v>
      </c>
      <c r="D1173" s="10">
        <v>0.558879764988786</v>
      </c>
      <c r="E1173" s="10">
        <v>2.66058999629578</v>
      </c>
      <c r="F1173" s="10">
        <v>7.8003878123504896E-3</v>
      </c>
      <c r="G1173" s="10">
        <v>3.42441108934863E-2</v>
      </c>
      <c r="H1173" s="10" t="s">
        <v>3464</v>
      </c>
      <c r="I1173" s="10" t="s">
        <v>18</v>
      </c>
    </row>
    <row r="1174" spans="1:9" x14ac:dyDescent="0.2">
      <c r="A1174" s="10" t="s">
        <v>3465</v>
      </c>
      <c r="B1174" s="10">
        <v>2929.6076434284701</v>
      </c>
      <c r="C1174" s="10">
        <v>3.3198808084248901</v>
      </c>
      <c r="D1174" s="10">
        <v>0.29285527866423899</v>
      </c>
      <c r="E1174" s="10">
        <v>11.3362505315507</v>
      </c>
      <c r="F1174" s="4">
        <v>8.6783566571227206E-30</v>
      </c>
      <c r="G1174" s="4">
        <v>8.8025831334645997E-28</v>
      </c>
      <c r="H1174" s="10" t="s">
        <v>3466</v>
      </c>
      <c r="I1174" s="10" t="s">
        <v>18</v>
      </c>
    </row>
    <row r="1175" spans="1:9" x14ac:dyDescent="0.2">
      <c r="A1175" s="10" t="s">
        <v>10117</v>
      </c>
      <c r="B1175" s="10">
        <v>2978.1323617589801</v>
      </c>
      <c r="C1175" s="10">
        <v>-1.04236697157075</v>
      </c>
      <c r="D1175" s="10">
        <v>0.272194942659573</v>
      </c>
      <c r="E1175" s="10">
        <v>-3.8294869162003802</v>
      </c>
      <c r="F1175" s="10">
        <v>1.2841070982015201E-4</v>
      </c>
      <c r="G1175" s="10">
        <v>1.01195846037779E-3</v>
      </c>
      <c r="H1175" s="10" t="s">
        <v>10118</v>
      </c>
      <c r="I1175" s="10" t="s">
        <v>18</v>
      </c>
    </row>
    <row r="1176" spans="1:9" x14ac:dyDescent="0.2">
      <c r="A1176" s="10" t="s">
        <v>3467</v>
      </c>
      <c r="B1176" s="10">
        <v>46.3167327835802</v>
      </c>
      <c r="C1176" s="10">
        <v>4.7785438720954296</v>
      </c>
      <c r="D1176" s="10">
        <v>0.75654314726876704</v>
      </c>
      <c r="E1176" s="10">
        <v>6.3162872988099696</v>
      </c>
      <c r="F1176" s="4">
        <v>2.67921767327656E-10</v>
      </c>
      <c r="G1176" s="4">
        <v>5.8912343156706197E-9</v>
      </c>
      <c r="H1176" s="10" t="s">
        <v>3468</v>
      </c>
      <c r="I1176" s="10" t="s">
        <v>18</v>
      </c>
    </row>
    <row r="1177" spans="1:9" x14ac:dyDescent="0.2">
      <c r="A1177" s="10" t="s">
        <v>3469</v>
      </c>
      <c r="B1177" s="10">
        <v>523.66323117545403</v>
      </c>
      <c r="C1177" s="10">
        <v>4.4170262081877798</v>
      </c>
      <c r="D1177" s="10">
        <v>0.31783498260517101</v>
      </c>
      <c r="E1177" s="10">
        <v>13.8972311102545</v>
      </c>
      <c r="F1177" s="4">
        <v>6.5839472231250201E-44</v>
      </c>
      <c r="G1177" s="4">
        <v>1.3144380349024599E-41</v>
      </c>
      <c r="H1177" s="10" t="s">
        <v>3470</v>
      </c>
      <c r="I1177" s="10" t="s">
        <v>18</v>
      </c>
    </row>
    <row r="1178" spans="1:9" x14ac:dyDescent="0.2">
      <c r="A1178" s="10" t="s">
        <v>10119</v>
      </c>
      <c r="B1178" s="10">
        <v>3222.6188570672998</v>
      </c>
      <c r="C1178" s="10">
        <v>-1.0233202870595699</v>
      </c>
      <c r="D1178" s="10">
        <v>0.27959440303038002</v>
      </c>
      <c r="E1178" s="10">
        <v>-3.6600170674674701</v>
      </c>
      <c r="F1178" s="10">
        <v>2.5219844948701599E-4</v>
      </c>
      <c r="G1178" s="10">
        <v>1.8330112675081999E-3</v>
      </c>
      <c r="H1178" s="10" t="s">
        <v>10120</v>
      </c>
      <c r="I1178" s="10" t="s">
        <v>18</v>
      </c>
    </row>
    <row r="1179" spans="1:9" x14ac:dyDescent="0.2">
      <c r="A1179" s="10" t="s">
        <v>3471</v>
      </c>
      <c r="B1179" s="10">
        <v>500.60423089340799</v>
      </c>
      <c r="C1179" s="10">
        <v>1.1336470918311099</v>
      </c>
      <c r="D1179" s="10">
        <v>0.302200911173163</v>
      </c>
      <c r="E1179" s="10">
        <v>3.7513026927358402</v>
      </c>
      <c r="F1179" s="10">
        <v>1.7591816318476199E-4</v>
      </c>
      <c r="G1179" s="10">
        <v>1.3304935041830101E-3</v>
      </c>
      <c r="H1179" s="10" t="s">
        <v>3472</v>
      </c>
      <c r="I1179" s="10" t="s">
        <v>18</v>
      </c>
    </row>
    <row r="1180" spans="1:9" x14ac:dyDescent="0.2">
      <c r="A1180" s="10" t="s">
        <v>3473</v>
      </c>
      <c r="B1180" s="10">
        <v>35.048383795498502</v>
      </c>
      <c r="C1180" s="10">
        <v>2.9457660965766799</v>
      </c>
      <c r="D1180" s="10">
        <v>0.65648564094253803</v>
      </c>
      <c r="E1180" s="10">
        <v>4.4871752142931003</v>
      </c>
      <c r="F1180" s="4">
        <v>7.2173716987701098E-6</v>
      </c>
      <c r="G1180" s="4">
        <v>7.6864091906249797E-5</v>
      </c>
      <c r="H1180" s="10" t="s">
        <v>3474</v>
      </c>
      <c r="I1180" s="10" t="s">
        <v>18</v>
      </c>
    </row>
    <row r="1181" spans="1:9" x14ac:dyDescent="0.2">
      <c r="A1181" s="10" t="s">
        <v>3475</v>
      </c>
      <c r="B1181" s="10">
        <v>33175.537664886899</v>
      </c>
      <c r="C1181" s="10">
        <v>1.7545485320909699</v>
      </c>
      <c r="D1181" s="10">
        <v>0.23412583188008099</v>
      </c>
      <c r="E1181" s="10">
        <v>7.4940407814104297</v>
      </c>
      <c r="F1181" s="4">
        <v>6.6784958373447798E-14</v>
      </c>
      <c r="G1181" s="4">
        <v>2.1705111471370601E-12</v>
      </c>
      <c r="H1181" s="10" t="s">
        <v>3476</v>
      </c>
      <c r="I1181" s="10" t="s">
        <v>18</v>
      </c>
    </row>
    <row r="1182" spans="1:9" x14ac:dyDescent="0.2">
      <c r="A1182" s="10" t="s">
        <v>3477</v>
      </c>
      <c r="B1182" s="10">
        <v>1656.6083004099301</v>
      </c>
      <c r="C1182" s="10">
        <v>2.04069291501377</v>
      </c>
      <c r="D1182" s="10">
        <v>0.24993114914203801</v>
      </c>
      <c r="E1182" s="10">
        <v>8.1650203346763508</v>
      </c>
      <c r="F1182" s="4">
        <v>3.2138107511318898E-16</v>
      </c>
      <c r="G1182" s="4">
        <v>1.31881581475893E-14</v>
      </c>
      <c r="H1182" s="10" t="s">
        <v>3478</v>
      </c>
      <c r="I1182" s="10" t="s">
        <v>18</v>
      </c>
    </row>
    <row r="1183" spans="1:9" x14ac:dyDescent="0.2">
      <c r="A1183" s="10" t="s">
        <v>10121</v>
      </c>
      <c r="B1183" s="10">
        <v>456.07802703678999</v>
      </c>
      <c r="C1183" s="10">
        <v>-1.10172567875035</v>
      </c>
      <c r="D1183" s="10">
        <v>0.315278900549259</v>
      </c>
      <c r="E1183" s="10">
        <v>-3.4944478581693499</v>
      </c>
      <c r="F1183" s="10">
        <v>4.7504339207190302E-4</v>
      </c>
      <c r="G1183" s="10">
        <v>3.1985322611265301E-3</v>
      </c>
      <c r="H1183" s="10" t="s">
        <v>10122</v>
      </c>
      <c r="I1183" s="10" t="s">
        <v>18</v>
      </c>
    </row>
    <row r="1184" spans="1:9" x14ac:dyDescent="0.2">
      <c r="A1184" s="10" t="s">
        <v>10123</v>
      </c>
      <c r="B1184" s="10">
        <v>776.95383107274802</v>
      </c>
      <c r="C1184" s="10">
        <v>-1.1684641007869401</v>
      </c>
      <c r="D1184" s="10">
        <v>0.30362213844932101</v>
      </c>
      <c r="E1184" s="10">
        <v>-3.8484153584932601</v>
      </c>
      <c r="F1184" s="10">
        <v>1.18884358776645E-4</v>
      </c>
      <c r="G1184" s="10">
        <v>9.4667174581402203E-4</v>
      </c>
      <c r="H1184" s="10" t="s">
        <v>10124</v>
      </c>
      <c r="I1184" s="10" t="s">
        <v>18</v>
      </c>
    </row>
    <row r="1185" spans="1:9" x14ac:dyDescent="0.2">
      <c r="A1185" s="10" t="s">
        <v>3485</v>
      </c>
      <c r="B1185" s="10">
        <v>323.20863368680602</v>
      </c>
      <c r="C1185" s="10">
        <v>-3.5929191737200901</v>
      </c>
      <c r="D1185" s="10">
        <v>0.35536513794108698</v>
      </c>
      <c r="E1185" s="10">
        <v>-10.1104998496384</v>
      </c>
      <c r="F1185" s="4">
        <v>4.9630408920141802E-24</v>
      </c>
      <c r="G1185" s="4">
        <v>3.5772290440864402E-22</v>
      </c>
      <c r="H1185" s="10" t="s">
        <v>3486</v>
      </c>
      <c r="I1185" s="10" t="s">
        <v>18</v>
      </c>
    </row>
    <row r="1186" spans="1:9" x14ac:dyDescent="0.2">
      <c r="A1186" s="10" t="s">
        <v>3487</v>
      </c>
      <c r="B1186" s="10">
        <v>319.78153567838899</v>
      </c>
      <c r="C1186" s="10">
        <v>-2.31847748429082</v>
      </c>
      <c r="D1186" s="10">
        <v>0.31396505278599701</v>
      </c>
      <c r="E1186" s="10">
        <v>-7.3845081282696903</v>
      </c>
      <c r="F1186" s="4">
        <v>1.5301800804958701E-13</v>
      </c>
      <c r="G1186" s="4">
        <v>4.8600605965749401E-12</v>
      </c>
      <c r="H1186" s="10" t="s">
        <v>3488</v>
      </c>
      <c r="I1186" s="10" t="s">
        <v>18</v>
      </c>
    </row>
    <row r="1187" spans="1:9" x14ac:dyDescent="0.2">
      <c r="A1187" s="10" t="s">
        <v>10125</v>
      </c>
      <c r="B1187" s="10">
        <v>95.864918665012993</v>
      </c>
      <c r="C1187" s="10">
        <v>1.4145790943098</v>
      </c>
      <c r="D1187" s="10">
        <v>0.40536163188858498</v>
      </c>
      <c r="E1187" s="10">
        <v>3.48967189548567</v>
      </c>
      <c r="F1187" s="10">
        <v>4.8361391746429001E-4</v>
      </c>
      <c r="G1187" s="10">
        <v>3.2449474776778402E-3</v>
      </c>
      <c r="H1187" s="10" t="s">
        <v>10126</v>
      </c>
      <c r="I1187" s="10" t="s">
        <v>18</v>
      </c>
    </row>
    <row r="1188" spans="1:9" x14ac:dyDescent="0.2">
      <c r="A1188" s="10" t="s">
        <v>10127</v>
      </c>
      <c r="B1188" s="10">
        <v>1775.24599464634</v>
      </c>
      <c r="C1188" s="10">
        <v>-1.0003721121531299</v>
      </c>
      <c r="D1188" s="10">
        <v>0.29230540532633797</v>
      </c>
      <c r="E1188" s="10">
        <v>-3.42235242292658</v>
      </c>
      <c r="F1188" s="10">
        <v>6.2081788755806899E-4</v>
      </c>
      <c r="G1188" s="10">
        <v>4.0468188550202696E-3</v>
      </c>
      <c r="H1188" s="10" t="s">
        <v>10128</v>
      </c>
      <c r="I1188" s="10" t="s">
        <v>18</v>
      </c>
    </row>
    <row r="1189" spans="1:9" x14ac:dyDescent="0.2">
      <c r="A1189" s="10" t="s">
        <v>10129</v>
      </c>
      <c r="B1189" s="10">
        <v>1358.0931027512299</v>
      </c>
      <c r="C1189" s="10">
        <v>-2.5880199121652199</v>
      </c>
      <c r="D1189" s="10">
        <v>0.26277018315835599</v>
      </c>
      <c r="E1189" s="10">
        <v>-9.8489862170000109</v>
      </c>
      <c r="F1189" s="4">
        <v>6.9238819369445598E-23</v>
      </c>
      <c r="G1189" s="4">
        <v>4.4773843219496201E-21</v>
      </c>
      <c r="H1189" s="10" t="s">
        <v>10130</v>
      </c>
      <c r="I1189" s="10" t="s">
        <v>18</v>
      </c>
    </row>
    <row r="1190" spans="1:9" x14ac:dyDescent="0.2">
      <c r="A1190" s="10" t="s">
        <v>10131</v>
      </c>
      <c r="B1190" s="10">
        <v>719.70230573979597</v>
      </c>
      <c r="C1190" s="10">
        <v>-1.10969722719705</v>
      </c>
      <c r="D1190" s="10">
        <v>0.26994643960465903</v>
      </c>
      <c r="E1190" s="10">
        <v>-4.1108051983282996</v>
      </c>
      <c r="F1190" s="4">
        <v>3.94281744416827E-5</v>
      </c>
      <c r="G1190" s="10">
        <v>3.5402490087639397E-4</v>
      </c>
      <c r="H1190" s="10" t="s">
        <v>10132</v>
      </c>
      <c r="I1190" s="10" t="s">
        <v>18</v>
      </c>
    </row>
    <row r="1191" spans="1:9" x14ac:dyDescent="0.2">
      <c r="A1191" s="10" t="s">
        <v>10133</v>
      </c>
      <c r="B1191" s="10">
        <v>3146.9890376450899</v>
      </c>
      <c r="C1191" s="10">
        <v>1.3767341744860599</v>
      </c>
      <c r="D1191" s="10">
        <v>0.23935385114195401</v>
      </c>
      <c r="E1191" s="10">
        <v>5.7518780997994501</v>
      </c>
      <c r="F1191" s="4">
        <v>8.8257430857212892E-9</v>
      </c>
      <c r="G1191" s="4">
        <v>1.5647506541294601E-7</v>
      </c>
      <c r="H1191" s="10" t="s">
        <v>10134</v>
      </c>
      <c r="I1191" s="10" t="s">
        <v>18</v>
      </c>
    </row>
    <row r="1192" spans="1:9" x14ac:dyDescent="0.2">
      <c r="A1192" s="10" t="s">
        <v>10135</v>
      </c>
      <c r="B1192" s="10">
        <v>409.48992320939197</v>
      </c>
      <c r="C1192" s="10">
        <v>-1.14272427286331</v>
      </c>
      <c r="D1192" s="10">
        <v>0.29184893186052302</v>
      </c>
      <c r="E1192" s="10">
        <v>-3.91546498244315</v>
      </c>
      <c r="F1192" s="4">
        <v>9.02301407442564E-5</v>
      </c>
      <c r="G1192" s="10">
        <v>7.4174483347116699E-4</v>
      </c>
      <c r="H1192" s="10" t="s">
        <v>10136</v>
      </c>
      <c r="I1192" s="10" t="s">
        <v>18</v>
      </c>
    </row>
    <row r="1193" spans="1:9" x14ac:dyDescent="0.2">
      <c r="A1193" s="10" t="s">
        <v>10137</v>
      </c>
      <c r="B1193" s="10">
        <v>979.15639435965898</v>
      </c>
      <c r="C1193" s="10">
        <v>-1.11275927228909</v>
      </c>
      <c r="D1193" s="10">
        <v>0.29098660250431002</v>
      </c>
      <c r="E1193" s="10">
        <v>-3.8240910843055298</v>
      </c>
      <c r="F1193" s="10">
        <v>1.31255388833811E-4</v>
      </c>
      <c r="G1193" s="10">
        <v>1.0298594217450099E-3</v>
      </c>
      <c r="H1193" s="10" t="s">
        <v>10138</v>
      </c>
      <c r="I1193" s="10" t="s">
        <v>18</v>
      </c>
    </row>
    <row r="1194" spans="1:9" x14ac:dyDescent="0.2">
      <c r="A1194" s="10" t="s">
        <v>3493</v>
      </c>
      <c r="B1194" s="10">
        <v>2104.7453700492301</v>
      </c>
      <c r="C1194" s="10">
        <v>-1.31490324289425</v>
      </c>
      <c r="D1194" s="10">
        <v>0.24013041626058201</v>
      </c>
      <c r="E1194" s="10">
        <v>-5.4757879629349402</v>
      </c>
      <c r="F1194" s="4">
        <v>4.35569003469636E-8</v>
      </c>
      <c r="G1194" s="4">
        <v>6.9127686323524898E-7</v>
      </c>
      <c r="H1194" s="10" t="s">
        <v>3494</v>
      </c>
      <c r="I1194" s="10" t="s">
        <v>18</v>
      </c>
    </row>
    <row r="1195" spans="1:9" x14ac:dyDescent="0.2">
      <c r="A1195" s="10" t="s">
        <v>10139</v>
      </c>
      <c r="B1195" s="10">
        <v>80.9389392547466</v>
      </c>
      <c r="C1195" s="10">
        <v>-1.47798288720392</v>
      </c>
      <c r="D1195" s="10">
        <v>0.48093266609171598</v>
      </c>
      <c r="E1195" s="10">
        <v>-3.0731596986636398</v>
      </c>
      <c r="F1195" s="10">
        <v>2.1180510629602101E-3</v>
      </c>
      <c r="G1195" s="10">
        <v>1.1502498810182201E-2</v>
      </c>
      <c r="H1195" s="10" t="s">
        <v>10140</v>
      </c>
      <c r="I1195" s="10" t="s">
        <v>18</v>
      </c>
    </row>
    <row r="1196" spans="1:9" x14ac:dyDescent="0.2">
      <c r="A1196" s="10" t="s">
        <v>3499</v>
      </c>
      <c r="B1196" s="10">
        <v>3948.1810840600701</v>
      </c>
      <c r="C1196" s="10">
        <v>-1.14110930351463</v>
      </c>
      <c r="D1196" s="10">
        <v>0.320844692037563</v>
      </c>
      <c r="E1196" s="10">
        <v>-3.5565784064179899</v>
      </c>
      <c r="F1196" s="10">
        <v>3.7571638116974399E-4</v>
      </c>
      <c r="G1196" s="10">
        <v>2.6064935378722798E-3</v>
      </c>
      <c r="H1196" s="10" t="s">
        <v>3500</v>
      </c>
      <c r="I1196" s="10" t="s">
        <v>18</v>
      </c>
    </row>
    <row r="1197" spans="1:9" x14ac:dyDescent="0.2">
      <c r="A1197" s="10" t="s">
        <v>3501</v>
      </c>
      <c r="B1197" s="10">
        <v>158.71672019251699</v>
      </c>
      <c r="C1197" s="10">
        <v>1.92866245207468</v>
      </c>
      <c r="D1197" s="10">
        <v>0.41463324444168298</v>
      </c>
      <c r="E1197" s="10">
        <v>4.6514901492563201</v>
      </c>
      <c r="F1197" s="4">
        <v>3.2954501915306999E-6</v>
      </c>
      <c r="G1197" s="4">
        <v>3.7374684205570298E-5</v>
      </c>
      <c r="H1197" s="10" t="s">
        <v>3502</v>
      </c>
      <c r="I1197" s="10" t="s">
        <v>18</v>
      </c>
    </row>
    <row r="1198" spans="1:9" x14ac:dyDescent="0.2">
      <c r="A1198" s="10" t="s">
        <v>10141</v>
      </c>
      <c r="B1198" s="10">
        <v>1779.41134834889</v>
      </c>
      <c r="C1198" s="10">
        <v>-1.0185878614514201</v>
      </c>
      <c r="D1198" s="10">
        <v>0.26903845341522897</v>
      </c>
      <c r="E1198" s="10">
        <v>-3.7860307644548898</v>
      </c>
      <c r="F1198" s="10">
        <v>1.53072732005436E-4</v>
      </c>
      <c r="G1198" s="10">
        <v>1.17942311667061E-3</v>
      </c>
      <c r="H1198" s="10" t="s">
        <v>10142</v>
      </c>
      <c r="I1198" s="10" t="s">
        <v>18</v>
      </c>
    </row>
    <row r="1199" spans="1:9" x14ac:dyDescent="0.2">
      <c r="A1199" s="10" t="s">
        <v>3503</v>
      </c>
      <c r="B1199" s="10">
        <v>292.30917084930098</v>
      </c>
      <c r="C1199" s="10">
        <v>2.1107903132693</v>
      </c>
      <c r="D1199" s="10">
        <v>0.39806378080720101</v>
      </c>
      <c r="E1199" s="10">
        <v>5.3026434833860101</v>
      </c>
      <c r="F1199" s="4">
        <v>1.1413769181986301E-7</v>
      </c>
      <c r="G1199" s="4">
        <v>1.7009085531567899E-6</v>
      </c>
      <c r="H1199" s="10" t="s">
        <v>3504</v>
      </c>
      <c r="I1199" s="10" t="s">
        <v>18</v>
      </c>
    </row>
    <row r="1200" spans="1:9" x14ac:dyDescent="0.2">
      <c r="A1200" s="10" t="s">
        <v>3505</v>
      </c>
      <c r="B1200" s="10">
        <v>953.46786851897502</v>
      </c>
      <c r="C1200" s="10">
        <v>-1.3943431559730699</v>
      </c>
      <c r="D1200" s="10">
        <v>0.33097454519345298</v>
      </c>
      <c r="E1200" s="10">
        <v>-4.2128410665481297</v>
      </c>
      <c r="F1200" s="4">
        <v>2.5217851257853601E-5</v>
      </c>
      <c r="G1200" s="10">
        <v>2.36876418368673E-4</v>
      </c>
      <c r="H1200" s="10" t="s">
        <v>3506</v>
      </c>
      <c r="I1200" s="10" t="s">
        <v>18</v>
      </c>
    </row>
    <row r="1201" spans="1:9" x14ac:dyDescent="0.2">
      <c r="A1201" s="10" t="s">
        <v>3509</v>
      </c>
      <c r="B1201" s="10">
        <v>1056.6850148404801</v>
      </c>
      <c r="C1201" s="10">
        <v>-1.72724180040624</v>
      </c>
      <c r="D1201" s="10">
        <v>0.276208449933115</v>
      </c>
      <c r="E1201" s="10">
        <v>-6.2533995640774203</v>
      </c>
      <c r="F1201" s="4">
        <v>4.0161287885821001E-10</v>
      </c>
      <c r="G1201" s="4">
        <v>8.6420632743184599E-9</v>
      </c>
      <c r="H1201" s="10" t="s">
        <v>3510</v>
      </c>
      <c r="I1201" s="10" t="s">
        <v>18</v>
      </c>
    </row>
    <row r="1202" spans="1:9" x14ac:dyDescent="0.2">
      <c r="A1202" s="10" t="s">
        <v>3513</v>
      </c>
      <c r="B1202" s="10">
        <v>1960.9467923802599</v>
      </c>
      <c r="C1202" s="10">
        <v>-1.20621696557484</v>
      </c>
      <c r="D1202" s="10">
        <v>0.28348461692804</v>
      </c>
      <c r="E1202" s="10">
        <v>-4.2549644444411996</v>
      </c>
      <c r="F1202" s="4">
        <v>2.0908223711105901E-5</v>
      </c>
      <c r="G1202" s="10">
        <v>1.99071297294803E-4</v>
      </c>
      <c r="H1202" s="10" t="s">
        <v>3514</v>
      </c>
      <c r="I1202" s="10" t="s">
        <v>18</v>
      </c>
    </row>
    <row r="1203" spans="1:9" x14ac:dyDescent="0.2">
      <c r="A1203" s="10" t="s">
        <v>10143</v>
      </c>
      <c r="B1203" s="10">
        <v>159.259311367023</v>
      </c>
      <c r="C1203" s="10">
        <v>-1.3687132223085401</v>
      </c>
      <c r="D1203" s="10">
        <v>0.34915606223795398</v>
      </c>
      <c r="E1203" s="10">
        <v>-3.9200614577207098</v>
      </c>
      <c r="F1203" s="4">
        <v>8.8526390241204896E-5</v>
      </c>
      <c r="G1203" s="10">
        <v>7.2869154009080797E-4</v>
      </c>
      <c r="H1203" s="10" t="s">
        <v>10144</v>
      </c>
      <c r="I1203" s="10" t="s">
        <v>18</v>
      </c>
    </row>
    <row r="1204" spans="1:9" x14ac:dyDescent="0.2">
      <c r="A1204" s="10" t="s">
        <v>3519</v>
      </c>
      <c r="B1204" s="10">
        <v>164.65307670530601</v>
      </c>
      <c r="C1204" s="10">
        <v>2.4276409746197598</v>
      </c>
      <c r="D1204" s="10">
        <v>0.39043232987355397</v>
      </c>
      <c r="E1204" s="10">
        <v>6.2178277485524296</v>
      </c>
      <c r="F1204" s="4">
        <v>5.0408447522367301E-10</v>
      </c>
      <c r="G1204" s="4">
        <v>1.07277876262703E-8</v>
      </c>
      <c r="H1204" s="10" t="s">
        <v>3520</v>
      </c>
      <c r="I1204" s="10" t="s">
        <v>18</v>
      </c>
    </row>
    <row r="1205" spans="1:9" x14ac:dyDescent="0.2">
      <c r="A1205" s="10" t="s">
        <v>3521</v>
      </c>
      <c r="B1205" s="10">
        <v>299.38214972416699</v>
      </c>
      <c r="C1205" s="10">
        <v>1.1727772905092499</v>
      </c>
      <c r="D1205" s="10">
        <v>0.29674277057807802</v>
      </c>
      <c r="E1205" s="10">
        <v>3.9521680283047602</v>
      </c>
      <c r="F1205" s="4">
        <v>7.7446327161188498E-5</v>
      </c>
      <c r="G1205" s="10">
        <v>6.4756441385864798E-4</v>
      </c>
      <c r="H1205" s="10" t="s">
        <v>3522</v>
      </c>
      <c r="I1205" s="10" t="s">
        <v>18</v>
      </c>
    </row>
    <row r="1206" spans="1:9" x14ac:dyDescent="0.2">
      <c r="A1206" s="10" t="s">
        <v>3525</v>
      </c>
      <c r="B1206" s="10">
        <v>1059.93932129565</v>
      </c>
      <c r="C1206" s="10">
        <v>3.60116129895329</v>
      </c>
      <c r="D1206" s="10">
        <v>0.26534833761372401</v>
      </c>
      <c r="E1206" s="10">
        <v>13.5714485017638</v>
      </c>
      <c r="F1206" s="4">
        <v>5.9141605632255103E-42</v>
      </c>
      <c r="G1206" s="4">
        <v>1.08591758370758E-39</v>
      </c>
      <c r="H1206" s="10" t="s">
        <v>3526</v>
      </c>
      <c r="I1206" s="10" t="s">
        <v>18</v>
      </c>
    </row>
    <row r="1207" spans="1:9" x14ac:dyDescent="0.2">
      <c r="A1207" s="10" t="s">
        <v>3527</v>
      </c>
      <c r="B1207" s="10">
        <v>99.216020358416202</v>
      </c>
      <c r="C1207" s="10">
        <v>1.72971163118039</v>
      </c>
      <c r="D1207" s="10">
        <v>0.42207702769417699</v>
      </c>
      <c r="E1207" s="10">
        <v>4.0980947023576899</v>
      </c>
      <c r="F1207" s="4">
        <v>4.1656485673658397E-5</v>
      </c>
      <c r="G1207" s="10">
        <v>3.71848437587252E-4</v>
      </c>
      <c r="H1207" s="10" t="s">
        <v>3528</v>
      </c>
      <c r="I1207" s="10" t="s">
        <v>18</v>
      </c>
    </row>
    <row r="1208" spans="1:9" x14ac:dyDescent="0.2">
      <c r="A1208" s="10" t="s">
        <v>3531</v>
      </c>
      <c r="B1208" s="10">
        <v>126.891609333319</v>
      </c>
      <c r="C1208" s="10">
        <v>1.86521036506923</v>
      </c>
      <c r="D1208" s="10">
        <v>0.38201613035074899</v>
      </c>
      <c r="E1208" s="10">
        <v>4.8825434762576299</v>
      </c>
      <c r="F1208" s="4">
        <v>1.0472613918343799E-6</v>
      </c>
      <c r="G1208" s="4">
        <v>1.3054440194050501E-5</v>
      </c>
      <c r="H1208" s="10" t="s">
        <v>3532</v>
      </c>
      <c r="I1208" s="10" t="s">
        <v>18</v>
      </c>
    </row>
    <row r="1209" spans="1:9" x14ac:dyDescent="0.2">
      <c r="A1209" s="10" t="s">
        <v>3535</v>
      </c>
      <c r="B1209" s="10">
        <v>526.28397255288496</v>
      </c>
      <c r="C1209" s="10">
        <v>2.1482222449039101</v>
      </c>
      <c r="D1209" s="10">
        <v>0.31160261605226097</v>
      </c>
      <c r="E1209" s="10">
        <v>6.8941085030673301</v>
      </c>
      <c r="F1209" s="4">
        <v>5.4203641801154797E-12</v>
      </c>
      <c r="G1209" s="4">
        <v>1.4428493222307401E-10</v>
      </c>
      <c r="H1209" s="10" t="s">
        <v>3536</v>
      </c>
      <c r="I1209" s="10" t="s">
        <v>18</v>
      </c>
    </row>
    <row r="1210" spans="1:9" x14ac:dyDescent="0.2">
      <c r="A1210" s="10" t="s">
        <v>3537</v>
      </c>
      <c r="B1210" s="10">
        <v>620.82056763664104</v>
      </c>
      <c r="C1210" s="10">
        <v>2.1450732508873802</v>
      </c>
      <c r="D1210" s="10">
        <v>0.32066316838336101</v>
      </c>
      <c r="E1210" s="10">
        <v>6.6894906006881598</v>
      </c>
      <c r="F1210" s="4">
        <v>2.2394876791938499E-11</v>
      </c>
      <c r="G1210" s="4">
        <v>5.5392637728732898E-10</v>
      </c>
      <c r="H1210" s="10" t="s">
        <v>3538</v>
      </c>
      <c r="I1210" s="10" t="s">
        <v>18</v>
      </c>
    </row>
    <row r="1211" spans="1:9" x14ac:dyDescent="0.2">
      <c r="A1211" s="10" t="s">
        <v>10145</v>
      </c>
      <c r="B1211" s="10">
        <v>221.053503665829</v>
      </c>
      <c r="C1211" s="10">
        <v>-2.2686260531168898</v>
      </c>
      <c r="D1211" s="10">
        <v>0.353167737429323</v>
      </c>
      <c r="E1211" s="10">
        <v>-6.4236503300953203</v>
      </c>
      <c r="F1211" s="4">
        <v>1.3304462595765901E-10</v>
      </c>
      <c r="G1211" s="4">
        <v>3.0096560845008101E-9</v>
      </c>
      <c r="H1211" s="10" t="s">
        <v>10146</v>
      </c>
      <c r="I1211" s="10" t="s">
        <v>18</v>
      </c>
    </row>
    <row r="1212" spans="1:9" x14ac:dyDescent="0.2">
      <c r="A1212" s="10" t="s">
        <v>3539</v>
      </c>
      <c r="B1212" s="10">
        <v>314.45472984098302</v>
      </c>
      <c r="C1212" s="10">
        <v>-1.0506975888388199</v>
      </c>
      <c r="D1212" s="10">
        <v>0.30767003557549999</v>
      </c>
      <c r="E1212" s="10">
        <v>-3.4150143574218301</v>
      </c>
      <c r="F1212" s="10">
        <v>6.3778649636462496E-4</v>
      </c>
      <c r="G1212" s="10">
        <v>4.14882837239518E-3</v>
      </c>
      <c r="H1212" s="10" t="s">
        <v>3540</v>
      </c>
      <c r="I1212" s="10" t="s">
        <v>18</v>
      </c>
    </row>
    <row r="1213" spans="1:9" x14ac:dyDescent="0.2">
      <c r="A1213" s="10" t="s">
        <v>3545</v>
      </c>
      <c r="B1213" s="10">
        <v>341.95112181055703</v>
      </c>
      <c r="C1213" s="10">
        <v>-1.4982950530606201</v>
      </c>
      <c r="D1213" s="10">
        <v>0.310246359594257</v>
      </c>
      <c r="E1213" s="10">
        <v>-4.8293719063137699</v>
      </c>
      <c r="F1213" s="4">
        <v>1.3696438791190501E-6</v>
      </c>
      <c r="G1213" s="4">
        <v>1.6556170965516499E-5</v>
      </c>
      <c r="H1213" s="10" t="s">
        <v>3546</v>
      </c>
      <c r="I1213" s="10" t="s">
        <v>18</v>
      </c>
    </row>
    <row r="1214" spans="1:9" x14ac:dyDescent="0.2">
      <c r="A1214" s="10" t="s">
        <v>3547</v>
      </c>
      <c r="B1214" s="10">
        <v>163.78785871050101</v>
      </c>
      <c r="C1214" s="10">
        <v>-2.9550114970280799</v>
      </c>
      <c r="D1214" s="10">
        <v>0.401164782056109</v>
      </c>
      <c r="E1214" s="10">
        <v>-7.3660790508145304</v>
      </c>
      <c r="F1214" s="4">
        <v>1.75719648565656E-13</v>
      </c>
      <c r="G1214" s="4">
        <v>5.553049949333E-12</v>
      </c>
      <c r="H1214" s="10" t="s">
        <v>3548</v>
      </c>
      <c r="I1214" s="10" t="s">
        <v>18</v>
      </c>
    </row>
    <row r="1215" spans="1:9" x14ac:dyDescent="0.2">
      <c r="A1215" s="10" t="s">
        <v>10147</v>
      </c>
      <c r="B1215" s="10">
        <v>78.477097345321994</v>
      </c>
      <c r="C1215" s="10">
        <v>-1.89088595406311</v>
      </c>
      <c r="D1215" s="10">
        <v>0.451063648632202</v>
      </c>
      <c r="E1215" s="10">
        <v>-4.19206016666827</v>
      </c>
      <c r="F1215" s="4">
        <v>2.7643265624434099E-5</v>
      </c>
      <c r="G1215" s="10">
        <v>2.5659274789027303E-4</v>
      </c>
      <c r="H1215" s="10" t="s">
        <v>10148</v>
      </c>
      <c r="I1215" s="10" t="s">
        <v>18</v>
      </c>
    </row>
    <row r="1216" spans="1:9" x14ac:dyDescent="0.2">
      <c r="A1216" s="10" t="s">
        <v>3553</v>
      </c>
      <c r="B1216" s="10">
        <v>6042.0744384806603</v>
      </c>
      <c r="C1216" s="10">
        <v>1.60347195403556</v>
      </c>
      <c r="D1216" s="10">
        <v>0.27828378636042</v>
      </c>
      <c r="E1216" s="10">
        <v>5.7620027922101604</v>
      </c>
      <c r="F1216" s="4">
        <v>8.3121622947096993E-9</v>
      </c>
      <c r="G1216" s="4">
        <v>1.48292512427959E-7</v>
      </c>
      <c r="H1216" s="10" t="s">
        <v>3554</v>
      </c>
      <c r="I1216" s="10" t="s">
        <v>18</v>
      </c>
    </row>
    <row r="1217" spans="1:9" x14ac:dyDescent="0.2">
      <c r="A1217" s="10" t="s">
        <v>3555</v>
      </c>
      <c r="B1217" s="10">
        <v>198.77315186413199</v>
      </c>
      <c r="C1217" s="10">
        <v>-1.3406691934644199</v>
      </c>
      <c r="D1217" s="10">
        <v>0.35140090199774299</v>
      </c>
      <c r="E1217" s="10">
        <v>-3.8152127266680602</v>
      </c>
      <c r="F1217" s="10">
        <v>1.36065666500016E-4</v>
      </c>
      <c r="G1217" s="10">
        <v>1.06342005269051E-3</v>
      </c>
      <c r="H1217" s="10" t="s">
        <v>3556</v>
      </c>
      <c r="I1217" s="10" t="s">
        <v>18</v>
      </c>
    </row>
    <row r="1218" spans="1:9" x14ac:dyDescent="0.2">
      <c r="A1218" s="10" t="s">
        <v>3557</v>
      </c>
      <c r="B1218" s="10">
        <v>1093.43411824546</v>
      </c>
      <c r="C1218" s="10">
        <v>1.25919493407961</v>
      </c>
      <c r="D1218" s="10">
        <v>0.27924418295437697</v>
      </c>
      <c r="E1218" s="10">
        <v>4.5092969198407102</v>
      </c>
      <c r="F1218" s="4">
        <v>6.5042823139547097E-6</v>
      </c>
      <c r="G1218" s="4">
        <v>6.9742208698862199E-5</v>
      </c>
      <c r="H1218" s="10" t="s">
        <v>3558</v>
      </c>
      <c r="I1218" s="10" t="s">
        <v>18</v>
      </c>
    </row>
    <row r="1219" spans="1:9" x14ac:dyDescent="0.2">
      <c r="A1219" s="10" t="s">
        <v>10149</v>
      </c>
      <c r="B1219" s="10">
        <v>174.487460615576</v>
      </c>
      <c r="C1219" s="10">
        <v>-2.5885405861327602</v>
      </c>
      <c r="D1219" s="10">
        <v>0.45148484417439799</v>
      </c>
      <c r="E1219" s="10">
        <v>-5.7333941981291998</v>
      </c>
      <c r="F1219" s="4">
        <v>9.8440481913118399E-9</v>
      </c>
      <c r="G1219" s="4">
        <v>1.73529805362613E-7</v>
      </c>
      <c r="H1219" s="10" t="s">
        <v>10150</v>
      </c>
      <c r="I1219" s="10" t="s">
        <v>18</v>
      </c>
    </row>
    <row r="1220" spans="1:9" x14ac:dyDescent="0.2">
      <c r="A1220" s="10" t="s">
        <v>10151</v>
      </c>
      <c r="B1220" s="10">
        <v>1928.53904997983</v>
      </c>
      <c r="C1220" s="10">
        <v>1.0038315946962899</v>
      </c>
      <c r="D1220" s="10">
        <v>0.27549439600257303</v>
      </c>
      <c r="E1220" s="10">
        <v>3.6437459682007902</v>
      </c>
      <c r="F1220" s="10">
        <v>2.6869862762406502E-4</v>
      </c>
      <c r="G1220" s="10">
        <v>1.9394875115877599E-3</v>
      </c>
      <c r="H1220" s="10" t="s">
        <v>10152</v>
      </c>
      <c r="I1220" s="10" t="s">
        <v>18</v>
      </c>
    </row>
    <row r="1221" spans="1:9" x14ac:dyDescent="0.2">
      <c r="A1221" s="10" t="s">
        <v>10153</v>
      </c>
      <c r="B1221" s="10">
        <v>13.4420581646221</v>
      </c>
      <c r="C1221" s="10">
        <v>-2.6869351279465299</v>
      </c>
      <c r="D1221" s="10">
        <v>0.99670891854274501</v>
      </c>
      <c r="E1221" s="10">
        <v>-2.6958072491966898</v>
      </c>
      <c r="F1221" s="10">
        <v>7.0218286016567998E-3</v>
      </c>
      <c r="G1221" s="10">
        <v>3.1384878904526799E-2</v>
      </c>
      <c r="H1221" s="10" t="s">
        <v>10154</v>
      </c>
      <c r="I1221" s="10" t="s">
        <v>18</v>
      </c>
    </row>
    <row r="1222" spans="1:9" x14ac:dyDescent="0.2">
      <c r="A1222" s="10" t="s">
        <v>3565</v>
      </c>
      <c r="B1222" s="10">
        <v>203.994033315857</v>
      </c>
      <c r="C1222" s="10">
        <v>-1.12269848835136</v>
      </c>
      <c r="D1222" s="10">
        <v>0.33943210013888497</v>
      </c>
      <c r="E1222" s="10">
        <v>-3.30757900591014</v>
      </c>
      <c r="F1222" s="10">
        <v>9.4106162844387201E-4</v>
      </c>
      <c r="G1222" s="10">
        <v>5.7977970275546404E-3</v>
      </c>
      <c r="H1222" s="10" t="s">
        <v>3566</v>
      </c>
      <c r="I1222" s="10" t="s">
        <v>18</v>
      </c>
    </row>
    <row r="1223" spans="1:9" x14ac:dyDescent="0.2">
      <c r="A1223" s="10" t="s">
        <v>3571</v>
      </c>
      <c r="B1223" s="10">
        <v>35.589094665977498</v>
      </c>
      <c r="C1223" s="10">
        <v>-2.7543039711018902</v>
      </c>
      <c r="D1223" s="10">
        <v>0.69507290662756405</v>
      </c>
      <c r="E1223" s="10">
        <v>-3.9626116121624402</v>
      </c>
      <c r="F1223" s="4">
        <v>7.41343303879779E-5</v>
      </c>
      <c r="G1223" s="10">
        <v>6.2327843613288296E-4</v>
      </c>
      <c r="H1223" s="10" t="s">
        <v>3572</v>
      </c>
      <c r="I1223" s="10" t="s">
        <v>18</v>
      </c>
    </row>
    <row r="1224" spans="1:9" x14ac:dyDescent="0.2">
      <c r="A1224" s="10" t="s">
        <v>10155</v>
      </c>
      <c r="B1224" s="10">
        <v>476.75917847045599</v>
      </c>
      <c r="C1224" s="10">
        <v>1.21861492483553</v>
      </c>
      <c r="D1224" s="10">
        <v>0.31843934590684397</v>
      </c>
      <c r="E1224" s="10">
        <v>3.82683528433079</v>
      </c>
      <c r="F1224" s="10">
        <v>1.2980130865698999E-4</v>
      </c>
      <c r="G1224" s="10">
        <v>1.0201952292704099E-3</v>
      </c>
      <c r="H1224" s="10" t="s">
        <v>10156</v>
      </c>
      <c r="I1224" s="10" t="s">
        <v>18</v>
      </c>
    </row>
    <row r="1225" spans="1:9" x14ac:dyDescent="0.2">
      <c r="A1225" s="10" t="s">
        <v>10157</v>
      </c>
      <c r="B1225" s="10">
        <v>1686.5660114257601</v>
      </c>
      <c r="C1225" s="10">
        <v>1.1943722790458799</v>
      </c>
      <c r="D1225" s="10">
        <v>0.243498399321005</v>
      </c>
      <c r="E1225" s="10">
        <v>4.9050518704697001</v>
      </c>
      <c r="F1225" s="4">
        <v>9.3402653116507399E-7</v>
      </c>
      <c r="G1225" s="4">
        <v>1.1747718695728701E-5</v>
      </c>
      <c r="H1225" s="10" t="s">
        <v>10158</v>
      </c>
      <c r="I1225" s="10" t="s">
        <v>18</v>
      </c>
    </row>
    <row r="1226" spans="1:9" x14ac:dyDescent="0.2">
      <c r="A1226" s="10" t="s">
        <v>3573</v>
      </c>
      <c r="B1226" s="10">
        <v>3252.59261581695</v>
      </c>
      <c r="C1226" s="10">
        <v>2.90504242536776</v>
      </c>
      <c r="D1226" s="10">
        <v>0.29178724079048501</v>
      </c>
      <c r="E1226" s="10">
        <v>9.9560296656483906</v>
      </c>
      <c r="F1226" s="4">
        <v>2.3735296849577301E-23</v>
      </c>
      <c r="G1226" s="4">
        <v>1.61805255352606E-21</v>
      </c>
      <c r="H1226" s="10" t="s">
        <v>3574</v>
      </c>
      <c r="I1226" s="10" t="s">
        <v>18</v>
      </c>
    </row>
    <row r="1227" spans="1:9" x14ac:dyDescent="0.2">
      <c r="A1227" s="10" t="s">
        <v>10159</v>
      </c>
      <c r="B1227" s="10">
        <v>2735.9612696639902</v>
      </c>
      <c r="C1227" s="10">
        <v>1.3449198547933701</v>
      </c>
      <c r="D1227" s="10">
        <v>0.26713170352360699</v>
      </c>
      <c r="E1227" s="10">
        <v>5.0346695545799101</v>
      </c>
      <c r="F1227" s="4">
        <v>4.7867383069317704E-7</v>
      </c>
      <c r="G1227" s="4">
        <v>6.3878197406296302E-6</v>
      </c>
      <c r="H1227" s="10" t="s">
        <v>10160</v>
      </c>
      <c r="I1227" s="10" t="s">
        <v>18</v>
      </c>
    </row>
    <row r="1228" spans="1:9" x14ac:dyDescent="0.2">
      <c r="A1228" s="10" t="s">
        <v>3575</v>
      </c>
      <c r="B1228" s="10">
        <v>204.15868472354401</v>
      </c>
      <c r="C1228" s="10">
        <v>1.4556150451685701</v>
      </c>
      <c r="D1228" s="10">
        <v>0.35481998063716003</v>
      </c>
      <c r="E1228" s="10">
        <v>4.1024043870209299</v>
      </c>
      <c r="F1228" s="4">
        <v>4.0887883877406497E-5</v>
      </c>
      <c r="G1228" s="10">
        <v>3.6524670416767101E-4</v>
      </c>
      <c r="H1228" s="10" t="s">
        <v>3576</v>
      </c>
      <c r="I1228" s="10" t="s">
        <v>18</v>
      </c>
    </row>
    <row r="1229" spans="1:9" x14ac:dyDescent="0.2">
      <c r="A1229" s="10" t="s">
        <v>3577</v>
      </c>
      <c r="B1229" s="10">
        <v>58.268201538354198</v>
      </c>
      <c r="C1229" s="10">
        <v>1.7044593753232899</v>
      </c>
      <c r="D1229" s="10">
        <v>0.50381776160952196</v>
      </c>
      <c r="E1229" s="10">
        <v>3.3830871104626001</v>
      </c>
      <c r="F1229" s="10">
        <v>7.16758936901389E-4</v>
      </c>
      <c r="G1229" s="10">
        <v>4.6018558085131299E-3</v>
      </c>
      <c r="H1229" s="10" t="s">
        <v>3578</v>
      </c>
      <c r="I1229" s="10" t="s">
        <v>18</v>
      </c>
    </row>
    <row r="1230" spans="1:9" x14ac:dyDescent="0.2">
      <c r="A1230" s="10" t="s">
        <v>3581</v>
      </c>
      <c r="B1230" s="10">
        <v>157.534769035339</v>
      </c>
      <c r="C1230" s="10">
        <v>3.41513806548368</v>
      </c>
      <c r="D1230" s="10">
        <v>0.41646637599024899</v>
      </c>
      <c r="E1230" s="10">
        <v>8.2002732090036297</v>
      </c>
      <c r="F1230" s="4">
        <v>2.3984131296025999E-16</v>
      </c>
      <c r="G1230" s="4">
        <v>1.00053204436407E-14</v>
      </c>
      <c r="H1230" s="10" t="s">
        <v>3582</v>
      </c>
      <c r="I1230" s="10" t="s">
        <v>18</v>
      </c>
    </row>
    <row r="1231" spans="1:9" x14ac:dyDescent="0.2">
      <c r="A1231" s="10" t="s">
        <v>3585</v>
      </c>
      <c r="B1231" s="10">
        <v>5387.42176301372</v>
      </c>
      <c r="C1231" s="10">
        <v>-1.49573280893352</v>
      </c>
      <c r="D1231" s="10">
        <v>0.28947260190040902</v>
      </c>
      <c r="E1231" s="10">
        <v>-5.1670962955178803</v>
      </c>
      <c r="F1231" s="4">
        <v>2.3775878311648901E-7</v>
      </c>
      <c r="G1231" s="4">
        <v>3.3431091052517002E-6</v>
      </c>
      <c r="H1231" s="10" t="s">
        <v>3586</v>
      </c>
      <c r="I1231" s="10" t="s">
        <v>18</v>
      </c>
    </row>
    <row r="1232" spans="1:9" x14ac:dyDescent="0.2">
      <c r="A1232" s="10" t="s">
        <v>10161</v>
      </c>
      <c r="B1232" s="10">
        <v>308.13465120258002</v>
      </c>
      <c r="C1232" s="10">
        <v>-1.14025490520802</v>
      </c>
      <c r="D1232" s="10">
        <v>0.32140170704350302</v>
      </c>
      <c r="E1232" s="10">
        <v>-3.5477562197691901</v>
      </c>
      <c r="F1232" s="10">
        <v>3.8852764858817698E-4</v>
      </c>
      <c r="G1232" s="10">
        <v>2.68352910495211E-3</v>
      </c>
      <c r="H1232" s="10" t="s">
        <v>10162</v>
      </c>
      <c r="I1232" s="10" t="s">
        <v>18</v>
      </c>
    </row>
    <row r="1233" spans="1:9" x14ac:dyDescent="0.2">
      <c r="A1233" s="10" t="s">
        <v>3587</v>
      </c>
      <c r="B1233" s="10">
        <v>190.20498130701901</v>
      </c>
      <c r="C1233" s="10">
        <v>-1.2669615763019999</v>
      </c>
      <c r="D1233" s="10">
        <v>0.36210468428926501</v>
      </c>
      <c r="E1233" s="10">
        <v>-3.4988820395648199</v>
      </c>
      <c r="F1233" s="10">
        <v>4.6721322958287697E-4</v>
      </c>
      <c r="G1233" s="10">
        <v>3.1517159533808702E-3</v>
      </c>
      <c r="H1233" s="10" t="s">
        <v>3588</v>
      </c>
      <c r="I1233" s="10" t="s">
        <v>18</v>
      </c>
    </row>
    <row r="1234" spans="1:9" x14ac:dyDescent="0.2">
      <c r="A1234" s="10" t="s">
        <v>10163</v>
      </c>
      <c r="B1234" s="10">
        <v>65.140717998308901</v>
      </c>
      <c r="C1234" s="10">
        <v>-1.7374028266206301</v>
      </c>
      <c r="D1234" s="10">
        <v>0.473555787739045</v>
      </c>
      <c r="E1234" s="10">
        <v>-3.6688450898588401</v>
      </c>
      <c r="F1234" s="10">
        <v>2.4364865075550101E-4</v>
      </c>
      <c r="G1234" s="10">
        <v>1.77766844920547E-3</v>
      </c>
      <c r="H1234" s="10" t="s">
        <v>10164</v>
      </c>
      <c r="I1234" s="10" t="s">
        <v>18</v>
      </c>
    </row>
    <row r="1235" spans="1:9" x14ac:dyDescent="0.2">
      <c r="A1235" s="10" t="s">
        <v>3589</v>
      </c>
      <c r="B1235" s="10">
        <v>707.53932994549905</v>
      </c>
      <c r="C1235" s="10">
        <v>6.8898832885318999</v>
      </c>
      <c r="D1235" s="10">
        <v>0.40405728149515702</v>
      </c>
      <c r="E1235" s="10">
        <v>17.051748858569901</v>
      </c>
      <c r="F1235" s="4">
        <v>3.3922967422761099E-65</v>
      </c>
      <c r="G1235" s="4">
        <v>1.4712624922750999E-62</v>
      </c>
      <c r="H1235" s="10" t="s">
        <v>3590</v>
      </c>
      <c r="I1235" s="10" t="s">
        <v>18</v>
      </c>
    </row>
    <row r="1236" spans="1:9" x14ac:dyDescent="0.2">
      <c r="A1236" s="10" t="s">
        <v>3591</v>
      </c>
      <c r="B1236" s="10">
        <v>1483.51452425967</v>
      </c>
      <c r="C1236" s="10">
        <v>1.72222800627441</v>
      </c>
      <c r="D1236" s="10">
        <v>0.26070997278430602</v>
      </c>
      <c r="E1236" s="10">
        <v>6.6059153314371697</v>
      </c>
      <c r="F1236" s="4">
        <v>3.95068646133185E-11</v>
      </c>
      <c r="G1236" s="4">
        <v>9.491835523858901E-10</v>
      </c>
      <c r="H1236" s="10" t="s">
        <v>3592</v>
      </c>
      <c r="I1236" s="10" t="s">
        <v>18</v>
      </c>
    </row>
    <row r="1237" spans="1:9" x14ac:dyDescent="0.2">
      <c r="A1237" s="10" t="s">
        <v>3593</v>
      </c>
      <c r="B1237" s="10">
        <v>82.737144274489793</v>
      </c>
      <c r="C1237" s="10">
        <v>2.52352146068197</v>
      </c>
      <c r="D1237" s="10">
        <v>0.49364713045618203</v>
      </c>
      <c r="E1237" s="10">
        <v>5.1119945908527296</v>
      </c>
      <c r="F1237" s="4">
        <v>3.1877495709657401E-7</v>
      </c>
      <c r="G1237" s="4">
        <v>4.3675294366908102E-6</v>
      </c>
      <c r="H1237" s="10" t="s">
        <v>3594</v>
      </c>
      <c r="I1237" s="10" t="s">
        <v>18</v>
      </c>
    </row>
    <row r="1238" spans="1:9" x14ac:dyDescent="0.2">
      <c r="A1238" s="10" t="s">
        <v>10165</v>
      </c>
      <c r="B1238" s="10">
        <v>5284.4252896182697</v>
      </c>
      <c r="C1238" s="10">
        <v>2.0231880211936901</v>
      </c>
      <c r="D1238" s="10">
        <v>0.286365088345856</v>
      </c>
      <c r="E1238" s="10">
        <v>7.0650652035844397</v>
      </c>
      <c r="F1238" s="4">
        <v>1.60540593029906E-12</v>
      </c>
      <c r="G1238" s="4">
        <v>4.5222828865254997E-11</v>
      </c>
      <c r="H1238" s="10" t="s">
        <v>10166</v>
      </c>
      <c r="I1238" s="10" t="s">
        <v>18</v>
      </c>
    </row>
    <row r="1239" spans="1:9" x14ac:dyDescent="0.2">
      <c r="A1239" s="10" t="s">
        <v>10167</v>
      </c>
      <c r="B1239" s="10">
        <v>805.06126220230203</v>
      </c>
      <c r="C1239" s="10">
        <v>1.5053057087000601</v>
      </c>
      <c r="D1239" s="10">
        <v>0.30084056572171902</v>
      </c>
      <c r="E1239" s="10">
        <v>5.0036659952716702</v>
      </c>
      <c r="F1239" s="4">
        <v>5.6250185078653198E-7</v>
      </c>
      <c r="G1239" s="4">
        <v>7.3966199981888201E-6</v>
      </c>
      <c r="H1239" s="10" t="s">
        <v>10168</v>
      </c>
      <c r="I1239" s="10" t="s">
        <v>18</v>
      </c>
    </row>
    <row r="1240" spans="1:9" x14ac:dyDescent="0.2">
      <c r="A1240" s="10" t="s">
        <v>3605</v>
      </c>
      <c r="B1240" s="10">
        <v>3872.2336203859199</v>
      </c>
      <c r="C1240" s="10">
        <v>-1.10507308252764</v>
      </c>
      <c r="D1240" s="10">
        <v>0.29140090218118803</v>
      </c>
      <c r="E1240" s="10">
        <v>-3.7922774921284499</v>
      </c>
      <c r="F1240" s="10">
        <v>1.49271980184031E-4</v>
      </c>
      <c r="G1240" s="10">
        <v>1.1528819961711099E-3</v>
      </c>
      <c r="H1240" s="10" t="s">
        <v>3606</v>
      </c>
      <c r="I1240" s="10" t="s">
        <v>18</v>
      </c>
    </row>
    <row r="1241" spans="1:9" x14ac:dyDescent="0.2">
      <c r="A1241" s="10" t="s">
        <v>3607</v>
      </c>
      <c r="B1241" s="10">
        <v>784.10670178866496</v>
      </c>
      <c r="C1241" s="10">
        <v>4.0842401697125998</v>
      </c>
      <c r="D1241" s="10">
        <v>0.33540709200934699</v>
      </c>
      <c r="E1241" s="10">
        <v>12.1769642533342</v>
      </c>
      <c r="F1241" s="4">
        <v>4.1234600620202701E-34</v>
      </c>
      <c r="G1241" s="4">
        <v>4.9868095125057696E-32</v>
      </c>
      <c r="H1241" s="10" t="s">
        <v>3608</v>
      </c>
      <c r="I1241" s="10" t="s">
        <v>18</v>
      </c>
    </row>
    <row r="1242" spans="1:9" x14ac:dyDescent="0.2">
      <c r="A1242" s="10" t="s">
        <v>3609</v>
      </c>
      <c r="B1242" s="10">
        <v>64.6934128851304</v>
      </c>
      <c r="C1242" s="10">
        <v>-2.2688071050066601</v>
      </c>
      <c r="D1242" s="10">
        <v>0.49393717637661899</v>
      </c>
      <c r="E1242" s="10">
        <v>-4.59331107986237</v>
      </c>
      <c r="F1242" s="4">
        <v>4.3626797456920804E-6</v>
      </c>
      <c r="G1242" s="4">
        <v>4.8537465282124901E-5</v>
      </c>
      <c r="H1242" s="10" t="s">
        <v>3610</v>
      </c>
      <c r="I1242" s="10" t="s">
        <v>18</v>
      </c>
    </row>
    <row r="1243" spans="1:9" x14ac:dyDescent="0.2">
      <c r="A1243" s="10" t="s">
        <v>3611</v>
      </c>
      <c r="B1243" s="10">
        <v>12.1125468200862</v>
      </c>
      <c r="C1243" s="10">
        <v>2.6855554487661002</v>
      </c>
      <c r="D1243" s="10">
        <v>1.05229704475999</v>
      </c>
      <c r="E1243" s="10">
        <v>2.5520887492168298</v>
      </c>
      <c r="F1243" s="10">
        <v>1.07079239057036E-2</v>
      </c>
      <c r="G1243" s="10">
        <v>4.4691857615393099E-2</v>
      </c>
      <c r="H1243" s="10" t="s">
        <v>3612</v>
      </c>
      <c r="I1243" s="10" t="s">
        <v>18</v>
      </c>
    </row>
    <row r="1244" spans="1:9" x14ac:dyDescent="0.2">
      <c r="A1244" s="10" t="s">
        <v>3613</v>
      </c>
      <c r="B1244" s="10">
        <v>25914.846061785898</v>
      </c>
      <c r="C1244" s="10">
        <v>3.5945858237600299</v>
      </c>
      <c r="D1244" s="10">
        <v>0.27018429112515202</v>
      </c>
      <c r="E1244" s="10">
        <v>13.304199917733101</v>
      </c>
      <c r="F1244" s="4">
        <v>2.1882297179105901E-40</v>
      </c>
      <c r="G1244" s="4">
        <v>3.7192512536514001E-38</v>
      </c>
      <c r="H1244" s="10" t="s">
        <v>3614</v>
      </c>
      <c r="I1244" s="10" t="s">
        <v>18</v>
      </c>
    </row>
    <row r="1245" spans="1:9" x14ac:dyDescent="0.2">
      <c r="A1245" s="10" t="s">
        <v>10169</v>
      </c>
      <c r="B1245" s="10">
        <v>35.812140791839397</v>
      </c>
      <c r="C1245" s="10">
        <v>-1.7781738396854301</v>
      </c>
      <c r="D1245" s="10">
        <v>0.60895408419040598</v>
      </c>
      <c r="E1245" s="10">
        <v>-2.92004583900522</v>
      </c>
      <c r="F1245" s="10">
        <v>3.4997990296052701E-3</v>
      </c>
      <c r="G1245" s="10">
        <v>1.76110111201681E-2</v>
      </c>
      <c r="H1245" s="10" t="s">
        <v>10170</v>
      </c>
      <c r="I1245" s="10" t="s">
        <v>18</v>
      </c>
    </row>
    <row r="1246" spans="1:9" x14ac:dyDescent="0.2">
      <c r="A1246" s="10" t="s">
        <v>3615</v>
      </c>
      <c r="B1246" s="10">
        <v>874.78161813236295</v>
      </c>
      <c r="C1246" s="10">
        <v>1.79092041001557</v>
      </c>
      <c r="D1246" s="10">
        <v>0.26469708568635902</v>
      </c>
      <c r="E1246" s="10">
        <v>6.7659241709130296</v>
      </c>
      <c r="F1246" s="4">
        <v>1.3246091161163799E-11</v>
      </c>
      <c r="G1246" s="4">
        <v>3.3601080507354802E-10</v>
      </c>
      <c r="H1246" s="10" t="s">
        <v>3616</v>
      </c>
      <c r="I1246" s="10" t="s">
        <v>18</v>
      </c>
    </row>
    <row r="1247" spans="1:9" x14ac:dyDescent="0.2">
      <c r="A1247" s="10" t="s">
        <v>3619</v>
      </c>
      <c r="B1247" s="10">
        <v>983.38247051829603</v>
      </c>
      <c r="C1247" s="10">
        <v>1.1906622663119</v>
      </c>
      <c r="D1247" s="10">
        <v>0.28740069446640598</v>
      </c>
      <c r="E1247" s="10">
        <v>4.14286495905134</v>
      </c>
      <c r="F1247" s="4">
        <v>3.42993928082313E-5</v>
      </c>
      <c r="G1247" s="10">
        <v>3.1306285416946998E-4</v>
      </c>
      <c r="H1247" s="10" t="s">
        <v>3620</v>
      </c>
      <c r="I1247" s="10" t="s">
        <v>18</v>
      </c>
    </row>
    <row r="1248" spans="1:9" x14ac:dyDescent="0.2">
      <c r="A1248" s="10" t="s">
        <v>3621</v>
      </c>
      <c r="B1248" s="10">
        <v>439.76081243129801</v>
      </c>
      <c r="C1248" s="10">
        <v>1.97615639733642</v>
      </c>
      <c r="D1248" s="10">
        <v>0.28819219832627602</v>
      </c>
      <c r="E1248" s="10">
        <v>6.8570780500418804</v>
      </c>
      <c r="F1248" s="4">
        <v>7.0283236445474198E-12</v>
      </c>
      <c r="G1248" s="4">
        <v>1.8397240507657699E-10</v>
      </c>
      <c r="H1248" s="10" t="s">
        <v>3622</v>
      </c>
      <c r="I1248" s="10" t="s">
        <v>18</v>
      </c>
    </row>
    <row r="1249" spans="1:9" x14ac:dyDescent="0.2">
      <c r="A1249" s="10" t="s">
        <v>10171</v>
      </c>
      <c r="B1249" s="10">
        <v>2237.43172713801</v>
      </c>
      <c r="C1249" s="10">
        <v>1.16307029364079</v>
      </c>
      <c r="D1249" s="10">
        <v>0.27011120918707199</v>
      </c>
      <c r="E1249" s="10">
        <v>4.3058942172047399</v>
      </c>
      <c r="F1249" s="4">
        <v>1.66312523173217E-5</v>
      </c>
      <c r="G1249" s="10">
        <v>1.6221758512688101E-4</v>
      </c>
      <c r="H1249" s="10" t="s">
        <v>10172</v>
      </c>
      <c r="I1249" s="10" t="s">
        <v>18</v>
      </c>
    </row>
    <row r="1250" spans="1:9" x14ac:dyDescent="0.2">
      <c r="A1250" s="10" t="s">
        <v>3623</v>
      </c>
      <c r="B1250" s="10">
        <v>155.750885524083</v>
      </c>
      <c r="C1250" s="10">
        <v>6.0120565216193</v>
      </c>
      <c r="D1250" s="10">
        <v>0.57024203062426804</v>
      </c>
      <c r="E1250" s="10">
        <v>10.542990868346999</v>
      </c>
      <c r="F1250" s="4">
        <v>5.4730113983204303E-26</v>
      </c>
      <c r="G1250" s="4">
        <v>4.5891200574916798E-24</v>
      </c>
      <c r="H1250" s="10" t="s">
        <v>3624</v>
      </c>
      <c r="I1250" s="10" t="s">
        <v>18</v>
      </c>
    </row>
    <row r="1251" spans="1:9" x14ac:dyDescent="0.2">
      <c r="A1251" s="10" t="s">
        <v>3629</v>
      </c>
      <c r="B1251" s="10">
        <v>1216.2513108593701</v>
      </c>
      <c r="C1251" s="10">
        <v>1.0381247192085801</v>
      </c>
      <c r="D1251" s="10">
        <v>0.25112721395675702</v>
      </c>
      <c r="E1251" s="10">
        <v>4.1338598985426502</v>
      </c>
      <c r="F1251" s="4">
        <v>3.5672097902166802E-5</v>
      </c>
      <c r="G1251" s="10">
        <v>3.2382952823132699E-4</v>
      </c>
      <c r="H1251" s="10" t="s">
        <v>3630</v>
      </c>
      <c r="I1251" s="10" t="s">
        <v>18</v>
      </c>
    </row>
    <row r="1252" spans="1:9" x14ac:dyDescent="0.2">
      <c r="A1252" s="10" t="s">
        <v>3633</v>
      </c>
      <c r="B1252" s="10">
        <v>403.77092068080401</v>
      </c>
      <c r="C1252" s="10">
        <v>-2.29741244345677</v>
      </c>
      <c r="D1252" s="10">
        <v>0.322672543996954</v>
      </c>
      <c r="E1252" s="10">
        <v>-7.1199501978031696</v>
      </c>
      <c r="F1252" s="4">
        <v>1.07966068098275E-12</v>
      </c>
      <c r="G1252" s="4">
        <v>3.1003269897398401E-11</v>
      </c>
      <c r="H1252" s="10" t="s">
        <v>3634</v>
      </c>
      <c r="I1252" s="10" t="s">
        <v>18</v>
      </c>
    </row>
    <row r="1253" spans="1:9" x14ac:dyDescent="0.2">
      <c r="A1253" s="10" t="s">
        <v>10173</v>
      </c>
      <c r="B1253" s="10">
        <v>3167.74749306494</v>
      </c>
      <c r="C1253" s="10">
        <v>1.54199275561625</v>
      </c>
      <c r="D1253" s="10">
        <v>0.24400197412781899</v>
      </c>
      <c r="E1253" s="10">
        <v>6.31959131121</v>
      </c>
      <c r="F1253" s="4">
        <v>2.6225594941932302E-10</v>
      </c>
      <c r="G1253" s="4">
        <v>5.7716958947008603E-9</v>
      </c>
      <c r="H1253" s="10" t="s">
        <v>10174</v>
      </c>
      <c r="I1253" s="10" t="s">
        <v>18</v>
      </c>
    </row>
    <row r="1254" spans="1:9" x14ac:dyDescent="0.2">
      <c r="A1254" s="10" t="s">
        <v>10175</v>
      </c>
      <c r="B1254" s="10">
        <v>66.024125479956197</v>
      </c>
      <c r="C1254" s="10">
        <v>1.6331298515535499</v>
      </c>
      <c r="D1254" s="10">
        <v>0.48319222588702998</v>
      </c>
      <c r="E1254" s="10">
        <v>3.3798760908363099</v>
      </c>
      <c r="F1254" s="10">
        <v>7.2518515484300901E-4</v>
      </c>
      <c r="G1254" s="10">
        <v>4.6429199720223703E-3</v>
      </c>
      <c r="H1254" s="10" t="s">
        <v>10176</v>
      </c>
      <c r="I1254" s="10" t="s">
        <v>18</v>
      </c>
    </row>
    <row r="1255" spans="1:9" x14ac:dyDescent="0.2">
      <c r="A1255" s="10" t="s">
        <v>3637</v>
      </c>
      <c r="B1255" s="10">
        <v>16.199362115838799</v>
      </c>
      <c r="C1255" s="10">
        <v>3.1793109192975901</v>
      </c>
      <c r="D1255" s="10">
        <v>0.98348430116933105</v>
      </c>
      <c r="E1255" s="10">
        <v>3.2327012393766701</v>
      </c>
      <c r="F1255" s="10">
        <v>1.2262573301090099E-3</v>
      </c>
      <c r="G1255" s="10">
        <v>7.2751186648330503E-3</v>
      </c>
      <c r="H1255" s="10" t="s">
        <v>3638</v>
      </c>
      <c r="I1255" s="10" t="s">
        <v>18</v>
      </c>
    </row>
    <row r="1256" spans="1:9" x14ac:dyDescent="0.2">
      <c r="A1256" s="10" t="s">
        <v>10177</v>
      </c>
      <c r="B1256" s="10">
        <v>645.604101068305</v>
      </c>
      <c r="C1256" s="10">
        <v>1.2893080713579199</v>
      </c>
      <c r="D1256" s="10">
        <v>0.26987937310063098</v>
      </c>
      <c r="E1256" s="10">
        <v>4.7773494378066896</v>
      </c>
      <c r="F1256" s="4">
        <v>1.7762095311661201E-6</v>
      </c>
      <c r="G1256" s="4">
        <v>2.1075731488907401E-5</v>
      </c>
      <c r="H1256" s="10" t="s">
        <v>10178</v>
      </c>
      <c r="I1256" s="10" t="s">
        <v>18</v>
      </c>
    </row>
    <row r="1257" spans="1:9" x14ac:dyDescent="0.2">
      <c r="A1257" s="10" t="s">
        <v>3641</v>
      </c>
      <c r="B1257" s="10">
        <v>55.904865695146498</v>
      </c>
      <c r="C1257" s="10">
        <v>2.0387626492063999</v>
      </c>
      <c r="D1257" s="10">
        <v>0.52676754999914599</v>
      </c>
      <c r="E1257" s="10">
        <v>3.87032695770593</v>
      </c>
      <c r="F1257" s="10">
        <v>1.0868948380407801E-4</v>
      </c>
      <c r="G1257" s="10">
        <v>8.7406776377607902E-4</v>
      </c>
      <c r="H1257" s="10" t="s">
        <v>3642</v>
      </c>
      <c r="I1257" s="10" t="s">
        <v>18</v>
      </c>
    </row>
    <row r="1258" spans="1:9" x14ac:dyDescent="0.2">
      <c r="A1258" s="10" t="s">
        <v>3643</v>
      </c>
      <c r="B1258" s="10">
        <v>3408.5247767985302</v>
      </c>
      <c r="C1258" s="10">
        <v>-1.38860263975304</v>
      </c>
      <c r="D1258" s="10">
        <v>0.24432160160152699</v>
      </c>
      <c r="E1258" s="10">
        <v>-5.6835033441609504</v>
      </c>
      <c r="F1258" s="4">
        <v>1.31963142760579E-8</v>
      </c>
      <c r="G1258" s="4">
        <v>2.29091294419762E-7</v>
      </c>
      <c r="H1258" s="10" t="s">
        <v>3644</v>
      </c>
      <c r="I1258" s="10" t="s">
        <v>18</v>
      </c>
    </row>
    <row r="1259" spans="1:9" x14ac:dyDescent="0.2">
      <c r="A1259" s="10" t="s">
        <v>3645</v>
      </c>
      <c r="B1259" s="10">
        <v>558.54783326010397</v>
      </c>
      <c r="C1259" s="10">
        <v>-1.08582626124668</v>
      </c>
      <c r="D1259" s="10">
        <v>0.28506230600586202</v>
      </c>
      <c r="E1259" s="10">
        <v>-3.8090839734677102</v>
      </c>
      <c r="F1259" s="10">
        <v>1.39482584311949E-4</v>
      </c>
      <c r="G1259" s="10">
        <v>1.08717455043788E-3</v>
      </c>
      <c r="H1259" s="10" t="s">
        <v>3646</v>
      </c>
      <c r="I1259" s="10" t="s">
        <v>18</v>
      </c>
    </row>
    <row r="1260" spans="1:9" x14ac:dyDescent="0.2">
      <c r="A1260" s="10" t="s">
        <v>3651</v>
      </c>
      <c r="B1260" s="10">
        <v>1156.53777012875</v>
      </c>
      <c r="C1260" s="10">
        <v>1.4699534637856799</v>
      </c>
      <c r="D1260" s="10">
        <v>0.32197431024126899</v>
      </c>
      <c r="E1260" s="10">
        <v>4.5654371079611202</v>
      </c>
      <c r="F1260" s="4">
        <v>4.9845462287935401E-6</v>
      </c>
      <c r="G1260" s="4">
        <v>5.4586965775055098E-5</v>
      </c>
      <c r="H1260" s="10" t="s">
        <v>3652</v>
      </c>
      <c r="I1260" s="10" t="s">
        <v>18</v>
      </c>
    </row>
    <row r="1261" spans="1:9" x14ac:dyDescent="0.2">
      <c r="A1261" s="10" t="s">
        <v>3669</v>
      </c>
      <c r="B1261" s="10">
        <v>316.98885074660802</v>
      </c>
      <c r="C1261" s="10">
        <v>1.8589550950348801</v>
      </c>
      <c r="D1261" s="10">
        <v>0.35186634303126701</v>
      </c>
      <c r="E1261" s="10">
        <v>5.2831284715107998</v>
      </c>
      <c r="F1261" s="4">
        <v>1.2699626621301999E-7</v>
      </c>
      <c r="G1261" s="4">
        <v>1.8780664765364601E-6</v>
      </c>
      <c r="H1261" s="10" t="s">
        <v>3670</v>
      </c>
      <c r="I1261" s="10" t="s">
        <v>18</v>
      </c>
    </row>
    <row r="1262" spans="1:9" x14ac:dyDescent="0.2">
      <c r="A1262" s="10" t="s">
        <v>3671</v>
      </c>
      <c r="B1262" s="10">
        <v>671.23521110758395</v>
      </c>
      <c r="C1262" s="10">
        <v>1.4908487931082199</v>
      </c>
      <c r="D1262" s="10">
        <v>0.276774686363702</v>
      </c>
      <c r="E1262" s="10">
        <v>5.3865070274133897</v>
      </c>
      <c r="F1262" s="4">
        <v>7.1840121723996504E-8</v>
      </c>
      <c r="G1262" s="4">
        <v>1.0992325194447301E-6</v>
      </c>
      <c r="H1262" s="10" t="s">
        <v>3672</v>
      </c>
      <c r="I1262" s="10" t="s">
        <v>18</v>
      </c>
    </row>
    <row r="1263" spans="1:9" x14ac:dyDescent="0.2">
      <c r="A1263" s="10" t="s">
        <v>3673</v>
      </c>
      <c r="B1263" s="10">
        <v>814.98021303851897</v>
      </c>
      <c r="C1263" s="10">
        <v>-1.2850445040694101</v>
      </c>
      <c r="D1263" s="10">
        <v>0.31112564188005198</v>
      </c>
      <c r="E1263" s="10">
        <v>-4.1303072813421</v>
      </c>
      <c r="F1263" s="4">
        <v>3.6227868065034497E-5</v>
      </c>
      <c r="G1263" s="10">
        <v>3.28046083936624E-4</v>
      </c>
      <c r="H1263" s="10" t="s">
        <v>3674</v>
      </c>
      <c r="I1263" s="10" t="s">
        <v>18</v>
      </c>
    </row>
    <row r="1264" spans="1:9" x14ac:dyDescent="0.2">
      <c r="A1264" s="10" t="s">
        <v>3677</v>
      </c>
      <c r="B1264" s="10">
        <v>2493.4670366454998</v>
      </c>
      <c r="C1264" s="10">
        <v>1.1424131515462399</v>
      </c>
      <c r="D1264" s="10">
        <v>0.23925875261694901</v>
      </c>
      <c r="E1264" s="10">
        <v>4.7748019207273504</v>
      </c>
      <c r="F1264" s="4">
        <v>1.7988422104215E-6</v>
      </c>
      <c r="G1264" s="4">
        <v>2.1314119549294702E-5</v>
      </c>
      <c r="H1264" s="10" t="s">
        <v>3678</v>
      </c>
      <c r="I1264" s="10" t="s">
        <v>18</v>
      </c>
    </row>
    <row r="1265" spans="1:9" x14ac:dyDescent="0.2">
      <c r="A1265" s="10" t="s">
        <v>3685</v>
      </c>
      <c r="B1265" s="10">
        <v>264.365768380193</v>
      </c>
      <c r="C1265" s="10">
        <v>5.9475054036378996</v>
      </c>
      <c r="D1265" s="10">
        <v>0.47213830747792401</v>
      </c>
      <c r="E1265" s="10">
        <v>12.596955827220199</v>
      </c>
      <c r="F1265" s="4">
        <v>2.1945197348334699E-36</v>
      </c>
      <c r="G1265" s="4">
        <v>2.9839537259316698E-34</v>
      </c>
      <c r="H1265" s="10" t="s">
        <v>3686</v>
      </c>
      <c r="I1265" s="10" t="s">
        <v>18</v>
      </c>
    </row>
    <row r="1266" spans="1:9" x14ac:dyDescent="0.2">
      <c r="A1266" s="10" t="s">
        <v>3687</v>
      </c>
      <c r="B1266" s="10">
        <v>1124.52334413586</v>
      </c>
      <c r="C1266" s="10">
        <v>2.73528706473114</v>
      </c>
      <c r="D1266" s="10">
        <v>0.256489289763558</v>
      </c>
      <c r="E1266" s="10">
        <v>10.6643324844192</v>
      </c>
      <c r="F1266" s="4">
        <v>1.4946844542965001E-26</v>
      </c>
      <c r="G1266" s="4">
        <v>1.28762970711742E-24</v>
      </c>
      <c r="H1266" s="10" t="s">
        <v>3688</v>
      </c>
      <c r="I1266" s="10" t="s">
        <v>18</v>
      </c>
    </row>
    <row r="1267" spans="1:9" x14ac:dyDescent="0.2">
      <c r="A1267" s="10" t="s">
        <v>10179</v>
      </c>
      <c r="B1267" s="10">
        <v>1404.34370443425</v>
      </c>
      <c r="C1267" s="10">
        <v>1.7625907806857199</v>
      </c>
      <c r="D1267" s="10">
        <v>0.24851345895209301</v>
      </c>
      <c r="E1267" s="10">
        <v>7.0925365093626702</v>
      </c>
      <c r="F1267" s="4">
        <v>1.3167588664623499E-12</v>
      </c>
      <c r="G1267" s="4">
        <v>3.7469535391244898E-11</v>
      </c>
      <c r="H1267" s="10" t="s">
        <v>10180</v>
      </c>
      <c r="I1267" s="10" t="s">
        <v>18</v>
      </c>
    </row>
    <row r="1268" spans="1:9" x14ac:dyDescent="0.2">
      <c r="A1268" s="10" t="s">
        <v>10181</v>
      </c>
      <c r="B1268" s="10">
        <v>352.34879953796701</v>
      </c>
      <c r="C1268" s="10">
        <v>-1.1014746231878501</v>
      </c>
      <c r="D1268" s="10">
        <v>0.35212338070933702</v>
      </c>
      <c r="E1268" s="10">
        <v>-3.1280928320322801</v>
      </c>
      <c r="F1268" s="10">
        <v>1.7594460074704E-3</v>
      </c>
      <c r="G1268" s="10">
        <v>9.8374892904907595E-3</v>
      </c>
      <c r="H1268" s="10" t="s">
        <v>10182</v>
      </c>
      <c r="I1268" s="10" t="s">
        <v>18</v>
      </c>
    </row>
    <row r="1269" spans="1:9" x14ac:dyDescent="0.2">
      <c r="A1269" s="10" t="s">
        <v>3697</v>
      </c>
      <c r="B1269" s="10">
        <v>295.29043046188099</v>
      </c>
      <c r="C1269" s="10">
        <v>-2.07325046720872</v>
      </c>
      <c r="D1269" s="10">
        <v>0.32338366208091002</v>
      </c>
      <c r="E1269" s="10">
        <v>-6.4111169187328896</v>
      </c>
      <c r="F1269" s="4">
        <v>1.4445735336158601E-10</v>
      </c>
      <c r="G1269" s="4">
        <v>3.2561153439163801E-9</v>
      </c>
      <c r="H1269" s="10" t="s">
        <v>3698</v>
      </c>
      <c r="I1269" s="10" t="s">
        <v>18</v>
      </c>
    </row>
    <row r="1270" spans="1:9" x14ac:dyDescent="0.2">
      <c r="A1270" s="10" t="s">
        <v>10183</v>
      </c>
      <c r="B1270" s="10">
        <v>8322.6322062917807</v>
      </c>
      <c r="C1270" s="10">
        <v>1.1118296494368001</v>
      </c>
      <c r="D1270" s="10">
        <v>0.264096902122614</v>
      </c>
      <c r="E1270" s="10">
        <v>4.2099306750694296</v>
      </c>
      <c r="F1270" s="4">
        <v>2.55449058928302E-5</v>
      </c>
      <c r="G1270" s="10">
        <v>2.3968001034470099E-4</v>
      </c>
      <c r="H1270" s="10" t="s">
        <v>10184</v>
      </c>
      <c r="I1270" s="10" t="s">
        <v>18</v>
      </c>
    </row>
    <row r="1271" spans="1:9" x14ac:dyDescent="0.2">
      <c r="A1271" s="10" t="s">
        <v>10185</v>
      </c>
      <c r="B1271" s="10">
        <v>17.618724286646799</v>
      </c>
      <c r="C1271" s="10">
        <v>-2.2740966017776101</v>
      </c>
      <c r="D1271" s="10">
        <v>0.89536915111797399</v>
      </c>
      <c r="E1271" s="10">
        <v>-2.53984247607608</v>
      </c>
      <c r="F1271" s="10">
        <v>1.1090240630769001E-2</v>
      </c>
      <c r="G1271" s="10">
        <v>4.59975272987624E-2</v>
      </c>
      <c r="H1271" s="10" t="s">
        <v>10186</v>
      </c>
      <c r="I1271" s="10" t="s">
        <v>18</v>
      </c>
    </row>
    <row r="1272" spans="1:9" x14ac:dyDescent="0.2">
      <c r="A1272" s="10" t="s">
        <v>10187</v>
      </c>
      <c r="B1272" s="10">
        <v>201.502260535375</v>
      </c>
      <c r="C1272" s="10">
        <v>-2.7986875706396099</v>
      </c>
      <c r="D1272" s="10">
        <v>0.345255199577363</v>
      </c>
      <c r="E1272" s="10">
        <v>-8.1061417005900704</v>
      </c>
      <c r="F1272" s="4">
        <v>5.2252502838617197E-16</v>
      </c>
      <c r="G1272" s="4">
        <v>2.08636779191336E-14</v>
      </c>
      <c r="H1272" s="10" t="s">
        <v>10188</v>
      </c>
      <c r="I1272" s="10" t="s">
        <v>18</v>
      </c>
    </row>
    <row r="1273" spans="1:9" x14ac:dyDescent="0.2">
      <c r="A1273" s="10" t="s">
        <v>3707</v>
      </c>
      <c r="B1273" s="10">
        <v>516.132448693078</v>
      </c>
      <c r="C1273" s="10">
        <v>-1.1204784174806699</v>
      </c>
      <c r="D1273" s="10">
        <v>0.293091396951143</v>
      </c>
      <c r="E1273" s="10">
        <v>-3.82296590461661</v>
      </c>
      <c r="F1273" s="10">
        <v>1.31856017927951E-4</v>
      </c>
      <c r="G1273" s="10">
        <v>1.0342494951598401E-3</v>
      </c>
      <c r="H1273" s="10" t="s">
        <v>3708</v>
      </c>
      <c r="I1273" s="10" t="s">
        <v>18</v>
      </c>
    </row>
    <row r="1274" spans="1:9" x14ac:dyDescent="0.2">
      <c r="A1274" s="10" t="s">
        <v>3713</v>
      </c>
      <c r="B1274" s="10">
        <v>786.80466460685898</v>
      </c>
      <c r="C1274" s="10">
        <v>-1.0111345288737399</v>
      </c>
      <c r="D1274" s="10">
        <v>0.25885235882020502</v>
      </c>
      <c r="E1274" s="10">
        <v>-3.90622103457848</v>
      </c>
      <c r="F1274" s="4">
        <v>9.3750761604737001E-5</v>
      </c>
      <c r="G1274" s="10">
        <v>7.67176450282094E-4</v>
      </c>
      <c r="H1274" s="10" t="s">
        <v>3714</v>
      </c>
      <c r="I1274" s="10" t="s">
        <v>18</v>
      </c>
    </row>
    <row r="1275" spans="1:9" x14ac:dyDescent="0.2">
      <c r="A1275" s="10" t="s">
        <v>10189</v>
      </c>
      <c r="B1275" s="10">
        <v>93.273662322013607</v>
      </c>
      <c r="C1275" s="10">
        <v>1.12938828859044</v>
      </c>
      <c r="D1275" s="10">
        <v>0.439242723400873</v>
      </c>
      <c r="E1275" s="10">
        <v>2.5712168430385298</v>
      </c>
      <c r="F1275" s="10">
        <v>1.0134185054954101E-2</v>
      </c>
      <c r="G1275" s="10">
        <v>4.2751203263016901E-2</v>
      </c>
      <c r="H1275" s="10" t="s">
        <v>10190</v>
      </c>
      <c r="I1275" s="10" t="s">
        <v>18</v>
      </c>
    </row>
    <row r="1276" spans="1:9" x14ac:dyDescent="0.2">
      <c r="A1276" s="10" t="s">
        <v>3715</v>
      </c>
      <c r="B1276" s="10">
        <v>54.526576233074302</v>
      </c>
      <c r="C1276" s="10">
        <v>3.8604724269649102</v>
      </c>
      <c r="D1276" s="10">
        <v>0.60474861859316498</v>
      </c>
      <c r="E1276" s="10">
        <v>6.3835985867079401</v>
      </c>
      <c r="F1276" s="4">
        <v>1.7297414747812E-10</v>
      </c>
      <c r="G1276" s="4">
        <v>3.8574154962873399E-9</v>
      </c>
      <c r="H1276" s="10" t="s">
        <v>3716</v>
      </c>
      <c r="I1276" s="10" t="s">
        <v>18</v>
      </c>
    </row>
    <row r="1277" spans="1:9" x14ac:dyDescent="0.2">
      <c r="A1277" s="10" t="s">
        <v>10191</v>
      </c>
      <c r="B1277" s="10">
        <v>2696.8835329564399</v>
      </c>
      <c r="C1277" s="10">
        <v>1.5058540523315</v>
      </c>
      <c r="D1277" s="10">
        <v>0.251740315344748</v>
      </c>
      <c r="E1277" s="10">
        <v>5.9817755065147198</v>
      </c>
      <c r="F1277" s="4">
        <v>2.2071833891082598E-9</v>
      </c>
      <c r="G1277" s="4">
        <v>4.25453625693627E-8</v>
      </c>
      <c r="H1277" s="10" t="s">
        <v>10192</v>
      </c>
      <c r="I1277" s="10" t="s">
        <v>18</v>
      </c>
    </row>
    <row r="1278" spans="1:9" x14ac:dyDescent="0.2">
      <c r="A1278" s="10" t="s">
        <v>10193</v>
      </c>
      <c r="B1278" s="10">
        <v>213.81670215810101</v>
      </c>
      <c r="C1278" s="10">
        <v>-2.92852882644027</v>
      </c>
      <c r="D1278" s="10">
        <v>0.34119996746826903</v>
      </c>
      <c r="E1278" s="10">
        <v>-8.5830278594989</v>
      </c>
      <c r="F1278" s="4">
        <v>9.2407965117939593E-18</v>
      </c>
      <c r="G1278" s="4">
        <v>4.24958384376923E-16</v>
      </c>
      <c r="H1278" s="10" t="s">
        <v>10194</v>
      </c>
      <c r="I1278" s="10" t="s">
        <v>18</v>
      </c>
    </row>
    <row r="1279" spans="1:9" x14ac:dyDescent="0.2">
      <c r="A1279" s="10" t="s">
        <v>10195</v>
      </c>
      <c r="B1279" s="10">
        <v>407.210402243705</v>
      </c>
      <c r="C1279" s="10">
        <v>1.31443398598195</v>
      </c>
      <c r="D1279" s="10">
        <v>0.286998931188583</v>
      </c>
      <c r="E1279" s="10">
        <v>4.57992641484178</v>
      </c>
      <c r="F1279" s="4">
        <v>4.6513954987411899E-6</v>
      </c>
      <c r="G1279" s="4">
        <v>5.1431144514652601E-5</v>
      </c>
      <c r="H1279" s="10" t="s">
        <v>10196</v>
      </c>
      <c r="I1279" s="10" t="s">
        <v>18</v>
      </c>
    </row>
    <row r="1280" spans="1:9" x14ac:dyDescent="0.2">
      <c r="A1280" s="10" t="s">
        <v>3723</v>
      </c>
      <c r="B1280" s="10">
        <v>132.14133217579899</v>
      </c>
      <c r="C1280" s="10">
        <v>1.9551801858037099</v>
      </c>
      <c r="D1280" s="10">
        <v>0.37318965927522602</v>
      </c>
      <c r="E1280" s="10">
        <v>5.23910600738746</v>
      </c>
      <c r="F1280" s="4">
        <v>1.6135633662792001E-7</v>
      </c>
      <c r="G1280" s="4">
        <v>2.3434865172490402E-6</v>
      </c>
      <c r="H1280" s="10" t="s">
        <v>3724</v>
      </c>
      <c r="I1280" s="10" t="s">
        <v>18</v>
      </c>
    </row>
    <row r="1281" spans="1:9" x14ac:dyDescent="0.2">
      <c r="A1281" s="10" t="s">
        <v>10197</v>
      </c>
      <c r="B1281" s="10">
        <v>1099.1700697408701</v>
      </c>
      <c r="C1281" s="10">
        <v>1.3420552757114601</v>
      </c>
      <c r="D1281" s="10">
        <v>0.27648130985513503</v>
      </c>
      <c r="E1281" s="10">
        <v>4.85405424480461</v>
      </c>
      <c r="F1281" s="4">
        <v>1.20962625005105E-6</v>
      </c>
      <c r="G1281" s="4">
        <v>1.4814093631954301E-5</v>
      </c>
      <c r="H1281" s="10" t="s">
        <v>10198</v>
      </c>
      <c r="I1281" s="10" t="s">
        <v>18</v>
      </c>
    </row>
    <row r="1282" spans="1:9" x14ac:dyDescent="0.2">
      <c r="A1282" s="10" t="s">
        <v>3725</v>
      </c>
      <c r="B1282" s="10">
        <v>949.97383177199504</v>
      </c>
      <c r="C1282" s="10">
        <v>2.3268083728706399</v>
      </c>
      <c r="D1282" s="10">
        <v>0.31300307712032099</v>
      </c>
      <c r="E1282" s="10">
        <v>7.4338194827911996</v>
      </c>
      <c r="F1282" s="4">
        <v>1.05505931577242E-13</v>
      </c>
      <c r="G1282" s="4">
        <v>3.3895296409010498E-12</v>
      </c>
      <c r="H1282" s="10" t="s">
        <v>3726</v>
      </c>
      <c r="I1282" s="10" t="s">
        <v>18</v>
      </c>
    </row>
    <row r="1283" spans="1:9" x14ac:dyDescent="0.2">
      <c r="A1283" s="10" t="s">
        <v>3727</v>
      </c>
      <c r="B1283" s="10">
        <v>12.979715839907501</v>
      </c>
      <c r="C1283" s="10">
        <v>3.6633846771903902</v>
      </c>
      <c r="D1283" s="10">
        <v>1.1211227105292401</v>
      </c>
      <c r="E1283" s="10">
        <v>3.26760366442051</v>
      </c>
      <c r="F1283" s="10">
        <v>1.0846213708313401E-3</v>
      </c>
      <c r="G1283" s="10">
        <v>6.5381381699646099E-3</v>
      </c>
      <c r="H1283" s="10" t="s">
        <v>3728</v>
      </c>
      <c r="I1283" s="10" t="s">
        <v>18</v>
      </c>
    </row>
    <row r="1284" spans="1:9" x14ac:dyDescent="0.2">
      <c r="A1284" s="10" t="s">
        <v>3729</v>
      </c>
      <c r="B1284" s="10">
        <v>1323.0058230959501</v>
      </c>
      <c r="C1284" s="10">
        <v>6.6581276126315503</v>
      </c>
      <c r="D1284" s="10">
        <v>0.36683170042493102</v>
      </c>
      <c r="E1284" s="10">
        <v>18.150360519330501</v>
      </c>
      <c r="F1284" s="4">
        <v>1.2756090162631101E-73</v>
      </c>
      <c r="G1284" s="4">
        <v>7.4623127451391906E-71</v>
      </c>
      <c r="H1284" s="10" t="s">
        <v>3730</v>
      </c>
      <c r="I1284" s="10" t="s">
        <v>18</v>
      </c>
    </row>
    <row r="1285" spans="1:9" x14ac:dyDescent="0.2">
      <c r="A1285" s="10" t="s">
        <v>3741</v>
      </c>
      <c r="B1285" s="10">
        <v>18.126936653582</v>
      </c>
      <c r="C1285" s="10">
        <v>7.6985106656215399</v>
      </c>
      <c r="D1285" s="10">
        <v>1.63125028036519</v>
      </c>
      <c r="E1285" s="10">
        <v>4.7193927003635796</v>
      </c>
      <c r="F1285" s="4">
        <v>2.36549778762106E-6</v>
      </c>
      <c r="G1285" s="4">
        <v>2.7497272110724501E-5</v>
      </c>
      <c r="H1285" s="10" t="s">
        <v>3742</v>
      </c>
      <c r="I1285" s="10" t="s">
        <v>18</v>
      </c>
    </row>
    <row r="1286" spans="1:9" x14ac:dyDescent="0.2">
      <c r="A1286" s="10" t="s">
        <v>3743</v>
      </c>
      <c r="B1286" s="10">
        <v>94.817558129843206</v>
      </c>
      <c r="C1286" s="10">
        <v>2.3027105309585298</v>
      </c>
      <c r="D1286" s="10">
        <v>0.475998950819849</v>
      </c>
      <c r="E1286" s="10">
        <v>4.8376378288069599</v>
      </c>
      <c r="F1286" s="4">
        <v>1.31391271132608E-6</v>
      </c>
      <c r="G1286" s="4">
        <v>1.5951483713034502E-5</v>
      </c>
      <c r="H1286" s="10" t="s">
        <v>3744</v>
      </c>
      <c r="I1286" s="10" t="s">
        <v>18</v>
      </c>
    </row>
    <row r="1287" spans="1:9" x14ac:dyDescent="0.2">
      <c r="A1287" s="10" t="s">
        <v>10199</v>
      </c>
      <c r="B1287" s="10">
        <v>20.460735699386401</v>
      </c>
      <c r="C1287" s="10">
        <v>-2.49305864598408</v>
      </c>
      <c r="D1287" s="10">
        <v>0.82363061596935305</v>
      </c>
      <c r="E1287" s="10">
        <v>-3.0269135188107801</v>
      </c>
      <c r="F1287" s="10">
        <v>2.4706463198619199E-3</v>
      </c>
      <c r="G1287" s="10">
        <v>1.3089534156724199E-2</v>
      </c>
      <c r="H1287" s="10" t="s">
        <v>10200</v>
      </c>
      <c r="I1287" s="10" t="s">
        <v>18</v>
      </c>
    </row>
    <row r="1288" spans="1:9" x14ac:dyDescent="0.2">
      <c r="A1288" s="10" t="s">
        <v>3747</v>
      </c>
      <c r="B1288" s="10">
        <v>2779.68304472114</v>
      </c>
      <c r="C1288" s="10">
        <v>3.2909859698978101</v>
      </c>
      <c r="D1288" s="10">
        <v>0.24720708585192999</v>
      </c>
      <c r="E1288" s="10">
        <v>13.312668439726799</v>
      </c>
      <c r="F1288" s="4">
        <v>1.95376985387008E-40</v>
      </c>
      <c r="G1288" s="4">
        <v>3.3662384023357497E-38</v>
      </c>
      <c r="H1288" s="10" t="s">
        <v>3748</v>
      </c>
      <c r="I1288" s="10" t="s">
        <v>18</v>
      </c>
    </row>
    <row r="1289" spans="1:9" x14ac:dyDescent="0.2">
      <c r="A1289" s="10" t="s">
        <v>10201</v>
      </c>
      <c r="B1289" s="10">
        <v>4122.37627400171</v>
      </c>
      <c r="C1289" s="10">
        <v>1.30960096427271</v>
      </c>
      <c r="D1289" s="10">
        <v>0.238926931368796</v>
      </c>
      <c r="E1289" s="10">
        <v>5.4811776837801203</v>
      </c>
      <c r="F1289" s="4">
        <v>4.2250388475894102E-8</v>
      </c>
      <c r="G1289" s="4">
        <v>6.7223815440298198E-7</v>
      </c>
      <c r="H1289" s="10" t="s">
        <v>10202</v>
      </c>
      <c r="I1289" s="10" t="s">
        <v>18</v>
      </c>
    </row>
    <row r="1290" spans="1:9" x14ac:dyDescent="0.2">
      <c r="A1290" s="10" t="s">
        <v>10203</v>
      </c>
      <c r="B1290" s="10">
        <v>1229.4116168852199</v>
      </c>
      <c r="C1290" s="10">
        <v>-1.37180775472372</v>
      </c>
      <c r="D1290" s="10">
        <v>0.24962264936518999</v>
      </c>
      <c r="E1290" s="10">
        <v>-5.4955259797631903</v>
      </c>
      <c r="F1290" s="4">
        <v>3.8954758719970398E-8</v>
      </c>
      <c r="G1290" s="4">
        <v>6.2374726645503297E-7</v>
      </c>
      <c r="H1290" s="10" t="s">
        <v>10204</v>
      </c>
      <c r="I1290" s="10" t="s">
        <v>18</v>
      </c>
    </row>
    <row r="1291" spans="1:9" x14ac:dyDescent="0.2">
      <c r="A1291" s="10" t="s">
        <v>3751</v>
      </c>
      <c r="B1291" s="10">
        <v>6646.9298959347097</v>
      </c>
      <c r="C1291" s="10">
        <v>2.3029545775945102</v>
      </c>
      <c r="D1291" s="10">
        <v>0.23864565321506301</v>
      </c>
      <c r="E1291" s="10">
        <v>9.6501006683709996</v>
      </c>
      <c r="F1291" s="4">
        <v>4.9107498451868801E-22</v>
      </c>
      <c r="G1291" s="4">
        <v>3.0129246916018602E-20</v>
      </c>
      <c r="H1291" s="10" t="s">
        <v>3752</v>
      </c>
      <c r="I1291" s="10" t="s">
        <v>18</v>
      </c>
    </row>
    <row r="1292" spans="1:9" x14ac:dyDescent="0.2">
      <c r="A1292" s="10" t="s">
        <v>10205</v>
      </c>
      <c r="B1292" s="10">
        <v>438.917063155162</v>
      </c>
      <c r="C1292" s="10">
        <v>1.41317948654558</v>
      </c>
      <c r="D1292" s="10">
        <v>0.27997331802282599</v>
      </c>
      <c r="E1292" s="10">
        <v>5.0475505899114301</v>
      </c>
      <c r="F1292" s="4">
        <v>4.4751029470127501E-7</v>
      </c>
      <c r="G1292" s="4">
        <v>5.9919408776859901E-6</v>
      </c>
      <c r="H1292" s="10" t="s">
        <v>10206</v>
      </c>
      <c r="I1292" s="10" t="s">
        <v>18</v>
      </c>
    </row>
    <row r="1293" spans="1:9" x14ac:dyDescent="0.2">
      <c r="A1293" s="10" t="s">
        <v>10207</v>
      </c>
      <c r="B1293" s="10">
        <v>2225.90110227488</v>
      </c>
      <c r="C1293" s="10">
        <v>1.54396372984583</v>
      </c>
      <c r="D1293" s="10">
        <v>0.24007165879971201</v>
      </c>
      <c r="E1293" s="10">
        <v>6.4312619722177802</v>
      </c>
      <c r="F1293" s="4">
        <v>1.26548834861576E-10</v>
      </c>
      <c r="G1293" s="4">
        <v>2.86787021706572E-9</v>
      </c>
      <c r="H1293" s="10" t="s">
        <v>10208</v>
      </c>
      <c r="I1293" s="10" t="s">
        <v>18</v>
      </c>
    </row>
    <row r="1294" spans="1:9" x14ac:dyDescent="0.2">
      <c r="A1294" s="10" t="s">
        <v>3757</v>
      </c>
      <c r="B1294" s="10">
        <v>1762.19102457797</v>
      </c>
      <c r="C1294" s="10">
        <v>2.2904629911208101</v>
      </c>
      <c r="D1294" s="10">
        <v>0.26808728615979099</v>
      </c>
      <c r="E1294" s="10">
        <v>8.5437210541778708</v>
      </c>
      <c r="F1294" s="4">
        <v>1.2996754527848901E-17</v>
      </c>
      <c r="G1294" s="4">
        <v>5.9442429117825401E-16</v>
      </c>
      <c r="H1294" s="10" t="s">
        <v>3758</v>
      </c>
      <c r="I1294" s="10" t="s">
        <v>18</v>
      </c>
    </row>
    <row r="1295" spans="1:9" x14ac:dyDescent="0.2">
      <c r="A1295" s="10" t="s">
        <v>10209</v>
      </c>
      <c r="B1295" s="10">
        <v>84.421560182478004</v>
      </c>
      <c r="C1295" s="10">
        <v>-3.7081399931685199</v>
      </c>
      <c r="D1295" s="10">
        <v>0.52216680290328699</v>
      </c>
      <c r="E1295" s="10">
        <v>-7.1014472244328504</v>
      </c>
      <c r="F1295" s="4">
        <v>1.23457156586824E-12</v>
      </c>
      <c r="G1295" s="4">
        <v>3.52504514635817E-11</v>
      </c>
      <c r="H1295" s="10" t="s">
        <v>10210</v>
      </c>
      <c r="I1295" s="10" t="s">
        <v>18</v>
      </c>
    </row>
    <row r="1296" spans="1:9" x14ac:dyDescent="0.2">
      <c r="A1296" s="10" t="s">
        <v>3761</v>
      </c>
      <c r="B1296" s="10">
        <v>239.61657184838299</v>
      </c>
      <c r="C1296" s="10">
        <v>4.3365987140080202</v>
      </c>
      <c r="D1296" s="10">
        <v>0.38513272700145701</v>
      </c>
      <c r="E1296" s="10">
        <v>11.2600109260297</v>
      </c>
      <c r="F1296" s="4">
        <v>2.0673308265432E-29</v>
      </c>
      <c r="G1296" s="4">
        <v>2.0234905424783799E-27</v>
      </c>
      <c r="H1296" s="10" t="s">
        <v>3762</v>
      </c>
      <c r="I1296" s="10" t="s">
        <v>18</v>
      </c>
    </row>
    <row r="1297" spans="1:9" x14ac:dyDescent="0.2">
      <c r="A1297" s="10" t="s">
        <v>10211</v>
      </c>
      <c r="B1297" s="10">
        <v>27.557822018471299</v>
      </c>
      <c r="C1297" s="10">
        <v>-1.70377188607934</v>
      </c>
      <c r="D1297" s="10">
        <v>0.67479786738532399</v>
      </c>
      <c r="E1297" s="10">
        <v>-2.5248625824516</v>
      </c>
      <c r="F1297" s="10">
        <v>1.15743538217333E-2</v>
      </c>
      <c r="G1297" s="10">
        <v>4.7637810602557597E-2</v>
      </c>
      <c r="H1297" s="10" t="s">
        <v>10212</v>
      </c>
      <c r="I1297" s="10" t="s">
        <v>18</v>
      </c>
    </row>
    <row r="1298" spans="1:9" x14ac:dyDescent="0.2">
      <c r="A1298" s="10" t="s">
        <v>3765</v>
      </c>
      <c r="B1298" s="10">
        <v>98.1362650352484</v>
      </c>
      <c r="C1298" s="10">
        <v>3.40924888223081</v>
      </c>
      <c r="D1298" s="10">
        <v>0.48560318927472701</v>
      </c>
      <c r="E1298" s="10">
        <v>7.0206476347956004</v>
      </c>
      <c r="F1298" s="4">
        <v>2.20842167459679E-12</v>
      </c>
      <c r="G1298" s="4">
        <v>6.1181549806698494E-11</v>
      </c>
      <c r="H1298" s="10" t="s">
        <v>3766</v>
      </c>
      <c r="I1298" s="10" t="s">
        <v>18</v>
      </c>
    </row>
    <row r="1299" spans="1:9" x14ac:dyDescent="0.2">
      <c r="A1299" s="10" t="s">
        <v>10213</v>
      </c>
      <c r="B1299" s="10">
        <v>67.457526866204304</v>
      </c>
      <c r="C1299" s="10">
        <v>-1.3770824393257699</v>
      </c>
      <c r="D1299" s="10">
        <v>0.46561186632489598</v>
      </c>
      <c r="E1299" s="10">
        <v>-2.9575759101570398</v>
      </c>
      <c r="F1299" s="10">
        <v>3.1006839246903598E-3</v>
      </c>
      <c r="G1299" s="10">
        <v>1.5849970356753899E-2</v>
      </c>
      <c r="H1299" s="10" t="s">
        <v>10214</v>
      </c>
      <c r="I1299" s="10" t="s">
        <v>18</v>
      </c>
    </row>
    <row r="1300" spans="1:9" x14ac:dyDescent="0.2">
      <c r="A1300" s="10" t="s">
        <v>10215</v>
      </c>
      <c r="B1300" s="10">
        <v>7.8745423214445198</v>
      </c>
      <c r="C1300" s="10">
        <v>-3.7843012181832698</v>
      </c>
      <c r="D1300" s="10">
        <v>1.50726581061394</v>
      </c>
      <c r="E1300" s="10">
        <v>-2.5107059362288902</v>
      </c>
      <c r="F1300" s="10">
        <v>1.20490020386501E-2</v>
      </c>
      <c r="G1300" s="10">
        <v>4.92033516691954E-2</v>
      </c>
      <c r="H1300" s="10" t="s">
        <v>10216</v>
      </c>
      <c r="I1300" s="10" t="s">
        <v>18</v>
      </c>
    </row>
    <row r="1301" spans="1:9" x14ac:dyDescent="0.2">
      <c r="A1301" s="10" t="s">
        <v>10217</v>
      </c>
      <c r="B1301" s="10">
        <v>999.46048527532798</v>
      </c>
      <c r="C1301" s="10">
        <v>1.3692082247811601</v>
      </c>
      <c r="D1301" s="10">
        <v>0.25416082286719899</v>
      </c>
      <c r="E1301" s="10">
        <v>5.3871726150988204</v>
      </c>
      <c r="F1301" s="4">
        <v>7.1574687124587595E-8</v>
      </c>
      <c r="G1301" s="4">
        <v>1.0958376473639701E-6</v>
      </c>
      <c r="H1301" s="10" t="s">
        <v>10218</v>
      </c>
      <c r="I1301" s="10" t="s">
        <v>18</v>
      </c>
    </row>
    <row r="1302" spans="1:9" x14ac:dyDescent="0.2">
      <c r="A1302" s="10" t="s">
        <v>3777</v>
      </c>
      <c r="B1302" s="10">
        <v>634.72790653518996</v>
      </c>
      <c r="C1302" s="10">
        <v>-2.1868766097830101</v>
      </c>
      <c r="D1302" s="10">
        <v>0.26979581650828799</v>
      </c>
      <c r="E1302" s="10">
        <v>-8.10567279391387</v>
      </c>
      <c r="F1302" s="4">
        <v>5.2454436282130703E-16</v>
      </c>
      <c r="G1302" s="4">
        <v>2.0911114812630699E-14</v>
      </c>
      <c r="H1302" s="10" t="s">
        <v>3778</v>
      </c>
      <c r="I1302" s="10" t="s">
        <v>18</v>
      </c>
    </row>
    <row r="1303" spans="1:9" x14ac:dyDescent="0.2">
      <c r="A1303" s="10" t="s">
        <v>10219</v>
      </c>
      <c r="B1303" s="10">
        <v>1145.6165283713699</v>
      </c>
      <c r="C1303" s="10">
        <v>1.06221865378952</v>
      </c>
      <c r="D1303" s="10">
        <v>0.30462191259066701</v>
      </c>
      <c r="E1303" s="10">
        <v>3.4870067118804702</v>
      </c>
      <c r="F1303" s="10">
        <v>4.8845909861227601E-4</v>
      </c>
      <c r="G1303" s="10">
        <v>3.2748370537291601E-3</v>
      </c>
      <c r="H1303" s="10" t="s">
        <v>10220</v>
      </c>
      <c r="I1303" s="10" t="s">
        <v>18</v>
      </c>
    </row>
    <row r="1304" spans="1:9" x14ac:dyDescent="0.2">
      <c r="A1304" s="10" t="s">
        <v>10221</v>
      </c>
      <c r="B1304" s="10">
        <v>2337.8833535364001</v>
      </c>
      <c r="C1304" s="10">
        <v>2.3464981322680201</v>
      </c>
      <c r="D1304" s="10">
        <v>0.28309951892011398</v>
      </c>
      <c r="E1304" s="10">
        <v>8.2885980916490301</v>
      </c>
      <c r="F1304" s="4">
        <v>1.1459103836178199E-16</v>
      </c>
      <c r="G1304" s="4">
        <v>4.9274146495566303E-15</v>
      </c>
      <c r="H1304" s="10" t="s">
        <v>10222</v>
      </c>
      <c r="I1304" s="10" t="s">
        <v>18</v>
      </c>
    </row>
    <row r="1305" spans="1:9" x14ac:dyDescent="0.2">
      <c r="A1305" s="10" t="s">
        <v>10223</v>
      </c>
      <c r="B1305" s="10">
        <v>1556.44753622245</v>
      </c>
      <c r="C1305" s="10">
        <v>1.3090313028762901</v>
      </c>
      <c r="D1305" s="10">
        <v>0.31139030289678599</v>
      </c>
      <c r="E1305" s="10">
        <v>4.2038280919434401</v>
      </c>
      <c r="F1305" s="4">
        <v>2.6243828618854602E-5</v>
      </c>
      <c r="G1305" s="10">
        <v>2.4568794525764301E-4</v>
      </c>
      <c r="H1305" s="10" t="s">
        <v>10224</v>
      </c>
      <c r="I1305" s="10" t="s">
        <v>18</v>
      </c>
    </row>
    <row r="1306" spans="1:9" x14ac:dyDescent="0.2">
      <c r="A1306" s="10" t="s">
        <v>3781</v>
      </c>
      <c r="B1306" s="10">
        <v>158.77767253052801</v>
      </c>
      <c r="C1306" s="10">
        <v>2.4831370308872902</v>
      </c>
      <c r="D1306" s="10">
        <v>0.38710023793945503</v>
      </c>
      <c r="E1306" s="10">
        <v>6.4147132642053997</v>
      </c>
      <c r="F1306" s="4">
        <v>1.4108815680269601E-10</v>
      </c>
      <c r="G1306" s="4">
        <v>3.1858820326497398E-9</v>
      </c>
      <c r="H1306" s="10" t="s">
        <v>3782</v>
      </c>
      <c r="I1306" s="10" t="s">
        <v>18</v>
      </c>
    </row>
    <row r="1307" spans="1:9" x14ac:dyDescent="0.2">
      <c r="A1307" s="10" t="s">
        <v>10225</v>
      </c>
      <c r="B1307" s="10">
        <v>386.41226660603797</v>
      </c>
      <c r="C1307" s="10">
        <v>1.27961253542905</v>
      </c>
      <c r="D1307" s="10">
        <v>0.30961887849826703</v>
      </c>
      <c r="E1307" s="10">
        <v>4.1328634146454899</v>
      </c>
      <c r="F1307" s="4">
        <v>3.5827165056963798E-5</v>
      </c>
      <c r="G1307" s="10">
        <v>3.2476840973258501E-4</v>
      </c>
      <c r="H1307" s="10" t="s">
        <v>10226</v>
      </c>
      <c r="I1307" s="10" t="s">
        <v>18</v>
      </c>
    </row>
    <row r="1308" spans="1:9" x14ac:dyDescent="0.2">
      <c r="A1308" s="10" t="s">
        <v>10227</v>
      </c>
      <c r="B1308" s="10">
        <v>1461.4791572589299</v>
      </c>
      <c r="C1308" s="10">
        <v>1.09607337394773</v>
      </c>
      <c r="D1308" s="10">
        <v>0.27141845141887799</v>
      </c>
      <c r="E1308" s="10">
        <v>4.0383156274669503</v>
      </c>
      <c r="F1308" s="4">
        <v>5.3836383536917203E-5</v>
      </c>
      <c r="G1308" s="10">
        <v>4.6924955920691301E-4</v>
      </c>
      <c r="H1308" s="10" t="s">
        <v>10228</v>
      </c>
      <c r="I1308" s="10" t="s">
        <v>18</v>
      </c>
    </row>
    <row r="1309" spans="1:9" x14ac:dyDescent="0.2">
      <c r="A1309" s="10" t="s">
        <v>3783</v>
      </c>
      <c r="B1309" s="10">
        <v>1392.9443803914701</v>
      </c>
      <c r="C1309" s="10">
        <v>1.8071797736191</v>
      </c>
      <c r="D1309" s="10">
        <v>0.31283042588415999</v>
      </c>
      <c r="E1309" s="10">
        <v>5.7768670311125598</v>
      </c>
      <c r="F1309" s="4">
        <v>7.6104381655376794E-9</v>
      </c>
      <c r="G1309" s="4">
        <v>1.3664566170885099E-7</v>
      </c>
      <c r="H1309" s="10" t="s">
        <v>3784</v>
      </c>
      <c r="I1309" s="10" t="s">
        <v>18</v>
      </c>
    </row>
    <row r="1310" spans="1:9" x14ac:dyDescent="0.2">
      <c r="A1310" s="10" t="s">
        <v>3785</v>
      </c>
      <c r="B1310" s="10">
        <v>31.383172288506501</v>
      </c>
      <c r="C1310" s="10">
        <v>2.6749991723581501</v>
      </c>
      <c r="D1310" s="10">
        <v>0.66923651112409399</v>
      </c>
      <c r="E1310" s="10">
        <v>3.9970909056725699</v>
      </c>
      <c r="F1310" s="4">
        <v>6.4125680012712901E-5</v>
      </c>
      <c r="G1310" s="10">
        <v>5.4792169861405998E-4</v>
      </c>
      <c r="H1310" s="10" t="s">
        <v>3786</v>
      </c>
      <c r="I1310" s="10" t="s">
        <v>18</v>
      </c>
    </row>
    <row r="1311" spans="1:9" x14ac:dyDescent="0.2">
      <c r="A1311" s="10" t="s">
        <v>10229</v>
      </c>
      <c r="B1311" s="10">
        <v>90.706741846562906</v>
      </c>
      <c r="C1311" s="10">
        <v>-2.3831039843725801</v>
      </c>
      <c r="D1311" s="10">
        <v>0.45851374577683601</v>
      </c>
      <c r="E1311" s="10">
        <v>-5.1974537433659904</v>
      </c>
      <c r="F1311" s="4">
        <v>2.0203679184309899E-7</v>
      </c>
      <c r="G1311" s="4">
        <v>2.8810858836809302E-6</v>
      </c>
      <c r="H1311" s="10" t="s">
        <v>10230</v>
      </c>
      <c r="I1311" s="10" t="s">
        <v>18</v>
      </c>
    </row>
    <row r="1312" spans="1:9" x14ac:dyDescent="0.2">
      <c r="A1312" s="10" t="s">
        <v>3787</v>
      </c>
      <c r="B1312" s="10">
        <v>12146.7453520954</v>
      </c>
      <c r="C1312" s="10">
        <v>-1.8894042081053299</v>
      </c>
      <c r="D1312" s="10">
        <v>0.25041792247079703</v>
      </c>
      <c r="E1312" s="10">
        <v>-7.5450039256901302</v>
      </c>
      <c r="F1312" s="4">
        <v>4.5227387625862297E-14</v>
      </c>
      <c r="G1312" s="4">
        <v>1.4969670206954801E-12</v>
      </c>
      <c r="H1312" s="10" t="s">
        <v>3788</v>
      </c>
      <c r="I1312" s="10" t="s">
        <v>18</v>
      </c>
    </row>
    <row r="1313" spans="1:9" x14ac:dyDescent="0.2">
      <c r="A1313" s="10" t="s">
        <v>3791</v>
      </c>
      <c r="B1313" s="10">
        <v>1481.99107030966</v>
      </c>
      <c r="C1313" s="10">
        <v>-1.12314968684246</v>
      </c>
      <c r="D1313" s="10">
        <v>0.297312907114681</v>
      </c>
      <c r="E1313" s="10">
        <v>-3.7776687791399302</v>
      </c>
      <c r="F1313" s="10">
        <v>1.5830322067871E-4</v>
      </c>
      <c r="G1313" s="10">
        <v>1.2166567418799099E-3</v>
      </c>
      <c r="H1313" s="10" t="s">
        <v>3792</v>
      </c>
      <c r="I1313" s="10" t="s">
        <v>18</v>
      </c>
    </row>
    <row r="1314" spans="1:9" x14ac:dyDescent="0.2">
      <c r="A1314" s="10" t="s">
        <v>10231</v>
      </c>
      <c r="B1314" s="10">
        <v>74.565442494806504</v>
      </c>
      <c r="C1314" s="10">
        <v>-2.5457590462574999</v>
      </c>
      <c r="D1314" s="10">
        <v>0.46992833762846098</v>
      </c>
      <c r="E1314" s="10">
        <v>-5.4173346070273602</v>
      </c>
      <c r="F1314" s="4">
        <v>6.0494064949478796E-8</v>
      </c>
      <c r="G1314" s="4">
        <v>9.34722483909176E-7</v>
      </c>
      <c r="H1314" s="10" t="s">
        <v>10232</v>
      </c>
      <c r="I1314" s="10" t="s">
        <v>18</v>
      </c>
    </row>
    <row r="1315" spans="1:9" x14ac:dyDescent="0.2">
      <c r="A1315" s="10" t="s">
        <v>3797</v>
      </c>
      <c r="B1315" s="10">
        <v>14422.8120677147</v>
      </c>
      <c r="C1315" s="10">
        <v>1.9682571423769599</v>
      </c>
      <c r="D1315" s="10">
        <v>0.244650628500688</v>
      </c>
      <c r="E1315" s="10">
        <v>8.0451750908599298</v>
      </c>
      <c r="F1315" s="4">
        <v>8.61222011601316E-16</v>
      </c>
      <c r="G1315" s="4">
        <v>3.3692130173920802E-14</v>
      </c>
      <c r="H1315" s="10" t="s">
        <v>3798</v>
      </c>
      <c r="I1315" s="10" t="s">
        <v>18</v>
      </c>
    </row>
    <row r="1316" spans="1:9" x14ac:dyDescent="0.2">
      <c r="A1316" s="10" t="s">
        <v>10233</v>
      </c>
      <c r="B1316" s="10">
        <v>2162.6632568273099</v>
      </c>
      <c r="C1316" s="10">
        <v>1.0315111791761999</v>
      </c>
      <c r="D1316" s="10">
        <v>0.24385586023830699</v>
      </c>
      <c r="E1316" s="10">
        <v>4.2300036512067303</v>
      </c>
      <c r="F1316" s="4">
        <v>2.3368751892541E-5</v>
      </c>
      <c r="G1316" s="10">
        <v>2.20661018715041E-4</v>
      </c>
      <c r="H1316" s="10" t="s">
        <v>10234</v>
      </c>
      <c r="I1316" s="10" t="s">
        <v>18</v>
      </c>
    </row>
    <row r="1317" spans="1:9" x14ac:dyDescent="0.2">
      <c r="A1317" s="10" t="s">
        <v>3799</v>
      </c>
      <c r="B1317" s="10">
        <v>1340.7970675905201</v>
      </c>
      <c r="C1317" s="10">
        <v>2.3988404795067502</v>
      </c>
      <c r="D1317" s="10">
        <v>0.25625601643065898</v>
      </c>
      <c r="E1317" s="10">
        <v>9.3611089133427594</v>
      </c>
      <c r="F1317" s="4">
        <v>7.8904156755489697E-21</v>
      </c>
      <c r="G1317" s="4">
        <v>4.5007575128896705E-19</v>
      </c>
      <c r="H1317" s="10" t="s">
        <v>3800</v>
      </c>
      <c r="I1317" s="10" t="s">
        <v>18</v>
      </c>
    </row>
    <row r="1318" spans="1:9" x14ac:dyDescent="0.2">
      <c r="A1318" s="10" t="s">
        <v>10235</v>
      </c>
      <c r="B1318" s="10">
        <v>43.703626287169499</v>
      </c>
      <c r="C1318" s="10">
        <v>-4.7733813399897</v>
      </c>
      <c r="D1318" s="10">
        <v>0.80029460807303898</v>
      </c>
      <c r="E1318" s="10">
        <v>-5.9645301765597596</v>
      </c>
      <c r="F1318" s="4">
        <v>2.4533892732748699E-9</v>
      </c>
      <c r="G1318" s="4">
        <v>4.6931564387246602E-8</v>
      </c>
      <c r="H1318" s="10" t="s">
        <v>10236</v>
      </c>
      <c r="I1318" s="10" t="s">
        <v>18</v>
      </c>
    </row>
    <row r="1319" spans="1:9" x14ac:dyDescent="0.2">
      <c r="A1319" s="10" t="s">
        <v>3809</v>
      </c>
      <c r="B1319" s="10">
        <v>4746.53242676437</v>
      </c>
      <c r="C1319" s="10">
        <v>-2.5032381658807701</v>
      </c>
      <c r="D1319" s="10">
        <v>0.24609930459894</v>
      </c>
      <c r="E1319" s="10">
        <v>-10.171658834876499</v>
      </c>
      <c r="F1319" s="4">
        <v>2.6535056145780902E-24</v>
      </c>
      <c r="G1319" s="4">
        <v>1.9689950954192299E-22</v>
      </c>
      <c r="H1319" s="10" t="s">
        <v>3810</v>
      </c>
      <c r="I1319" s="10" t="s">
        <v>18</v>
      </c>
    </row>
    <row r="1320" spans="1:9" x14ac:dyDescent="0.2">
      <c r="A1320" s="10" t="s">
        <v>3811</v>
      </c>
      <c r="B1320" s="10">
        <v>464.615251363955</v>
      </c>
      <c r="C1320" s="10">
        <v>2.0810756411908602</v>
      </c>
      <c r="D1320" s="10">
        <v>0.30296151146390299</v>
      </c>
      <c r="E1320" s="10">
        <v>6.8691089872609403</v>
      </c>
      <c r="F1320" s="4">
        <v>6.4604136776862699E-12</v>
      </c>
      <c r="G1320" s="4">
        <v>1.6999132433284299E-10</v>
      </c>
      <c r="H1320" s="10" t="s">
        <v>3812</v>
      </c>
      <c r="I1320" s="10" t="s">
        <v>18</v>
      </c>
    </row>
    <row r="1321" spans="1:9" x14ac:dyDescent="0.2">
      <c r="A1321" s="10" t="s">
        <v>3815</v>
      </c>
      <c r="B1321" s="10">
        <v>518.24982696870904</v>
      </c>
      <c r="C1321" s="10">
        <v>-1.30062787282583</v>
      </c>
      <c r="D1321" s="10">
        <v>0.29116353284556701</v>
      </c>
      <c r="E1321" s="10">
        <v>-4.4670012762748099</v>
      </c>
      <c r="F1321" s="4">
        <v>7.9323656795534795E-6</v>
      </c>
      <c r="G1321" s="4">
        <v>8.3488978522664302E-5</v>
      </c>
      <c r="H1321" s="10" t="s">
        <v>3816</v>
      </c>
      <c r="I1321" s="10" t="s">
        <v>18</v>
      </c>
    </row>
    <row r="1322" spans="1:9" x14ac:dyDescent="0.2">
      <c r="A1322" s="10" t="s">
        <v>3817</v>
      </c>
      <c r="B1322" s="10">
        <v>9977.2331287830693</v>
      </c>
      <c r="C1322" s="10">
        <v>-3.00299229007656</v>
      </c>
      <c r="D1322" s="10">
        <v>0.28175093392272799</v>
      </c>
      <c r="E1322" s="10">
        <v>-10.658322399386099</v>
      </c>
      <c r="F1322" s="4">
        <v>1.5944754652756901E-26</v>
      </c>
      <c r="G1322" s="4">
        <v>1.36890888494914E-24</v>
      </c>
      <c r="H1322" s="10" t="s">
        <v>3818</v>
      </c>
      <c r="I1322" s="10" t="s">
        <v>18</v>
      </c>
    </row>
    <row r="1323" spans="1:9" x14ac:dyDescent="0.2">
      <c r="A1323" s="10" t="s">
        <v>3819</v>
      </c>
      <c r="B1323" s="10">
        <v>507.29639725799501</v>
      </c>
      <c r="C1323" s="10">
        <v>-5.2676780429413901</v>
      </c>
      <c r="D1323" s="10">
        <v>0.36879018133055302</v>
      </c>
      <c r="E1323" s="10">
        <v>-14.283672151835001</v>
      </c>
      <c r="F1323" s="4">
        <v>2.76632031738129E-46</v>
      </c>
      <c r="G1323" s="4">
        <v>6.2690799624978804E-44</v>
      </c>
      <c r="H1323" s="10" t="s">
        <v>3820</v>
      </c>
      <c r="I1323" s="10" t="s">
        <v>18</v>
      </c>
    </row>
    <row r="1324" spans="1:9" x14ac:dyDescent="0.2">
      <c r="A1324" s="10" t="s">
        <v>10237</v>
      </c>
      <c r="B1324" s="10">
        <v>1960.7839400781099</v>
      </c>
      <c r="C1324" s="10">
        <v>-2.3095429668681202</v>
      </c>
      <c r="D1324" s="10">
        <v>0.26693887045888498</v>
      </c>
      <c r="E1324" s="10">
        <v>-8.6519545201411496</v>
      </c>
      <c r="F1324" s="4">
        <v>5.0624820735036303E-18</v>
      </c>
      <c r="G1324" s="4">
        <v>2.3803128328782001E-16</v>
      </c>
      <c r="H1324" s="10" t="s">
        <v>10238</v>
      </c>
      <c r="I1324" s="10" t="s">
        <v>18</v>
      </c>
    </row>
    <row r="1325" spans="1:9" x14ac:dyDescent="0.2">
      <c r="A1325" s="10" t="s">
        <v>3821</v>
      </c>
      <c r="B1325" s="10">
        <v>1016.07828000734</v>
      </c>
      <c r="C1325" s="10">
        <v>-1.2847110504616801</v>
      </c>
      <c r="D1325" s="10">
        <v>0.26980655270501203</v>
      </c>
      <c r="E1325" s="10">
        <v>-4.7616006267508801</v>
      </c>
      <c r="F1325" s="4">
        <v>1.9206348826614899E-6</v>
      </c>
      <c r="G1325" s="4">
        <v>2.26717834225011E-5</v>
      </c>
      <c r="H1325" s="10" t="s">
        <v>3822</v>
      </c>
      <c r="I1325" s="10" t="s">
        <v>18</v>
      </c>
    </row>
    <row r="1326" spans="1:9" x14ac:dyDescent="0.2">
      <c r="A1326" s="10" t="s">
        <v>3827</v>
      </c>
      <c r="B1326" s="10">
        <v>448.31640242603601</v>
      </c>
      <c r="C1326" s="10">
        <v>-1.5158164588287</v>
      </c>
      <c r="D1326" s="10">
        <v>0.30002009840511101</v>
      </c>
      <c r="E1326" s="10">
        <v>-5.0523830466248301</v>
      </c>
      <c r="F1326" s="4">
        <v>4.3633153426456698E-7</v>
      </c>
      <c r="G1326" s="4">
        <v>5.8538238636934401E-6</v>
      </c>
      <c r="H1326" s="10" t="s">
        <v>3828</v>
      </c>
      <c r="I1326" s="10" t="s">
        <v>18</v>
      </c>
    </row>
    <row r="1327" spans="1:9" x14ac:dyDescent="0.2">
      <c r="A1327" s="10" t="s">
        <v>10239</v>
      </c>
      <c r="B1327" s="10">
        <v>20.560262442492199</v>
      </c>
      <c r="C1327" s="10">
        <v>-1.9912778215119</v>
      </c>
      <c r="D1327" s="10">
        <v>0.77854564208251298</v>
      </c>
      <c r="E1327" s="10">
        <v>-2.5576892527270201</v>
      </c>
      <c r="F1327" s="10">
        <v>1.05370204598761E-2</v>
      </c>
      <c r="G1327" s="10">
        <v>4.4124979135705497E-2</v>
      </c>
      <c r="H1327" s="10" t="s">
        <v>10240</v>
      </c>
      <c r="I1327" s="10" t="s">
        <v>18</v>
      </c>
    </row>
    <row r="1328" spans="1:9" x14ac:dyDescent="0.2">
      <c r="A1328" s="10" t="s">
        <v>3829</v>
      </c>
      <c r="B1328" s="10">
        <v>332.50675344983199</v>
      </c>
      <c r="C1328" s="10">
        <v>-2.1121168782898199</v>
      </c>
      <c r="D1328" s="10">
        <v>0.30601453213639501</v>
      </c>
      <c r="E1328" s="10">
        <v>-6.9020149583890298</v>
      </c>
      <c r="F1328" s="4">
        <v>5.1270035039841799E-12</v>
      </c>
      <c r="G1328" s="4">
        <v>1.36941433649747E-10</v>
      </c>
      <c r="H1328" s="10" t="s">
        <v>3830</v>
      </c>
      <c r="I1328" s="10" t="s">
        <v>18</v>
      </c>
    </row>
    <row r="1329" spans="1:9" x14ac:dyDescent="0.2">
      <c r="A1329" s="10" t="s">
        <v>10241</v>
      </c>
      <c r="B1329" s="10">
        <v>344.85625083996803</v>
      </c>
      <c r="C1329" s="10">
        <v>-2.43202277766924</v>
      </c>
      <c r="D1329" s="10">
        <v>0.33314131489278598</v>
      </c>
      <c r="E1329" s="10">
        <v>-7.3002736945188804</v>
      </c>
      <c r="F1329" s="4">
        <v>2.8718294306211498E-13</v>
      </c>
      <c r="G1329" s="4">
        <v>8.9296501022589496E-12</v>
      </c>
      <c r="H1329" s="10" t="s">
        <v>10242</v>
      </c>
      <c r="I1329" s="10" t="s">
        <v>18</v>
      </c>
    </row>
    <row r="1330" spans="1:9" x14ac:dyDescent="0.2">
      <c r="A1330" s="10" t="s">
        <v>3831</v>
      </c>
      <c r="B1330" s="10">
        <v>577.51702666781398</v>
      </c>
      <c r="C1330" s="10">
        <v>-1.76312426645717</v>
      </c>
      <c r="D1330" s="10">
        <v>0.27779022594561598</v>
      </c>
      <c r="E1330" s="10">
        <v>-6.3469629302304504</v>
      </c>
      <c r="F1330" s="4">
        <v>2.1960701984064799E-10</v>
      </c>
      <c r="G1330" s="4">
        <v>4.8714414321794504E-9</v>
      </c>
      <c r="H1330" s="10" t="s">
        <v>3832</v>
      </c>
      <c r="I1330" s="10" t="s">
        <v>18</v>
      </c>
    </row>
    <row r="1331" spans="1:9" x14ac:dyDescent="0.2">
      <c r="A1331" s="10" t="s">
        <v>10243</v>
      </c>
      <c r="B1331" s="10">
        <v>638.19244026649199</v>
      </c>
      <c r="C1331" s="10">
        <v>-1.07449552746823</v>
      </c>
      <c r="D1331" s="10">
        <v>0.28436918889943202</v>
      </c>
      <c r="E1331" s="10">
        <v>-3.7785230236325802</v>
      </c>
      <c r="F1331" s="10">
        <v>1.5776126866936399E-4</v>
      </c>
      <c r="G1331" s="10">
        <v>1.2132328686572499E-3</v>
      </c>
      <c r="H1331" s="10" t="s">
        <v>10244</v>
      </c>
      <c r="I1331" s="10" t="s">
        <v>18</v>
      </c>
    </row>
    <row r="1332" spans="1:9" x14ac:dyDescent="0.2">
      <c r="A1332" s="10" t="s">
        <v>3839</v>
      </c>
      <c r="B1332" s="10">
        <v>456.898045213724</v>
      </c>
      <c r="C1332" s="10">
        <v>-2.0560984106022899</v>
      </c>
      <c r="D1332" s="10">
        <v>0.28985742116073498</v>
      </c>
      <c r="E1332" s="10">
        <v>-7.0934820380607704</v>
      </c>
      <c r="F1332" s="4">
        <v>1.3077893633277001E-12</v>
      </c>
      <c r="G1332" s="4">
        <v>3.7256445565694499E-11</v>
      </c>
      <c r="H1332" s="10" t="s">
        <v>3840</v>
      </c>
      <c r="I1332" s="10" t="s">
        <v>18</v>
      </c>
    </row>
    <row r="1333" spans="1:9" x14ac:dyDescent="0.2">
      <c r="A1333" s="10" t="s">
        <v>10245</v>
      </c>
      <c r="B1333" s="10">
        <v>28.945463753470701</v>
      </c>
      <c r="C1333" s="10">
        <v>-2.12641548835464</v>
      </c>
      <c r="D1333" s="10">
        <v>0.67894477933062802</v>
      </c>
      <c r="E1333" s="10">
        <v>-3.1319417323616099</v>
      </c>
      <c r="F1333" s="10">
        <v>1.73654335478546E-3</v>
      </c>
      <c r="G1333" s="10">
        <v>9.7354018474767896E-3</v>
      </c>
      <c r="H1333" s="10" t="s">
        <v>10246</v>
      </c>
      <c r="I1333" s="10" t="s">
        <v>18</v>
      </c>
    </row>
    <row r="1334" spans="1:9" x14ac:dyDescent="0.2">
      <c r="A1334" s="10" t="s">
        <v>10247</v>
      </c>
      <c r="B1334" s="10">
        <v>236.45083265160901</v>
      </c>
      <c r="C1334" s="10">
        <v>-1.29721027576071</v>
      </c>
      <c r="D1334" s="10">
        <v>0.36057645144161199</v>
      </c>
      <c r="E1334" s="10">
        <v>-3.5976012037790102</v>
      </c>
      <c r="F1334" s="10">
        <v>3.2116554579630799E-4</v>
      </c>
      <c r="G1334" s="10">
        <v>2.2783190368037601E-3</v>
      </c>
      <c r="H1334" s="10" t="s">
        <v>10248</v>
      </c>
      <c r="I1334" s="10" t="s">
        <v>18</v>
      </c>
    </row>
    <row r="1335" spans="1:9" x14ac:dyDescent="0.2">
      <c r="A1335" s="10" t="s">
        <v>3847</v>
      </c>
      <c r="B1335" s="10">
        <v>327.46854128105599</v>
      </c>
      <c r="C1335" s="10">
        <v>3.6274019034918599</v>
      </c>
      <c r="D1335" s="10">
        <v>0.31969684439748702</v>
      </c>
      <c r="E1335" s="10">
        <v>11.346380069306599</v>
      </c>
      <c r="F1335" s="4">
        <v>7.7297005796045901E-30</v>
      </c>
      <c r="G1335" s="4">
        <v>7.9040901658517603E-28</v>
      </c>
      <c r="H1335" s="10" t="s">
        <v>3848</v>
      </c>
      <c r="I1335" s="10" t="s">
        <v>18</v>
      </c>
    </row>
    <row r="1336" spans="1:9" x14ac:dyDescent="0.2">
      <c r="A1336" s="10" t="s">
        <v>3849</v>
      </c>
      <c r="B1336" s="10">
        <v>1000.38002978936</v>
      </c>
      <c r="C1336" s="10">
        <v>-1.42790499575126</v>
      </c>
      <c r="D1336" s="10">
        <v>0.31953138041865697</v>
      </c>
      <c r="E1336" s="10">
        <v>-4.4687473070106201</v>
      </c>
      <c r="F1336" s="4">
        <v>7.8679010733710297E-6</v>
      </c>
      <c r="G1336" s="4">
        <v>8.2914558651298005E-5</v>
      </c>
      <c r="H1336" s="10" t="s">
        <v>3850</v>
      </c>
      <c r="I1336" s="10" t="s">
        <v>18</v>
      </c>
    </row>
    <row r="1337" spans="1:9" x14ac:dyDescent="0.2">
      <c r="A1337" s="10" t="s">
        <v>3857</v>
      </c>
      <c r="B1337" s="10">
        <v>469.65546251307302</v>
      </c>
      <c r="C1337" s="10">
        <v>-1.1180121739939299</v>
      </c>
      <c r="D1337" s="10">
        <v>0.28169616229604999</v>
      </c>
      <c r="E1337" s="10">
        <v>-3.9688583787625298</v>
      </c>
      <c r="F1337" s="4">
        <v>7.2217783961866605E-5</v>
      </c>
      <c r="G1337" s="10">
        <v>6.0899710209881195E-4</v>
      </c>
      <c r="H1337" s="10" t="s">
        <v>3858</v>
      </c>
      <c r="I1337" s="10" t="s">
        <v>18</v>
      </c>
    </row>
    <row r="1338" spans="1:9" x14ac:dyDescent="0.2">
      <c r="A1338" s="10" t="s">
        <v>3859</v>
      </c>
      <c r="B1338" s="10">
        <v>8.4236065712476993</v>
      </c>
      <c r="C1338" s="10">
        <v>6.59052873087394</v>
      </c>
      <c r="D1338" s="10">
        <v>1.81680412208613</v>
      </c>
      <c r="E1338" s="10">
        <v>3.6275395078399599</v>
      </c>
      <c r="F1338" s="10">
        <v>2.8613500227617E-4</v>
      </c>
      <c r="G1338" s="10">
        <v>2.0547319389828899E-3</v>
      </c>
      <c r="H1338" s="10" t="s">
        <v>3860</v>
      </c>
      <c r="I1338" s="10" t="s">
        <v>18</v>
      </c>
    </row>
    <row r="1339" spans="1:9" x14ac:dyDescent="0.2">
      <c r="A1339" s="10" t="s">
        <v>10249</v>
      </c>
      <c r="B1339" s="10">
        <v>3647.2198940467301</v>
      </c>
      <c r="C1339" s="10">
        <v>-1.21016605750805</v>
      </c>
      <c r="D1339" s="10">
        <v>0.26845949451365803</v>
      </c>
      <c r="E1339" s="10">
        <v>-4.5078161966310502</v>
      </c>
      <c r="F1339" s="4">
        <v>6.5498277524164897E-6</v>
      </c>
      <c r="G1339" s="4">
        <v>7.0140875739479295E-5</v>
      </c>
      <c r="H1339" s="10" t="s">
        <v>10250</v>
      </c>
      <c r="I1339" s="10" t="s">
        <v>18</v>
      </c>
    </row>
    <row r="1340" spans="1:9" x14ac:dyDescent="0.2">
      <c r="A1340" s="10" t="s">
        <v>3861</v>
      </c>
      <c r="B1340" s="10">
        <v>610.96511558920099</v>
      </c>
      <c r="C1340" s="10">
        <v>5.5989580742953304</v>
      </c>
      <c r="D1340" s="10">
        <v>0.34374950843847901</v>
      </c>
      <c r="E1340" s="10">
        <v>16.2879013259662</v>
      </c>
      <c r="F1340" s="4">
        <v>1.2028662474760601E-59</v>
      </c>
      <c r="G1340" s="4">
        <v>4.2025139521194897E-57</v>
      </c>
      <c r="H1340" s="10" t="s">
        <v>3862</v>
      </c>
      <c r="I1340" s="10" t="s">
        <v>18</v>
      </c>
    </row>
    <row r="1341" spans="1:9" x14ac:dyDescent="0.2">
      <c r="A1341" s="10" t="s">
        <v>10251</v>
      </c>
      <c r="B1341" s="10">
        <v>58.192220037765203</v>
      </c>
      <c r="C1341" s="10">
        <v>-5.2036410992621001</v>
      </c>
      <c r="D1341" s="10">
        <v>0.759329159079284</v>
      </c>
      <c r="E1341" s="10">
        <v>-6.8529451780460002</v>
      </c>
      <c r="F1341" s="4">
        <v>7.2344816608391197E-12</v>
      </c>
      <c r="G1341" s="4">
        <v>1.8897547889762E-10</v>
      </c>
      <c r="H1341" s="10" t="s">
        <v>10252</v>
      </c>
      <c r="I1341" s="10" t="s">
        <v>18</v>
      </c>
    </row>
    <row r="1342" spans="1:9" x14ac:dyDescent="0.2">
      <c r="A1342" s="10" t="s">
        <v>3867</v>
      </c>
      <c r="B1342" s="10">
        <v>201.12849311746299</v>
      </c>
      <c r="C1342" s="10">
        <v>-2.24792249075186</v>
      </c>
      <c r="D1342" s="10">
        <v>0.367015404561993</v>
      </c>
      <c r="E1342" s="10">
        <v>-6.1248723154675204</v>
      </c>
      <c r="F1342" s="4">
        <v>9.0756356655669299E-10</v>
      </c>
      <c r="G1342" s="4">
        <v>1.8621338920663599E-8</v>
      </c>
      <c r="H1342" s="10" t="s">
        <v>3868</v>
      </c>
      <c r="I1342" s="10" t="s">
        <v>18</v>
      </c>
    </row>
    <row r="1343" spans="1:9" x14ac:dyDescent="0.2">
      <c r="A1343" s="10" t="s">
        <v>3869</v>
      </c>
      <c r="B1343" s="10">
        <v>7871.03321455679</v>
      </c>
      <c r="C1343" s="10">
        <v>-1.20006225134065</v>
      </c>
      <c r="D1343" s="10">
        <v>0.24268710489195899</v>
      </c>
      <c r="E1343" s="10">
        <v>-4.9448949991591098</v>
      </c>
      <c r="F1343" s="4">
        <v>7.6184916863452901E-7</v>
      </c>
      <c r="G1343" s="4">
        <v>9.7777121617355007E-6</v>
      </c>
      <c r="H1343" s="10" t="s">
        <v>3870</v>
      </c>
      <c r="I1343" s="10" t="s">
        <v>18</v>
      </c>
    </row>
    <row r="1344" spans="1:9" x14ac:dyDescent="0.2">
      <c r="A1344" s="10" t="s">
        <v>3875</v>
      </c>
      <c r="B1344" s="10">
        <v>144.12867068322601</v>
      </c>
      <c r="C1344" s="10">
        <v>1.8486477281285301</v>
      </c>
      <c r="D1344" s="10">
        <v>0.37548051635851998</v>
      </c>
      <c r="E1344" s="10">
        <v>4.9234185199729099</v>
      </c>
      <c r="F1344" s="4">
        <v>8.5045296490492596E-7</v>
      </c>
      <c r="G1344" s="4">
        <v>1.07719759980783E-5</v>
      </c>
      <c r="H1344" s="10" t="s">
        <v>3876</v>
      </c>
      <c r="I1344" s="10" t="s">
        <v>18</v>
      </c>
    </row>
    <row r="1345" spans="1:9" x14ac:dyDescent="0.2">
      <c r="A1345" s="10" t="s">
        <v>3879</v>
      </c>
      <c r="B1345" s="10">
        <v>1569.53376262495</v>
      </c>
      <c r="C1345" s="10">
        <v>2.69806536606619</v>
      </c>
      <c r="D1345" s="10">
        <v>0.265889136995412</v>
      </c>
      <c r="E1345" s="10">
        <v>10.147332066871</v>
      </c>
      <c r="F1345" s="4">
        <v>3.4054582668256103E-24</v>
      </c>
      <c r="G1345" s="4">
        <v>2.49024135761623E-22</v>
      </c>
      <c r="H1345" s="10" t="s">
        <v>3880</v>
      </c>
      <c r="I1345" s="10" t="s">
        <v>18</v>
      </c>
    </row>
    <row r="1346" spans="1:9" x14ac:dyDescent="0.2">
      <c r="A1346" s="10" t="s">
        <v>3881</v>
      </c>
      <c r="B1346" s="10">
        <v>1545.4388795908401</v>
      </c>
      <c r="C1346" s="10">
        <v>1.3613171231240799</v>
      </c>
      <c r="D1346" s="10">
        <v>0.28732562633818698</v>
      </c>
      <c r="E1346" s="10">
        <v>4.7378896914742503</v>
      </c>
      <c r="F1346" s="4">
        <v>2.1595530267189701E-6</v>
      </c>
      <c r="G1346" s="4">
        <v>2.5313865977220701E-5</v>
      </c>
      <c r="H1346" s="10" t="s">
        <v>3882</v>
      </c>
      <c r="I1346" s="10" t="s">
        <v>18</v>
      </c>
    </row>
    <row r="1347" spans="1:9" x14ac:dyDescent="0.2">
      <c r="A1347" s="10" t="s">
        <v>3883</v>
      </c>
      <c r="B1347" s="10">
        <v>312.56349706749802</v>
      </c>
      <c r="C1347" s="10">
        <v>-1.97020888690178</v>
      </c>
      <c r="D1347" s="10">
        <v>0.31539213370438302</v>
      </c>
      <c r="E1347" s="10">
        <v>-6.24685487161977</v>
      </c>
      <c r="F1347" s="4">
        <v>4.1879985173967699E-10</v>
      </c>
      <c r="G1347" s="4">
        <v>8.9811681760542001E-9</v>
      </c>
      <c r="H1347" s="10" t="s">
        <v>3884</v>
      </c>
      <c r="I1347" s="10" t="s">
        <v>18</v>
      </c>
    </row>
    <row r="1348" spans="1:9" x14ac:dyDescent="0.2">
      <c r="A1348" s="10" t="s">
        <v>3887</v>
      </c>
      <c r="B1348" s="10">
        <v>515.333371731856</v>
      </c>
      <c r="C1348" s="10">
        <v>2.52450610080556</v>
      </c>
      <c r="D1348" s="10">
        <v>0.29950600830426499</v>
      </c>
      <c r="E1348" s="10">
        <v>8.4288996908567704</v>
      </c>
      <c r="F1348" s="4">
        <v>3.4893052167418502E-17</v>
      </c>
      <c r="G1348" s="4">
        <v>1.55076806938412E-15</v>
      </c>
      <c r="H1348" s="10" t="s">
        <v>3888</v>
      </c>
      <c r="I1348" s="10" t="s">
        <v>18</v>
      </c>
    </row>
    <row r="1349" spans="1:9" x14ac:dyDescent="0.2">
      <c r="A1349" s="10" t="s">
        <v>10253</v>
      </c>
      <c r="B1349" s="10">
        <v>2555.3864461696999</v>
      </c>
      <c r="C1349" s="10">
        <v>-1.50155330137776</v>
      </c>
      <c r="D1349" s="10">
        <v>0.27981535401700802</v>
      </c>
      <c r="E1349" s="10">
        <v>-5.3662291215316502</v>
      </c>
      <c r="F1349" s="4">
        <v>8.0399797650759899E-8</v>
      </c>
      <c r="G1349" s="4">
        <v>1.2205533554042599E-6</v>
      </c>
      <c r="H1349" s="10" t="s">
        <v>10254</v>
      </c>
      <c r="I1349" s="10" t="s">
        <v>18</v>
      </c>
    </row>
    <row r="1350" spans="1:9" x14ac:dyDescent="0.2">
      <c r="A1350" s="10" t="s">
        <v>10255</v>
      </c>
      <c r="B1350" s="10">
        <v>75.827034293783399</v>
      </c>
      <c r="C1350" s="10">
        <v>-1.46157552675372</v>
      </c>
      <c r="D1350" s="10">
        <v>0.46537992616832802</v>
      </c>
      <c r="E1350" s="10">
        <v>-3.1406071567965901</v>
      </c>
      <c r="F1350" s="10">
        <v>1.6859801678279899E-3</v>
      </c>
      <c r="G1350" s="10">
        <v>9.5091549600253705E-3</v>
      </c>
      <c r="H1350" s="10" t="s">
        <v>10256</v>
      </c>
      <c r="I1350" s="10" t="s">
        <v>18</v>
      </c>
    </row>
    <row r="1351" spans="1:9" x14ac:dyDescent="0.2">
      <c r="A1351" s="10" t="s">
        <v>3891</v>
      </c>
      <c r="B1351" s="10">
        <v>88.755073925669194</v>
      </c>
      <c r="C1351" s="10">
        <v>-1.6081211584644399</v>
      </c>
      <c r="D1351" s="10">
        <v>0.43734411174225701</v>
      </c>
      <c r="E1351" s="10">
        <v>-3.6770156846473601</v>
      </c>
      <c r="F1351" s="10">
        <v>2.35978536111107E-4</v>
      </c>
      <c r="G1351" s="10">
        <v>1.7306239288265E-3</v>
      </c>
      <c r="H1351" s="10" t="s">
        <v>3892</v>
      </c>
      <c r="I1351" s="10" t="s">
        <v>18</v>
      </c>
    </row>
    <row r="1352" spans="1:9" x14ac:dyDescent="0.2">
      <c r="A1352" s="10" t="s">
        <v>3895</v>
      </c>
      <c r="B1352" s="10">
        <v>24.5129782819265</v>
      </c>
      <c r="C1352" s="10">
        <v>3.2688275864823901</v>
      </c>
      <c r="D1352" s="10">
        <v>0.84554398126620101</v>
      </c>
      <c r="E1352" s="10">
        <v>3.8659462534253</v>
      </c>
      <c r="F1352" s="10">
        <v>1.1065930780133801E-4</v>
      </c>
      <c r="G1352" s="10">
        <v>8.8905617621931198E-4</v>
      </c>
      <c r="H1352" s="10" t="s">
        <v>3896</v>
      </c>
      <c r="I1352" s="10" t="s">
        <v>18</v>
      </c>
    </row>
    <row r="1353" spans="1:9" x14ac:dyDescent="0.2">
      <c r="A1353" s="10" t="s">
        <v>10257</v>
      </c>
      <c r="B1353" s="10">
        <v>19.186609079370701</v>
      </c>
      <c r="C1353" s="10">
        <v>2.4054641087955799</v>
      </c>
      <c r="D1353" s="10">
        <v>0.82372502097237899</v>
      </c>
      <c r="E1353" s="10">
        <v>2.9202270752392701</v>
      </c>
      <c r="F1353" s="10">
        <v>3.49776420111708E-3</v>
      </c>
      <c r="G1353" s="10">
        <v>1.7604293413185299E-2</v>
      </c>
      <c r="H1353" s="10" t="s">
        <v>10258</v>
      </c>
      <c r="I1353" s="10" t="s">
        <v>18</v>
      </c>
    </row>
    <row r="1354" spans="1:9" x14ac:dyDescent="0.2">
      <c r="A1354" s="10" t="s">
        <v>3899</v>
      </c>
      <c r="B1354" s="10">
        <v>469.67845819279898</v>
      </c>
      <c r="C1354" s="10">
        <v>-1.8599695351808101</v>
      </c>
      <c r="D1354" s="10">
        <v>0.28757650037347299</v>
      </c>
      <c r="E1354" s="10">
        <v>-6.4677382636108396</v>
      </c>
      <c r="F1354" s="4">
        <v>9.9480610392207305E-11</v>
      </c>
      <c r="G1354" s="4">
        <v>2.28532854284564E-9</v>
      </c>
      <c r="H1354" s="10" t="s">
        <v>3900</v>
      </c>
      <c r="I1354" s="10" t="s">
        <v>18</v>
      </c>
    </row>
    <row r="1355" spans="1:9" x14ac:dyDescent="0.2">
      <c r="A1355" s="10" t="s">
        <v>10259</v>
      </c>
      <c r="B1355" s="10">
        <v>3252.4726008320599</v>
      </c>
      <c r="C1355" s="10">
        <v>1.5272143425723499</v>
      </c>
      <c r="D1355" s="10">
        <v>0.25669509497357701</v>
      </c>
      <c r="E1355" s="10">
        <v>5.9495267828532397</v>
      </c>
      <c r="F1355" s="4">
        <v>2.6891883759413599E-9</v>
      </c>
      <c r="G1355" s="4">
        <v>5.12862271393517E-8</v>
      </c>
      <c r="H1355" s="10" t="s">
        <v>10260</v>
      </c>
      <c r="I1355" s="10" t="s">
        <v>18</v>
      </c>
    </row>
    <row r="1356" spans="1:9" x14ac:dyDescent="0.2">
      <c r="A1356" s="10" t="s">
        <v>3903</v>
      </c>
      <c r="B1356" s="10">
        <v>127.479603696967</v>
      </c>
      <c r="C1356" s="10">
        <v>2.2354121216834599</v>
      </c>
      <c r="D1356" s="10">
        <v>0.38471677626895001</v>
      </c>
      <c r="E1356" s="10">
        <v>5.8105397517697801</v>
      </c>
      <c r="F1356" s="4">
        <v>6.2271743739058103E-9</v>
      </c>
      <c r="G1356" s="4">
        <v>1.13675305787809E-7</v>
      </c>
      <c r="H1356" s="10" t="s">
        <v>3904</v>
      </c>
      <c r="I1356" s="10" t="s">
        <v>18</v>
      </c>
    </row>
    <row r="1357" spans="1:9" x14ac:dyDescent="0.2">
      <c r="A1357" s="10" t="s">
        <v>3915</v>
      </c>
      <c r="B1357" s="10">
        <v>348.586223186128</v>
      </c>
      <c r="C1357" s="10">
        <v>-1.87140882567962</v>
      </c>
      <c r="D1357" s="10">
        <v>0.29185824524189002</v>
      </c>
      <c r="E1357" s="10">
        <v>-6.4120471365426397</v>
      </c>
      <c r="F1357" s="4">
        <v>1.4357842565908901E-10</v>
      </c>
      <c r="G1357" s="4">
        <v>3.23920654480213E-9</v>
      </c>
      <c r="H1357" s="10" t="s">
        <v>3916</v>
      </c>
      <c r="I1357" s="10" t="s">
        <v>18</v>
      </c>
    </row>
    <row r="1358" spans="1:9" x14ac:dyDescent="0.2">
      <c r="A1358" s="10" t="s">
        <v>10261</v>
      </c>
      <c r="B1358" s="10">
        <v>77.093859117471595</v>
      </c>
      <c r="C1358" s="10">
        <v>1.19711115304808</v>
      </c>
      <c r="D1358" s="10">
        <v>0.46629670145345398</v>
      </c>
      <c r="E1358" s="10">
        <v>2.56727347484266</v>
      </c>
      <c r="F1358" s="10">
        <v>1.02501737166298E-2</v>
      </c>
      <c r="G1358" s="10">
        <v>4.3139220318190001E-2</v>
      </c>
      <c r="H1358" s="10" t="s">
        <v>10262</v>
      </c>
      <c r="I1358" s="10" t="s">
        <v>18</v>
      </c>
    </row>
    <row r="1359" spans="1:9" x14ac:dyDescent="0.2">
      <c r="A1359" s="10" t="s">
        <v>3923</v>
      </c>
      <c r="B1359" s="10">
        <v>1030.4795389161</v>
      </c>
      <c r="C1359" s="10">
        <v>-2.75349852541266</v>
      </c>
      <c r="D1359" s="10">
        <v>0.266690146929005</v>
      </c>
      <c r="E1359" s="10">
        <v>-10.324710369392299</v>
      </c>
      <c r="F1359" s="4">
        <v>5.4482983796562296E-25</v>
      </c>
      <c r="G1359" s="4">
        <v>4.2299983253164298E-23</v>
      </c>
      <c r="H1359" s="10" t="s">
        <v>3924</v>
      </c>
      <c r="I1359" s="10" t="s">
        <v>18</v>
      </c>
    </row>
    <row r="1360" spans="1:9" x14ac:dyDescent="0.2">
      <c r="A1360" s="10" t="s">
        <v>10263</v>
      </c>
      <c r="B1360" s="10">
        <v>44.9323578972405</v>
      </c>
      <c r="C1360" s="10">
        <v>-1.93410235244149</v>
      </c>
      <c r="D1360" s="10">
        <v>0.55160702717614896</v>
      </c>
      <c r="E1360" s="10">
        <v>-3.5063047734231501</v>
      </c>
      <c r="F1360" s="10">
        <v>4.54374620792128E-4</v>
      </c>
      <c r="G1360" s="10">
        <v>3.07718686351396E-3</v>
      </c>
      <c r="H1360" s="10" t="s">
        <v>10264</v>
      </c>
      <c r="I1360" s="10" t="s">
        <v>18</v>
      </c>
    </row>
    <row r="1361" spans="1:9" x14ac:dyDescent="0.2">
      <c r="A1361" s="10" t="s">
        <v>10265</v>
      </c>
      <c r="B1361" s="10">
        <v>1756.56210025929</v>
      </c>
      <c r="C1361" s="10">
        <v>-1.7693308691318701</v>
      </c>
      <c r="D1361" s="10">
        <v>0.24473332393071801</v>
      </c>
      <c r="E1361" s="10">
        <v>-7.2296279097355498</v>
      </c>
      <c r="F1361" s="4">
        <v>4.8431916000130701E-13</v>
      </c>
      <c r="G1361" s="4">
        <v>1.45036291307534E-11</v>
      </c>
      <c r="H1361" s="10" t="s">
        <v>10266</v>
      </c>
      <c r="I1361" s="10" t="s">
        <v>18</v>
      </c>
    </row>
    <row r="1362" spans="1:9" x14ac:dyDescent="0.2">
      <c r="A1362" s="10" t="s">
        <v>10267</v>
      </c>
      <c r="B1362" s="10">
        <v>84.399857624014302</v>
      </c>
      <c r="C1362" s="10">
        <v>-1.6146556149601901</v>
      </c>
      <c r="D1362" s="10">
        <v>0.45396888849150902</v>
      </c>
      <c r="E1362" s="10">
        <v>-3.5567539007475202</v>
      </c>
      <c r="F1362" s="10">
        <v>3.7546558673731602E-4</v>
      </c>
      <c r="G1362" s="10">
        <v>2.6059774020197502E-3</v>
      </c>
      <c r="H1362" s="10" t="s">
        <v>10268</v>
      </c>
      <c r="I1362" s="10" t="s">
        <v>18</v>
      </c>
    </row>
    <row r="1363" spans="1:9" x14ac:dyDescent="0.2">
      <c r="A1363" s="10" t="s">
        <v>3927</v>
      </c>
      <c r="B1363" s="10">
        <v>476.36141911464802</v>
      </c>
      <c r="C1363" s="10">
        <v>-1.31626616005286</v>
      </c>
      <c r="D1363" s="10">
        <v>0.27783422228712101</v>
      </c>
      <c r="E1363" s="10">
        <v>-4.7375954956787103</v>
      </c>
      <c r="F1363" s="4">
        <v>2.1626895253092501E-6</v>
      </c>
      <c r="G1363" s="4">
        <v>2.5338823944645598E-5</v>
      </c>
      <c r="H1363" s="10" t="s">
        <v>3928</v>
      </c>
      <c r="I1363" s="10" t="s">
        <v>18</v>
      </c>
    </row>
    <row r="1364" spans="1:9" x14ac:dyDescent="0.2">
      <c r="A1364" s="10" t="s">
        <v>3935</v>
      </c>
      <c r="B1364" s="10">
        <v>730.82770770289801</v>
      </c>
      <c r="C1364" s="10">
        <v>-1.85107262270396</v>
      </c>
      <c r="D1364" s="10">
        <v>0.27268691178402199</v>
      </c>
      <c r="E1364" s="10">
        <v>-6.7882708803056904</v>
      </c>
      <c r="F1364" s="4">
        <v>1.1348542675610499E-11</v>
      </c>
      <c r="G1364" s="4">
        <v>2.8981988934516098E-10</v>
      </c>
      <c r="H1364" s="10" t="s">
        <v>3936</v>
      </c>
      <c r="I1364" s="10" t="s">
        <v>18</v>
      </c>
    </row>
    <row r="1365" spans="1:9" x14ac:dyDescent="0.2">
      <c r="A1365" s="10" t="s">
        <v>10269</v>
      </c>
      <c r="B1365" s="10">
        <v>14.3872136397924</v>
      </c>
      <c r="C1365" s="10">
        <v>-3.3446620893557499</v>
      </c>
      <c r="D1365" s="10">
        <v>1.0397482306758501</v>
      </c>
      <c r="E1365" s="10">
        <v>-3.21679998164718</v>
      </c>
      <c r="F1365" s="10">
        <v>1.29628937379121E-3</v>
      </c>
      <c r="G1365" s="10">
        <v>7.6169491235033504E-3</v>
      </c>
      <c r="H1365" s="10" t="s">
        <v>10270</v>
      </c>
      <c r="I1365" s="10" t="s">
        <v>18</v>
      </c>
    </row>
    <row r="1366" spans="1:9" x14ac:dyDescent="0.2">
      <c r="A1366" s="10" t="s">
        <v>10271</v>
      </c>
      <c r="B1366" s="10">
        <v>268.29717196373099</v>
      </c>
      <c r="C1366" s="10">
        <v>-1.10022933406923</v>
      </c>
      <c r="D1366" s="10">
        <v>0.321057338563771</v>
      </c>
      <c r="E1366" s="10">
        <v>-3.4268935853982798</v>
      </c>
      <c r="F1366" s="10">
        <v>6.1052827584801201E-4</v>
      </c>
      <c r="G1366" s="10">
        <v>3.9900854193184601E-3</v>
      </c>
      <c r="H1366" s="10" t="s">
        <v>10272</v>
      </c>
      <c r="I1366" s="10" t="s">
        <v>18</v>
      </c>
    </row>
    <row r="1367" spans="1:9" x14ac:dyDescent="0.2">
      <c r="A1367" s="10" t="s">
        <v>3943</v>
      </c>
      <c r="B1367" s="10">
        <v>361.05315860252801</v>
      </c>
      <c r="C1367" s="10">
        <v>-3.09548404800036</v>
      </c>
      <c r="D1367" s="10">
        <v>0.31272227738080299</v>
      </c>
      <c r="E1367" s="10">
        <v>-9.8985082672283795</v>
      </c>
      <c r="F1367" s="4">
        <v>4.22530236054814E-23</v>
      </c>
      <c r="G1367" s="4">
        <v>2.7970389705154899E-21</v>
      </c>
      <c r="H1367" s="10" t="s">
        <v>3944</v>
      </c>
      <c r="I1367" s="10" t="s">
        <v>18</v>
      </c>
    </row>
    <row r="1368" spans="1:9" x14ac:dyDescent="0.2">
      <c r="A1368" s="10" t="s">
        <v>3945</v>
      </c>
      <c r="B1368" s="10">
        <v>9632.2192978557705</v>
      </c>
      <c r="C1368" s="10">
        <v>2.92061497743462</v>
      </c>
      <c r="D1368" s="10">
        <v>0.24941435576680901</v>
      </c>
      <c r="E1368" s="10">
        <v>11.709891230821</v>
      </c>
      <c r="F1368" s="4">
        <v>1.13425033561409E-31</v>
      </c>
      <c r="G1368" s="4">
        <v>1.25691925957588E-29</v>
      </c>
      <c r="H1368" s="10" t="s">
        <v>3946</v>
      </c>
      <c r="I1368" s="10" t="s">
        <v>18</v>
      </c>
    </row>
    <row r="1369" spans="1:9" x14ac:dyDescent="0.2">
      <c r="A1369" s="10" t="s">
        <v>3949</v>
      </c>
      <c r="B1369" s="10">
        <v>1992.3672643587399</v>
      </c>
      <c r="C1369" s="10">
        <v>-1.7593852283159801</v>
      </c>
      <c r="D1369" s="10">
        <v>0.24866386871263699</v>
      </c>
      <c r="E1369" s="10">
        <v>-7.0753553277544299</v>
      </c>
      <c r="F1369" s="4">
        <v>1.4906630386076201E-12</v>
      </c>
      <c r="G1369" s="4">
        <v>4.2084880736447602E-11</v>
      </c>
      <c r="H1369" s="10" t="s">
        <v>3950</v>
      </c>
      <c r="I1369" s="10" t="s">
        <v>18</v>
      </c>
    </row>
    <row r="1370" spans="1:9" x14ac:dyDescent="0.2">
      <c r="A1370" s="10" t="s">
        <v>10273</v>
      </c>
      <c r="B1370" s="10">
        <v>761.266608204627</v>
      </c>
      <c r="C1370" s="10">
        <v>1.2178287739795499</v>
      </c>
      <c r="D1370" s="10">
        <v>0.26162769249108297</v>
      </c>
      <c r="E1370" s="10">
        <v>4.6548160188396404</v>
      </c>
      <c r="F1370" s="4">
        <v>3.2427012830146901E-6</v>
      </c>
      <c r="G1370" s="4">
        <v>3.6842886528561198E-5</v>
      </c>
      <c r="H1370" s="10" t="s">
        <v>10274</v>
      </c>
      <c r="I1370" s="10" t="s">
        <v>18</v>
      </c>
    </row>
    <row r="1371" spans="1:9" x14ac:dyDescent="0.2">
      <c r="A1371" s="10" t="s">
        <v>3957</v>
      </c>
      <c r="B1371" s="10">
        <v>254.50750763845599</v>
      </c>
      <c r="C1371" s="10">
        <v>-2.17544138831573</v>
      </c>
      <c r="D1371" s="10">
        <v>0.33283441531760199</v>
      </c>
      <c r="E1371" s="10">
        <v>-6.5361071097165597</v>
      </c>
      <c r="F1371" s="4">
        <v>6.3140704621385205E-11</v>
      </c>
      <c r="G1371" s="4">
        <v>1.4830106673678299E-9</v>
      </c>
      <c r="H1371" s="10" t="s">
        <v>3958</v>
      </c>
      <c r="I1371" s="10" t="s">
        <v>18</v>
      </c>
    </row>
    <row r="1372" spans="1:9" x14ac:dyDescent="0.2">
      <c r="A1372" s="10" t="s">
        <v>3961</v>
      </c>
      <c r="B1372" s="10">
        <v>9263.6923646322703</v>
      </c>
      <c r="C1372" s="10">
        <v>4.2484201471087903</v>
      </c>
      <c r="D1372" s="10">
        <v>0.24352708313268301</v>
      </c>
      <c r="E1372" s="10">
        <v>17.445370315522901</v>
      </c>
      <c r="F1372" s="4">
        <v>3.7329123541005198E-68</v>
      </c>
      <c r="G1372" s="4">
        <v>1.80579635129613E-65</v>
      </c>
      <c r="H1372" s="10" t="s">
        <v>3962</v>
      </c>
      <c r="I1372" s="10" t="s">
        <v>18</v>
      </c>
    </row>
    <row r="1373" spans="1:9" x14ac:dyDescent="0.2">
      <c r="A1373" s="10" t="s">
        <v>3971</v>
      </c>
      <c r="B1373" s="10">
        <v>70.072585322828999</v>
      </c>
      <c r="C1373" s="10">
        <v>2.4515353316906801</v>
      </c>
      <c r="D1373" s="10">
        <v>0.50378906730358597</v>
      </c>
      <c r="E1373" s="10">
        <v>4.8661939902982603</v>
      </c>
      <c r="F1373" s="4">
        <v>1.13767853272846E-6</v>
      </c>
      <c r="G1373" s="4">
        <v>1.40423471495508E-5</v>
      </c>
      <c r="H1373" s="10" t="s">
        <v>3972</v>
      </c>
      <c r="I1373" s="10" t="s">
        <v>18</v>
      </c>
    </row>
    <row r="1374" spans="1:9" x14ac:dyDescent="0.2">
      <c r="A1374" s="10" t="s">
        <v>10275</v>
      </c>
      <c r="B1374" s="10">
        <v>13.3703216013483</v>
      </c>
      <c r="C1374" s="10">
        <v>-2.6570935046522601</v>
      </c>
      <c r="D1374" s="10">
        <v>1.0069141382098501</v>
      </c>
      <c r="E1374" s="10">
        <v>-2.6388481438707401</v>
      </c>
      <c r="F1374" s="10">
        <v>8.3188235195997603E-3</v>
      </c>
      <c r="G1374" s="10">
        <v>3.62166849490363E-2</v>
      </c>
      <c r="H1374" s="10" t="s">
        <v>10276</v>
      </c>
      <c r="I1374" s="10" t="s">
        <v>18</v>
      </c>
    </row>
    <row r="1375" spans="1:9" x14ac:dyDescent="0.2">
      <c r="A1375" s="10" t="s">
        <v>3981</v>
      </c>
      <c r="B1375" s="10">
        <v>228.802648099891</v>
      </c>
      <c r="C1375" s="10">
        <v>3.6777889093193301</v>
      </c>
      <c r="D1375" s="10">
        <v>0.39229964460399902</v>
      </c>
      <c r="E1375" s="10">
        <v>9.3749483587521993</v>
      </c>
      <c r="F1375" s="4">
        <v>6.9209641304562905E-21</v>
      </c>
      <c r="G1375" s="4">
        <v>3.9657597426338898E-19</v>
      </c>
      <c r="H1375" s="10" t="s">
        <v>3982</v>
      </c>
      <c r="I1375" s="10" t="s">
        <v>18</v>
      </c>
    </row>
    <row r="1376" spans="1:9" x14ac:dyDescent="0.2">
      <c r="A1376" s="10" t="s">
        <v>10277</v>
      </c>
      <c r="B1376" s="10">
        <v>166.019408634314</v>
      </c>
      <c r="C1376" s="10">
        <v>-1.65965052495743</v>
      </c>
      <c r="D1376" s="10">
        <v>0.36342626414287399</v>
      </c>
      <c r="E1376" s="10">
        <v>-4.5666774493352698</v>
      </c>
      <c r="F1376" s="4">
        <v>4.9551558436423902E-6</v>
      </c>
      <c r="G1376" s="4">
        <v>5.4288739219000098E-5</v>
      </c>
      <c r="H1376" s="10" t="s">
        <v>10278</v>
      </c>
      <c r="I1376" s="10" t="s">
        <v>18</v>
      </c>
    </row>
    <row r="1377" spans="1:9" x14ac:dyDescent="0.2">
      <c r="A1377" s="10" t="s">
        <v>10279</v>
      </c>
      <c r="B1377" s="10">
        <v>930.69689818895995</v>
      </c>
      <c r="C1377" s="10">
        <v>-1.79712198046061</v>
      </c>
      <c r="D1377" s="10">
        <v>0.25765769171511599</v>
      </c>
      <c r="E1377" s="10">
        <v>-6.9748431280973504</v>
      </c>
      <c r="F1377" s="4">
        <v>3.0621230280987402E-12</v>
      </c>
      <c r="G1377" s="4">
        <v>8.3725766056330202E-11</v>
      </c>
      <c r="H1377" s="10" t="s">
        <v>10280</v>
      </c>
      <c r="I1377" s="10" t="s">
        <v>18</v>
      </c>
    </row>
    <row r="1378" spans="1:9" x14ac:dyDescent="0.2">
      <c r="A1378" s="10" t="s">
        <v>10281</v>
      </c>
      <c r="B1378" s="10">
        <v>42.221319965564099</v>
      </c>
      <c r="C1378" s="10">
        <v>-2.9075292479074402</v>
      </c>
      <c r="D1378" s="10">
        <v>0.61840578397853396</v>
      </c>
      <c r="E1378" s="10">
        <v>-4.7016527387595897</v>
      </c>
      <c r="F1378" s="4">
        <v>2.5806411695931002E-6</v>
      </c>
      <c r="G1378" s="4">
        <v>2.9805339128151701E-5</v>
      </c>
      <c r="H1378" s="10" t="s">
        <v>10282</v>
      </c>
      <c r="I1378" s="10" t="s">
        <v>18</v>
      </c>
    </row>
    <row r="1379" spans="1:9" x14ac:dyDescent="0.2">
      <c r="A1379" s="10" t="s">
        <v>10283</v>
      </c>
      <c r="B1379" s="10">
        <v>1428.79547236294</v>
      </c>
      <c r="C1379" s="10">
        <v>-1.13550032081426</v>
      </c>
      <c r="D1379" s="10">
        <v>0.28260663177654699</v>
      </c>
      <c r="E1379" s="10">
        <v>-4.0179535550039001</v>
      </c>
      <c r="F1379" s="4">
        <v>5.8705764309003302E-5</v>
      </c>
      <c r="G1379" s="10">
        <v>5.0712345508000596E-4</v>
      </c>
      <c r="H1379" s="10" t="s">
        <v>10284</v>
      </c>
      <c r="I1379" s="10" t="s">
        <v>18</v>
      </c>
    </row>
    <row r="1380" spans="1:9" x14ac:dyDescent="0.2">
      <c r="A1380" s="10" t="s">
        <v>3989</v>
      </c>
      <c r="B1380" s="10">
        <v>7598.9885382606399</v>
      </c>
      <c r="C1380" s="10">
        <v>-1.85918886324836</v>
      </c>
      <c r="D1380" s="10">
        <v>0.24296163631665299</v>
      </c>
      <c r="E1380" s="10">
        <v>-7.6521910678329297</v>
      </c>
      <c r="F1380" s="4">
        <v>1.9758336175106499E-14</v>
      </c>
      <c r="G1380" s="4">
        <v>6.7255879091312999E-13</v>
      </c>
      <c r="H1380" s="10" t="s">
        <v>3990</v>
      </c>
      <c r="I1380" s="10" t="s">
        <v>18</v>
      </c>
    </row>
    <row r="1381" spans="1:9" x14ac:dyDescent="0.2">
      <c r="A1381" s="10" t="s">
        <v>3999</v>
      </c>
      <c r="B1381" s="10">
        <v>2671.8287654157498</v>
      </c>
      <c r="C1381" s="10">
        <v>-1.76223051624728</v>
      </c>
      <c r="D1381" s="10">
        <v>0.24182547415087799</v>
      </c>
      <c r="E1381" s="10">
        <v>-7.2871996733801403</v>
      </c>
      <c r="F1381" s="4">
        <v>3.16463720186989E-13</v>
      </c>
      <c r="G1381" s="4">
        <v>9.7676624310475104E-12</v>
      </c>
      <c r="H1381" s="10" t="s">
        <v>4000</v>
      </c>
      <c r="I1381" s="10" t="s">
        <v>18</v>
      </c>
    </row>
    <row r="1382" spans="1:9" x14ac:dyDescent="0.2">
      <c r="A1382" s="10" t="s">
        <v>4001</v>
      </c>
      <c r="B1382" s="10">
        <v>550.429418478446</v>
      </c>
      <c r="C1382" s="10">
        <v>3.6630238587841499</v>
      </c>
      <c r="D1382" s="10">
        <v>0.29372955752685398</v>
      </c>
      <c r="E1382" s="10">
        <v>12.4707363114087</v>
      </c>
      <c r="F1382" s="4">
        <v>1.07825088766984E-35</v>
      </c>
      <c r="G1382" s="4">
        <v>1.43510058620819E-33</v>
      </c>
      <c r="H1382" s="10" t="s">
        <v>4002</v>
      </c>
      <c r="I1382" s="10" t="s">
        <v>18</v>
      </c>
    </row>
    <row r="1383" spans="1:9" x14ac:dyDescent="0.2">
      <c r="A1383" s="10" t="s">
        <v>4011</v>
      </c>
      <c r="B1383" s="10">
        <v>1485.7432372094599</v>
      </c>
      <c r="C1383" s="10">
        <v>-1.9802645322924901</v>
      </c>
      <c r="D1383" s="10">
        <v>0.29268425047674501</v>
      </c>
      <c r="E1383" s="10">
        <v>-6.76587322026006</v>
      </c>
      <c r="F1383" s="4">
        <v>1.32507540700839E-11</v>
      </c>
      <c r="G1383" s="4">
        <v>3.3601080507354802E-10</v>
      </c>
      <c r="H1383" s="10" t="s">
        <v>4012</v>
      </c>
      <c r="I1383" s="10" t="s">
        <v>18</v>
      </c>
    </row>
    <row r="1384" spans="1:9" x14ac:dyDescent="0.2">
      <c r="A1384" s="10" t="s">
        <v>10285</v>
      </c>
      <c r="B1384" s="10">
        <v>16.161510119232499</v>
      </c>
      <c r="C1384" s="10">
        <v>-3.2310201880229199</v>
      </c>
      <c r="D1384" s="10">
        <v>0.96904627437212199</v>
      </c>
      <c r="E1384" s="10">
        <v>-3.3342269337100601</v>
      </c>
      <c r="F1384" s="10">
        <v>8.5536840564636601E-4</v>
      </c>
      <c r="G1384" s="10">
        <v>5.3431319205449104E-3</v>
      </c>
      <c r="H1384" s="10" t="s">
        <v>10286</v>
      </c>
      <c r="I1384" s="10" t="s">
        <v>18</v>
      </c>
    </row>
    <row r="1385" spans="1:9" x14ac:dyDescent="0.2">
      <c r="A1385" s="10" t="s">
        <v>10287</v>
      </c>
      <c r="B1385" s="10">
        <v>1379.0305097600401</v>
      </c>
      <c r="C1385" s="10">
        <v>1.81711678157025</v>
      </c>
      <c r="D1385" s="10">
        <v>0.294098650854064</v>
      </c>
      <c r="E1385" s="10">
        <v>6.1785961149204001</v>
      </c>
      <c r="F1385" s="4">
        <v>6.4674110900359195E-10</v>
      </c>
      <c r="G1385" s="4">
        <v>1.352350174313E-8</v>
      </c>
      <c r="H1385" s="10" t="s">
        <v>10288</v>
      </c>
      <c r="I1385" s="10" t="s">
        <v>18</v>
      </c>
    </row>
    <row r="1386" spans="1:9" x14ac:dyDescent="0.2">
      <c r="A1386" s="10" t="s">
        <v>4015</v>
      </c>
      <c r="B1386" s="10">
        <v>1277.0812236130801</v>
      </c>
      <c r="C1386" s="10">
        <v>-1.46943932561701</v>
      </c>
      <c r="D1386" s="10">
        <v>0.24768194667180701</v>
      </c>
      <c r="E1386" s="10">
        <v>-5.9327671853455897</v>
      </c>
      <c r="F1386" s="4">
        <v>2.97871092408689E-9</v>
      </c>
      <c r="G1386" s="4">
        <v>5.6636034236890303E-8</v>
      </c>
      <c r="H1386" s="10" t="s">
        <v>4016</v>
      </c>
      <c r="I1386" s="10" t="s">
        <v>18</v>
      </c>
    </row>
    <row r="1387" spans="1:9" x14ac:dyDescent="0.2">
      <c r="A1387" s="10" t="s">
        <v>4017</v>
      </c>
      <c r="B1387" s="10">
        <v>322.164272240618</v>
      </c>
      <c r="C1387" s="10">
        <v>1.66666718599829</v>
      </c>
      <c r="D1387" s="10">
        <v>0.34307519979176798</v>
      </c>
      <c r="E1387" s="10">
        <v>4.8580229261977701</v>
      </c>
      <c r="F1387" s="4">
        <v>1.1856368384590399E-6</v>
      </c>
      <c r="G1387" s="4">
        <v>1.45628391950376E-5</v>
      </c>
      <c r="H1387" s="10" t="s">
        <v>4018</v>
      </c>
      <c r="I1387" s="10" t="s">
        <v>18</v>
      </c>
    </row>
    <row r="1388" spans="1:9" x14ac:dyDescent="0.2">
      <c r="A1388" s="10" t="s">
        <v>4019</v>
      </c>
      <c r="B1388" s="10">
        <v>33.579563287004497</v>
      </c>
      <c r="C1388" s="10">
        <v>2.7006074887768601</v>
      </c>
      <c r="D1388" s="10">
        <v>0.65317845327188495</v>
      </c>
      <c r="E1388" s="10">
        <v>4.1345630359498999</v>
      </c>
      <c r="F1388" s="4">
        <v>3.5563063400523802E-5</v>
      </c>
      <c r="G1388" s="10">
        <v>3.2307289990616699E-4</v>
      </c>
      <c r="H1388" s="10" t="s">
        <v>4020</v>
      </c>
      <c r="I1388" s="10" t="s">
        <v>18</v>
      </c>
    </row>
    <row r="1389" spans="1:9" x14ac:dyDescent="0.2">
      <c r="A1389" s="10" t="s">
        <v>4021</v>
      </c>
      <c r="B1389" s="10">
        <v>206.70452413464699</v>
      </c>
      <c r="C1389" s="10">
        <v>1.7321018191684401</v>
      </c>
      <c r="D1389" s="10">
        <v>0.37153097411590702</v>
      </c>
      <c r="E1389" s="10">
        <v>4.6620657222190802</v>
      </c>
      <c r="F1389" s="4">
        <v>3.1305117812760101E-6</v>
      </c>
      <c r="G1389" s="4">
        <v>3.56003724493662E-5</v>
      </c>
      <c r="H1389" s="10" t="s">
        <v>4022</v>
      </c>
      <c r="I1389" s="10" t="s">
        <v>18</v>
      </c>
    </row>
    <row r="1390" spans="1:9" x14ac:dyDescent="0.2">
      <c r="A1390" s="10" t="s">
        <v>10289</v>
      </c>
      <c r="B1390" s="10">
        <v>392.09503529533299</v>
      </c>
      <c r="C1390" s="10">
        <v>1.73336940282612</v>
      </c>
      <c r="D1390" s="10">
        <v>0.32373544825720502</v>
      </c>
      <c r="E1390" s="10">
        <v>5.3542774266998903</v>
      </c>
      <c r="F1390" s="4">
        <v>8.5898981936505598E-8</v>
      </c>
      <c r="G1390" s="4">
        <v>1.2993318644695099E-6</v>
      </c>
      <c r="H1390" s="10" t="s">
        <v>10290</v>
      </c>
      <c r="I1390" s="10" t="s">
        <v>18</v>
      </c>
    </row>
    <row r="1391" spans="1:9" x14ac:dyDescent="0.2">
      <c r="A1391" s="10" t="s">
        <v>4023</v>
      </c>
      <c r="B1391" s="10">
        <v>23.983683101746902</v>
      </c>
      <c r="C1391" s="10">
        <v>4.00720916245269</v>
      </c>
      <c r="D1391" s="10">
        <v>0.90170864656188199</v>
      </c>
      <c r="E1391" s="10">
        <v>4.4440176743693698</v>
      </c>
      <c r="F1391" s="4">
        <v>8.8294346470449195E-6</v>
      </c>
      <c r="G1391" s="4">
        <v>9.1740780068738106E-5</v>
      </c>
      <c r="H1391" s="10" t="s">
        <v>4024</v>
      </c>
      <c r="I1391" s="10" t="s">
        <v>18</v>
      </c>
    </row>
    <row r="1392" spans="1:9" x14ac:dyDescent="0.2">
      <c r="A1392" s="10" t="s">
        <v>4025</v>
      </c>
      <c r="B1392" s="10">
        <v>92.147504905481696</v>
      </c>
      <c r="C1392" s="10">
        <v>4.6782332015509498</v>
      </c>
      <c r="D1392" s="10">
        <v>0.59169687583966801</v>
      </c>
      <c r="E1392" s="10">
        <v>7.9064693301145903</v>
      </c>
      <c r="F1392" s="4">
        <v>2.6479149838821699E-15</v>
      </c>
      <c r="G1392" s="4">
        <v>9.9267215230336598E-14</v>
      </c>
      <c r="H1392" s="10" t="s">
        <v>4026</v>
      </c>
      <c r="I1392" s="10" t="s">
        <v>18</v>
      </c>
    </row>
    <row r="1393" spans="1:9" x14ac:dyDescent="0.2">
      <c r="A1393" s="10" t="s">
        <v>4031</v>
      </c>
      <c r="B1393" s="10">
        <v>402.44529846934398</v>
      </c>
      <c r="C1393" s="10">
        <v>3.4743432976975401</v>
      </c>
      <c r="D1393" s="10">
        <v>0.34002988414705299</v>
      </c>
      <c r="E1393" s="10">
        <v>10.217758672631801</v>
      </c>
      <c r="F1393" s="4">
        <v>1.6511439973533601E-24</v>
      </c>
      <c r="G1393" s="4">
        <v>1.23614664444714E-22</v>
      </c>
      <c r="H1393" s="10" t="s">
        <v>4032</v>
      </c>
      <c r="I1393" s="10" t="s">
        <v>18</v>
      </c>
    </row>
    <row r="1394" spans="1:9" x14ac:dyDescent="0.2">
      <c r="A1394" s="10" t="s">
        <v>4033</v>
      </c>
      <c r="B1394" s="10">
        <v>98.908645889401498</v>
      </c>
      <c r="C1394" s="10">
        <v>5.0999371287120798</v>
      </c>
      <c r="D1394" s="10">
        <v>0.59333777543376998</v>
      </c>
      <c r="E1394" s="10">
        <v>8.5953353045551193</v>
      </c>
      <c r="F1394" s="4">
        <v>8.3022017482758604E-18</v>
      </c>
      <c r="G1394" s="4">
        <v>3.83196119225466E-16</v>
      </c>
      <c r="H1394" s="10" t="s">
        <v>4034</v>
      </c>
      <c r="I1394" s="10" t="s">
        <v>18</v>
      </c>
    </row>
    <row r="1395" spans="1:9" x14ac:dyDescent="0.2">
      <c r="A1395" s="10" t="s">
        <v>4035</v>
      </c>
      <c r="B1395" s="10">
        <v>30.810068395029699</v>
      </c>
      <c r="C1395" s="10">
        <v>4.4000628898444498</v>
      </c>
      <c r="D1395" s="10">
        <v>0.85402978274832297</v>
      </c>
      <c r="E1395" s="10">
        <v>5.15211878874383</v>
      </c>
      <c r="F1395" s="4">
        <v>2.5755979825772099E-7</v>
      </c>
      <c r="G1395" s="4">
        <v>3.59540328810931E-6</v>
      </c>
      <c r="H1395" s="10" t="s">
        <v>4036</v>
      </c>
      <c r="I1395" s="10" t="s">
        <v>18</v>
      </c>
    </row>
    <row r="1396" spans="1:9" x14ac:dyDescent="0.2">
      <c r="A1396" s="10" t="s">
        <v>10291</v>
      </c>
      <c r="B1396" s="10">
        <v>250.26700352815499</v>
      </c>
      <c r="C1396" s="10">
        <v>1.6300492643968001</v>
      </c>
      <c r="D1396" s="10">
        <v>0.370637319989786</v>
      </c>
      <c r="E1396" s="10">
        <v>4.3979631205020597</v>
      </c>
      <c r="F1396" s="4">
        <v>1.09271540511755E-5</v>
      </c>
      <c r="G1396" s="10">
        <v>1.1075231240717E-4</v>
      </c>
      <c r="H1396" s="10" t="s">
        <v>10292</v>
      </c>
      <c r="I1396" s="10" t="s">
        <v>18</v>
      </c>
    </row>
    <row r="1397" spans="1:9" x14ac:dyDescent="0.2">
      <c r="A1397" s="10" t="s">
        <v>4037</v>
      </c>
      <c r="B1397" s="10">
        <v>56.836949512464102</v>
      </c>
      <c r="C1397" s="10">
        <v>1.5423350880607301</v>
      </c>
      <c r="D1397" s="10">
        <v>0.53243454727531203</v>
      </c>
      <c r="E1397" s="10">
        <v>2.89675997914392</v>
      </c>
      <c r="F1397" s="10">
        <v>3.77038097559825E-3</v>
      </c>
      <c r="G1397" s="10">
        <v>1.8729054786961699E-2</v>
      </c>
      <c r="H1397" s="10" t="s">
        <v>4038</v>
      </c>
      <c r="I1397" s="10" t="s">
        <v>18</v>
      </c>
    </row>
    <row r="1398" spans="1:9" x14ac:dyDescent="0.2">
      <c r="A1398" s="10" t="s">
        <v>4039</v>
      </c>
      <c r="B1398" s="10">
        <v>132.98373037958299</v>
      </c>
      <c r="C1398" s="10">
        <v>1.80208080636336</v>
      </c>
      <c r="D1398" s="10">
        <v>0.384435843343438</v>
      </c>
      <c r="E1398" s="10">
        <v>4.6875983016845399</v>
      </c>
      <c r="F1398" s="4">
        <v>2.76429931487046E-6</v>
      </c>
      <c r="G1398" s="4">
        <v>3.1708139199984698E-5</v>
      </c>
      <c r="H1398" s="10" t="s">
        <v>4040</v>
      </c>
      <c r="I1398" s="10" t="s">
        <v>18</v>
      </c>
    </row>
    <row r="1399" spans="1:9" x14ac:dyDescent="0.2">
      <c r="A1399" s="10" t="s">
        <v>10293</v>
      </c>
      <c r="B1399" s="10">
        <v>729.98684413336696</v>
      </c>
      <c r="C1399" s="10">
        <v>1.19793377613851</v>
      </c>
      <c r="D1399" s="10">
        <v>0.31063007271903198</v>
      </c>
      <c r="E1399" s="10">
        <v>3.8564642684227799</v>
      </c>
      <c r="F1399" s="10">
        <v>1.15038904665302E-4</v>
      </c>
      <c r="G1399" s="10">
        <v>9.1983586994776902E-4</v>
      </c>
      <c r="H1399" s="10" t="s">
        <v>10294</v>
      </c>
      <c r="I1399" s="10" t="s">
        <v>18</v>
      </c>
    </row>
    <row r="1400" spans="1:9" x14ac:dyDescent="0.2">
      <c r="A1400" s="10" t="s">
        <v>10295</v>
      </c>
      <c r="B1400" s="10">
        <v>158.011751572008</v>
      </c>
      <c r="C1400" s="10">
        <v>1.2436008603144799</v>
      </c>
      <c r="D1400" s="10">
        <v>0.36851553201618398</v>
      </c>
      <c r="E1400" s="10">
        <v>3.37462264754654</v>
      </c>
      <c r="F1400" s="10">
        <v>7.3916970231290501E-4</v>
      </c>
      <c r="G1400" s="10">
        <v>4.7192420968733802E-3</v>
      </c>
      <c r="H1400" s="10" t="s">
        <v>10296</v>
      </c>
      <c r="I1400" s="10" t="s">
        <v>18</v>
      </c>
    </row>
    <row r="1401" spans="1:9" x14ac:dyDescent="0.2">
      <c r="A1401" s="10" t="s">
        <v>10297</v>
      </c>
      <c r="B1401" s="10">
        <v>164.343149448243</v>
      </c>
      <c r="C1401" s="10">
        <v>1.24954090040083</v>
      </c>
      <c r="D1401" s="10">
        <v>0.382718245947824</v>
      </c>
      <c r="E1401" s="10">
        <v>3.2649107107665301</v>
      </c>
      <c r="F1401" s="10">
        <v>1.09498588055816E-3</v>
      </c>
      <c r="G1401" s="10">
        <v>6.5942949067370003E-3</v>
      </c>
      <c r="H1401" s="10" t="s">
        <v>10298</v>
      </c>
      <c r="I1401" s="10" t="s">
        <v>18</v>
      </c>
    </row>
    <row r="1402" spans="1:9" x14ac:dyDescent="0.2">
      <c r="A1402" s="10" t="s">
        <v>4041</v>
      </c>
      <c r="B1402" s="10">
        <v>3814.0748811947501</v>
      </c>
      <c r="C1402" s="10">
        <v>1.6619905051714701</v>
      </c>
      <c r="D1402" s="10">
        <v>0.27791144179439398</v>
      </c>
      <c r="E1402" s="10">
        <v>5.98028816100725</v>
      </c>
      <c r="F1402" s="4">
        <v>2.2274322751905902E-9</v>
      </c>
      <c r="G1402" s="4">
        <v>4.2902801594501803E-8</v>
      </c>
      <c r="H1402" s="10" t="s">
        <v>4042</v>
      </c>
      <c r="I1402" s="10" t="s">
        <v>18</v>
      </c>
    </row>
    <row r="1403" spans="1:9" x14ac:dyDescent="0.2">
      <c r="A1403" s="10" t="s">
        <v>10299</v>
      </c>
      <c r="B1403" s="10">
        <v>125.985114067564</v>
      </c>
      <c r="C1403" s="10">
        <v>1.81159826223251</v>
      </c>
      <c r="D1403" s="10">
        <v>0.41223445669061498</v>
      </c>
      <c r="E1403" s="10">
        <v>4.3945823373811903</v>
      </c>
      <c r="F1403" s="4">
        <v>1.1098593194636399E-5</v>
      </c>
      <c r="G1403" s="10">
        <v>1.12167582085608E-4</v>
      </c>
      <c r="H1403" s="10" t="s">
        <v>10300</v>
      </c>
      <c r="I1403" s="10" t="s">
        <v>18</v>
      </c>
    </row>
    <row r="1404" spans="1:9" x14ac:dyDescent="0.2">
      <c r="A1404" s="10" t="s">
        <v>10301</v>
      </c>
      <c r="B1404" s="10">
        <v>3125.68793297195</v>
      </c>
      <c r="C1404" s="10">
        <v>1.7332038170886199</v>
      </c>
      <c r="D1404" s="10">
        <v>0.285846834032432</v>
      </c>
      <c r="E1404" s="10">
        <v>6.0634004324566702</v>
      </c>
      <c r="F1404" s="4">
        <v>1.3327329943664901E-9</v>
      </c>
      <c r="G1404" s="4">
        <v>2.66705636223461E-8</v>
      </c>
      <c r="H1404" s="10" t="s">
        <v>10302</v>
      </c>
      <c r="I1404" s="10" t="s">
        <v>18</v>
      </c>
    </row>
    <row r="1405" spans="1:9" x14ac:dyDescent="0.2">
      <c r="A1405" s="10" t="s">
        <v>4043</v>
      </c>
      <c r="B1405" s="10">
        <v>9242.5311943359593</v>
      </c>
      <c r="C1405" s="10">
        <v>4.9613169395140098</v>
      </c>
      <c r="D1405" s="10">
        <v>0.28969947448373401</v>
      </c>
      <c r="E1405" s="10">
        <v>17.125736759983599</v>
      </c>
      <c r="F1405" s="4">
        <v>9.53940957753007E-66</v>
      </c>
      <c r="G1405" s="4">
        <v>4.2850687129065898E-63</v>
      </c>
      <c r="H1405" s="10" t="s">
        <v>4044</v>
      </c>
      <c r="I1405" s="10" t="s">
        <v>18</v>
      </c>
    </row>
    <row r="1406" spans="1:9" x14ac:dyDescent="0.2">
      <c r="A1406" s="10" t="s">
        <v>10303</v>
      </c>
      <c r="B1406" s="10">
        <v>10988.5053037948</v>
      </c>
      <c r="C1406" s="10">
        <v>1.58033795070856</v>
      </c>
      <c r="D1406" s="10">
        <v>0.25501050362111399</v>
      </c>
      <c r="E1406" s="10">
        <v>6.1971484635651501</v>
      </c>
      <c r="F1406" s="4">
        <v>5.74952640476816E-10</v>
      </c>
      <c r="G1406" s="4">
        <v>1.21130097748696E-8</v>
      </c>
      <c r="H1406" s="10" t="s">
        <v>10304</v>
      </c>
      <c r="I1406" s="10" t="s">
        <v>18</v>
      </c>
    </row>
    <row r="1407" spans="1:9" x14ac:dyDescent="0.2">
      <c r="A1407" s="10" t="s">
        <v>10305</v>
      </c>
      <c r="B1407" s="10">
        <v>1390.84934375588</v>
      </c>
      <c r="C1407" s="10">
        <v>1.2572737194702901</v>
      </c>
      <c r="D1407" s="10">
        <v>0.33655719919217703</v>
      </c>
      <c r="E1407" s="10">
        <v>3.7356910578292899</v>
      </c>
      <c r="F1407" s="10">
        <v>1.8720038407003199E-4</v>
      </c>
      <c r="G1407" s="10">
        <v>1.40904418350738E-3</v>
      </c>
      <c r="H1407" s="10" t="s">
        <v>10306</v>
      </c>
      <c r="I1407" s="10" t="s">
        <v>18</v>
      </c>
    </row>
    <row r="1408" spans="1:9" x14ac:dyDescent="0.2">
      <c r="A1408" s="10" t="s">
        <v>4045</v>
      </c>
      <c r="B1408" s="10">
        <v>2556.15422414161</v>
      </c>
      <c r="C1408" s="10">
        <v>1.5247362428634601</v>
      </c>
      <c r="D1408" s="10">
        <v>0.29557623707265002</v>
      </c>
      <c r="E1408" s="10">
        <v>5.1585210569166904</v>
      </c>
      <c r="F1408" s="4">
        <v>2.4890811875740302E-7</v>
      </c>
      <c r="G1408" s="4">
        <v>3.4842981231733299E-6</v>
      </c>
      <c r="H1408" s="10" t="s">
        <v>4046</v>
      </c>
      <c r="I1408" s="10" t="s">
        <v>18</v>
      </c>
    </row>
    <row r="1409" spans="1:9" x14ac:dyDescent="0.2">
      <c r="A1409" s="10" t="s">
        <v>10307</v>
      </c>
      <c r="B1409" s="10">
        <v>776.43448566754398</v>
      </c>
      <c r="C1409" s="10">
        <v>1.58094572095999</v>
      </c>
      <c r="D1409" s="10">
        <v>0.32382496982827202</v>
      </c>
      <c r="E1409" s="10">
        <v>4.8820994928166996</v>
      </c>
      <c r="F1409" s="4">
        <v>1.0496227096065899E-6</v>
      </c>
      <c r="G1409" s="4">
        <v>1.30773943834343E-5</v>
      </c>
      <c r="H1409" s="10" t="s">
        <v>10308</v>
      </c>
      <c r="I1409" s="10" t="s">
        <v>18</v>
      </c>
    </row>
    <row r="1410" spans="1:9" x14ac:dyDescent="0.2">
      <c r="A1410" s="10" t="s">
        <v>10309</v>
      </c>
      <c r="B1410" s="10">
        <v>431.05734847708902</v>
      </c>
      <c r="C1410" s="10">
        <v>1.5791295790656801</v>
      </c>
      <c r="D1410" s="10">
        <v>0.32638764214696098</v>
      </c>
      <c r="E1410" s="10">
        <v>4.83820272323499</v>
      </c>
      <c r="F1410" s="4">
        <v>1.31018473037795E-6</v>
      </c>
      <c r="G1410" s="4">
        <v>1.5913904825039799E-5</v>
      </c>
      <c r="H1410" s="10" t="s">
        <v>10310</v>
      </c>
      <c r="I1410" s="10" t="s">
        <v>18</v>
      </c>
    </row>
    <row r="1411" spans="1:9" x14ac:dyDescent="0.2">
      <c r="A1411" s="10" t="s">
        <v>10311</v>
      </c>
      <c r="B1411" s="10">
        <v>1075.85496957534</v>
      </c>
      <c r="C1411" s="10">
        <v>1.80070141731164</v>
      </c>
      <c r="D1411" s="10">
        <v>0.33265225625846101</v>
      </c>
      <c r="E1411" s="10">
        <v>5.4131645988673203</v>
      </c>
      <c r="F1411" s="4">
        <v>6.1920521723820701E-8</v>
      </c>
      <c r="G1411" s="4">
        <v>9.5558940120411693E-7</v>
      </c>
      <c r="H1411" s="10" t="s">
        <v>10312</v>
      </c>
      <c r="I1411" s="10" t="s">
        <v>18</v>
      </c>
    </row>
    <row r="1412" spans="1:9" x14ac:dyDescent="0.2">
      <c r="A1412" s="10" t="s">
        <v>10313</v>
      </c>
      <c r="B1412" s="10">
        <v>891.99223644599397</v>
      </c>
      <c r="C1412" s="10">
        <v>2.2589662195264899</v>
      </c>
      <c r="D1412" s="10">
        <v>0.32656922356872298</v>
      </c>
      <c r="E1412" s="10">
        <v>6.9172661000956701</v>
      </c>
      <c r="F1412" s="4">
        <v>4.6044272179541301E-12</v>
      </c>
      <c r="G1412" s="4">
        <v>1.2414187209821699E-10</v>
      </c>
      <c r="H1412" s="10" t="s">
        <v>10314</v>
      </c>
      <c r="I1412" s="10" t="s">
        <v>18</v>
      </c>
    </row>
    <row r="1413" spans="1:9" x14ac:dyDescent="0.2">
      <c r="A1413" s="10" t="s">
        <v>10315</v>
      </c>
      <c r="B1413" s="10">
        <v>322.48451172524801</v>
      </c>
      <c r="C1413" s="10">
        <v>1.41396328980675</v>
      </c>
      <c r="D1413" s="10">
        <v>0.35453425514084802</v>
      </c>
      <c r="E1413" s="10">
        <v>3.9882275670231402</v>
      </c>
      <c r="F1413" s="4">
        <v>6.6568791582530403E-5</v>
      </c>
      <c r="G1413" s="10">
        <v>5.66679510070576E-4</v>
      </c>
      <c r="H1413" s="10" t="s">
        <v>10316</v>
      </c>
      <c r="I1413" s="10" t="s">
        <v>18</v>
      </c>
    </row>
    <row r="1414" spans="1:9" x14ac:dyDescent="0.2">
      <c r="A1414" s="10" t="s">
        <v>10317</v>
      </c>
      <c r="B1414" s="10">
        <v>257.22077515185998</v>
      </c>
      <c r="C1414" s="10">
        <v>1.6062802863059999</v>
      </c>
      <c r="D1414" s="10">
        <v>0.33390383275060098</v>
      </c>
      <c r="E1414" s="10">
        <v>4.8106075125701402</v>
      </c>
      <c r="F1414" s="4">
        <v>1.50472237649786E-6</v>
      </c>
      <c r="G1414" s="4">
        <v>1.8084706823126499E-5</v>
      </c>
      <c r="H1414" s="10" t="s">
        <v>10318</v>
      </c>
      <c r="I1414" s="10" t="s">
        <v>18</v>
      </c>
    </row>
    <row r="1415" spans="1:9" x14ac:dyDescent="0.2">
      <c r="A1415" s="10" t="s">
        <v>4065</v>
      </c>
      <c r="B1415" s="10">
        <v>641.68041038237698</v>
      </c>
      <c r="C1415" s="10">
        <v>2.2371892617356099</v>
      </c>
      <c r="D1415" s="10">
        <v>0.26876968279982</v>
      </c>
      <c r="E1415" s="10">
        <v>8.3238155376396108</v>
      </c>
      <c r="F1415" s="4">
        <v>8.5176123497197794E-17</v>
      </c>
      <c r="G1415" s="4">
        <v>3.7069297345536504E-15</v>
      </c>
      <c r="H1415" s="10" t="s">
        <v>4066</v>
      </c>
      <c r="I1415" s="10" t="s">
        <v>18</v>
      </c>
    </row>
    <row r="1416" spans="1:9" x14ac:dyDescent="0.2">
      <c r="A1416" s="10" t="s">
        <v>4069</v>
      </c>
      <c r="B1416" s="10">
        <v>204.30363750526399</v>
      </c>
      <c r="C1416" s="10">
        <v>2.8395829070393899</v>
      </c>
      <c r="D1416" s="10">
        <v>0.34872640794854998</v>
      </c>
      <c r="E1416" s="10">
        <v>8.1427240447426303</v>
      </c>
      <c r="F1416" s="4">
        <v>3.8648244094566902E-16</v>
      </c>
      <c r="G1416" s="4">
        <v>1.56805900032069E-14</v>
      </c>
      <c r="H1416" s="10" t="s">
        <v>4070</v>
      </c>
      <c r="I1416" s="10" t="s">
        <v>18</v>
      </c>
    </row>
    <row r="1417" spans="1:9" x14ac:dyDescent="0.2">
      <c r="A1417" s="10" t="s">
        <v>4073</v>
      </c>
      <c r="B1417" s="10">
        <v>216.94805032736701</v>
      </c>
      <c r="C1417" s="10">
        <v>1.28763155377427</v>
      </c>
      <c r="D1417" s="10">
        <v>0.31957927746241799</v>
      </c>
      <c r="E1417" s="10">
        <v>4.0291459571426396</v>
      </c>
      <c r="F1417" s="4">
        <v>5.5979855031387402E-5</v>
      </c>
      <c r="G1417" s="10">
        <v>4.8574448199880998E-4</v>
      </c>
      <c r="H1417" s="10" t="s">
        <v>4074</v>
      </c>
      <c r="I1417" s="10" t="s">
        <v>18</v>
      </c>
    </row>
    <row r="1418" spans="1:9" x14ac:dyDescent="0.2">
      <c r="A1418" s="10" t="s">
        <v>10319</v>
      </c>
      <c r="B1418" s="10">
        <v>2373.8829560368299</v>
      </c>
      <c r="C1418" s="10">
        <v>1.0436548445464799</v>
      </c>
      <c r="D1418" s="10">
        <v>0.24484322783134299</v>
      </c>
      <c r="E1418" s="10">
        <v>4.2625432354836699</v>
      </c>
      <c r="F1418" s="4">
        <v>2.02113377543934E-5</v>
      </c>
      <c r="G1418" s="10">
        <v>1.93167249700519E-4</v>
      </c>
      <c r="H1418" s="10" t="s">
        <v>10320</v>
      </c>
      <c r="I1418" s="10" t="s">
        <v>18</v>
      </c>
    </row>
    <row r="1419" spans="1:9" x14ac:dyDescent="0.2">
      <c r="A1419" s="10" t="s">
        <v>4077</v>
      </c>
      <c r="B1419" s="10">
        <v>2353.2360266885498</v>
      </c>
      <c r="C1419" s="10">
        <v>-1.0057243097778601</v>
      </c>
      <c r="D1419" s="10">
        <v>0.266969738052724</v>
      </c>
      <c r="E1419" s="10">
        <v>-3.7671846895967098</v>
      </c>
      <c r="F1419" s="10">
        <v>1.65098863296692E-4</v>
      </c>
      <c r="G1419" s="10">
        <v>1.2585655294240501E-3</v>
      </c>
      <c r="H1419" s="10" t="s">
        <v>4078</v>
      </c>
      <c r="I1419" s="10" t="s">
        <v>18</v>
      </c>
    </row>
    <row r="1420" spans="1:9" x14ac:dyDescent="0.2">
      <c r="A1420" s="10" t="s">
        <v>4079</v>
      </c>
      <c r="B1420" s="10">
        <v>225.65982801250601</v>
      </c>
      <c r="C1420" s="10">
        <v>5.3233714401888701</v>
      </c>
      <c r="D1420" s="10">
        <v>0.47661723790980698</v>
      </c>
      <c r="E1420" s="10">
        <v>11.1690703079359</v>
      </c>
      <c r="F1420" s="4">
        <v>5.7782488816478003E-29</v>
      </c>
      <c r="G1420" s="4">
        <v>5.5266863352794801E-27</v>
      </c>
      <c r="H1420" s="10" t="s">
        <v>4080</v>
      </c>
      <c r="I1420" s="10" t="s">
        <v>18</v>
      </c>
    </row>
    <row r="1421" spans="1:9" x14ac:dyDescent="0.2">
      <c r="A1421" s="10" t="s">
        <v>4081</v>
      </c>
      <c r="B1421" s="10">
        <v>4747.9703674632301</v>
      </c>
      <c r="C1421" s="10">
        <v>-1.04683458805063</v>
      </c>
      <c r="D1421" s="10">
        <v>0.24136898008763899</v>
      </c>
      <c r="E1421" s="10">
        <v>-4.3370717632006297</v>
      </c>
      <c r="F1421" s="4">
        <v>1.44393491291711E-5</v>
      </c>
      <c r="G1421" s="10">
        <v>1.42495813002863E-4</v>
      </c>
      <c r="H1421" s="10" t="s">
        <v>4082</v>
      </c>
      <c r="I1421" s="10" t="s">
        <v>18</v>
      </c>
    </row>
    <row r="1422" spans="1:9" x14ac:dyDescent="0.2">
      <c r="A1422" s="10" t="s">
        <v>4085</v>
      </c>
      <c r="B1422" s="10">
        <v>78.453531727765295</v>
      </c>
      <c r="C1422" s="10">
        <v>4.48513580256897</v>
      </c>
      <c r="D1422" s="10">
        <v>0.58683976081080902</v>
      </c>
      <c r="E1422" s="10">
        <v>7.6428628427836403</v>
      </c>
      <c r="F1422" s="4">
        <v>2.12444264026472E-14</v>
      </c>
      <c r="G1422" s="4">
        <v>7.2216695426836505E-13</v>
      </c>
      <c r="H1422" s="10" t="s">
        <v>4086</v>
      </c>
      <c r="I1422" s="10" t="s">
        <v>18</v>
      </c>
    </row>
    <row r="1423" spans="1:9" x14ac:dyDescent="0.2">
      <c r="A1423" s="10" t="s">
        <v>10321</v>
      </c>
      <c r="B1423" s="10">
        <v>325.60696465083601</v>
      </c>
      <c r="C1423" s="10">
        <v>-1.45542533620342</v>
      </c>
      <c r="D1423" s="10">
        <v>0.30696548357047698</v>
      </c>
      <c r="E1423" s="10">
        <v>-4.7413322151878603</v>
      </c>
      <c r="F1423" s="4">
        <v>2.1231745009344799E-6</v>
      </c>
      <c r="G1423" s="4">
        <v>2.4922283980871099E-5</v>
      </c>
      <c r="H1423" s="10" t="s">
        <v>10322</v>
      </c>
      <c r="I1423" s="10" t="s">
        <v>18</v>
      </c>
    </row>
    <row r="1424" spans="1:9" x14ac:dyDescent="0.2">
      <c r="A1424" s="10" t="s">
        <v>4089</v>
      </c>
      <c r="B1424" s="10">
        <v>4628.1026688186603</v>
      </c>
      <c r="C1424" s="10">
        <v>-3.6968814055550698</v>
      </c>
      <c r="D1424" s="10">
        <v>0.25919737176575802</v>
      </c>
      <c r="E1424" s="10">
        <v>-14.262804365532</v>
      </c>
      <c r="F1424" s="4">
        <v>3.7315247373767301E-46</v>
      </c>
      <c r="G1424" s="4">
        <v>8.3067703335143204E-44</v>
      </c>
      <c r="H1424" s="10" t="s">
        <v>4090</v>
      </c>
      <c r="I1424" s="10" t="s">
        <v>18</v>
      </c>
    </row>
    <row r="1425" spans="1:9" x14ac:dyDescent="0.2">
      <c r="A1425" s="10" t="s">
        <v>4091</v>
      </c>
      <c r="B1425" s="10">
        <v>1378.43063547055</v>
      </c>
      <c r="C1425" s="10">
        <v>-3.2149014196400301</v>
      </c>
      <c r="D1425" s="10">
        <v>0.26167353109749403</v>
      </c>
      <c r="E1425" s="10">
        <v>-12.285925160853299</v>
      </c>
      <c r="F1425" s="4">
        <v>1.0780461617978801E-34</v>
      </c>
      <c r="G1425" s="4">
        <v>1.3491667263694301E-32</v>
      </c>
      <c r="H1425" s="10" t="s">
        <v>4092</v>
      </c>
      <c r="I1425" s="10" t="s">
        <v>18</v>
      </c>
    </row>
    <row r="1426" spans="1:9" x14ac:dyDescent="0.2">
      <c r="A1426" s="10" t="s">
        <v>10323</v>
      </c>
      <c r="B1426" s="10">
        <v>2464.7098492575801</v>
      </c>
      <c r="C1426" s="10">
        <v>-1.3733111535926299</v>
      </c>
      <c r="D1426" s="10">
        <v>0.27069140491326699</v>
      </c>
      <c r="E1426" s="10">
        <v>-5.0733459898095203</v>
      </c>
      <c r="F1426" s="4">
        <v>3.9088084952417599E-7</v>
      </c>
      <c r="G1426" s="4">
        <v>5.2863482633229304E-6</v>
      </c>
      <c r="H1426" s="10" t="s">
        <v>10324</v>
      </c>
      <c r="I1426" s="10" t="s">
        <v>18</v>
      </c>
    </row>
    <row r="1427" spans="1:9" x14ac:dyDescent="0.2">
      <c r="A1427" s="10" t="s">
        <v>10325</v>
      </c>
      <c r="B1427" s="10">
        <v>3963.2865722368902</v>
      </c>
      <c r="C1427" s="10">
        <v>-1.3668918450334899</v>
      </c>
      <c r="D1427" s="10">
        <v>0.25700296563407099</v>
      </c>
      <c r="E1427" s="10">
        <v>-5.3185839379756796</v>
      </c>
      <c r="F1427" s="4">
        <v>1.04577972275379E-7</v>
      </c>
      <c r="G1427" s="4">
        <v>1.56122189471048E-6</v>
      </c>
      <c r="H1427" s="10" t="s">
        <v>10326</v>
      </c>
      <c r="I1427" s="10" t="s">
        <v>18</v>
      </c>
    </row>
    <row r="1428" spans="1:9" x14ac:dyDescent="0.2">
      <c r="A1428" s="10" t="s">
        <v>4097</v>
      </c>
      <c r="B1428" s="10">
        <v>1749.5585715632601</v>
      </c>
      <c r="C1428" s="10">
        <v>4.8438405675756098</v>
      </c>
      <c r="D1428" s="10">
        <v>0.26542716099729702</v>
      </c>
      <c r="E1428" s="10">
        <v>18.2492272055946</v>
      </c>
      <c r="F1428" s="4">
        <v>2.09856864288389E-74</v>
      </c>
      <c r="G1428" s="4">
        <v>1.28754863931083E-71</v>
      </c>
      <c r="H1428" s="10" t="s">
        <v>4098</v>
      </c>
      <c r="I1428" s="10" t="s">
        <v>18</v>
      </c>
    </row>
    <row r="1429" spans="1:9" x14ac:dyDescent="0.2">
      <c r="A1429" s="10" t="s">
        <v>4103</v>
      </c>
      <c r="B1429" s="10">
        <v>356.23992709602902</v>
      </c>
      <c r="C1429" s="10">
        <v>-4.0767367157907497</v>
      </c>
      <c r="D1429" s="10">
        <v>0.36656299962463601</v>
      </c>
      <c r="E1429" s="10">
        <v>-11.1215172288675</v>
      </c>
      <c r="F1429" s="4">
        <v>9.85810819404388E-29</v>
      </c>
      <c r="G1429" s="4">
        <v>9.3225831436531498E-27</v>
      </c>
      <c r="H1429" s="10" t="s">
        <v>4104</v>
      </c>
      <c r="I1429" s="10" t="s">
        <v>18</v>
      </c>
    </row>
    <row r="1430" spans="1:9" x14ac:dyDescent="0.2">
      <c r="A1430" s="10" t="s">
        <v>10327</v>
      </c>
      <c r="B1430" s="10">
        <v>94.578379286122598</v>
      </c>
      <c r="C1430" s="10">
        <v>-1.24542958974591</v>
      </c>
      <c r="D1430" s="10">
        <v>0.43860079921393402</v>
      </c>
      <c r="E1430" s="10">
        <v>-2.8395515739551498</v>
      </c>
      <c r="F1430" s="10">
        <v>4.5176991579751599E-3</v>
      </c>
      <c r="G1430" s="10">
        <v>2.1804052632169099E-2</v>
      </c>
      <c r="H1430" s="10" t="s">
        <v>10328</v>
      </c>
      <c r="I1430" s="10" t="s">
        <v>18</v>
      </c>
    </row>
    <row r="1431" spans="1:9" x14ac:dyDescent="0.2">
      <c r="A1431" s="10" t="s">
        <v>4113</v>
      </c>
      <c r="B1431" s="10">
        <v>2735.2508578653801</v>
      </c>
      <c r="C1431" s="10">
        <v>-1.45110337010222</v>
      </c>
      <c r="D1431" s="10">
        <v>0.251964435352239</v>
      </c>
      <c r="E1431" s="10">
        <v>-5.7591594943691904</v>
      </c>
      <c r="F1431" s="4">
        <v>8.45337995093963E-9</v>
      </c>
      <c r="G1431" s="4">
        <v>1.5049170040048601E-7</v>
      </c>
      <c r="H1431" s="10" t="s">
        <v>4114</v>
      </c>
      <c r="I1431" s="10" t="s">
        <v>18</v>
      </c>
    </row>
    <row r="1432" spans="1:9" x14ac:dyDescent="0.2">
      <c r="A1432" s="10" t="s">
        <v>10329</v>
      </c>
      <c r="B1432" s="10">
        <v>62.963509580000199</v>
      </c>
      <c r="C1432" s="10">
        <v>-4.14216311378574</v>
      </c>
      <c r="D1432" s="10">
        <v>0.60649791256951102</v>
      </c>
      <c r="E1432" s="10">
        <v>-6.8296411709595297</v>
      </c>
      <c r="F1432" s="4">
        <v>8.5127289842930697E-12</v>
      </c>
      <c r="G1432" s="4">
        <v>2.20306273250918E-10</v>
      </c>
      <c r="H1432" s="10" t="s">
        <v>10330</v>
      </c>
      <c r="I1432" s="10" t="s">
        <v>18</v>
      </c>
    </row>
    <row r="1433" spans="1:9" x14ac:dyDescent="0.2">
      <c r="A1433" s="10" t="s">
        <v>4115</v>
      </c>
      <c r="B1433" s="10">
        <v>483.916471110749</v>
      </c>
      <c r="C1433" s="10">
        <v>3.8019699419851598</v>
      </c>
      <c r="D1433" s="10">
        <v>0.35105151845703197</v>
      </c>
      <c r="E1433" s="10">
        <v>10.8302335756754</v>
      </c>
      <c r="F1433" s="4">
        <v>2.4752311704009902E-27</v>
      </c>
      <c r="G1433" s="4">
        <v>2.2079588684906702E-25</v>
      </c>
      <c r="H1433" s="10" t="s">
        <v>4116</v>
      </c>
      <c r="I1433" s="10" t="s">
        <v>18</v>
      </c>
    </row>
    <row r="1434" spans="1:9" x14ac:dyDescent="0.2">
      <c r="A1434" s="10" t="s">
        <v>4117</v>
      </c>
      <c r="B1434" s="10">
        <v>705.39968678463197</v>
      </c>
      <c r="C1434" s="10">
        <v>1.9550899856683099</v>
      </c>
      <c r="D1434" s="10">
        <v>0.298582790963765</v>
      </c>
      <c r="E1434" s="10">
        <v>6.5478990914301303</v>
      </c>
      <c r="F1434" s="4">
        <v>5.8352123555643999E-11</v>
      </c>
      <c r="G1434" s="4">
        <v>1.38215411303411E-9</v>
      </c>
      <c r="H1434" s="10" t="s">
        <v>4118</v>
      </c>
      <c r="I1434" s="10" t="s">
        <v>18</v>
      </c>
    </row>
    <row r="1435" spans="1:9" x14ac:dyDescent="0.2">
      <c r="A1435" s="10" t="s">
        <v>4123</v>
      </c>
      <c r="B1435" s="10">
        <v>24.3883456363912</v>
      </c>
      <c r="C1435" s="10">
        <v>2.45220767495932</v>
      </c>
      <c r="D1435" s="10">
        <v>0.75111771660129401</v>
      </c>
      <c r="E1435" s="10">
        <v>3.2647448206324099</v>
      </c>
      <c r="F1435" s="10">
        <v>1.0956273358536199E-3</v>
      </c>
      <c r="G1435" s="10">
        <v>6.5965786580655297E-3</v>
      </c>
      <c r="H1435" s="10" t="s">
        <v>4124</v>
      </c>
      <c r="I1435" s="10" t="s">
        <v>18</v>
      </c>
    </row>
    <row r="1436" spans="1:9" x14ac:dyDescent="0.2">
      <c r="A1436" s="10" t="s">
        <v>4131</v>
      </c>
      <c r="B1436" s="10">
        <v>296.03853021571001</v>
      </c>
      <c r="C1436" s="10">
        <v>1.7378857064112401</v>
      </c>
      <c r="D1436" s="10">
        <v>0.32834093318075203</v>
      </c>
      <c r="E1436" s="10">
        <v>5.2929303988258303</v>
      </c>
      <c r="F1436" s="4">
        <v>1.20371742211916E-7</v>
      </c>
      <c r="G1436" s="4">
        <v>1.78429650874528E-6</v>
      </c>
      <c r="H1436" s="10" t="s">
        <v>4132</v>
      </c>
      <c r="I1436" s="10" t="s">
        <v>18</v>
      </c>
    </row>
    <row r="1437" spans="1:9" x14ac:dyDescent="0.2">
      <c r="A1437" s="10" t="s">
        <v>10331</v>
      </c>
      <c r="B1437" s="10">
        <v>2468.8840523671702</v>
      </c>
      <c r="C1437" s="10">
        <v>1.13325083308474</v>
      </c>
      <c r="D1437" s="10">
        <v>0.249429933201886</v>
      </c>
      <c r="E1437" s="10">
        <v>4.5433634148773097</v>
      </c>
      <c r="F1437" s="4">
        <v>5.5363682932377801E-6</v>
      </c>
      <c r="G1437" s="4">
        <v>6.0236740664531298E-5</v>
      </c>
      <c r="H1437" s="10" t="s">
        <v>10332</v>
      </c>
      <c r="I1437" s="10" t="s">
        <v>18</v>
      </c>
    </row>
    <row r="1438" spans="1:9" x14ac:dyDescent="0.2">
      <c r="A1438" s="10" t="s">
        <v>4139</v>
      </c>
      <c r="B1438" s="10">
        <v>437.21802180352802</v>
      </c>
      <c r="C1438" s="10">
        <v>1.83734877192569</v>
      </c>
      <c r="D1438" s="10">
        <v>0.30019432217699998</v>
      </c>
      <c r="E1438" s="10">
        <v>6.1205313898054401</v>
      </c>
      <c r="F1438" s="4">
        <v>9.3263807564022994E-10</v>
      </c>
      <c r="G1438" s="4">
        <v>1.91046504826791E-8</v>
      </c>
      <c r="H1438" s="10" t="s">
        <v>4140</v>
      </c>
      <c r="I1438" s="10" t="s">
        <v>18</v>
      </c>
    </row>
    <row r="1439" spans="1:9" x14ac:dyDescent="0.2">
      <c r="A1439" s="10" t="s">
        <v>4141</v>
      </c>
      <c r="B1439" s="10">
        <v>33.536503333848401</v>
      </c>
      <c r="C1439" s="10">
        <v>3.71688101494283</v>
      </c>
      <c r="D1439" s="10">
        <v>0.72731279958698003</v>
      </c>
      <c r="E1439" s="10">
        <v>5.1104298137658803</v>
      </c>
      <c r="F1439" s="4">
        <v>3.2142670778065702E-7</v>
      </c>
      <c r="G1439" s="4">
        <v>4.4014637094297401E-6</v>
      </c>
      <c r="H1439" s="10" t="s">
        <v>4142</v>
      </c>
      <c r="I1439" s="10" t="s">
        <v>18</v>
      </c>
    </row>
    <row r="1440" spans="1:9" x14ac:dyDescent="0.2">
      <c r="A1440" s="10" t="s">
        <v>4145</v>
      </c>
      <c r="B1440" s="10">
        <v>180.141617169477</v>
      </c>
      <c r="C1440" s="10">
        <v>2.7923798354942502</v>
      </c>
      <c r="D1440" s="10">
        <v>0.361316504266192</v>
      </c>
      <c r="E1440" s="10">
        <v>7.7283484217400398</v>
      </c>
      <c r="F1440" s="4">
        <v>1.08950809189904E-14</v>
      </c>
      <c r="G1440" s="4">
        <v>3.83308755968117E-13</v>
      </c>
      <c r="H1440" s="10" t="s">
        <v>4146</v>
      </c>
      <c r="I1440" s="10" t="s">
        <v>18</v>
      </c>
    </row>
    <row r="1441" spans="1:9" x14ac:dyDescent="0.2">
      <c r="A1441" s="10" t="s">
        <v>4149</v>
      </c>
      <c r="B1441" s="10">
        <v>2684.9321168935699</v>
      </c>
      <c r="C1441" s="10">
        <v>2.3056399675407402</v>
      </c>
      <c r="D1441" s="10">
        <v>0.239848928413116</v>
      </c>
      <c r="E1441" s="10">
        <v>9.6128841716961801</v>
      </c>
      <c r="F1441" s="4">
        <v>7.0544735225149603E-22</v>
      </c>
      <c r="G1441" s="4">
        <v>4.2657519581457702E-20</v>
      </c>
      <c r="H1441" s="10" t="s">
        <v>4150</v>
      </c>
      <c r="I1441" s="10" t="s">
        <v>18</v>
      </c>
    </row>
    <row r="1442" spans="1:9" x14ac:dyDescent="0.2">
      <c r="A1442" s="10" t="s">
        <v>10333</v>
      </c>
      <c r="B1442" s="10">
        <v>93.893815985943206</v>
      </c>
      <c r="C1442" s="10">
        <v>1.22069695016448</v>
      </c>
      <c r="D1442" s="10">
        <v>0.41333001428731198</v>
      </c>
      <c r="E1442" s="10">
        <v>2.9533227880130499</v>
      </c>
      <c r="F1442" s="10">
        <v>3.1437304994674899E-3</v>
      </c>
      <c r="G1442" s="10">
        <v>1.6034172894181801E-2</v>
      </c>
      <c r="H1442" s="10" t="s">
        <v>10334</v>
      </c>
      <c r="I1442" s="10" t="s">
        <v>18</v>
      </c>
    </row>
    <row r="1443" spans="1:9" x14ac:dyDescent="0.2">
      <c r="A1443" s="10" t="s">
        <v>10335</v>
      </c>
      <c r="B1443" s="10">
        <v>60.297442518179402</v>
      </c>
      <c r="C1443" s="10">
        <v>-1.45581605544159</v>
      </c>
      <c r="D1443" s="10">
        <v>0.48259079597146598</v>
      </c>
      <c r="E1443" s="10">
        <v>-3.0166676770347398</v>
      </c>
      <c r="F1443" s="10">
        <v>2.5556982681641601E-3</v>
      </c>
      <c r="G1443" s="10">
        <v>1.34494958024413E-2</v>
      </c>
      <c r="H1443" s="10" t="s">
        <v>10336</v>
      </c>
      <c r="I1443" s="10" t="s">
        <v>18</v>
      </c>
    </row>
    <row r="1444" spans="1:9" x14ac:dyDescent="0.2">
      <c r="A1444" s="10" t="s">
        <v>10337</v>
      </c>
      <c r="B1444" s="10">
        <v>44.576757861628202</v>
      </c>
      <c r="C1444" s="10">
        <v>1.6080090804523799</v>
      </c>
      <c r="D1444" s="10">
        <v>0.58037418495372295</v>
      </c>
      <c r="E1444" s="10">
        <v>2.7706419791579799</v>
      </c>
      <c r="F1444" s="10">
        <v>5.5945903654188401E-3</v>
      </c>
      <c r="G1444" s="10">
        <v>2.5984475746327701E-2</v>
      </c>
      <c r="H1444" s="10" t="s">
        <v>10338</v>
      </c>
      <c r="I1444" s="10" t="s">
        <v>18</v>
      </c>
    </row>
    <row r="1445" spans="1:9" x14ac:dyDescent="0.2">
      <c r="A1445" s="10" t="s">
        <v>4161</v>
      </c>
      <c r="B1445" s="10">
        <v>303.89277104321502</v>
      </c>
      <c r="C1445" s="10">
        <v>2.8439902421649199</v>
      </c>
      <c r="D1445" s="10">
        <v>0.33598373332974502</v>
      </c>
      <c r="E1445" s="10">
        <v>8.4646664705452892</v>
      </c>
      <c r="F1445" s="4">
        <v>2.5688675945446001E-17</v>
      </c>
      <c r="G1445" s="4">
        <v>1.15599041754507E-15</v>
      </c>
      <c r="H1445" s="10" t="s">
        <v>4162</v>
      </c>
      <c r="I1445" s="10" t="s">
        <v>18</v>
      </c>
    </row>
    <row r="1446" spans="1:9" x14ac:dyDescent="0.2">
      <c r="A1446" s="10" t="s">
        <v>4163</v>
      </c>
      <c r="B1446" s="10">
        <v>299.70841489538799</v>
      </c>
      <c r="C1446" s="10">
        <v>-1.49897576494719</v>
      </c>
      <c r="D1446" s="10">
        <v>0.30112647350995397</v>
      </c>
      <c r="E1446" s="10">
        <v>-4.9778943294988496</v>
      </c>
      <c r="F1446" s="4">
        <v>6.4279731010758197E-7</v>
      </c>
      <c r="G1446" s="4">
        <v>8.3736749537836504E-6</v>
      </c>
      <c r="H1446" s="10" t="s">
        <v>4164</v>
      </c>
      <c r="I1446" s="10" t="s">
        <v>18</v>
      </c>
    </row>
    <row r="1447" spans="1:9" x14ac:dyDescent="0.2">
      <c r="A1447" s="10" t="s">
        <v>4165</v>
      </c>
      <c r="B1447" s="10">
        <v>474.64267152019102</v>
      </c>
      <c r="C1447" s="10">
        <v>-1.0534533798894501</v>
      </c>
      <c r="D1447" s="10">
        <v>0.27500626528994498</v>
      </c>
      <c r="E1447" s="10">
        <v>-3.8306522899715398</v>
      </c>
      <c r="F1447" s="10">
        <v>1.27804003249058E-4</v>
      </c>
      <c r="G1447" s="10">
        <v>1.00844093529801E-3</v>
      </c>
      <c r="H1447" s="10" t="s">
        <v>4166</v>
      </c>
      <c r="I1447" s="10" t="s">
        <v>18</v>
      </c>
    </row>
    <row r="1448" spans="1:9" x14ac:dyDescent="0.2">
      <c r="A1448" s="10" t="s">
        <v>4167</v>
      </c>
      <c r="B1448" s="10">
        <v>814.53829200651001</v>
      </c>
      <c r="C1448" s="10">
        <v>-1.00817368805455</v>
      </c>
      <c r="D1448" s="10">
        <v>0.26098375792127798</v>
      </c>
      <c r="E1448" s="10">
        <v>-3.8629748306354501</v>
      </c>
      <c r="F1448" s="10">
        <v>1.12014552874798E-4</v>
      </c>
      <c r="G1448" s="10">
        <v>8.9879619699060405E-4</v>
      </c>
      <c r="H1448" s="10" t="s">
        <v>4168</v>
      </c>
      <c r="I1448" s="10" t="s">
        <v>18</v>
      </c>
    </row>
    <row r="1449" spans="1:9" x14ac:dyDescent="0.2">
      <c r="A1449" s="10" t="s">
        <v>10339</v>
      </c>
      <c r="B1449" s="10">
        <v>220.64589565069201</v>
      </c>
      <c r="C1449" s="10">
        <v>-2.8109618123307998</v>
      </c>
      <c r="D1449" s="10">
        <v>0.33782787260927599</v>
      </c>
      <c r="E1449" s="10">
        <v>-8.3206924005997998</v>
      </c>
      <c r="F1449" s="4">
        <v>8.7450930418219294E-17</v>
      </c>
      <c r="G1449" s="4">
        <v>3.7993577800868803E-15</v>
      </c>
      <c r="H1449" s="10" t="s">
        <v>10340</v>
      </c>
      <c r="I1449" s="10" t="s">
        <v>18</v>
      </c>
    </row>
    <row r="1450" spans="1:9" x14ac:dyDescent="0.2">
      <c r="A1450" s="10" t="s">
        <v>10341</v>
      </c>
      <c r="B1450" s="10">
        <v>28.678364771372401</v>
      </c>
      <c r="C1450" s="10">
        <v>-3.3618619808104002</v>
      </c>
      <c r="D1450" s="10">
        <v>0.80522602187289205</v>
      </c>
      <c r="E1450" s="10">
        <v>-4.1750538227651601</v>
      </c>
      <c r="F1450" s="4">
        <v>2.9791560955488701E-5</v>
      </c>
      <c r="G1450" s="10">
        <v>2.7400611182278598E-4</v>
      </c>
      <c r="H1450" s="10" t="s">
        <v>10342</v>
      </c>
      <c r="I1450" s="10" t="s">
        <v>18</v>
      </c>
    </row>
    <row r="1451" spans="1:9" x14ac:dyDescent="0.2">
      <c r="A1451" s="10" t="s">
        <v>10343</v>
      </c>
      <c r="B1451" s="10">
        <v>2244.8060941440499</v>
      </c>
      <c r="C1451" s="10">
        <v>-3.4823891410552399</v>
      </c>
      <c r="D1451" s="10">
        <v>0.26195950116081901</v>
      </c>
      <c r="E1451" s="10">
        <v>-13.2936164774469</v>
      </c>
      <c r="F1451" s="4">
        <v>2.5209306212558801E-40</v>
      </c>
      <c r="G1451" s="4">
        <v>4.25597381058334E-38</v>
      </c>
      <c r="H1451" s="10" t="s">
        <v>10344</v>
      </c>
      <c r="I1451" s="10" t="s">
        <v>18</v>
      </c>
    </row>
    <row r="1452" spans="1:9" x14ac:dyDescent="0.2">
      <c r="A1452" s="10" t="s">
        <v>4179</v>
      </c>
      <c r="B1452" s="10">
        <v>85.021165441661594</v>
      </c>
      <c r="C1452" s="10">
        <v>3.0736121164071601</v>
      </c>
      <c r="D1452" s="10">
        <v>0.46954828508846702</v>
      </c>
      <c r="E1452" s="10">
        <v>6.54589147488434</v>
      </c>
      <c r="F1452" s="4">
        <v>5.9141517971671506E-11</v>
      </c>
      <c r="G1452" s="4">
        <v>1.39821887648252E-9</v>
      </c>
      <c r="H1452" s="10" t="s">
        <v>4180</v>
      </c>
      <c r="I1452" s="10" t="s">
        <v>18</v>
      </c>
    </row>
    <row r="1453" spans="1:9" x14ac:dyDescent="0.2">
      <c r="A1453" s="10" t="s">
        <v>10345</v>
      </c>
      <c r="B1453" s="10">
        <v>559.84081922146697</v>
      </c>
      <c r="C1453" s="10">
        <v>-1.2148162847306501</v>
      </c>
      <c r="D1453" s="10">
        <v>0.271641821115574</v>
      </c>
      <c r="E1453" s="10">
        <v>-4.4721253882839704</v>
      </c>
      <c r="F1453" s="4">
        <v>7.7445992077696596E-6</v>
      </c>
      <c r="G1453" s="4">
        <v>8.1786479039230002E-5</v>
      </c>
      <c r="H1453" s="10" t="s">
        <v>10346</v>
      </c>
      <c r="I1453" s="10" t="s">
        <v>18</v>
      </c>
    </row>
    <row r="1454" spans="1:9" x14ac:dyDescent="0.2">
      <c r="A1454" s="10" t="s">
        <v>4183</v>
      </c>
      <c r="B1454" s="10">
        <v>448.035465761615</v>
      </c>
      <c r="C1454" s="10">
        <v>-1.90952317857275</v>
      </c>
      <c r="D1454" s="10">
        <v>0.28370915433183502</v>
      </c>
      <c r="E1454" s="10">
        <v>-6.7305659666494799</v>
      </c>
      <c r="F1454" s="4">
        <v>1.69004405292684E-11</v>
      </c>
      <c r="G1454" s="4">
        <v>4.2301550399377598E-10</v>
      </c>
      <c r="H1454" s="10" t="s">
        <v>4184</v>
      </c>
      <c r="I1454" s="10" t="s">
        <v>18</v>
      </c>
    </row>
    <row r="1455" spans="1:9" x14ac:dyDescent="0.2">
      <c r="A1455" s="10" t="s">
        <v>10347</v>
      </c>
      <c r="B1455" s="10">
        <v>73.899777393320704</v>
      </c>
      <c r="C1455" s="10">
        <v>-1.50925686679803</v>
      </c>
      <c r="D1455" s="10">
        <v>0.46082674050942002</v>
      </c>
      <c r="E1455" s="10">
        <v>-3.2751069634753098</v>
      </c>
      <c r="F1455" s="10">
        <v>1.0562197365837601E-3</v>
      </c>
      <c r="G1455" s="10">
        <v>6.39605379724709E-3</v>
      </c>
      <c r="H1455" s="10" t="s">
        <v>10348</v>
      </c>
      <c r="I1455" s="10" t="s">
        <v>18</v>
      </c>
    </row>
    <row r="1456" spans="1:9" x14ac:dyDescent="0.2">
      <c r="A1456" s="10" t="s">
        <v>10349</v>
      </c>
      <c r="B1456" s="10">
        <v>5124.2189442422996</v>
      </c>
      <c r="C1456" s="10">
        <v>1.28990871294055</v>
      </c>
      <c r="D1456" s="10">
        <v>0.26439784471940803</v>
      </c>
      <c r="E1456" s="10">
        <v>4.8786657633668096</v>
      </c>
      <c r="F1456" s="4">
        <v>1.06805879838884E-6</v>
      </c>
      <c r="G1456" s="4">
        <v>1.32676637399858E-5</v>
      </c>
      <c r="H1456" s="10" t="s">
        <v>10350</v>
      </c>
      <c r="I1456" s="10" t="s">
        <v>18</v>
      </c>
    </row>
    <row r="1457" spans="1:9" x14ac:dyDescent="0.2">
      <c r="A1457" s="10" t="s">
        <v>4189</v>
      </c>
      <c r="B1457" s="10">
        <v>357.53155239931903</v>
      </c>
      <c r="C1457" s="10">
        <v>-1.73750174128359</v>
      </c>
      <c r="D1457" s="10">
        <v>0.295010502276916</v>
      </c>
      <c r="E1457" s="10">
        <v>-5.8896267348904701</v>
      </c>
      <c r="F1457" s="4">
        <v>3.87068873961423E-9</v>
      </c>
      <c r="G1457" s="4">
        <v>7.2716337001490598E-8</v>
      </c>
      <c r="H1457" s="10" t="s">
        <v>4190</v>
      </c>
      <c r="I1457" s="10" t="s">
        <v>18</v>
      </c>
    </row>
    <row r="1458" spans="1:9" x14ac:dyDescent="0.2">
      <c r="A1458" s="10" t="s">
        <v>10351</v>
      </c>
      <c r="B1458" s="10">
        <v>1056.81501300028</v>
      </c>
      <c r="C1458" s="10">
        <v>-1.4012938205301599</v>
      </c>
      <c r="D1458" s="10">
        <v>0.26568510170055998</v>
      </c>
      <c r="E1458" s="10">
        <v>-5.2742657061346501</v>
      </c>
      <c r="F1458" s="4">
        <v>1.3328867835099001E-7</v>
      </c>
      <c r="G1458" s="4">
        <v>1.9676506478398798E-6</v>
      </c>
      <c r="H1458" s="10" t="s">
        <v>10352</v>
      </c>
      <c r="I1458" s="10" t="s">
        <v>18</v>
      </c>
    </row>
    <row r="1459" spans="1:9" x14ac:dyDescent="0.2">
      <c r="A1459" s="10" t="s">
        <v>4201</v>
      </c>
      <c r="B1459" s="10">
        <v>157.54048998698201</v>
      </c>
      <c r="C1459" s="10">
        <v>3.5798005558977302</v>
      </c>
      <c r="D1459" s="10">
        <v>0.40104265094956199</v>
      </c>
      <c r="E1459" s="10">
        <v>8.9262340237920395</v>
      </c>
      <c r="F1459" s="4">
        <v>4.4075752679562398E-19</v>
      </c>
      <c r="G1459" s="4">
        <v>2.2263565434827199E-17</v>
      </c>
      <c r="H1459" s="10" t="s">
        <v>4202</v>
      </c>
      <c r="I1459" s="10" t="s">
        <v>18</v>
      </c>
    </row>
    <row r="1460" spans="1:9" x14ac:dyDescent="0.2">
      <c r="A1460" s="10" t="s">
        <v>10353</v>
      </c>
      <c r="B1460" s="10">
        <v>52.929232844320502</v>
      </c>
      <c r="C1460" s="10">
        <v>-1.7723463655505101</v>
      </c>
      <c r="D1460" s="10">
        <v>0.53587494812761904</v>
      </c>
      <c r="E1460" s="10">
        <v>-3.3073879862143101</v>
      </c>
      <c r="F1460" s="10">
        <v>9.4170364683205299E-4</v>
      </c>
      <c r="G1460" s="10">
        <v>5.8003318403673596E-3</v>
      </c>
      <c r="H1460" s="10" t="s">
        <v>10354</v>
      </c>
      <c r="I1460" s="10" t="s">
        <v>18</v>
      </c>
    </row>
    <row r="1461" spans="1:9" x14ac:dyDescent="0.2">
      <c r="A1461" s="10" t="s">
        <v>4209</v>
      </c>
      <c r="B1461" s="10">
        <v>134.99558607167299</v>
      </c>
      <c r="C1461" s="10">
        <v>2.6830664073030599</v>
      </c>
      <c r="D1461" s="10">
        <v>0.446809640655002</v>
      </c>
      <c r="E1461" s="10">
        <v>6.0049429626670703</v>
      </c>
      <c r="F1461" s="4">
        <v>1.9139917724293299E-9</v>
      </c>
      <c r="G1461" s="4">
        <v>3.7265064268931701E-8</v>
      </c>
      <c r="H1461" s="10" t="s">
        <v>4210</v>
      </c>
      <c r="I1461" s="10" t="s">
        <v>18</v>
      </c>
    </row>
    <row r="1462" spans="1:9" x14ac:dyDescent="0.2">
      <c r="A1462" s="10" t="s">
        <v>10355</v>
      </c>
      <c r="B1462" s="10">
        <v>3138.5851768062598</v>
      </c>
      <c r="C1462" s="10">
        <v>1.4931237380483999</v>
      </c>
      <c r="D1462" s="10">
        <v>0.290555241395476</v>
      </c>
      <c r="E1462" s="10">
        <v>5.1388635458002598</v>
      </c>
      <c r="F1462" s="4">
        <v>2.7640501628514199E-7</v>
      </c>
      <c r="G1462" s="4">
        <v>3.8329482826090097E-6</v>
      </c>
      <c r="H1462" s="10" t="s">
        <v>10356</v>
      </c>
      <c r="I1462" s="10" t="s">
        <v>18</v>
      </c>
    </row>
    <row r="1463" spans="1:9" x14ac:dyDescent="0.2">
      <c r="A1463" s="10" t="s">
        <v>10357</v>
      </c>
      <c r="B1463" s="10">
        <v>34.033002916922797</v>
      </c>
      <c r="C1463" s="10">
        <v>-2.73715489689571</v>
      </c>
      <c r="D1463" s="10">
        <v>0.67547935041557305</v>
      </c>
      <c r="E1463" s="10">
        <v>-4.0521666505596903</v>
      </c>
      <c r="F1463" s="4">
        <v>5.0745497165215297E-5</v>
      </c>
      <c r="G1463" s="10">
        <v>4.4508472147524098E-4</v>
      </c>
      <c r="H1463" s="10" t="s">
        <v>10358</v>
      </c>
      <c r="I1463" s="10" t="s">
        <v>18</v>
      </c>
    </row>
    <row r="1464" spans="1:9" x14ac:dyDescent="0.2">
      <c r="A1464" s="10" t="s">
        <v>4215</v>
      </c>
      <c r="B1464" s="10">
        <v>682.94041628849504</v>
      </c>
      <c r="C1464" s="10">
        <v>-3.1600934571919699</v>
      </c>
      <c r="D1464" s="10">
        <v>0.29882858138107499</v>
      </c>
      <c r="E1464" s="10">
        <v>-10.574937118086901</v>
      </c>
      <c r="F1464" s="4">
        <v>3.8943865512292902E-26</v>
      </c>
      <c r="G1464" s="4">
        <v>3.2873588488648598E-24</v>
      </c>
      <c r="H1464" s="10" t="s">
        <v>4216</v>
      </c>
      <c r="I1464" s="10" t="s">
        <v>18</v>
      </c>
    </row>
    <row r="1465" spans="1:9" x14ac:dyDescent="0.2">
      <c r="A1465" s="10" t="s">
        <v>4219</v>
      </c>
      <c r="B1465" s="10">
        <v>615.037397902875</v>
      </c>
      <c r="C1465" s="10">
        <v>-2.1166975093626701</v>
      </c>
      <c r="D1465" s="10">
        <v>0.27201454366248101</v>
      </c>
      <c r="E1465" s="10">
        <v>-7.7815600624248296</v>
      </c>
      <c r="F1465" s="4">
        <v>7.1635605754831393E-15</v>
      </c>
      <c r="G1465" s="4">
        <v>2.5779594603187198E-13</v>
      </c>
      <c r="H1465" s="10" t="s">
        <v>4220</v>
      </c>
      <c r="I1465" s="10" t="s">
        <v>18</v>
      </c>
    </row>
    <row r="1466" spans="1:9" x14ac:dyDescent="0.2">
      <c r="A1466" s="10" t="s">
        <v>4221</v>
      </c>
      <c r="B1466" s="10">
        <v>936.62942155908195</v>
      </c>
      <c r="C1466" s="10">
        <v>-1.0256550861677201</v>
      </c>
      <c r="D1466" s="10">
        <v>0.264865781730173</v>
      </c>
      <c r="E1466" s="10">
        <v>-3.8723578390076399</v>
      </c>
      <c r="F1466" s="10">
        <v>1.07787546090458E-4</v>
      </c>
      <c r="G1466" s="10">
        <v>8.6736907290642395E-4</v>
      </c>
      <c r="H1466" s="10" t="s">
        <v>4222</v>
      </c>
      <c r="I1466" s="10" t="s">
        <v>18</v>
      </c>
    </row>
    <row r="1467" spans="1:9" x14ac:dyDescent="0.2">
      <c r="A1467" s="10" t="s">
        <v>4223</v>
      </c>
      <c r="B1467" s="10">
        <v>404.48731296961</v>
      </c>
      <c r="C1467" s="10">
        <v>-1.13590537218629</v>
      </c>
      <c r="D1467" s="10">
        <v>0.28167503372191399</v>
      </c>
      <c r="E1467" s="10">
        <v>-4.0326803450664501</v>
      </c>
      <c r="F1467" s="4">
        <v>5.51442660333926E-5</v>
      </c>
      <c r="G1467" s="10">
        <v>4.7932066761229898E-4</v>
      </c>
      <c r="H1467" s="10" t="s">
        <v>4224</v>
      </c>
      <c r="I1467" s="10" t="s">
        <v>18</v>
      </c>
    </row>
    <row r="1468" spans="1:9" x14ac:dyDescent="0.2">
      <c r="A1468" s="10" t="s">
        <v>4227</v>
      </c>
      <c r="B1468" s="10">
        <v>2025.8531680516401</v>
      </c>
      <c r="C1468" s="10">
        <v>-1.0688033913641799</v>
      </c>
      <c r="D1468" s="10">
        <v>0.25539889783590602</v>
      </c>
      <c r="E1468" s="10">
        <v>-4.1848394821613102</v>
      </c>
      <c r="F1468" s="4">
        <v>2.8536767946412701E-5</v>
      </c>
      <c r="G1468" s="10">
        <v>2.6400970860316697E-4</v>
      </c>
      <c r="H1468" s="10" t="s">
        <v>0</v>
      </c>
      <c r="I1468" s="10" t="s">
        <v>18</v>
      </c>
    </row>
    <row r="1469" spans="1:9" x14ac:dyDescent="0.2">
      <c r="A1469" s="10" t="s">
        <v>4228</v>
      </c>
      <c r="B1469" s="10">
        <v>357.065402043554</v>
      </c>
      <c r="C1469" s="10">
        <v>1.6478120339979401</v>
      </c>
      <c r="D1469" s="10">
        <v>0.33476783545407601</v>
      </c>
      <c r="E1469" s="10">
        <v>4.9222531542281098</v>
      </c>
      <c r="F1469" s="4">
        <v>8.5553442765123001E-7</v>
      </c>
      <c r="G1469" s="4">
        <v>1.08254368850939E-5</v>
      </c>
      <c r="H1469" s="10" t="s">
        <v>4229</v>
      </c>
      <c r="I1469" s="10" t="s">
        <v>18</v>
      </c>
    </row>
    <row r="1470" spans="1:9" x14ac:dyDescent="0.2">
      <c r="A1470" s="10" t="s">
        <v>4230</v>
      </c>
      <c r="B1470" s="10">
        <v>634.33368109759601</v>
      </c>
      <c r="C1470" s="10">
        <v>4.57779001126874</v>
      </c>
      <c r="D1470" s="10">
        <v>0.296808180680043</v>
      </c>
      <c r="E1470" s="10">
        <v>15.423395678583301</v>
      </c>
      <c r="F1470" s="4">
        <v>1.1395180387676701E-53</v>
      </c>
      <c r="G1470" s="4">
        <v>3.2573382119546403E-51</v>
      </c>
      <c r="H1470" s="10" t="s">
        <v>4231</v>
      </c>
      <c r="I1470" s="10" t="s">
        <v>18</v>
      </c>
    </row>
    <row r="1471" spans="1:9" x14ac:dyDescent="0.2">
      <c r="A1471" s="10" t="s">
        <v>4236</v>
      </c>
      <c r="B1471" s="10">
        <v>4408.0794786270399</v>
      </c>
      <c r="C1471" s="10">
        <v>1.5450254875751701</v>
      </c>
      <c r="D1471" s="10">
        <v>0.25209040945725703</v>
      </c>
      <c r="E1471" s="10">
        <v>6.1288546871004197</v>
      </c>
      <c r="F1471" s="4">
        <v>8.8513920411801596E-10</v>
      </c>
      <c r="G1471" s="4">
        <v>1.8176062595582601E-8</v>
      </c>
      <c r="H1471" s="10" t="s">
        <v>4237</v>
      </c>
      <c r="I1471" s="10" t="s">
        <v>18</v>
      </c>
    </row>
    <row r="1472" spans="1:9" x14ac:dyDescent="0.2">
      <c r="A1472" s="10" t="s">
        <v>10359</v>
      </c>
      <c r="B1472" s="10">
        <v>44.456163089689099</v>
      </c>
      <c r="C1472" s="10">
        <v>-1.66469419176413</v>
      </c>
      <c r="D1472" s="10">
        <v>0.54819599300641997</v>
      </c>
      <c r="E1472" s="10">
        <v>-3.0366770516409698</v>
      </c>
      <c r="F1472" s="10">
        <v>2.3920158373310499E-3</v>
      </c>
      <c r="G1472" s="10">
        <v>1.27410276898341E-2</v>
      </c>
      <c r="H1472" s="10" t="s">
        <v>10360</v>
      </c>
      <c r="I1472" s="10" t="s">
        <v>18</v>
      </c>
    </row>
    <row r="1473" spans="1:9" x14ac:dyDescent="0.2">
      <c r="A1473" s="10" t="s">
        <v>4238</v>
      </c>
      <c r="B1473" s="10">
        <v>459.37703904413797</v>
      </c>
      <c r="C1473" s="10">
        <v>-2.2340103559407001</v>
      </c>
      <c r="D1473" s="10">
        <v>0.29677712125280498</v>
      </c>
      <c r="E1473" s="10">
        <v>-7.5275693305134999</v>
      </c>
      <c r="F1473" s="4">
        <v>5.1693562385167403E-14</v>
      </c>
      <c r="G1473" s="4">
        <v>1.6998059631358001E-12</v>
      </c>
      <c r="H1473" s="10" t="s">
        <v>4239</v>
      </c>
      <c r="I1473" s="10" t="s">
        <v>18</v>
      </c>
    </row>
    <row r="1474" spans="1:9" x14ac:dyDescent="0.2">
      <c r="A1474" s="10" t="s">
        <v>10361</v>
      </c>
      <c r="B1474" s="10">
        <v>2611.8228051103101</v>
      </c>
      <c r="C1474" s="10">
        <v>-1.06075696516909</v>
      </c>
      <c r="D1474" s="10">
        <v>0.33561046014331702</v>
      </c>
      <c r="E1474" s="10">
        <v>-3.16067909419781</v>
      </c>
      <c r="F1474" s="10">
        <v>1.57401806964585E-3</v>
      </c>
      <c r="G1474" s="10">
        <v>8.9783275605309198E-3</v>
      </c>
      <c r="H1474" s="10" t="s">
        <v>10362</v>
      </c>
      <c r="I1474" s="10" t="s">
        <v>18</v>
      </c>
    </row>
    <row r="1475" spans="1:9" x14ac:dyDescent="0.2">
      <c r="A1475" s="10" t="s">
        <v>10363</v>
      </c>
      <c r="B1475" s="10">
        <v>3678.3286147323302</v>
      </c>
      <c r="C1475" s="10">
        <v>-1.05171203357984</v>
      </c>
      <c r="D1475" s="10">
        <v>0.26164218643743697</v>
      </c>
      <c r="E1475" s="10">
        <v>-4.01965771613561</v>
      </c>
      <c r="F1475" s="4">
        <v>5.8282754801472398E-5</v>
      </c>
      <c r="G1475" s="10">
        <v>5.0398855174666097E-4</v>
      </c>
      <c r="H1475" s="10" t="s">
        <v>10364</v>
      </c>
      <c r="I1475" s="10" t="s">
        <v>18</v>
      </c>
    </row>
    <row r="1476" spans="1:9" x14ac:dyDescent="0.2">
      <c r="A1476" s="10" t="s">
        <v>10365</v>
      </c>
      <c r="B1476" s="10">
        <v>415.42367442109702</v>
      </c>
      <c r="C1476" s="10">
        <v>-1.1387696714766999</v>
      </c>
      <c r="D1476" s="10">
        <v>0.287367626208203</v>
      </c>
      <c r="E1476" s="10">
        <v>-3.9627625648118099</v>
      </c>
      <c r="F1476" s="4">
        <v>7.4087455332539005E-5</v>
      </c>
      <c r="G1476" s="10">
        <v>6.2309259073554696E-4</v>
      </c>
      <c r="H1476" s="10" t="s">
        <v>10366</v>
      </c>
      <c r="I1476" s="10" t="s">
        <v>18</v>
      </c>
    </row>
    <row r="1477" spans="1:9" x14ac:dyDescent="0.2">
      <c r="A1477" s="10" t="s">
        <v>10367</v>
      </c>
      <c r="B1477" s="10">
        <v>5896.6875992253499</v>
      </c>
      <c r="C1477" s="10">
        <v>1.0032522337677099</v>
      </c>
      <c r="D1477" s="10">
        <v>0.23514907726253401</v>
      </c>
      <c r="E1477" s="10">
        <v>4.2664519267818397</v>
      </c>
      <c r="F1477" s="4">
        <v>1.9860626605391E-5</v>
      </c>
      <c r="G1477" s="10">
        <v>1.90249071690255E-4</v>
      </c>
      <c r="H1477" s="10" t="s">
        <v>10368</v>
      </c>
      <c r="I1477" s="10" t="s">
        <v>18</v>
      </c>
    </row>
    <row r="1478" spans="1:9" x14ac:dyDescent="0.2">
      <c r="A1478" s="10" t="s">
        <v>10369</v>
      </c>
      <c r="B1478" s="10">
        <v>1864.0909255096001</v>
      </c>
      <c r="C1478" s="10">
        <v>1.81577595674609</v>
      </c>
      <c r="D1478" s="10">
        <v>0.24191023294765099</v>
      </c>
      <c r="E1478" s="10">
        <v>7.5059906917580603</v>
      </c>
      <c r="F1478" s="4">
        <v>6.0965750020945796E-14</v>
      </c>
      <c r="G1478" s="4">
        <v>1.9865200023016699E-12</v>
      </c>
      <c r="H1478" s="10" t="s">
        <v>10370</v>
      </c>
      <c r="I1478" s="10" t="s">
        <v>18</v>
      </c>
    </row>
    <row r="1479" spans="1:9" x14ac:dyDescent="0.2">
      <c r="A1479" s="10" t="s">
        <v>4248</v>
      </c>
      <c r="B1479" s="10">
        <v>44.346754358279298</v>
      </c>
      <c r="C1479" s="10">
        <v>-2.2975943465940798</v>
      </c>
      <c r="D1479" s="10">
        <v>0.56866179297817698</v>
      </c>
      <c r="E1479" s="10">
        <v>-4.04035293906629</v>
      </c>
      <c r="F1479" s="4">
        <v>5.3370822958983301E-5</v>
      </c>
      <c r="G1479" s="10">
        <v>4.6567570292515599E-4</v>
      </c>
      <c r="H1479" s="10" t="s">
        <v>4249</v>
      </c>
      <c r="I1479" s="10" t="s">
        <v>18</v>
      </c>
    </row>
    <row r="1480" spans="1:9" x14ac:dyDescent="0.2">
      <c r="A1480" s="10" t="s">
        <v>10371</v>
      </c>
      <c r="B1480" s="10">
        <v>1062.9804769778</v>
      </c>
      <c r="C1480" s="10">
        <v>2.1054552276018299</v>
      </c>
      <c r="D1480" s="10">
        <v>0.27428645042389999</v>
      </c>
      <c r="E1480" s="10">
        <v>7.6761182491804396</v>
      </c>
      <c r="F1480" s="4">
        <v>1.6398176539908099E-14</v>
      </c>
      <c r="G1480" s="4">
        <v>5.6506319296080703E-13</v>
      </c>
      <c r="H1480" s="10" t="s">
        <v>10372</v>
      </c>
      <c r="I1480" s="10" t="s">
        <v>18</v>
      </c>
    </row>
    <row r="1481" spans="1:9" x14ac:dyDescent="0.2">
      <c r="A1481" s="10" t="s">
        <v>10373</v>
      </c>
      <c r="B1481" s="10">
        <v>1699.8567773452201</v>
      </c>
      <c r="C1481" s="10">
        <v>-1.02660068403191</v>
      </c>
      <c r="D1481" s="10">
        <v>0.242693258080621</v>
      </c>
      <c r="E1481" s="10">
        <v>-4.23003379719301</v>
      </c>
      <c r="F1481" s="4">
        <v>2.33656204727385E-5</v>
      </c>
      <c r="G1481" s="10">
        <v>2.20661018715041E-4</v>
      </c>
      <c r="H1481" s="10" t="s">
        <v>10374</v>
      </c>
      <c r="I1481" s="10" t="s">
        <v>18</v>
      </c>
    </row>
    <row r="1482" spans="1:9" x14ac:dyDescent="0.2">
      <c r="A1482" s="10" t="s">
        <v>10375</v>
      </c>
      <c r="B1482" s="10">
        <v>1845.94665442208</v>
      </c>
      <c r="C1482" s="10">
        <v>-1.04598742173556</v>
      </c>
      <c r="D1482" s="10">
        <v>0.25954089137291297</v>
      </c>
      <c r="E1482" s="10">
        <v>-4.0301449848712396</v>
      </c>
      <c r="F1482" s="4">
        <v>5.5742459945168997E-5</v>
      </c>
      <c r="G1482" s="10">
        <v>4.8401849496745798E-4</v>
      </c>
      <c r="H1482" s="10" t="s">
        <v>10376</v>
      </c>
      <c r="I1482" s="10" t="s">
        <v>18</v>
      </c>
    </row>
    <row r="1483" spans="1:9" x14ac:dyDescent="0.2">
      <c r="A1483" s="10" t="s">
        <v>4264</v>
      </c>
      <c r="B1483" s="10">
        <v>122.748772907571</v>
      </c>
      <c r="C1483" s="10">
        <v>-1.75829266522332</v>
      </c>
      <c r="D1483" s="10">
        <v>0.41775475937710799</v>
      </c>
      <c r="E1483" s="10">
        <v>-4.20891115123385</v>
      </c>
      <c r="F1483" s="4">
        <v>2.56604258619487E-5</v>
      </c>
      <c r="G1483" s="10">
        <v>2.4058442510522499E-4</v>
      </c>
      <c r="H1483" s="10" t="s">
        <v>4265</v>
      </c>
      <c r="I1483" s="10" t="s">
        <v>18</v>
      </c>
    </row>
    <row r="1484" spans="1:9" x14ac:dyDescent="0.2">
      <c r="A1484" s="10" t="s">
        <v>10377</v>
      </c>
      <c r="B1484" s="10">
        <v>2932.35102491512</v>
      </c>
      <c r="C1484" s="10">
        <v>-1.3397030155512499</v>
      </c>
      <c r="D1484" s="10">
        <v>0.24313830580314999</v>
      </c>
      <c r="E1484" s="10">
        <v>-5.5100450384642397</v>
      </c>
      <c r="F1484" s="4">
        <v>3.5874189552155802E-8</v>
      </c>
      <c r="G1484" s="4">
        <v>5.7699184027140702E-7</v>
      </c>
      <c r="H1484" s="10" t="s">
        <v>10378</v>
      </c>
      <c r="I1484" s="10" t="s">
        <v>18</v>
      </c>
    </row>
    <row r="1485" spans="1:9" x14ac:dyDescent="0.2">
      <c r="A1485" s="10" t="s">
        <v>10379</v>
      </c>
      <c r="B1485" s="10">
        <v>781.04579387174499</v>
      </c>
      <c r="C1485" s="10">
        <v>1.43205225051275</v>
      </c>
      <c r="D1485" s="10">
        <v>0.33419398648146598</v>
      </c>
      <c r="E1485" s="10">
        <v>4.28509281567269</v>
      </c>
      <c r="F1485" s="4">
        <v>1.8266291257957101E-5</v>
      </c>
      <c r="G1485" s="10">
        <v>1.76862415932991E-4</v>
      </c>
      <c r="H1485" s="10" t="s">
        <v>10380</v>
      </c>
      <c r="I1485" s="10" t="s">
        <v>18</v>
      </c>
    </row>
    <row r="1486" spans="1:9" x14ac:dyDescent="0.2">
      <c r="A1486" s="10" t="s">
        <v>4266</v>
      </c>
      <c r="B1486" s="10">
        <v>1262.90810556418</v>
      </c>
      <c r="C1486" s="10">
        <v>3.5520704552753499</v>
      </c>
      <c r="D1486" s="10">
        <v>0.32549107087567802</v>
      </c>
      <c r="E1486" s="10">
        <v>10.9129582133209</v>
      </c>
      <c r="F1486" s="4">
        <v>9.9949943971860301E-28</v>
      </c>
      <c r="G1486" s="4">
        <v>9.0766817350618996E-26</v>
      </c>
      <c r="H1486" s="10" t="s">
        <v>4267</v>
      </c>
      <c r="I1486" s="10" t="s">
        <v>18</v>
      </c>
    </row>
    <row r="1487" spans="1:9" x14ac:dyDescent="0.2">
      <c r="A1487" s="10" t="s">
        <v>4270</v>
      </c>
      <c r="B1487" s="10">
        <v>41.4304590161668</v>
      </c>
      <c r="C1487" s="10">
        <v>2.2701505279521199</v>
      </c>
      <c r="D1487" s="10">
        <v>0.66474098067871601</v>
      </c>
      <c r="E1487" s="10">
        <v>3.4150903794651599</v>
      </c>
      <c r="F1487" s="10">
        <v>6.3760851196011201E-4</v>
      </c>
      <c r="G1487" s="10">
        <v>4.1487434346499296E-3</v>
      </c>
      <c r="H1487" s="10" t="s">
        <v>4271</v>
      </c>
      <c r="I1487" s="10" t="s">
        <v>18</v>
      </c>
    </row>
    <row r="1488" spans="1:9" x14ac:dyDescent="0.2">
      <c r="A1488" s="10" t="s">
        <v>4276</v>
      </c>
      <c r="B1488" s="10">
        <v>101.658719817556</v>
      </c>
      <c r="C1488" s="10">
        <v>1.5750602330464301</v>
      </c>
      <c r="D1488" s="10">
        <v>0.397828139496685</v>
      </c>
      <c r="E1488" s="10">
        <v>3.9591473721268802</v>
      </c>
      <c r="F1488" s="4">
        <v>7.5217813958106504E-5</v>
      </c>
      <c r="G1488" s="10">
        <v>6.3133270274146405E-4</v>
      </c>
      <c r="H1488" s="10" t="s">
        <v>4277</v>
      </c>
      <c r="I1488" s="10" t="s">
        <v>18</v>
      </c>
    </row>
    <row r="1489" spans="1:9" x14ac:dyDescent="0.2">
      <c r="A1489" s="10" t="s">
        <v>4278</v>
      </c>
      <c r="B1489" s="10">
        <v>1427.0481564678601</v>
      </c>
      <c r="C1489" s="10">
        <v>4.1768948211022003</v>
      </c>
      <c r="D1489" s="10">
        <v>0.26170401406696397</v>
      </c>
      <c r="E1489" s="10">
        <v>15.960377359872799</v>
      </c>
      <c r="F1489" s="4">
        <v>2.41268228418257E-57</v>
      </c>
      <c r="G1489" s="4">
        <v>7.8819510205990501E-55</v>
      </c>
      <c r="H1489" s="10" t="s">
        <v>4279</v>
      </c>
      <c r="I1489" s="10" t="s">
        <v>18</v>
      </c>
    </row>
    <row r="1490" spans="1:9" x14ac:dyDescent="0.2">
      <c r="A1490" s="10" t="s">
        <v>10381</v>
      </c>
      <c r="B1490" s="10">
        <v>917.27564061400096</v>
      </c>
      <c r="C1490" s="10">
        <v>1.7420795109429099</v>
      </c>
      <c r="D1490" s="10">
        <v>0.27037747404677398</v>
      </c>
      <c r="E1490" s="10">
        <v>6.4431384940061101</v>
      </c>
      <c r="F1490" s="4">
        <v>1.1702781281530099E-10</v>
      </c>
      <c r="G1490" s="4">
        <v>2.6616949650713301E-9</v>
      </c>
      <c r="H1490" s="10" t="s">
        <v>10382</v>
      </c>
      <c r="I1490" s="10" t="s">
        <v>18</v>
      </c>
    </row>
    <row r="1491" spans="1:9" x14ac:dyDescent="0.2">
      <c r="A1491" s="10" t="s">
        <v>4282</v>
      </c>
      <c r="B1491" s="10">
        <v>6311.3352192046495</v>
      </c>
      <c r="C1491" s="10">
        <v>1.1621206968519999</v>
      </c>
      <c r="D1491" s="10">
        <v>0.23718277439840599</v>
      </c>
      <c r="E1491" s="10">
        <v>4.8996842194784804</v>
      </c>
      <c r="F1491" s="4">
        <v>9.5990809807519795E-7</v>
      </c>
      <c r="G1491" s="4">
        <v>1.20611829206202E-5</v>
      </c>
      <c r="H1491" s="10" t="s">
        <v>4283</v>
      </c>
      <c r="I1491" s="10" t="s">
        <v>18</v>
      </c>
    </row>
    <row r="1492" spans="1:9" x14ac:dyDescent="0.2">
      <c r="A1492" s="10" t="s">
        <v>10383</v>
      </c>
      <c r="B1492" s="10">
        <v>5150.3372854549598</v>
      </c>
      <c r="C1492" s="10">
        <v>1.6513668738314999</v>
      </c>
      <c r="D1492" s="10">
        <v>0.27270902124933399</v>
      </c>
      <c r="E1492" s="10">
        <v>6.0554171118588496</v>
      </c>
      <c r="F1492" s="4">
        <v>1.4005427745580699E-9</v>
      </c>
      <c r="G1492" s="4">
        <v>2.7872352447791299E-8</v>
      </c>
      <c r="H1492" s="10" t="s">
        <v>10384</v>
      </c>
      <c r="I1492" s="10" t="s">
        <v>18</v>
      </c>
    </row>
    <row r="1493" spans="1:9" x14ac:dyDescent="0.2">
      <c r="A1493" s="10" t="s">
        <v>10385</v>
      </c>
      <c r="B1493" s="10">
        <v>15173.605070563401</v>
      </c>
      <c r="C1493" s="10">
        <v>1.4751496793391501</v>
      </c>
      <c r="D1493" s="10">
        <v>0.28559684047192402</v>
      </c>
      <c r="E1493" s="10">
        <v>5.1651470545038096</v>
      </c>
      <c r="F1493" s="4">
        <v>2.4024996379199902E-7</v>
      </c>
      <c r="G1493" s="4">
        <v>3.3743650693398898E-6</v>
      </c>
      <c r="H1493" s="10" t="s">
        <v>10386</v>
      </c>
      <c r="I1493" s="10" t="s">
        <v>18</v>
      </c>
    </row>
    <row r="1494" spans="1:9" x14ac:dyDescent="0.2">
      <c r="A1494" s="10" t="s">
        <v>10387</v>
      </c>
      <c r="B1494" s="10">
        <v>3143.2769894989901</v>
      </c>
      <c r="C1494" s="10">
        <v>3.3065008683677499</v>
      </c>
      <c r="D1494" s="10">
        <v>0.27478100863350702</v>
      </c>
      <c r="E1494" s="10">
        <v>12.0332219639598</v>
      </c>
      <c r="F1494" s="4">
        <v>2.3770000019155098E-33</v>
      </c>
      <c r="G1494" s="4">
        <v>2.7940857499151801E-31</v>
      </c>
      <c r="H1494" s="10" t="s">
        <v>10388</v>
      </c>
      <c r="I1494" s="10" t="s">
        <v>18</v>
      </c>
    </row>
    <row r="1495" spans="1:9" x14ac:dyDescent="0.2">
      <c r="A1495" s="10" t="s">
        <v>4288</v>
      </c>
      <c r="B1495" s="10">
        <v>100.246925091969</v>
      </c>
      <c r="C1495" s="10">
        <v>2.3861427396838599</v>
      </c>
      <c r="D1495" s="10">
        <v>0.42958421991423101</v>
      </c>
      <c r="E1495" s="10">
        <v>5.5545400158326803</v>
      </c>
      <c r="F1495" s="4">
        <v>2.78343747111047E-8</v>
      </c>
      <c r="G1495" s="4">
        <v>4.5643656835582602E-7</v>
      </c>
      <c r="H1495" s="10" t="s">
        <v>4289</v>
      </c>
      <c r="I1495" s="10" t="s">
        <v>18</v>
      </c>
    </row>
    <row r="1496" spans="1:9" x14ac:dyDescent="0.2">
      <c r="A1496" s="10" t="s">
        <v>4290</v>
      </c>
      <c r="B1496" s="10">
        <v>1020.11182852792</v>
      </c>
      <c r="C1496" s="10">
        <v>1.42036017690864</v>
      </c>
      <c r="D1496" s="10">
        <v>0.27196759697855799</v>
      </c>
      <c r="E1496" s="10">
        <v>5.22253456914805</v>
      </c>
      <c r="F1496" s="4">
        <v>1.7649059586192699E-7</v>
      </c>
      <c r="G1496" s="4">
        <v>2.5427382238870401E-6</v>
      </c>
      <c r="H1496" s="10" t="s">
        <v>4291</v>
      </c>
      <c r="I1496" s="10" t="s">
        <v>18</v>
      </c>
    </row>
    <row r="1497" spans="1:9" x14ac:dyDescent="0.2">
      <c r="A1497" s="10" t="s">
        <v>4298</v>
      </c>
      <c r="B1497" s="10">
        <v>6925.3651213921303</v>
      </c>
      <c r="C1497" s="10">
        <v>2.1264274113639998</v>
      </c>
      <c r="D1497" s="10">
        <v>0.27894916925235902</v>
      </c>
      <c r="E1497" s="10">
        <v>7.6229924507868896</v>
      </c>
      <c r="F1497" s="4">
        <v>2.4786138138851001E-14</v>
      </c>
      <c r="G1497" s="4">
        <v>8.3915922595262004E-13</v>
      </c>
      <c r="H1497" s="10" t="s">
        <v>4299</v>
      </c>
      <c r="I1497" s="10" t="s">
        <v>18</v>
      </c>
    </row>
    <row r="1498" spans="1:9" x14ac:dyDescent="0.2">
      <c r="A1498" s="10" t="s">
        <v>4304</v>
      </c>
      <c r="B1498" s="10">
        <v>1865.52740777294</v>
      </c>
      <c r="C1498" s="10">
        <v>1.94646680058179</v>
      </c>
      <c r="D1498" s="10">
        <v>0.242705223448753</v>
      </c>
      <c r="E1498" s="10">
        <v>8.0198801365838097</v>
      </c>
      <c r="F1498" s="4">
        <v>1.0584840307054001E-15</v>
      </c>
      <c r="G1498" s="4">
        <v>4.1280877197510603E-14</v>
      </c>
      <c r="H1498" s="10" t="s">
        <v>4305</v>
      </c>
      <c r="I1498" s="10" t="s">
        <v>18</v>
      </c>
    </row>
    <row r="1499" spans="1:9" x14ac:dyDescent="0.2">
      <c r="A1499" s="10" t="s">
        <v>4306</v>
      </c>
      <c r="B1499" s="10">
        <v>671.48217762204604</v>
      </c>
      <c r="C1499" s="10">
        <v>-1.21795964140617</v>
      </c>
      <c r="D1499" s="10">
        <v>0.27750851598814602</v>
      </c>
      <c r="E1499" s="10">
        <v>-4.3889090648958504</v>
      </c>
      <c r="F1499" s="4">
        <v>1.13920688493212E-5</v>
      </c>
      <c r="G1499" s="10">
        <v>1.14856710182234E-4</v>
      </c>
      <c r="H1499" s="10" t="s">
        <v>4307</v>
      </c>
      <c r="I1499" s="10" t="s">
        <v>18</v>
      </c>
    </row>
    <row r="1500" spans="1:9" x14ac:dyDescent="0.2">
      <c r="A1500" s="10" t="s">
        <v>10389</v>
      </c>
      <c r="B1500" s="10">
        <v>422.97729511799201</v>
      </c>
      <c r="C1500" s="10">
        <v>-1.0274882799161</v>
      </c>
      <c r="D1500" s="10">
        <v>0.29374352014258998</v>
      </c>
      <c r="E1500" s="10">
        <v>-3.49790960296703</v>
      </c>
      <c r="F1500" s="10">
        <v>4.6892004159028E-4</v>
      </c>
      <c r="G1500" s="10">
        <v>3.16153407831774E-3</v>
      </c>
      <c r="H1500" s="10" t="s">
        <v>10390</v>
      </c>
      <c r="I1500" s="10" t="s">
        <v>18</v>
      </c>
    </row>
    <row r="1501" spans="1:9" x14ac:dyDescent="0.2">
      <c r="A1501" s="10" t="s">
        <v>10391</v>
      </c>
      <c r="B1501" s="10">
        <v>1564.3530456512001</v>
      </c>
      <c r="C1501" s="10">
        <v>1.2581109783409501</v>
      </c>
      <c r="D1501" s="10">
        <v>0.29574724024597798</v>
      </c>
      <c r="E1501" s="10">
        <v>4.25400750077858</v>
      </c>
      <c r="F1501" s="4">
        <v>2.0997826249891899E-5</v>
      </c>
      <c r="G1501" s="10">
        <v>1.99773191874444E-4</v>
      </c>
      <c r="H1501" s="10" t="s">
        <v>10392</v>
      </c>
      <c r="I1501" s="10" t="s">
        <v>18</v>
      </c>
    </row>
    <row r="1502" spans="1:9" x14ac:dyDescent="0.2">
      <c r="A1502" s="10" t="s">
        <v>10393</v>
      </c>
      <c r="B1502" s="10">
        <v>427.78057889411298</v>
      </c>
      <c r="C1502" s="10">
        <v>1.6120893354732699</v>
      </c>
      <c r="D1502" s="10">
        <v>0.28643578744082099</v>
      </c>
      <c r="E1502" s="10">
        <v>5.62810027991471</v>
      </c>
      <c r="F1502" s="4">
        <v>1.8220515769268701E-8</v>
      </c>
      <c r="G1502" s="4">
        <v>3.0906073781251198E-7</v>
      </c>
      <c r="H1502" s="10" t="s">
        <v>10394</v>
      </c>
      <c r="I1502" s="10" t="s">
        <v>18</v>
      </c>
    </row>
    <row r="1503" spans="1:9" x14ac:dyDescent="0.2">
      <c r="A1503" s="10" t="s">
        <v>4312</v>
      </c>
      <c r="B1503" s="10">
        <v>888.18856865281805</v>
      </c>
      <c r="C1503" s="10">
        <v>2.2030708281487699</v>
      </c>
      <c r="D1503" s="10">
        <v>0.270519861655039</v>
      </c>
      <c r="E1503" s="10">
        <v>8.1438413234074503</v>
      </c>
      <c r="F1503" s="4">
        <v>3.8293098385234002E-16</v>
      </c>
      <c r="G1503" s="4">
        <v>1.5561597574807101E-14</v>
      </c>
      <c r="H1503" s="10" t="s">
        <v>4313</v>
      </c>
      <c r="I1503" s="10" t="s">
        <v>18</v>
      </c>
    </row>
    <row r="1504" spans="1:9" x14ac:dyDescent="0.2">
      <c r="A1504" s="10" t="s">
        <v>10395</v>
      </c>
      <c r="B1504" s="10">
        <v>476.49526647459498</v>
      </c>
      <c r="C1504" s="10">
        <v>-1.2216256631661899</v>
      </c>
      <c r="D1504" s="10">
        <v>0.30058292012468102</v>
      </c>
      <c r="E1504" s="10">
        <v>-4.06418855289402</v>
      </c>
      <c r="F1504" s="4">
        <v>4.81998509510971E-5</v>
      </c>
      <c r="G1504" s="10">
        <v>4.2468204927315198E-4</v>
      </c>
      <c r="H1504" s="10" t="s">
        <v>10396</v>
      </c>
      <c r="I1504" s="10" t="s">
        <v>18</v>
      </c>
    </row>
    <row r="1505" spans="1:9" x14ac:dyDescent="0.2">
      <c r="A1505" s="10" t="s">
        <v>4316</v>
      </c>
      <c r="B1505" s="10">
        <v>146.71784490626499</v>
      </c>
      <c r="C1505" s="10">
        <v>3.1501447049956401</v>
      </c>
      <c r="D1505" s="10">
        <v>0.41534733756619902</v>
      </c>
      <c r="E1505" s="10">
        <v>7.5843623398538504</v>
      </c>
      <c r="F1505" s="4">
        <v>3.3412620525600201E-14</v>
      </c>
      <c r="G1505" s="4">
        <v>1.12215549976165E-12</v>
      </c>
      <c r="H1505" s="10" t="s">
        <v>4317</v>
      </c>
      <c r="I1505" s="10" t="s">
        <v>18</v>
      </c>
    </row>
    <row r="1506" spans="1:9" x14ac:dyDescent="0.2">
      <c r="A1506" s="10" t="s">
        <v>4318</v>
      </c>
      <c r="B1506" s="10">
        <v>410.148220892062</v>
      </c>
      <c r="C1506" s="10">
        <v>2.0357900171776202</v>
      </c>
      <c r="D1506" s="10">
        <v>0.30161690149908499</v>
      </c>
      <c r="E1506" s="10">
        <v>6.7495886571986397</v>
      </c>
      <c r="F1506" s="4">
        <v>1.48264891200833E-11</v>
      </c>
      <c r="G1506" s="4">
        <v>3.7296033381569601E-10</v>
      </c>
      <c r="H1506" s="10" t="s">
        <v>4319</v>
      </c>
      <c r="I1506" s="10" t="s">
        <v>18</v>
      </c>
    </row>
    <row r="1507" spans="1:9" x14ac:dyDescent="0.2">
      <c r="A1507" s="10" t="s">
        <v>10397</v>
      </c>
      <c r="B1507" s="10">
        <v>2158.89350510334</v>
      </c>
      <c r="C1507" s="10">
        <v>1.2096006733057501</v>
      </c>
      <c r="D1507" s="10">
        <v>0.29717983617326799</v>
      </c>
      <c r="E1507" s="10">
        <v>4.0702649576820704</v>
      </c>
      <c r="F1507" s="4">
        <v>4.6959698519123398E-5</v>
      </c>
      <c r="G1507" s="10">
        <v>4.1436630144943702E-4</v>
      </c>
      <c r="H1507" s="10" t="s">
        <v>10398</v>
      </c>
      <c r="I1507" s="10" t="s">
        <v>18</v>
      </c>
    </row>
    <row r="1508" spans="1:9" x14ac:dyDescent="0.2">
      <c r="A1508" s="10" t="s">
        <v>4326</v>
      </c>
      <c r="B1508" s="10">
        <v>1125.35810945104</v>
      </c>
      <c r="C1508" s="10">
        <v>-1.54762246819716</v>
      </c>
      <c r="D1508" s="10">
        <v>0.30797871335610799</v>
      </c>
      <c r="E1508" s="10">
        <v>-5.0250955701853304</v>
      </c>
      <c r="F1508" s="4">
        <v>5.0318189391105103E-7</v>
      </c>
      <c r="G1508" s="4">
        <v>6.6794409189089599E-6</v>
      </c>
      <c r="H1508" s="10" t="s">
        <v>4327</v>
      </c>
      <c r="I1508" s="10" t="s">
        <v>18</v>
      </c>
    </row>
    <row r="1509" spans="1:9" x14ac:dyDescent="0.2">
      <c r="A1509" s="10" t="s">
        <v>10399</v>
      </c>
      <c r="B1509" s="10">
        <v>2167.22033234335</v>
      </c>
      <c r="C1509" s="10">
        <v>1.15099973673697</v>
      </c>
      <c r="D1509" s="10">
        <v>0.27406015436182402</v>
      </c>
      <c r="E1509" s="10">
        <v>4.1998069344198896</v>
      </c>
      <c r="F1509" s="4">
        <v>2.6714267016969301E-5</v>
      </c>
      <c r="G1509" s="10">
        <v>2.4944223712392802E-4</v>
      </c>
      <c r="H1509" s="10" t="s">
        <v>10400</v>
      </c>
      <c r="I1509" s="10" t="s">
        <v>18</v>
      </c>
    </row>
    <row r="1510" spans="1:9" x14ac:dyDescent="0.2">
      <c r="A1510" s="10" t="s">
        <v>4330</v>
      </c>
      <c r="B1510" s="10">
        <v>322.19456406350798</v>
      </c>
      <c r="C1510" s="10">
        <v>-1.4914042745392699</v>
      </c>
      <c r="D1510" s="10">
        <v>0.33132033966143398</v>
      </c>
      <c r="E1510" s="10">
        <v>-4.5013966726681698</v>
      </c>
      <c r="F1510" s="4">
        <v>6.7508381690301701E-6</v>
      </c>
      <c r="G1510" s="4">
        <v>7.2139904053506395E-5</v>
      </c>
      <c r="H1510" s="10" t="s">
        <v>4331</v>
      </c>
      <c r="I1510" s="10" t="s">
        <v>18</v>
      </c>
    </row>
    <row r="1511" spans="1:9" x14ac:dyDescent="0.2">
      <c r="A1511" s="10" t="s">
        <v>4340</v>
      </c>
      <c r="B1511" s="10">
        <v>131.06220333330401</v>
      </c>
      <c r="C1511" s="10">
        <v>7.1030382824969998</v>
      </c>
      <c r="D1511" s="10">
        <v>0.80538561740126502</v>
      </c>
      <c r="E1511" s="10">
        <v>8.8194252902309707</v>
      </c>
      <c r="F1511" s="4">
        <v>1.1504867985665E-18</v>
      </c>
      <c r="G1511" s="4">
        <v>5.6195136733864495E-17</v>
      </c>
      <c r="H1511" s="10" t="s">
        <v>4341</v>
      </c>
      <c r="I1511" s="10" t="s">
        <v>18</v>
      </c>
    </row>
    <row r="1512" spans="1:9" x14ac:dyDescent="0.2">
      <c r="A1512" s="10" t="s">
        <v>10401</v>
      </c>
      <c r="B1512" s="10">
        <v>1006.23948535984</v>
      </c>
      <c r="C1512" s="10">
        <v>-1.1412573157058099</v>
      </c>
      <c r="D1512" s="10">
        <v>0.263030070714109</v>
      </c>
      <c r="E1512" s="10">
        <v>-4.33888533203588</v>
      </c>
      <c r="F1512" s="4">
        <v>1.43207215091218E-5</v>
      </c>
      <c r="G1512" s="10">
        <v>1.4138059244974899E-4</v>
      </c>
      <c r="H1512" s="10" t="s">
        <v>10402</v>
      </c>
      <c r="I1512" s="10" t="s">
        <v>18</v>
      </c>
    </row>
    <row r="1513" spans="1:9" x14ac:dyDescent="0.2">
      <c r="A1513" s="10" t="s">
        <v>10403</v>
      </c>
      <c r="B1513" s="10">
        <v>709.24304247689702</v>
      </c>
      <c r="C1513" s="10">
        <v>1.8784248629296201</v>
      </c>
      <c r="D1513" s="10">
        <v>0.31905265868844701</v>
      </c>
      <c r="E1513" s="10">
        <v>5.8875073182320303</v>
      </c>
      <c r="F1513" s="4">
        <v>3.9206381581260896E-9</v>
      </c>
      <c r="G1513" s="4">
        <v>7.3599740946016298E-8</v>
      </c>
      <c r="H1513" s="10" t="s">
        <v>10404</v>
      </c>
      <c r="I1513" s="10" t="s">
        <v>18</v>
      </c>
    </row>
    <row r="1514" spans="1:9" x14ac:dyDescent="0.2">
      <c r="A1514" s="10" t="s">
        <v>4342</v>
      </c>
      <c r="B1514" s="10">
        <v>43.172477847944499</v>
      </c>
      <c r="C1514" s="10">
        <v>2.5757591808860898</v>
      </c>
      <c r="D1514" s="10">
        <v>0.58534651586987096</v>
      </c>
      <c r="E1514" s="10">
        <v>4.4004006362937096</v>
      </c>
      <c r="F1514" s="4">
        <v>1.0805119702497599E-5</v>
      </c>
      <c r="G1514" s="10">
        <v>1.09642108155033E-4</v>
      </c>
      <c r="H1514" s="10" t="s">
        <v>4343</v>
      </c>
      <c r="I1514" s="10" t="s">
        <v>18</v>
      </c>
    </row>
    <row r="1515" spans="1:9" x14ac:dyDescent="0.2">
      <c r="A1515" s="10" t="s">
        <v>10405</v>
      </c>
      <c r="B1515" s="10">
        <v>991.72809418029897</v>
      </c>
      <c r="C1515" s="10">
        <v>1.0233527616095199</v>
      </c>
      <c r="D1515" s="10">
        <v>0.31750883986343997</v>
      </c>
      <c r="E1515" s="10">
        <v>3.2230685673182</v>
      </c>
      <c r="F1515" s="10">
        <v>1.2682519086423E-3</v>
      </c>
      <c r="G1515" s="10">
        <v>7.4801586780532401E-3</v>
      </c>
      <c r="H1515" s="10" t="s">
        <v>10406</v>
      </c>
      <c r="I1515" s="10" t="s">
        <v>18</v>
      </c>
    </row>
    <row r="1516" spans="1:9" x14ac:dyDescent="0.2">
      <c r="A1516" s="10" t="s">
        <v>4348</v>
      </c>
      <c r="B1516" s="10">
        <v>142.76776706903701</v>
      </c>
      <c r="C1516" s="10">
        <v>5.8961362424574997</v>
      </c>
      <c r="D1516" s="10">
        <v>0.58275912607750602</v>
      </c>
      <c r="E1516" s="10">
        <v>10.117621464195301</v>
      </c>
      <c r="F1516" s="4">
        <v>4.6149415500681398E-24</v>
      </c>
      <c r="G1516" s="4">
        <v>3.3358866290794302E-22</v>
      </c>
      <c r="H1516" s="10" t="s">
        <v>4349</v>
      </c>
      <c r="I1516" s="10" t="s">
        <v>18</v>
      </c>
    </row>
    <row r="1517" spans="1:9" x14ac:dyDescent="0.2">
      <c r="A1517" s="10" t="s">
        <v>4350</v>
      </c>
      <c r="B1517" s="10">
        <v>1386.2293266577899</v>
      </c>
      <c r="C1517" s="10">
        <v>7.3774083965683497</v>
      </c>
      <c r="D1517" s="10">
        <v>0.354194407429127</v>
      </c>
      <c r="E1517" s="10">
        <v>20.828698143814002</v>
      </c>
      <c r="F1517" s="4">
        <v>2.37838276493464E-96</v>
      </c>
      <c r="G1517" s="4">
        <v>2.71946447508777E-93</v>
      </c>
      <c r="H1517" s="10" t="s">
        <v>4351</v>
      </c>
      <c r="I1517" s="10" t="s">
        <v>18</v>
      </c>
    </row>
    <row r="1518" spans="1:9" x14ac:dyDescent="0.2">
      <c r="A1518" s="10" t="s">
        <v>4352</v>
      </c>
      <c r="B1518" s="10">
        <v>1029.0613152665001</v>
      </c>
      <c r="C1518" s="10">
        <v>-1.5835858042775901</v>
      </c>
      <c r="D1518" s="10">
        <v>0.26998923667848901</v>
      </c>
      <c r="E1518" s="10">
        <v>-5.8653664263045098</v>
      </c>
      <c r="F1518" s="4">
        <v>4.4814191032171802E-9</v>
      </c>
      <c r="G1518" s="4">
        <v>8.3565676457693205E-8</v>
      </c>
      <c r="H1518" s="10" t="s">
        <v>4353</v>
      </c>
      <c r="I1518" s="10" t="s">
        <v>18</v>
      </c>
    </row>
    <row r="1519" spans="1:9" x14ac:dyDescent="0.2">
      <c r="A1519" s="10" t="s">
        <v>4356</v>
      </c>
      <c r="B1519" s="10">
        <v>53.889872153215499</v>
      </c>
      <c r="C1519" s="10">
        <v>1.5374612768337499</v>
      </c>
      <c r="D1519" s="10">
        <v>0.52090326316913405</v>
      </c>
      <c r="E1519" s="10">
        <v>2.9515293635903901</v>
      </c>
      <c r="F1519" s="10">
        <v>3.1620447957320099E-3</v>
      </c>
      <c r="G1519" s="10">
        <v>1.6114513135461701E-2</v>
      </c>
      <c r="H1519" s="10" t="s">
        <v>4357</v>
      </c>
      <c r="I1519" s="10" t="s">
        <v>18</v>
      </c>
    </row>
    <row r="1520" spans="1:9" x14ac:dyDescent="0.2">
      <c r="A1520" s="10" t="s">
        <v>4358</v>
      </c>
      <c r="B1520" s="10">
        <v>1383.4903476397401</v>
      </c>
      <c r="C1520" s="10">
        <v>5.2483096170841401</v>
      </c>
      <c r="D1520" s="10">
        <v>0.29873588113405503</v>
      </c>
      <c r="E1520" s="10">
        <v>17.568393850650299</v>
      </c>
      <c r="F1520" s="4">
        <v>4.3017986908144401E-69</v>
      </c>
      <c r="G1520" s="4">
        <v>2.2544113764049399E-66</v>
      </c>
      <c r="H1520" s="10" t="s">
        <v>4359</v>
      </c>
      <c r="I1520" s="10" t="s">
        <v>18</v>
      </c>
    </row>
    <row r="1521" spans="1:9" x14ac:dyDescent="0.2">
      <c r="A1521" s="10" t="s">
        <v>4360</v>
      </c>
      <c r="B1521" s="10">
        <v>363.79950639345299</v>
      </c>
      <c r="C1521" s="10">
        <v>3.7227344492785002</v>
      </c>
      <c r="D1521" s="10">
        <v>0.35752050527822099</v>
      </c>
      <c r="E1521" s="10">
        <v>10.412645972240099</v>
      </c>
      <c r="F1521" s="4">
        <v>2.171020499354E-25</v>
      </c>
      <c r="G1521" s="4">
        <v>1.7392363267914E-23</v>
      </c>
      <c r="H1521" s="10" t="s">
        <v>4361</v>
      </c>
      <c r="I1521" s="10" t="s">
        <v>18</v>
      </c>
    </row>
    <row r="1522" spans="1:9" x14ac:dyDescent="0.2">
      <c r="A1522" s="10" t="s">
        <v>4366</v>
      </c>
      <c r="B1522" s="10">
        <v>983.92647061088201</v>
      </c>
      <c r="C1522" s="10">
        <v>1.08548546762589</v>
      </c>
      <c r="D1522" s="10">
        <v>0.29018624817348299</v>
      </c>
      <c r="E1522" s="10">
        <v>3.7406509593692201</v>
      </c>
      <c r="F1522" s="10">
        <v>1.8354426628551301E-4</v>
      </c>
      <c r="G1522" s="10">
        <v>1.3831803530293799E-3</v>
      </c>
      <c r="H1522" s="10" t="s">
        <v>4367</v>
      </c>
      <c r="I1522" s="10" t="s">
        <v>18</v>
      </c>
    </row>
    <row r="1523" spans="1:9" x14ac:dyDescent="0.2">
      <c r="A1523" s="10" t="s">
        <v>4370</v>
      </c>
      <c r="B1523" s="10">
        <v>105.660930176389</v>
      </c>
      <c r="C1523" s="10">
        <v>1.5899634802034099</v>
      </c>
      <c r="D1523" s="10">
        <v>0.439759590751928</v>
      </c>
      <c r="E1523" s="10">
        <v>3.61552883357197</v>
      </c>
      <c r="F1523" s="10">
        <v>2.99735109123112E-4</v>
      </c>
      <c r="G1523" s="10">
        <v>2.1432167907879099E-3</v>
      </c>
      <c r="H1523" s="10" t="s">
        <v>4371</v>
      </c>
      <c r="I1523" s="10" t="s">
        <v>18</v>
      </c>
    </row>
    <row r="1524" spans="1:9" x14ac:dyDescent="0.2">
      <c r="A1524" s="10" t="s">
        <v>10407</v>
      </c>
      <c r="B1524" s="10">
        <v>879.82986215840697</v>
      </c>
      <c r="C1524" s="10">
        <v>-1.06151845084299</v>
      </c>
      <c r="D1524" s="10">
        <v>0.304483415955351</v>
      </c>
      <c r="E1524" s="10">
        <v>-3.4862931615252402</v>
      </c>
      <c r="F1524" s="10">
        <v>4.8976396154500003E-4</v>
      </c>
      <c r="G1524" s="10">
        <v>3.2818360289463199E-3</v>
      </c>
      <c r="H1524" s="10" t="s">
        <v>10408</v>
      </c>
      <c r="I1524" s="10" t="s">
        <v>18</v>
      </c>
    </row>
    <row r="1525" spans="1:9" x14ac:dyDescent="0.2">
      <c r="A1525" s="10" t="s">
        <v>4372</v>
      </c>
      <c r="B1525" s="10">
        <v>310.63278013062802</v>
      </c>
      <c r="C1525" s="10">
        <v>-1.83313203149821</v>
      </c>
      <c r="D1525" s="10">
        <v>0.35189772055345803</v>
      </c>
      <c r="E1525" s="10">
        <v>-5.2092750945220399</v>
      </c>
      <c r="F1525" s="4">
        <v>1.89579854247289E-7</v>
      </c>
      <c r="G1525" s="4">
        <v>2.71972008796718E-6</v>
      </c>
      <c r="H1525" s="10" t="s">
        <v>4373</v>
      </c>
      <c r="I1525" s="10" t="s">
        <v>18</v>
      </c>
    </row>
    <row r="1526" spans="1:9" x14ac:dyDescent="0.2">
      <c r="A1526" s="10" t="s">
        <v>10409</v>
      </c>
      <c r="B1526" s="10">
        <v>3182.2532859292901</v>
      </c>
      <c r="C1526" s="10">
        <v>2.1797722588744102</v>
      </c>
      <c r="D1526" s="10">
        <v>0.28692915282649101</v>
      </c>
      <c r="E1526" s="10">
        <v>7.5969006195495998</v>
      </c>
      <c r="F1526" s="4">
        <v>3.0330728172226798E-14</v>
      </c>
      <c r="G1526" s="4">
        <v>1.02137813543824E-12</v>
      </c>
      <c r="H1526" s="10" t="s">
        <v>10410</v>
      </c>
      <c r="I1526" s="10" t="s">
        <v>18</v>
      </c>
    </row>
    <row r="1527" spans="1:9" x14ac:dyDescent="0.2">
      <c r="A1527" s="10" t="s">
        <v>4374</v>
      </c>
      <c r="B1527" s="10">
        <v>668.78627584745198</v>
      </c>
      <c r="C1527" s="10">
        <v>1.5738362641946699</v>
      </c>
      <c r="D1527" s="10">
        <v>0.330439790602293</v>
      </c>
      <c r="E1527" s="10">
        <v>4.7628533516682099</v>
      </c>
      <c r="F1527" s="4">
        <v>1.9087455832430098E-6</v>
      </c>
      <c r="G1527" s="4">
        <v>2.25420165006939E-5</v>
      </c>
      <c r="H1527" s="10" t="s">
        <v>4375</v>
      </c>
      <c r="I1527" s="10" t="s">
        <v>18</v>
      </c>
    </row>
    <row r="1528" spans="1:9" x14ac:dyDescent="0.2">
      <c r="A1528" s="10" t="s">
        <v>4376</v>
      </c>
      <c r="B1528" s="10">
        <v>401.15074132436399</v>
      </c>
      <c r="C1528" s="10">
        <v>5.8804627335796802</v>
      </c>
      <c r="D1528" s="10">
        <v>0.40563330208304699</v>
      </c>
      <c r="E1528" s="10">
        <v>14.4969919959278</v>
      </c>
      <c r="F1528" s="4">
        <v>1.2657634696485299E-47</v>
      </c>
      <c r="G1528" s="4">
        <v>3.0615653922123797E-45</v>
      </c>
      <c r="H1528" s="10" t="s">
        <v>4377</v>
      </c>
      <c r="I1528" s="10" t="s">
        <v>18</v>
      </c>
    </row>
    <row r="1529" spans="1:9" x14ac:dyDescent="0.2">
      <c r="A1529" s="10" t="s">
        <v>4380</v>
      </c>
      <c r="B1529" s="10">
        <v>67.503130982199707</v>
      </c>
      <c r="C1529" s="10">
        <v>-1.5077278208441001</v>
      </c>
      <c r="D1529" s="10">
        <v>0.51337806303409395</v>
      </c>
      <c r="E1529" s="10">
        <v>-2.9368762115259601</v>
      </c>
      <c r="F1529" s="10">
        <v>3.3153641413054698E-3</v>
      </c>
      <c r="G1529" s="10">
        <v>1.6820892491839198E-2</v>
      </c>
      <c r="H1529" s="10" t="s">
        <v>4381</v>
      </c>
      <c r="I1529" s="10" t="s">
        <v>18</v>
      </c>
    </row>
    <row r="1530" spans="1:9" x14ac:dyDescent="0.2">
      <c r="A1530" s="10" t="s">
        <v>10411</v>
      </c>
      <c r="B1530" s="10">
        <v>3613.3924201864202</v>
      </c>
      <c r="C1530" s="10">
        <v>1.1775508465645701</v>
      </c>
      <c r="D1530" s="10">
        <v>0.28440802969566098</v>
      </c>
      <c r="E1530" s="10">
        <v>4.1403572459773601</v>
      </c>
      <c r="F1530" s="4">
        <v>3.4676535416610101E-5</v>
      </c>
      <c r="G1530" s="10">
        <v>3.1616101790678703E-4</v>
      </c>
      <c r="H1530" s="10" t="s">
        <v>10412</v>
      </c>
      <c r="I1530" s="10" t="s">
        <v>18</v>
      </c>
    </row>
    <row r="1531" spans="1:9" x14ac:dyDescent="0.2">
      <c r="A1531" s="10" t="s">
        <v>10413</v>
      </c>
      <c r="B1531" s="10">
        <v>1554.07851453172</v>
      </c>
      <c r="C1531" s="10">
        <v>2.8036025351508602</v>
      </c>
      <c r="D1531" s="10">
        <v>0.28180937029293102</v>
      </c>
      <c r="E1531" s="10">
        <v>9.9485781194451093</v>
      </c>
      <c r="F1531" s="4">
        <v>2.5581198025700699E-23</v>
      </c>
      <c r="G1531" s="4">
        <v>1.7251877649772101E-21</v>
      </c>
      <c r="H1531" s="10" t="s">
        <v>10414</v>
      </c>
      <c r="I1531" s="10" t="s">
        <v>18</v>
      </c>
    </row>
    <row r="1532" spans="1:9" x14ac:dyDescent="0.2">
      <c r="A1532" s="10" t="s">
        <v>4386</v>
      </c>
      <c r="B1532" s="10">
        <v>295.61753228526402</v>
      </c>
      <c r="C1532" s="10">
        <v>1.8344517431465801</v>
      </c>
      <c r="D1532" s="10">
        <v>0.35428332014746999</v>
      </c>
      <c r="E1532" s="10">
        <v>5.1779229752701603</v>
      </c>
      <c r="F1532" s="4">
        <v>2.2436982347059201E-7</v>
      </c>
      <c r="G1532" s="4">
        <v>3.1725817365951399E-6</v>
      </c>
      <c r="H1532" s="10" t="s">
        <v>4387</v>
      </c>
      <c r="I1532" s="10" t="s">
        <v>18</v>
      </c>
    </row>
    <row r="1533" spans="1:9" x14ac:dyDescent="0.2">
      <c r="A1533" s="10" t="s">
        <v>4388</v>
      </c>
      <c r="B1533" s="10">
        <v>23.986035854964602</v>
      </c>
      <c r="C1533" s="10">
        <v>5.0255141349846504</v>
      </c>
      <c r="D1533" s="10">
        <v>1.06754889473787</v>
      </c>
      <c r="E1533" s="10">
        <v>4.7075259594724503</v>
      </c>
      <c r="F1533" s="4">
        <v>2.5074135794688299E-6</v>
      </c>
      <c r="G1533" s="4">
        <v>2.9077881704472799E-5</v>
      </c>
      <c r="H1533" s="10" t="s">
        <v>4389</v>
      </c>
      <c r="I1533" s="10" t="s">
        <v>18</v>
      </c>
    </row>
    <row r="1534" spans="1:9" x14ac:dyDescent="0.2">
      <c r="A1534" s="10" t="s">
        <v>4392</v>
      </c>
      <c r="B1534" s="10">
        <v>147.174563819577</v>
      </c>
      <c r="C1534" s="10">
        <v>3.5082992314122401</v>
      </c>
      <c r="D1534" s="10">
        <v>0.48517188847046699</v>
      </c>
      <c r="E1534" s="10">
        <v>7.2310439140906704</v>
      </c>
      <c r="F1534" s="4">
        <v>4.7929532081970001E-13</v>
      </c>
      <c r="G1534" s="4">
        <v>1.43702905783308E-11</v>
      </c>
      <c r="H1534" s="10" t="s">
        <v>4393</v>
      </c>
      <c r="I1534" s="10" t="s">
        <v>18</v>
      </c>
    </row>
    <row r="1535" spans="1:9" x14ac:dyDescent="0.2">
      <c r="A1535" s="10" t="s">
        <v>4394</v>
      </c>
      <c r="B1535" s="10">
        <v>130.81314612602199</v>
      </c>
      <c r="C1535" s="10">
        <v>3.6509769303389299</v>
      </c>
      <c r="D1535" s="10">
        <v>0.43394323564200499</v>
      </c>
      <c r="E1535" s="10">
        <v>8.4134896697661894</v>
      </c>
      <c r="F1535" s="4">
        <v>3.97989338349884E-17</v>
      </c>
      <c r="G1535" s="4">
        <v>1.7625742616534E-15</v>
      </c>
      <c r="H1535" s="10" t="s">
        <v>4395</v>
      </c>
      <c r="I1535" s="10" t="s">
        <v>18</v>
      </c>
    </row>
    <row r="1536" spans="1:9" x14ac:dyDescent="0.2">
      <c r="A1536" s="10" t="s">
        <v>4398</v>
      </c>
      <c r="B1536" s="10">
        <v>1477.2086042911101</v>
      </c>
      <c r="C1536" s="10">
        <v>3.75510359868598</v>
      </c>
      <c r="D1536" s="10">
        <v>0.30837020910095903</v>
      </c>
      <c r="E1536" s="10">
        <v>12.1772580095653</v>
      </c>
      <c r="F1536" s="4">
        <v>4.1086385508433001E-34</v>
      </c>
      <c r="G1536" s="4">
        <v>4.9868095125057696E-32</v>
      </c>
      <c r="H1536" s="10" t="s">
        <v>4399</v>
      </c>
      <c r="I1536" s="10" t="s">
        <v>18</v>
      </c>
    </row>
    <row r="1537" spans="1:9" x14ac:dyDescent="0.2">
      <c r="A1537" s="10" t="s">
        <v>10415</v>
      </c>
      <c r="B1537" s="10">
        <v>19.629072797072801</v>
      </c>
      <c r="C1537" s="10">
        <v>2.48765931414481</v>
      </c>
      <c r="D1537" s="10">
        <v>0.86675377553437705</v>
      </c>
      <c r="E1537" s="10">
        <v>2.8700876585291999</v>
      </c>
      <c r="F1537" s="10">
        <v>4.1035802067167504E-3</v>
      </c>
      <c r="G1537" s="10">
        <v>2.0132379938806899E-2</v>
      </c>
      <c r="H1537" s="10" t="s">
        <v>10416</v>
      </c>
      <c r="I1537" s="10" t="s">
        <v>18</v>
      </c>
    </row>
    <row r="1538" spans="1:9" x14ac:dyDescent="0.2">
      <c r="A1538" s="10" t="s">
        <v>10417</v>
      </c>
      <c r="B1538" s="10">
        <v>214.196340047858</v>
      </c>
      <c r="C1538" s="10">
        <v>1.4170115580493801</v>
      </c>
      <c r="D1538" s="10">
        <v>0.36173536629033298</v>
      </c>
      <c r="E1538" s="10">
        <v>3.9172602131251799</v>
      </c>
      <c r="F1538" s="4">
        <v>8.9561058720329697E-5</v>
      </c>
      <c r="G1538" s="10">
        <v>7.36726105987539E-4</v>
      </c>
      <c r="H1538" s="10" t="s">
        <v>10418</v>
      </c>
      <c r="I1538" s="10" t="s">
        <v>18</v>
      </c>
    </row>
    <row r="1539" spans="1:9" x14ac:dyDescent="0.2">
      <c r="A1539" s="10" t="s">
        <v>4400</v>
      </c>
      <c r="B1539" s="10">
        <v>19.2965779485627</v>
      </c>
      <c r="C1539" s="10">
        <v>2.3871588375099799</v>
      </c>
      <c r="D1539" s="10">
        <v>0.81873102930722597</v>
      </c>
      <c r="E1539" s="10">
        <v>2.91568140458764</v>
      </c>
      <c r="F1539" s="10">
        <v>3.5491271563720299E-3</v>
      </c>
      <c r="G1539" s="10">
        <v>1.7834257614570199E-2</v>
      </c>
      <c r="H1539" s="10" t="s">
        <v>4401</v>
      </c>
      <c r="I1539" s="10" t="s">
        <v>18</v>
      </c>
    </row>
    <row r="1540" spans="1:9" x14ac:dyDescent="0.2">
      <c r="A1540" s="10" t="s">
        <v>4402</v>
      </c>
      <c r="B1540" s="10">
        <v>2100.08742722846</v>
      </c>
      <c r="C1540" s="10">
        <v>4.8100931921876597</v>
      </c>
      <c r="D1540" s="10">
        <v>0.28651186621214397</v>
      </c>
      <c r="E1540" s="10">
        <v>16.788460651839401</v>
      </c>
      <c r="F1540" s="4">
        <v>2.9643422474953801E-63</v>
      </c>
      <c r="G1540" s="4">
        <v>1.1836195116785101E-60</v>
      </c>
      <c r="H1540" s="10" t="s">
        <v>4403</v>
      </c>
      <c r="I1540" s="10" t="s">
        <v>18</v>
      </c>
    </row>
    <row r="1541" spans="1:9" x14ac:dyDescent="0.2">
      <c r="A1541" s="10" t="s">
        <v>4410</v>
      </c>
      <c r="B1541" s="10">
        <v>73.022487416887401</v>
      </c>
      <c r="C1541" s="10">
        <v>2.1590445932588902</v>
      </c>
      <c r="D1541" s="10">
        <v>0.51207952729130002</v>
      </c>
      <c r="E1541" s="10">
        <v>4.2162290780875198</v>
      </c>
      <c r="F1541" s="4">
        <v>2.4842141296196501E-5</v>
      </c>
      <c r="G1541" s="10">
        <v>2.3387128155158001E-4</v>
      </c>
      <c r="H1541" s="10" t="s">
        <v>4411</v>
      </c>
      <c r="I1541" s="10" t="s">
        <v>18</v>
      </c>
    </row>
    <row r="1542" spans="1:9" x14ac:dyDescent="0.2">
      <c r="A1542" s="10" t="s">
        <v>10419</v>
      </c>
      <c r="B1542" s="10">
        <v>2668.5971040560598</v>
      </c>
      <c r="C1542" s="10">
        <v>2.5292469483407301</v>
      </c>
      <c r="D1542" s="10">
        <v>0.31593695892167301</v>
      </c>
      <c r="E1542" s="10">
        <v>8.0055431215560393</v>
      </c>
      <c r="F1542" s="4">
        <v>1.18940542784061E-15</v>
      </c>
      <c r="G1542" s="4">
        <v>4.6172057927979198E-14</v>
      </c>
      <c r="H1542" s="10" t="s">
        <v>10420</v>
      </c>
      <c r="I1542" s="10" t="s">
        <v>18</v>
      </c>
    </row>
    <row r="1543" spans="1:9" x14ac:dyDescent="0.2">
      <c r="A1543" s="10" t="s">
        <v>10421</v>
      </c>
      <c r="B1543" s="10">
        <v>418.01297067036802</v>
      </c>
      <c r="C1543" s="10">
        <v>4.9882028533616998</v>
      </c>
      <c r="D1543" s="10">
        <v>0.38952503113557302</v>
      </c>
      <c r="E1543" s="10">
        <v>12.8058595844784</v>
      </c>
      <c r="F1543" s="4">
        <v>1.5203289756965E-37</v>
      </c>
      <c r="G1543" s="4">
        <v>2.1979238726233001E-35</v>
      </c>
      <c r="H1543" s="10" t="s">
        <v>10422</v>
      </c>
      <c r="I1543" s="10" t="s">
        <v>18</v>
      </c>
    </row>
    <row r="1544" spans="1:9" x14ac:dyDescent="0.2">
      <c r="A1544" s="10" t="s">
        <v>10423</v>
      </c>
      <c r="B1544" s="10">
        <v>1944.9167157552199</v>
      </c>
      <c r="C1544" s="10">
        <v>1.81970455342398</v>
      </c>
      <c r="D1544" s="10">
        <v>0.32116447433437301</v>
      </c>
      <c r="E1544" s="10">
        <v>5.6659584071226901</v>
      </c>
      <c r="F1544" s="4">
        <v>1.4620499015353101E-8</v>
      </c>
      <c r="G1544" s="4">
        <v>2.5207584148814802E-7</v>
      </c>
      <c r="H1544" s="10" t="s">
        <v>10424</v>
      </c>
      <c r="I1544" s="10" t="s">
        <v>18</v>
      </c>
    </row>
    <row r="1545" spans="1:9" x14ac:dyDescent="0.2">
      <c r="A1545" s="10" t="s">
        <v>4420</v>
      </c>
      <c r="B1545" s="10">
        <v>114.418354103643</v>
      </c>
      <c r="C1545" s="10">
        <v>2.6647017346000799</v>
      </c>
      <c r="D1545" s="10">
        <v>0.43335739551107</v>
      </c>
      <c r="E1545" s="10">
        <v>6.1489702545805702</v>
      </c>
      <c r="F1545" s="4">
        <v>7.7987601534899704E-10</v>
      </c>
      <c r="G1545" s="4">
        <v>1.6172944077579599E-8</v>
      </c>
      <c r="H1545" s="10" t="s">
        <v>4421</v>
      </c>
      <c r="I1545" s="10" t="s">
        <v>18</v>
      </c>
    </row>
    <row r="1546" spans="1:9" x14ac:dyDescent="0.2">
      <c r="A1546" s="10" t="s">
        <v>4422</v>
      </c>
      <c r="B1546" s="10">
        <v>153.15742479556499</v>
      </c>
      <c r="C1546" s="10">
        <v>1.1060462757121601</v>
      </c>
      <c r="D1546" s="10">
        <v>0.42003838221085699</v>
      </c>
      <c r="E1546" s="10">
        <v>2.63320287515281</v>
      </c>
      <c r="F1546" s="10">
        <v>8.4583806956230693E-3</v>
      </c>
      <c r="G1546" s="10">
        <v>3.6763430179879902E-2</v>
      </c>
      <c r="H1546" s="10" t="s">
        <v>4423</v>
      </c>
      <c r="I1546" s="10" t="s">
        <v>18</v>
      </c>
    </row>
    <row r="1547" spans="1:9" x14ac:dyDescent="0.2">
      <c r="A1547" s="10" t="s">
        <v>4424</v>
      </c>
      <c r="B1547" s="10">
        <v>394.958066941835</v>
      </c>
      <c r="C1547" s="10">
        <v>1.8069654415048599</v>
      </c>
      <c r="D1547" s="10">
        <v>0.32198147126080601</v>
      </c>
      <c r="E1547" s="10">
        <v>5.6120168481409696</v>
      </c>
      <c r="F1547" s="4">
        <v>1.9998196153078399E-8</v>
      </c>
      <c r="G1547" s="4">
        <v>3.35593478472774E-7</v>
      </c>
      <c r="H1547" s="10" t="s">
        <v>4425</v>
      </c>
      <c r="I1547" s="10" t="s">
        <v>18</v>
      </c>
    </row>
    <row r="1548" spans="1:9" x14ac:dyDescent="0.2">
      <c r="A1548" s="10" t="s">
        <v>10425</v>
      </c>
      <c r="B1548" s="10">
        <v>752.47421169056599</v>
      </c>
      <c r="C1548" s="10">
        <v>2.6033474025044199</v>
      </c>
      <c r="D1548" s="10">
        <v>0.30327029245751003</v>
      </c>
      <c r="E1548" s="10">
        <v>8.5842480033522008</v>
      </c>
      <c r="F1548" s="4">
        <v>9.1432534904698901E-18</v>
      </c>
      <c r="G1548" s="4">
        <v>4.21242750096648E-16</v>
      </c>
      <c r="H1548" s="10" t="s">
        <v>10426</v>
      </c>
      <c r="I1548" s="10" t="s">
        <v>18</v>
      </c>
    </row>
    <row r="1549" spans="1:9" x14ac:dyDescent="0.2">
      <c r="A1549" s="10" t="s">
        <v>10427</v>
      </c>
      <c r="B1549" s="10">
        <v>1238.1241471180399</v>
      </c>
      <c r="C1549" s="10">
        <v>1.56135976337895</v>
      </c>
      <c r="D1549" s="10">
        <v>0.30515827302932902</v>
      </c>
      <c r="E1549" s="10">
        <v>5.1165572143242803</v>
      </c>
      <c r="F1549" s="4">
        <v>3.1116292776934702E-7</v>
      </c>
      <c r="G1549" s="4">
        <v>4.2702146470474301E-6</v>
      </c>
      <c r="H1549" s="10" t="s">
        <v>10428</v>
      </c>
      <c r="I1549" s="10" t="s">
        <v>18</v>
      </c>
    </row>
    <row r="1550" spans="1:9" x14ac:dyDescent="0.2">
      <c r="A1550" s="10" t="s">
        <v>10429</v>
      </c>
      <c r="B1550" s="10">
        <v>16.3811965632263</v>
      </c>
      <c r="C1550" s="10">
        <v>2.4762514970623699</v>
      </c>
      <c r="D1550" s="10">
        <v>0.95724711297835297</v>
      </c>
      <c r="E1550" s="10">
        <v>2.5868466600623399</v>
      </c>
      <c r="F1550" s="10">
        <v>9.6858685356257298E-3</v>
      </c>
      <c r="G1550" s="10">
        <v>4.11624635071779E-2</v>
      </c>
      <c r="H1550" s="10" t="s">
        <v>10430</v>
      </c>
      <c r="I1550" s="10" t="s">
        <v>18</v>
      </c>
    </row>
    <row r="1551" spans="1:9" x14ac:dyDescent="0.2">
      <c r="A1551" s="10" t="s">
        <v>10431</v>
      </c>
      <c r="B1551" s="10">
        <v>20.366032763979799</v>
      </c>
      <c r="C1551" s="10">
        <v>3.4692291362753802</v>
      </c>
      <c r="D1551" s="10">
        <v>0.90637200588990896</v>
      </c>
      <c r="E1551" s="10">
        <v>3.8275996100179199</v>
      </c>
      <c r="F1551" s="10">
        <v>1.2939902335032901E-4</v>
      </c>
      <c r="G1551" s="10">
        <v>1.0178337812312499E-3</v>
      </c>
      <c r="H1551" s="10" t="s">
        <v>10432</v>
      </c>
      <c r="I1551" s="10" t="s">
        <v>18</v>
      </c>
    </row>
    <row r="1552" spans="1:9" x14ac:dyDescent="0.2">
      <c r="A1552" s="10" t="s">
        <v>10433</v>
      </c>
      <c r="B1552" s="10">
        <v>970.36061218418899</v>
      </c>
      <c r="C1552" s="10">
        <v>1.5567573382128299</v>
      </c>
      <c r="D1552" s="10">
        <v>0.310028284176326</v>
      </c>
      <c r="E1552" s="10">
        <v>5.0213397217894897</v>
      </c>
      <c r="F1552" s="4">
        <v>5.1312311527052104E-7</v>
      </c>
      <c r="G1552" s="4">
        <v>6.8006385482771096E-6</v>
      </c>
      <c r="H1552" s="10" t="s">
        <v>10434</v>
      </c>
      <c r="I1552" s="10" t="s">
        <v>18</v>
      </c>
    </row>
    <row r="1553" spans="1:9" x14ac:dyDescent="0.2">
      <c r="A1553" s="10" t="s">
        <v>4426</v>
      </c>
      <c r="B1553" s="10">
        <v>361.07932549359299</v>
      </c>
      <c r="C1553" s="10">
        <v>1.3350086470562299</v>
      </c>
      <c r="D1553" s="10">
        <v>0.32373984325609501</v>
      </c>
      <c r="E1553" s="10">
        <v>4.1237082023301204</v>
      </c>
      <c r="F1553" s="4">
        <v>3.7282114952720499E-5</v>
      </c>
      <c r="G1553" s="10">
        <v>3.3638149269572598E-4</v>
      </c>
      <c r="H1553" s="10" t="s">
        <v>4427</v>
      </c>
      <c r="I1553" s="10" t="s">
        <v>18</v>
      </c>
    </row>
    <row r="1554" spans="1:9" x14ac:dyDescent="0.2">
      <c r="A1554" s="10" t="s">
        <v>10435</v>
      </c>
      <c r="B1554" s="10">
        <v>300.57030579781798</v>
      </c>
      <c r="C1554" s="10">
        <v>1.5049809807529799</v>
      </c>
      <c r="D1554" s="10">
        <v>0.30869708918297001</v>
      </c>
      <c r="E1554" s="10">
        <v>4.8752678061727703</v>
      </c>
      <c r="F1554" s="4">
        <v>1.08660939744539E-6</v>
      </c>
      <c r="G1554" s="4">
        <v>1.34648568437137E-5</v>
      </c>
      <c r="H1554" s="10" t="s">
        <v>10436</v>
      </c>
      <c r="I1554" s="10" t="s">
        <v>18</v>
      </c>
    </row>
    <row r="1555" spans="1:9" x14ac:dyDescent="0.2">
      <c r="A1555" s="10" t="s">
        <v>10437</v>
      </c>
      <c r="B1555" s="10">
        <v>260.474907874569</v>
      </c>
      <c r="C1555" s="10">
        <v>2.1796725354123301</v>
      </c>
      <c r="D1555" s="10">
        <v>0.37629856595774702</v>
      </c>
      <c r="E1555" s="10">
        <v>5.7924019185794</v>
      </c>
      <c r="F1555" s="4">
        <v>6.93868485429224E-9</v>
      </c>
      <c r="G1555" s="4">
        <v>1.2566063175645899E-7</v>
      </c>
      <c r="H1555" s="10" t="s">
        <v>10438</v>
      </c>
      <c r="I1555" s="10" t="s">
        <v>18</v>
      </c>
    </row>
    <row r="1556" spans="1:9" x14ac:dyDescent="0.2">
      <c r="A1556" s="10" t="s">
        <v>4428</v>
      </c>
      <c r="B1556" s="10">
        <v>632.59748430412003</v>
      </c>
      <c r="C1556" s="10">
        <v>6.6277265620264396</v>
      </c>
      <c r="D1556" s="10">
        <v>0.41712218225280201</v>
      </c>
      <c r="E1556" s="10">
        <v>15.8891731104572</v>
      </c>
      <c r="F1556" s="4">
        <v>7.5314492362743502E-57</v>
      </c>
      <c r="G1556" s="4">
        <v>2.3981469055503999E-54</v>
      </c>
      <c r="H1556" s="10" t="s">
        <v>4429</v>
      </c>
      <c r="I1556" s="10" t="s">
        <v>18</v>
      </c>
    </row>
    <row r="1557" spans="1:9" x14ac:dyDescent="0.2">
      <c r="A1557" s="10" t="s">
        <v>10439</v>
      </c>
      <c r="B1557" s="10">
        <v>79.029070537934203</v>
      </c>
      <c r="C1557" s="10">
        <v>-3.1208702344528998</v>
      </c>
      <c r="D1557" s="10">
        <v>0.50759792299391504</v>
      </c>
      <c r="E1557" s="10">
        <v>-6.1483116716581003</v>
      </c>
      <c r="F1557" s="4">
        <v>7.8312037326990697E-10</v>
      </c>
      <c r="G1557" s="4">
        <v>1.6213492172514002E-8</v>
      </c>
      <c r="H1557" s="10" t="s">
        <v>10440</v>
      </c>
      <c r="I1557" s="10" t="s">
        <v>18</v>
      </c>
    </row>
    <row r="1558" spans="1:9" x14ac:dyDescent="0.2">
      <c r="A1558" s="10" t="s">
        <v>4434</v>
      </c>
      <c r="B1558" s="10">
        <v>702.97361442621104</v>
      </c>
      <c r="C1558" s="10">
        <v>1.48081781259284</v>
      </c>
      <c r="D1558" s="10">
        <v>0.321875226409083</v>
      </c>
      <c r="E1558" s="10">
        <v>4.6005957933239996</v>
      </c>
      <c r="F1558" s="4">
        <v>4.2128422452791299E-6</v>
      </c>
      <c r="G1558" s="4">
        <v>4.7036860488236398E-5</v>
      </c>
      <c r="H1558" s="10" t="s">
        <v>4435</v>
      </c>
      <c r="I1558" s="10" t="s">
        <v>18</v>
      </c>
    </row>
    <row r="1559" spans="1:9" x14ac:dyDescent="0.2">
      <c r="A1559" s="10" t="s">
        <v>10441</v>
      </c>
      <c r="B1559" s="10">
        <v>351.23270211318101</v>
      </c>
      <c r="C1559" s="10">
        <v>1.4853205661864399</v>
      </c>
      <c r="D1559" s="10">
        <v>0.31793760143503003</v>
      </c>
      <c r="E1559" s="10">
        <v>4.6717360874661003</v>
      </c>
      <c r="F1559" s="4">
        <v>2.9866455059125498E-6</v>
      </c>
      <c r="G1559" s="4">
        <v>3.40721395470432E-5</v>
      </c>
      <c r="H1559" s="10" t="s">
        <v>10442</v>
      </c>
      <c r="I1559" s="10" t="s">
        <v>18</v>
      </c>
    </row>
    <row r="1560" spans="1:9" x14ac:dyDescent="0.2">
      <c r="A1560" s="10" t="s">
        <v>10443</v>
      </c>
      <c r="B1560" s="10">
        <v>187.19323602044901</v>
      </c>
      <c r="C1560" s="10">
        <v>1.4749985074473599</v>
      </c>
      <c r="D1560" s="10">
        <v>0.35228767142846801</v>
      </c>
      <c r="E1560" s="10">
        <v>4.1869149194647903</v>
      </c>
      <c r="F1560" s="4">
        <v>2.8277176228630701E-5</v>
      </c>
      <c r="G1560" s="10">
        <v>2.6189704272135703E-4</v>
      </c>
      <c r="H1560" s="10" t="s">
        <v>10444</v>
      </c>
      <c r="I1560" s="10" t="s">
        <v>18</v>
      </c>
    </row>
    <row r="1561" spans="1:9" x14ac:dyDescent="0.2">
      <c r="A1561" s="10" t="s">
        <v>4436</v>
      </c>
      <c r="B1561" s="10">
        <v>149.232961287493</v>
      </c>
      <c r="C1561" s="10">
        <v>3.1964067331327102</v>
      </c>
      <c r="D1561" s="10">
        <v>0.41413941720604103</v>
      </c>
      <c r="E1561" s="10">
        <v>7.7181900595143</v>
      </c>
      <c r="F1561" s="4">
        <v>1.17993170643188E-14</v>
      </c>
      <c r="G1561" s="4">
        <v>4.1396348780047202E-13</v>
      </c>
      <c r="H1561" s="10" t="s">
        <v>4437</v>
      </c>
      <c r="I1561" s="10" t="s">
        <v>18</v>
      </c>
    </row>
    <row r="1562" spans="1:9" x14ac:dyDescent="0.2">
      <c r="A1562" s="10" t="s">
        <v>4438</v>
      </c>
      <c r="B1562" s="10">
        <v>53.262356201924703</v>
      </c>
      <c r="C1562" s="10">
        <v>3.0675671386877399</v>
      </c>
      <c r="D1562" s="10">
        <v>0.55500907758800599</v>
      </c>
      <c r="E1562" s="10">
        <v>5.5270575970017903</v>
      </c>
      <c r="F1562" s="4">
        <v>3.2564607659943497E-8</v>
      </c>
      <c r="G1562" s="4">
        <v>5.2781102170481898E-7</v>
      </c>
      <c r="H1562" s="10" t="s">
        <v>4439</v>
      </c>
      <c r="I1562" s="10" t="s">
        <v>18</v>
      </c>
    </row>
    <row r="1563" spans="1:9" x14ac:dyDescent="0.2">
      <c r="A1563" s="10" t="s">
        <v>4440</v>
      </c>
      <c r="B1563" s="10">
        <v>656.30407665416806</v>
      </c>
      <c r="C1563" s="10">
        <v>-1.01100687683947</v>
      </c>
      <c r="D1563" s="10">
        <v>0.32189197456938201</v>
      </c>
      <c r="E1563" s="10">
        <v>-3.14082660244005</v>
      </c>
      <c r="F1563" s="10">
        <v>1.6847174555991999E-3</v>
      </c>
      <c r="G1563" s="10">
        <v>9.5041640716747797E-3</v>
      </c>
      <c r="H1563" s="10" t="s">
        <v>4441</v>
      </c>
      <c r="I1563" s="10" t="s">
        <v>18</v>
      </c>
    </row>
    <row r="1564" spans="1:9" x14ac:dyDescent="0.2">
      <c r="A1564" s="10" t="s">
        <v>4442</v>
      </c>
      <c r="B1564" s="10">
        <v>46.102849440793399</v>
      </c>
      <c r="C1564" s="10">
        <v>1.9528277609768201</v>
      </c>
      <c r="D1564" s="10">
        <v>0.57841168678117305</v>
      </c>
      <c r="E1564" s="10">
        <v>3.3761900141475301</v>
      </c>
      <c r="F1564" s="10">
        <v>7.3497140967479101E-4</v>
      </c>
      <c r="G1564" s="10">
        <v>4.6960136678611602E-3</v>
      </c>
      <c r="H1564" s="10" t="s">
        <v>4443</v>
      </c>
      <c r="I1564" s="10" t="s">
        <v>18</v>
      </c>
    </row>
    <row r="1565" spans="1:9" x14ac:dyDescent="0.2">
      <c r="A1565" s="10" t="s">
        <v>4444</v>
      </c>
      <c r="B1565" s="10">
        <v>1497.39338303608</v>
      </c>
      <c r="C1565" s="10">
        <v>1.8512870300980599</v>
      </c>
      <c r="D1565" s="10">
        <v>0.28964934341618198</v>
      </c>
      <c r="E1565" s="10">
        <v>6.39147670166835</v>
      </c>
      <c r="F1565" s="4">
        <v>1.6429131770274601E-10</v>
      </c>
      <c r="G1565" s="4">
        <v>3.67803728372147E-9</v>
      </c>
      <c r="H1565" s="10" t="s">
        <v>4445</v>
      </c>
      <c r="I1565" s="10" t="s">
        <v>18</v>
      </c>
    </row>
    <row r="1566" spans="1:9" x14ac:dyDescent="0.2">
      <c r="A1566" s="10" t="s">
        <v>4446</v>
      </c>
      <c r="B1566" s="10">
        <v>4698.42375768687</v>
      </c>
      <c r="C1566" s="10">
        <v>3.7509226000170601</v>
      </c>
      <c r="D1566" s="10">
        <v>0.26325854523546399</v>
      </c>
      <c r="E1566" s="10">
        <v>14.2480563989372</v>
      </c>
      <c r="F1566" s="4">
        <v>4.6093191159941999E-46</v>
      </c>
      <c r="G1566" s="4">
        <v>1.01708265230556E-43</v>
      </c>
      <c r="H1566" s="10" t="s">
        <v>4447</v>
      </c>
      <c r="I1566" s="10" t="s">
        <v>18</v>
      </c>
    </row>
    <row r="1567" spans="1:9" x14ac:dyDescent="0.2">
      <c r="A1567" s="10" t="s">
        <v>4448</v>
      </c>
      <c r="B1567" s="10">
        <v>2777.42426534373</v>
      </c>
      <c r="C1567" s="10">
        <v>-1.1260569471917701</v>
      </c>
      <c r="D1567" s="10">
        <v>0.24244002329832601</v>
      </c>
      <c r="E1567" s="10">
        <v>-4.6446825564199203</v>
      </c>
      <c r="F1567" s="4">
        <v>3.4059975710662099E-6</v>
      </c>
      <c r="G1567" s="4">
        <v>3.8576257946947599E-5</v>
      </c>
      <c r="H1567" s="10" t="s">
        <v>4449</v>
      </c>
      <c r="I1567" s="10" t="s">
        <v>18</v>
      </c>
    </row>
    <row r="1568" spans="1:9" x14ac:dyDescent="0.2">
      <c r="A1568" s="10" t="s">
        <v>4458</v>
      </c>
      <c r="B1568" s="10">
        <v>3869.5118344367202</v>
      </c>
      <c r="C1568" s="10">
        <v>-1.40692946065671</v>
      </c>
      <c r="D1568" s="10">
        <v>0.244337414537701</v>
      </c>
      <c r="E1568" s="10">
        <v>-5.7581417210241801</v>
      </c>
      <c r="F1568" s="4">
        <v>8.5044942717012893E-9</v>
      </c>
      <c r="G1568" s="4">
        <v>1.5129459222393601E-7</v>
      </c>
      <c r="H1568" s="10" t="s">
        <v>4459</v>
      </c>
      <c r="I1568" s="10" t="s">
        <v>18</v>
      </c>
    </row>
    <row r="1569" spans="1:9" x14ac:dyDescent="0.2">
      <c r="A1569" s="10" t="s">
        <v>10445</v>
      </c>
      <c r="B1569" s="10">
        <v>36.952492605602401</v>
      </c>
      <c r="C1569" s="10">
        <v>-2.3215708639889701</v>
      </c>
      <c r="D1569" s="10">
        <v>0.61853441292045697</v>
      </c>
      <c r="E1569" s="10">
        <v>-3.7533414721866398</v>
      </c>
      <c r="F1569" s="10">
        <v>1.7449289926020899E-4</v>
      </c>
      <c r="G1569" s="10">
        <v>1.32130309478945E-3</v>
      </c>
      <c r="H1569" s="10" t="s">
        <v>10446</v>
      </c>
      <c r="I1569" s="10" t="s">
        <v>18</v>
      </c>
    </row>
    <row r="1570" spans="1:9" x14ac:dyDescent="0.2">
      <c r="A1570" s="10" t="s">
        <v>4460</v>
      </c>
      <c r="B1570" s="10">
        <v>558.12293360307604</v>
      </c>
      <c r="C1570" s="10">
        <v>1.20448880537975</v>
      </c>
      <c r="D1570" s="10">
        <v>0.306293602527755</v>
      </c>
      <c r="E1570" s="10">
        <v>3.9324647835914299</v>
      </c>
      <c r="F1570" s="4">
        <v>8.4079300307705901E-5</v>
      </c>
      <c r="G1570" s="10">
        <v>6.9527286785795003E-4</v>
      </c>
      <c r="H1570" s="10" t="s">
        <v>4461</v>
      </c>
      <c r="I1570" s="10" t="s">
        <v>18</v>
      </c>
    </row>
    <row r="1571" spans="1:9" x14ac:dyDescent="0.2">
      <c r="A1571" s="10" t="s">
        <v>4462</v>
      </c>
      <c r="B1571" s="10">
        <v>3868.51047452392</v>
      </c>
      <c r="C1571" s="10">
        <v>1.52108945538594</v>
      </c>
      <c r="D1571" s="10">
        <v>0.27188514368636502</v>
      </c>
      <c r="E1571" s="10">
        <v>5.5946030546656296</v>
      </c>
      <c r="F1571" s="4">
        <v>2.2112709420053999E-8</v>
      </c>
      <c r="G1571" s="4">
        <v>3.6837430825262198E-7</v>
      </c>
      <c r="H1571" s="10" t="s">
        <v>4463</v>
      </c>
      <c r="I1571" s="10" t="s">
        <v>18</v>
      </c>
    </row>
    <row r="1572" spans="1:9" x14ac:dyDescent="0.2">
      <c r="A1572" s="10" t="s">
        <v>4464</v>
      </c>
      <c r="B1572" s="10">
        <v>1376.33354193895</v>
      </c>
      <c r="C1572" s="10">
        <v>1.12158987062619</v>
      </c>
      <c r="D1572" s="10">
        <v>0.24535181775224199</v>
      </c>
      <c r="E1572" s="10">
        <v>4.5713534177227002</v>
      </c>
      <c r="F1572" s="4">
        <v>4.8458420507916998E-6</v>
      </c>
      <c r="G1572" s="4">
        <v>5.3316574419078603E-5</v>
      </c>
      <c r="H1572" s="10" t="s">
        <v>4465</v>
      </c>
      <c r="I1572" s="10" t="s">
        <v>18</v>
      </c>
    </row>
    <row r="1573" spans="1:9" x14ac:dyDescent="0.2">
      <c r="A1573" s="10" t="s">
        <v>4468</v>
      </c>
      <c r="B1573" s="10">
        <v>76.822431734989607</v>
      </c>
      <c r="C1573" s="10">
        <v>2.3265011844742101</v>
      </c>
      <c r="D1573" s="10">
        <v>0.45400638382258901</v>
      </c>
      <c r="E1573" s="10">
        <v>5.1243798928240096</v>
      </c>
      <c r="F1573" s="4">
        <v>2.9851856584370102E-7</v>
      </c>
      <c r="G1573" s="4">
        <v>4.1169048924332699E-6</v>
      </c>
      <c r="H1573" s="10" t="s">
        <v>4469</v>
      </c>
      <c r="I1573" s="10" t="s">
        <v>18</v>
      </c>
    </row>
    <row r="1574" spans="1:9" x14ac:dyDescent="0.2">
      <c r="A1574" s="10" t="s">
        <v>4472</v>
      </c>
      <c r="B1574" s="10">
        <v>79.675632114186897</v>
      </c>
      <c r="C1574" s="10">
        <v>3.3543875006419999</v>
      </c>
      <c r="D1574" s="10">
        <v>0.48470236985923898</v>
      </c>
      <c r="E1574" s="10">
        <v>6.9205097998925398</v>
      </c>
      <c r="F1574" s="4">
        <v>4.5002118430746704E-12</v>
      </c>
      <c r="G1574" s="4">
        <v>1.21723471948971E-10</v>
      </c>
      <c r="H1574" s="10" t="s">
        <v>4473</v>
      </c>
      <c r="I1574" s="10" t="s">
        <v>18</v>
      </c>
    </row>
    <row r="1575" spans="1:9" x14ac:dyDescent="0.2">
      <c r="A1575" s="10" t="s">
        <v>4476</v>
      </c>
      <c r="B1575" s="10">
        <v>2345.55107705915</v>
      </c>
      <c r="C1575" s="10">
        <v>-2.38351031825324</v>
      </c>
      <c r="D1575" s="10">
        <v>0.25477876878058398</v>
      </c>
      <c r="E1575" s="10">
        <v>-9.3552156235825397</v>
      </c>
      <c r="F1575" s="4">
        <v>8.3429369307998004E-21</v>
      </c>
      <c r="G1575" s="4">
        <v>4.74811263561695E-19</v>
      </c>
      <c r="H1575" s="10" t="s">
        <v>4477</v>
      </c>
      <c r="I1575" s="10" t="s">
        <v>18</v>
      </c>
    </row>
    <row r="1576" spans="1:9" x14ac:dyDescent="0.2">
      <c r="A1576" s="10" t="s">
        <v>10447</v>
      </c>
      <c r="B1576" s="10">
        <v>1303.1608835838499</v>
      </c>
      <c r="C1576" s="10">
        <v>1.31132590400729</v>
      </c>
      <c r="D1576" s="10">
        <v>0.25055539263648802</v>
      </c>
      <c r="E1576" s="10">
        <v>5.2336766341716601</v>
      </c>
      <c r="F1576" s="4">
        <v>1.6617105869136699E-7</v>
      </c>
      <c r="G1576" s="4">
        <v>2.4046733038869801E-6</v>
      </c>
      <c r="H1576" s="10" t="s">
        <v>10448</v>
      </c>
      <c r="I1576" s="10" t="s">
        <v>18</v>
      </c>
    </row>
    <row r="1577" spans="1:9" x14ac:dyDescent="0.2">
      <c r="A1577" s="10" t="s">
        <v>4482</v>
      </c>
      <c r="B1577" s="10">
        <v>69.903351264426306</v>
      </c>
      <c r="C1577" s="10">
        <v>1.50891768790462</v>
      </c>
      <c r="D1577" s="10">
        <v>0.46259985647741297</v>
      </c>
      <c r="E1577" s="10">
        <v>3.26182048432671</v>
      </c>
      <c r="F1577" s="10">
        <v>1.1069922179208699E-3</v>
      </c>
      <c r="G1577" s="10">
        <v>6.65226689961763E-3</v>
      </c>
      <c r="H1577" s="10" t="s">
        <v>4483</v>
      </c>
      <c r="I1577" s="10" t="s">
        <v>18</v>
      </c>
    </row>
    <row r="1578" spans="1:9" x14ac:dyDescent="0.2">
      <c r="A1578" s="10" t="s">
        <v>10449</v>
      </c>
      <c r="B1578" s="10">
        <v>425.45778468758402</v>
      </c>
      <c r="C1578" s="10">
        <v>-1.1454530850025799</v>
      </c>
      <c r="D1578" s="10">
        <v>0.31333739867974397</v>
      </c>
      <c r="E1578" s="10">
        <v>-3.6556539047971102</v>
      </c>
      <c r="F1578" s="10">
        <v>2.5652725093496301E-4</v>
      </c>
      <c r="G1578" s="10">
        <v>1.8607102068249699E-3</v>
      </c>
      <c r="H1578" s="10" t="s">
        <v>10450</v>
      </c>
      <c r="I1578" s="10" t="s">
        <v>18</v>
      </c>
    </row>
    <row r="1579" spans="1:9" x14ac:dyDescent="0.2">
      <c r="A1579" s="10" t="s">
        <v>10451</v>
      </c>
      <c r="B1579" s="10">
        <v>1848.5843205290601</v>
      </c>
      <c r="C1579" s="10">
        <v>-1.4516539288447099</v>
      </c>
      <c r="D1579" s="10">
        <v>0.28129181280842702</v>
      </c>
      <c r="E1579" s="10">
        <v>-5.1606689663355301</v>
      </c>
      <c r="F1579" s="4">
        <v>2.4606895716607098E-7</v>
      </c>
      <c r="G1579" s="4">
        <v>3.4522390504810399E-6</v>
      </c>
      <c r="H1579" s="10" t="s">
        <v>10452</v>
      </c>
      <c r="I1579" s="10" t="s">
        <v>18</v>
      </c>
    </row>
    <row r="1580" spans="1:9" x14ac:dyDescent="0.2">
      <c r="A1580" s="10" t="s">
        <v>10453</v>
      </c>
      <c r="B1580" s="10">
        <v>562.58028748027095</v>
      </c>
      <c r="C1580" s="10">
        <v>-1.46598981586439</v>
      </c>
      <c r="D1580" s="10">
        <v>0.292606612071242</v>
      </c>
      <c r="E1580" s="10">
        <v>-5.0101048827545203</v>
      </c>
      <c r="F1580" s="4">
        <v>5.4400379456299696E-7</v>
      </c>
      <c r="G1580" s="4">
        <v>7.1731597200569602E-6</v>
      </c>
      <c r="H1580" s="10" t="s">
        <v>10454</v>
      </c>
      <c r="I1580" s="10" t="s">
        <v>18</v>
      </c>
    </row>
    <row r="1581" spans="1:9" x14ac:dyDescent="0.2">
      <c r="A1581" s="10" t="s">
        <v>4486</v>
      </c>
      <c r="B1581" s="10">
        <v>88.308771363042496</v>
      </c>
      <c r="C1581" s="10">
        <v>6.20531212321709</v>
      </c>
      <c r="D1581" s="10">
        <v>0.76218315107114298</v>
      </c>
      <c r="E1581" s="10">
        <v>8.1414973743468106</v>
      </c>
      <c r="F1581" s="4">
        <v>3.9041900878265502E-16</v>
      </c>
      <c r="G1581" s="4">
        <v>1.57893732571185E-14</v>
      </c>
      <c r="H1581" s="10" t="s">
        <v>4487</v>
      </c>
      <c r="I1581" s="10" t="s">
        <v>18</v>
      </c>
    </row>
    <row r="1582" spans="1:9" x14ac:dyDescent="0.2">
      <c r="A1582" s="10" t="s">
        <v>10455</v>
      </c>
      <c r="B1582" s="10">
        <v>25.3920137311062</v>
      </c>
      <c r="C1582" s="10">
        <v>-1.9013007481675701</v>
      </c>
      <c r="D1582" s="10">
        <v>0.71406703041640096</v>
      </c>
      <c r="E1582" s="10">
        <v>-2.6626362332662898</v>
      </c>
      <c r="F1582" s="10">
        <v>7.7531178388791297E-3</v>
      </c>
      <c r="G1582" s="10">
        <v>3.4072271005766E-2</v>
      </c>
      <c r="H1582" s="10" t="s">
        <v>10456</v>
      </c>
      <c r="I1582" s="10" t="s">
        <v>18</v>
      </c>
    </row>
    <row r="1583" spans="1:9" x14ac:dyDescent="0.2">
      <c r="A1583" s="10" t="s">
        <v>10457</v>
      </c>
      <c r="B1583" s="10">
        <v>44.963989279352099</v>
      </c>
      <c r="C1583" s="10">
        <v>1.6618120841719699</v>
      </c>
      <c r="D1583" s="10">
        <v>0.55990615212130901</v>
      </c>
      <c r="E1583" s="10">
        <v>2.9680189758156499</v>
      </c>
      <c r="F1583" s="10">
        <v>2.9972582628938599E-3</v>
      </c>
      <c r="G1583" s="10">
        <v>1.54089580222962E-2</v>
      </c>
      <c r="H1583" s="10" t="s">
        <v>10458</v>
      </c>
      <c r="I1583" s="10" t="s">
        <v>18</v>
      </c>
    </row>
    <row r="1584" spans="1:9" x14ac:dyDescent="0.2">
      <c r="A1584" s="10" t="s">
        <v>4500</v>
      </c>
      <c r="B1584" s="10">
        <v>251.26860588034901</v>
      </c>
      <c r="C1584" s="10">
        <v>1.0639328996814901</v>
      </c>
      <c r="D1584" s="10">
        <v>0.34048546354931702</v>
      </c>
      <c r="E1584" s="10">
        <v>3.1247527826614001</v>
      </c>
      <c r="F1584" s="10">
        <v>1.77954548474373E-3</v>
      </c>
      <c r="G1584" s="10">
        <v>9.9278036524126107E-3</v>
      </c>
      <c r="H1584" s="10" t="s">
        <v>4501</v>
      </c>
      <c r="I1584" s="10" t="s">
        <v>18</v>
      </c>
    </row>
    <row r="1585" spans="1:9" x14ac:dyDescent="0.2">
      <c r="A1585" s="10" t="s">
        <v>10459</v>
      </c>
      <c r="B1585" s="10">
        <v>1300.64031600166</v>
      </c>
      <c r="C1585" s="10">
        <v>-1.4190336503648799</v>
      </c>
      <c r="D1585" s="10">
        <v>0.31267738555437402</v>
      </c>
      <c r="E1585" s="10">
        <v>-4.5383315708903904</v>
      </c>
      <c r="F1585" s="4">
        <v>5.6701057287184599E-6</v>
      </c>
      <c r="G1585" s="4">
        <v>6.1585280486145405E-5</v>
      </c>
      <c r="H1585" s="10" t="s">
        <v>10460</v>
      </c>
      <c r="I1585" s="10" t="s">
        <v>18</v>
      </c>
    </row>
    <row r="1586" spans="1:9" x14ac:dyDescent="0.2">
      <c r="A1586" s="10" t="s">
        <v>4510</v>
      </c>
      <c r="B1586" s="10">
        <v>343.12343883934602</v>
      </c>
      <c r="C1586" s="10">
        <v>-1.5554478411035499</v>
      </c>
      <c r="D1586" s="10">
        <v>0.29319432514480898</v>
      </c>
      <c r="E1586" s="10">
        <v>-5.3051771733143704</v>
      </c>
      <c r="F1586" s="4">
        <v>1.1256361211547299E-7</v>
      </c>
      <c r="G1586" s="4">
        <v>1.6784455618048099E-6</v>
      </c>
      <c r="H1586" s="10" t="s">
        <v>4511</v>
      </c>
      <c r="I1586" s="10" t="s">
        <v>18</v>
      </c>
    </row>
    <row r="1587" spans="1:9" x14ac:dyDescent="0.2">
      <c r="A1587" s="10" t="s">
        <v>10461</v>
      </c>
      <c r="B1587" s="10">
        <v>1568.9755988792001</v>
      </c>
      <c r="C1587" s="10">
        <v>-1.9348333255721999</v>
      </c>
      <c r="D1587" s="10">
        <v>0.24604062050560399</v>
      </c>
      <c r="E1587" s="10">
        <v>-7.8638776052352402</v>
      </c>
      <c r="F1587" s="4">
        <v>3.7242144864938097E-15</v>
      </c>
      <c r="G1587" s="4">
        <v>1.36962888023029E-13</v>
      </c>
      <c r="H1587" s="10" t="s">
        <v>10462</v>
      </c>
      <c r="I1587" s="10" t="s">
        <v>18</v>
      </c>
    </row>
    <row r="1588" spans="1:9" x14ac:dyDescent="0.2">
      <c r="A1588" s="10" t="s">
        <v>4512</v>
      </c>
      <c r="B1588" s="10">
        <v>184.88298003616401</v>
      </c>
      <c r="C1588" s="10">
        <v>2.9409632147024598</v>
      </c>
      <c r="D1588" s="10">
        <v>0.36318174347718002</v>
      </c>
      <c r="E1588" s="10">
        <v>8.0977727199199201</v>
      </c>
      <c r="F1588" s="4">
        <v>5.5974518485345198E-16</v>
      </c>
      <c r="G1588" s="4">
        <v>2.2243902251166799E-14</v>
      </c>
      <c r="H1588" s="10" t="s">
        <v>4513</v>
      </c>
      <c r="I1588" s="10" t="s">
        <v>18</v>
      </c>
    </row>
    <row r="1589" spans="1:9" x14ac:dyDescent="0.2">
      <c r="A1589" s="10" t="s">
        <v>10463</v>
      </c>
      <c r="B1589" s="10">
        <v>18674.744826754799</v>
      </c>
      <c r="C1589" s="10">
        <v>-1.11300054836006</v>
      </c>
      <c r="D1589" s="10">
        <v>0.26020996854936002</v>
      </c>
      <c r="E1589" s="10">
        <v>-4.2773171011276299</v>
      </c>
      <c r="F1589" s="4">
        <v>1.8915925999469199E-5</v>
      </c>
      <c r="G1589" s="10">
        <v>1.8217079575675701E-4</v>
      </c>
      <c r="H1589" s="10" t="s">
        <v>10464</v>
      </c>
      <c r="I1589" s="10" t="s">
        <v>18</v>
      </c>
    </row>
    <row r="1590" spans="1:9" x14ac:dyDescent="0.2">
      <c r="A1590" s="10" t="s">
        <v>10465</v>
      </c>
      <c r="B1590" s="10">
        <v>1095.37745858731</v>
      </c>
      <c r="C1590" s="10">
        <v>1.33233677622334</v>
      </c>
      <c r="D1590" s="10">
        <v>0.26618649388722698</v>
      </c>
      <c r="E1590" s="10">
        <v>5.0052756500402902</v>
      </c>
      <c r="F1590" s="4">
        <v>5.5782147959926995E-7</v>
      </c>
      <c r="G1590" s="4">
        <v>7.34275212941896E-6</v>
      </c>
      <c r="H1590" s="10" t="s">
        <v>10466</v>
      </c>
      <c r="I1590" s="10" t="s">
        <v>18</v>
      </c>
    </row>
    <row r="1591" spans="1:9" x14ac:dyDescent="0.2">
      <c r="A1591" s="10" t="s">
        <v>10467</v>
      </c>
      <c r="B1591" s="10">
        <v>108.809978913317</v>
      </c>
      <c r="C1591" s="10">
        <v>1.4490700107338701</v>
      </c>
      <c r="D1591" s="10">
        <v>0.43717420125094603</v>
      </c>
      <c r="E1591" s="10">
        <v>3.3146283714534199</v>
      </c>
      <c r="F1591" s="10">
        <v>9.1765033910521602E-4</v>
      </c>
      <c r="G1591" s="10">
        <v>5.6744086234492902E-3</v>
      </c>
      <c r="H1591" s="10" t="s">
        <v>10468</v>
      </c>
      <c r="I1591" s="10" t="s">
        <v>18</v>
      </c>
    </row>
    <row r="1592" spans="1:9" x14ac:dyDescent="0.2">
      <c r="A1592" s="10" t="s">
        <v>4516</v>
      </c>
      <c r="B1592" s="10">
        <v>3744.21320234921</v>
      </c>
      <c r="C1592" s="10">
        <v>2.0964041566125702</v>
      </c>
      <c r="D1592" s="10">
        <v>0.29111905455229797</v>
      </c>
      <c r="E1592" s="10">
        <v>7.2011918279844602</v>
      </c>
      <c r="F1592" s="4">
        <v>5.9688502625842499E-13</v>
      </c>
      <c r="G1592" s="4">
        <v>1.7685091679070301E-11</v>
      </c>
      <c r="H1592" s="10" t="s">
        <v>4517</v>
      </c>
      <c r="I1592" s="10" t="s">
        <v>18</v>
      </c>
    </row>
    <row r="1593" spans="1:9" x14ac:dyDescent="0.2">
      <c r="A1593" s="10" t="s">
        <v>4518</v>
      </c>
      <c r="B1593" s="10">
        <v>270.97843029235003</v>
      </c>
      <c r="C1593" s="10">
        <v>2.63446277698797</v>
      </c>
      <c r="D1593" s="10">
        <v>0.38565139338085502</v>
      </c>
      <c r="E1593" s="10">
        <v>6.8312025373295402</v>
      </c>
      <c r="F1593" s="4">
        <v>8.4205746826318008E-12</v>
      </c>
      <c r="G1593" s="4">
        <v>2.1859603316986899E-10</v>
      </c>
      <c r="H1593" s="10" t="s">
        <v>4519</v>
      </c>
      <c r="I1593" s="10" t="s">
        <v>18</v>
      </c>
    </row>
    <row r="1594" spans="1:9" x14ac:dyDescent="0.2">
      <c r="A1594" s="10" t="s">
        <v>4520</v>
      </c>
      <c r="B1594" s="10">
        <v>2022.03421000352</v>
      </c>
      <c r="C1594" s="10">
        <v>1.2842284020785499</v>
      </c>
      <c r="D1594" s="10">
        <v>0.289366907824882</v>
      </c>
      <c r="E1594" s="10">
        <v>4.4380624299159299</v>
      </c>
      <c r="F1594" s="4">
        <v>9.0772293893984908E-6</v>
      </c>
      <c r="G1594" s="4">
        <v>9.3966133864328803E-5</v>
      </c>
      <c r="H1594" s="10" t="s">
        <v>4521</v>
      </c>
      <c r="I1594" s="10" t="s">
        <v>18</v>
      </c>
    </row>
    <row r="1595" spans="1:9" x14ac:dyDescent="0.2">
      <c r="A1595" s="10" t="s">
        <v>4530</v>
      </c>
      <c r="B1595" s="10">
        <v>192.507848501908</v>
      </c>
      <c r="C1595" s="10">
        <v>5.94955619120047</v>
      </c>
      <c r="D1595" s="10">
        <v>0.53021593752603802</v>
      </c>
      <c r="E1595" s="10">
        <v>11.2210059527083</v>
      </c>
      <c r="F1595" s="4">
        <v>3.21591274101709E-29</v>
      </c>
      <c r="G1595" s="4">
        <v>3.0994745210837198E-27</v>
      </c>
      <c r="H1595" s="10" t="s">
        <v>4531</v>
      </c>
      <c r="I1595" s="10" t="s">
        <v>18</v>
      </c>
    </row>
    <row r="1596" spans="1:9" x14ac:dyDescent="0.2">
      <c r="A1596" s="10" t="s">
        <v>10469</v>
      </c>
      <c r="B1596" s="10">
        <v>2162.11505577453</v>
      </c>
      <c r="C1596" s="10">
        <v>1.4491166443944099</v>
      </c>
      <c r="D1596" s="10">
        <v>0.25245315841745902</v>
      </c>
      <c r="E1596" s="10">
        <v>5.7401406798727201</v>
      </c>
      <c r="F1596" s="4">
        <v>9.4597934115216204E-9</v>
      </c>
      <c r="G1596" s="4">
        <v>1.6710751633906301E-7</v>
      </c>
      <c r="H1596" s="10" t="s">
        <v>10470</v>
      </c>
      <c r="I1596" s="10" t="s">
        <v>18</v>
      </c>
    </row>
    <row r="1597" spans="1:9" x14ac:dyDescent="0.2">
      <c r="A1597" s="10" t="s">
        <v>4532</v>
      </c>
      <c r="B1597" s="10">
        <v>4.5067613519594598</v>
      </c>
      <c r="C1597" s="10">
        <v>5.6871354612422396</v>
      </c>
      <c r="D1597" s="10">
        <v>2.0820890652956998</v>
      </c>
      <c r="E1597" s="10">
        <v>2.7314563800538298</v>
      </c>
      <c r="F1597" s="10">
        <v>6.30550873117635E-3</v>
      </c>
      <c r="G1597" s="10">
        <v>2.8703415152504699E-2</v>
      </c>
      <c r="H1597" s="10" t="s">
        <v>4533</v>
      </c>
      <c r="I1597" s="10" t="s">
        <v>18</v>
      </c>
    </row>
    <row r="1598" spans="1:9" x14ac:dyDescent="0.2">
      <c r="A1598" s="10" t="s">
        <v>10471</v>
      </c>
      <c r="B1598" s="10">
        <v>15.5264608459989</v>
      </c>
      <c r="C1598" s="10">
        <v>-2.96337903328171</v>
      </c>
      <c r="D1598" s="10">
        <v>0.99529421071728996</v>
      </c>
      <c r="E1598" s="10">
        <v>-2.9773900032494498</v>
      </c>
      <c r="F1598" s="10">
        <v>2.90713941312224E-3</v>
      </c>
      <c r="G1598" s="10">
        <v>1.50224100117276E-2</v>
      </c>
      <c r="H1598" s="10" t="s">
        <v>10472</v>
      </c>
      <c r="I1598" s="10" t="s">
        <v>18</v>
      </c>
    </row>
    <row r="1599" spans="1:9" x14ac:dyDescent="0.2">
      <c r="A1599" s="10" t="s">
        <v>10473</v>
      </c>
      <c r="B1599" s="10">
        <v>5.27196007067029</v>
      </c>
      <c r="C1599" s="10">
        <v>-5.7861201034851701</v>
      </c>
      <c r="D1599" s="10">
        <v>1.99072858327181</v>
      </c>
      <c r="E1599" s="10">
        <v>-2.9065338952312301</v>
      </c>
      <c r="F1599" s="10">
        <v>3.6545730276138001E-3</v>
      </c>
      <c r="G1599" s="10">
        <v>1.8247476083688999E-2</v>
      </c>
      <c r="H1599" s="10" t="s">
        <v>10474</v>
      </c>
      <c r="I1599" s="10" t="s">
        <v>18</v>
      </c>
    </row>
    <row r="1600" spans="1:9" x14ac:dyDescent="0.2">
      <c r="A1600" s="10" t="s">
        <v>10475</v>
      </c>
      <c r="B1600" s="10">
        <v>66.570968778725998</v>
      </c>
      <c r="C1600" s="10">
        <v>1.9966248909595401</v>
      </c>
      <c r="D1600" s="10">
        <v>0.547920024044802</v>
      </c>
      <c r="E1600" s="10">
        <v>3.6440078904586302</v>
      </c>
      <c r="F1600" s="10">
        <v>2.6842518490661701E-4</v>
      </c>
      <c r="G1600" s="10">
        <v>1.9386263354366801E-3</v>
      </c>
      <c r="H1600" s="10" t="s">
        <v>10476</v>
      </c>
      <c r="I1600" s="10" t="s">
        <v>18</v>
      </c>
    </row>
    <row r="1601" spans="1:9" x14ac:dyDescent="0.2">
      <c r="A1601" s="10" t="s">
        <v>4536</v>
      </c>
      <c r="B1601" s="10">
        <v>39.989346399274901</v>
      </c>
      <c r="C1601" s="10">
        <v>5.0404560907639002</v>
      </c>
      <c r="D1601" s="10">
        <v>0.83650622572264499</v>
      </c>
      <c r="E1601" s="10">
        <v>6.0256049934470397</v>
      </c>
      <c r="F1601" s="4">
        <v>1.68478203084244E-9</v>
      </c>
      <c r="G1601" s="4">
        <v>3.30324957021369E-8</v>
      </c>
      <c r="H1601" s="10" t="s">
        <v>4537</v>
      </c>
      <c r="I1601" s="10" t="s">
        <v>18</v>
      </c>
    </row>
    <row r="1602" spans="1:9" x14ac:dyDescent="0.2">
      <c r="A1602" s="10" t="s">
        <v>4538</v>
      </c>
      <c r="B1602" s="10">
        <v>857.48208505303</v>
      </c>
      <c r="C1602" s="10">
        <v>6.66871703031204</v>
      </c>
      <c r="D1602" s="10">
        <v>0.36449998757351398</v>
      </c>
      <c r="E1602" s="10">
        <v>18.2955205971497</v>
      </c>
      <c r="F1602" s="4">
        <v>8.9838801899832804E-75</v>
      </c>
      <c r="G1602" s="4">
        <v>5.7946027225392204E-72</v>
      </c>
      <c r="H1602" s="10" t="s">
        <v>4539</v>
      </c>
      <c r="I1602" s="10" t="s">
        <v>18</v>
      </c>
    </row>
    <row r="1603" spans="1:9" x14ac:dyDescent="0.2">
      <c r="A1603" s="10" t="s">
        <v>4540</v>
      </c>
      <c r="B1603" s="10">
        <v>114.90884131078001</v>
      </c>
      <c r="C1603" s="10">
        <v>2.4626653825616001</v>
      </c>
      <c r="D1603" s="10">
        <v>0.42982179608264298</v>
      </c>
      <c r="E1603" s="10">
        <v>5.7295032615984303</v>
      </c>
      <c r="F1603" s="4">
        <v>1.00725152840429E-8</v>
      </c>
      <c r="G1603" s="4">
        <v>1.7730869277123701E-7</v>
      </c>
      <c r="H1603" s="10" t="s">
        <v>4541</v>
      </c>
      <c r="I1603" s="10" t="s">
        <v>18</v>
      </c>
    </row>
    <row r="1604" spans="1:9" x14ac:dyDescent="0.2">
      <c r="A1604" s="10" t="s">
        <v>4544</v>
      </c>
      <c r="B1604" s="10">
        <v>108.32235838200999</v>
      </c>
      <c r="C1604" s="10">
        <v>-1.89666705623764</v>
      </c>
      <c r="D1604" s="10">
        <v>0.43492427743960099</v>
      </c>
      <c r="E1604" s="10">
        <v>-4.3609132776016102</v>
      </c>
      <c r="F1604" s="4">
        <v>1.29520697354735E-5</v>
      </c>
      <c r="G1604" s="10">
        <v>1.28880266691391E-4</v>
      </c>
      <c r="H1604" s="10" t="s">
        <v>4545</v>
      </c>
      <c r="I1604" s="10" t="s">
        <v>18</v>
      </c>
    </row>
    <row r="1605" spans="1:9" x14ac:dyDescent="0.2">
      <c r="A1605" s="10" t="s">
        <v>4546</v>
      </c>
      <c r="B1605" s="10">
        <v>719.39294257415395</v>
      </c>
      <c r="C1605" s="10">
        <v>-2.9378938644822701</v>
      </c>
      <c r="D1605" s="10">
        <v>0.30512281133710401</v>
      </c>
      <c r="E1605" s="10">
        <v>-9.6285618620511801</v>
      </c>
      <c r="F1605" s="4">
        <v>6.0571240836361595E-22</v>
      </c>
      <c r="G1605" s="4">
        <v>3.6803612638615397E-20</v>
      </c>
      <c r="H1605" s="10" t="s">
        <v>4547</v>
      </c>
      <c r="I1605" s="10" t="s">
        <v>18</v>
      </c>
    </row>
    <row r="1606" spans="1:9" x14ac:dyDescent="0.2">
      <c r="A1606" s="10" t="s">
        <v>4548</v>
      </c>
      <c r="B1606" s="10">
        <v>2598.7862357336999</v>
      </c>
      <c r="C1606" s="10">
        <v>-1.2051724261296699</v>
      </c>
      <c r="D1606" s="10">
        <v>0.24061962981805399</v>
      </c>
      <c r="E1606" s="10">
        <v>-5.00862056450244</v>
      </c>
      <c r="F1606" s="4">
        <v>5.4821529737311103E-7</v>
      </c>
      <c r="G1606" s="4">
        <v>7.2238637011108503E-6</v>
      </c>
      <c r="H1606" s="10" t="s">
        <v>4549</v>
      </c>
      <c r="I1606" s="10" t="s">
        <v>18</v>
      </c>
    </row>
    <row r="1607" spans="1:9" x14ac:dyDescent="0.2">
      <c r="A1607" s="10" t="s">
        <v>4550</v>
      </c>
      <c r="B1607" s="10">
        <v>136.030002767485</v>
      </c>
      <c r="C1607" s="10">
        <v>-1.6723957074299001</v>
      </c>
      <c r="D1607" s="10">
        <v>0.41336715205916902</v>
      </c>
      <c r="E1607" s="10">
        <v>-4.0457876226955696</v>
      </c>
      <c r="F1607" s="4">
        <v>5.2147494396701801E-5</v>
      </c>
      <c r="G1607" s="10">
        <v>4.5579229379744102E-4</v>
      </c>
      <c r="H1607" s="10" t="s">
        <v>4551</v>
      </c>
      <c r="I1607" s="10" t="s">
        <v>18</v>
      </c>
    </row>
    <row r="1608" spans="1:9" x14ac:dyDescent="0.2">
      <c r="A1608" s="10" t="s">
        <v>10477</v>
      </c>
      <c r="B1608" s="10">
        <v>21848.3913550951</v>
      </c>
      <c r="C1608" s="10">
        <v>-1.0958084763400799</v>
      </c>
      <c r="D1608" s="10">
        <v>0.242262051383065</v>
      </c>
      <c r="E1608" s="10">
        <v>-4.52323618199447</v>
      </c>
      <c r="F1608" s="4">
        <v>6.0901216698733198E-6</v>
      </c>
      <c r="G1608" s="4">
        <v>6.5637108228647597E-5</v>
      </c>
      <c r="H1608" s="10" t="s">
        <v>10478</v>
      </c>
      <c r="I1608" s="10" t="s">
        <v>18</v>
      </c>
    </row>
    <row r="1609" spans="1:9" x14ac:dyDescent="0.2">
      <c r="A1609" s="10" t="s">
        <v>10479</v>
      </c>
      <c r="B1609" s="10">
        <v>1945.88530482086</v>
      </c>
      <c r="C1609" s="10">
        <v>-1.3305405879765899</v>
      </c>
      <c r="D1609" s="10">
        <v>0.257100145794602</v>
      </c>
      <c r="E1609" s="10">
        <v>-5.1751841052612901</v>
      </c>
      <c r="F1609" s="4">
        <v>2.2768635468066901E-7</v>
      </c>
      <c r="G1609" s="4">
        <v>3.2158620168400998E-6</v>
      </c>
      <c r="H1609" s="10" t="s">
        <v>10480</v>
      </c>
      <c r="I1609" s="10" t="s">
        <v>18</v>
      </c>
    </row>
    <row r="1610" spans="1:9" x14ac:dyDescent="0.2">
      <c r="A1610" s="10" t="s">
        <v>4554</v>
      </c>
      <c r="B1610" s="10">
        <v>403.12927277235099</v>
      </c>
      <c r="C1610" s="10">
        <v>5.7925878819173304</v>
      </c>
      <c r="D1610" s="10">
        <v>0.40078721753347402</v>
      </c>
      <c r="E1610" s="10">
        <v>14.453025517046401</v>
      </c>
      <c r="F1610" s="4">
        <v>2.3991145309601499E-47</v>
      </c>
      <c r="G1610" s="4">
        <v>5.6933703798398804E-45</v>
      </c>
      <c r="H1610" s="10" t="s">
        <v>4555</v>
      </c>
      <c r="I1610" s="10" t="s">
        <v>18</v>
      </c>
    </row>
    <row r="1611" spans="1:9" x14ac:dyDescent="0.2">
      <c r="A1611" s="10" t="s">
        <v>4556</v>
      </c>
      <c r="B1611" s="10">
        <v>50.863710743846497</v>
      </c>
      <c r="C1611" s="10">
        <v>1.40902676803599</v>
      </c>
      <c r="D1611" s="10">
        <v>0.52440602784114099</v>
      </c>
      <c r="E1611" s="10">
        <v>2.6869004039420199</v>
      </c>
      <c r="F1611" s="10">
        <v>7.2118453019541498E-3</v>
      </c>
      <c r="G1611" s="10">
        <v>3.2074223122034798E-2</v>
      </c>
      <c r="H1611" s="10" t="s">
        <v>4557</v>
      </c>
      <c r="I1611" s="10" t="s">
        <v>18</v>
      </c>
    </row>
    <row r="1612" spans="1:9" x14ac:dyDescent="0.2">
      <c r="A1612" s="10" t="s">
        <v>4560</v>
      </c>
      <c r="B1612" s="10">
        <v>735.64062599088402</v>
      </c>
      <c r="C1612" s="10">
        <v>-1.28456737834001</v>
      </c>
      <c r="D1612" s="10">
        <v>0.26590128333913199</v>
      </c>
      <c r="E1612" s="10">
        <v>-4.8309935259006096</v>
      </c>
      <c r="F1612" s="4">
        <v>1.3585342245489901E-6</v>
      </c>
      <c r="G1612" s="4">
        <v>1.6429773278139398E-5</v>
      </c>
      <c r="H1612" s="10" t="s">
        <v>4561</v>
      </c>
      <c r="I1612" s="10" t="s">
        <v>18</v>
      </c>
    </row>
    <row r="1613" spans="1:9" x14ac:dyDescent="0.2">
      <c r="A1613" s="10" t="s">
        <v>4564</v>
      </c>
      <c r="B1613" s="10">
        <v>83.816849806371593</v>
      </c>
      <c r="C1613" s="10">
        <v>2.5954096163376299</v>
      </c>
      <c r="D1613" s="10">
        <v>0.450068759274452</v>
      </c>
      <c r="E1613" s="10">
        <v>5.76669578337685</v>
      </c>
      <c r="F1613" s="4">
        <v>8.0840785512578795E-9</v>
      </c>
      <c r="G1613" s="4">
        <v>1.44325760082961E-7</v>
      </c>
      <c r="H1613" s="10" t="s">
        <v>4565</v>
      </c>
      <c r="I1613" s="10" t="s">
        <v>18</v>
      </c>
    </row>
    <row r="1614" spans="1:9" x14ac:dyDescent="0.2">
      <c r="A1614" s="10" t="s">
        <v>10481</v>
      </c>
      <c r="B1614" s="10">
        <v>894.97026355018204</v>
      </c>
      <c r="C1614" s="10">
        <v>1.13760104378413</v>
      </c>
      <c r="D1614" s="10">
        <v>0.253851920924623</v>
      </c>
      <c r="E1614" s="10">
        <v>4.48135684630852</v>
      </c>
      <c r="F1614" s="4">
        <v>7.4169975860245604E-6</v>
      </c>
      <c r="G1614" s="4">
        <v>7.8723449061792293E-5</v>
      </c>
      <c r="H1614" s="10" t="s">
        <v>10482</v>
      </c>
      <c r="I1614" s="10" t="s">
        <v>18</v>
      </c>
    </row>
    <row r="1615" spans="1:9" x14ac:dyDescent="0.2">
      <c r="A1615" s="10" t="s">
        <v>4572</v>
      </c>
      <c r="B1615" s="10">
        <v>145.13869058835499</v>
      </c>
      <c r="C1615" s="10">
        <v>-1.8181644819756799</v>
      </c>
      <c r="D1615" s="10">
        <v>0.37315201344843302</v>
      </c>
      <c r="E1615" s="10">
        <v>-4.8724498768567797</v>
      </c>
      <c r="F1615" s="4">
        <v>1.1022282559172301E-6</v>
      </c>
      <c r="G1615" s="4">
        <v>1.3644956583463599E-5</v>
      </c>
      <c r="H1615" s="10" t="s">
        <v>4573</v>
      </c>
      <c r="I1615" s="10" t="s">
        <v>18</v>
      </c>
    </row>
    <row r="1616" spans="1:9" x14ac:dyDescent="0.2">
      <c r="A1616" s="10" t="s">
        <v>4574</v>
      </c>
      <c r="B1616" s="10">
        <v>1941.2683409014301</v>
      </c>
      <c r="C1616" s="10">
        <v>1.0801407390170901</v>
      </c>
      <c r="D1616" s="10">
        <v>0.24488902896863901</v>
      </c>
      <c r="E1616" s="10">
        <v>4.4107355219878599</v>
      </c>
      <c r="F1616" s="4">
        <v>1.0302008504973E-5</v>
      </c>
      <c r="G1616" s="10">
        <v>1.05173305171508E-4</v>
      </c>
      <c r="H1616" s="10" t="s">
        <v>4575</v>
      </c>
      <c r="I1616" s="10" t="s">
        <v>18</v>
      </c>
    </row>
    <row r="1617" spans="1:9" x14ac:dyDescent="0.2">
      <c r="A1617" s="10" t="s">
        <v>4576</v>
      </c>
      <c r="B1617" s="10">
        <v>323.23980847800198</v>
      </c>
      <c r="C1617" s="10">
        <v>-2.0083222236688498</v>
      </c>
      <c r="D1617" s="10">
        <v>0.31302207537195897</v>
      </c>
      <c r="E1617" s="10">
        <v>-6.4159124281646802</v>
      </c>
      <c r="F1617" s="4">
        <v>1.39981900022308E-10</v>
      </c>
      <c r="G1617" s="4">
        <v>3.1637418643855901E-9</v>
      </c>
      <c r="H1617" s="10" t="s">
        <v>4577</v>
      </c>
      <c r="I1617" s="10" t="s">
        <v>18</v>
      </c>
    </row>
    <row r="1618" spans="1:9" x14ac:dyDescent="0.2">
      <c r="A1618" s="10" t="s">
        <v>4578</v>
      </c>
      <c r="B1618" s="10">
        <v>305.01707080430702</v>
      </c>
      <c r="C1618" s="10">
        <v>1.69590957064953</v>
      </c>
      <c r="D1618" s="10">
        <v>0.30731996587977201</v>
      </c>
      <c r="E1618" s="10">
        <v>5.5183839611416499</v>
      </c>
      <c r="F1618" s="4">
        <v>3.4213126709884698E-8</v>
      </c>
      <c r="G1618" s="4">
        <v>5.5168666819689098E-7</v>
      </c>
      <c r="H1618" s="10" t="s">
        <v>4579</v>
      </c>
      <c r="I1618" s="10" t="s">
        <v>18</v>
      </c>
    </row>
    <row r="1619" spans="1:9" x14ac:dyDescent="0.2">
      <c r="A1619" s="10" t="s">
        <v>10483</v>
      </c>
      <c r="B1619" s="10">
        <v>1057.4074965744601</v>
      </c>
      <c r="C1619" s="10">
        <v>1.1236646968306001</v>
      </c>
      <c r="D1619" s="10">
        <v>0.32131382528432401</v>
      </c>
      <c r="E1619" s="10">
        <v>3.4970941441324501</v>
      </c>
      <c r="F1619" s="10">
        <v>4.7035581005718002E-4</v>
      </c>
      <c r="G1619" s="10">
        <v>3.169515242965E-3</v>
      </c>
      <c r="H1619" s="10" t="s">
        <v>10484</v>
      </c>
      <c r="I1619" s="10" t="s">
        <v>18</v>
      </c>
    </row>
    <row r="1620" spans="1:9" x14ac:dyDescent="0.2">
      <c r="A1620" s="10" t="s">
        <v>10485</v>
      </c>
      <c r="B1620" s="10">
        <v>4750.1303555239101</v>
      </c>
      <c r="C1620" s="10">
        <v>1.28213201271577</v>
      </c>
      <c r="D1620" s="10">
        <v>0.27473764999450101</v>
      </c>
      <c r="E1620" s="10">
        <v>4.6667503079444401</v>
      </c>
      <c r="F1620" s="4">
        <v>3.06000812254374E-6</v>
      </c>
      <c r="G1620" s="4">
        <v>3.4861641450447402E-5</v>
      </c>
      <c r="H1620" s="10" t="s">
        <v>10486</v>
      </c>
      <c r="I1620" s="10" t="s">
        <v>18</v>
      </c>
    </row>
    <row r="1621" spans="1:9" x14ac:dyDescent="0.2">
      <c r="A1621" s="10" t="s">
        <v>4584</v>
      </c>
      <c r="B1621" s="10">
        <v>902.38682992950703</v>
      </c>
      <c r="C1621" s="10">
        <v>1.0701056285055099</v>
      </c>
      <c r="D1621" s="10">
        <v>0.29250090071436602</v>
      </c>
      <c r="E1621" s="10">
        <v>3.6584695154511202</v>
      </c>
      <c r="F1621" s="10">
        <v>2.53725913370885E-4</v>
      </c>
      <c r="G1621" s="10">
        <v>1.84145278443295E-3</v>
      </c>
      <c r="H1621" s="10" t="s">
        <v>4585</v>
      </c>
      <c r="I1621" s="10" t="s">
        <v>18</v>
      </c>
    </row>
    <row r="1622" spans="1:9" x14ac:dyDescent="0.2">
      <c r="A1622" s="10" t="s">
        <v>4586</v>
      </c>
      <c r="B1622" s="10">
        <v>2695.6564978107799</v>
      </c>
      <c r="C1622" s="10">
        <v>-1.09576026632214</v>
      </c>
      <c r="D1622" s="10">
        <v>0.24694531016914101</v>
      </c>
      <c r="E1622" s="10">
        <v>-4.4372588633961998</v>
      </c>
      <c r="F1622" s="4">
        <v>9.11116986901608E-6</v>
      </c>
      <c r="G1622" s="4">
        <v>9.4278682869230597E-5</v>
      </c>
      <c r="H1622" s="10" t="s">
        <v>4587</v>
      </c>
      <c r="I1622" s="10" t="s">
        <v>18</v>
      </c>
    </row>
    <row r="1623" spans="1:9" x14ac:dyDescent="0.2">
      <c r="A1623" s="10" t="s">
        <v>4588</v>
      </c>
      <c r="B1623" s="10">
        <v>39.434432044241298</v>
      </c>
      <c r="C1623" s="10">
        <v>5.0198447926887999</v>
      </c>
      <c r="D1623" s="10">
        <v>0.83840012944772702</v>
      </c>
      <c r="E1623" s="10">
        <v>5.9874093721758799</v>
      </c>
      <c r="F1623" s="4">
        <v>2.1320967210812599E-9</v>
      </c>
      <c r="G1623" s="4">
        <v>4.1256071552922397E-8</v>
      </c>
      <c r="H1623" s="10" t="s">
        <v>4589</v>
      </c>
      <c r="I1623" s="10" t="s">
        <v>18</v>
      </c>
    </row>
    <row r="1624" spans="1:9" x14ac:dyDescent="0.2">
      <c r="A1624" s="10" t="s">
        <v>10487</v>
      </c>
      <c r="B1624" s="10">
        <v>62.220730705212603</v>
      </c>
      <c r="C1624" s="10">
        <v>-2.5256760944298899</v>
      </c>
      <c r="D1624" s="10">
        <v>0.55035539609075901</v>
      </c>
      <c r="E1624" s="10">
        <v>-4.5891729460092003</v>
      </c>
      <c r="F1624" s="4">
        <v>4.4500562876123602E-6</v>
      </c>
      <c r="G1624" s="4">
        <v>4.9443977877601099E-5</v>
      </c>
      <c r="H1624" s="10" t="s">
        <v>10488</v>
      </c>
      <c r="I1624" s="10" t="s">
        <v>18</v>
      </c>
    </row>
    <row r="1625" spans="1:9" x14ac:dyDescent="0.2">
      <c r="A1625" s="10" t="s">
        <v>4590</v>
      </c>
      <c r="B1625" s="10">
        <v>186.73641531135999</v>
      </c>
      <c r="C1625" s="10">
        <v>2.72419041821402</v>
      </c>
      <c r="D1625" s="10">
        <v>0.37084301295788102</v>
      </c>
      <c r="E1625" s="10">
        <v>7.3459397184960098</v>
      </c>
      <c r="F1625" s="4">
        <v>2.04318450960615E-13</v>
      </c>
      <c r="G1625" s="4">
        <v>6.4245382923928301E-12</v>
      </c>
      <c r="H1625" s="10" t="s">
        <v>4591</v>
      </c>
      <c r="I1625" s="10" t="s">
        <v>18</v>
      </c>
    </row>
    <row r="1626" spans="1:9" x14ac:dyDescent="0.2">
      <c r="A1626" s="10" t="s">
        <v>4592</v>
      </c>
      <c r="B1626" s="10">
        <v>284.27634415477399</v>
      </c>
      <c r="C1626" s="10">
        <v>2.5569568623627501</v>
      </c>
      <c r="D1626" s="10">
        <v>0.33869273884356699</v>
      </c>
      <c r="E1626" s="10">
        <v>7.54948827982916</v>
      </c>
      <c r="F1626" s="4">
        <v>4.3697171070689198E-14</v>
      </c>
      <c r="G1626" s="4">
        <v>1.44822442461553E-12</v>
      </c>
      <c r="H1626" s="10" t="s">
        <v>4593</v>
      </c>
      <c r="I1626" s="10" t="s">
        <v>18</v>
      </c>
    </row>
    <row r="1627" spans="1:9" x14ac:dyDescent="0.2">
      <c r="A1627" s="10" t="s">
        <v>10489</v>
      </c>
      <c r="B1627" s="10">
        <v>777.46373703273105</v>
      </c>
      <c r="C1627" s="10">
        <v>1.55072193190624</v>
      </c>
      <c r="D1627" s="10">
        <v>0.28746982992179798</v>
      </c>
      <c r="E1627" s="10">
        <v>5.39438149849705</v>
      </c>
      <c r="F1627" s="4">
        <v>6.87599879309963E-8</v>
      </c>
      <c r="G1627" s="4">
        <v>1.05595695751173E-6</v>
      </c>
      <c r="H1627" s="10" t="s">
        <v>10490</v>
      </c>
      <c r="I1627" s="10" t="s">
        <v>18</v>
      </c>
    </row>
    <row r="1628" spans="1:9" x14ac:dyDescent="0.2">
      <c r="A1628" s="10" t="s">
        <v>10491</v>
      </c>
      <c r="B1628" s="10">
        <v>3219.6134202548001</v>
      </c>
      <c r="C1628" s="10">
        <v>1.81965460489297</v>
      </c>
      <c r="D1628" s="10">
        <v>0.29315761323328399</v>
      </c>
      <c r="E1628" s="10">
        <v>6.2070863001772096</v>
      </c>
      <c r="F1628" s="4">
        <v>5.3975961241952896E-10</v>
      </c>
      <c r="G1628" s="4">
        <v>1.14193886042164E-8</v>
      </c>
      <c r="H1628" s="10" t="s">
        <v>10492</v>
      </c>
      <c r="I1628" s="10" t="s">
        <v>18</v>
      </c>
    </row>
    <row r="1629" spans="1:9" x14ac:dyDescent="0.2">
      <c r="A1629" s="10" t="s">
        <v>10493</v>
      </c>
      <c r="B1629" s="10">
        <v>1257.45750295669</v>
      </c>
      <c r="C1629" s="10">
        <v>2.1772662870879</v>
      </c>
      <c r="D1629" s="10">
        <v>0.28328244220757698</v>
      </c>
      <c r="E1629" s="10">
        <v>7.6858497481199199</v>
      </c>
      <c r="F1629" s="4">
        <v>1.51984796307202E-14</v>
      </c>
      <c r="G1629" s="4">
        <v>5.2516175152577801E-13</v>
      </c>
      <c r="H1629" s="10" t="s">
        <v>10494</v>
      </c>
      <c r="I1629" s="10" t="s">
        <v>18</v>
      </c>
    </row>
    <row r="1630" spans="1:9" x14ac:dyDescent="0.2">
      <c r="A1630" s="10" t="s">
        <v>4602</v>
      </c>
      <c r="B1630" s="10">
        <v>158.33458968229701</v>
      </c>
      <c r="C1630" s="10">
        <v>-2.8818311726144801</v>
      </c>
      <c r="D1630" s="10">
        <v>0.371134566313156</v>
      </c>
      <c r="E1630" s="10">
        <v>-7.7649225757722604</v>
      </c>
      <c r="F1630" s="4">
        <v>8.1695113132615401E-15</v>
      </c>
      <c r="G1630" s="4">
        <v>2.90259967634314E-13</v>
      </c>
      <c r="H1630" s="10" t="s">
        <v>4603</v>
      </c>
      <c r="I1630" s="10" t="s">
        <v>18</v>
      </c>
    </row>
    <row r="1631" spans="1:9" x14ac:dyDescent="0.2">
      <c r="A1631" s="10" t="s">
        <v>4606</v>
      </c>
      <c r="B1631" s="10">
        <v>512.70418871758602</v>
      </c>
      <c r="C1631" s="10">
        <v>1.4302590096300201</v>
      </c>
      <c r="D1631" s="10">
        <v>0.29011196739602602</v>
      </c>
      <c r="E1631" s="10">
        <v>4.9300241643516998</v>
      </c>
      <c r="F1631" s="4">
        <v>8.2219446150282201E-7</v>
      </c>
      <c r="G1631" s="4">
        <v>1.04667518618945E-5</v>
      </c>
      <c r="H1631" s="10" t="s">
        <v>4607</v>
      </c>
      <c r="I1631" s="10" t="s">
        <v>18</v>
      </c>
    </row>
    <row r="1632" spans="1:9" x14ac:dyDescent="0.2">
      <c r="A1632" s="10" t="s">
        <v>4608</v>
      </c>
      <c r="B1632" s="10">
        <v>2080.7667373783302</v>
      </c>
      <c r="C1632" s="10">
        <v>-1.56300316019179</v>
      </c>
      <c r="D1632" s="10">
        <v>0.250856630142753</v>
      </c>
      <c r="E1632" s="10">
        <v>-6.2306631453286503</v>
      </c>
      <c r="F1632" s="4">
        <v>4.6446485015464701E-10</v>
      </c>
      <c r="G1632" s="4">
        <v>9.9266043378420999E-9</v>
      </c>
      <c r="H1632" s="10" t="s">
        <v>4609</v>
      </c>
      <c r="I1632" s="10" t="s">
        <v>18</v>
      </c>
    </row>
    <row r="1633" spans="1:9" x14ac:dyDescent="0.2">
      <c r="A1633" s="10" t="s">
        <v>10495</v>
      </c>
      <c r="B1633" s="10">
        <v>2016.1123133854601</v>
      </c>
      <c r="C1633" s="10">
        <v>-1.4733607422033299</v>
      </c>
      <c r="D1633" s="10">
        <v>0.24621855435002801</v>
      </c>
      <c r="E1633" s="10">
        <v>-5.9839549707889699</v>
      </c>
      <c r="F1633" s="4">
        <v>2.17783545253246E-9</v>
      </c>
      <c r="G1633" s="4">
        <v>4.20118487794892E-8</v>
      </c>
      <c r="H1633" s="10" t="s">
        <v>10496</v>
      </c>
      <c r="I1633" s="10" t="s">
        <v>18</v>
      </c>
    </row>
    <row r="1634" spans="1:9" x14ac:dyDescent="0.2">
      <c r="A1634" s="10" t="s">
        <v>4616</v>
      </c>
      <c r="B1634" s="10">
        <v>150.46241068906201</v>
      </c>
      <c r="C1634" s="10">
        <v>-3.6386873299512601</v>
      </c>
      <c r="D1634" s="10">
        <v>0.41185782952555</v>
      </c>
      <c r="E1634" s="10">
        <v>-8.8348140282847893</v>
      </c>
      <c r="F1634" s="4">
        <v>1.00264919894108E-18</v>
      </c>
      <c r="G1634" s="4">
        <v>4.9164991421760098E-17</v>
      </c>
      <c r="H1634" s="10" t="s">
        <v>4617</v>
      </c>
      <c r="I1634" s="10" t="s">
        <v>18</v>
      </c>
    </row>
    <row r="1635" spans="1:9" x14ac:dyDescent="0.2">
      <c r="A1635" s="10" t="s">
        <v>4618</v>
      </c>
      <c r="B1635" s="10">
        <v>2742.8538861028401</v>
      </c>
      <c r="C1635" s="10">
        <v>-1.2670211612186899</v>
      </c>
      <c r="D1635" s="10">
        <v>0.26193365023009402</v>
      </c>
      <c r="E1635" s="10">
        <v>-4.8371836154143599</v>
      </c>
      <c r="F1635" s="4">
        <v>1.3169176584958399E-6</v>
      </c>
      <c r="G1635" s="4">
        <v>1.5980252628780999E-5</v>
      </c>
      <c r="H1635" s="10" t="s">
        <v>4619</v>
      </c>
      <c r="I1635" s="10" t="s">
        <v>18</v>
      </c>
    </row>
    <row r="1636" spans="1:9" x14ac:dyDescent="0.2">
      <c r="A1636" s="10" t="s">
        <v>10497</v>
      </c>
      <c r="B1636" s="10">
        <v>1378.5105252758499</v>
      </c>
      <c r="C1636" s="10">
        <v>1.3812674128722899</v>
      </c>
      <c r="D1636" s="10">
        <v>0.24597588889893701</v>
      </c>
      <c r="E1636" s="10">
        <v>5.6154585681355202</v>
      </c>
      <c r="F1636" s="4">
        <v>1.9604162877421399E-8</v>
      </c>
      <c r="G1636" s="4">
        <v>3.3061109154013402E-7</v>
      </c>
      <c r="H1636" s="10" t="s">
        <v>10498</v>
      </c>
      <c r="I1636" s="10" t="s">
        <v>18</v>
      </c>
    </row>
    <row r="1637" spans="1:9" x14ac:dyDescent="0.2">
      <c r="A1637" s="10" t="s">
        <v>4620</v>
      </c>
      <c r="B1637" s="10">
        <v>147.15199534453299</v>
      </c>
      <c r="C1637" s="10">
        <v>2.4684472013336598</v>
      </c>
      <c r="D1637" s="10">
        <v>0.40403341309039698</v>
      </c>
      <c r="E1637" s="10">
        <v>6.1095125337601299</v>
      </c>
      <c r="F1637" s="4">
        <v>9.9935907821225196E-10</v>
      </c>
      <c r="G1637" s="4">
        <v>2.0306040074660101E-8</v>
      </c>
      <c r="H1637" s="10" t="s">
        <v>4621</v>
      </c>
      <c r="I1637" s="10" t="s">
        <v>18</v>
      </c>
    </row>
    <row r="1638" spans="1:9" x14ac:dyDescent="0.2">
      <c r="A1638" s="10" t="s">
        <v>10499</v>
      </c>
      <c r="B1638" s="10">
        <v>724.08968291790995</v>
      </c>
      <c r="C1638" s="10">
        <v>1.9263548572957401</v>
      </c>
      <c r="D1638" s="10">
        <v>0.28475541518750103</v>
      </c>
      <c r="E1638" s="10">
        <v>6.76494547444271</v>
      </c>
      <c r="F1638" s="4">
        <v>1.3335941344626201E-11</v>
      </c>
      <c r="G1638" s="4">
        <v>3.3783041744619501E-10</v>
      </c>
      <c r="H1638" s="10" t="s">
        <v>10500</v>
      </c>
      <c r="I1638" s="10" t="s">
        <v>18</v>
      </c>
    </row>
    <row r="1639" spans="1:9" x14ac:dyDescent="0.2">
      <c r="A1639" s="10" t="s">
        <v>10501</v>
      </c>
      <c r="B1639" s="10">
        <v>6597.9145333963397</v>
      </c>
      <c r="C1639" s="10">
        <v>1.0231950950903901</v>
      </c>
      <c r="D1639" s="10">
        <v>0.29031290537034099</v>
      </c>
      <c r="E1639" s="10">
        <v>3.52445611670325</v>
      </c>
      <c r="F1639" s="10">
        <v>4.2435309740013698E-4</v>
      </c>
      <c r="G1639" s="10">
        <v>2.9024029090655599E-3</v>
      </c>
      <c r="H1639" s="10" t="s">
        <v>10502</v>
      </c>
      <c r="I1639" s="10" t="s">
        <v>18</v>
      </c>
    </row>
    <row r="1640" spans="1:9" x14ac:dyDescent="0.2">
      <c r="A1640" s="10" t="s">
        <v>4624</v>
      </c>
      <c r="B1640" s="10">
        <v>323.26343633768198</v>
      </c>
      <c r="C1640" s="10">
        <v>-1.53154595170059</v>
      </c>
      <c r="D1640" s="10">
        <v>0.32359211197923199</v>
      </c>
      <c r="E1640" s="10">
        <v>-4.7329520560095899</v>
      </c>
      <c r="F1640" s="4">
        <v>2.2127777019441598E-6</v>
      </c>
      <c r="G1640" s="4">
        <v>2.58654382399653E-5</v>
      </c>
      <c r="H1640" s="10" t="s">
        <v>4625</v>
      </c>
      <c r="I1640" s="10" t="s">
        <v>18</v>
      </c>
    </row>
    <row r="1641" spans="1:9" x14ac:dyDescent="0.2">
      <c r="A1641" s="10" t="s">
        <v>4626</v>
      </c>
      <c r="B1641" s="10">
        <v>235.548129490176</v>
      </c>
      <c r="C1641" s="10">
        <v>-1.40407111031926</v>
      </c>
      <c r="D1641" s="10">
        <v>0.32759866518580699</v>
      </c>
      <c r="E1641" s="10">
        <v>-4.2859488133839099</v>
      </c>
      <c r="F1641" s="4">
        <v>1.8196088483462101E-5</v>
      </c>
      <c r="G1641" s="10">
        <v>1.7625052206449401E-4</v>
      </c>
      <c r="H1641" s="10" t="s">
        <v>4627</v>
      </c>
      <c r="I1641" s="10" t="s">
        <v>18</v>
      </c>
    </row>
    <row r="1642" spans="1:9" x14ac:dyDescent="0.2">
      <c r="A1642" s="10" t="s">
        <v>10503</v>
      </c>
      <c r="B1642" s="10">
        <v>29.547237382945902</v>
      </c>
      <c r="C1642" s="10">
        <v>-3.54999771760404</v>
      </c>
      <c r="D1642" s="10">
        <v>0.76628919145325403</v>
      </c>
      <c r="E1642" s="10">
        <v>-4.6327127632735303</v>
      </c>
      <c r="F1642" s="4">
        <v>3.6090511614437301E-6</v>
      </c>
      <c r="G1642" s="4">
        <v>4.0692820244785697E-5</v>
      </c>
      <c r="H1642" s="10" t="s">
        <v>10504</v>
      </c>
      <c r="I1642" s="10" t="s">
        <v>18</v>
      </c>
    </row>
    <row r="1643" spans="1:9" x14ac:dyDescent="0.2">
      <c r="A1643" s="10" t="s">
        <v>4630</v>
      </c>
      <c r="B1643" s="10">
        <v>333.34886886220897</v>
      </c>
      <c r="C1643" s="10">
        <v>4.7493227922288996</v>
      </c>
      <c r="D1643" s="10">
        <v>0.36030707939609802</v>
      </c>
      <c r="E1643" s="10">
        <v>13.1813196681817</v>
      </c>
      <c r="F1643" s="4">
        <v>1.1240717590326199E-39</v>
      </c>
      <c r="G1643" s="4">
        <v>1.8242596837719701E-37</v>
      </c>
      <c r="H1643" s="10" t="s">
        <v>4631</v>
      </c>
      <c r="I1643" s="10" t="s">
        <v>18</v>
      </c>
    </row>
    <row r="1644" spans="1:9" x14ac:dyDescent="0.2">
      <c r="A1644" s="10" t="s">
        <v>4632</v>
      </c>
      <c r="B1644" s="10">
        <v>12402.834560171301</v>
      </c>
      <c r="C1644" s="10">
        <v>-1.2337979938569199</v>
      </c>
      <c r="D1644" s="10">
        <v>0.24026117704052299</v>
      </c>
      <c r="E1644" s="10">
        <v>-5.1352366164793501</v>
      </c>
      <c r="F1644" s="4">
        <v>2.8178926467705902E-7</v>
      </c>
      <c r="G1644" s="4">
        <v>3.8990148256058498E-6</v>
      </c>
      <c r="H1644" s="10" t="s">
        <v>4633</v>
      </c>
      <c r="I1644" s="10" t="s">
        <v>18</v>
      </c>
    </row>
    <row r="1645" spans="1:9" x14ac:dyDescent="0.2">
      <c r="A1645" s="10" t="s">
        <v>4634</v>
      </c>
      <c r="B1645" s="10">
        <v>66.957695266418199</v>
      </c>
      <c r="C1645" s="10">
        <v>-1.6454442528658599</v>
      </c>
      <c r="D1645" s="10">
        <v>0.47248425528597898</v>
      </c>
      <c r="E1645" s="10">
        <v>-3.48253774481846</v>
      </c>
      <c r="F1645" s="10">
        <v>4.9668519640000495E-4</v>
      </c>
      <c r="G1645" s="10">
        <v>3.3211366601387901E-3</v>
      </c>
      <c r="H1645" s="10" t="s">
        <v>4635</v>
      </c>
      <c r="I1645" s="10" t="s">
        <v>18</v>
      </c>
    </row>
    <row r="1646" spans="1:9" x14ac:dyDescent="0.2">
      <c r="A1646" s="10" t="s">
        <v>4636</v>
      </c>
      <c r="B1646" s="10">
        <v>82.532049412091993</v>
      </c>
      <c r="C1646" s="10">
        <v>2.1685206241988202</v>
      </c>
      <c r="D1646" s="10">
        <v>0.447382487062434</v>
      </c>
      <c r="E1646" s="10">
        <v>4.8471289934426798</v>
      </c>
      <c r="F1646" s="4">
        <v>1.2526098671031201E-6</v>
      </c>
      <c r="G1646" s="4">
        <v>1.5288404273158098E-5</v>
      </c>
      <c r="H1646" s="10" t="s">
        <v>4637</v>
      </c>
      <c r="I1646" s="10" t="s">
        <v>18</v>
      </c>
    </row>
    <row r="1647" spans="1:9" x14ac:dyDescent="0.2">
      <c r="A1647" s="10" t="s">
        <v>10505</v>
      </c>
      <c r="B1647" s="10">
        <v>20.712882684107001</v>
      </c>
      <c r="C1647" s="10">
        <v>-2.3412964236756699</v>
      </c>
      <c r="D1647" s="10">
        <v>0.81111133880352504</v>
      </c>
      <c r="E1647" s="10">
        <v>-2.8865290271115298</v>
      </c>
      <c r="F1647" s="10">
        <v>3.8951681529013999E-3</v>
      </c>
      <c r="G1647" s="10">
        <v>1.9253872054673798E-2</v>
      </c>
      <c r="H1647" s="10" t="s">
        <v>10506</v>
      </c>
      <c r="I1647" s="10" t="s">
        <v>18</v>
      </c>
    </row>
    <row r="1648" spans="1:9" x14ac:dyDescent="0.2">
      <c r="A1648" s="10" t="s">
        <v>4638</v>
      </c>
      <c r="B1648" s="10">
        <v>3776.0174685403399</v>
      </c>
      <c r="C1648" s="10">
        <v>9.4306063143145806</v>
      </c>
      <c r="D1648" s="10">
        <v>0.40305153752042899</v>
      </c>
      <c r="E1648" s="10">
        <v>23.398015976645599</v>
      </c>
      <c r="F1648" s="4">
        <v>4.47702838674909E-121</v>
      </c>
      <c r="G1648" s="4">
        <v>1.40774561335842E-117</v>
      </c>
      <c r="H1648" s="10" t="s">
        <v>4639</v>
      </c>
      <c r="I1648" s="10" t="s">
        <v>18</v>
      </c>
    </row>
    <row r="1649" spans="1:9" x14ac:dyDescent="0.2">
      <c r="A1649" s="10" t="s">
        <v>4640</v>
      </c>
      <c r="B1649" s="10">
        <v>1526.19262068022</v>
      </c>
      <c r="C1649" s="10">
        <v>8.6724158986403204</v>
      </c>
      <c r="D1649" s="10">
        <v>1.1195782776008401</v>
      </c>
      <c r="E1649" s="10">
        <v>7.7461451978369498</v>
      </c>
      <c r="F1649" s="4">
        <v>9.4724190255285798E-15</v>
      </c>
      <c r="G1649" s="4">
        <v>3.3419172592871198E-13</v>
      </c>
      <c r="H1649" s="10" t="s">
        <v>4641</v>
      </c>
      <c r="I1649" s="10" t="s">
        <v>18</v>
      </c>
    </row>
    <row r="1650" spans="1:9" x14ac:dyDescent="0.2">
      <c r="A1650" s="10" t="s">
        <v>10507</v>
      </c>
      <c r="B1650" s="10">
        <v>53.309818808646902</v>
      </c>
      <c r="C1650" s="10">
        <v>-2.7255750283209301</v>
      </c>
      <c r="D1650" s="10">
        <v>0.548065268478932</v>
      </c>
      <c r="E1650" s="10">
        <v>-4.9730847493498898</v>
      </c>
      <c r="F1650" s="4">
        <v>6.5895835671513995E-7</v>
      </c>
      <c r="G1650" s="4">
        <v>8.5576135586831908E-6</v>
      </c>
      <c r="H1650" s="10" t="s">
        <v>10508</v>
      </c>
      <c r="I1650" s="10" t="s">
        <v>18</v>
      </c>
    </row>
    <row r="1651" spans="1:9" x14ac:dyDescent="0.2">
      <c r="A1651" s="10" t="s">
        <v>10509</v>
      </c>
      <c r="B1651" s="10">
        <v>22.377754764129499</v>
      </c>
      <c r="C1651" s="10">
        <v>-2.0279743150217402</v>
      </c>
      <c r="D1651" s="10">
        <v>0.75615420425046997</v>
      </c>
      <c r="E1651" s="10">
        <v>-2.6819586581971699</v>
      </c>
      <c r="F1651" s="10">
        <v>7.3192504319319202E-3</v>
      </c>
      <c r="G1651" s="10">
        <v>3.2477640609498599E-2</v>
      </c>
      <c r="H1651" s="10" t="s">
        <v>10510</v>
      </c>
      <c r="I1651" s="10" t="s">
        <v>18</v>
      </c>
    </row>
    <row r="1652" spans="1:9" x14ac:dyDescent="0.2">
      <c r="A1652" s="10" t="s">
        <v>10511</v>
      </c>
      <c r="B1652" s="10">
        <v>284.095000446109</v>
      </c>
      <c r="C1652" s="10">
        <v>-1.3283326192521001</v>
      </c>
      <c r="D1652" s="10">
        <v>0.31046662099996802</v>
      </c>
      <c r="E1652" s="10">
        <v>-4.2785038049299002</v>
      </c>
      <c r="F1652" s="4">
        <v>1.88153774341117E-5</v>
      </c>
      <c r="G1652" s="10">
        <v>1.8141081615756201E-4</v>
      </c>
      <c r="H1652" s="10" t="s">
        <v>10512</v>
      </c>
      <c r="I1652" s="10" t="s">
        <v>18</v>
      </c>
    </row>
    <row r="1653" spans="1:9" x14ac:dyDescent="0.2">
      <c r="A1653" s="10" t="s">
        <v>10513</v>
      </c>
      <c r="B1653" s="10">
        <v>907.89156279091003</v>
      </c>
      <c r="C1653" s="10">
        <v>1.0705689448117801</v>
      </c>
      <c r="D1653" s="10">
        <v>0.25762593952861901</v>
      </c>
      <c r="E1653" s="10">
        <v>4.1555168969809797</v>
      </c>
      <c r="F1653" s="4">
        <v>3.2455295677707599E-5</v>
      </c>
      <c r="G1653" s="10">
        <v>2.9763505751831398E-4</v>
      </c>
      <c r="H1653" s="10" t="s">
        <v>10514</v>
      </c>
      <c r="I1653" s="10" t="s">
        <v>18</v>
      </c>
    </row>
    <row r="1654" spans="1:9" x14ac:dyDescent="0.2">
      <c r="A1654" s="10" t="s">
        <v>10515</v>
      </c>
      <c r="B1654" s="10">
        <v>6339.1408026453901</v>
      </c>
      <c r="C1654" s="10">
        <v>1.26451727019917</v>
      </c>
      <c r="D1654" s="10">
        <v>0.25500544006275799</v>
      </c>
      <c r="E1654" s="10">
        <v>4.9587854670393403</v>
      </c>
      <c r="F1654" s="4">
        <v>7.0935247012355902E-7</v>
      </c>
      <c r="G1654" s="4">
        <v>9.1459566304244607E-6</v>
      </c>
      <c r="H1654" s="10" t="s">
        <v>10516</v>
      </c>
      <c r="I1654" s="10" t="s">
        <v>18</v>
      </c>
    </row>
    <row r="1655" spans="1:9" x14ac:dyDescent="0.2">
      <c r="A1655" s="10" t="s">
        <v>10517</v>
      </c>
      <c r="B1655" s="10">
        <v>333.17135652576297</v>
      </c>
      <c r="C1655" s="10">
        <v>1.21050225781693</v>
      </c>
      <c r="D1655" s="10">
        <v>0.33886451520396998</v>
      </c>
      <c r="E1655" s="10">
        <v>3.5722307987553701</v>
      </c>
      <c r="F1655" s="10">
        <v>3.5395325464518499E-4</v>
      </c>
      <c r="G1655" s="10">
        <v>2.4806194104863202E-3</v>
      </c>
      <c r="H1655" s="10" t="s">
        <v>10518</v>
      </c>
      <c r="I1655" s="10" t="s">
        <v>18</v>
      </c>
    </row>
    <row r="1656" spans="1:9" x14ac:dyDescent="0.2">
      <c r="A1656" s="10" t="s">
        <v>4644</v>
      </c>
      <c r="B1656" s="10">
        <v>1732.1088019442</v>
      </c>
      <c r="C1656" s="10">
        <v>-1.4971614360999701</v>
      </c>
      <c r="D1656" s="10">
        <v>0.24269822213862099</v>
      </c>
      <c r="E1656" s="10">
        <v>-6.1688191322837103</v>
      </c>
      <c r="F1656" s="4">
        <v>6.88018722405241E-10</v>
      </c>
      <c r="G1656" s="4">
        <v>1.43389486015773E-8</v>
      </c>
      <c r="H1656" s="10" t="s">
        <v>4645</v>
      </c>
      <c r="I1656" s="10" t="s">
        <v>18</v>
      </c>
    </row>
    <row r="1657" spans="1:9" x14ac:dyDescent="0.2">
      <c r="A1657" s="10" t="s">
        <v>4646</v>
      </c>
      <c r="B1657" s="10">
        <v>10.7575766516337</v>
      </c>
      <c r="C1657" s="10">
        <v>3.4005708560408401</v>
      </c>
      <c r="D1657" s="10">
        <v>1.1878786264974299</v>
      </c>
      <c r="E1657" s="10">
        <v>2.8627258544652201</v>
      </c>
      <c r="F1657" s="10">
        <v>4.2001379683200097E-3</v>
      </c>
      <c r="G1657" s="10">
        <v>2.0511448377614101E-2</v>
      </c>
      <c r="H1657" s="10" t="s">
        <v>4647</v>
      </c>
      <c r="I1657" s="10" t="s">
        <v>18</v>
      </c>
    </row>
    <row r="1658" spans="1:9" x14ac:dyDescent="0.2">
      <c r="A1658" s="10" t="s">
        <v>10519</v>
      </c>
      <c r="B1658" s="10">
        <v>8.6271122410833101</v>
      </c>
      <c r="C1658" s="10">
        <v>-3.3551320108102098</v>
      </c>
      <c r="D1658" s="10">
        <v>1.3376993747346899</v>
      </c>
      <c r="E1658" s="10">
        <v>-2.5081360387685301</v>
      </c>
      <c r="F1658" s="10">
        <v>1.21369930387098E-2</v>
      </c>
      <c r="G1658" s="10">
        <v>4.94743250508419E-2</v>
      </c>
      <c r="H1658" s="10" t="s">
        <v>10520</v>
      </c>
      <c r="I1658" s="10" t="s">
        <v>18</v>
      </c>
    </row>
    <row r="1659" spans="1:9" x14ac:dyDescent="0.2">
      <c r="A1659" s="10" t="s">
        <v>4648</v>
      </c>
      <c r="B1659" s="10">
        <v>10652.572781237301</v>
      </c>
      <c r="C1659" s="10">
        <v>-1.17922445611613</v>
      </c>
      <c r="D1659" s="10">
        <v>0.28534210799507898</v>
      </c>
      <c r="E1659" s="10">
        <v>-4.1326689019079703</v>
      </c>
      <c r="F1659" s="4">
        <v>3.58575085938341E-5</v>
      </c>
      <c r="G1659" s="10">
        <v>3.2492637920673498E-4</v>
      </c>
      <c r="H1659" s="10" t="s">
        <v>4649</v>
      </c>
      <c r="I1659" s="10" t="s">
        <v>18</v>
      </c>
    </row>
    <row r="1660" spans="1:9" x14ac:dyDescent="0.2">
      <c r="A1660" s="10" t="s">
        <v>4650</v>
      </c>
      <c r="B1660" s="10">
        <v>31.2596060403928</v>
      </c>
      <c r="C1660" s="10">
        <v>3.1741493014709299</v>
      </c>
      <c r="D1660" s="10">
        <v>0.71332564985666402</v>
      </c>
      <c r="E1660" s="10">
        <v>4.4497899411141999</v>
      </c>
      <c r="F1660" s="4">
        <v>8.5954317756787703E-6</v>
      </c>
      <c r="G1660" s="4">
        <v>8.9568387041093396E-5</v>
      </c>
      <c r="H1660" s="10" t="s">
        <v>4651</v>
      </c>
      <c r="I1660" s="10" t="s">
        <v>18</v>
      </c>
    </row>
    <row r="1661" spans="1:9" x14ac:dyDescent="0.2">
      <c r="A1661" s="10" t="s">
        <v>4654</v>
      </c>
      <c r="B1661" s="10">
        <v>260.478170769553</v>
      </c>
      <c r="C1661" s="10">
        <v>-1.53647814794119</v>
      </c>
      <c r="D1661" s="10">
        <v>0.31913303177729202</v>
      </c>
      <c r="E1661" s="10">
        <v>-4.8145381234413698</v>
      </c>
      <c r="F1661" s="4">
        <v>1.47540736394817E-6</v>
      </c>
      <c r="G1661" s="4">
        <v>1.77493411000078E-5</v>
      </c>
      <c r="H1661" s="10" t="s">
        <v>4655</v>
      </c>
      <c r="I1661" s="10" t="s">
        <v>18</v>
      </c>
    </row>
    <row r="1662" spans="1:9" x14ac:dyDescent="0.2">
      <c r="A1662" s="10" t="s">
        <v>10521</v>
      </c>
      <c r="B1662" s="10">
        <v>5827.6955689583201</v>
      </c>
      <c r="C1662" s="10">
        <v>-1.2520379205293899</v>
      </c>
      <c r="D1662" s="10">
        <v>0.241626035032975</v>
      </c>
      <c r="E1662" s="10">
        <v>-5.18171777457062</v>
      </c>
      <c r="F1662" s="4">
        <v>2.1985170034414999E-7</v>
      </c>
      <c r="G1662" s="4">
        <v>3.1104440507070301E-6</v>
      </c>
      <c r="H1662" s="10" t="s">
        <v>10522</v>
      </c>
      <c r="I1662" s="10" t="s">
        <v>18</v>
      </c>
    </row>
    <row r="1663" spans="1:9" x14ac:dyDescent="0.2">
      <c r="A1663" s="10" t="s">
        <v>10523</v>
      </c>
      <c r="B1663" s="10">
        <v>11594.7806928677</v>
      </c>
      <c r="C1663" s="10">
        <v>2.1457316803039501</v>
      </c>
      <c r="D1663" s="10">
        <v>0.27322560168269799</v>
      </c>
      <c r="E1663" s="10">
        <v>7.8533331689605896</v>
      </c>
      <c r="F1663" s="4">
        <v>4.0512358616515599E-15</v>
      </c>
      <c r="G1663" s="4">
        <v>1.4855515757994901E-13</v>
      </c>
      <c r="H1663" s="10" t="s">
        <v>10524</v>
      </c>
      <c r="I1663" s="10" t="s">
        <v>18</v>
      </c>
    </row>
    <row r="1664" spans="1:9" x14ac:dyDescent="0.2">
      <c r="A1664" s="10" t="s">
        <v>4660</v>
      </c>
      <c r="B1664" s="10">
        <v>4444.3204046213204</v>
      </c>
      <c r="C1664" s="10">
        <v>-1.0394976751348199</v>
      </c>
      <c r="D1664" s="10">
        <v>0.25043971831363598</v>
      </c>
      <c r="E1664" s="10">
        <v>-4.1506901626243398</v>
      </c>
      <c r="F1664" s="4">
        <v>3.3147423488026303E-5</v>
      </c>
      <c r="G1664" s="10">
        <v>3.0365019586354802E-4</v>
      </c>
      <c r="H1664" s="10" t="s">
        <v>4661</v>
      </c>
      <c r="I1664" s="10" t="s">
        <v>18</v>
      </c>
    </row>
    <row r="1665" spans="1:9" x14ac:dyDescent="0.2">
      <c r="A1665" s="10" t="s">
        <v>4666</v>
      </c>
      <c r="B1665" s="10">
        <v>44.966930441773499</v>
      </c>
      <c r="C1665" s="10">
        <v>4.7233243624496799</v>
      </c>
      <c r="D1665" s="10">
        <v>0.74978501978392698</v>
      </c>
      <c r="E1665" s="10">
        <v>6.2995715275971396</v>
      </c>
      <c r="F1665" s="4">
        <v>2.9846954568219503E-10</v>
      </c>
      <c r="G1665" s="4">
        <v>6.5117098192850203E-9</v>
      </c>
      <c r="H1665" s="10" t="s">
        <v>4667</v>
      </c>
      <c r="I1665" s="10" t="s">
        <v>18</v>
      </c>
    </row>
    <row r="1666" spans="1:9" x14ac:dyDescent="0.2">
      <c r="A1666" s="10" t="s">
        <v>10525</v>
      </c>
      <c r="B1666" s="10">
        <v>559.053301970907</v>
      </c>
      <c r="C1666" s="10">
        <v>-3.09299927433563</v>
      </c>
      <c r="D1666" s="10">
        <v>0.28154407812090099</v>
      </c>
      <c r="E1666" s="10">
        <v>-10.9858438329768</v>
      </c>
      <c r="F1666" s="4">
        <v>4.4704121183564799E-28</v>
      </c>
      <c r="G1666" s="4">
        <v>4.1191654519141799E-26</v>
      </c>
      <c r="H1666" s="10" t="s">
        <v>10526</v>
      </c>
      <c r="I1666" s="10" t="s">
        <v>18</v>
      </c>
    </row>
    <row r="1667" spans="1:9" x14ac:dyDescent="0.2">
      <c r="A1667" s="10" t="s">
        <v>10527</v>
      </c>
      <c r="B1667" s="10">
        <v>98.206632239578994</v>
      </c>
      <c r="C1667" s="10">
        <v>-2.5407355737373898</v>
      </c>
      <c r="D1667" s="10">
        <v>0.43958337613130599</v>
      </c>
      <c r="E1667" s="10">
        <v>-5.7798718325018204</v>
      </c>
      <c r="F1667" s="4">
        <v>7.4757554850930705E-9</v>
      </c>
      <c r="G1667" s="4">
        <v>1.3441932039136199E-7</v>
      </c>
      <c r="H1667" s="10" t="s">
        <v>10528</v>
      </c>
      <c r="I1667" s="10" t="s">
        <v>18</v>
      </c>
    </row>
    <row r="1668" spans="1:9" x14ac:dyDescent="0.2">
      <c r="A1668" s="10" t="s">
        <v>10529</v>
      </c>
      <c r="B1668" s="10">
        <v>999.47951007814504</v>
      </c>
      <c r="C1668" s="10">
        <v>1.1205826329436099</v>
      </c>
      <c r="D1668" s="10">
        <v>0.32536282784264697</v>
      </c>
      <c r="E1668" s="10">
        <v>3.4441015907494701</v>
      </c>
      <c r="F1668" s="10">
        <v>5.7296037182698995E-4</v>
      </c>
      <c r="G1668" s="10">
        <v>3.7670721780731701E-3</v>
      </c>
      <c r="H1668" s="10" t="s">
        <v>10530</v>
      </c>
      <c r="I1668" s="10" t="s">
        <v>18</v>
      </c>
    </row>
    <row r="1669" spans="1:9" x14ac:dyDescent="0.2">
      <c r="A1669" s="10" t="s">
        <v>4674</v>
      </c>
      <c r="B1669" s="10">
        <v>24.366032265262699</v>
      </c>
      <c r="C1669" s="10">
        <v>2.1229020903949301</v>
      </c>
      <c r="D1669" s="10">
        <v>0.73034285526683995</v>
      </c>
      <c r="E1669" s="10">
        <v>2.90671987147639</v>
      </c>
      <c r="F1669" s="10">
        <v>3.65240115947656E-3</v>
      </c>
      <c r="G1669" s="10">
        <v>1.8240252365819502E-2</v>
      </c>
      <c r="H1669" s="10" t="s">
        <v>4675</v>
      </c>
      <c r="I1669" s="10" t="s">
        <v>18</v>
      </c>
    </row>
    <row r="1670" spans="1:9" x14ac:dyDescent="0.2">
      <c r="A1670" s="10" t="s">
        <v>4676</v>
      </c>
      <c r="B1670" s="10">
        <v>7954.2892847980702</v>
      </c>
      <c r="C1670" s="10">
        <v>3.1455002024717702</v>
      </c>
      <c r="D1670" s="10">
        <v>0.247731706356279</v>
      </c>
      <c r="E1670" s="10">
        <v>12.697204765336</v>
      </c>
      <c r="F1670" s="4">
        <v>6.1279569822356097E-37</v>
      </c>
      <c r="G1670" s="4">
        <v>8.56381988267426E-35</v>
      </c>
      <c r="H1670" s="10" t="s">
        <v>4677</v>
      </c>
      <c r="I1670" s="10" t="s">
        <v>18</v>
      </c>
    </row>
    <row r="1671" spans="1:9" x14ac:dyDescent="0.2">
      <c r="A1671" s="10" t="s">
        <v>4678</v>
      </c>
      <c r="B1671" s="10">
        <v>536.89868512892701</v>
      </c>
      <c r="C1671" s="10">
        <v>3.19153878313386</v>
      </c>
      <c r="D1671" s="10">
        <v>0.33588507862190198</v>
      </c>
      <c r="E1671" s="10">
        <v>9.5018772379778795</v>
      </c>
      <c r="F1671" s="4">
        <v>2.0614010654057599E-21</v>
      </c>
      <c r="G1671" s="4">
        <v>1.2201069129478099E-19</v>
      </c>
      <c r="H1671" s="10" t="s">
        <v>4679</v>
      </c>
      <c r="I1671" s="10" t="s">
        <v>18</v>
      </c>
    </row>
    <row r="1672" spans="1:9" x14ac:dyDescent="0.2">
      <c r="A1672" s="10" t="s">
        <v>4682</v>
      </c>
      <c r="B1672" s="10">
        <v>272.81793521850301</v>
      </c>
      <c r="C1672" s="10">
        <v>-2.5082221311159301</v>
      </c>
      <c r="D1672" s="10">
        <v>0.31732418843747301</v>
      </c>
      <c r="E1672" s="10">
        <v>-7.9042891229521297</v>
      </c>
      <c r="F1672" s="4">
        <v>2.6946693088844199E-15</v>
      </c>
      <c r="G1672" s="4">
        <v>1.0086965247766E-13</v>
      </c>
      <c r="H1672" s="10" t="s">
        <v>4683</v>
      </c>
      <c r="I1672" s="10" t="s">
        <v>18</v>
      </c>
    </row>
    <row r="1673" spans="1:9" x14ac:dyDescent="0.2">
      <c r="A1673" s="10" t="s">
        <v>4684</v>
      </c>
      <c r="B1673" s="10">
        <v>1482.8002484358799</v>
      </c>
      <c r="C1673" s="10">
        <v>-1.54807771722668</v>
      </c>
      <c r="D1673" s="10">
        <v>0.248619274379414</v>
      </c>
      <c r="E1673" s="10">
        <v>-6.2267003276028401</v>
      </c>
      <c r="F1673" s="4">
        <v>4.7636101953637901E-10</v>
      </c>
      <c r="G1673" s="4">
        <v>1.0163580531329599E-8</v>
      </c>
      <c r="H1673" s="10" t="s">
        <v>4685</v>
      </c>
      <c r="I1673" s="10" t="s">
        <v>18</v>
      </c>
    </row>
    <row r="1674" spans="1:9" x14ac:dyDescent="0.2">
      <c r="A1674" s="10" t="s">
        <v>4686</v>
      </c>
      <c r="B1674" s="10">
        <v>239.38335796900401</v>
      </c>
      <c r="C1674" s="10">
        <v>-3.1399976954460902</v>
      </c>
      <c r="D1674" s="10">
        <v>0.384315914142908</v>
      </c>
      <c r="E1674" s="10">
        <v>-8.1703556368432704</v>
      </c>
      <c r="F1674" s="4">
        <v>3.07481684704434E-16</v>
      </c>
      <c r="G1674" s="4">
        <v>1.2638401599248399E-14</v>
      </c>
      <c r="H1674" s="10" t="s">
        <v>4687</v>
      </c>
      <c r="I1674" s="10" t="s">
        <v>18</v>
      </c>
    </row>
    <row r="1675" spans="1:9" x14ac:dyDescent="0.2">
      <c r="A1675" s="10" t="s">
        <v>4688</v>
      </c>
      <c r="B1675" s="10">
        <v>1735.6813599480699</v>
      </c>
      <c r="C1675" s="10">
        <v>-1.16367470724861</v>
      </c>
      <c r="D1675" s="10">
        <v>0.26240659868871702</v>
      </c>
      <c r="E1675" s="10">
        <v>-4.4346244075555203</v>
      </c>
      <c r="F1675" s="4">
        <v>9.22329462660901E-6</v>
      </c>
      <c r="G1675" s="4">
        <v>9.5360450609268196E-5</v>
      </c>
      <c r="H1675" s="10" t="s">
        <v>4689</v>
      </c>
      <c r="I1675" s="10" t="s">
        <v>18</v>
      </c>
    </row>
    <row r="1676" spans="1:9" x14ac:dyDescent="0.2">
      <c r="A1676" s="10" t="s">
        <v>4690</v>
      </c>
      <c r="B1676" s="10">
        <v>2098.5033204308902</v>
      </c>
      <c r="C1676" s="10">
        <v>2.44334603525812</v>
      </c>
      <c r="D1676" s="10">
        <v>0.27415505206100799</v>
      </c>
      <c r="E1676" s="10">
        <v>8.9122779860879309</v>
      </c>
      <c r="F1676" s="4">
        <v>4.99945958504541E-19</v>
      </c>
      <c r="G1676" s="4">
        <v>2.5152281172363501E-17</v>
      </c>
      <c r="H1676" s="10" t="s">
        <v>4691</v>
      </c>
      <c r="I1676" s="10" t="s">
        <v>18</v>
      </c>
    </row>
    <row r="1677" spans="1:9" x14ac:dyDescent="0.2">
      <c r="A1677" s="10" t="s">
        <v>4692</v>
      </c>
      <c r="B1677" s="10">
        <v>21112.184080195198</v>
      </c>
      <c r="C1677" s="10">
        <v>-2.7770182795059601</v>
      </c>
      <c r="D1677" s="10">
        <v>0.239966737558098</v>
      </c>
      <c r="E1677" s="10">
        <v>-11.5725133731654</v>
      </c>
      <c r="F1677" s="4">
        <v>5.6794161239695002E-31</v>
      </c>
      <c r="G1677" s="4">
        <v>6.0280891391752196E-29</v>
      </c>
      <c r="H1677" s="10" t="s">
        <v>4693</v>
      </c>
      <c r="I1677" s="10" t="s">
        <v>18</v>
      </c>
    </row>
    <row r="1678" spans="1:9" x14ac:dyDescent="0.2">
      <c r="A1678" s="10" t="s">
        <v>10531</v>
      </c>
      <c r="B1678" s="10">
        <v>1040.50853959459</v>
      </c>
      <c r="C1678" s="10">
        <v>1.2546147655027999</v>
      </c>
      <c r="D1678" s="10">
        <v>0.270746494568189</v>
      </c>
      <c r="E1678" s="10">
        <v>4.6339095451771897</v>
      </c>
      <c r="F1678" s="4">
        <v>3.58823831302624E-6</v>
      </c>
      <c r="G1678" s="4">
        <v>4.0494452563559899E-5</v>
      </c>
      <c r="H1678" s="10" t="s">
        <v>10532</v>
      </c>
      <c r="I1678" s="10" t="s">
        <v>18</v>
      </c>
    </row>
    <row r="1679" spans="1:9" x14ac:dyDescent="0.2">
      <c r="A1679" s="10" t="s">
        <v>10533</v>
      </c>
      <c r="B1679" s="10">
        <v>101.007751609533</v>
      </c>
      <c r="C1679" s="10">
        <v>1.68024783827518</v>
      </c>
      <c r="D1679" s="10">
        <v>0.41767919048658803</v>
      </c>
      <c r="E1679" s="10">
        <v>4.0228191313953801</v>
      </c>
      <c r="F1679" s="4">
        <v>5.7505657098112602E-5</v>
      </c>
      <c r="G1679" s="10">
        <v>4.97782107468349E-4</v>
      </c>
      <c r="H1679" s="10" t="s">
        <v>10534</v>
      </c>
      <c r="I1679" s="10" t="s">
        <v>18</v>
      </c>
    </row>
    <row r="1680" spans="1:9" x14ac:dyDescent="0.2">
      <c r="A1680" s="10" t="s">
        <v>4704</v>
      </c>
      <c r="B1680" s="10">
        <v>2125.1824162950702</v>
      </c>
      <c r="C1680" s="10">
        <v>1.43615932333817</v>
      </c>
      <c r="D1680" s="10">
        <v>0.28513071783712701</v>
      </c>
      <c r="E1680" s="10">
        <v>5.0368453256535499</v>
      </c>
      <c r="F1680" s="4">
        <v>4.7326690520024198E-7</v>
      </c>
      <c r="G1680" s="4">
        <v>6.3257327313029198E-6</v>
      </c>
      <c r="H1680" s="10" t="s">
        <v>4705</v>
      </c>
      <c r="I1680" s="10" t="s">
        <v>18</v>
      </c>
    </row>
    <row r="1681" spans="1:9" x14ac:dyDescent="0.2">
      <c r="A1681" s="10" t="s">
        <v>4708</v>
      </c>
      <c r="B1681" s="10">
        <v>7389.0111806055902</v>
      </c>
      <c r="C1681" s="10">
        <v>-1.64337963856798</v>
      </c>
      <c r="D1681" s="10">
        <v>0.248356286985743</v>
      </c>
      <c r="E1681" s="10">
        <v>-6.61702451149272</v>
      </c>
      <c r="F1681" s="4">
        <v>3.6650074536415901E-11</v>
      </c>
      <c r="G1681" s="4">
        <v>8.8392389737635896E-10</v>
      </c>
      <c r="H1681" s="10" t="s">
        <v>4709</v>
      </c>
      <c r="I1681" s="10" t="s">
        <v>18</v>
      </c>
    </row>
    <row r="1682" spans="1:9" x14ac:dyDescent="0.2">
      <c r="A1682" s="10" t="s">
        <v>10535</v>
      </c>
      <c r="B1682" s="10">
        <v>25.8740693275323</v>
      </c>
      <c r="C1682" s="10">
        <v>2.3384651708109598</v>
      </c>
      <c r="D1682" s="10">
        <v>0.71378585204220202</v>
      </c>
      <c r="E1682" s="10">
        <v>3.2761439080368602</v>
      </c>
      <c r="F1682" s="10">
        <v>1.05234924380492E-3</v>
      </c>
      <c r="G1682" s="10">
        <v>6.3802953067999104E-3</v>
      </c>
      <c r="H1682" s="10" t="s">
        <v>10536</v>
      </c>
      <c r="I1682" s="10" t="s">
        <v>18</v>
      </c>
    </row>
    <row r="1683" spans="1:9" x14ac:dyDescent="0.2">
      <c r="A1683" s="10" t="s">
        <v>10537</v>
      </c>
      <c r="B1683" s="10">
        <v>1955.0362540523899</v>
      </c>
      <c r="C1683" s="10">
        <v>-1.66059860161535</v>
      </c>
      <c r="D1683" s="10">
        <v>0.30266961210733601</v>
      </c>
      <c r="E1683" s="10">
        <v>-5.4865058637814199</v>
      </c>
      <c r="F1683" s="4">
        <v>4.0996182088943003E-8</v>
      </c>
      <c r="G1683" s="4">
        <v>6.5393719749357101E-7</v>
      </c>
      <c r="H1683" s="10" t="s">
        <v>10538</v>
      </c>
      <c r="I1683" s="10" t="s">
        <v>18</v>
      </c>
    </row>
    <row r="1684" spans="1:9" x14ac:dyDescent="0.2">
      <c r="A1684" s="10" t="s">
        <v>10539</v>
      </c>
      <c r="B1684" s="10">
        <v>23.758057667505099</v>
      </c>
      <c r="C1684" s="10">
        <v>-2.36602800808999</v>
      </c>
      <c r="D1684" s="10">
        <v>0.748464154167919</v>
      </c>
      <c r="E1684" s="10">
        <v>-3.1611774524063199</v>
      </c>
      <c r="F1684" s="10">
        <v>1.5713273892992701E-3</v>
      </c>
      <c r="G1684" s="10">
        <v>8.9654587228894106E-3</v>
      </c>
      <c r="H1684" s="10" t="s">
        <v>10540</v>
      </c>
      <c r="I1684" s="10" t="s">
        <v>18</v>
      </c>
    </row>
    <row r="1685" spans="1:9" x14ac:dyDescent="0.2">
      <c r="A1685" s="10" t="s">
        <v>4710</v>
      </c>
      <c r="B1685" s="10">
        <v>168.063273758191</v>
      </c>
      <c r="C1685" s="10">
        <v>-1.4715113351876099</v>
      </c>
      <c r="D1685" s="10">
        <v>0.35575341726871001</v>
      </c>
      <c r="E1685" s="10">
        <v>-4.1363238236335498</v>
      </c>
      <c r="F1685" s="4">
        <v>3.52914074544875E-5</v>
      </c>
      <c r="G1685" s="10">
        <v>3.2095276735995401E-4</v>
      </c>
      <c r="H1685" s="10" t="s">
        <v>4711</v>
      </c>
      <c r="I1685" s="10" t="s">
        <v>18</v>
      </c>
    </row>
    <row r="1686" spans="1:9" x14ac:dyDescent="0.2">
      <c r="A1686" s="10" t="s">
        <v>10541</v>
      </c>
      <c r="B1686" s="10">
        <v>70.465376873659096</v>
      </c>
      <c r="C1686" s="10">
        <v>-2.2947294256883501</v>
      </c>
      <c r="D1686" s="10">
        <v>0.48571769108882001</v>
      </c>
      <c r="E1686" s="10">
        <v>-4.7244098120954199</v>
      </c>
      <c r="F1686" s="4">
        <v>2.3078460596294099E-6</v>
      </c>
      <c r="G1686" s="4">
        <v>2.6901699550499398E-5</v>
      </c>
      <c r="H1686" s="10" t="s">
        <v>10542</v>
      </c>
      <c r="I1686" s="10" t="s">
        <v>18</v>
      </c>
    </row>
    <row r="1687" spans="1:9" x14ac:dyDescent="0.2">
      <c r="A1687" s="10" t="s">
        <v>4714</v>
      </c>
      <c r="B1687" s="10">
        <v>64.564203579401905</v>
      </c>
      <c r="C1687" s="10">
        <v>2.80540192244196</v>
      </c>
      <c r="D1687" s="10">
        <v>0.55466302907098597</v>
      </c>
      <c r="E1687" s="10">
        <v>5.0578491361516802</v>
      </c>
      <c r="F1687" s="4">
        <v>4.2401165829461302E-7</v>
      </c>
      <c r="G1687" s="4">
        <v>5.7037504087705899E-6</v>
      </c>
      <c r="H1687" s="10" t="s">
        <v>4715</v>
      </c>
      <c r="I1687" s="10" t="s">
        <v>18</v>
      </c>
    </row>
    <row r="1688" spans="1:9" x14ac:dyDescent="0.2">
      <c r="A1688" s="10" t="s">
        <v>4716</v>
      </c>
      <c r="B1688" s="10">
        <v>824.46733565102295</v>
      </c>
      <c r="C1688" s="10">
        <v>9.1831892527783801</v>
      </c>
      <c r="D1688" s="10">
        <v>0.649263878349017</v>
      </c>
      <c r="E1688" s="10">
        <v>14.1440014746083</v>
      </c>
      <c r="F1688" s="4">
        <v>2.03382989516871E-45</v>
      </c>
      <c r="G1688" s="4">
        <v>4.4104302597387003E-43</v>
      </c>
      <c r="H1688" s="10" t="s">
        <v>4717</v>
      </c>
      <c r="I1688" s="10" t="s">
        <v>18</v>
      </c>
    </row>
    <row r="1689" spans="1:9" x14ac:dyDescent="0.2">
      <c r="A1689" s="10" t="s">
        <v>4718</v>
      </c>
      <c r="B1689" s="10">
        <v>944.72658959346199</v>
      </c>
      <c r="C1689" s="10">
        <v>1.41307472390481</v>
      </c>
      <c r="D1689" s="10">
        <v>0.26393518973087698</v>
      </c>
      <c r="E1689" s="10">
        <v>5.3538701123774404</v>
      </c>
      <c r="F1689" s="4">
        <v>8.6092670516239697E-8</v>
      </c>
      <c r="G1689" s="4">
        <v>1.30147904256972E-6</v>
      </c>
      <c r="H1689" s="10" t="s">
        <v>4719</v>
      </c>
      <c r="I1689" s="10" t="s">
        <v>18</v>
      </c>
    </row>
    <row r="1690" spans="1:9" x14ac:dyDescent="0.2">
      <c r="A1690" s="10" t="s">
        <v>4720</v>
      </c>
      <c r="B1690" s="10">
        <v>46.742399930095701</v>
      </c>
      <c r="C1690" s="10">
        <v>2.22214801437128</v>
      </c>
      <c r="D1690" s="10">
        <v>0.55055358346386896</v>
      </c>
      <c r="E1690" s="10">
        <v>4.0362066129701502</v>
      </c>
      <c r="F1690" s="4">
        <v>5.4322381357561001E-5</v>
      </c>
      <c r="G1690" s="10">
        <v>4.7315772266255099E-4</v>
      </c>
      <c r="H1690" s="10" t="s">
        <v>4721</v>
      </c>
      <c r="I1690" s="10" t="s">
        <v>18</v>
      </c>
    </row>
    <row r="1691" spans="1:9" x14ac:dyDescent="0.2">
      <c r="A1691" s="10" t="s">
        <v>10543</v>
      </c>
      <c r="B1691" s="10">
        <v>3614.7387468192401</v>
      </c>
      <c r="C1691" s="10">
        <v>-1.03867355859505</v>
      </c>
      <c r="D1691" s="10">
        <v>0.26808085498787998</v>
      </c>
      <c r="E1691" s="10">
        <v>-3.8744786853280302</v>
      </c>
      <c r="F1691" s="10">
        <v>1.06853194754981E-4</v>
      </c>
      <c r="G1691" s="10">
        <v>8.6122784814532003E-4</v>
      </c>
      <c r="H1691" s="10" t="s">
        <v>10544</v>
      </c>
      <c r="I1691" s="10" t="s">
        <v>18</v>
      </c>
    </row>
    <row r="1692" spans="1:9" x14ac:dyDescent="0.2">
      <c r="A1692" s="10" t="s">
        <v>4726</v>
      </c>
      <c r="B1692" s="10">
        <v>1948.1588773412</v>
      </c>
      <c r="C1692" s="10">
        <v>1.4283882988158201</v>
      </c>
      <c r="D1692" s="10">
        <v>0.24587071673427399</v>
      </c>
      <c r="E1692" s="10">
        <v>5.8095096390008703</v>
      </c>
      <c r="F1692" s="4">
        <v>6.2656086909189596E-9</v>
      </c>
      <c r="G1692" s="4">
        <v>1.14211149724686E-7</v>
      </c>
      <c r="H1692" s="10" t="s">
        <v>4727</v>
      </c>
      <c r="I1692" s="10" t="s">
        <v>18</v>
      </c>
    </row>
    <row r="1693" spans="1:9" x14ac:dyDescent="0.2">
      <c r="A1693" s="10" t="s">
        <v>10545</v>
      </c>
      <c r="B1693" s="10">
        <v>3787.8531711877199</v>
      </c>
      <c r="C1693" s="10">
        <v>-1.03150670121129</v>
      </c>
      <c r="D1693" s="10">
        <v>0.26362777162213802</v>
      </c>
      <c r="E1693" s="10">
        <v>-3.9127391430132201</v>
      </c>
      <c r="F1693" s="4">
        <v>9.1255094309513506E-5</v>
      </c>
      <c r="G1693" s="10">
        <v>7.4943581369762101E-4</v>
      </c>
      <c r="H1693" s="10" t="s">
        <v>10546</v>
      </c>
      <c r="I1693" s="10" t="s">
        <v>18</v>
      </c>
    </row>
    <row r="1694" spans="1:9" x14ac:dyDescent="0.2">
      <c r="A1694" s="10" t="s">
        <v>10547</v>
      </c>
      <c r="B1694" s="10">
        <v>1106.5745493684601</v>
      </c>
      <c r="C1694" s="10">
        <v>-1.4458565679439099</v>
      </c>
      <c r="D1694" s="10">
        <v>0.25213427394546301</v>
      </c>
      <c r="E1694" s="10">
        <v>-5.7344705474537996</v>
      </c>
      <c r="F1694" s="4">
        <v>9.7817419965388993E-9</v>
      </c>
      <c r="G1694" s="4">
        <v>1.7267348766521801E-7</v>
      </c>
      <c r="H1694" s="10" t="s">
        <v>10548</v>
      </c>
      <c r="I1694" s="10" t="s">
        <v>18</v>
      </c>
    </row>
    <row r="1695" spans="1:9" x14ac:dyDescent="0.2">
      <c r="A1695" s="10" t="s">
        <v>4738</v>
      </c>
      <c r="B1695" s="10">
        <v>696.995778712365</v>
      </c>
      <c r="C1695" s="10">
        <v>-1.0742981846317601</v>
      </c>
      <c r="D1695" s="10">
        <v>0.30003742686573698</v>
      </c>
      <c r="E1695" s="10">
        <v>-3.5805472532348301</v>
      </c>
      <c r="F1695" s="10">
        <v>3.4287532630195998E-4</v>
      </c>
      <c r="G1695" s="10">
        <v>2.4098990872103401E-3</v>
      </c>
      <c r="H1695" s="10" t="s">
        <v>4739</v>
      </c>
      <c r="I1695" s="10" t="s">
        <v>18</v>
      </c>
    </row>
    <row r="1696" spans="1:9" x14ac:dyDescent="0.2">
      <c r="A1696" s="10" t="s">
        <v>4748</v>
      </c>
      <c r="B1696" s="10">
        <v>29.997301771640402</v>
      </c>
      <c r="C1696" s="10">
        <v>1.75107467267099</v>
      </c>
      <c r="D1696" s="10">
        <v>0.64763903504192</v>
      </c>
      <c r="E1696" s="10">
        <v>2.7037818567524199</v>
      </c>
      <c r="F1696" s="10">
        <v>6.8555278818888104E-3</v>
      </c>
      <c r="G1696" s="10">
        <v>3.07618273044797E-2</v>
      </c>
      <c r="H1696" s="10" t="s">
        <v>4749</v>
      </c>
      <c r="I1696" s="10" t="s">
        <v>18</v>
      </c>
    </row>
    <row r="1697" spans="1:9" x14ac:dyDescent="0.2">
      <c r="A1697" s="10" t="s">
        <v>4750</v>
      </c>
      <c r="B1697" s="10">
        <v>2392.0105338900198</v>
      </c>
      <c r="C1697" s="10">
        <v>1.6202977120776501</v>
      </c>
      <c r="D1697" s="10">
        <v>0.24356154847998299</v>
      </c>
      <c r="E1697" s="10">
        <v>6.6525185202245201</v>
      </c>
      <c r="F1697" s="4">
        <v>2.8811955022613999E-11</v>
      </c>
      <c r="G1697" s="4">
        <v>7.0282042102938395E-10</v>
      </c>
      <c r="H1697" s="10" t="s">
        <v>4751</v>
      </c>
      <c r="I1697" s="10" t="s">
        <v>18</v>
      </c>
    </row>
    <row r="1698" spans="1:9" x14ac:dyDescent="0.2">
      <c r="A1698" s="10" t="s">
        <v>4758</v>
      </c>
      <c r="B1698" s="10">
        <v>633.05903844571401</v>
      </c>
      <c r="C1698" s="10">
        <v>1.7560118849244599</v>
      </c>
      <c r="D1698" s="10">
        <v>0.285246489313146</v>
      </c>
      <c r="E1698" s="10">
        <v>6.1561209365023704</v>
      </c>
      <c r="F1698" s="4">
        <v>7.45483049114744E-10</v>
      </c>
      <c r="G1698" s="4">
        <v>1.5510856989645498E-8</v>
      </c>
      <c r="H1698" s="10" t="s">
        <v>4759</v>
      </c>
      <c r="I1698" s="10" t="s">
        <v>18</v>
      </c>
    </row>
    <row r="1699" spans="1:9" x14ac:dyDescent="0.2">
      <c r="A1699" s="10" t="s">
        <v>4762</v>
      </c>
      <c r="B1699" s="10">
        <v>20.559344537525199</v>
      </c>
      <c r="C1699" s="10">
        <v>3.7498925665009102</v>
      </c>
      <c r="D1699" s="10">
        <v>0.91108304837847898</v>
      </c>
      <c r="E1699" s="10">
        <v>4.1158625145916901</v>
      </c>
      <c r="F1699" s="4">
        <v>3.8573419830779799E-5</v>
      </c>
      <c r="G1699" s="10">
        <v>3.4691254052315602E-4</v>
      </c>
      <c r="H1699" s="10" t="s">
        <v>4763</v>
      </c>
      <c r="I1699" s="10" t="s">
        <v>18</v>
      </c>
    </row>
    <row r="1700" spans="1:9" x14ac:dyDescent="0.2">
      <c r="A1700" s="10" t="s">
        <v>4764</v>
      </c>
      <c r="B1700" s="10">
        <v>803.89303509442402</v>
      </c>
      <c r="C1700" s="10">
        <v>1.1039554294954701</v>
      </c>
      <c r="D1700" s="10">
        <v>0.29304099363318198</v>
      </c>
      <c r="E1700" s="10">
        <v>3.7672388965393799</v>
      </c>
      <c r="F1700" s="10">
        <v>1.65063031682749E-4</v>
      </c>
      <c r="G1700" s="10">
        <v>1.2585655294240501E-3</v>
      </c>
      <c r="H1700" s="10" t="s">
        <v>4765</v>
      </c>
      <c r="I1700" s="10" t="s">
        <v>18</v>
      </c>
    </row>
    <row r="1701" spans="1:9" x14ac:dyDescent="0.2">
      <c r="A1701" s="10" t="s">
        <v>10549</v>
      </c>
      <c r="B1701" s="10">
        <v>37.561362566199897</v>
      </c>
      <c r="C1701" s="10">
        <v>-1.8344573824169399</v>
      </c>
      <c r="D1701" s="10">
        <v>0.596300062096219</v>
      </c>
      <c r="E1701" s="10">
        <v>-3.0763997843101598</v>
      </c>
      <c r="F1701" s="10">
        <v>2.09516719609305E-3</v>
      </c>
      <c r="G1701" s="10">
        <v>1.1397908913866901E-2</v>
      </c>
      <c r="H1701" s="10" t="s">
        <v>10550</v>
      </c>
      <c r="I1701" s="10" t="s">
        <v>18</v>
      </c>
    </row>
    <row r="1702" spans="1:9" x14ac:dyDescent="0.2">
      <c r="A1702" s="10" t="s">
        <v>10551</v>
      </c>
      <c r="B1702" s="10">
        <v>1997.8457474623899</v>
      </c>
      <c r="C1702" s="10">
        <v>1.39520950059256</v>
      </c>
      <c r="D1702" s="10">
        <v>0.28277911222651603</v>
      </c>
      <c r="E1702" s="10">
        <v>4.9339199405751897</v>
      </c>
      <c r="F1702" s="4">
        <v>8.0595486093981105E-7</v>
      </c>
      <c r="G1702" s="4">
        <v>1.02704126276297E-5</v>
      </c>
      <c r="H1702" s="10" t="s">
        <v>10552</v>
      </c>
      <c r="I1702" s="10" t="s">
        <v>18</v>
      </c>
    </row>
    <row r="1703" spans="1:9" x14ac:dyDescent="0.2">
      <c r="A1703" s="10" t="s">
        <v>10553</v>
      </c>
      <c r="B1703" s="10">
        <v>2328.7487234697401</v>
      </c>
      <c r="C1703" s="10">
        <v>-1.3595403387145399</v>
      </c>
      <c r="D1703" s="10">
        <v>0.26103415835827798</v>
      </c>
      <c r="E1703" s="10">
        <v>-5.2082851810088799</v>
      </c>
      <c r="F1703" s="4">
        <v>1.90593838434284E-7</v>
      </c>
      <c r="G1703" s="4">
        <v>2.7318450175580702E-6</v>
      </c>
      <c r="H1703" s="10" t="s">
        <v>10554</v>
      </c>
      <c r="I1703" s="10" t="s">
        <v>18</v>
      </c>
    </row>
    <row r="1704" spans="1:9" x14ac:dyDescent="0.2">
      <c r="A1704" s="10" t="s">
        <v>4766</v>
      </c>
      <c r="B1704" s="10">
        <v>36.047577025796798</v>
      </c>
      <c r="C1704" s="10">
        <v>4.8565968146946901</v>
      </c>
      <c r="D1704" s="10">
        <v>0.863716205337554</v>
      </c>
      <c r="E1704" s="10">
        <v>5.62290806248871</v>
      </c>
      <c r="F1704" s="4">
        <v>1.8776934528273199E-8</v>
      </c>
      <c r="G1704" s="4">
        <v>3.18069890948628E-7</v>
      </c>
      <c r="H1704" s="10" t="s">
        <v>4767</v>
      </c>
      <c r="I1704" s="10" t="s">
        <v>18</v>
      </c>
    </row>
    <row r="1705" spans="1:9" x14ac:dyDescent="0.2">
      <c r="A1705" s="10" t="s">
        <v>10555</v>
      </c>
      <c r="B1705" s="10">
        <v>82.866884271740403</v>
      </c>
      <c r="C1705" s="10">
        <v>1.5026009230730499</v>
      </c>
      <c r="D1705" s="10">
        <v>0.42903785709245801</v>
      </c>
      <c r="E1705" s="10">
        <v>3.5022571976655099</v>
      </c>
      <c r="F1705" s="10">
        <v>4.6133404774761103E-4</v>
      </c>
      <c r="G1705" s="10">
        <v>3.12042429983629E-3</v>
      </c>
      <c r="H1705" s="10" t="s">
        <v>10556</v>
      </c>
      <c r="I1705" s="10" t="s">
        <v>18</v>
      </c>
    </row>
    <row r="1706" spans="1:9" x14ac:dyDescent="0.2">
      <c r="A1706" s="10" t="s">
        <v>4780</v>
      </c>
      <c r="B1706" s="10">
        <v>110.468173787929</v>
      </c>
      <c r="C1706" s="10">
        <v>5.0240895483179697</v>
      </c>
      <c r="D1706" s="10">
        <v>0.54785605995276598</v>
      </c>
      <c r="E1706" s="10">
        <v>9.1704553724405695</v>
      </c>
      <c r="F1706" s="4">
        <v>4.7102502821443199E-20</v>
      </c>
      <c r="G1706" s="4">
        <v>2.5480934590825899E-18</v>
      </c>
      <c r="H1706" s="10" t="s">
        <v>4781</v>
      </c>
      <c r="I1706" s="10" t="s">
        <v>18</v>
      </c>
    </row>
    <row r="1707" spans="1:9" x14ac:dyDescent="0.2">
      <c r="A1707" s="10" t="s">
        <v>10557</v>
      </c>
      <c r="B1707" s="10">
        <v>358.77087768409899</v>
      </c>
      <c r="C1707" s="10">
        <v>1.2324176887613401</v>
      </c>
      <c r="D1707" s="10">
        <v>0.35348840106441898</v>
      </c>
      <c r="E1707" s="10">
        <v>3.48644449167299</v>
      </c>
      <c r="F1707" s="10">
        <v>4.8948695420653195E-4</v>
      </c>
      <c r="G1707" s="10">
        <v>3.2808538057727999E-3</v>
      </c>
      <c r="H1707" s="10" t="s">
        <v>10558</v>
      </c>
      <c r="I1707" s="10" t="s">
        <v>18</v>
      </c>
    </row>
    <row r="1708" spans="1:9" x14ac:dyDescent="0.2">
      <c r="A1708" s="10" t="s">
        <v>4782</v>
      </c>
      <c r="B1708" s="10">
        <v>1631.2164658683801</v>
      </c>
      <c r="C1708" s="10">
        <v>7.4229460690134603</v>
      </c>
      <c r="D1708" s="10">
        <v>0.35635986652278501</v>
      </c>
      <c r="E1708" s="10">
        <v>20.829915953902301</v>
      </c>
      <c r="F1708" s="4">
        <v>2.3186761694585301E-96</v>
      </c>
      <c r="G1708" s="4">
        <v>2.71946447508777E-93</v>
      </c>
      <c r="H1708" s="10" t="s">
        <v>4783</v>
      </c>
      <c r="I1708" s="10" t="s">
        <v>18</v>
      </c>
    </row>
    <row r="1709" spans="1:9" x14ac:dyDescent="0.2">
      <c r="A1709" s="10" t="s">
        <v>10559</v>
      </c>
      <c r="B1709" s="10">
        <v>165.52844170945701</v>
      </c>
      <c r="C1709" s="10">
        <v>1.9224597251766999</v>
      </c>
      <c r="D1709" s="10">
        <v>0.39008089631874598</v>
      </c>
      <c r="E1709" s="10">
        <v>4.9283616381095499</v>
      </c>
      <c r="F1709" s="4">
        <v>8.2922025974644699E-7</v>
      </c>
      <c r="G1709" s="4">
        <v>1.05348664817787E-5</v>
      </c>
      <c r="H1709" s="10" t="s">
        <v>10560</v>
      </c>
      <c r="I1709" s="10" t="s">
        <v>18</v>
      </c>
    </row>
    <row r="1710" spans="1:9" x14ac:dyDescent="0.2">
      <c r="A1710" s="10" t="s">
        <v>10561</v>
      </c>
      <c r="B1710" s="10">
        <v>969.03567190921694</v>
      </c>
      <c r="C1710" s="10">
        <v>1.12838114674057</v>
      </c>
      <c r="D1710" s="10">
        <v>0.28813644565706098</v>
      </c>
      <c r="E1710" s="10">
        <v>3.91613474708979</v>
      </c>
      <c r="F1710" s="4">
        <v>8.9979969344792206E-5</v>
      </c>
      <c r="G1710" s="10">
        <v>7.3993008462512199E-4</v>
      </c>
      <c r="H1710" s="10" t="s">
        <v>10562</v>
      </c>
      <c r="I1710" s="10" t="s">
        <v>18</v>
      </c>
    </row>
    <row r="1711" spans="1:9" x14ac:dyDescent="0.2">
      <c r="A1711" s="10" t="s">
        <v>4786</v>
      </c>
      <c r="B1711" s="10">
        <v>384.79871909353301</v>
      </c>
      <c r="C1711" s="10">
        <v>-1.00886352529583</v>
      </c>
      <c r="D1711" s="10">
        <v>0.31636581374595002</v>
      </c>
      <c r="E1711" s="10">
        <v>-3.1889144827322302</v>
      </c>
      <c r="F1711" s="10">
        <v>1.4280811786945399E-3</v>
      </c>
      <c r="G1711" s="10">
        <v>8.2639480216382E-3</v>
      </c>
      <c r="H1711" s="10" t="s">
        <v>4787</v>
      </c>
      <c r="I1711" s="10" t="s">
        <v>18</v>
      </c>
    </row>
    <row r="1712" spans="1:9" x14ac:dyDescent="0.2">
      <c r="A1712" s="10" t="s">
        <v>4788</v>
      </c>
      <c r="B1712" s="10">
        <v>47.620093225567302</v>
      </c>
      <c r="C1712" s="10">
        <v>2.8342657186871301</v>
      </c>
      <c r="D1712" s="10">
        <v>0.58078055576138299</v>
      </c>
      <c r="E1712" s="10">
        <v>4.8800974663683503</v>
      </c>
      <c r="F1712" s="4">
        <v>1.0603342502521901E-6</v>
      </c>
      <c r="G1712" s="4">
        <v>1.31912502794728E-5</v>
      </c>
      <c r="H1712" s="10" t="s">
        <v>4789</v>
      </c>
      <c r="I1712" s="10" t="s">
        <v>18</v>
      </c>
    </row>
    <row r="1713" spans="1:9" x14ac:dyDescent="0.2">
      <c r="A1713" s="10" t="s">
        <v>4790</v>
      </c>
      <c r="B1713" s="10">
        <v>14.522883694736599</v>
      </c>
      <c r="C1713" s="10">
        <v>3.2476470911503799</v>
      </c>
      <c r="D1713" s="10">
        <v>1.0289358229776899</v>
      </c>
      <c r="E1713" s="10">
        <v>3.15631647632974</v>
      </c>
      <c r="F1713" s="10">
        <v>1.5977539827110501E-3</v>
      </c>
      <c r="G1713" s="10">
        <v>9.0889872082986194E-3</v>
      </c>
      <c r="H1713" s="10" t="s">
        <v>4791</v>
      </c>
      <c r="I1713" s="10" t="s">
        <v>18</v>
      </c>
    </row>
    <row r="1714" spans="1:9" x14ac:dyDescent="0.2">
      <c r="A1714" s="10" t="s">
        <v>4792</v>
      </c>
      <c r="B1714" s="10">
        <v>182.35552319946001</v>
      </c>
      <c r="C1714" s="10">
        <v>1.35866188495038</v>
      </c>
      <c r="D1714" s="10">
        <v>0.36177051494464701</v>
      </c>
      <c r="E1714" s="10">
        <v>3.7555904332288299</v>
      </c>
      <c r="F1714" s="10">
        <v>1.7293330181229901E-4</v>
      </c>
      <c r="G1714" s="10">
        <v>1.3102822912916801E-3</v>
      </c>
      <c r="H1714" s="10" t="s">
        <v>4793</v>
      </c>
      <c r="I1714" s="10" t="s">
        <v>18</v>
      </c>
    </row>
    <row r="1715" spans="1:9" x14ac:dyDescent="0.2">
      <c r="A1715" s="10" t="s">
        <v>4794</v>
      </c>
      <c r="B1715" s="10">
        <v>30.849829418579699</v>
      </c>
      <c r="C1715" s="10">
        <v>5.3813589459498203</v>
      </c>
      <c r="D1715" s="10">
        <v>1.04015955231031</v>
      </c>
      <c r="E1715" s="10">
        <v>5.1735898920480103</v>
      </c>
      <c r="F1715" s="4">
        <v>2.29638564282327E-7</v>
      </c>
      <c r="G1715" s="4">
        <v>3.2361669941299399E-6</v>
      </c>
      <c r="H1715" s="10" t="s">
        <v>4795</v>
      </c>
      <c r="I1715" s="10" t="s">
        <v>18</v>
      </c>
    </row>
    <row r="1716" spans="1:9" x14ac:dyDescent="0.2">
      <c r="A1716" s="10" t="s">
        <v>4796</v>
      </c>
      <c r="B1716" s="10">
        <v>838.91900664502896</v>
      </c>
      <c r="C1716" s="10">
        <v>-1.2795998228335701</v>
      </c>
      <c r="D1716" s="10">
        <v>0.309318698124598</v>
      </c>
      <c r="E1716" s="10">
        <v>-4.1368330805470297</v>
      </c>
      <c r="F1716" s="4">
        <v>3.52132069509905E-5</v>
      </c>
      <c r="G1716" s="10">
        <v>3.2047330711004599E-4</v>
      </c>
      <c r="H1716" s="10" t="s">
        <v>4797</v>
      </c>
      <c r="I1716" s="10" t="s">
        <v>18</v>
      </c>
    </row>
    <row r="1717" spans="1:9" x14ac:dyDescent="0.2">
      <c r="A1717" s="10" t="s">
        <v>4798</v>
      </c>
      <c r="B1717" s="10">
        <v>10.1296638394267</v>
      </c>
      <c r="C1717" s="10">
        <v>-3.60434480476383</v>
      </c>
      <c r="D1717" s="10">
        <v>1.2730088664982</v>
      </c>
      <c r="E1717" s="10">
        <v>-2.8313587592509601</v>
      </c>
      <c r="F1717" s="10">
        <v>4.6350699549618703E-3</v>
      </c>
      <c r="G1717" s="10">
        <v>2.22764968890076E-2</v>
      </c>
      <c r="H1717" s="10" t="s">
        <v>4799</v>
      </c>
      <c r="I1717" s="10" t="s">
        <v>18</v>
      </c>
    </row>
    <row r="1718" spans="1:9" x14ac:dyDescent="0.2">
      <c r="A1718" s="10" t="s">
        <v>4800</v>
      </c>
      <c r="B1718" s="10">
        <v>3897.6396409039698</v>
      </c>
      <c r="C1718" s="10">
        <v>-1.61482537354245</v>
      </c>
      <c r="D1718" s="10">
        <v>0.29841085001567202</v>
      </c>
      <c r="E1718" s="10">
        <v>-5.4114164195358399</v>
      </c>
      <c r="F1718" s="4">
        <v>6.2528177566475501E-8</v>
      </c>
      <c r="G1718" s="4">
        <v>9.6437541795505306E-7</v>
      </c>
      <c r="H1718" s="10" t="s">
        <v>4801</v>
      </c>
      <c r="I1718" s="10" t="s">
        <v>18</v>
      </c>
    </row>
    <row r="1719" spans="1:9" x14ac:dyDescent="0.2">
      <c r="A1719" s="10" t="s">
        <v>4802</v>
      </c>
      <c r="B1719" s="10">
        <v>599.79424875839004</v>
      </c>
      <c r="C1719" s="10">
        <v>-1.63049449074149</v>
      </c>
      <c r="D1719" s="10">
        <v>0.330952075539032</v>
      </c>
      <c r="E1719" s="10">
        <v>-4.9266785472967696</v>
      </c>
      <c r="F1719" s="4">
        <v>8.3639184477263805E-7</v>
      </c>
      <c r="G1719" s="4">
        <v>1.06152557291906E-5</v>
      </c>
      <c r="H1719" s="10" t="s">
        <v>4803</v>
      </c>
      <c r="I1719" s="10" t="s">
        <v>18</v>
      </c>
    </row>
    <row r="1720" spans="1:9" x14ac:dyDescent="0.2">
      <c r="A1720" s="10" t="s">
        <v>10563</v>
      </c>
      <c r="B1720" s="10">
        <v>852.27253921187798</v>
      </c>
      <c r="C1720" s="10">
        <v>1.2348598429506401</v>
      </c>
      <c r="D1720" s="10">
        <v>0.37077579962089502</v>
      </c>
      <c r="E1720" s="10">
        <v>3.3304758406919701</v>
      </c>
      <c r="F1720" s="10">
        <v>8.6697686672476302E-4</v>
      </c>
      <c r="G1720" s="10">
        <v>5.4062476654589504E-3</v>
      </c>
      <c r="H1720" s="10" t="s">
        <v>10564</v>
      </c>
      <c r="I1720" s="10" t="s">
        <v>18</v>
      </c>
    </row>
    <row r="1721" spans="1:9" x14ac:dyDescent="0.2">
      <c r="A1721" s="10" t="s">
        <v>4806</v>
      </c>
      <c r="B1721" s="10">
        <v>786.31760534381601</v>
      </c>
      <c r="C1721" s="10">
        <v>2.2251041696004599</v>
      </c>
      <c r="D1721" s="10">
        <v>0.31141754715564302</v>
      </c>
      <c r="E1721" s="10">
        <v>7.1450828314705701</v>
      </c>
      <c r="F1721" s="4">
        <v>8.9941637302275505E-13</v>
      </c>
      <c r="G1721" s="4">
        <v>2.5916172810294799E-11</v>
      </c>
      <c r="H1721" s="10" t="s">
        <v>4807</v>
      </c>
      <c r="I1721" s="10" t="s">
        <v>18</v>
      </c>
    </row>
    <row r="1722" spans="1:9" x14ac:dyDescent="0.2">
      <c r="A1722" s="10" t="s">
        <v>10565</v>
      </c>
      <c r="B1722" s="10">
        <v>28.947474268845699</v>
      </c>
      <c r="C1722" s="10">
        <v>1.70935236876115</v>
      </c>
      <c r="D1722" s="10">
        <v>0.67190626434766698</v>
      </c>
      <c r="E1722" s="10">
        <v>2.5440339813183699</v>
      </c>
      <c r="F1722" s="10">
        <v>1.0958042358163301E-2</v>
      </c>
      <c r="G1722" s="10">
        <v>4.5554380353594201E-2</v>
      </c>
      <c r="H1722" s="10" t="s">
        <v>10566</v>
      </c>
      <c r="I1722" s="10" t="s">
        <v>18</v>
      </c>
    </row>
    <row r="1723" spans="1:9" x14ac:dyDescent="0.2">
      <c r="A1723" s="10" t="s">
        <v>10567</v>
      </c>
      <c r="B1723" s="10">
        <v>1175.9748970347</v>
      </c>
      <c r="C1723" s="10">
        <v>1.4353737458424001</v>
      </c>
      <c r="D1723" s="10">
        <v>0.29935397466878599</v>
      </c>
      <c r="E1723" s="10">
        <v>4.7949045855514099</v>
      </c>
      <c r="F1723" s="4">
        <v>1.62752276806766E-6</v>
      </c>
      <c r="G1723" s="4">
        <v>1.9430628965705699E-5</v>
      </c>
      <c r="H1723" s="10" t="s">
        <v>10568</v>
      </c>
      <c r="I1723" s="10" t="s">
        <v>18</v>
      </c>
    </row>
    <row r="1724" spans="1:9" x14ac:dyDescent="0.2">
      <c r="A1724" s="10" t="s">
        <v>10569</v>
      </c>
      <c r="B1724" s="10">
        <v>6830.5640891511603</v>
      </c>
      <c r="C1724" s="10">
        <v>2.5304263607352202</v>
      </c>
      <c r="D1724" s="10">
        <v>0.30553119857022198</v>
      </c>
      <c r="E1724" s="10">
        <v>8.2820555562794507</v>
      </c>
      <c r="F1724" s="4">
        <v>1.2106708450224001E-16</v>
      </c>
      <c r="G1724" s="4">
        <v>5.1705305783596599E-15</v>
      </c>
      <c r="H1724" s="10" t="s">
        <v>10570</v>
      </c>
      <c r="I1724" s="10" t="s">
        <v>18</v>
      </c>
    </row>
    <row r="1725" spans="1:9" x14ac:dyDescent="0.2">
      <c r="A1725" s="10" t="s">
        <v>4808</v>
      </c>
      <c r="B1725" s="10">
        <v>151.80950924592</v>
      </c>
      <c r="C1725" s="10">
        <v>-1.7507899007307901</v>
      </c>
      <c r="D1725" s="10">
        <v>0.38369773983633298</v>
      </c>
      <c r="E1725" s="10">
        <v>-4.5629403537211104</v>
      </c>
      <c r="F1725" s="4">
        <v>5.0442148667754598E-6</v>
      </c>
      <c r="G1725" s="4">
        <v>5.5216372921556402E-5</v>
      </c>
      <c r="H1725" s="10" t="s">
        <v>4809</v>
      </c>
      <c r="I1725" s="10" t="s">
        <v>18</v>
      </c>
    </row>
    <row r="1726" spans="1:9" x14ac:dyDescent="0.2">
      <c r="A1726" s="10" t="s">
        <v>4812</v>
      </c>
      <c r="B1726" s="10">
        <v>3717.2811871693202</v>
      </c>
      <c r="C1726" s="10">
        <v>3.8832808642411201</v>
      </c>
      <c r="D1726" s="10">
        <v>0.310075370448053</v>
      </c>
      <c r="E1726" s="10">
        <v>12.523667580013999</v>
      </c>
      <c r="F1726" s="4">
        <v>5.5414136714768702E-36</v>
      </c>
      <c r="G1726" s="4">
        <v>7.41458834606387E-34</v>
      </c>
      <c r="H1726" s="10" t="s">
        <v>4813</v>
      </c>
      <c r="I1726" s="10" t="s">
        <v>18</v>
      </c>
    </row>
    <row r="1727" spans="1:9" x14ac:dyDescent="0.2">
      <c r="A1727" s="10" t="s">
        <v>10571</v>
      </c>
      <c r="B1727" s="10">
        <v>617.49894609243802</v>
      </c>
      <c r="C1727" s="10">
        <v>1.53578539753636</v>
      </c>
      <c r="D1727" s="10">
        <v>0.30522780693075602</v>
      </c>
      <c r="E1727" s="10">
        <v>5.0316038141464796</v>
      </c>
      <c r="F1727" s="4">
        <v>4.8639360716898404E-7</v>
      </c>
      <c r="G1727" s="4">
        <v>6.4805249938219197E-6</v>
      </c>
      <c r="H1727" s="10" t="s">
        <v>10572</v>
      </c>
      <c r="I1727" s="10" t="s">
        <v>18</v>
      </c>
    </row>
    <row r="1728" spans="1:9" x14ac:dyDescent="0.2">
      <c r="A1728" s="10" t="s">
        <v>10573</v>
      </c>
      <c r="B1728" s="10">
        <v>760.05827518272395</v>
      </c>
      <c r="C1728" s="10">
        <v>1.5522271600861599</v>
      </c>
      <c r="D1728" s="10">
        <v>0.313752489932698</v>
      </c>
      <c r="E1728" s="10">
        <v>4.9472983000680504</v>
      </c>
      <c r="F1728" s="4">
        <v>7.5250612575205205E-7</v>
      </c>
      <c r="G1728" s="4">
        <v>9.6726068437878803E-6</v>
      </c>
      <c r="H1728" s="10" t="s">
        <v>10574</v>
      </c>
      <c r="I1728" s="10" t="s">
        <v>18</v>
      </c>
    </row>
    <row r="1729" spans="1:9" x14ac:dyDescent="0.2">
      <c r="A1729" s="10" t="s">
        <v>4814</v>
      </c>
      <c r="B1729" s="10">
        <v>161.30065848102001</v>
      </c>
      <c r="C1729" s="10">
        <v>6.2427063084323997</v>
      </c>
      <c r="D1729" s="10">
        <v>0.59990308416724303</v>
      </c>
      <c r="E1729" s="10">
        <v>10.406191388561099</v>
      </c>
      <c r="F1729" s="4">
        <v>2.3233147057981799E-25</v>
      </c>
      <c r="G1729" s="4">
        <v>1.8494614374795399E-23</v>
      </c>
      <c r="H1729" s="10" t="s">
        <v>4815</v>
      </c>
      <c r="I1729" s="10" t="s">
        <v>18</v>
      </c>
    </row>
    <row r="1730" spans="1:9" x14ac:dyDescent="0.2">
      <c r="A1730" s="10" t="s">
        <v>4816</v>
      </c>
      <c r="B1730" s="10">
        <v>1501.92982732932</v>
      </c>
      <c r="C1730" s="10">
        <v>10.6277993785283</v>
      </c>
      <c r="D1730" s="10">
        <v>0.76738333255168001</v>
      </c>
      <c r="E1730" s="10">
        <v>13.849400850535901</v>
      </c>
      <c r="F1730" s="4">
        <v>1.28277587174716E-43</v>
      </c>
      <c r="G1730" s="4">
        <v>2.5408052798267598E-41</v>
      </c>
      <c r="H1730" s="10" t="s">
        <v>4817</v>
      </c>
      <c r="I1730" s="10" t="s">
        <v>18</v>
      </c>
    </row>
    <row r="1731" spans="1:9" x14ac:dyDescent="0.2">
      <c r="A1731" s="10" t="s">
        <v>4818</v>
      </c>
      <c r="B1731" s="10">
        <v>55.7293416147645</v>
      </c>
      <c r="C1731" s="10">
        <v>4.8280338185591498</v>
      </c>
      <c r="D1731" s="10">
        <v>0.69127031975285602</v>
      </c>
      <c r="E1731" s="10">
        <v>6.9842920787996103</v>
      </c>
      <c r="F1731" s="4">
        <v>2.8629589512243298E-12</v>
      </c>
      <c r="G1731" s="4">
        <v>7.8450688908548994E-11</v>
      </c>
      <c r="H1731" s="10" t="s">
        <v>4819</v>
      </c>
      <c r="I1731" s="10" t="s">
        <v>18</v>
      </c>
    </row>
    <row r="1732" spans="1:9" x14ac:dyDescent="0.2">
      <c r="A1732" s="10" t="s">
        <v>10575</v>
      </c>
      <c r="B1732" s="10">
        <v>424.03554307731298</v>
      </c>
      <c r="C1732" s="10">
        <v>1.27326076668113</v>
      </c>
      <c r="D1732" s="10">
        <v>0.32554551578728502</v>
      </c>
      <c r="E1732" s="10">
        <v>3.9111605134598002</v>
      </c>
      <c r="F1732" s="4">
        <v>9.1853699376796794E-5</v>
      </c>
      <c r="G1732" s="10">
        <v>7.5312249277161795E-4</v>
      </c>
      <c r="H1732" s="10" t="s">
        <v>10576</v>
      </c>
      <c r="I1732" s="10" t="s">
        <v>18</v>
      </c>
    </row>
    <row r="1733" spans="1:9" x14ac:dyDescent="0.2">
      <c r="A1733" s="10" t="s">
        <v>10577</v>
      </c>
      <c r="B1733" s="10">
        <v>33.025444557469598</v>
      </c>
      <c r="C1733" s="10">
        <v>1.67007911276404</v>
      </c>
      <c r="D1733" s="10">
        <v>0.63589491757424899</v>
      </c>
      <c r="E1733" s="10">
        <v>2.6263444896444499</v>
      </c>
      <c r="F1733" s="10">
        <v>8.6307419819126995E-3</v>
      </c>
      <c r="G1733" s="10">
        <v>3.7399881921621698E-2</v>
      </c>
      <c r="H1733" s="10" t="s">
        <v>10578</v>
      </c>
      <c r="I1733" s="10" t="s">
        <v>18</v>
      </c>
    </row>
    <row r="1734" spans="1:9" x14ac:dyDescent="0.2">
      <c r="A1734" s="10" t="s">
        <v>4820</v>
      </c>
      <c r="B1734" s="10">
        <v>570.80034192095695</v>
      </c>
      <c r="C1734" s="10">
        <v>8.6519727205327701</v>
      </c>
      <c r="D1734" s="10">
        <v>0.65493136933363505</v>
      </c>
      <c r="E1734" s="10">
        <v>13.210502849078299</v>
      </c>
      <c r="F1734" s="4">
        <v>7.6312921896394893E-40</v>
      </c>
      <c r="G1734" s="4">
        <v>1.25467421588485E-37</v>
      </c>
      <c r="H1734" s="10" t="s">
        <v>4821</v>
      </c>
      <c r="I1734" s="10" t="s">
        <v>18</v>
      </c>
    </row>
    <row r="1735" spans="1:9" x14ac:dyDescent="0.2">
      <c r="A1735" s="10" t="s">
        <v>4822</v>
      </c>
      <c r="B1735" s="10">
        <v>785.13511486179596</v>
      </c>
      <c r="C1735" s="10">
        <v>10.690870638307899</v>
      </c>
      <c r="D1735" s="10">
        <v>1.06696025670254</v>
      </c>
      <c r="E1735" s="10">
        <v>10.019933330364401</v>
      </c>
      <c r="F1735" s="4">
        <v>1.2458695822492899E-23</v>
      </c>
      <c r="G1735" s="4">
        <v>8.5836334113448197E-22</v>
      </c>
      <c r="H1735" s="10" t="s">
        <v>4823</v>
      </c>
      <c r="I1735" s="10" t="s">
        <v>18</v>
      </c>
    </row>
    <row r="1736" spans="1:9" x14ac:dyDescent="0.2">
      <c r="A1736" s="10" t="s">
        <v>4824</v>
      </c>
      <c r="B1736" s="10">
        <v>982.79411406018301</v>
      </c>
      <c r="C1736" s="10">
        <v>7.8399634082380398</v>
      </c>
      <c r="D1736" s="10">
        <v>0.42925650586458902</v>
      </c>
      <c r="E1736" s="10">
        <v>18.264052614525099</v>
      </c>
      <c r="F1736" s="4">
        <v>1.59965200195255E-74</v>
      </c>
      <c r="G1736" s="4">
        <v>1.0059811527279101E-71</v>
      </c>
      <c r="H1736" s="10" t="s">
        <v>4825</v>
      </c>
      <c r="I1736" s="10" t="s">
        <v>18</v>
      </c>
    </row>
    <row r="1737" spans="1:9" x14ac:dyDescent="0.2">
      <c r="A1737" s="10" t="s">
        <v>4826</v>
      </c>
      <c r="B1737" s="10">
        <v>65.239177169154701</v>
      </c>
      <c r="C1737" s="10">
        <v>6.4897955306665702</v>
      </c>
      <c r="D1737" s="10">
        <v>0.94707584747709295</v>
      </c>
      <c r="E1737" s="10">
        <v>6.85245595477351</v>
      </c>
      <c r="F1737" s="4">
        <v>7.2592741658805296E-12</v>
      </c>
      <c r="G1737" s="4">
        <v>1.89426391745565E-10</v>
      </c>
      <c r="H1737" s="10" t="s">
        <v>4827</v>
      </c>
      <c r="I1737" s="10" t="s">
        <v>18</v>
      </c>
    </row>
    <row r="1738" spans="1:9" x14ac:dyDescent="0.2">
      <c r="A1738" s="10" t="s">
        <v>4832</v>
      </c>
      <c r="B1738" s="10">
        <v>17.500619040563102</v>
      </c>
      <c r="C1738" s="10">
        <v>3.7502838571032502</v>
      </c>
      <c r="D1738" s="10">
        <v>1.00418069009101</v>
      </c>
      <c r="E1738" s="10">
        <v>3.7346703577454501</v>
      </c>
      <c r="F1738" s="10">
        <v>1.8796122252561301E-4</v>
      </c>
      <c r="G1738" s="10">
        <v>1.41392480640903E-3</v>
      </c>
      <c r="H1738" s="10" t="s">
        <v>4833</v>
      </c>
      <c r="I1738" s="10" t="s">
        <v>18</v>
      </c>
    </row>
    <row r="1739" spans="1:9" x14ac:dyDescent="0.2">
      <c r="A1739" s="10" t="s">
        <v>4834</v>
      </c>
      <c r="B1739" s="10">
        <v>30.475704649480001</v>
      </c>
      <c r="C1739" s="10">
        <v>2.9436968993367798</v>
      </c>
      <c r="D1739" s="10">
        <v>0.70189570566718695</v>
      </c>
      <c r="E1739" s="10">
        <v>4.1939235068244898</v>
      </c>
      <c r="F1739" s="4">
        <v>2.7417046978215201E-5</v>
      </c>
      <c r="G1739" s="10">
        <v>2.5496333335933599E-4</v>
      </c>
      <c r="H1739" s="10" t="s">
        <v>4835</v>
      </c>
      <c r="I1739" s="10" t="s">
        <v>18</v>
      </c>
    </row>
    <row r="1740" spans="1:9" x14ac:dyDescent="0.2">
      <c r="A1740" s="10" t="s">
        <v>4838</v>
      </c>
      <c r="B1740" s="10">
        <v>3548.2682769561502</v>
      </c>
      <c r="C1740" s="10">
        <v>1.4689938975605401</v>
      </c>
      <c r="D1740" s="10">
        <v>0.26745414248965899</v>
      </c>
      <c r="E1740" s="10">
        <v>5.4925075524576696</v>
      </c>
      <c r="F1740" s="4">
        <v>3.9626659973817502E-8</v>
      </c>
      <c r="G1740" s="4">
        <v>6.32894369296113E-7</v>
      </c>
      <c r="H1740" s="10" t="s">
        <v>4839</v>
      </c>
      <c r="I1740" s="10" t="s">
        <v>18</v>
      </c>
    </row>
    <row r="1741" spans="1:9" x14ac:dyDescent="0.2">
      <c r="A1741" s="10" t="s">
        <v>4842</v>
      </c>
      <c r="B1741" s="10">
        <v>1188.5580463633801</v>
      </c>
      <c r="C1741" s="10">
        <v>1.26554510825691</v>
      </c>
      <c r="D1741" s="10">
        <v>0.25319092454480302</v>
      </c>
      <c r="E1741" s="10">
        <v>4.9983825863117302</v>
      </c>
      <c r="F1741" s="4">
        <v>5.7813192165637503E-7</v>
      </c>
      <c r="G1741" s="4">
        <v>7.5783785770016304E-6</v>
      </c>
      <c r="H1741" s="10" t="s">
        <v>4843</v>
      </c>
      <c r="I1741" s="10" t="s">
        <v>18</v>
      </c>
    </row>
    <row r="1742" spans="1:9" x14ac:dyDescent="0.2">
      <c r="A1742" s="10" t="s">
        <v>4844</v>
      </c>
      <c r="B1742" s="10">
        <v>851.11799062040905</v>
      </c>
      <c r="C1742" s="10">
        <v>7.9066769307250704</v>
      </c>
      <c r="D1742" s="10">
        <v>0.461904479049983</v>
      </c>
      <c r="E1742" s="10">
        <v>17.117558476564401</v>
      </c>
      <c r="F1742" s="4">
        <v>1.09784222664178E-65</v>
      </c>
      <c r="G1742" s="4">
        <v>4.8449510896796603E-63</v>
      </c>
      <c r="H1742" s="10" t="s">
        <v>4845</v>
      </c>
      <c r="I1742" s="10" t="s">
        <v>18</v>
      </c>
    </row>
    <row r="1743" spans="1:9" x14ac:dyDescent="0.2">
      <c r="A1743" s="10" t="s">
        <v>4846</v>
      </c>
      <c r="B1743" s="10">
        <v>27.3154682456892</v>
      </c>
      <c r="C1743" s="10">
        <v>8.2882914681710496</v>
      </c>
      <c r="D1743" s="10">
        <v>1.5829840663099</v>
      </c>
      <c r="E1743" s="10">
        <v>5.2358653789181204</v>
      </c>
      <c r="F1743" s="4">
        <v>1.6421361587781899E-7</v>
      </c>
      <c r="G1743" s="4">
        <v>2.3794893475844098E-6</v>
      </c>
      <c r="H1743" s="10" t="s">
        <v>4847</v>
      </c>
      <c r="I1743" s="10" t="s">
        <v>18</v>
      </c>
    </row>
    <row r="1744" spans="1:9" x14ac:dyDescent="0.2">
      <c r="A1744" s="10" t="s">
        <v>4848</v>
      </c>
      <c r="B1744" s="10">
        <v>90.069416724083993</v>
      </c>
      <c r="C1744" s="10">
        <v>6.5641178010984804</v>
      </c>
      <c r="D1744" s="10">
        <v>0.83708852733182504</v>
      </c>
      <c r="E1744" s="10">
        <v>7.8416052624938697</v>
      </c>
      <c r="F1744" s="4">
        <v>4.4482281434176504E-15</v>
      </c>
      <c r="G1744" s="4">
        <v>1.62638341493708E-13</v>
      </c>
      <c r="H1744" s="10" t="s">
        <v>4849</v>
      </c>
      <c r="I1744" s="10" t="s">
        <v>18</v>
      </c>
    </row>
    <row r="1745" spans="1:9" x14ac:dyDescent="0.2">
      <c r="A1745" s="10" t="s">
        <v>10579</v>
      </c>
      <c r="B1745" s="10">
        <v>101.31964664739399</v>
      </c>
      <c r="C1745" s="10">
        <v>-2.2646410290241299</v>
      </c>
      <c r="D1745" s="10">
        <v>0.44179474327816098</v>
      </c>
      <c r="E1745" s="10">
        <v>-5.1260026595614603</v>
      </c>
      <c r="F1745" s="4">
        <v>2.9595842640787899E-7</v>
      </c>
      <c r="G1745" s="4">
        <v>4.0883219199836398E-6</v>
      </c>
      <c r="H1745" s="10" t="s">
        <v>10580</v>
      </c>
      <c r="I1745" s="10" t="s">
        <v>18</v>
      </c>
    </row>
    <row r="1746" spans="1:9" x14ac:dyDescent="0.2">
      <c r="A1746" s="10" t="s">
        <v>4854</v>
      </c>
      <c r="B1746" s="10">
        <v>771.63000229375598</v>
      </c>
      <c r="C1746" s="10">
        <v>2.8562434976947402</v>
      </c>
      <c r="D1746" s="10">
        <v>0.34613369087421703</v>
      </c>
      <c r="E1746" s="10">
        <v>8.2518505797018307</v>
      </c>
      <c r="F1746" s="4">
        <v>1.5596034740616301E-16</v>
      </c>
      <c r="G1746" s="4">
        <v>6.62699753209802E-15</v>
      </c>
      <c r="H1746" s="10" t="s">
        <v>4855</v>
      </c>
      <c r="I1746" s="10" t="s">
        <v>18</v>
      </c>
    </row>
    <row r="1747" spans="1:9" x14ac:dyDescent="0.2">
      <c r="A1747" s="10" t="s">
        <v>4860</v>
      </c>
      <c r="B1747" s="10">
        <v>67.937752659322399</v>
      </c>
      <c r="C1747" s="10">
        <v>3.2637672531533601</v>
      </c>
      <c r="D1747" s="10">
        <v>0.54541296530974204</v>
      </c>
      <c r="E1747" s="10">
        <v>5.9840294616022902</v>
      </c>
      <c r="F1747" s="4">
        <v>2.1768391321477399E-9</v>
      </c>
      <c r="G1747" s="4">
        <v>4.20118487794892E-8</v>
      </c>
      <c r="H1747" s="10" t="s">
        <v>4861</v>
      </c>
      <c r="I1747" s="10" t="s">
        <v>18</v>
      </c>
    </row>
    <row r="1748" spans="1:9" x14ac:dyDescent="0.2">
      <c r="A1748" s="10" t="s">
        <v>4862</v>
      </c>
      <c r="B1748" s="10">
        <v>1562.8699232793299</v>
      </c>
      <c r="C1748" s="10">
        <v>1.27627020642722</v>
      </c>
      <c r="D1748" s="10">
        <v>0.25766970114590998</v>
      </c>
      <c r="E1748" s="10">
        <v>4.9531248755728203</v>
      </c>
      <c r="F1748" s="4">
        <v>7.3031073803148899E-7</v>
      </c>
      <c r="G1748" s="4">
        <v>9.3969138696583699E-6</v>
      </c>
      <c r="H1748" s="10" t="s">
        <v>4863</v>
      </c>
      <c r="I1748" s="10" t="s">
        <v>18</v>
      </c>
    </row>
    <row r="1749" spans="1:9" x14ac:dyDescent="0.2">
      <c r="A1749" s="10" t="s">
        <v>10581</v>
      </c>
      <c r="B1749" s="10">
        <v>1981.6858434879</v>
      </c>
      <c r="C1749" s="10">
        <v>-1.12890694637759</v>
      </c>
      <c r="D1749" s="10">
        <v>0.28405312254356402</v>
      </c>
      <c r="E1749" s="10">
        <v>-3.974281064995</v>
      </c>
      <c r="F1749" s="4">
        <v>7.0592162295292905E-5</v>
      </c>
      <c r="G1749" s="10">
        <v>5.9749187164808001E-4</v>
      </c>
      <c r="H1749" s="10" t="s">
        <v>10582</v>
      </c>
      <c r="I1749" s="10" t="s">
        <v>18</v>
      </c>
    </row>
    <row r="1750" spans="1:9" x14ac:dyDescent="0.2">
      <c r="A1750" s="10" t="s">
        <v>10583</v>
      </c>
      <c r="B1750" s="10">
        <v>2713.31420705755</v>
      </c>
      <c r="C1750" s="10">
        <v>2.6518030637584098</v>
      </c>
      <c r="D1750" s="10">
        <v>0.26739988679475302</v>
      </c>
      <c r="E1750" s="10">
        <v>9.9169939656475599</v>
      </c>
      <c r="F1750" s="4">
        <v>3.5117326652982697E-23</v>
      </c>
      <c r="G1750" s="4">
        <v>2.35567027188208E-21</v>
      </c>
      <c r="H1750" s="10" t="s">
        <v>10584</v>
      </c>
      <c r="I1750" s="10" t="s">
        <v>18</v>
      </c>
    </row>
    <row r="1751" spans="1:9" x14ac:dyDescent="0.2">
      <c r="A1751" s="10" t="s">
        <v>4874</v>
      </c>
      <c r="B1751" s="10">
        <v>1627.29342564034</v>
      </c>
      <c r="C1751" s="10">
        <v>1.8914402293768899</v>
      </c>
      <c r="D1751" s="10">
        <v>0.257736737124513</v>
      </c>
      <c r="E1751" s="10">
        <v>7.3386520310573102</v>
      </c>
      <c r="F1751" s="4">
        <v>2.1575573742349601E-13</v>
      </c>
      <c r="G1751" s="4">
        <v>6.7672513402593903E-12</v>
      </c>
      <c r="H1751" s="10" t="s">
        <v>4875</v>
      </c>
      <c r="I1751" s="10" t="s">
        <v>18</v>
      </c>
    </row>
    <row r="1752" spans="1:9" x14ac:dyDescent="0.2">
      <c r="A1752" s="10" t="s">
        <v>10585</v>
      </c>
      <c r="B1752" s="10">
        <v>1006.6061794779</v>
      </c>
      <c r="C1752" s="10">
        <v>-1.5918580307089001</v>
      </c>
      <c r="D1752" s="10">
        <v>0.28599778742056098</v>
      </c>
      <c r="E1752" s="10">
        <v>-5.5659802303577699</v>
      </c>
      <c r="F1752" s="4">
        <v>2.6068279946407301E-8</v>
      </c>
      <c r="G1752" s="4">
        <v>4.2971663306151701E-7</v>
      </c>
      <c r="H1752" s="10" t="s">
        <v>10586</v>
      </c>
      <c r="I1752" s="10" t="s">
        <v>18</v>
      </c>
    </row>
    <row r="1753" spans="1:9" x14ac:dyDescent="0.2">
      <c r="A1753" s="10" t="s">
        <v>4884</v>
      </c>
      <c r="B1753" s="10">
        <v>3695.3388248604201</v>
      </c>
      <c r="C1753" s="10">
        <v>-1.7358683337118701</v>
      </c>
      <c r="D1753" s="10">
        <v>0.26347765049843802</v>
      </c>
      <c r="E1753" s="10">
        <v>-6.5882944167295197</v>
      </c>
      <c r="F1753" s="4">
        <v>4.4490774532136501E-11</v>
      </c>
      <c r="G1753" s="4">
        <v>1.0658718412913299E-9</v>
      </c>
      <c r="H1753" s="10" t="s">
        <v>4885</v>
      </c>
      <c r="I1753" s="10" t="s">
        <v>18</v>
      </c>
    </row>
    <row r="1754" spans="1:9" x14ac:dyDescent="0.2">
      <c r="A1754" s="10" t="s">
        <v>10587</v>
      </c>
      <c r="B1754" s="10">
        <v>46.093916693472003</v>
      </c>
      <c r="C1754" s="10">
        <v>-1.53505078361143</v>
      </c>
      <c r="D1754" s="10">
        <v>0.56715656808358195</v>
      </c>
      <c r="E1754" s="10">
        <v>-2.70657322862073</v>
      </c>
      <c r="F1754" s="10">
        <v>6.7981587496478996E-3</v>
      </c>
      <c r="G1754" s="10">
        <v>3.05370863120344E-2</v>
      </c>
      <c r="H1754" s="10" t="s">
        <v>10588</v>
      </c>
      <c r="I1754" s="10" t="s">
        <v>18</v>
      </c>
    </row>
    <row r="1755" spans="1:9" x14ac:dyDescent="0.2">
      <c r="A1755" s="10" t="s">
        <v>4894</v>
      </c>
      <c r="B1755" s="10">
        <v>29.9722866739979</v>
      </c>
      <c r="C1755" s="10">
        <v>3.1186409092229899</v>
      </c>
      <c r="D1755" s="10">
        <v>0.71367479648382004</v>
      </c>
      <c r="E1755" s="10">
        <v>4.3698347266683903</v>
      </c>
      <c r="F1755" s="4">
        <v>1.24340608572909E-5</v>
      </c>
      <c r="G1755" s="10">
        <v>1.24315898595053E-4</v>
      </c>
      <c r="H1755" s="10" t="s">
        <v>4895</v>
      </c>
      <c r="I1755" s="10" t="s">
        <v>18</v>
      </c>
    </row>
    <row r="1756" spans="1:9" x14ac:dyDescent="0.2">
      <c r="A1756" s="10" t="s">
        <v>4908</v>
      </c>
      <c r="B1756" s="10">
        <v>601.03862486842502</v>
      </c>
      <c r="C1756" s="10">
        <v>-2.1088815214916701</v>
      </c>
      <c r="D1756" s="10">
        <v>0.29020565538475501</v>
      </c>
      <c r="E1756" s="10">
        <v>-7.2668519112617496</v>
      </c>
      <c r="F1756" s="4">
        <v>3.6796180519661499E-13</v>
      </c>
      <c r="G1756" s="4">
        <v>1.1205907033560399E-11</v>
      </c>
      <c r="H1756" s="10" t="s">
        <v>4909</v>
      </c>
      <c r="I1756" s="10" t="s">
        <v>18</v>
      </c>
    </row>
    <row r="1757" spans="1:9" x14ac:dyDescent="0.2">
      <c r="A1757" s="10" t="s">
        <v>4910</v>
      </c>
      <c r="B1757" s="10">
        <v>673.20729057097799</v>
      </c>
      <c r="C1757" s="10">
        <v>-2.2368441785422299</v>
      </c>
      <c r="D1757" s="10">
        <v>0.27159508437985802</v>
      </c>
      <c r="E1757" s="10">
        <v>-8.2359523687613301</v>
      </c>
      <c r="F1757" s="4">
        <v>1.7813480261706E-16</v>
      </c>
      <c r="G1757" s="4">
        <v>7.5310604366926995E-15</v>
      </c>
      <c r="H1757" s="10" t="s">
        <v>4911</v>
      </c>
      <c r="I1757" s="10" t="s">
        <v>18</v>
      </c>
    </row>
    <row r="1758" spans="1:9" x14ac:dyDescent="0.2">
      <c r="A1758" s="10" t="s">
        <v>10589</v>
      </c>
      <c r="B1758" s="10">
        <v>1382.92228698087</v>
      </c>
      <c r="C1758" s="10">
        <v>-1.37233874131849</v>
      </c>
      <c r="D1758" s="10">
        <v>0.24565338954111901</v>
      </c>
      <c r="E1758" s="10">
        <v>-5.5864840451907698</v>
      </c>
      <c r="F1758" s="4">
        <v>2.3171282519559799E-8</v>
      </c>
      <c r="G1758" s="4">
        <v>3.8498917554790398E-7</v>
      </c>
      <c r="H1758" s="10" t="s">
        <v>10590</v>
      </c>
      <c r="I1758" s="10" t="s">
        <v>18</v>
      </c>
    </row>
    <row r="1759" spans="1:9" x14ac:dyDescent="0.2">
      <c r="A1759" s="10" t="s">
        <v>4914</v>
      </c>
      <c r="B1759" s="10">
        <v>84.825457005482903</v>
      </c>
      <c r="C1759" s="10">
        <v>-1.17153003118536</v>
      </c>
      <c r="D1759" s="10">
        <v>0.436936131601942</v>
      </c>
      <c r="E1759" s="10">
        <v>-2.68123862151241</v>
      </c>
      <c r="F1759" s="10">
        <v>7.3350191058764403E-3</v>
      </c>
      <c r="G1759" s="10">
        <v>3.2531439060432703E-2</v>
      </c>
      <c r="H1759" s="10" t="s">
        <v>4915</v>
      </c>
      <c r="I1759" s="10" t="s">
        <v>18</v>
      </c>
    </row>
    <row r="1760" spans="1:9" x14ac:dyDescent="0.2">
      <c r="A1760" s="10" t="s">
        <v>4918</v>
      </c>
      <c r="B1760" s="10">
        <v>1102.6008721917401</v>
      </c>
      <c r="C1760" s="10">
        <v>1.2364453163453299</v>
      </c>
      <c r="D1760" s="10">
        <v>0.249980356960841</v>
      </c>
      <c r="E1760" s="10">
        <v>4.9461698966171896</v>
      </c>
      <c r="F1760" s="4">
        <v>7.5687906372829701E-7</v>
      </c>
      <c r="G1760" s="4">
        <v>9.7238472155696193E-6</v>
      </c>
      <c r="H1760" s="10" t="s">
        <v>4919</v>
      </c>
      <c r="I1760" s="10" t="s">
        <v>18</v>
      </c>
    </row>
    <row r="1761" spans="1:9" x14ac:dyDescent="0.2">
      <c r="A1761" s="10" t="s">
        <v>10591</v>
      </c>
      <c r="B1761" s="10">
        <v>71.204895665254099</v>
      </c>
      <c r="C1761" s="10">
        <v>-2.2062289431281701</v>
      </c>
      <c r="D1761" s="10">
        <v>0.46711847359375502</v>
      </c>
      <c r="E1761" s="10">
        <v>-4.7230607818925403</v>
      </c>
      <c r="F1761" s="4">
        <v>2.3232137796894401E-6</v>
      </c>
      <c r="G1761" s="4">
        <v>2.70682920926762E-5</v>
      </c>
      <c r="H1761" s="10" t="s">
        <v>10592</v>
      </c>
      <c r="I1761" s="10" t="s">
        <v>18</v>
      </c>
    </row>
    <row r="1762" spans="1:9" x14ac:dyDescent="0.2">
      <c r="A1762" s="10" t="s">
        <v>10593</v>
      </c>
      <c r="B1762" s="10">
        <v>2108.1263911623801</v>
      </c>
      <c r="C1762" s="10">
        <v>1.06761808374357</v>
      </c>
      <c r="D1762" s="10">
        <v>0.282766062302581</v>
      </c>
      <c r="E1762" s="10">
        <v>3.7756231248187699</v>
      </c>
      <c r="F1762" s="10">
        <v>1.59608160094974E-4</v>
      </c>
      <c r="G1762" s="10">
        <v>1.2249253684322801E-3</v>
      </c>
      <c r="H1762" s="10" t="s">
        <v>10594</v>
      </c>
      <c r="I1762" s="10" t="s">
        <v>18</v>
      </c>
    </row>
    <row r="1763" spans="1:9" x14ac:dyDescent="0.2">
      <c r="A1763" s="10" t="s">
        <v>4930</v>
      </c>
      <c r="B1763" s="10">
        <v>298.42665553111101</v>
      </c>
      <c r="C1763" s="10">
        <v>1.71491729525443</v>
      </c>
      <c r="D1763" s="10">
        <v>0.301254237299168</v>
      </c>
      <c r="E1763" s="10">
        <v>5.6925914491001501</v>
      </c>
      <c r="F1763" s="4">
        <v>1.2512554125805201E-8</v>
      </c>
      <c r="G1763" s="4">
        <v>2.1767171440845799E-7</v>
      </c>
      <c r="H1763" s="10" t="s">
        <v>4931</v>
      </c>
      <c r="I1763" s="10" t="s">
        <v>18</v>
      </c>
    </row>
    <row r="1764" spans="1:9" x14ac:dyDescent="0.2">
      <c r="A1764" s="10" t="s">
        <v>4932</v>
      </c>
      <c r="B1764" s="10">
        <v>29.173925797108399</v>
      </c>
      <c r="C1764" s="10">
        <v>2.0488304316079602</v>
      </c>
      <c r="D1764" s="10">
        <v>0.66675217623921801</v>
      </c>
      <c r="E1764" s="10">
        <v>3.0728515100832299</v>
      </c>
      <c r="F1764" s="10">
        <v>2.1202396120937198E-3</v>
      </c>
      <c r="G1764" s="10">
        <v>1.1506931486994099E-2</v>
      </c>
      <c r="H1764" s="10" t="s">
        <v>4933</v>
      </c>
      <c r="I1764" s="10" t="s">
        <v>18</v>
      </c>
    </row>
    <row r="1765" spans="1:9" x14ac:dyDescent="0.2">
      <c r="A1765" s="10" t="s">
        <v>4934</v>
      </c>
      <c r="B1765" s="10">
        <v>84.099125837237807</v>
      </c>
      <c r="C1765" s="10">
        <v>3.37581907401808</v>
      </c>
      <c r="D1765" s="10">
        <v>0.48029896064212901</v>
      </c>
      <c r="E1765" s="10">
        <v>7.0285787616629998</v>
      </c>
      <c r="F1765" s="4">
        <v>2.0864783596783101E-12</v>
      </c>
      <c r="G1765" s="4">
        <v>5.79840471159965E-11</v>
      </c>
      <c r="H1765" s="10" t="s">
        <v>4935</v>
      </c>
      <c r="I1765" s="10" t="s">
        <v>18</v>
      </c>
    </row>
    <row r="1766" spans="1:9" x14ac:dyDescent="0.2">
      <c r="A1766" s="10" t="s">
        <v>4936</v>
      </c>
      <c r="B1766" s="10">
        <v>134.673527636058</v>
      </c>
      <c r="C1766" s="10">
        <v>4.7143457701398503</v>
      </c>
      <c r="D1766" s="10">
        <v>0.47599504141252502</v>
      </c>
      <c r="E1766" s="10">
        <v>9.9041909263380994</v>
      </c>
      <c r="F1766" s="4">
        <v>3.9918790227460798E-23</v>
      </c>
      <c r="G1766" s="4">
        <v>2.6635468651771198E-21</v>
      </c>
      <c r="H1766" s="10" t="s">
        <v>4937</v>
      </c>
      <c r="I1766" s="10" t="s">
        <v>18</v>
      </c>
    </row>
    <row r="1767" spans="1:9" x14ac:dyDescent="0.2">
      <c r="A1767" s="10" t="s">
        <v>4938</v>
      </c>
      <c r="B1767" s="10">
        <v>311.49960191683999</v>
      </c>
      <c r="C1767" s="10">
        <v>8.7822184590358905</v>
      </c>
      <c r="D1767" s="10">
        <v>0.88921176238451505</v>
      </c>
      <c r="E1767" s="10">
        <v>9.8764083321226401</v>
      </c>
      <c r="F1767" s="4">
        <v>5.2687577276153098E-23</v>
      </c>
      <c r="G1767" s="4">
        <v>3.4514479332854999E-21</v>
      </c>
      <c r="H1767" s="10" t="s">
        <v>4939</v>
      </c>
      <c r="I1767" s="10" t="s">
        <v>18</v>
      </c>
    </row>
    <row r="1768" spans="1:9" x14ac:dyDescent="0.2">
      <c r="A1768" s="10" t="s">
        <v>4940</v>
      </c>
      <c r="B1768" s="10">
        <v>601.42422322484003</v>
      </c>
      <c r="C1768" s="10">
        <v>-1.310363618832</v>
      </c>
      <c r="D1768" s="10">
        <v>0.297251823897908</v>
      </c>
      <c r="E1768" s="10">
        <v>-4.40826098776789</v>
      </c>
      <c r="F1768" s="4">
        <v>1.04203931072285E-5</v>
      </c>
      <c r="G1768" s="10">
        <v>1.06080529588156E-4</v>
      </c>
      <c r="H1768" s="10" t="s">
        <v>4941</v>
      </c>
      <c r="I1768" s="10" t="s">
        <v>18</v>
      </c>
    </row>
    <row r="1769" spans="1:9" x14ac:dyDescent="0.2">
      <c r="A1769" s="10" t="s">
        <v>4942</v>
      </c>
      <c r="B1769" s="10">
        <v>456.09662732603101</v>
      </c>
      <c r="C1769" s="10">
        <v>-1.4225776849636</v>
      </c>
      <c r="D1769" s="10">
        <v>0.35155836546476998</v>
      </c>
      <c r="E1769" s="10">
        <v>-4.0464907813612001</v>
      </c>
      <c r="F1769" s="4">
        <v>5.19911712080756E-5</v>
      </c>
      <c r="G1769" s="10">
        <v>4.5458391092775201E-4</v>
      </c>
      <c r="H1769" s="10" t="s">
        <v>4943</v>
      </c>
      <c r="I1769" s="10" t="s">
        <v>18</v>
      </c>
    </row>
    <row r="1770" spans="1:9" x14ac:dyDescent="0.2">
      <c r="A1770" s="10" t="s">
        <v>10595</v>
      </c>
      <c r="B1770" s="10">
        <v>811.82800674691998</v>
      </c>
      <c r="C1770" s="10">
        <v>1.32846993444659</v>
      </c>
      <c r="D1770" s="10">
        <v>0.26187929026955598</v>
      </c>
      <c r="E1770" s="10">
        <v>5.0728331097857202</v>
      </c>
      <c r="F1770" s="4">
        <v>3.91936215236265E-7</v>
      </c>
      <c r="G1770" s="4">
        <v>5.2977729684407601E-6</v>
      </c>
      <c r="H1770" s="10" t="s">
        <v>10596</v>
      </c>
      <c r="I1770" s="10" t="s">
        <v>18</v>
      </c>
    </row>
    <row r="1771" spans="1:9" x14ac:dyDescent="0.2">
      <c r="A1771" s="10" t="s">
        <v>4944</v>
      </c>
      <c r="B1771" s="10">
        <v>3764.3819181159301</v>
      </c>
      <c r="C1771" s="10">
        <v>1.3436146285030099</v>
      </c>
      <c r="D1771" s="10">
        <v>0.28984113639002901</v>
      </c>
      <c r="E1771" s="10">
        <v>4.6356933499424304</v>
      </c>
      <c r="F1771" s="4">
        <v>3.5574301932828901E-6</v>
      </c>
      <c r="G1771" s="4">
        <v>4.0182827351608098E-5</v>
      </c>
      <c r="H1771" s="10" t="s">
        <v>4945</v>
      </c>
      <c r="I1771" s="10" t="s">
        <v>18</v>
      </c>
    </row>
    <row r="1772" spans="1:9" x14ac:dyDescent="0.2">
      <c r="A1772" s="10" t="s">
        <v>4948</v>
      </c>
      <c r="B1772" s="10">
        <v>2101.28803106023</v>
      </c>
      <c r="C1772" s="10">
        <v>-2.33918551836565</v>
      </c>
      <c r="D1772" s="10">
        <v>0.26720558199437</v>
      </c>
      <c r="E1772" s="10">
        <v>-8.7542539377599606</v>
      </c>
      <c r="F1772" s="4">
        <v>2.0545802834525698E-18</v>
      </c>
      <c r="G1772" s="4">
        <v>9.93903212120181E-17</v>
      </c>
      <c r="H1772" s="10" t="s">
        <v>4949</v>
      </c>
      <c r="I1772" s="10" t="s">
        <v>18</v>
      </c>
    </row>
    <row r="1773" spans="1:9" x14ac:dyDescent="0.2">
      <c r="A1773" s="10" t="s">
        <v>4950</v>
      </c>
      <c r="B1773" s="10">
        <v>4455.2218670945404</v>
      </c>
      <c r="C1773" s="10">
        <v>4.5476402371461297</v>
      </c>
      <c r="D1773" s="10">
        <v>0.27730058700914101</v>
      </c>
      <c r="E1773" s="10">
        <v>16.399677642933401</v>
      </c>
      <c r="F1773" s="4">
        <v>1.9225547977922499E-60</v>
      </c>
      <c r="G1773" s="4">
        <v>7.2181889460394093E-58</v>
      </c>
      <c r="H1773" s="10" t="s">
        <v>4951</v>
      </c>
      <c r="I1773" s="10" t="s">
        <v>18</v>
      </c>
    </row>
    <row r="1774" spans="1:9" x14ac:dyDescent="0.2">
      <c r="A1774" s="10" t="s">
        <v>10597</v>
      </c>
      <c r="B1774" s="10">
        <v>4396.5429637432298</v>
      </c>
      <c r="C1774" s="10">
        <v>-1.0735844847057401</v>
      </c>
      <c r="D1774" s="10">
        <v>0.24178343412263401</v>
      </c>
      <c r="E1774" s="10">
        <v>-4.4402731254169199</v>
      </c>
      <c r="F1774" s="4">
        <v>8.9844777935068606E-6</v>
      </c>
      <c r="G1774" s="4">
        <v>9.3054848636228504E-5</v>
      </c>
      <c r="H1774" s="10" t="s">
        <v>10598</v>
      </c>
      <c r="I1774" s="10" t="s">
        <v>18</v>
      </c>
    </row>
    <row r="1775" spans="1:9" x14ac:dyDescent="0.2">
      <c r="A1775" s="10" t="s">
        <v>4956</v>
      </c>
      <c r="B1775" s="10">
        <v>245.85551860615399</v>
      </c>
      <c r="C1775" s="10">
        <v>-1.6677042597173499</v>
      </c>
      <c r="D1775" s="10">
        <v>0.32101315785429202</v>
      </c>
      <c r="E1775" s="10">
        <v>-5.1951274236376204</v>
      </c>
      <c r="F1775" s="4">
        <v>2.0457966513098599E-7</v>
      </c>
      <c r="G1775" s="4">
        <v>2.9126090982847399E-6</v>
      </c>
      <c r="H1775" s="10" t="s">
        <v>4957</v>
      </c>
      <c r="I1775" s="10" t="s">
        <v>18</v>
      </c>
    </row>
    <row r="1776" spans="1:9" x14ac:dyDescent="0.2">
      <c r="A1776" s="10" t="s">
        <v>4958</v>
      </c>
      <c r="B1776" s="10">
        <v>712.49172086030899</v>
      </c>
      <c r="C1776" s="10">
        <v>-1.2581477292515399</v>
      </c>
      <c r="D1776" s="10">
        <v>0.30936339831530901</v>
      </c>
      <c r="E1776" s="10">
        <v>-4.0668926450349003</v>
      </c>
      <c r="F1776" s="4">
        <v>4.76441779526765E-5</v>
      </c>
      <c r="G1776" s="10">
        <v>4.2022766353421402E-4</v>
      </c>
      <c r="H1776" s="10" t="s">
        <v>4959</v>
      </c>
      <c r="I1776" s="10" t="s">
        <v>18</v>
      </c>
    </row>
    <row r="1777" spans="1:9" x14ac:dyDescent="0.2">
      <c r="A1777" s="10" t="s">
        <v>4964</v>
      </c>
      <c r="B1777" s="10">
        <v>1321.7050004452301</v>
      </c>
      <c r="C1777" s="10">
        <v>-1.0793555482994199</v>
      </c>
      <c r="D1777" s="10">
        <v>0.31270059607476702</v>
      </c>
      <c r="E1777" s="10">
        <v>-3.4517220684841399</v>
      </c>
      <c r="F1777" s="10">
        <v>5.5702117409345698E-4</v>
      </c>
      <c r="G1777" s="10">
        <v>3.6747620336535299E-3</v>
      </c>
      <c r="H1777" s="10" t="s">
        <v>4965</v>
      </c>
      <c r="I1777" s="10" t="s">
        <v>18</v>
      </c>
    </row>
    <row r="1778" spans="1:9" x14ac:dyDescent="0.2">
      <c r="A1778" s="10" t="s">
        <v>10599</v>
      </c>
      <c r="B1778" s="10">
        <v>654.73034638163006</v>
      </c>
      <c r="C1778" s="10">
        <v>-1.6548400622842601</v>
      </c>
      <c r="D1778" s="10">
        <v>0.30415433576253398</v>
      </c>
      <c r="E1778" s="10">
        <v>-5.4407906372121104</v>
      </c>
      <c r="F1778" s="4">
        <v>5.30446239006409E-8</v>
      </c>
      <c r="G1778" s="4">
        <v>8.2878106473330505E-7</v>
      </c>
      <c r="H1778" s="10" t="s">
        <v>10600</v>
      </c>
      <c r="I1778" s="10" t="s">
        <v>18</v>
      </c>
    </row>
    <row r="1779" spans="1:9" x14ac:dyDescent="0.2">
      <c r="A1779" s="10" t="s">
        <v>10601</v>
      </c>
      <c r="B1779" s="10">
        <v>123.65405309866701</v>
      </c>
      <c r="C1779" s="10">
        <v>-1.5662702626025</v>
      </c>
      <c r="D1779" s="10">
        <v>0.46183011848391198</v>
      </c>
      <c r="E1779" s="10">
        <v>-3.3914424371979499</v>
      </c>
      <c r="F1779" s="10">
        <v>6.9525765975567502E-4</v>
      </c>
      <c r="G1779" s="10">
        <v>4.4740870890647199E-3</v>
      </c>
      <c r="H1779" s="10" t="s">
        <v>10602</v>
      </c>
      <c r="I1779" s="10" t="s">
        <v>18</v>
      </c>
    </row>
    <row r="1780" spans="1:9" x14ac:dyDescent="0.2">
      <c r="A1780" s="10" t="s">
        <v>4966</v>
      </c>
      <c r="B1780" s="10">
        <v>914.74892442077498</v>
      </c>
      <c r="C1780" s="10">
        <v>1.0193506452523799</v>
      </c>
      <c r="D1780" s="10">
        <v>0.26294764852059699</v>
      </c>
      <c r="E1780" s="10">
        <v>3.8766296294622902</v>
      </c>
      <c r="F1780" s="10">
        <v>1.05913393170637E-4</v>
      </c>
      <c r="G1780" s="10">
        <v>8.5467227782684899E-4</v>
      </c>
      <c r="H1780" s="10" t="s">
        <v>4967</v>
      </c>
      <c r="I1780" s="10" t="s">
        <v>18</v>
      </c>
    </row>
    <row r="1781" spans="1:9" x14ac:dyDescent="0.2">
      <c r="A1781" s="10" t="s">
        <v>10603</v>
      </c>
      <c r="B1781" s="10">
        <v>399.799960168366</v>
      </c>
      <c r="C1781" s="10">
        <v>1.58258554491606</v>
      </c>
      <c r="D1781" s="10">
        <v>0.36042612436489702</v>
      </c>
      <c r="E1781" s="10">
        <v>4.3908735741747904</v>
      </c>
      <c r="F1781" s="4">
        <v>1.1289617122680501E-5</v>
      </c>
      <c r="G1781" s="10">
        <v>1.13960802054988E-4</v>
      </c>
      <c r="H1781" s="10" t="s">
        <v>10604</v>
      </c>
      <c r="I1781" s="10" t="s">
        <v>18</v>
      </c>
    </row>
    <row r="1782" spans="1:9" x14ac:dyDescent="0.2">
      <c r="A1782" s="10" t="s">
        <v>10605</v>
      </c>
      <c r="B1782" s="10">
        <v>43.576203000088903</v>
      </c>
      <c r="C1782" s="10">
        <v>1.41471593807458</v>
      </c>
      <c r="D1782" s="10">
        <v>0.54513030744726498</v>
      </c>
      <c r="E1782" s="10">
        <v>2.5951885608771401</v>
      </c>
      <c r="F1782" s="10">
        <v>9.4539037743815099E-3</v>
      </c>
      <c r="G1782" s="10">
        <v>4.0334625075401399E-2</v>
      </c>
      <c r="H1782" s="10" t="s">
        <v>10606</v>
      </c>
      <c r="I1782" s="10" t="s">
        <v>18</v>
      </c>
    </row>
    <row r="1783" spans="1:9" x14ac:dyDescent="0.2">
      <c r="A1783" s="10" t="s">
        <v>4972</v>
      </c>
      <c r="B1783" s="10">
        <v>1129.4584033782101</v>
      </c>
      <c r="C1783" s="10">
        <v>-3.79102444668478</v>
      </c>
      <c r="D1783" s="10">
        <v>0.32152448483012602</v>
      </c>
      <c r="E1783" s="10">
        <v>-11.7907799422732</v>
      </c>
      <c r="F1783" s="4">
        <v>4.3548921104784902E-32</v>
      </c>
      <c r="G1783" s="4">
        <v>4.9124354726047703E-30</v>
      </c>
      <c r="H1783" s="10" t="s">
        <v>4973</v>
      </c>
      <c r="I1783" s="10" t="s">
        <v>18</v>
      </c>
    </row>
    <row r="1784" spans="1:9" x14ac:dyDescent="0.2">
      <c r="A1784" s="10" t="s">
        <v>4974</v>
      </c>
      <c r="B1784" s="10">
        <v>1250.5149718202299</v>
      </c>
      <c r="C1784" s="10">
        <v>1.57028742197287</v>
      </c>
      <c r="D1784" s="10">
        <v>0.27032348925919703</v>
      </c>
      <c r="E1784" s="10">
        <v>5.8089196254314901</v>
      </c>
      <c r="F1784" s="4">
        <v>6.2877263843136904E-9</v>
      </c>
      <c r="G1784" s="4">
        <v>1.14531323097329E-7</v>
      </c>
      <c r="H1784" s="10" t="s">
        <v>4975</v>
      </c>
      <c r="I1784" s="10" t="s">
        <v>18</v>
      </c>
    </row>
    <row r="1785" spans="1:9" x14ac:dyDescent="0.2">
      <c r="A1785" s="10" t="s">
        <v>4980</v>
      </c>
      <c r="B1785" s="10">
        <v>14.198689383580801</v>
      </c>
      <c r="C1785" s="10">
        <v>3.49413224267209</v>
      </c>
      <c r="D1785" s="10">
        <v>1.0653682351863001</v>
      </c>
      <c r="E1785" s="10">
        <v>3.2797413394450201</v>
      </c>
      <c r="F1785" s="10">
        <v>1.0390229994340901E-3</v>
      </c>
      <c r="G1785" s="10">
        <v>6.3101457148151997E-3</v>
      </c>
      <c r="H1785" s="10" t="s">
        <v>4981</v>
      </c>
      <c r="I1785" s="10" t="s">
        <v>18</v>
      </c>
    </row>
    <row r="1786" spans="1:9" x14ac:dyDescent="0.2">
      <c r="A1786" s="10" t="s">
        <v>4982</v>
      </c>
      <c r="B1786" s="10">
        <v>909.245924910648</v>
      </c>
      <c r="C1786" s="10">
        <v>-1.66359224899771</v>
      </c>
      <c r="D1786" s="10">
        <v>0.29069720357274298</v>
      </c>
      <c r="E1786" s="10">
        <v>-5.7227666057730602</v>
      </c>
      <c r="F1786" s="4">
        <v>1.0480319659637799E-8</v>
      </c>
      <c r="G1786" s="4">
        <v>1.8410086664677999E-7</v>
      </c>
      <c r="H1786" s="10" t="s">
        <v>4983</v>
      </c>
      <c r="I1786" s="10" t="s">
        <v>18</v>
      </c>
    </row>
    <row r="1787" spans="1:9" x14ac:dyDescent="0.2">
      <c r="A1787" s="10" t="s">
        <v>10607</v>
      </c>
      <c r="B1787" s="10">
        <v>4125.6703616038103</v>
      </c>
      <c r="C1787" s="10">
        <v>2.1925461218156301</v>
      </c>
      <c r="D1787" s="10">
        <v>0.30034459117602802</v>
      </c>
      <c r="E1787" s="10">
        <v>7.3001019037183301</v>
      </c>
      <c r="F1787" s="4">
        <v>2.8754986030890902E-13</v>
      </c>
      <c r="G1787" s="4">
        <v>8.9300206618155698E-12</v>
      </c>
      <c r="H1787" s="10" t="s">
        <v>10608</v>
      </c>
      <c r="I1787" s="10" t="s">
        <v>18</v>
      </c>
    </row>
    <row r="1788" spans="1:9" x14ac:dyDescent="0.2">
      <c r="A1788" s="10" t="s">
        <v>10609</v>
      </c>
      <c r="B1788" s="10">
        <v>2957.6575429592699</v>
      </c>
      <c r="C1788" s="10">
        <v>-1.4216994168808199</v>
      </c>
      <c r="D1788" s="10">
        <v>0.26154747433374298</v>
      </c>
      <c r="E1788" s="10">
        <v>-5.4357222164060603</v>
      </c>
      <c r="F1788" s="4">
        <v>5.4574922071995199E-8</v>
      </c>
      <c r="G1788" s="4">
        <v>8.5057754939345701E-7</v>
      </c>
      <c r="H1788" s="10" t="s">
        <v>10610</v>
      </c>
      <c r="I1788" s="10" t="s">
        <v>18</v>
      </c>
    </row>
    <row r="1789" spans="1:9" x14ac:dyDescent="0.2">
      <c r="A1789" s="10" t="s">
        <v>4998</v>
      </c>
      <c r="B1789" s="10">
        <v>2931.8444212967902</v>
      </c>
      <c r="C1789" s="10">
        <v>3.7621557738232698</v>
      </c>
      <c r="D1789" s="10">
        <v>0.302055327957993</v>
      </c>
      <c r="E1789" s="10">
        <v>12.455187595123199</v>
      </c>
      <c r="F1789" s="4">
        <v>1.3104299153654499E-35</v>
      </c>
      <c r="G1789" s="4">
        <v>1.7258567812051301E-33</v>
      </c>
      <c r="H1789" s="10" t="s">
        <v>4999</v>
      </c>
      <c r="I1789" s="10" t="s">
        <v>18</v>
      </c>
    </row>
    <row r="1790" spans="1:9" x14ac:dyDescent="0.2">
      <c r="A1790" s="10" t="s">
        <v>10611</v>
      </c>
      <c r="B1790" s="10">
        <v>134.30554312690299</v>
      </c>
      <c r="C1790" s="10">
        <v>-1.0937916766648501</v>
      </c>
      <c r="D1790" s="10">
        <v>0.434312282970303</v>
      </c>
      <c r="E1790" s="10">
        <v>-2.5184451823105398</v>
      </c>
      <c r="F1790" s="10">
        <v>1.17874230319751E-2</v>
      </c>
      <c r="G1790" s="10">
        <v>4.8354961899760997E-2</v>
      </c>
      <c r="H1790" s="10" t="s">
        <v>10612</v>
      </c>
      <c r="I1790" s="10" t="s">
        <v>18</v>
      </c>
    </row>
    <row r="1791" spans="1:9" x14ac:dyDescent="0.2">
      <c r="A1791" s="10" t="s">
        <v>10613</v>
      </c>
      <c r="B1791" s="10">
        <v>1442.7655578486699</v>
      </c>
      <c r="C1791" s="10">
        <v>-1.2133271664801899</v>
      </c>
      <c r="D1791" s="10">
        <v>0.26151253650726303</v>
      </c>
      <c r="E1791" s="10">
        <v>-4.6396520131894103</v>
      </c>
      <c r="F1791" s="4">
        <v>3.4899634320867501E-6</v>
      </c>
      <c r="G1791" s="4">
        <v>3.9473934412833797E-5</v>
      </c>
      <c r="H1791" s="10" t="s">
        <v>10614</v>
      </c>
      <c r="I1791" s="10" t="s">
        <v>18</v>
      </c>
    </row>
    <row r="1792" spans="1:9" x14ac:dyDescent="0.2">
      <c r="A1792" s="10" t="s">
        <v>5000</v>
      </c>
      <c r="B1792" s="10">
        <v>13.4477234570187</v>
      </c>
      <c r="C1792" s="10">
        <v>7.2679281797192097</v>
      </c>
      <c r="D1792" s="10">
        <v>1.6865590647390001</v>
      </c>
      <c r="E1792" s="10">
        <v>4.3093232437987199</v>
      </c>
      <c r="F1792" s="4">
        <v>1.6375487651462202E-5</v>
      </c>
      <c r="G1792" s="10">
        <v>1.6003317477565301E-4</v>
      </c>
      <c r="H1792" s="10" t="s">
        <v>5001</v>
      </c>
      <c r="I1792" s="10" t="s">
        <v>18</v>
      </c>
    </row>
    <row r="1793" spans="1:9" x14ac:dyDescent="0.2">
      <c r="A1793" s="10" t="s">
        <v>10615</v>
      </c>
      <c r="B1793" s="10">
        <v>32.834860892103897</v>
      </c>
      <c r="C1793" s="10">
        <v>-6.98097987330378</v>
      </c>
      <c r="D1793" s="10">
        <v>1.5458257639544699</v>
      </c>
      <c r="E1793" s="10">
        <v>-4.5160198749989302</v>
      </c>
      <c r="F1793" s="4">
        <v>6.3012752898100004E-6</v>
      </c>
      <c r="G1793" s="4">
        <v>6.7709773564788802E-5</v>
      </c>
      <c r="H1793" s="10" t="s">
        <v>10616</v>
      </c>
      <c r="I1793" s="10" t="s">
        <v>18</v>
      </c>
    </row>
    <row r="1794" spans="1:9" x14ac:dyDescent="0.2">
      <c r="A1794" s="10" t="s">
        <v>10617</v>
      </c>
      <c r="B1794" s="10">
        <v>150.04411702209899</v>
      </c>
      <c r="C1794" s="10">
        <v>-3.2521289264484401</v>
      </c>
      <c r="D1794" s="10">
        <v>0.41054805677088502</v>
      </c>
      <c r="E1794" s="10">
        <v>-7.92143300355057</v>
      </c>
      <c r="F1794" s="4">
        <v>2.3478875493110401E-15</v>
      </c>
      <c r="G1794" s="4">
        <v>8.8282677582838995E-14</v>
      </c>
      <c r="H1794" s="10" t="s">
        <v>10618</v>
      </c>
      <c r="I1794" s="10" t="s">
        <v>18</v>
      </c>
    </row>
    <row r="1795" spans="1:9" x14ac:dyDescent="0.2">
      <c r="A1795" s="10" t="s">
        <v>10619</v>
      </c>
      <c r="B1795" s="10">
        <v>17.0240489080633</v>
      </c>
      <c r="C1795" s="10">
        <v>-3.07592527829879</v>
      </c>
      <c r="D1795" s="10">
        <v>0.93176241670419702</v>
      </c>
      <c r="E1795" s="10">
        <v>-3.3011905429485502</v>
      </c>
      <c r="F1795" s="10">
        <v>9.62754747720648E-4</v>
      </c>
      <c r="G1795" s="10">
        <v>5.9039726179699898E-3</v>
      </c>
      <c r="H1795" s="10" t="s">
        <v>10620</v>
      </c>
      <c r="I1795" s="10" t="s">
        <v>18</v>
      </c>
    </row>
    <row r="1796" spans="1:9" x14ac:dyDescent="0.2">
      <c r="A1796" s="10" t="s">
        <v>10621</v>
      </c>
      <c r="B1796" s="10">
        <v>2498.2284394564799</v>
      </c>
      <c r="C1796" s="10">
        <v>-1.4467755076309301</v>
      </c>
      <c r="D1796" s="10">
        <v>0.27605114981974999</v>
      </c>
      <c r="E1796" s="10">
        <v>-5.24096896019313</v>
      </c>
      <c r="F1796" s="4">
        <v>1.5973558602924199E-7</v>
      </c>
      <c r="G1796" s="4">
        <v>2.3226292870321301E-6</v>
      </c>
      <c r="H1796" s="10" t="s">
        <v>10622</v>
      </c>
      <c r="I1796" s="10" t="s">
        <v>18</v>
      </c>
    </row>
    <row r="1797" spans="1:9" x14ac:dyDescent="0.2">
      <c r="A1797" s="10" t="s">
        <v>10623</v>
      </c>
      <c r="B1797" s="10">
        <v>757.24281043548899</v>
      </c>
      <c r="C1797" s="10">
        <v>-1.3041608296457901</v>
      </c>
      <c r="D1797" s="10">
        <v>0.26749668301214602</v>
      </c>
      <c r="E1797" s="10">
        <v>-4.8754280425472398</v>
      </c>
      <c r="F1797" s="4">
        <v>1.0857276897381299E-6</v>
      </c>
      <c r="G1797" s="4">
        <v>1.3460561870558199E-5</v>
      </c>
      <c r="H1797" s="10" t="s">
        <v>10624</v>
      </c>
      <c r="I1797" s="10" t="s">
        <v>18</v>
      </c>
    </row>
    <row r="1798" spans="1:9" x14ac:dyDescent="0.2">
      <c r="A1798" s="10" t="s">
        <v>10625</v>
      </c>
      <c r="B1798" s="10">
        <v>26.5377376618816</v>
      </c>
      <c r="C1798" s="10">
        <v>-3.5972523282820701</v>
      </c>
      <c r="D1798" s="10">
        <v>0.84120650379620299</v>
      </c>
      <c r="E1798" s="10">
        <v>-4.2763011365798604</v>
      </c>
      <c r="F1798" s="4">
        <v>1.9002414398010802E-5</v>
      </c>
      <c r="G1798" s="10">
        <v>1.8272390450380801E-4</v>
      </c>
      <c r="H1798" s="10" t="s">
        <v>10626</v>
      </c>
      <c r="I1798" s="10" t="s">
        <v>18</v>
      </c>
    </row>
    <row r="1799" spans="1:9" x14ac:dyDescent="0.2">
      <c r="A1799" s="10" t="s">
        <v>5028</v>
      </c>
      <c r="B1799" s="10">
        <v>2503.8136614662799</v>
      </c>
      <c r="C1799" s="10">
        <v>5.2763931197560696</v>
      </c>
      <c r="D1799" s="10">
        <v>0.273006302347781</v>
      </c>
      <c r="E1799" s="10">
        <v>19.327001151184099</v>
      </c>
      <c r="F1799" s="4">
        <v>3.1839482700522299E-83</v>
      </c>
      <c r="G1799" s="4">
        <v>2.6697406244387899E-80</v>
      </c>
      <c r="H1799" s="10" t="s">
        <v>5029</v>
      </c>
      <c r="I1799" s="10" t="s">
        <v>18</v>
      </c>
    </row>
    <row r="1800" spans="1:9" x14ac:dyDescent="0.2">
      <c r="A1800" s="10" t="s">
        <v>5032</v>
      </c>
      <c r="B1800" s="10">
        <v>99.921206302613797</v>
      </c>
      <c r="C1800" s="10">
        <v>-2.7121229657695798</v>
      </c>
      <c r="D1800" s="10">
        <v>0.46072528390798201</v>
      </c>
      <c r="E1800" s="10">
        <v>-5.8866380042456203</v>
      </c>
      <c r="F1800" s="4">
        <v>3.9413066908419299E-9</v>
      </c>
      <c r="G1800" s="4">
        <v>7.3932565106732902E-8</v>
      </c>
      <c r="H1800" s="10" t="s">
        <v>5033</v>
      </c>
      <c r="I1800" s="10" t="s">
        <v>18</v>
      </c>
    </row>
    <row r="1801" spans="1:9" x14ac:dyDescent="0.2">
      <c r="A1801" s="10" t="s">
        <v>5036</v>
      </c>
      <c r="B1801" s="10">
        <v>154.80050384969601</v>
      </c>
      <c r="C1801" s="10">
        <v>-2.9383141392744898</v>
      </c>
      <c r="D1801" s="10">
        <v>0.388096639742399</v>
      </c>
      <c r="E1801" s="10">
        <v>-7.5710888432964003</v>
      </c>
      <c r="F1801" s="4">
        <v>3.7010881474886298E-14</v>
      </c>
      <c r="G1801" s="4">
        <v>1.2347595802397401E-12</v>
      </c>
      <c r="H1801" s="10" t="s">
        <v>5037</v>
      </c>
      <c r="I1801" s="10" t="s">
        <v>18</v>
      </c>
    </row>
    <row r="1802" spans="1:9" x14ac:dyDescent="0.2">
      <c r="A1802" s="10" t="s">
        <v>5038</v>
      </c>
      <c r="B1802" s="10">
        <v>2624.0509662449599</v>
      </c>
      <c r="C1802" s="10">
        <v>-1.6087693491927599</v>
      </c>
      <c r="D1802" s="10">
        <v>0.28884255173331302</v>
      </c>
      <c r="E1802" s="10">
        <v>-5.5697103475187903</v>
      </c>
      <c r="F1802" s="4">
        <v>2.5516316987930399E-8</v>
      </c>
      <c r="G1802" s="4">
        <v>4.21723359941781E-7</v>
      </c>
      <c r="H1802" s="10" t="s">
        <v>5039</v>
      </c>
      <c r="I1802" s="10" t="s">
        <v>18</v>
      </c>
    </row>
    <row r="1803" spans="1:9" x14ac:dyDescent="0.2">
      <c r="A1803" s="10" t="s">
        <v>5040</v>
      </c>
      <c r="B1803" s="10">
        <v>2100.1370470166999</v>
      </c>
      <c r="C1803" s="10">
        <v>1.2800175020659501</v>
      </c>
      <c r="D1803" s="10">
        <v>0.29358818766521499</v>
      </c>
      <c r="E1803" s="10">
        <v>4.3599080475457797</v>
      </c>
      <c r="F1803" s="4">
        <v>1.30117108881638E-5</v>
      </c>
      <c r="G1803" s="10">
        <v>1.29415816490919E-4</v>
      </c>
      <c r="H1803" s="10" t="s">
        <v>5041</v>
      </c>
      <c r="I1803" s="10" t="s">
        <v>18</v>
      </c>
    </row>
    <row r="1804" spans="1:9" x14ac:dyDescent="0.2">
      <c r="A1804" s="10" t="s">
        <v>10627</v>
      </c>
      <c r="B1804" s="10">
        <v>2702.34243621727</v>
      </c>
      <c r="C1804" s="10">
        <v>1.0150919860494101</v>
      </c>
      <c r="D1804" s="10">
        <v>0.26728171873580198</v>
      </c>
      <c r="E1804" s="10">
        <v>3.7978354481205501</v>
      </c>
      <c r="F1804" s="10">
        <v>1.45965167518798E-4</v>
      </c>
      <c r="G1804" s="10">
        <v>1.1318599842587401E-3</v>
      </c>
      <c r="H1804" s="10" t="s">
        <v>10628</v>
      </c>
      <c r="I1804" s="10" t="s">
        <v>18</v>
      </c>
    </row>
    <row r="1805" spans="1:9" x14ac:dyDescent="0.2">
      <c r="A1805" s="10" t="s">
        <v>5044</v>
      </c>
      <c r="B1805" s="10">
        <v>230.70026312559</v>
      </c>
      <c r="C1805" s="10">
        <v>3.6268754872911901</v>
      </c>
      <c r="D1805" s="10">
        <v>0.38779755310172098</v>
      </c>
      <c r="E1805" s="10">
        <v>9.3524970910268905</v>
      </c>
      <c r="F1805" s="4">
        <v>8.5602415384880203E-21</v>
      </c>
      <c r="G1805" s="4">
        <v>4.8607872663807297E-19</v>
      </c>
      <c r="H1805" s="10" t="s">
        <v>5045</v>
      </c>
      <c r="I1805" s="10" t="s">
        <v>18</v>
      </c>
    </row>
    <row r="1806" spans="1:9" x14ac:dyDescent="0.2">
      <c r="A1806" s="10" t="s">
        <v>5046</v>
      </c>
      <c r="B1806" s="10">
        <v>1788.6077148331799</v>
      </c>
      <c r="C1806" s="10">
        <v>4.18579146029903</v>
      </c>
      <c r="D1806" s="10">
        <v>0.29835830496566901</v>
      </c>
      <c r="E1806" s="10">
        <v>14.0294115854448</v>
      </c>
      <c r="F1806" s="4">
        <v>1.03002633437209E-44</v>
      </c>
      <c r="G1806" s="4">
        <v>2.1413481356305601E-42</v>
      </c>
      <c r="H1806" s="10" t="s">
        <v>5047</v>
      </c>
      <c r="I1806" s="10" t="s">
        <v>18</v>
      </c>
    </row>
    <row r="1807" spans="1:9" x14ac:dyDescent="0.2">
      <c r="A1807" s="10" t="s">
        <v>5048</v>
      </c>
      <c r="B1807" s="10">
        <v>2782.4860810411501</v>
      </c>
      <c r="C1807" s="10">
        <v>2.1623416014488201</v>
      </c>
      <c r="D1807" s="10">
        <v>0.28728548470491799</v>
      </c>
      <c r="E1807" s="10">
        <v>7.5268042298407298</v>
      </c>
      <c r="F1807" s="4">
        <v>5.1997240446829299E-14</v>
      </c>
      <c r="G1807" s="4">
        <v>1.7075595084072999E-12</v>
      </c>
      <c r="H1807" s="10" t="s">
        <v>5049</v>
      </c>
      <c r="I1807" s="10" t="s">
        <v>18</v>
      </c>
    </row>
    <row r="1808" spans="1:9" x14ac:dyDescent="0.2">
      <c r="A1808" s="10" t="s">
        <v>5054</v>
      </c>
      <c r="B1808" s="10">
        <v>3062.9905129577301</v>
      </c>
      <c r="C1808" s="10">
        <v>-1.03149555222283</v>
      </c>
      <c r="D1808" s="10">
        <v>0.29228440216545098</v>
      </c>
      <c r="E1808" s="10">
        <v>-3.5290817593438901</v>
      </c>
      <c r="F1808" s="10">
        <v>4.1700427661336801E-4</v>
      </c>
      <c r="G1808" s="10">
        <v>2.8574618845571402E-3</v>
      </c>
      <c r="H1808" s="10" t="s">
        <v>5055</v>
      </c>
      <c r="I1808" s="10" t="s">
        <v>18</v>
      </c>
    </row>
    <row r="1809" spans="1:9" x14ac:dyDescent="0.2">
      <c r="A1809" s="10" t="s">
        <v>10629</v>
      </c>
      <c r="B1809" s="10">
        <v>1586.7305840613201</v>
      </c>
      <c r="C1809" s="10">
        <v>-1.04937690188351</v>
      </c>
      <c r="D1809" s="10">
        <v>0.30041631629048099</v>
      </c>
      <c r="E1809" s="10">
        <v>-3.4930755920355501</v>
      </c>
      <c r="F1809" s="10">
        <v>4.7749132213511901E-4</v>
      </c>
      <c r="G1809" s="10">
        <v>3.2115759915264499E-3</v>
      </c>
      <c r="H1809" s="10" t="s">
        <v>10630</v>
      </c>
      <c r="I1809" s="10" t="s">
        <v>18</v>
      </c>
    </row>
    <row r="1810" spans="1:9" x14ac:dyDescent="0.2">
      <c r="A1810" s="10" t="s">
        <v>10631</v>
      </c>
      <c r="B1810" s="10">
        <v>817.74698805264404</v>
      </c>
      <c r="C1810" s="10">
        <v>1.5700005505880399</v>
      </c>
      <c r="D1810" s="10">
        <v>0.306806501093837</v>
      </c>
      <c r="E1810" s="10">
        <v>5.1172336472357003</v>
      </c>
      <c r="F1810" s="4">
        <v>3.1004944998729802E-7</v>
      </c>
      <c r="G1810" s="4">
        <v>4.25725650351008E-6</v>
      </c>
      <c r="H1810" s="10" t="s">
        <v>10632</v>
      </c>
      <c r="I1810" s="10" t="s">
        <v>18</v>
      </c>
    </row>
    <row r="1811" spans="1:9" x14ac:dyDescent="0.2">
      <c r="A1811" s="10" t="s">
        <v>5056</v>
      </c>
      <c r="B1811" s="10">
        <v>119.238003475182</v>
      </c>
      <c r="C1811" s="10">
        <v>7.9804359281597197</v>
      </c>
      <c r="D1811" s="10">
        <v>1.0930837562722699</v>
      </c>
      <c r="E1811" s="10">
        <v>7.3008457790785197</v>
      </c>
      <c r="F1811" s="4">
        <v>2.8596437582330899E-13</v>
      </c>
      <c r="G1811" s="4">
        <v>8.9027646953407592E-12</v>
      </c>
      <c r="H1811" s="10" t="s">
        <v>5057</v>
      </c>
      <c r="I1811" s="10" t="s">
        <v>18</v>
      </c>
    </row>
    <row r="1812" spans="1:9" x14ac:dyDescent="0.2">
      <c r="A1812" s="10" t="s">
        <v>5058</v>
      </c>
      <c r="B1812" s="10">
        <v>181.07380261389099</v>
      </c>
      <c r="C1812" s="10">
        <v>5.07922994156222</v>
      </c>
      <c r="D1812" s="10">
        <v>0.99414729052010098</v>
      </c>
      <c r="E1812" s="10">
        <v>5.1091322080704504</v>
      </c>
      <c r="F1812" s="4">
        <v>3.2364183706792802E-7</v>
      </c>
      <c r="G1812" s="4">
        <v>4.4245708757846399E-6</v>
      </c>
      <c r="H1812" s="10" t="s">
        <v>5059</v>
      </c>
      <c r="I1812" s="10" t="s">
        <v>18</v>
      </c>
    </row>
    <row r="1813" spans="1:9" x14ac:dyDescent="0.2">
      <c r="A1813" s="10" t="s">
        <v>5060</v>
      </c>
      <c r="B1813" s="10">
        <v>369.48539107908999</v>
      </c>
      <c r="C1813" s="10">
        <v>-1.54566150318197</v>
      </c>
      <c r="D1813" s="10">
        <v>0.30940519352971402</v>
      </c>
      <c r="E1813" s="10">
        <v>-4.9955900401960402</v>
      </c>
      <c r="F1813" s="4">
        <v>5.8656148229908803E-7</v>
      </c>
      <c r="G1813" s="4">
        <v>7.6848719204341498E-6</v>
      </c>
      <c r="H1813" s="10" t="s">
        <v>5061</v>
      </c>
      <c r="I1813" s="10" t="s">
        <v>18</v>
      </c>
    </row>
    <row r="1814" spans="1:9" x14ac:dyDescent="0.2">
      <c r="A1814" s="10" t="s">
        <v>5062</v>
      </c>
      <c r="B1814" s="10">
        <v>1110.8855661258799</v>
      </c>
      <c r="C1814" s="10">
        <v>1.98975526736843</v>
      </c>
      <c r="D1814" s="10">
        <v>0.28617175798603001</v>
      </c>
      <c r="E1814" s="10">
        <v>6.9530106023444898</v>
      </c>
      <c r="F1814" s="4">
        <v>3.5757180447254098E-12</v>
      </c>
      <c r="G1814" s="4">
        <v>9.7135191592945497E-11</v>
      </c>
      <c r="H1814" s="10" t="s">
        <v>5063</v>
      </c>
      <c r="I1814" s="10" t="s">
        <v>18</v>
      </c>
    </row>
    <row r="1815" spans="1:9" x14ac:dyDescent="0.2">
      <c r="A1815" s="10" t="s">
        <v>10633</v>
      </c>
      <c r="B1815" s="10">
        <v>46.948443165982901</v>
      </c>
      <c r="C1815" s="10">
        <v>-1.45953508407794</v>
      </c>
      <c r="D1815" s="10">
        <v>0.53611679699328796</v>
      </c>
      <c r="E1815" s="10">
        <v>-2.7224199880762399</v>
      </c>
      <c r="F1815" s="10">
        <v>6.4805724248709097E-3</v>
      </c>
      <c r="G1815" s="10">
        <v>2.9325202257173499E-2</v>
      </c>
      <c r="H1815" s="10" t="s">
        <v>10634</v>
      </c>
      <c r="I1815" s="10" t="s">
        <v>18</v>
      </c>
    </row>
    <row r="1816" spans="1:9" x14ac:dyDescent="0.2">
      <c r="A1816" s="10" t="s">
        <v>5066</v>
      </c>
      <c r="B1816" s="10">
        <v>200.34340880896801</v>
      </c>
      <c r="C1816" s="10">
        <v>-3.6473065375067599</v>
      </c>
      <c r="D1816" s="10">
        <v>0.420429321300125</v>
      </c>
      <c r="E1816" s="10">
        <v>-8.67519545551181</v>
      </c>
      <c r="F1816" s="4">
        <v>4.1284079044946797E-18</v>
      </c>
      <c r="G1816" s="4">
        <v>1.9484071451700499E-16</v>
      </c>
      <c r="H1816" s="10" t="s">
        <v>5067</v>
      </c>
      <c r="I1816" s="10" t="s">
        <v>18</v>
      </c>
    </row>
    <row r="1817" spans="1:9" x14ac:dyDescent="0.2">
      <c r="A1817" s="10" t="s">
        <v>10635</v>
      </c>
      <c r="B1817" s="10">
        <v>2613.29104088038</v>
      </c>
      <c r="C1817" s="10">
        <v>-1.1361213131979699</v>
      </c>
      <c r="D1817" s="10">
        <v>0.28153409874743501</v>
      </c>
      <c r="E1817" s="10">
        <v>-4.0354661060690296</v>
      </c>
      <c r="F1817" s="4">
        <v>5.4494006323983001E-5</v>
      </c>
      <c r="G1817" s="10">
        <v>4.7432412770927001E-4</v>
      </c>
      <c r="H1817" s="10" t="s">
        <v>10636</v>
      </c>
      <c r="I1817" s="10" t="s">
        <v>18</v>
      </c>
    </row>
    <row r="1818" spans="1:9" x14ac:dyDescent="0.2">
      <c r="A1818" s="10" t="s">
        <v>5072</v>
      </c>
      <c r="B1818" s="10">
        <v>161.513551738003</v>
      </c>
      <c r="C1818" s="10">
        <v>1.6223870592560501</v>
      </c>
      <c r="D1818" s="10">
        <v>0.35800796340264102</v>
      </c>
      <c r="E1818" s="10">
        <v>4.5317066241663397</v>
      </c>
      <c r="F1818" s="4">
        <v>5.8509069512419902E-6</v>
      </c>
      <c r="G1818" s="4">
        <v>6.3357539543044394E-5</v>
      </c>
      <c r="H1818" s="10" t="s">
        <v>5073</v>
      </c>
      <c r="I1818" s="10" t="s">
        <v>18</v>
      </c>
    </row>
    <row r="1819" spans="1:9" x14ac:dyDescent="0.2">
      <c r="A1819" s="10" t="s">
        <v>10637</v>
      </c>
      <c r="B1819" s="10">
        <v>607.66245236997804</v>
      </c>
      <c r="C1819" s="10">
        <v>1.00032530879552</v>
      </c>
      <c r="D1819" s="10">
        <v>0.28711630677987698</v>
      </c>
      <c r="E1819" s="10">
        <v>3.4840421291795298</v>
      </c>
      <c r="F1819" s="10">
        <v>4.9390173757587303E-4</v>
      </c>
      <c r="G1819" s="10">
        <v>3.3069199384405299E-3</v>
      </c>
      <c r="H1819" s="10" t="s">
        <v>10638</v>
      </c>
      <c r="I1819" s="10" t="s">
        <v>18</v>
      </c>
    </row>
    <row r="1820" spans="1:9" x14ac:dyDescent="0.2">
      <c r="A1820" s="10" t="s">
        <v>10639</v>
      </c>
      <c r="B1820" s="10">
        <v>63.244701625667602</v>
      </c>
      <c r="C1820" s="10">
        <v>-1.2387931330461399</v>
      </c>
      <c r="D1820" s="10">
        <v>0.47131840199637598</v>
      </c>
      <c r="E1820" s="10">
        <v>-2.6283572374830899</v>
      </c>
      <c r="F1820" s="10">
        <v>8.5798360470634195E-3</v>
      </c>
      <c r="G1820" s="10">
        <v>3.7204926006529998E-2</v>
      </c>
      <c r="H1820" s="10" t="s">
        <v>10640</v>
      </c>
      <c r="I1820" s="10" t="s">
        <v>18</v>
      </c>
    </row>
    <row r="1821" spans="1:9" x14ac:dyDescent="0.2">
      <c r="A1821" s="10" t="s">
        <v>5076</v>
      </c>
      <c r="B1821" s="10">
        <v>70.643953127609706</v>
      </c>
      <c r="C1821" s="10">
        <v>1.2048571745279899</v>
      </c>
      <c r="D1821" s="10">
        <v>0.474024881228503</v>
      </c>
      <c r="E1821" s="10">
        <v>2.5417593511239902</v>
      </c>
      <c r="F1821" s="10">
        <v>1.1029608412814799E-2</v>
      </c>
      <c r="G1821" s="10">
        <v>4.5791351646205201E-2</v>
      </c>
      <c r="H1821" s="10" t="s">
        <v>5077</v>
      </c>
      <c r="I1821" s="10" t="s">
        <v>18</v>
      </c>
    </row>
    <row r="1822" spans="1:9" x14ac:dyDescent="0.2">
      <c r="A1822" s="10" t="s">
        <v>5078</v>
      </c>
      <c r="B1822" s="10">
        <v>604.92814645835097</v>
      </c>
      <c r="C1822" s="10">
        <v>3.7603108107183898</v>
      </c>
      <c r="D1822" s="10">
        <v>0.31393765810621899</v>
      </c>
      <c r="E1822" s="10">
        <v>11.977890239106401</v>
      </c>
      <c r="F1822" s="4">
        <v>4.6398142165652497E-33</v>
      </c>
      <c r="G1822" s="4">
        <v>5.3538773677843596E-31</v>
      </c>
      <c r="H1822" s="10" t="s">
        <v>5079</v>
      </c>
      <c r="I1822" s="10" t="s">
        <v>18</v>
      </c>
    </row>
    <row r="1823" spans="1:9" x14ac:dyDescent="0.2">
      <c r="A1823" s="10" t="s">
        <v>5080</v>
      </c>
      <c r="B1823" s="10">
        <v>127.383675916868</v>
      </c>
      <c r="C1823" s="10">
        <v>1.2698970966346099</v>
      </c>
      <c r="D1823" s="10">
        <v>0.41256360432337302</v>
      </c>
      <c r="E1823" s="10">
        <v>3.07806380234948</v>
      </c>
      <c r="F1823" s="10">
        <v>2.08350301930581E-3</v>
      </c>
      <c r="G1823" s="10">
        <v>1.1346724063788199E-2</v>
      </c>
      <c r="H1823" s="10" t="s">
        <v>5081</v>
      </c>
      <c r="I1823" s="10" t="s">
        <v>18</v>
      </c>
    </row>
    <row r="1824" spans="1:9" x14ac:dyDescent="0.2">
      <c r="A1824" s="10" t="s">
        <v>10641</v>
      </c>
      <c r="B1824" s="10">
        <v>28.964044146204301</v>
      </c>
      <c r="C1824" s="10">
        <v>1.8274186507349299</v>
      </c>
      <c r="D1824" s="10">
        <v>0.65992439849334505</v>
      </c>
      <c r="E1824" s="10">
        <v>2.7691333354351801</v>
      </c>
      <c r="F1824" s="10">
        <v>5.6205628266287298E-3</v>
      </c>
      <c r="G1824" s="10">
        <v>2.60666035958417E-2</v>
      </c>
      <c r="H1824" s="10" t="s">
        <v>10642</v>
      </c>
      <c r="I1824" s="10" t="s">
        <v>18</v>
      </c>
    </row>
    <row r="1825" spans="1:9" x14ac:dyDescent="0.2">
      <c r="A1825" s="10" t="s">
        <v>5084</v>
      </c>
      <c r="B1825" s="10">
        <v>119.381250106595</v>
      </c>
      <c r="C1825" s="10">
        <v>-2.1144191736166502</v>
      </c>
      <c r="D1825" s="10">
        <v>0.406688948390795</v>
      </c>
      <c r="E1825" s="10">
        <v>-5.1991065456366101</v>
      </c>
      <c r="F1825" s="4">
        <v>2.0024872308725499E-7</v>
      </c>
      <c r="G1825" s="4">
        <v>2.8572073903913202E-6</v>
      </c>
      <c r="H1825" s="10" t="s">
        <v>5085</v>
      </c>
      <c r="I1825" s="10" t="s">
        <v>18</v>
      </c>
    </row>
    <row r="1826" spans="1:9" x14ac:dyDescent="0.2">
      <c r="A1826" s="10" t="s">
        <v>5086</v>
      </c>
      <c r="B1826" s="10">
        <v>1138.82205021868</v>
      </c>
      <c r="C1826" s="10">
        <v>1.6597584487835</v>
      </c>
      <c r="D1826" s="10">
        <v>0.298496464914492</v>
      </c>
      <c r="E1826" s="10">
        <v>5.56039566250461</v>
      </c>
      <c r="F1826" s="4">
        <v>2.69163730243735E-8</v>
      </c>
      <c r="G1826" s="4">
        <v>4.4253683884190602E-7</v>
      </c>
      <c r="H1826" s="10" t="s">
        <v>5087</v>
      </c>
      <c r="I1826" s="10" t="s">
        <v>18</v>
      </c>
    </row>
    <row r="1827" spans="1:9" x14ac:dyDescent="0.2">
      <c r="A1827" s="10" t="s">
        <v>5090</v>
      </c>
      <c r="B1827" s="10">
        <v>2306.81978823382</v>
      </c>
      <c r="C1827" s="10">
        <v>3.3772030673353202</v>
      </c>
      <c r="D1827" s="10">
        <v>0.26342787931859302</v>
      </c>
      <c r="E1827" s="10">
        <v>12.8202188624496</v>
      </c>
      <c r="F1827" s="4">
        <v>1.26343389575416E-37</v>
      </c>
      <c r="G1827" s="4">
        <v>1.8477720725404599E-35</v>
      </c>
      <c r="H1827" s="10" t="s">
        <v>5091</v>
      </c>
      <c r="I1827" s="10" t="s">
        <v>18</v>
      </c>
    </row>
    <row r="1828" spans="1:9" x14ac:dyDescent="0.2">
      <c r="A1828" s="10" t="s">
        <v>5092</v>
      </c>
      <c r="B1828" s="10">
        <v>1562.1578809561399</v>
      </c>
      <c r="C1828" s="10">
        <v>2.6721211832370502</v>
      </c>
      <c r="D1828" s="10">
        <v>0.27351027619170898</v>
      </c>
      <c r="E1828" s="10">
        <v>9.7697286567913597</v>
      </c>
      <c r="F1828" s="4">
        <v>1.5185823538890799E-22</v>
      </c>
      <c r="G1828" s="4">
        <v>9.6221509098437797E-21</v>
      </c>
      <c r="H1828" s="10" t="s">
        <v>5093</v>
      </c>
      <c r="I1828" s="10" t="s">
        <v>18</v>
      </c>
    </row>
    <row r="1829" spans="1:9" x14ac:dyDescent="0.2">
      <c r="A1829" s="10" t="s">
        <v>5094</v>
      </c>
      <c r="B1829" s="10">
        <v>913.78012700800502</v>
      </c>
      <c r="C1829" s="10">
        <v>4.63379561062193</v>
      </c>
      <c r="D1829" s="10">
        <v>0.28529559922233899</v>
      </c>
      <c r="E1829" s="10">
        <v>16.242085833965799</v>
      </c>
      <c r="F1829" s="4">
        <v>2.5413408760424499E-59</v>
      </c>
      <c r="G1829" s="4">
        <v>8.7571821557325805E-57</v>
      </c>
      <c r="H1829" s="10" t="s">
        <v>5095</v>
      </c>
      <c r="I1829" s="10" t="s">
        <v>18</v>
      </c>
    </row>
    <row r="1830" spans="1:9" x14ac:dyDescent="0.2">
      <c r="A1830" s="10" t="s">
        <v>10643</v>
      </c>
      <c r="B1830" s="10">
        <v>1123.0219275627701</v>
      </c>
      <c r="C1830" s="10">
        <v>1.0153420871810599</v>
      </c>
      <c r="D1830" s="10">
        <v>0.259954379353734</v>
      </c>
      <c r="E1830" s="10">
        <v>3.9058472094422099</v>
      </c>
      <c r="F1830" s="4">
        <v>9.3895829353508796E-5</v>
      </c>
      <c r="G1830" s="10">
        <v>7.6786397509346997E-4</v>
      </c>
      <c r="H1830" s="10" t="s">
        <v>10644</v>
      </c>
      <c r="I1830" s="10" t="s">
        <v>18</v>
      </c>
    </row>
    <row r="1831" spans="1:9" x14ac:dyDescent="0.2">
      <c r="A1831" s="10" t="s">
        <v>5098</v>
      </c>
      <c r="B1831" s="10">
        <v>10.0481292185166</v>
      </c>
      <c r="C1831" s="10">
        <v>-5.2513682359136702</v>
      </c>
      <c r="D1831" s="10">
        <v>1.7288251542847299</v>
      </c>
      <c r="E1831" s="10">
        <v>-3.0375357640410598</v>
      </c>
      <c r="F1831" s="10">
        <v>2.3852109893818499E-3</v>
      </c>
      <c r="G1831" s="10">
        <v>1.27145544475313E-2</v>
      </c>
      <c r="H1831" s="10" t="s">
        <v>5099</v>
      </c>
      <c r="I1831" s="10" t="s">
        <v>18</v>
      </c>
    </row>
    <row r="1832" spans="1:9" x14ac:dyDescent="0.2">
      <c r="A1832" s="10" t="s">
        <v>10645</v>
      </c>
      <c r="B1832" s="10">
        <v>4718.2876887932598</v>
      </c>
      <c r="C1832" s="10">
        <v>1.2624181377377499</v>
      </c>
      <c r="D1832" s="10">
        <v>0.28587969710370198</v>
      </c>
      <c r="E1832" s="10">
        <v>4.4159069375248796</v>
      </c>
      <c r="F1832" s="4">
        <v>1.00587355448427E-5</v>
      </c>
      <c r="G1832" s="10">
        <v>1.0285670432134799E-4</v>
      </c>
      <c r="H1832" s="10" t="s">
        <v>10646</v>
      </c>
      <c r="I1832" s="10" t="s">
        <v>18</v>
      </c>
    </row>
    <row r="1833" spans="1:9" x14ac:dyDescent="0.2">
      <c r="A1833" s="10" t="s">
        <v>5100</v>
      </c>
      <c r="B1833" s="10">
        <v>2080.6147133210302</v>
      </c>
      <c r="C1833" s="10">
        <v>-1.5130892978011099</v>
      </c>
      <c r="D1833" s="10">
        <v>0.28337618199285403</v>
      </c>
      <c r="E1833" s="10">
        <v>-5.3395076719583496</v>
      </c>
      <c r="F1833" s="4">
        <v>9.3199326036542303E-8</v>
      </c>
      <c r="G1833" s="4">
        <v>1.4021704823260901E-6</v>
      </c>
      <c r="H1833" s="10" t="s">
        <v>5101</v>
      </c>
      <c r="I1833" s="10" t="s">
        <v>18</v>
      </c>
    </row>
    <row r="1834" spans="1:9" x14ac:dyDescent="0.2">
      <c r="A1834" s="10" t="s">
        <v>5102</v>
      </c>
      <c r="B1834" s="10">
        <v>7438.17468508616</v>
      </c>
      <c r="C1834" s="10">
        <v>2.7613144209774099</v>
      </c>
      <c r="D1834" s="10">
        <v>0.28559738480574898</v>
      </c>
      <c r="E1834" s="10">
        <v>9.6685563940143702</v>
      </c>
      <c r="F1834" s="4">
        <v>4.1012220347838701E-22</v>
      </c>
      <c r="G1834" s="4">
        <v>2.54104040110809E-20</v>
      </c>
      <c r="H1834" s="10" t="s">
        <v>5103</v>
      </c>
      <c r="I1834" s="10" t="s">
        <v>18</v>
      </c>
    </row>
    <row r="1835" spans="1:9" x14ac:dyDescent="0.2">
      <c r="A1835" s="10" t="s">
        <v>5104</v>
      </c>
      <c r="B1835" s="10">
        <v>495.35981902201701</v>
      </c>
      <c r="C1835" s="10">
        <v>-1.40953928050476</v>
      </c>
      <c r="D1835" s="10">
        <v>0.30294615917603301</v>
      </c>
      <c r="E1835" s="10">
        <v>-4.6527715827079303</v>
      </c>
      <c r="F1835" s="4">
        <v>3.2750296944362202E-6</v>
      </c>
      <c r="G1835" s="4">
        <v>3.7193395920335499E-5</v>
      </c>
      <c r="H1835" s="10" t="s">
        <v>5105</v>
      </c>
      <c r="I1835" s="10" t="s">
        <v>18</v>
      </c>
    </row>
    <row r="1836" spans="1:9" x14ac:dyDescent="0.2">
      <c r="A1836" s="10" t="s">
        <v>5108</v>
      </c>
      <c r="B1836" s="10">
        <v>124.379233617567</v>
      </c>
      <c r="C1836" s="10">
        <v>2.1660306937832301</v>
      </c>
      <c r="D1836" s="10">
        <v>0.381389741578394</v>
      </c>
      <c r="E1836" s="10">
        <v>5.6793103160536997</v>
      </c>
      <c r="F1836" s="4">
        <v>1.35238931244258E-8</v>
      </c>
      <c r="G1836" s="4">
        <v>2.3429306580229401E-7</v>
      </c>
      <c r="H1836" s="10" t="s">
        <v>5109</v>
      </c>
      <c r="I1836" s="10" t="s">
        <v>18</v>
      </c>
    </row>
    <row r="1837" spans="1:9" x14ac:dyDescent="0.2">
      <c r="A1837" s="10" t="s">
        <v>5110</v>
      </c>
      <c r="B1837" s="10">
        <v>3377.3509492574099</v>
      </c>
      <c r="C1837" s="10">
        <v>3.0453730167080399</v>
      </c>
      <c r="D1837" s="10">
        <v>0.27122088725961402</v>
      </c>
      <c r="E1837" s="10">
        <v>11.2283867495537</v>
      </c>
      <c r="F1837" s="4">
        <v>2.9583051242131099E-29</v>
      </c>
      <c r="G1837" s="4">
        <v>2.8621602076761901E-27</v>
      </c>
      <c r="H1837" s="10" t="s">
        <v>5111</v>
      </c>
      <c r="I1837" s="10" t="s">
        <v>18</v>
      </c>
    </row>
    <row r="1838" spans="1:9" x14ac:dyDescent="0.2">
      <c r="A1838" s="10" t="s">
        <v>10647</v>
      </c>
      <c r="B1838" s="10">
        <v>3320.1104729860599</v>
      </c>
      <c r="C1838" s="10">
        <v>1.03979247687051</v>
      </c>
      <c r="D1838" s="10">
        <v>0.23788920833295299</v>
      </c>
      <c r="E1838" s="10">
        <v>4.3709106611309796</v>
      </c>
      <c r="F1838" s="4">
        <v>1.23729413619422E-5</v>
      </c>
      <c r="G1838" s="10">
        <v>1.2380323785189201E-4</v>
      </c>
      <c r="H1838" s="10" t="s">
        <v>10648</v>
      </c>
      <c r="I1838" s="10" t="s">
        <v>18</v>
      </c>
    </row>
    <row r="1839" spans="1:9" x14ac:dyDescent="0.2">
      <c r="A1839" s="10" t="s">
        <v>5112</v>
      </c>
      <c r="B1839" s="10">
        <v>753.39052929107095</v>
      </c>
      <c r="C1839" s="10">
        <v>2.81394852366929</v>
      </c>
      <c r="D1839" s="10">
        <v>0.28869653727431899</v>
      </c>
      <c r="E1839" s="10">
        <v>9.7470809668751794</v>
      </c>
      <c r="F1839" s="4">
        <v>1.8984865933651599E-22</v>
      </c>
      <c r="G1839" s="4">
        <v>1.19391075640252E-20</v>
      </c>
      <c r="H1839" s="10" t="s">
        <v>5113</v>
      </c>
      <c r="I1839" s="10" t="s">
        <v>18</v>
      </c>
    </row>
    <row r="1840" spans="1:9" x14ac:dyDescent="0.2">
      <c r="A1840" s="10" t="s">
        <v>10649</v>
      </c>
      <c r="B1840" s="10">
        <v>107.851996091912</v>
      </c>
      <c r="C1840" s="10">
        <v>-1.36022660134326</v>
      </c>
      <c r="D1840" s="10">
        <v>0.422043176858378</v>
      </c>
      <c r="E1840" s="10">
        <v>-3.2229560289744899</v>
      </c>
      <c r="F1840" s="10">
        <v>1.2687502841332401E-3</v>
      </c>
      <c r="G1840" s="10">
        <v>7.4813439750050599E-3</v>
      </c>
      <c r="H1840" s="10" t="s">
        <v>10650</v>
      </c>
      <c r="I1840" s="10" t="s">
        <v>18</v>
      </c>
    </row>
    <row r="1841" spans="1:9" x14ac:dyDescent="0.2">
      <c r="A1841" s="10" t="s">
        <v>10651</v>
      </c>
      <c r="B1841" s="10">
        <v>868.87720977817401</v>
      </c>
      <c r="C1841" s="10">
        <v>-1.17348469536471</v>
      </c>
      <c r="D1841" s="10">
        <v>0.33227132838620399</v>
      </c>
      <c r="E1841" s="10">
        <v>-3.5317061543172099</v>
      </c>
      <c r="F1841" s="10">
        <v>4.1288788542625003E-4</v>
      </c>
      <c r="G1841" s="10">
        <v>2.8307971539649301E-3</v>
      </c>
      <c r="H1841" s="10" t="s">
        <v>10652</v>
      </c>
      <c r="I1841" s="10" t="s">
        <v>18</v>
      </c>
    </row>
    <row r="1842" spans="1:9" x14ac:dyDescent="0.2">
      <c r="A1842" s="10" t="s">
        <v>10653</v>
      </c>
      <c r="B1842" s="10">
        <v>3124.7926893194899</v>
      </c>
      <c r="C1842" s="10">
        <v>1.33360957585269</v>
      </c>
      <c r="D1842" s="10">
        <v>0.25331385775904203</v>
      </c>
      <c r="E1842" s="10">
        <v>5.2646530578727804</v>
      </c>
      <c r="F1842" s="4">
        <v>1.4045434377962699E-7</v>
      </c>
      <c r="G1842" s="4">
        <v>2.0661573203371399E-6</v>
      </c>
      <c r="H1842" s="10" t="s">
        <v>10654</v>
      </c>
      <c r="I1842" s="10" t="s">
        <v>18</v>
      </c>
    </row>
    <row r="1843" spans="1:9" x14ac:dyDescent="0.2">
      <c r="A1843" s="10" t="s">
        <v>5114</v>
      </c>
      <c r="B1843" s="10">
        <v>2053.0179318079299</v>
      </c>
      <c r="C1843" s="10">
        <v>-2.22974269974983</v>
      </c>
      <c r="D1843" s="10">
        <v>0.25689662850120099</v>
      </c>
      <c r="E1843" s="10">
        <v>-8.6795327473105104</v>
      </c>
      <c r="F1843" s="4">
        <v>3.97398038965951E-18</v>
      </c>
      <c r="G1843" s="4">
        <v>1.8790503139452101E-16</v>
      </c>
      <c r="H1843" s="10" t="s">
        <v>5115</v>
      </c>
      <c r="I1843" s="10" t="s">
        <v>18</v>
      </c>
    </row>
    <row r="1844" spans="1:9" x14ac:dyDescent="0.2">
      <c r="A1844" s="10" t="s">
        <v>5116</v>
      </c>
      <c r="B1844" s="10">
        <v>2742.2247952010298</v>
      </c>
      <c r="C1844" s="10">
        <v>1.0815796199832699</v>
      </c>
      <c r="D1844" s="10">
        <v>0.31272279155382798</v>
      </c>
      <c r="E1844" s="10">
        <v>3.4585890417811198</v>
      </c>
      <c r="F1844" s="10">
        <v>5.4301274952707696E-4</v>
      </c>
      <c r="G1844" s="10">
        <v>3.5955477005405702E-3</v>
      </c>
      <c r="H1844" s="10" t="s">
        <v>5117</v>
      </c>
      <c r="I1844" s="10" t="s">
        <v>18</v>
      </c>
    </row>
    <row r="1845" spans="1:9" x14ac:dyDescent="0.2">
      <c r="A1845" s="10" t="s">
        <v>10655</v>
      </c>
      <c r="B1845" s="10">
        <v>383.95895093006197</v>
      </c>
      <c r="C1845" s="10">
        <v>-1.2528370826122399</v>
      </c>
      <c r="D1845" s="10">
        <v>0.284236899098952</v>
      </c>
      <c r="E1845" s="10">
        <v>-4.4077214696044296</v>
      </c>
      <c r="F1845" s="4">
        <v>1.0446376231612199E-5</v>
      </c>
      <c r="G1845" s="10">
        <v>1.063020202695E-4</v>
      </c>
      <c r="H1845" s="10" t="s">
        <v>10656</v>
      </c>
      <c r="I1845" s="10" t="s">
        <v>18</v>
      </c>
    </row>
    <row r="1846" spans="1:9" x14ac:dyDescent="0.2">
      <c r="A1846" s="10" t="s">
        <v>10657</v>
      </c>
      <c r="B1846" s="10">
        <v>19.838715012069599</v>
      </c>
      <c r="C1846" s="10">
        <v>-2.0515885481410301</v>
      </c>
      <c r="D1846" s="10">
        <v>0.79497679071345295</v>
      </c>
      <c r="E1846" s="10">
        <v>-2.5806898668070901</v>
      </c>
      <c r="F1846" s="10">
        <v>9.8603118316806203E-3</v>
      </c>
      <c r="G1846" s="10">
        <v>4.1770990927235803E-2</v>
      </c>
      <c r="H1846" s="10" t="s">
        <v>10658</v>
      </c>
      <c r="I1846" s="10" t="s">
        <v>18</v>
      </c>
    </row>
    <row r="1847" spans="1:9" x14ac:dyDescent="0.2">
      <c r="A1847" s="10" t="s">
        <v>10659</v>
      </c>
      <c r="B1847" s="10">
        <v>1781.86440376267</v>
      </c>
      <c r="C1847" s="10">
        <v>-2.3282094754739102</v>
      </c>
      <c r="D1847" s="10">
        <v>0.26689641706331702</v>
      </c>
      <c r="E1847" s="10">
        <v>-8.7232698778477094</v>
      </c>
      <c r="F1847" s="4">
        <v>2.7028106074454602E-18</v>
      </c>
      <c r="G1847" s="4">
        <v>1.29503239676744E-16</v>
      </c>
      <c r="H1847" s="10" t="s">
        <v>10660</v>
      </c>
      <c r="I1847" s="10" t="s">
        <v>18</v>
      </c>
    </row>
    <row r="1848" spans="1:9" x14ac:dyDescent="0.2">
      <c r="A1848" s="10" t="s">
        <v>10661</v>
      </c>
      <c r="B1848" s="10">
        <v>37.7087102894778</v>
      </c>
      <c r="C1848" s="10">
        <v>-2.2272965707615402</v>
      </c>
      <c r="D1848" s="10">
        <v>0.65007574773634402</v>
      </c>
      <c r="E1848" s="10">
        <v>-3.42621083545618</v>
      </c>
      <c r="F1848" s="10">
        <v>6.1206508379891905E-4</v>
      </c>
      <c r="G1848" s="10">
        <v>3.9970138065840597E-3</v>
      </c>
      <c r="H1848" s="10" t="s">
        <v>10662</v>
      </c>
      <c r="I1848" s="10" t="s">
        <v>18</v>
      </c>
    </row>
    <row r="1849" spans="1:9" x14ac:dyDescent="0.2">
      <c r="A1849" s="10" t="s">
        <v>10663</v>
      </c>
      <c r="B1849" s="10">
        <v>2829.4588507864401</v>
      </c>
      <c r="C1849" s="10">
        <v>-1.1048449843969199</v>
      </c>
      <c r="D1849" s="10">
        <v>0.29205592258887503</v>
      </c>
      <c r="E1849" s="10">
        <v>-3.7829911977241601</v>
      </c>
      <c r="F1849" s="10">
        <v>1.5495489633613499E-4</v>
      </c>
      <c r="G1849" s="10">
        <v>1.1931100144889799E-3</v>
      </c>
      <c r="H1849" s="10" t="s">
        <v>10664</v>
      </c>
      <c r="I1849" s="10" t="s">
        <v>18</v>
      </c>
    </row>
    <row r="1850" spans="1:9" x14ac:dyDescent="0.2">
      <c r="A1850" s="10" t="s">
        <v>5118</v>
      </c>
      <c r="B1850" s="10">
        <v>2282.5292361145698</v>
      </c>
      <c r="C1850" s="10">
        <v>1.6298526698174101</v>
      </c>
      <c r="D1850" s="10">
        <v>0.240843521359908</v>
      </c>
      <c r="E1850" s="10">
        <v>6.76726806108194</v>
      </c>
      <c r="F1850" s="4">
        <v>1.3123679436619401E-11</v>
      </c>
      <c r="G1850" s="4">
        <v>3.3379793349662398E-10</v>
      </c>
      <c r="H1850" s="10" t="s">
        <v>5119</v>
      </c>
      <c r="I1850" s="10" t="s">
        <v>18</v>
      </c>
    </row>
    <row r="1851" spans="1:9" x14ac:dyDescent="0.2">
      <c r="A1851" s="10" t="s">
        <v>5120</v>
      </c>
      <c r="B1851" s="10">
        <v>219.44785483697299</v>
      </c>
      <c r="C1851" s="10">
        <v>-1.1261447033888701</v>
      </c>
      <c r="D1851" s="10">
        <v>0.35012239449507898</v>
      </c>
      <c r="E1851" s="10">
        <v>-3.2164315139364801</v>
      </c>
      <c r="F1851" s="10">
        <v>1.2979550869410201E-3</v>
      </c>
      <c r="G1851" s="10">
        <v>7.6213959411767897E-3</v>
      </c>
      <c r="H1851" s="10" t="s">
        <v>5121</v>
      </c>
      <c r="I1851" s="10" t="s">
        <v>18</v>
      </c>
    </row>
    <row r="1852" spans="1:9" x14ac:dyDescent="0.2">
      <c r="A1852" s="10" t="s">
        <v>5122</v>
      </c>
      <c r="B1852" s="10">
        <v>2448.80590858704</v>
      </c>
      <c r="C1852" s="10">
        <v>-1.1162960356505101</v>
      </c>
      <c r="D1852" s="10">
        <v>0.26777277448817799</v>
      </c>
      <c r="E1852" s="10">
        <v>-4.1688182743155897</v>
      </c>
      <c r="F1852" s="4">
        <v>3.0618298366337602E-5</v>
      </c>
      <c r="G1852" s="10">
        <v>2.8140420000190801E-4</v>
      </c>
      <c r="H1852" s="10" t="s">
        <v>5123</v>
      </c>
      <c r="I1852" s="10" t="s">
        <v>18</v>
      </c>
    </row>
    <row r="1853" spans="1:9" x14ac:dyDescent="0.2">
      <c r="A1853" s="10" t="s">
        <v>10665</v>
      </c>
      <c r="B1853" s="10">
        <v>7469.7915056704596</v>
      </c>
      <c r="C1853" s="10">
        <v>-1.95833686492216</v>
      </c>
      <c r="D1853" s="10">
        <v>0.28227642161940503</v>
      </c>
      <c r="E1853" s="10">
        <v>-6.9376565484544601</v>
      </c>
      <c r="F1853" s="4">
        <v>3.9865745507506897E-12</v>
      </c>
      <c r="G1853" s="4">
        <v>1.08062804767385E-10</v>
      </c>
      <c r="H1853" s="10" t="s">
        <v>10666</v>
      </c>
      <c r="I1853" s="10" t="s">
        <v>18</v>
      </c>
    </row>
    <row r="1854" spans="1:9" x14ac:dyDescent="0.2">
      <c r="A1854" s="10" t="s">
        <v>10667</v>
      </c>
      <c r="B1854" s="10">
        <v>3674.4081368932798</v>
      </c>
      <c r="C1854" s="10">
        <v>1.48242512179858</v>
      </c>
      <c r="D1854" s="10">
        <v>0.26569647052415202</v>
      </c>
      <c r="E1854" s="10">
        <v>5.5793933539054299</v>
      </c>
      <c r="F1854" s="4">
        <v>2.4135887104649401E-8</v>
      </c>
      <c r="G1854" s="4">
        <v>3.9995931496538599E-7</v>
      </c>
      <c r="H1854" s="10" t="s">
        <v>10668</v>
      </c>
      <c r="I1854" s="10" t="s">
        <v>18</v>
      </c>
    </row>
    <row r="1855" spans="1:9" x14ac:dyDescent="0.2">
      <c r="A1855" s="10" t="s">
        <v>10669</v>
      </c>
      <c r="B1855" s="10">
        <v>207.704131376053</v>
      </c>
      <c r="C1855" s="10">
        <v>-1.06385090095187</v>
      </c>
      <c r="D1855" s="10">
        <v>0.32105465341289602</v>
      </c>
      <c r="E1855" s="10">
        <v>-3.3136130862544801</v>
      </c>
      <c r="F1855" s="10">
        <v>9.2098855269189396E-4</v>
      </c>
      <c r="G1855" s="10">
        <v>5.6894565429677297E-3</v>
      </c>
      <c r="H1855" s="10" t="s">
        <v>10670</v>
      </c>
      <c r="I1855" s="10" t="s">
        <v>18</v>
      </c>
    </row>
    <row r="1856" spans="1:9" x14ac:dyDescent="0.2">
      <c r="A1856" s="10" t="s">
        <v>10671</v>
      </c>
      <c r="B1856" s="10">
        <v>1914.88943953686</v>
      </c>
      <c r="C1856" s="10">
        <v>1.00301084614223</v>
      </c>
      <c r="D1856" s="10">
        <v>0.28798586489014</v>
      </c>
      <c r="E1856" s="10">
        <v>3.4828474881045102</v>
      </c>
      <c r="F1856" s="10">
        <v>4.9611090675024999E-4</v>
      </c>
      <c r="G1856" s="10">
        <v>3.31817863847449E-3</v>
      </c>
      <c r="H1856" s="10" t="s">
        <v>10672</v>
      </c>
      <c r="I1856" s="10" t="s">
        <v>18</v>
      </c>
    </row>
    <row r="1857" spans="1:9" x14ac:dyDescent="0.2">
      <c r="A1857" s="10" t="s">
        <v>10673</v>
      </c>
      <c r="B1857" s="10">
        <v>116.381579779183</v>
      </c>
      <c r="C1857" s="10">
        <v>-2.7698647381139399</v>
      </c>
      <c r="D1857" s="10">
        <v>0.41700849415874902</v>
      </c>
      <c r="E1857" s="10">
        <v>-6.6422261822309396</v>
      </c>
      <c r="F1857" s="4">
        <v>3.08980319742505E-11</v>
      </c>
      <c r="G1857" s="4">
        <v>7.5023165474157599E-10</v>
      </c>
      <c r="H1857" s="10" t="s">
        <v>10674</v>
      </c>
      <c r="I1857" s="10" t="s">
        <v>18</v>
      </c>
    </row>
    <row r="1858" spans="1:9" x14ac:dyDescent="0.2">
      <c r="A1858" s="10" t="s">
        <v>5128</v>
      </c>
      <c r="B1858" s="10">
        <v>456.91220512077399</v>
      </c>
      <c r="C1858" s="10">
        <v>-1.8154423562869799</v>
      </c>
      <c r="D1858" s="10">
        <v>0.335283368277281</v>
      </c>
      <c r="E1858" s="10">
        <v>-5.4146507940876996</v>
      </c>
      <c r="F1858" s="4">
        <v>6.14084328828431E-8</v>
      </c>
      <c r="G1858" s="4">
        <v>9.4826834203064303E-7</v>
      </c>
      <c r="H1858" s="10" t="s">
        <v>5129</v>
      </c>
      <c r="I1858" s="10" t="s">
        <v>18</v>
      </c>
    </row>
    <row r="1859" spans="1:9" x14ac:dyDescent="0.2">
      <c r="A1859" s="10" t="s">
        <v>10675</v>
      </c>
      <c r="B1859" s="10">
        <v>360.84160355106297</v>
      </c>
      <c r="C1859" s="10">
        <v>-2.9662524660058698</v>
      </c>
      <c r="D1859" s="10">
        <v>0.31090851920402601</v>
      </c>
      <c r="E1859" s="10">
        <v>-9.5405956504502694</v>
      </c>
      <c r="F1859" s="4">
        <v>1.4201426396601299E-21</v>
      </c>
      <c r="G1859" s="4">
        <v>8.4653289338034396E-20</v>
      </c>
      <c r="H1859" s="10" t="s">
        <v>10676</v>
      </c>
      <c r="I1859" s="10" t="s">
        <v>18</v>
      </c>
    </row>
    <row r="1860" spans="1:9" x14ac:dyDescent="0.2">
      <c r="A1860" s="10" t="s">
        <v>5132</v>
      </c>
      <c r="B1860" s="10">
        <v>363.64130273461399</v>
      </c>
      <c r="C1860" s="10">
        <v>-1.69222757084036</v>
      </c>
      <c r="D1860" s="10">
        <v>0.30927256947350301</v>
      </c>
      <c r="E1860" s="10">
        <v>-5.4716380884381604</v>
      </c>
      <c r="F1860" s="4">
        <v>4.45894704450273E-8</v>
      </c>
      <c r="G1860" s="4">
        <v>7.0543907487085599E-7</v>
      </c>
      <c r="H1860" s="10" t="s">
        <v>5133</v>
      </c>
      <c r="I1860" s="10" t="s">
        <v>18</v>
      </c>
    </row>
    <row r="1861" spans="1:9" x14ac:dyDescent="0.2">
      <c r="A1861" s="10" t="s">
        <v>5134</v>
      </c>
      <c r="B1861" s="10">
        <v>3701.1154777658498</v>
      </c>
      <c r="C1861" s="10">
        <v>-1.2427633765136501</v>
      </c>
      <c r="D1861" s="10">
        <v>0.241925076175662</v>
      </c>
      <c r="E1861" s="10">
        <v>-5.1369762744697098</v>
      </c>
      <c r="F1861" s="4">
        <v>2.7919418756265201E-7</v>
      </c>
      <c r="G1861" s="4">
        <v>3.8673622181379397E-6</v>
      </c>
      <c r="H1861" s="10" t="s">
        <v>5135</v>
      </c>
      <c r="I1861" s="10" t="s">
        <v>18</v>
      </c>
    </row>
    <row r="1862" spans="1:9" x14ac:dyDescent="0.2">
      <c r="A1862" s="10" t="s">
        <v>10677</v>
      </c>
      <c r="B1862" s="10">
        <v>1237.2346822362299</v>
      </c>
      <c r="C1862" s="10">
        <v>1.0568339213748099</v>
      </c>
      <c r="D1862" s="10">
        <v>0.31798808893812303</v>
      </c>
      <c r="E1862" s="10">
        <v>3.3235015968804298</v>
      </c>
      <c r="F1862" s="10">
        <v>8.8894913823912001E-4</v>
      </c>
      <c r="G1862" s="10">
        <v>5.5268204578361501E-3</v>
      </c>
      <c r="H1862" s="10" t="s">
        <v>10678</v>
      </c>
      <c r="I1862" s="10" t="s">
        <v>18</v>
      </c>
    </row>
    <row r="1863" spans="1:9" x14ac:dyDescent="0.2">
      <c r="A1863" s="10" t="s">
        <v>5140</v>
      </c>
      <c r="B1863" s="10">
        <v>502.20609494649699</v>
      </c>
      <c r="C1863" s="10">
        <v>-2.2271903938172999</v>
      </c>
      <c r="D1863" s="10">
        <v>0.28315625604818501</v>
      </c>
      <c r="E1863" s="10">
        <v>-7.8655878026523096</v>
      </c>
      <c r="F1863" s="4">
        <v>3.6736832839083502E-15</v>
      </c>
      <c r="G1863" s="4">
        <v>1.35302347008367E-13</v>
      </c>
      <c r="H1863" s="10" t="s">
        <v>5141</v>
      </c>
      <c r="I1863" s="10" t="s">
        <v>18</v>
      </c>
    </row>
    <row r="1864" spans="1:9" x14ac:dyDescent="0.2">
      <c r="A1864" s="10" t="s">
        <v>5142</v>
      </c>
      <c r="B1864" s="10">
        <v>3607.75727780325</v>
      </c>
      <c r="C1864" s="10">
        <v>1.6467190871228401</v>
      </c>
      <c r="D1864" s="10">
        <v>0.269327097189141</v>
      </c>
      <c r="E1864" s="10">
        <v>6.1141975846804204</v>
      </c>
      <c r="F1864" s="4">
        <v>9.7044009074919299E-10</v>
      </c>
      <c r="G1864" s="4">
        <v>1.9750340196436801E-8</v>
      </c>
      <c r="H1864" s="10" t="s">
        <v>5143</v>
      </c>
      <c r="I1864" s="10" t="s">
        <v>18</v>
      </c>
    </row>
    <row r="1865" spans="1:9" x14ac:dyDescent="0.2">
      <c r="A1865" s="10" t="s">
        <v>10679</v>
      </c>
      <c r="B1865" s="10">
        <v>148.55539229987099</v>
      </c>
      <c r="C1865" s="10">
        <v>-1.2639382897740501</v>
      </c>
      <c r="D1865" s="10">
        <v>0.373834385934186</v>
      </c>
      <c r="E1865" s="10">
        <v>-3.3810113176602301</v>
      </c>
      <c r="F1865" s="10">
        <v>7.2219568176642404E-4</v>
      </c>
      <c r="G1865" s="10">
        <v>4.6284923247985697E-3</v>
      </c>
      <c r="H1865" s="10" t="s">
        <v>10680</v>
      </c>
      <c r="I1865" s="10" t="s">
        <v>18</v>
      </c>
    </row>
    <row r="1866" spans="1:9" x14ac:dyDescent="0.2">
      <c r="A1866" s="10" t="s">
        <v>5154</v>
      </c>
      <c r="B1866" s="10">
        <v>6031.6514544023003</v>
      </c>
      <c r="C1866" s="10">
        <v>-1.34139505951404</v>
      </c>
      <c r="D1866" s="10">
        <v>0.24100988806239601</v>
      </c>
      <c r="E1866" s="10">
        <v>-5.5657262459155001</v>
      </c>
      <c r="F1866" s="4">
        <v>2.6106281656679699E-8</v>
      </c>
      <c r="G1866" s="4">
        <v>4.3006124104373102E-7</v>
      </c>
      <c r="H1866" s="10" t="s">
        <v>5155</v>
      </c>
      <c r="I1866" s="10" t="s">
        <v>18</v>
      </c>
    </row>
    <row r="1867" spans="1:9" x14ac:dyDescent="0.2">
      <c r="A1867" s="10" t="s">
        <v>5158</v>
      </c>
      <c r="B1867" s="10">
        <v>7070.7905415305304</v>
      </c>
      <c r="C1867" s="10">
        <v>-1.9571014732674801</v>
      </c>
      <c r="D1867" s="10">
        <v>0.24972840663920501</v>
      </c>
      <c r="E1867" s="10">
        <v>-7.8369197145241003</v>
      </c>
      <c r="F1867" s="4">
        <v>4.6173306421424803E-15</v>
      </c>
      <c r="G1867" s="4">
        <v>1.6857612816124E-13</v>
      </c>
      <c r="H1867" s="10" t="s">
        <v>5159</v>
      </c>
      <c r="I1867" s="10" t="s">
        <v>18</v>
      </c>
    </row>
    <row r="1868" spans="1:9" x14ac:dyDescent="0.2">
      <c r="A1868" s="10" t="s">
        <v>5164</v>
      </c>
      <c r="B1868" s="10">
        <v>516.72671885988996</v>
      </c>
      <c r="C1868" s="10">
        <v>-1.7189764385217501</v>
      </c>
      <c r="D1868" s="10">
        <v>0.28798289845122299</v>
      </c>
      <c r="E1868" s="10">
        <v>-5.9690226321300202</v>
      </c>
      <c r="F1868" s="4">
        <v>2.3867900641664099E-9</v>
      </c>
      <c r="G1868" s="4">
        <v>4.5727116575861398E-8</v>
      </c>
      <c r="H1868" s="10" t="s">
        <v>5165</v>
      </c>
      <c r="I1868" s="10" t="s">
        <v>18</v>
      </c>
    </row>
    <row r="1869" spans="1:9" x14ac:dyDescent="0.2">
      <c r="A1869" s="10" t="s">
        <v>5170</v>
      </c>
      <c r="B1869" s="10">
        <v>190.06265039957501</v>
      </c>
      <c r="C1869" s="10">
        <v>11.0892196670701</v>
      </c>
      <c r="D1869" s="10">
        <v>1.48070255323026</v>
      </c>
      <c r="E1869" s="10">
        <v>7.4891609005996003</v>
      </c>
      <c r="F1869" s="4">
        <v>6.9315323656123703E-14</v>
      </c>
      <c r="G1869" s="4">
        <v>2.2498412471868302E-12</v>
      </c>
      <c r="H1869" s="10" t="s">
        <v>5171</v>
      </c>
      <c r="I1869" s="10" t="s">
        <v>18</v>
      </c>
    </row>
    <row r="1870" spans="1:9" x14ac:dyDescent="0.2">
      <c r="A1870" s="10" t="s">
        <v>5174</v>
      </c>
      <c r="B1870" s="10">
        <v>1692.2060482639899</v>
      </c>
      <c r="C1870" s="10">
        <v>5.2416610406286797</v>
      </c>
      <c r="D1870" s="10">
        <v>0.27060589641004001</v>
      </c>
      <c r="E1870" s="10">
        <v>19.370091746582499</v>
      </c>
      <c r="F1870" s="4">
        <v>1.38011427549053E-83</v>
      </c>
      <c r="G1870" s="4">
        <v>1.23988480714158E-80</v>
      </c>
      <c r="H1870" s="10" t="s">
        <v>5175</v>
      </c>
      <c r="I1870" s="10" t="s">
        <v>18</v>
      </c>
    </row>
    <row r="1871" spans="1:9" x14ac:dyDescent="0.2">
      <c r="A1871" s="10" t="s">
        <v>5176</v>
      </c>
      <c r="B1871" s="10">
        <v>2603.8186825810199</v>
      </c>
      <c r="C1871" s="10">
        <v>2.3638635223087898</v>
      </c>
      <c r="D1871" s="10">
        <v>0.24243413923496601</v>
      </c>
      <c r="E1871" s="10">
        <v>9.7505389701643708</v>
      </c>
      <c r="F1871" s="4">
        <v>1.8349147292531901E-22</v>
      </c>
      <c r="G1871" s="4">
        <v>1.15682406051037E-20</v>
      </c>
      <c r="H1871" s="10" t="s">
        <v>5177</v>
      </c>
      <c r="I1871" s="10" t="s">
        <v>18</v>
      </c>
    </row>
    <row r="1872" spans="1:9" x14ac:dyDescent="0.2">
      <c r="A1872" s="10" t="s">
        <v>5178</v>
      </c>
      <c r="B1872" s="10">
        <v>877.53064806875</v>
      </c>
      <c r="C1872" s="10">
        <v>2.66992387583936</v>
      </c>
      <c r="D1872" s="10">
        <v>0.26121692922608197</v>
      </c>
      <c r="E1872" s="10">
        <v>10.221098164462999</v>
      </c>
      <c r="F1872" s="4">
        <v>1.59523311752926E-24</v>
      </c>
      <c r="G1872" s="4">
        <v>1.1978534051178699E-22</v>
      </c>
      <c r="H1872" s="10" t="s">
        <v>5179</v>
      </c>
      <c r="I1872" s="10" t="s">
        <v>18</v>
      </c>
    </row>
    <row r="1873" spans="1:9" x14ac:dyDescent="0.2">
      <c r="A1873" s="10" t="s">
        <v>5180</v>
      </c>
      <c r="B1873" s="10">
        <v>1331.3616535178301</v>
      </c>
      <c r="C1873" s="10">
        <v>-2.6157722989711698</v>
      </c>
      <c r="D1873" s="10">
        <v>0.26768161103405103</v>
      </c>
      <c r="E1873" s="10">
        <v>-9.7719536611666307</v>
      </c>
      <c r="F1873" s="4">
        <v>1.48559281245445E-22</v>
      </c>
      <c r="G1873" s="4">
        <v>9.4368907063867901E-21</v>
      </c>
      <c r="H1873" s="10" t="s">
        <v>5181</v>
      </c>
      <c r="I1873" s="10" t="s">
        <v>18</v>
      </c>
    </row>
    <row r="1874" spans="1:9" x14ac:dyDescent="0.2">
      <c r="A1874" s="10" t="s">
        <v>10681</v>
      </c>
      <c r="B1874" s="10">
        <v>605.60293156265095</v>
      </c>
      <c r="C1874" s="10">
        <v>-2.8034030197405402</v>
      </c>
      <c r="D1874" s="10">
        <v>0.28404877775978898</v>
      </c>
      <c r="E1874" s="10">
        <v>-9.8694422903353693</v>
      </c>
      <c r="F1874" s="4">
        <v>5.6477746715033205E-23</v>
      </c>
      <c r="G1874" s="4">
        <v>3.6901239444588497E-21</v>
      </c>
      <c r="H1874" s="10" t="s">
        <v>10682</v>
      </c>
      <c r="I1874" s="10" t="s">
        <v>18</v>
      </c>
    </row>
    <row r="1875" spans="1:9" x14ac:dyDescent="0.2">
      <c r="A1875" s="10" t="s">
        <v>5204</v>
      </c>
      <c r="B1875" s="10">
        <v>1997.94794756433</v>
      </c>
      <c r="C1875" s="10">
        <v>-1.89434496980347</v>
      </c>
      <c r="D1875" s="10">
        <v>0.25760996328820501</v>
      </c>
      <c r="E1875" s="10">
        <v>-7.3535392250498397</v>
      </c>
      <c r="F1875" s="4">
        <v>1.9302632677556599E-13</v>
      </c>
      <c r="G1875" s="4">
        <v>6.0770678974209903E-12</v>
      </c>
      <c r="H1875" s="10" t="s">
        <v>5205</v>
      </c>
      <c r="I1875" s="10" t="s">
        <v>18</v>
      </c>
    </row>
    <row r="1876" spans="1:9" x14ac:dyDescent="0.2">
      <c r="A1876" s="10" t="s">
        <v>5208</v>
      </c>
      <c r="B1876" s="10">
        <v>16382.2655625394</v>
      </c>
      <c r="C1876" s="10">
        <v>1.1744601677566999</v>
      </c>
      <c r="D1876" s="10">
        <v>0.26701922192586702</v>
      </c>
      <c r="E1876" s="10">
        <v>4.3984105686697301</v>
      </c>
      <c r="F1876" s="4">
        <v>1.09046543725908E-5</v>
      </c>
      <c r="G1876" s="10">
        <v>1.10607492234888E-4</v>
      </c>
      <c r="H1876" s="10" t="s">
        <v>5209</v>
      </c>
      <c r="I1876" s="10" t="s">
        <v>18</v>
      </c>
    </row>
    <row r="1877" spans="1:9" x14ac:dyDescent="0.2">
      <c r="A1877" s="10" t="s">
        <v>5210</v>
      </c>
      <c r="B1877" s="10">
        <v>1648.8861837823799</v>
      </c>
      <c r="C1877" s="10">
        <v>1.0503684561648099</v>
      </c>
      <c r="D1877" s="10">
        <v>0.25001039934386998</v>
      </c>
      <c r="E1877" s="10">
        <v>4.2012990616446597</v>
      </c>
      <c r="F1877" s="4">
        <v>2.6538773732995299E-5</v>
      </c>
      <c r="G1877" s="10">
        <v>2.4798768694409299E-4</v>
      </c>
      <c r="H1877" s="10" t="s">
        <v>5211</v>
      </c>
      <c r="I1877" s="10" t="s">
        <v>18</v>
      </c>
    </row>
    <row r="1878" spans="1:9" x14ac:dyDescent="0.2">
      <c r="A1878" s="10" t="s">
        <v>10683</v>
      </c>
      <c r="B1878" s="10">
        <v>714.08017393739897</v>
      </c>
      <c r="C1878" s="10">
        <v>-1.19788590132207</v>
      </c>
      <c r="D1878" s="10">
        <v>0.27831805810105698</v>
      </c>
      <c r="E1878" s="10">
        <v>-4.3040178905211999</v>
      </c>
      <c r="F1878" s="4">
        <v>1.6772811012521E-5</v>
      </c>
      <c r="G1878" s="10">
        <v>1.6340823432221799E-4</v>
      </c>
      <c r="H1878" s="10" t="s">
        <v>10684</v>
      </c>
      <c r="I1878" s="10" t="s">
        <v>18</v>
      </c>
    </row>
    <row r="1879" spans="1:9" x14ac:dyDescent="0.2">
      <c r="A1879" s="10" t="s">
        <v>10685</v>
      </c>
      <c r="B1879" s="10">
        <v>1021.57151099256</v>
      </c>
      <c r="C1879" s="10">
        <v>1.2704973784896001</v>
      </c>
      <c r="D1879" s="10">
        <v>0.27865725863645102</v>
      </c>
      <c r="E1879" s="10">
        <v>4.5593550467929802</v>
      </c>
      <c r="F1879" s="4">
        <v>5.1310958979892004E-6</v>
      </c>
      <c r="G1879" s="4">
        <v>5.6069816383109601E-5</v>
      </c>
      <c r="H1879" s="10" t="s">
        <v>10686</v>
      </c>
      <c r="I1879" s="10" t="s">
        <v>18</v>
      </c>
    </row>
    <row r="1880" spans="1:9" x14ac:dyDescent="0.2">
      <c r="A1880" s="10" t="s">
        <v>5224</v>
      </c>
      <c r="B1880" s="10">
        <v>3143.69111785422</v>
      </c>
      <c r="C1880" s="10">
        <v>-1.1752751851924701</v>
      </c>
      <c r="D1880" s="10">
        <v>0.236637258697973</v>
      </c>
      <c r="E1880" s="10">
        <v>-4.9665686276923298</v>
      </c>
      <c r="F1880" s="4">
        <v>6.8147943845396997E-7</v>
      </c>
      <c r="G1880" s="4">
        <v>8.8091548172197502E-6</v>
      </c>
      <c r="H1880" s="10" t="s">
        <v>5225</v>
      </c>
      <c r="I1880" s="10" t="s">
        <v>18</v>
      </c>
    </row>
    <row r="1881" spans="1:9" x14ac:dyDescent="0.2">
      <c r="A1881" s="10" t="s">
        <v>5228</v>
      </c>
      <c r="B1881" s="10">
        <v>126.816623647829</v>
      </c>
      <c r="C1881" s="10">
        <v>3.2443638013228902</v>
      </c>
      <c r="D1881" s="10">
        <v>0.421810292003233</v>
      </c>
      <c r="E1881" s="10">
        <v>7.6915235659968797</v>
      </c>
      <c r="F1881" s="4">
        <v>1.4539314568403701E-14</v>
      </c>
      <c r="G1881" s="4">
        <v>5.0446407995612997E-13</v>
      </c>
      <c r="H1881" s="10" t="s">
        <v>5229</v>
      </c>
      <c r="I1881" s="10" t="s">
        <v>18</v>
      </c>
    </row>
    <row r="1882" spans="1:9" x14ac:dyDescent="0.2">
      <c r="A1882" s="10" t="s">
        <v>5230</v>
      </c>
      <c r="B1882" s="10">
        <v>83.698816026207595</v>
      </c>
      <c r="C1882" s="10">
        <v>1.6122249800638</v>
      </c>
      <c r="D1882" s="10">
        <v>0.44204370757830302</v>
      </c>
      <c r="E1882" s="10">
        <v>3.6472071707484099</v>
      </c>
      <c r="F1882" s="10">
        <v>2.65106170380556E-4</v>
      </c>
      <c r="G1882" s="10">
        <v>1.9174081989427501E-3</v>
      </c>
      <c r="H1882" s="10" t="s">
        <v>5231</v>
      </c>
      <c r="I1882" s="10" t="s">
        <v>18</v>
      </c>
    </row>
    <row r="1883" spans="1:9" x14ac:dyDescent="0.2">
      <c r="A1883" s="10" t="s">
        <v>5234</v>
      </c>
      <c r="B1883" s="10">
        <v>678.76220601051295</v>
      </c>
      <c r="C1883" s="10">
        <v>2.1119645201995398</v>
      </c>
      <c r="D1883" s="10">
        <v>0.26740432262555403</v>
      </c>
      <c r="E1883" s="10">
        <v>7.8980193717994496</v>
      </c>
      <c r="F1883" s="4">
        <v>2.8337011665474698E-15</v>
      </c>
      <c r="G1883" s="4">
        <v>1.05602596806669E-13</v>
      </c>
      <c r="H1883" s="10" t="s">
        <v>5235</v>
      </c>
      <c r="I1883" s="10" t="s">
        <v>18</v>
      </c>
    </row>
    <row r="1884" spans="1:9" x14ac:dyDescent="0.2">
      <c r="A1884" s="10" t="s">
        <v>10687</v>
      </c>
      <c r="B1884" s="10">
        <v>105.24062972493699</v>
      </c>
      <c r="C1884" s="10">
        <v>-2.6810818354863599</v>
      </c>
      <c r="D1884" s="10">
        <v>0.41948099809976003</v>
      </c>
      <c r="E1884" s="10">
        <v>-6.3914261852899203</v>
      </c>
      <c r="F1884" s="4">
        <v>1.64345613472587E-10</v>
      </c>
      <c r="G1884" s="4">
        <v>3.67803728372147E-9</v>
      </c>
      <c r="H1884" s="10" t="s">
        <v>10688</v>
      </c>
      <c r="I1884" s="10" t="s">
        <v>18</v>
      </c>
    </row>
    <row r="1885" spans="1:9" x14ac:dyDescent="0.2">
      <c r="A1885" s="10" t="s">
        <v>5244</v>
      </c>
      <c r="B1885" s="10">
        <v>634.39540820906495</v>
      </c>
      <c r="C1885" s="10">
        <v>-2.0148163609837302</v>
      </c>
      <c r="D1885" s="10">
        <v>0.31200672723024198</v>
      </c>
      <c r="E1885" s="10">
        <v>-6.4576055102072196</v>
      </c>
      <c r="F1885" s="4">
        <v>1.06372587556263E-10</v>
      </c>
      <c r="G1885" s="4">
        <v>2.4414255839213602E-9</v>
      </c>
      <c r="H1885" s="10" t="s">
        <v>5245</v>
      </c>
      <c r="I1885" s="10" t="s">
        <v>18</v>
      </c>
    </row>
    <row r="1886" spans="1:9" x14ac:dyDescent="0.2">
      <c r="A1886" s="10" t="s">
        <v>5246</v>
      </c>
      <c r="B1886" s="10">
        <v>132.95196912896699</v>
      </c>
      <c r="C1886" s="10">
        <v>-4.7029496853695996</v>
      </c>
      <c r="D1886" s="10">
        <v>0.49020171162597098</v>
      </c>
      <c r="E1886" s="10">
        <v>-9.5939071076887696</v>
      </c>
      <c r="F1886" s="4">
        <v>8.4811121533316491E-22</v>
      </c>
      <c r="G1886" s="4">
        <v>5.1038845984942001E-20</v>
      </c>
      <c r="H1886" s="10" t="s">
        <v>5247</v>
      </c>
      <c r="I1886" s="10" t="s">
        <v>18</v>
      </c>
    </row>
    <row r="1887" spans="1:9" x14ac:dyDescent="0.2">
      <c r="A1887" s="10" t="s">
        <v>5248</v>
      </c>
      <c r="B1887" s="10">
        <v>1271.0608004722201</v>
      </c>
      <c r="C1887" s="10">
        <v>-2.9015537966616498</v>
      </c>
      <c r="D1887" s="10">
        <v>0.32168091411713201</v>
      </c>
      <c r="E1887" s="10">
        <v>-9.0199749793210398</v>
      </c>
      <c r="F1887" s="4">
        <v>1.8813226516305001E-19</v>
      </c>
      <c r="G1887" s="4">
        <v>9.7576641859309693E-18</v>
      </c>
      <c r="H1887" s="10" t="s">
        <v>5249</v>
      </c>
      <c r="I1887" s="10" t="s">
        <v>18</v>
      </c>
    </row>
    <row r="1888" spans="1:9" x14ac:dyDescent="0.2">
      <c r="A1888" s="10" t="s">
        <v>10689</v>
      </c>
      <c r="B1888" s="10">
        <v>37791.4881104784</v>
      </c>
      <c r="C1888" s="10">
        <v>-1.02355304474903</v>
      </c>
      <c r="D1888" s="10">
        <v>0.297375411811931</v>
      </c>
      <c r="E1888" s="10">
        <v>-3.4419558715780898</v>
      </c>
      <c r="F1888" s="10">
        <v>5.7752445365587496E-4</v>
      </c>
      <c r="G1888" s="10">
        <v>3.79410489206412E-3</v>
      </c>
      <c r="H1888" s="10" t="s">
        <v>10690</v>
      </c>
      <c r="I1888" s="10" t="s">
        <v>18</v>
      </c>
    </row>
    <row r="1889" spans="1:9" x14ac:dyDescent="0.2">
      <c r="A1889" s="10" t="s">
        <v>5250</v>
      </c>
      <c r="B1889" s="10">
        <v>2480.1811357401398</v>
      </c>
      <c r="C1889" s="10">
        <v>1.59237308871585</v>
      </c>
      <c r="D1889" s="10">
        <v>0.29386355576448803</v>
      </c>
      <c r="E1889" s="10">
        <v>5.41874981595892</v>
      </c>
      <c r="F1889" s="4">
        <v>6.0017233380912105E-8</v>
      </c>
      <c r="G1889" s="4">
        <v>9.27924711553069E-7</v>
      </c>
      <c r="H1889" s="10" t="s">
        <v>5251</v>
      </c>
      <c r="I1889" s="10" t="s">
        <v>18</v>
      </c>
    </row>
    <row r="1890" spans="1:9" x14ac:dyDescent="0.2">
      <c r="A1890" s="10" t="s">
        <v>5252</v>
      </c>
      <c r="B1890" s="10">
        <v>831.54548941594499</v>
      </c>
      <c r="C1890" s="10">
        <v>-1.1521753508483401</v>
      </c>
      <c r="D1890" s="10">
        <v>0.311752113073758</v>
      </c>
      <c r="E1890" s="10">
        <v>-3.6958060668404999</v>
      </c>
      <c r="F1890" s="10">
        <v>2.1919024458113699E-4</v>
      </c>
      <c r="G1890" s="10">
        <v>1.6202558338050299E-3</v>
      </c>
      <c r="H1890" s="10" t="s">
        <v>5253</v>
      </c>
      <c r="I1890" s="10" t="s">
        <v>18</v>
      </c>
    </row>
    <row r="1891" spans="1:9" x14ac:dyDescent="0.2">
      <c r="A1891" s="10" t="s">
        <v>5254</v>
      </c>
      <c r="B1891" s="10">
        <v>1333.8722844633301</v>
      </c>
      <c r="C1891" s="10">
        <v>1.5319623076436499</v>
      </c>
      <c r="D1891" s="10">
        <v>0.24701090568932099</v>
      </c>
      <c r="E1891" s="10">
        <v>6.2020027146918304</v>
      </c>
      <c r="F1891" s="4">
        <v>5.5749116002951598E-10</v>
      </c>
      <c r="G1891" s="4">
        <v>1.17648407135423E-8</v>
      </c>
      <c r="H1891" s="10" t="s">
        <v>5255</v>
      </c>
      <c r="I1891" s="10" t="s">
        <v>18</v>
      </c>
    </row>
    <row r="1892" spans="1:9" x14ac:dyDescent="0.2">
      <c r="A1892" s="10" t="s">
        <v>5256</v>
      </c>
      <c r="B1892" s="10">
        <v>4459.9043564904396</v>
      </c>
      <c r="C1892" s="10">
        <v>1.24484023749956</v>
      </c>
      <c r="D1892" s="10">
        <v>0.27585623917246799</v>
      </c>
      <c r="E1892" s="10">
        <v>4.5126412265820397</v>
      </c>
      <c r="F1892" s="4">
        <v>6.4025274473396503E-6</v>
      </c>
      <c r="G1892" s="4">
        <v>6.8739043080592798E-5</v>
      </c>
      <c r="H1892" s="10" t="s">
        <v>5257</v>
      </c>
      <c r="I1892" s="10" t="s">
        <v>18</v>
      </c>
    </row>
    <row r="1893" spans="1:9" x14ac:dyDescent="0.2">
      <c r="A1893" s="10" t="s">
        <v>5258</v>
      </c>
      <c r="B1893" s="10">
        <v>186.54402920049799</v>
      </c>
      <c r="C1893" s="10">
        <v>5.6846622560613902</v>
      </c>
      <c r="D1893" s="10">
        <v>0.49805156976158799</v>
      </c>
      <c r="E1893" s="10">
        <v>11.4138025080065</v>
      </c>
      <c r="F1893" s="4">
        <v>3.5678392445759202E-30</v>
      </c>
      <c r="G1893" s="4">
        <v>3.7240247384774799E-28</v>
      </c>
      <c r="H1893" s="10" t="s">
        <v>5259</v>
      </c>
      <c r="I1893" s="10" t="s">
        <v>18</v>
      </c>
    </row>
    <row r="1894" spans="1:9" x14ac:dyDescent="0.2">
      <c r="A1894" s="10" t="s">
        <v>5260</v>
      </c>
      <c r="B1894" s="10">
        <v>1758.3344954100501</v>
      </c>
      <c r="C1894" s="10">
        <v>11.272582665933999</v>
      </c>
      <c r="D1894" s="10">
        <v>0.87465754120366701</v>
      </c>
      <c r="E1894" s="10">
        <v>12.887995741077299</v>
      </c>
      <c r="F1894" s="4">
        <v>5.2592915641321801E-38</v>
      </c>
      <c r="G1894" s="4">
        <v>7.9697276684183704E-36</v>
      </c>
      <c r="H1894" s="10" t="s">
        <v>5261</v>
      </c>
      <c r="I1894" s="10" t="s">
        <v>18</v>
      </c>
    </row>
    <row r="1895" spans="1:9" x14ac:dyDescent="0.2">
      <c r="A1895" s="10" t="s">
        <v>5266</v>
      </c>
      <c r="B1895" s="10">
        <v>53.638568820279303</v>
      </c>
      <c r="C1895" s="10">
        <v>3.7456253137798798</v>
      </c>
      <c r="D1895" s="10">
        <v>0.61335468333646403</v>
      </c>
      <c r="E1895" s="10">
        <v>6.1067852183092697</v>
      </c>
      <c r="F1895" s="4">
        <v>1.01657891749389E-9</v>
      </c>
      <c r="G1895" s="4">
        <v>2.0639259620305799E-8</v>
      </c>
      <c r="H1895" s="10" t="s">
        <v>5267</v>
      </c>
      <c r="I1895" s="10" t="s">
        <v>18</v>
      </c>
    </row>
    <row r="1896" spans="1:9" x14ac:dyDescent="0.2">
      <c r="A1896" s="10" t="s">
        <v>5268</v>
      </c>
      <c r="B1896" s="10">
        <v>93.395978227365106</v>
      </c>
      <c r="C1896" s="10">
        <v>3.4652619444332098</v>
      </c>
      <c r="D1896" s="10">
        <v>0.46477350198288397</v>
      </c>
      <c r="E1896" s="10">
        <v>7.4558078927675702</v>
      </c>
      <c r="F1896" s="4">
        <v>8.93188095683569E-14</v>
      </c>
      <c r="G1896" s="4">
        <v>2.8805316085795098E-12</v>
      </c>
      <c r="H1896" s="10" t="s">
        <v>5269</v>
      </c>
      <c r="I1896" s="10" t="s">
        <v>18</v>
      </c>
    </row>
    <row r="1897" spans="1:9" x14ac:dyDescent="0.2">
      <c r="A1897" s="10" t="s">
        <v>5270</v>
      </c>
      <c r="B1897" s="10">
        <v>58.3784567088111</v>
      </c>
      <c r="C1897" s="10">
        <v>3.95705803934381</v>
      </c>
      <c r="D1897" s="10">
        <v>0.59013768712666603</v>
      </c>
      <c r="E1897" s="10">
        <v>6.7053132271731704</v>
      </c>
      <c r="F1897" s="4">
        <v>2.0097479926174001E-11</v>
      </c>
      <c r="G1897" s="4">
        <v>4.9857209816854697E-10</v>
      </c>
      <c r="H1897" s="10" t="s">
        <v>5271</v>
      </c>
      <c r="I1897" s="10" t="s">
        <v>18</v>
      </c>
    </row>
    <row r="1898" spans="1:9" x14ac:dyDescent="0.2">
      <c r="A1898" s="10" t="s">
        <v>5274</v>
      </c>
      <c r="B1898" s="10">
        <v>138.11799991120699</v>
      </c>
      <c r="C1898" s="10">
        <v>4.5316180104093302</v>
      </c>
      <c r="D1898" s="10">
        <v>0.46104113701588301</v>
      </c>
      <c r="E1898" s="10">
        <v>9.8290968995532708</v>
      </c>
      <c r="F1898" s="4">
        <v>8.4371967948437203E-23</v>
      </c>
      <c r="G1898" s="4">
        <v>5.4419919326742002E-21</v>
      </c>
      <c r="H1898" s="10" t="s">
        <v>5275</v>
      </c>
      <c r="I1898" s="10" t="s">
        <v>18</v>
      </c>
    </row>
    <row r="1899" spans="1:9" x14ac:dyDescent="0.2">
      <c r="A1899" s="10" t="s">
        <v>5276</v>
      </c>
      <c r="B1899" s="10">
        <v>157.521911329235</v>
      </c>
      <c r="C1899" s="10">
        <v>3.06466745683933</v>
      </c>
      <c r="D1899" s="10">
        <v>0.40965170722466199</v>
      </c>
      <c r="E1899" s="10">
        <v>7.4811538748417901</v>
      </c>
      <c r="F1899" s="4">
        <v>7.3672854484092604E-14</v>
      </c>
      <c r="G1899" s="4">
        <v>2.38819671977751E-12</v>
      </c>
      <c r="H1899" s="10" t="s">
        <v>5277</v>
      </c>
      <c r="I1899" s="10" t="s">
        <v>18</v>
      </c>
    </row>
    <row r="1900" spans="1:9" x14ac:dyDescent="0.2">
      <c r="A1900" s="10" t="s">
        <v>5280</v>
      </c>
      <c r="B1900" s="10">
        <v>38.579272078272801</v>
      </c>
      <c r="C1900" s="10">
        <v>2.0954010443684199</v>
      </c>
      <c r="D1900" s="10">
        <v>0.59566134253830605</v>
      </c>
      <c r="E1900" s="10">
        <v>3.51777242323505</v>
      </c>
      <c r="F1900" s="10">
        <v>4.3518540420903998E-4</v>
      </c>
      <c r="G1900" s="10">
        <v>2.9658869799182798E-3</v>
      </c>
      <c r="H1900" s="10" t="s">
        <v>5281</v>
      </c>
      <c r="I1900" s="10" t="s">
        <v>18</v>
      </c>
    </row>
    <row r="1901" spans="1:9" x14ac:dyDescent="0.2">
      <c r="A1901" s="10" t="s">
        <v>5282</v>
      </c>
      <c r="B1901" s="10">
        <v>3177.9930854990898</v>
      </c>
      <c r="C1901" s="10">
        <v>2.62340464836358</v>
      </c>
      <c r="D1901" s="10">
        <v>0.29974372679033101</v>
      </c>
      <c r="E1901" s="10">
        <v>8.7521586404997205</v>
      </c>
      <c r="F1901" s="4">
        <v>2.0930988131970102E-18</v>
      </c>
      <c r="G1901" s="4">
        <v>1.0105931026098E-16</v>
      </c>
      <c r="H1901" s="10" t="s">
        <v>5283</v>
      </c>
      <c r="I1901" s="10" t="s">
        <v>18</v>
      </c>
    </row>
    <row r="1902" spans="1:9" x14ac:dyDescent="0.2">
      <c r="A1902" s="10" t="s">
        <v>5284</v>
      </c>
      <c r="B1902" s="10">
        <v>2730.71966983528</v>
      </c>
      <c r="C1902" s="10">
        <v>3.11745829948695</v>
      </c>
      <c r="D1902" s="10">
        <v>0.26672157555029402</v>
      </c>
      <c r="E1902" s="10">
        <v>11.6880619539499</v>
      </c>
      <c r="F1902" s="4">
        <v>1.46695926012504E-31</v>
      </c>
      <c r="G1902" s="4">
        <v>1.61141310866574E-29</v>
      </c>
      <c r="H1902" s="10" t="s">
        <v>5285</v>
      </c>
      <c r="I1902" s="10" t="s">
        <v>18</v>
      </c>
    </row>
    <row r="1903" spans="1:9" x14ac:dyDescent="0.2">
      <c r="A1903" s="10" t="s">
        <v>10691</v>
      </c>
      <c r="B1903" s="10">
        <v>1710.29192642731</v>
      </c>
      <c r="C1903" s="10">
        <v>1.0692442289664199</v>
      </c>
      <c r="D1903" s="10">
        <v>0.29730892798748498</v>
      </c>
      <c r="E1903" s="10">
        <v>3.5964080735961899</v>
      </c>
      <c r="F1903" s="10">
        <v>3.2264152805830398E-4</v>
      </c>
      <c r="G1903" s="10">
        <v>2.2868547867868801E-3</v>
      </c>
      <c r="H1903" s="10" t="s">
        <v>10692</v>
      </c>
      <c r="I1903" s="10" t="s">
        <v>18</v>
      </c>
    </row>
    <row r="1904" spans="1:9" x14ac:dyDescent="0.2">
      <c r="A1904" s="10" t="s">
        <v>5286</v>
      </c>
      <c r="B1904" s="10">
        <v>95.066709206506602</v>
      </c>
      <c r="C1904" s="10">
        <v>1.69707382942901</v>
      </c>
      <c r="D1904" s="10">
        <v>0.42350033155148198</v>
      </c>
      <c r="E1904" s="10">
        <v>4.0072550196403203</v>
      </c>
      <c r="F1904" s="4">
        <v>6.1428524685646895E-5</v>
      </c>
      <c r="G1904" s="10">
        <v>5.2828531229656402E-4</v>
      </c>
      <c r="H1904" s="10" t="s">
        <v>5287</v>
      </c>
      <c r="I1904" s="10" t="s">
        <v>18</v>
      </c>
    </row>
    <row r="1905" spans="1:9" x14ac:dyDescent="0.2">
      <c r="A1905" s="10" t="s">
        <v>5288</v>
      </c>
      <c r="B1905" s="10">
        <v>51.971139696672402</v>
      </c>
      <c r="C1905" s="10">
        <v>4.0168269144883801</v>
      </c>
      <c r="D1905" s="10">
        <v>0.640018545786462</v>
      </c>
      <c r="E1905" s="10">
        <v>6.2761101860766404</v>
      </c>
      <c r="F1905" s="4">
        <v>3.47148210692621E-10</v>
      </c>
      <c r="G1905" s="4">
        <v>7.5086098366060898E-9</v>
      </c>
      <c r="H1905" s="10" t="s">
        <v>5289</v>
      </c>
      <c r="I1905" s="10" t="s">
        <v>18</v>
      </c>
    </row>
    <row r="1906" spans="1:9" x14ac:dyDescent="0.2">
      <c r="A1906" s="10" t="s">
        <v>5292</v>
      </c>
      <c r="B1906" s="10">
        <v>1691.5793249289</v>
      </c>
      <c r="C1906" s="10">
        <v>1.04136707138281</v>
      </c>
      <c r="D1906" s="10">
        <v>0.27141312889835301</v>
      </c>
      <c r="E1906" s="10">
        <v>3.8368338171762302</v>
      </c>
      <c r="F1906" s="10">
        <v>1.24630747231401E-4</v>
      </c>
      <c r="G1906" s="10">
        <v>9.8525658284283097E-4</v>
      </c>
      <c r="H1906" s="10" t="s">
        <v>5293</v>
      </c>
      <c r="I1906" s="10" t="s">
        <v>18</v>
      </c>
    </row>
    <row r="1907" spans="1:9" x14ac:dyDescent="0.2">
      <c r="A1907" s="10" t="s">
        <v>5294</v>
      </c>
      <c r="B1907" s="10">
        <v>3351.9064391745301</v>
      </c>
      <c r="C1907" s="10">
        <v>-1.5423484177556901</v>
      </c>
      <c r="D1907" s="10">
        <v>0.27944854738147201</v>
      </c>
      <c r="E1907" s="10">
        <v>-5.5192572378995104</v>
      </c>
      <c r="F1907" s="4">
        <v>3.4043553922047499E-8</v>
      </c>
      <c r="G1907" s="4">
        <v>5.49304425214307E-7</v>
      </c>
      <c r="H1907" s="10" t="s">
        <v>5295</v>
      </c>
      <c r="I1907" s="10" t="s">
        <v>18</v>
      </c>
    </row>
    <row r="1908" spans="1:9" x14ac:dyDescent="0.2">
      <c r="A1908" s="10" t="s">
        <v>10693</v>
      </c>
      <c r="B1908" s="10">
        <v>7677.7392185423596</v>
      </c>
      <c r="C1908" s="10">
        <v>2.0000547089492802</v>
      </c>
      <c r="D1908" s="10">
        <v>0.24061560724382999</v>
      </c>
      <c r="E1908" s="10">
        <v>8.31224014044321</v>
      </c>
      <c r="F1908" s="4">
        <v>9.3912137796807403E-17</v>
      </c>
      <c r="G1908" s="4">
        <v>4.0730341832391203E-15</v>
      </c>
      <c r="H1908" s="10" t="s">
        <v>10694</v>
      </c>
      <c r="I1908" s="10" t="s">
        <v>18</v>
      </c>
    </row>
    <row r="1909" spans="1:9" x14ac:dyDescent="0.2">
      <c r="A1909" s="10" t="s">
        <v>5296</v>
      </c>
      <c r="B1909" s="10">
        <v>4691.9390060669202</v>
      </c>
      <c r="C1909" s="10">
        <v>2.4361802150484402</v>
      </c>
      <c r="D1909" s="10">
        <v>0.23618111349411999</v>
      </c>
      <c r="E1909" s="10">
        <v>10.3148815712103</v>
      </c>
      <c r="F1909" s="4">
        <v>6.0355672871049599E-25</v>
      </c>
      <c r="G1909" s="4">
        <v>4.6147323740767603E-23</v>
      </c>
      <c r="H1909" s="10" t="s">
        <v>5297</v>
      </c>
      <c r="I1909" s="10" t="s">
        <v>18</v>
      </c>
    </row>
    <row r="1910" spans="1:9" x14ac:dyDescent="0.2">
      <c r="A1910" s="10" t="s">
        <v>5300</v>
      </c>
      <c r="B1910" s="10">
        <v>148.80934699946101</v>
      </c>
      <c r="C1910" s="10">
        <v>5.1692265004407298</v>
      </c>
      <c r="D1910" s="10">
        <v>0.49585634852960903</v>
      </c>
      <c r="E1910" s="10">
        <v>10.424846864962699</v>
      </c>
      <c r="F1910" s="4">
        <v>1.9096670711636199E-25</v>
      </c>
      <c r="G1910" s="4">
        <v>1.5396690761256701E-23</v>
      </c>
      <c r="H1910" s="10" t="s">
        <v>5301</v>
      </c>
      <c r="I1910" s="10" t="s">
        <v>18</v>
      </c>
    </row>
    <row r="1911" spans="1:9" x14ac:dyDescent="0.2">
      <c r="A1911" s="10" t="s">
        <v>10695</v>
      </c>
      <c r="B1911" s="10">
        <v>47.059176463323702</v>
      </c>
      <c r="C1911" s="10">
        <v>-2.13763375045697</v>
      </c>
      <c r="D1911" s="10">
        <v>0.58063928326453296</v>
      </c>
      <c r="E1911" s="10">
        <v>-3.6815176169937001</v>
      </c>
      <c r="F1911" s="10">
        <v>2.3184976552201799E-4</v>
      </c>
      <c r="G1911" s="10">
        <v>1.7033238468768599E-3</v>
      </c>
      <c r="H1911" s="10" t="s">
        <v>10696</v>
      </c>
      <c r="I1911" s="10" t="s">
        <v>18</v>
      </c>
    </row>
    <row r="1912" spans="1:9" x14ac:dyDescent="0.2">
      <c r="A1912" s="10" t="s">
        <v>5304</v>
      </c>
      <c r="B1912" s="10">
        <v>26.236964132776698</v>
      </c>
      <c r="C1912" s="10">
        <v>3.6929533567347401</v>
      </c>
      <c r="D1912" s="10">
        <v>0.838893732224407</v>
      </c>
      <c r="E1912" s="10">
        <v>4.4021706383984096</v>
      </c>
      <c r="F1912" s="4">
        <v>1.07173211768441E-5</v>
      </c>
      <c r="G1912" s="10">
        <v>1.08882962117736E-4</v>
      </c>
      <c r="H1912" s="10" t="s">
        <v>5305</v>
      </c>
      <c r="I1912" s="10" t="s">
        <v>18</v>
      </c>
    </row>
    <row r="1913" spans="1:9" x14ac:dyDescent="0.2">
      <c r="A1913" s="10" t="s">
        <v>5306</v>
      </c>
      <c r="B1913" s="10">
        <v>10.2257997033146</v>
      </c>
      <c r="C1913" s="10">
        <v>6.8707988282040704</v>
      </c>
      <c r="D1913" s="10">
        <v>1.7568699665265</v>
      </c>
      <c r="E1913" s="10">
        <v>3.9108180793757299</v>
      </c>
      <c r="F1913" s="4">
        <v>9.1984036525100306E-5</v>
      </c>
      <c r="G1913" s="10">
        <v>7.5394540201658496E-4</v>
      </c>
      <c r="H1913" s="10" t="s">
        <v>5307</v>
      </c>
      <c r="I1913" s="10" t="s">
        <v>18</v>
      </c>
    </row>
    <row r="1914" spans="1:9" x14ac:dyDescent="0.2">
      <c r="A1914" s="10" t="s">
        <v>5308</v>
      </c>
      <c r="B1914" s="10">
        <v>1234.96837981826</v>
      </c>
      <c r="C1914" s="10">
        <v>2.3173383943846102</v>
      </c>
      <c r="D1914" s="10">
        <v>0.25130728812911401</v>
      </c>
      <c r="E1914" s="10">
        <v>9.2211348569964198</v>
      </c>
      <c r="F1914" s="4">
        <v>2.9397218356651901E-20</v>
      </c>
      <c r="G1914" s="4">
        <v>1.60758049513387E-18</v>
      </c>
      <c r="H1914" s="10" t="s">
        <v>5309</v>
      </c>
      <c r="I1914" s="10" t="s">
        <v>18</v>
      </c>
    </row>
    <row r="1915" spans="1:9" x14ac:dyDescent="0.2">
      <c r="A1915" s="10" t="s">
        <v>5312</v>
      </c>
      <c r="B1915" s="10">
        <v>124.75995539229601</v>
      </c>
      <c r="C1915" s="10">
        <v>-1.9852749380708501</v>
      </c>
      <c r="D1915" s="10">
        <v>0.39708131517831502</v>
      </c>
      <c r="E1915" s="10">
        <v>-4.9996684864895702</v>
      </c>
      <c r="F1915" s="4">
        <v>5.7428969636393898E-7</v>
      </c>
      <c r="G1915" s="4">
        <v>7.5358671424282198E-6</v>
      </c>
      <c r="H1915" s="10" t="s">
        <v>5313</v>
      </c>
      <c r="I1915" s="10" t="s">
        <v>18</v>
      </c>
    </row>
    <row r="1916" spans="1:9" x14ac:dyDescent="0.2">
      <c r="A1916" s="10" t="s">
        <v>10697</v>
      </c>
      <c r="B1916" s="10">
        <v>150.202582634875</v>
      </c>
      <c r="C1916" s="10">
        <v>-2.1498854131178899</v>
      </c>
      <c r="D1916" s="10">
        <v>0.41540938944981798</v>
      </c>
      <c r="E1916" s="10">
        <v>-5.17534140469302</v>
      </c>
      <c r="F1916" s="4">
        <v>2.27494603588166E-7</v>
      </c>
      <c r="G1916" s="4">
        <v>3.2149588501462501E-6</v>
      </c>
      <c r="H1916" s="10" t="s">
        <v>10698</v>
      </c>
      <c r="I1916" s="10" t="s">
        <v>18</v>
      </c>
    </row>
    <row r="1917" spans="1:9" x14ac:dyDescent="0.2">
      <c r="A1917" s="10" t="s">
        <v>10699</v>
      </c>
      <c r="B1917" s="10">
        <v>155.43884807433099</v>
      </c>
      <c r="C1917" s="10">
        <v>-1.4360037175254601</v>
      </c>
      <c r="D1917" s="10">
        <v>0.36261085261526899</v>
      </c>
      <c r="E1917" s="10">
        <v>-3.9601785417301598</v>
      </c>
      <c r="F1917" s="4">
        <v>7.4893747638626995E-5</v>
      </c>
      <c r="G1917" s="10">
        <v>6.2903246138553001E-4</v>
      </c>
      <c r="H1917" s="10" t="s">
        <v>10700</v>
      </c>
      <c r="I1917" s="10" t="s">
        <v>18</v>
      </c>
    </row>
    <row r="1918" spans="1:9" x14ac:dyDescent="0.2">
      <c r="A1918" s="10" t="s">
        <v>10701</v>
      </c>
      <c r="B1918" s="10">
        <v>3668.68502629774</v>
      </c>
      <c r="C1918" s="10">
        <v>1.4947039887542299</v>
      </c>
      <c r="D1918" s="10">
        <v>0.26884759088716498</v>
      </c>
      <c r="E1918" s="10">
        <v>5.5596703835875196</v>
      </c>
      <c r="F1918" s="4">
        <v>2.702846195127E-8</v>
      </c>
      <c r="G1918" s="4">
        <v>4.4408945812161799E-7</v>
      </c>
      <c r="H1918" s="10" t="s">
        <v>10702</v>
      </c>
      <c r="I1918" s="10" t="s">
        <v>18</v>
      </c>
    </row>
    <row r="1919" spans="1:9" x14ac:dyDescent="0.2">
      <c r="A1919" s="10" t="s">
        <v>5316</v>
      </c>
      <c r="B1919" s="10">
        <v>817.18159777169501</v>
      </c>
      <c r="C1919" s="10">
        <v>1.40327352928864</v>
      </c>
      <c r="D1919" s="10">
        <v>0.27286999335529799</v>
      </c>
      <c r="E1919" s="10">
        <v>5.1426450817604996</v>
      </c>
      <c r="F1919" s="4">
        <v>2.7089709569154202E-7</v>
      </c>
      <c r="G1919" s="4">
        <v>3.7690356427658899E-6</v>
      </c>
      <c r="H1919" s="10" t="s">
        <v>5317</v>
      </c>
      <c r="I1919" s="10" t="s">
        <v>18</v>
      </c>
    </row>
    <row r="1920" spans="1:9" x14ac:dyDescent="0.2">
      <c r="A1920" s="10" t="s">
        <v>5320</v>
      </c>
      <c r="B1920" s="10">
        <v>104.20997864313</v>
      </c>
      <c r="C1920" s="10">
        <v>1.9916961384962</v>
      </c>
      <c r="D1920" s="10">
        <v>0.42502701844865498</v>
      </c>
      <c r="E1920" s="10">
        <v>4.6860459501277703</v>
      </c>
      <c r="F1920" s="4">
        <v>2.7853375479495199E-6</v>
      </c>
      <c r="G1920" s="4">
        <v>3.1934897911882498E-5</v>
      </c>
      <c r="H1920" s="10" t="s">
        <v>5321</v>
      </c>
      <c r="I1920" s="10" t="s">
        <v>18</v>
      </c>
    </row>
    <row r="1921" spans="1:9" x14ac:dyDescent="0.2">
      <c r="A1921" s="10" t="s">
        <v>5322</v>
      </c>
      <c r="B1921" s="10">
        <v>11898.0775312081</v>
      </c>
      <c r="C1921" s="10">
        <v>2.1258491281561902</v>
      </c>
      <c r="D1921" s="10">
        <v>0.24397156908405301</v>
      </c>
      <c r="E1921" s="10">
        <v>8.7135117265397195</v>
      </c>
      <c r="F1921" s="4">
        <v>2.94603192186948E-18</v>
      </c>
      <c r="G1921" s="4">
        <v>1.4088865588332101E-16</v>
      </c>
      <c r="H1921" s="10" t="s">
        <v>5323</v>
      </c>
      <c r="I1921" s="10" t="s">
        <v>18</v>
      </c>
    </row>
    <row r="1922" spans="1:9" x14ac:dyDescent="0.2">
      <c r="A1922" s="10" t="s">
        <v>5324</v>
      </c>
      <c r="B1922" s="10">
        <v>1927.3383885149101</v>
      </c>
      <c r="C1922" s="10">
        <v>-1.6993358706975199</v>
      </c>
      <c r="D1922" s="10">
        <v>0.26977113507797601</v>
      </c>
      <c r="E1922" s="10">
        <v>-6.2991760412259703</v>
      </c>
      <c r="F1922" s="4">
        <v>2.9923199499052801E-10</v>
      </c>
      <c r="G1922" s="4">
        <v>6.5226870311843503E-9</v>
      </c>
      <c r="H1922" s="10" t="s">
        <v>5325</v>
      </c>
      <c r="I1922" s="10" t="s">
        <v>18</v>
      </c>
    </row>
    <row r="1923" spans="1:9" x14ac:dyDescent="0.2">
      <c r="A1923" s="10" t="s">
        <v>5326</v>
      </c>
      <c r="B1923" s="10">
        <v>775.02023790810097</v>
      </c>
      <c r="C1923" s="10">
        <v>-1.44803982541308</v>
      </c>
      <c r="D1923" s="10">
        <v>0.25882755277921299</v>
      </c>
      <c r="E1923" s="10">
        <v>-5.59461235816842</v>
      </c>
      <c r="F1923" s="4">
        <v>2.2111523768468501E-8</v>
      </c>
      <c r="G1923" s="4">
        <v>3.6837430825262198E-7</v>
      </c>
      <c r="H1923" s="10" t="s">
        <v>5327</v>
      </c>
      <c r="I1923" s="10" t="s">
        <v>18</v>
      </c>
    </row>
    <row r="1924" spans="1:9" x14ac:dyDescent="0.2">
      <c r="A1924" s="10" t="s">
        <v>5328</v>
      </c>
      <c r="B1924" s="10">
        <v>386.14523817374197</v>
      </c>
      <c r="C1924" s="10">
        <v>-1.0131590590400801</v>
      </c>
      <c r="D1924" s="10">
        <v>0.31876016192395101</v>
      </c>
      <c r="E1924" s="10">
        <v>-3.17843689413673</v>
      </c>
      <c r="F1924" s="10">
        <v>1.4807144695914501E-3</v>
      </c>
      <c r="G1924" s="10">
        <v>8.5117395983941805E-3</v>
      </c>
      <c r="H1924" s="10" t="s">
        <v>5329</v>
      </c>
      <c r="I1924" s="10" t="s">
        <v>18</v>
      </c>
    </row>
    <row r="1925" spans="1:9" x14ac:dyDescent="0.2">
      <c r="A1925" s="10" t="s">
        <v>5338</v>
      </c>
      <c r="B1925" s="10">
        <v>8.07614583845562</v>
      </c>
      <c r="C1925" s="10">
        <v>6.5312222652024596</v>
      </c>
      <c r="D1925" s="10">
        <v>1.8235486276564199</v>
      </c>
      <c r="E1925" s="10">
        <v>3.58160027440355</v>
      </c>
      <c r="F1925" s="10">
        <v>3.41496016600229E-4</v>
      </c>
      <c r="G1925" s="10">
        <v>2.40154663057835E-3</v>
      </c>
      <c r="H1925" s="10" t="s">
        <v>5339</v>
      </c>
      <c r="I1925" s="10" t="s">
        <v>18</v>
      </c>
    </row>
    <row r="1926" spans="1:9" x14ac:dyDescent="0.2">
      <c r="A1926" s="10" t="s">
        <v>5340</v>
      </c>
      <c r="B1926" s="10">
        <v>109.156062208194</v>
      </c>
      <c r="C1926" s="10">
        <v>2.6173745363239198</v>
      </c>
      <c r="D1926" s="10">
        <v>0.412791907825448</v>
      </c>
      <c r="E1926" s="10">
        <v>6.34066338681885</v>
      </c>
      <c r="F1926" s="4">
        <v>2.2877790523450701E-10</v>
      </c>
      <c r="G1926" s="4">
        <v>5.0570370880263899E-9</v>
      </c>
      <c r="H1926" s="10" t="s">
        <v>5341</v>
      </c>
      <c r="I1926" s="10" t="s">
        <v>18</v>
      </c>
    </row>
    <row r="1927" spans="1:9" x14ac:dyDescent="0.2">
      <c r="A1927" s="10" t="s">
        <v>5342</v>
      </c>
      <c r="B1927" s="10">
        <v>469.28114882817903</v>
      </c>
      <c r="C1927" s="10">
        <v>-1.3666845156796099</v>
      </c>
      <c r="D1927" s="10">
        <v>0.29377164217936302</v>
      </c>
      <c r="E1927" s="10">
        <v>-4.6522002788995396</v>
      </c>
      <c r="F1927" s="4">
        <v>3.2841187651462498E-6</v>
      </c>
      <c r="G1927" s="4">
        <v>3.72797867947897E-5</v>
      </c>
      <c r="H1927" s="10" t="s">
        <v>5343</v>
      </c>
      <c r="I1927" s="10" t="s">
        <v>18</v>
      </c>
    </row>
    <row r="1928" spans="1:9" x14ac:dyDescent="0.2">
      <c r="A1928" s="10" t="s">
        <v>5344</v>
      </c>
      <c r="B1928" s="10">
        <v>4318.27139631106</v>
      </c>
      <c r="C1928" s="10">
        <v>-1.3253886770082799</v>
      </c>
      <c r="D1928" s="10">
        <v>0.241985862246101</v>
      </c>
      <c r="E1928" s="10">
        <v>-5.4771326915799401</v>
      </c>
      <c r="F1928" s="4">
        <v>4.32273068550456E-8</v>
      </c>
      <c r="G1928" s="4">
        <v>6.8691276306928197E-7</v>
      </c>
      <c r="H1928" s="10" t="s">
        <v>5345</v>
      </c>
      <c r="I1928" s="10" t="s">
        <v>18</v>
      </c>
    </row>
    <row r="1929" spans="1:9" x14ac:dyDescent="0.2">
      <c r="A1929" s="10" t="s">
        <v>5350</v>
      </c>
      <c r="B1929" s="10">
        <v>131.29671207485001</v>
      </c>
      <c r="C1929" s="10">
        <v>-2.2925711623840699</v>
      </c>
      <c r="D1929" s="10">
        <v>0.41825581944061302</v>
      </c>
      <c r="E1929" s="10">
        <v>-5.4812654261456997</v>
      </c>
      <c r="F1929" s="4">
        <v>4.2229436578625597E-8</v>
      </c>
      <c r="G1929" s="4">
        <v>6.7223815440298198E-7</v>
      </c>
      <c r="H1929" s="10" t="s">
        <v>5351</v>
      </c>
      <c r="I1929" s="10" t="s">
        <v>18</v>
      </c>
    </row>
    <row r="1930" spans="1:9" x14ac:dyDescent="0.2">
      <c r="A1930" s="10" t="s">
        <v>10703</v>
      </c>
      <c r="B1930" s="10">
        <v>24.835382036081999</v>
      </c>
      <c r="C1930" s="10">
        <v>-4.5356626937749196</v>
      </c>
      <c r="D1930" s="10">
        <v>0.97504898748297797</v>
      </c>
      <c r="E1930" s="10">
        <v>-4.6517280177721396</v>
      </c>
      <c r="F1930" s="4">
        <v>3.2916503912465399E-6</v>
      </c>
      <c r="G1930" s="4">
        <v>3.7348428322871802E-5</v>
      </c>
      <c r="H1930" s="10" t="s">
        <v>10704</v>
      </c>
      <c r="I1930" s="10" t="s">
        <v>18</v>
      </c>
    </row>
    <row r="1931" spans="1:9" x14ac:dyDescent="0.2">
      <c r="A1931" s="10" t="s">
        <v>10705</v>
      </c>
      <c r="B1931" s="10">
        <v>426.541597971123</v>
      </c>
      <c r="C1931" s="10">
        <v>-1.12818995487088</v>
      </c>
      <c r="D1931" s="10">
        <v>0.30826354615931101</v>
      </c>
      <c r="E1931" s="10">
        <v>-3.65982280074022</v>
      </c>
      <c r="F1931" s="10">
        <v>2.5238972006827199E-4</v>
      </c>
      <c r="G1931" s="10">
        <v>1.8338715795255299E-3</v>
      </c>
      <c r="H1931" s="10" t="s">
        <v>10706</v>
      </c>
      <c r="I1931" s="10" t="s">
        <v>18</v>
      </c>
    </row>
    <row r="1932" spans="1:9" x14ac:dyDescent="0.2">
      <c r="A1932" s="10" t="s">
        <v>10707</v>
      </c>
      <c r="B1932" s="10">
        <v>22.072816388838501</v>
      </c>
      <c r="C1932" s="10">
        <v>-2.18158267858428</v>
      </c>
      <c r="D1932" s="10">
        <v>0.81102730630805298</v>
      </c>
      <c r="E1932" s="10">
        <v>-2.6899004036192702</v>
      </c>
      <c r="F1932" s="10">
        <v>7.1473346680329397E-3</v>
      </c>
      <c r="G1932" s="10">
        <v>3.1804564580641903E-2</v>
      </c>
      <c r="H1932" s="10" t="s">
        <v>10708</v>
      </c>
      <c r="I1932" s="10" t="s">
        <v>18</v>
      </c>
    </row>
    <row r="1933" spans="1:9" x14ac:dyDescent="0.2">
      <c r="A1933" s="10" t="s">
        <v>5358</v>
      </c>
      <c r="B1933" s="10">
        <v>1256.5804995994899</v>
      </c>
      <c r="C1933" s="10">
        <v>1.6592749113143901</v>
      </c>
      <c r="D1933" s="10">
        <v>0.253247192721409</v>
      </c>
      <c r="E1933" s="10">
        <v>6.5519972540809803</v>
      </c>
      <c r="F1933" s="4">
        <v>5.6772586165721902E-11</v>
      </c>
      <c r="G1933" s="4">
        <v>1.3460079217707199E-9</v>
      </c>
      <c r="H1933" s="10" t="s">
        <v>5359</v>
      </c>
      <c r="I1933" s="10" t="s">
        <v>18</v>
      </c>
    </row>
    <row r="1934" spans="1:9" x14ac:dyDescent="0.2">
      <c r="A1934" s="10" t="s">
        <v>5362</v>
      </c>
      <c r="B1934" s="10">
        <v>1482.89603443076</v>
      </c>
      <c r="C1934" s="10">
        <v>1.73100721438188</v>
      </c>
      <c r="D1934" s="10">
        <v>0.28634815535428498</v>
      </c>
      <c r="E1934" s="10">
        <v>6.0451139007345498</v>
      </c>
      <c r="F1934" s="4">
        <v>1.49304486343159E-9</v>
      </c>
      <c r="G1934" s="4">
        <v>2.9596173002066001E-8</v>
      </c>
      <c r="H1934" s="10" t="s">
        <v>5363</v>
      </c>
      <c r="I1934" s="10" t="s">
        <v>18</v>
      </c>
    </row>
    <row r="1935" spans="1:9" x14ac:dyDescent="0.2">
      <c r="A1935" s="10" t="s">
        <v>5364</v>
      </c>
      <c r="B1935" s="10">
        <v>1095.11172995641</v>
      </c>
      <c r="C1935" s="10">
        <v>2.4189651321168801</v>
      </c>
      <c r="D1935" s="10">
        <v>0.25308720018863401</v>
      </c>
      <c r="E1935" s="10">
        <v>9.55783275611706</v>
      </c>
      <c r="F1935" s="4">
        <v>1.2024834991338101E-21</v>
      </c>
      <c r="G1935" s="4">
        <v>7.2020172430264001E-20</v>
      </c>
      <c r="H1935" s="10" t="s">
        <v>5365</v>
      </c>
      <c r="I1935" s="10" t="s">
        <v>18</v>
      </c>
    </row>
    <row r="1936" spans="1:9" x14ac:dyDescent="0.2">
      <c r="A1936" s="10" t="s">
        <v>5366</v>
      </c>
      <c r="B1936" s="10">
        <v>67.6162316645933</v>
      </c>
      <c r="C1936" s="10">
        <v>1.89670667282327</v>
      </c>
      <c r="D1936" s="10">
        <v>0.48056470342465202</v>
      </c>
      <c r="E1936" s="10">
        <v>3.9468289271075201</v>
      </c>
      <c r="F1936" s="4">
        <v>7.9193099097353694E-5</v>
      </c>
      <c r="G1936" s="10">
        <v>6.6007369376869804E-4</v>
      </c>
      <c r="H1936" s="10" t="s">
        <v>5367</v>
      </c>
      <c r="I1936" s="10" t="s">
        <v>18</v>
      </c>
    </row>
    <row r="1937" spans="1:9" x14ac:dyDescent="0.2">
      <c r="A1937" s="10" t="s">
        <v>5368</v>
      </c>
      <c r="B1937" s="10">
        <v>3548.01354840456</v>
      </c>
      <c r="C1937" s="10">
        <v>-1.2907642354680799</v>
      </c>
      <c r="D1937" s="10">
        <v>0.245969147094448</v>
      </c>
      <c r="E1937" s="10">
        <v>-5.2476672408529703</v>
      </c>
      <c r="F1937" s="4">
        <v>1.5403719729609899E-7</v>
      </c>
      <c r="G1937" s="4">
        <v>2.2488715600599902E-6</v>
      </c>
      <c r="H1937" s="10" t="s">
        <v>5369</v>
      </c>
      <c r="I1937" s="10" t="s">
        <v>18</v>
      </c>
    </row>
    <row r="1938" spans="1:9" x14ac:dyDescent="0.2">
      <c r="A1938" s="10" t="s">
        <v>10709</v>
      </c>
      <c r="B1938" s="10">
        <v>4209.9512631115904</v>
      </c>
      <c r="C1938" s="10">
        <v>-1.0433611188123399</v>
      </c>
      <c r="D1938" s="10">
        <v>0.26741827030368498</v>
      </c>
      <c r="E1938" s="10">
        <v>-3.9016074617021399</v>
      </c>
      <c r="F1938" s="4">
        <v>9.5556023926294707E-5</v>
      </c>
      <c r="G1938" s="10">
        <v>7.7966648779304005E-4</v>
      </c>
      <c r="H1938" s="10" t="s">
        <v>10710</v>
      </c>
      <c r="I1938" s="10" t="s">
        <v>18</v>
      </c>
    </row>
    <row r="1939" spans="1:9" x14ac:dyDescent="0.2">
      <c r="A1939" s="10" t="s">
        <v>5372</v>
      </c>
      <c r="B1939" s="10">
        <v>1294.7915700644201</v>
      </c>
      <c r="C1939" s="10">
        <v>2.8514616948081999</v>
      </c>
      <c r="D1939" s="10">
        <v>0.25064570475550901</v>
      </c>
      <c r="E1939" s="10">
        <v>11.376463433074299</v>
      </c>
      <c r="F1939" s="4">
        <v>5.4776271851307698E-30</v>
      </c>
      <c r="G1939" s="4">
        <v>5.64711933778543E-28</v>
      </c>
      <c r="H1939" s="10" t="s">
        <v>5373</v>
      </c>
      <c r="I1939" s="10" t="s">
        <v>18</v>
      </c>
    </row>
    <row r="1940" spans="1:9" x14ac:dyDescent="0.2">
      <c r="A1940" s="10" t="s">
        <v>5374</v>
      </c>
      <c r="B1940" s="10">
        <v>765.179300691207</v>
      </c>
      <c r="C1940" s="10">
        <v>3.5143284507075099</v>
      </c>
      <c r="D1940" s="10">
        <v>0.27601028477079398</v>
      </c>
      <c r="E1940" s="10">
        <v>12.7325996334735</v>
      </c>
      <c r="F1940" s="4">
        <v>3.8964614141354E-37</v>
      </c>
      <c r="G1940" s="4">
        <v>5.4757255236075895E-35</v>
      </c>
      <c r="H1940" s="10" t="s">
        <v>5375</v>
      </c>
      <c r="I1940" s="10" t="s">
        <v>18</v>
      </c>
    </row>
    <row r="1941" spans="1:9" x14ac:dyDescent="0.2">
      <c r="A1941" s="10" t="s">
        <v>10711</v>
      </c>
      <c r="B1941" s="10">
        <v>1212.9443510359799</v>
      </c>
      <c r="C1941" s="10">
        <v>-1.5992731574425501</v>
      </c>
      <c r="D1941" s="10">
        <v>0.285620220824711</v>
      </c>
      <c r="E1941" s="10">
        <v>-5.5992994922584396</v>
      </c>
      <c r="F1941" s="4">
        <v>2.15219700996721E-8</v>
      </c>
      <c r="G1941" s="4">
        <v>3.5948549658516002E-7</v>
      </c>
      <c r="H1941" s="10" t="s">
        <v>10712</v>
      </c>
      <c r="I1941" s="10" t="s">
        <v>18</v>
      </c>
    </row>
    <row r="1942" spans="1:9" x14ac:dyDescent="0.2">
      <c r="A1942" s="10" t="s">
        <v>5378</v>
      </c>
      <c r="B1942" s="10">
        <v>336.07273022194198</v>
      </c>
      <c r="C1942" s="10">
        <v>4.3892391691315797</v>
      </c>
      <c r="D1942" s="10">
        <v>0.33972375895293</v>
      </c>
      <c r="E1942" s="10">
        <v>12.9200241474419</v>
      </c>
      <c r="F1942" s="4">
        <v>3.4703253919444098E-38</v>
      </c>
      <c r="G1942" s="4">
        <v>5.32292897770497E-36</v>
      </c>
      <c r="H1942" s="10" t="s">
        <v>5379</v>
      </c>
      <c r="I1942" s="10" t="s">
        <v>18</v>
      </c>
    </row>
    <row r="1943" spans="1:9" x14ac:dyDescent="0.2">
      <c r="A1943" s="10" t="s">
        <v>5380</v>
      </c>
      <c r="B1943" s="10">
        <v>395.95102023487499</v>
      </c>
      <c r="C1943" s="10">
        <v>2.1584222198368699</v>
      </c>
      <c r="D1943" s="10">
        <v>0.29521080467282002</v>
      </c>
      <c r="E1943" s="10">
        <v>7.3114607787782004</v>
      </c>
      <c r="F1943" s="4">
        <v>2.64253661882668E-13</v>
      </c>
      <c r="G1943" s="4">
        <v>8.2575166020602599E-12</v>
      </c>
      <c r="H1943" s="10" t="s">
        <v>5381</v>
      </c>
      <c r="I1943" s="10" t="s">
        <v>18</v>
      </c>
    </row>
    <row r="1944" spans="1:9" x14ac:dyDescent="0.2">
      <c r="A1944" s="10" t="s">
        <v>10713</v>
      </c>
      <c r="B1944" s="10">
        <v>986.31035099915505</v>
      </c>
      <c r="C1944" s="10">
        <v>4.5638558855039904</v>
      </c>
      <c r="D1944" s="10">
        <v>0.31605371462085002</v>
      </c>
      <c r="E1944" s="10">
        <v>14.4401273403129</v>
      </c>
      <c r="F1944" s="4">
        <v>2.8930713276817399E-47</v>
      </c>
      <c r="G1944" s="4">
        <v>6.7384453007253901E-45</v>
      </c>
      <c r="H1944" s="10" t="s">
        <v>10714</v>
      </c>
      <c r="I1944" s="10" t="s">
        <v>18</v>
      </c>
    </row>
    <row r="1945" spans="1:9" x14ac:dyDescent="0.2">
      <c r="A1945" s="10" t="s">
        <v>5384</v>
      </c>
      <c r="B1945" s="10">
        <v>9965.5190893173203</v>
      </c>
      <c r="C1945" s="10">
        <v>2.05605437525253</v>
      </c>
      <c r="D1945" s="10">
        <v>0.26863125386807102</v>
      </c>
      <c r="E1945" s="10">
        <v>7.6538166935046501</v>
      </c>
      <c r="F1945" s="4">
        <v>1.9510033130851798E-14</v>
      </c>
      <c r="G1945" s="4">
        <v>6.65908932709061E-13</v>
      </c>
      <c r="H1945" s="10" t="s">
        <v>5385</v>
      </c>
      <c r="I1945" s="10" t="s">
        <v>18</v>
      </c>
    </row>
    <row r="1946" spans="1:9" x14ac:dyDescent="0.2">
      <c r="A1946" s="10" t="s">
        <v>10715</v>
      </c>
      <c r="B1946" s="10">
        <v>3226.9727704238599</v>
      </c>
      <c r="C1946" s="10">
        <v>-1.40248862970041</v>
      </c>
      <c r="D1946" s="10">
        <v>0.29060610322324398</v>
      </c>
      <c r="E1946" s="10">
        <v>-4.8260811254298099</v>
      </c>
      <c r="F1946" s="4">
        <v>1.39245806435409E-6</v>
      </c>
      <c r="G1946" s="4">
        <v>1.6799655927495099E-5</v>
      </c>
      <c r="H1946" s="10" t="s">
        <v>10716</v>
      </c>
      <c r="I1946" s="10" t="s">
        <v>18</v>
      </c>
    </row>
    <row r="1947" spans="1:9" x14ac:dyDescent="0.2">
      <c r="A1947" s="10" t="s">
        <v>10717</v>
      </c>
      <c r="B1947" s="10">
        <v>1463.2971850874601</v>
      </c>
      <c r="C1947" s="10">
        <v>1.19934975407998</v>
      </c>
      <c r="D1947" s="10">
        <v>0.27821833916741601</v>
      </c>
      <c r="E1947" s="10">
        <v>4.3108220603613203</v>
      </c>
      <c r="F1947" s="4">
        <v>1.62648751013225E-5</v>
      </c>
      <c r="G1947" s="10">
        <v>1.59013965477562E-4</v>
      </c>
      <c r="H1947" s="10" t="s">
        <v>10718</v>
      </c>
      <c r="I1947" s="10" t="s">
        <v>18</v>
      </c>
    </row>
    <row r="1948" spans="1:9" x14ac:dyDescent="0.2">
      <c r="A1948" s="10" t="s">
        <v>10719</v>
      </c>
      <c r="B1948" s="10">
        <v>1074.4088126465699</v>
      </c>
      <c r="C1948" s="10">
        <v>-1.31311177471066</v>
      </c>
      <c r="D1948" s="10">
        <v>0.29722425739474001</v>
      </c>
      <c r="E1948" s="10">
        <v>-4.4179159070678899</v>
      </c>
      <c r="F1948" s="4">
        <v>9.9657177341966695E-6</v>
      </c>
      <c r="G1948" s="10">
        <v>1.02071510424966E-4</v>
      </c>
      <c r="H1948" s="10" t="s">
        <v>10720</v>
      </c>
      <c r="I1948" s="10" t="s">
        <v>18</v>
      </c>
    </row>
    <row r="1949" spans="1:9" x14ac:dyDescent="0.2">
      <c r="A1949" s="10" t="s">
        <v>5396</v>
      </c>
      <c r="B1949" s="10">
        <v>675.62903680729903</v>
      </c>
      <c r="C1949" s="10">
        <v>2.5823614260901802</v>
      </c>
      <c r="D1949" s="10">
        <v>0.282546030124529</v>
      </c>
      <c r="E1949" s="10">
        <v>9.1396131984301103</v>
      </c>
      <c r="F1949" s="4">
        <v>6.2676100529002805E-20</v>
      </c>
      <c r="G1949" s="4">
        <v>3.35450491235546E-18</v>
      </c>
      <c r="H1949" s="10" t="s">
        <v>5397</v>
      </c>
      <c r="I1949" s="10" t="s">
        <v>18</v>
      </c>
    </row>
    <row r="1950" spans="1:9" x14ac:dyDescent="0.2">
      <c r="A1950" s="10" t="s">
        <v>10721</v>
      </c>
      <c r="B1950" s="10">
        <v>131.25997914895601</v>
      </c>
      <c r="C1950" s="10">
        <v>1.3728009833537</v>
      </c>
      <c r="D1950" s="10">
        <v>0.40647155223544301</v>
      </c>
      <c r="E1950" s="10">
        <v>3.3773605454153</v>
      </c>
      <c r="F1950" s="10">
        <v>7.3185052473574903E-4</v>
      </c>
      <c r="G1950" s="10">
        <v>4.67844979662713E-3</v>
      </c>
      <c r="H1950" s="10" t="s">
        <v>10722</v>
      </c>
      <c r="I1950" s="10" t="s">
        <v>18</v>
      </c>
    </row>
    <row r="1951" spans="1:9" x14ac:dyDescent="0.2">
      <c r="A1951" s="10" t="s">
        <v>10723</v>
      </c>
      <c r="B1951" s="10">
        <v>1983.2289116811501</v>
      </c>
      <c r="C1951" s="10">
        <v>1.3503983376519899</v>
      </c>
      <c r="D1951" s="10">
        <v>0.27361127500803201</v>
      </c>
      <c r="E1951" s="10">
        <v>4.9354630492195302</v>
      </c>
      <c r="F1951" s="4">
        <v>7.9960818990323898E-7</v>
      </c>
      <c r="G1951" s="4">
        <v>1.0210225389348201E-5</v>
      </c>
      <c r="H1951" s="10" t="s">
        <v>10724</v>
      </c>
      <c r="I1951" s="10" t="s">
        <v>18</v>
      </c>
    </row>
    <row r="1952" spans="1:9" x14ac:dyDescent="0.2">
      <c r="A1952" s="10" t="s">
        <v>10725</v>
      </c>
      <c r="B1952" s="10">
        <v>265.63812368184801</v>
      </c>
      <c r="C1952" s="10">
        <v>-1.92655781570813</v>
      </c>
      <c r="D1952" s="10">
        <v>0.31482944429460702</v>
      </c>
      <c r="E1952" s="10">
        <v>-6.1193698703267501</v>
      </c>
      <c r="F1952" s="4">
        <v>9.3946113337551692E-10</v>
      </c>
      <c r="G1952" s="4">
        <v>1.9225245587307301E-8</v>
      </c>
      <c r="H1952" s="10" t="s">
        <v>10726</v>
      </c>
      <c r="I1952" s="10" t="s">
        <v>18</v>
      </c>
    </row>
    <row r="1953" spans="1:9" x14ac:dyDescent="0.2">
      <c r="A1953" s="10" t="s">
        <v>10727</v>
      </c>
      <c r="B1953" s="10">
        <v>70265.722713503405</v>
      </c>
      <c r="C1953" s="10">
        <v>-1.3292345611807099</v>
      </c>
      <c r="D1953" s="10">
        <v>0.26939476564393899</v>
      </c>
      <c r="E1953" s="10">
        <v>-4.9341514041797199</v>
      </c>
      <c r="F1953" s="4">
        <v>8.0499978782785505E-7</v>
      </c>
      <c r="G1953" s="4">
        <v>1.0263441288803699E-5</v>
      </c>
      <c r="H1953" s="10" t="s">
        <v>10728</v>
      </c>
      <c r="I1953" s="10" t="s">
        <v>18</v>
      </c>
    </row>
    <row r="1954" spans="1:9" x14ac:dyDescent="0.2">
      <c r="A1954" s="10" t="s">
        <v>5414</v>
      </c>
      <c r="B1954" s="10">
        <v>6268.5149485499196</v>
      </c>
      <c r="C1954" s="10">
        <v>1.3426765902887099</v>
      </c>
      <c r="D1954" s="10">
        <v>0.241810031507986</v>
      </c>
      <c r="E1954" s="10">
        <v>5.5526091366659003</v>
      </c>
      <c r="F1954" s="4">
        <v>2.81436894277954E-8</v>
      </c>
      <c r="G1954" s="4">
        <v>4.6120814824507701E-7</v>
      </c>
      <c r="H1954" s="10" t="s">
        <v>5415</v>
      </c>
      <c r="I1954" s="10" t="s">
        <v>18</v>
      </c>
    </row>
    <row r="1955" spans="1:9" x14ac:dyDescent="0.2">
      <c r="A1955" s="10" t="s">
        <v>10729</v>
      </c>
      <c r="B1955" s="10">
        <v>51.412736038584001</v>
      </c>
      <c r="C1955" s="10">
        <v>-2.3942377132434398</v>
      </c>
      <c r="D1955" s="10">
        <v>0.54922162121276197</v>
      </c>
      <c r="E1955" s="10">
        <v>-4.3593289498629302</v>
      </c>
      <c r="F1955" s="4">
        <v>1.30461881015325E-5</v>
      </c>
      <c r="G1955" s="10">
        <v>1.29662924414875E-4</v>
      </c>
      <c r="H1955" s="10" t="s">
        <v>10730</v>
      </c>
      <c r="I1955" s="10" t="s">
        <v>18</v>
      </c>
    </row>
    <row r="1956" spans="1:9" x14ac:dyDescent="0.2">
      <c r="A1956" s="10" t="s">
        <v>10731</v>
      </c>
      <c r="B1956" s="10">
        <v>725.56537070709101</v>
      </c>
      <c r="C1956" s="10">
        <v>-2.2132649683551699</v>
      </c>
      <c r="D1956" s="10">
        <v>0.26925401967238</v>
      </c>
      <c r="E1956" s="10">
        <v>-8.21998858567909</v>
      </c>
      <c r="F1956" s="4">
        <v>2.03522550456788E-16</v>
      </c>
      <c r="G1956" s="4">
        <v>8.5612203289974902E-15</v>
      </c>
      <c r="H1956" s="10" t="s">
        <v>10732</v>
      </c>
      <c r="I1956" s="10" t="s">
        <v>18</v>
      </c>
    </row>
    <row r="1957" spans="1:9" x14ac:dyDescent="0.2">
      <c r="A1957" s="10" t="s">
        <v>10733</v>
      </c>
      <c r="B1957" s="10">
        <v>1223.86153490011</v>
      </c>
      <c r="C1957" s="10">
        <v>-1.3229687767132901</v>
      </c>
      <c r="D1957" s="10">
        <v>0.255060374596289</v>
      </c>
      <c r="E1957" s="10">
        <v>-5.1868847868168002</v>
      </c>
      <c r="F1957" s="4">
        <v>2.1384093115048499E-7</v>
      </c>
      <c r="G1957" s="4">
        <v>3.0322258303779299E-6</v>
      </c>
      <c r="H1957" s="10" t="s">
        <v>10734</v>
      </c>
      <c r="I1957" s="10" t="s">
        <v>18</v>
      </c>
    </row>
    <row r="1958" spans="1:9" x14ac:dyDescent="0.2">
      <c r="A1958" s="10" t="s">
        <v>10735</v>
      </c>
      <c r="B1958" s="10">
        <v>94.602804332123796</v>
      </c>
      <c r="C1958" s="10">
        <v>-3.2846449026146098</v>
      </c>
      <c r="D1958" s="10">
        <v>0.45853663972176201</v>
      </c>
      <c r="E1958" s="10">
        <v>-7.1633204810148303</v>
      </c>
      <c r="F1958" s="4">
        <v>7.8745963024874699E-13</v>
      </c>
      <c r="G1958" s="4">
        <v>2.2900054333996799E-11</v>
      </c>
      <c r="H1958" s="10" t="s">
        <v>10736</v>
      </c>
      <c r="I1958" s="10" t="s">
        <v>18</v>
      </c>
    </row>
    <row r="1959" spans="1:9" x14ac:dyDescent="0.2">
      <c r="A1959" s="10" t="s">
        <v>10737</v>
      </c>
      <c r="B1959" s="10">
        <v>43.1102196766048</v>
      </c>
      <c r="C1959" s="10">
        <v>-1.43629926117035</v>
      </c>
      <c r="D1959" s="10">
        <v>0.55979338733048301</v>
      </c>
      <c r="E1959" s="10">
        <v>-2.5657667519434399</v>
      </c>
      <c r="F1959" s="10">
        <v>1.02948029336896E-2</v>
      </c>
      <c r="G1959" s="10">
        <v>4.3276364939331798E-2</v>
      </c>
      <c r="H1959" s="10" t="s">
        <v>10738</v>
      </c>
      <c r="I1959" s="10" t="s">
        <v>18</v>
      </c>
    </row>
    <row r="1960" spans="1:9" x14ac:dyDescent="0.2">
      <c r="A1960" s="10" t="s">
        <v>5420</v>
      </c>
      <c r="B1960" s="10">
        <v>104.229820214846</v>
      </c>
      <c r="C1960" s="10">
        <v>-1.5444713200920499</v>
      </c>
      <c r="D1960" s="10">
        <v>0.40189779891975103</v>
      </c>
      <c r="E1960" s="10">
        <v>-3.8429454558929801</v>
      </c>
      <c r="F1960" s="10">
        <v>1.21566493536804E-4</v>
      </c>
      <c r="G1960" s="10">
        <v>9.6497639689277102E-4</v>
      </c>
      <c r="H1960" s="10" t="s">
        <v>5421</v>
      </c>
      <c r="I1960" s="10" t="s">
        <v>18</v>
      </c>
    </row>
    <row r="1961" spans="1:9" x14ac:dyDescent="0.2">
      <c r="A1961" s="10" t="s">
        <v>5426</v>
      </c>
      <c r="B1961" s="10">
        <v>206.17124057323699</v>
      </c>
      <c r="C1961" s="10">
        <v>-1.3228192855395899</v>
      </c>
      <c r="D1961" s="10">
        <v>0.35720282992727298</v>
      </c>
      <c r="E1961" s="10">
        <v>-3.7032721319954698</v>
      </c>
      <c r="F1961" s="10">
        <v>2.1283635774966799E-4</v>
      </c>
      <c r="G1961" s="10">
        <v>1.57838991131866E-3</v>
      </c>
      <c r="H1961" s="10" t="s">
        <v>5427</v>
      </c>
      <c r="I1961" s="10" t="s">
        <v>18</v>
      </c>
    </row>
    <row r="1962" spans="1:9" x14ac:dyDescent="0.2">
      <c r="A1962" s="10" t="s">
        <v>5432</v>
      </c>
      <c r="B1962" s="10">
        <v>1838.3561734034099</v>
      </c>
      <c r="C1962" s="10">
        <v>1.0093965938118701</v>
      </c>
      <c r="D1962" s="10">
        <v>0.24297338046817599</v>
      </c>
      <c r="E1962" s="10">
        <v>4.1543505377704504</v>
      </c>
      <c r="F1962" s="4">
        <v>3.2621276149321297E-5</v>
      </c>
      <c r="G1962" s="10">
        <v>2.9904817840239702E-4</v>
      </c>
      <c r="H1962" s="10" t="s">
        <v>5433</v>
      </c>
      <c r="I1962" s="10" t="s">
        <v>18</v>
      </c>
    </row>
    <row r="1963" spans="1:9" x14ac:dyDescent="0.2">
      <c r="A1963" s="10" t="s">
        <v>5434</v>
      </c>
      <c r="B1963" s="10">
        <v>2406.5359564038299</v>
      </c>
      <c r="C1963" s="10">
        <v>-1.61761719445438</v>
      </c>
      <c r="D1963" s="10">
        <v>0.29817319686955501</v>
      </c>
      <c r="E1963" s="10">
        <v>-5.4250925684713804</v>
      </c>
      <c r="F1963" s="4">
        <v>5.7924512819757402E-8</v>
      </c>
      <c r="G1963" s="4">
        <v>8.9777641403635105E-7</v>
      </c>
      <c r="H1963" s="10" t="s">
        <v>5435</v>
      </c>
      <c r="I1963" s="10" t="s">
        <v>18</v>
      </c>
    </row>
    <row r="1964" spans="1:9" x14ac:dyDescent="0.2">
      <c r="A1964" s="10" t="s">
        <v>5440</v>
      </c>
      <c r="B1964" s="10">
        <v>96.601190792720402</v>
      </c>
      <c r="C1964" s="10">
        <v>-2.3014491655927798</v>
      </c>
      <c r="D1964" s="10">
        <v>0.44723508005746199</v>
      </c>
      <c r="E1964" s="10">
        <v>-5.1459495648174096</v>
      </c>
      <c r="F1964" s="4">
        <v>2.6617093412776799E-7</v>
      </c>
      <c r="G1964" s="4">
        <v>3.7094348188277099E-6</v>
      </c>
      <c r="H1964" s="10" t="s">
        <v>5441</v>
      </c>
      <c r="I1964" s="10" t="s">
        <v>18</v>
      </c>
    </row>
    <row r="1965" spans="1:9" x14ac:dyDescent="0.2">
      <c r="A1965" s="10" t="s">
        <v>5444</v>
      </c>
      <c r="B1965" s="10">
        <v>1064.4466234187901</v>
      </c>
      <c r="C1965" s="10">
        <v>-2.5401326254775198</v>
      </c>
      <c r="D1965" s="10">
        <v>0.25746276540612401</v>
      </c>
      <c r="E1965" s="10">
        <v>-9.8660193502959199</v>
      </c>
      <c r="F1965" s="4">
        <v>5.8437829518127798E-23</v>
      </c>
      <c r="G1965" s="4">
        <v>3.8082994858251396E-21</v>
      </c>
      <c r="H1965" s="10" t="s">
        <v>5445</v>
      </c>
      <c r="I1965" s="10" t="s">
        <v>18</v>
      </c>
    </row>
    <row r="1966" spans="1:9" x14ac:dyDescent="0.2">
      <c r="A1966" s="10" t="s">
        <v>5448</v>
      </c>
      <c r="B1966" s="10">
        <v>335.815851648788</v>
      </c>
      <c r="C1966" s="10">
        <v>-1.4447748035791601</v>
      </c>
      <c r="D1966" s="10">
        <v>0.307753625851162</v>
      </c>
      <c r="E1966" s="10">
        <v>-4.6945825563657104</v>
      </c>
      <c r="F1966" s="4">
        <v>2.67151705302148E-6</v>
      </c>
      <c r="G1966" s="4">
        <v>3.0741999756978697E-5</v>
      </c>
      <c r="H1966" s="10" t="s">
        <v>5449</v>
      </c>
      <c r="I1966" s="10" t="s">
        <v>18</v>
      </c>
    </row>
    <row r="1967" spans="1:9" x14ac:dyDescent="0.2">
      <c r="A1967" s="10" t="s">
        <v>10739</v>
      </c>
      <c r="B1967" s="10">
        <v>20.337525298688199</v>
      </c>
      <c r="C1967" s="10">
        <v>-3.5928144035041099</v>
      </c>
      <c r="D1967" s="10">
        <v>0.91291097823230005</v>
      </c>
      <c r="E1967" s="10">
        <v>-3.93555832843745</v>
      </c>
      <c r="F1967" s="4">
        <v>8.3003501061543498E-5</v>
      </c>
      <c r="G1967" s="10">
        <v>6.8773157747138605E-4</v>
      </c>
      <c r="H1967" s="10" t="s">
        <v>10740</v>
      </c>
      <c r="I1967" s="10" t="s">
        <v>18</v>
      </c>
    </row>
    <row r="1968" spans="1:9" x14ac:dyDescent="0.2">
      <c r="A1968" s="10" t="s">
        <v>5452</v>
      </c>
      <c r="B1968" s="10">
        <v>5971.3530346792204</v>
      </c>
      <c r="C1968" s="10">
        <v>3.38477916267238</v>
      </c>
      <c r="D1968" s="10">
        <v>0.26999425284636103</v>
      </c>
      <c r="E1968" s="10">
        <v>12.536485969567901</v>
      </c>
      <c r="F1968" s="4">
        <v>4.7144104151341098E-36</v>
      </c>
      <c r="G1968" s="4">
        <v>6.3417643846362797E-34</v>
      </c>
      <c r="H1968" s="10" t="s">
        <v>5453</v>
      </c>
      <c r="I1968" s="10" t="s">
        <v>18</v>
      </c>
    </row>
    <row r="1969" spans="1:9" x14ac:dyDescent="0.2">
      <c r="A1969" s="10" t="s">
        <v>5454</v>
      </c>
      <c r="B1969" s="10">
        <v>496.82486864634899</v>
      </c>
      <c r="C1969" s="10">
        <v>-1.4448732290681701</v>
      </c>
      <c r="D1969" s="10">
        <v>0.287817764913404</v>
      </c>
      <c r="E1969" s="10">
        <v>-5.0200974547310899</v>
      </c>
      <c r="F1969" s="4">
        <v>5.1645271193176995E-7</v>
      </c>
      <c r="G1969" s="4">
        <v>6.8375620887598302E-6</v>
      </c>
      <c r="H1969" s="10" t="s">
        <v>5455</v>
      </c>
      <c r="I1969" s="10" t="s">
        <v>18</v>
      </c>
    </row>
    <row r="1970" spans="1:9" x14ac:dyDescent="0.2">
      <c r="A1970" s="10" t="s">
        <v>5456</v>
      </c>
      <c r="B1970" s="10">
        <v>2516.6787210727598</v>
      </c>
      <c r="C1970" s="10">
        <v>1.1171393694898599</v>
      </c>
      <c r="D1970" s="10">
        <v>0.25262609507624301</v>
      </c>
      <c r="E1970" s="10">
        <v>4.4221059948407397</v>
      </c>
      <c r="F1970" s="4">
        <v>9.7743482476319204E-6</v>
      </c>
      <c r="G1970" s="10">
        <v>1.00356624558849E-4</v>
      </c>
      <c r="H1970" s="10" t="s">
        <v>5457</v>
      </c>
      <c r="I1970" s="10" t="s">
        <v>18</v>
      </c>
    </row>
    <row r="1971" spans="1:9" x14ac:dyDescent="0.2">
      <c r="A1971" s="10" t="s">
        <v>10741</v>
      </c>
      <c r="B1971" s="10">
        <v>137.869740695204</v>
      </c>
      <c r="C1971" s="10">
        <v>-1.03513618986996</v>
      </c>
      <c r="D1971" s="10">
        <v>0.36036366149462001</v>
      </c>
      <c r="E1971" s="10">
        <v>-2.87247661314324</v>
      </c>
      <c r="F1971" s="10">
        <v>4.0726822218385798E-3</v>
      </c>
      <c r="G1971" s="10">
        <v>1.9997720337761E-2</v>
      </c>
      <c r="H1971" s="10" t="s">
        <v>10742</v>
      </c>
      <c r="I1971" s="10" t="s">
        <v>18</v>
      </c>
    </row>
    <row r="1972" spans="1:9" x14ac:dyDescent="0.2">
      <c r="A1972" s="10" t="s">
        <v>5462</v>
      </c>
      <c r="B1972" s="10">
        <v>292.376869647631</v>
      </c>
      <c r="C1972" s="10">
        <v>8.2670535769197393</v>
      </c>
      <c r="D1972" s="10">
        <v>0.78635059334174795</v>
      </c>
      <c r="E1972" s="10">
        <v>10.513190486430901</v>
      </c>
      <c r="F1972" s="4">
        <v>7.5108734679680402E-26</v>
      </c>
      <c r="G1972" s="4">
        <v>6.2355122800902998E-24</v>
      </c>
      <c r="H1972" s="10" t="s">
        <v>5463</v>
      </c>
      <c r="I1972" s="10" t="s">
        <v>18</v>
      </c>
    </row>
    <row r="1973" spans="1:9" x14ac:dyDescent="0.2">
      <c r="A1973" s="10" t="s">
        <v>10743</v>
      </c>
      <c r="B1973" s="10">
        <v>3586.96148297736</v>
      </c>
      <c r="C1973" s="10">
        <v>-3.2297424374100299</v>
      </c>
      <c r="D1973" s="10">
        <v>0.302501991322149</v>
      </c>
      <c r="E1973" s="10">
        <v>-10.676764219943699</v>
      </c>
      <c r="F1973" s="4">
        <v>1.3074991287996999E-26</v>
      </c>
      <c r="G1973" s="4">
        <v>1.13024538092634E-24</v>
      </c>
      <c r="H1973" s="10" t="s">
        <v>10744</v>
      </c>
      <c r="I1973" s="10" t="s">
        <v>18</v>
      </c>
    </row>
    <row r="1974" spans="1:9" x14ac:dyDescent="0.2">
      <c r="A1974" s="10" t="s">
        <v>5466</v>
      </c>
      <c r="B1974" s="10">
        <v>302.05560385650102</v>
      </c>
      <c r="C1974" s="10">
        <v>-2.3455909574352098</v>
      </c>
      <c r="D1974" s="10">
        <v>0.30933723533178198</v>
      </c>
      <c r="E1974" s="10">
        <v>-7.5826337392568801</v>
      </c>
      <c r="F1974" s="4">
        <v>3.3860974480125702E-14</v>
      </c>
      <c r="G1974" s="4">
        <v>1.13569708406342E-12</v>
      </c>
      <c r="H1974" s="10" t="s">
        <v>5467</v>
      </c>
      <c r="I1974" s="10" t="s">
        <v>18</v>
      </c>
    </row>
    <row r="1975" spans="1:9" x14ac:dyDescent="0.2">
      <c r="A1975" s="10" t="s">
        <v>5470</v>
      </c>
      <c r="B1975" s="10">
        <v>516.14704895693296</v>
      </c>
      <c r="C1975" s="10">
        <v>-1.09590735909878</v>
      </c>
      <c r="D1975" s="10">
        <v>0.28640056394632901</v>
      </c>
      <c r="E1975" s="10">
        <v>-3.8264846409455799</v>
      </c>
      <c r="F1975" s="10">
        <v>1.2998625587417199E-4</v>
      </c>
      <c r="G1975" s="10">
        <v>1.0205381605851401E-3</v>
      </c>
      <c r="H1975" s="10" t="s">
        <v>5471</v>
      </c>
      <c r="I1975" s="10" t="s">
        <v>18</v>
      </c>
    </row>
    <row r="1976" spans="1:9" x14ac:dyDescent="0.2">
      <c r="A1976" s="10" t="s">
        <v>5474</v>
      </c>
      <c r="B1976" s="10">
        <v>2606.70335187919</v>
      </c>
      <c r="C1976" s="10">
        <v>6.3199131106267297</v>
      </c>
      <c r="D1976" s="10">
        <v>0.285484539252636</v>
      </c>
      <c r="E1976" s="10">
        <v>22.1374969277548</v>
      </c>
      <c r="F1976" s="4">
        <v>1.3767291289358399E-108</v>
      </c>
      <c r="G1976" s="4">
        <v>3.14832920348918E-105</v>
      </c>
      <c r="H1976" s="10" t="s">
        <v>5475</v>
      </c>
      <c r="I1976" s="10" t="s">
        <v>18</v>
      </c>
    </row>
    <row r="1977" spans="1:9" x14ac:dyDescent="0.2">
      <c r="A1977" s="10" t="s">
        <v>5476</v>
      </c>
      <c r="B1977" s="10">
        <v>41.478778606914602</v>
      </c>
      <c r="C1977" s="10">
        <v>2.1755843395813699</v>
      </c>
      <c r="D1977" s="10">
        <v>0.60969636342937406</v>
      </c>
      <c r="E1977" s="10">
        <v>3.5683078825405898</v>
      </c>
      <c r="F1977" s="10">
        <v>3.59294160027187E-4</v>
      </c>
      <c r="G1977" s="10">
        <v>2.5084775452356E-3</v>
      </c>
      <c r="H1977" s="10" t="s">
        <v>5477</v>
      </c>
      <c r="I1977" s="10" t="s">
        <v>18</v>
      </c>
    </row>
    <row r="1978" spans="1:9" x14ac:dyDescent="0.2">
      <c r="A1978" s="10" t="s">
        <v>10745</v>
      </c>
      <c r="B1978" s="10">
        <v>3460.4201220301602</v>
      </c>
      <c r="C1978" s="10">
        <v>1.0758585038328301</v>
      </c>
      <c r="D1978" s="10">
        <v>0.24469026711030201</v>
      </c>
      <c r="E1978" s="10">
        <v>4.3968177260922596</v>
      </c>
      <c r="F1978" s="4">
        <v>1.0984951693270099E-5</v>
      </c>
      <c r="G1978" s="10">
        <v>1.1124253616916599E-4</v>
      </c>
      <c r="H1978" s="10" t="s">
        <v>10746</v>
      </c>
      <c r="I1978" s="10" t="s">
        <v>18</v>
      </c>
    </row>
    <row r="1979" spans="1:9" x14ac:dyDescent="0.2">
      <c r="A1979" s="10" t="s">
        <v>5482</v>
      </c>
      <c r="B1979" s="10">
        <v>381.17676732642599</v>
      </c>
      <c r="C1979" s="10">
        <v>1.2290158407498499</v>
      </c>
      <c r="D1979" s="10">
        <v>0.30629391209503698</v>
      </c>
      <c r="E1979" s="10">
        <v>4.0125376059335904</v>
      </c>
      <c r="F1979" s="4">
        <v>6.00695057808278E-5</v>
      </c>
      <c r="G1979" s="10">
        <v>5.1695122063521201E-4</v>
      </c>
      <c r="H1979" s="10" t="s">
        <v>5483</v>
      </c>
      <c r="I1979" s="10" t="s">
        <v>18</v>
      </c>
    </row>
    <row r="1980" spans="1:9" x14ac:dyDescent="0.2">
      <c r="A1980" s="10" t="s">
        <v>10747</v>
      </c>
      <c r="B1980" s="10">
        <v>533.74060001694397</v>
      </c>
      <c r="C1980" s="10">
        <v>-3.27732907664095</v>
      </c>
      <c r="D1980" s="10">
        <v>0.31079715490897603</v>
      </c>
      <c r="E1980" s="10">
        <v>-10.5449133779902</v>
      </c>
      <c r="F1980" s="4">
        <v>5.3622247479775803E-26</v>
      </c>
      <c r="G1980" s="4">
        <v>4.5112629944941803E-24</v>
      </c>
      <c r="H1980" s="10" t="s">
        <v>10748</v>
      </c>
      <c r="I1980" s="10" t="s">
        <v>18</v>
      </c>
    </row>
    <row r="1981" spans="1:9" x14ac:dyDescent="0.2">
      <c r="A1981" s="10" t="s">
        <v>5488</v>
      </c>
      <c r="B1981" s="10">
        <v>130.97246877987399</v>
      </c>
      <c r="C1981" s="10">
        <v>4.3617582748805903</v>
      </c>
      <c r="D1981" s="10">
        <v>0.46718628137261498</v>
      </c>
      <c r="E1981" s="10">
        <v>9.3362293560194907</v>
      </c>
      <c r="F1981" s="4">
        <v>9.9825960240299904E-21</v>
      </c>
      <c r="G1981" s="4">
        <v>5.6429708535836999E-19</v>
      </c>
      <c r="H1981" s="10" t="s">
        <v>5489</v>
      </c>
      <c r="I1981" s="10" t="s">
        <v>18</v>
      </c>
    </row>
    <row r="1982" spans="1:9" x14ac:dyDescent="0.2">
      <c r="A1982" s="10" t="s">
        <v>5490</v>
      </c>
      <c r="B1982" s="10">
        <v>1497.18544043714</v>
      </c>
      <c r="C1982" s="10">
        <v>3.0788900857854902</v>
      </c>
      <c r="D1982" s="10">
        <v>0.27418955130165001</v>
      </c>
      <c r="E1982" s="10">
        <v>11.229056946806301</v>
      </c>
      <c r="F1982" s="4">
        <v>2.9359535151975699E-29</v>
      </c>
      <c r="G1982" s="4">
        <v>2.8515023426561801E-27</v>
      </c>
      <c r="H1982" s="10" t="s">
        <v>5491</v>
      </c>
      <c r="I1982" s="10" t="s">
        <v>18</v>
      </c>
    </row>
    <row r="1983" spans="1:9" x14ac:dyDescent="0.2">
      <c r="A1983" s="10" t="s">
        <v>5492</v>
      </c>
      <c r="B1983" s="10">
        <v>53.017979171688197</v>
      </c>
      <c r="C1983" s="10">
        <v>2.3447631563910298</v>
      </c>
      <c r="D1983" s="10">
        <v>0.561107269443194</v>
      </c>
      <c r="E1983" s="10">
        <v>4.17881443367828</v>
      </c>
      <c r="F1983" s="4">
        <v>2.93032653545791E-5</v>
      </c>
      <c r="G1983" s="10">
        <v>2.7010759985138802E-4</v>
      </c>
      <c r="H1983" s="10" t="s">
        <v>5493</v>
      </c>
      <c r="I1983" s="10" t="s">
        <v>18</v>
      </c>
    </row>
    <row r="1984" spans="1:9" x14ac:dyDescent="0.2">
      <c r="A1984" s="10" t="s">
        <v>10749</v>
      </c>
      <c r="B1984" s="10">
        <v>79.299171434715802</v>
      </c>
      <c r="C1984" s="10">
        <v>-2.2253338434918</v>
      </c>
      <c r="D1984" s="10">
        <v>0.44908669147490099</v>
      </c>
      <c r="E1984" s="10">
        <v>-4.9552433544251899</v>
      </c>
      <c r="F1984" s="4">
        <v>7.2239817467954203E-7</v>
      </c>
      <c r="G1984" s="4">
        <v>9.3046216508263605E-6</v>
      </c>
      <c r="H1984" s="10" t="s">
        <v>10750</v>
      </c>
      <c r="I1984" s="10" t="s">
        <v>18</v>
      </c>
    </row>
    <row r="1985" spans="1:9" x14ac:dyDescent="0.2">
      <c r="A1985" s="10" t="s">
        <v>5496</v>
      </c>
      <c r="B1985" s="10">
        <v>41.000735416029201</v>
      </c>
      <c r="C1985" s="10">
        <v>-1.87309837067799</v>
      </c>
      <c r="D1985" s="10">
        <v>0.58052076931712904</v>
      </c>
      <c r="E1985" s="10">
        <v>-3.2265828712404701</v>
      </c>
      <c r="F1985" s="10">
        <v>1.25277947790019E-3</v>
      </c>
      <c r="G1985" s="10">
        <v>7.40452720079401E-3</v>
      </c>
      <c r="H1985" s="10" t="s">
        <v>5497</v>
      </c>
      <c r="I1985" s="10" t="s">
        <v>18</v>
      </c>
    </row>
    <row r="1986" spans="1:9" x14ac:dyDescent="0.2">
      <c r="A1986" s="10" t="s">
        <v>10751</v>
      </c>
      <c r="B1986" s="10">
        <v>608.70409542018604</v>
      </c>
      <c r="C1986" s="10">
        <v>1.1393647423981601</v>
      </c>
      <c r="D1986" s="10">
        <v>0.279847998013247</v>
      </c>
      <c r="E1986" s="10">
        <v>4.0713699954509703</v>
      </c>
      <c r="F1986" s="4">
        <v>4.6737444257699797E-5</v>
      </c>
      <c r="G1986" s="10">
        <v>4.1266423668039201E-4</v>
      </c>
      <c r="H1986" s="10" t="s">
        <v>10752</v>
      </c>
      <c r="I1986" s="10" t="s">
        <v>18</v>
      </c>
    </row>
    <row r="1987" spans="1:9" x14ac:dyDescent="0.2">
      <c r="A1987" s="10" t="s">
        <v>5498</v>
      </c>
      <c r="B1987" s="10">
        <v>34602.9826799152</v>
      </c>
      <c r="C1987" s="10">
        <v>-1.96639318849376</v>
      </c>
      <c r="D1987" s="10">
        <v>0.29056782922632801</v>
      </c>
      <c r="E1987" s="10">
        <v>-6.7674153526545497</v>
      </c>
      <c r="F1987" s="4">
        <v>1.31103305665079E-11</v>
      </c>
      <c r="G1987" s="4">
        <v>3.3379591639727398E-10</v>
      </c>
      <c r="H1987" s="10" t="s">
        <v>5499</v>
      </c>
      <c r="I1987" s="10" t="s">
        <v>18</v>
      </c>
    </row>
    <row r="1988" spans="1:9" x14ac:dyDescent="0.2">
      <c r="A1988" s="10" t="s">
        <v>10753</v>
      </c>
      <c r="B1988" s="10">
        <v>748.55656636024605</v>
      </c>
      <c r="C1988" s="10">
        <v>-1.7051635815277899</v>
      </c>
      <c r="D1988" s="10">
        <v>0.33938671983447999</v>
      </c>
      <c r="E1988" s="10">
        <v>-5.0242495709891299</v>
      </c>
      <c r="F1988" s="4">
        <v>5.0540480099855995E-7</v>
      </c>
      <c r="G1988" s="4">
        <v>6.7054102157799502E-6</v>
      </c>
      <c r="H1988" s="10" t="s">
        <v>10754</v>
      </c>
      <c r="I1988" s="10" t="s">
        <v>18</v>
      </c>
    </row>
    <row r="1989" spans="1:9" x14ac:dyDescent="0.2">
      <c r="A1989" s="10" t="s">
        <v>5500</v>
      </c>
      <c r="B1989" s="10">
        <v>16556.349983690601</v>
      </c>
      <c r="C1989" s="10">
        <v>-1.05451507151053</v>
      </c>
      <c r="D1989" s="10">
        <v>0.29144608290663399</v>
      </c>
      <c r="E1989" s="10">
        <v>-3.6182166560404498</v>
      </c>
      <c r="F1989" s="10">
        <v>2.9664002615907402E-4</v>
      </c>
      <c r="G1989" s="10">
        <v>2.1222923373240901E-3</v>
      </c>
      <c r="H1989" s="10" t="s">
        <v>5501</v>
      </c>
      <c r="I1989" s="10" t="s">
        <v>18</v>
      </c>
    </row>
    <row r="1990" spans="1:9" x14ac:dyDescent="0.2">
      <c r="A1990" s="10" t="s">
        <v>5502</v>
      </c>
      <c r="B1990" s="10">
        <v>13.4478524719405</v>
      </c>
      <c r="C1990" s="10">
        <v>4.1800618179958802</v>
      </c>
      <c r="D1990" s="10">
        <v>1.19704588535267</v>
      </c>
      <c r="E1990" s="10">
        <v>3.4919812758592599</v>
      </c>
      <c r="F1990" s="10">
        <v>4.7945185582269601E-4</v>
      </c>
      <c r="G1990" s="10">
        <v>3.2230388651042002E-3</v>
      </c>
      <c r="H1990" s="10" t="s">
        <v>5503</v>
      </c>
      <c r="I1990" s="10" t="s">
        <v>18</v>
      </c>
    </row>
    <row r="1991" spans="1:9" x14ac:dyDescent="0.2">
      <c r="A1991" s="10" t="s">
        <v>10755</v>
      </c>
      <c r="B1991" s="10">
        <v>1583.54673208546</v>
      </c>
      <c r="C1991" s="10">
        <v>-1.08608313311114</v>
      </c>
      <c r="D1991" s="10">
        <v>0.25415629517627703</v>
      </c>
      <c r="E1991" s="10">
        <v>-4.2732883415610896</v>
      </c>
      <c r="F1991" s="4">
        <v>1.92611117707089E-5</v>
      </c>
      <c r="G1991" s="10">
        <v>1.8492872770694001E-4</v>
      </c>
      <c r="H1991" s="10" t="s">
        <v>10756</v>
      </c>
      <c r="I1991" s="10" t="s">
        <v>18</v>
      </c>
    </row>
    <row r="1992" spans="1:9" x14ac:dyDescent="0.2">
      <c r="A1992" s="10" t="s">
        <v>5504</v>
      </c>
      <c r="B1992" s="10">
        <v>42.3256027513224</v>
      </c>
      <c r="C1992" s="10">
        <v>2.0727165970311101</v>
      </c>
      <c r="D1992" s="10">
        <v>0.58577178046525602</v>
      </c>
      <c r="E1992" s="10">
        <v>3.5384370947074801</v>
      </c>
      <c r="F1992" s="10">
        <v>4.0250317265703398E-4</v>
      </c>
      <c r="G1992" s="10">
        <v>2.7678970224679299E-3</v>
      </c>
      <c r="H1992" s="10" t="s">
        <v>5505</v>
      </c>
      <c r="I1992" s="10" t="s">
        <v>18</v>
      </c>
    </row>
    <row r="1993" spans="1:9" x14ac:dyDescent="0.2">
      <c r="A1993" s="10" t="s">
        <v>10757</v>
      </c>
      <c r="B1993" s="10">
        <v>620.32410018172902</v>
      </c>
      <c r="C1993" s="10">
        <v>1.5035731157210801</v>
      </c>
      <c r="D1993" s="10">
        <v>0.32438374326617297</v>
      </c>
      <c r="E1993" s="10">
        <v>4.6351679050923602</v>
      </c>
      <c r="F1993" s="4">
        <v>3.5664787100219501E-6</v>
      </c>
      <c r="G1993" s="4">
        <v>4.0266953299193E-5</v>
      </c>
      <c r="H1993" s="10" t="s">
        <v>10758</v>
      </c>
      <c r="I1993" s="10" t="s">
        <v>18</v>
      </c>
    </row>
    <row r="1994" spans="1:9" x14ac:dyDescent="0.2">
      <c r="A1994" s="10" t="s">
        <v>5514</v>
      </c>
      <c r="B1994" s="10">
        <v>164.5000627435</v>
      </c>
      <c r="C1994" s="10">
        <v>-1.2388716291033599</v>
      </c>
      <c r="D1994" s="10">
        <v>0.37748353200951801</v>
      </c>
      <c r="E1994" s="10">
        <v>-3.28192231991759</v>
      </c>
      <c r="F1994" s="10">
        <v>1.03102003803628E-3</v>
      </c>
      <c r="G1994" s="10">
        <v>6.2660809511482299E-3</v>
      </c>
      <c r="H1994" s="10" t="s">
        <v>5515</v>
      </c>
      <c r="I1994" s="10" t="s">
        <v>18</v>
      </c>
    </row>
    <row r="1995" spans="1:9" x14ac:dyDescent="0.2">
      <c r="A1995" s="10" t="s">
        <v>5516</v>
      </c>
      <c r="B1995" s="10">
        <v>64.9683726264998</v>
      </c>
      <c r="C1995" s="10">
        <v>-1.69963294340985</v>
      </c>
      <c r="D1995" s="10">
        <v>0.48567853337023098</v>
      </c>
      <c r="E1995" s="10">
        <v>-3.4995018857756102</v>
      </c>
      <c r="F1995" s="10">
        <v>4.6612830765154899E-4</v>
      </c>
      <c r="G1995" s="10">
        <v>3.14608467372544E-3</v>
      </c>
      <c r="H1995" s="10" t="s">
        <v>5517</v>
      </c>
      <c r="I1995" s="10" t="s">
        <v>18</v>
      </c>
    </row>
    <row r="1996" spans="1:9" x14ac:dyDescent="0.2">
      <c r="A1996" s="10" t="s">
        <v>5518</v>
      </c>
      <c r="B1996" s="10">
        <v>1841.0556535018</v>
      </c>
      <c r="C1996" s="10">
        <v>1.0289723394207499</v>
      </c>
      <c r="D1996" s="10">
        <v>0.241212944063906</v>
      </c>
      <c r="E1996" s="10">
        <v>4.2658255485167604</v>
      </c>
      <c r="F1996" s="4">
        <v>1.9916436366759699E-5</v>
      </c>
      <c r="G1996" s="10">
        <v>1.90638491935251E-4</v>
      </c>
      <c r="H1996" s="10" t="s">
        <v>5519</v>
      </c>
      <c r="I1996" s="10" t="s">
        <v>18</v>
      </c>
    </row>
    <row r="1997" spans="1:9" x14ac:dyDescent="0.2">
      <c r="A1997" s="10" t="s">
        <v>5520</v>
      </c>
      <c r="B1997" s="10">
        <v>2695.6597840542099</v>
      </c>
      <c r="C1997" s="10">
        <v>1.68609239390098</v>
      </c>
      <c r="D1997" s="10">
        <v>0.29881603414763602</v>
      </c>
      <c r="E1997" s="10">
        <v>5.6425767068039399</v>
      </c>
      <c r="F1997" s="4">
        <v>1.67523859126186E-8</v>
      </c>
      <c r="G1997" s="4">
        <v>2.8589299025232002E-7</v>
      </c>
      <c r="H1997" s="10" t="s">
        <v>5521</v>
      </c>
      <c r="I1997" s="10" t="s">
        <v>18</v>
      </c>
    </row>
    <row r="1998" spans="1:9" x14ac:dyDescent="0.2">
      <c r="A1998" s="10" t="s">
        <v>5524</v>
      </c>
      <c r="B1998" s="10">
        <v>7091.8218255219799</v>
      </c>
      <c r="C1998" s="10">
        <v>3.4216925872735402</v>
      </c>
      <c r="D1998" s="10">
        <v>0.24308817332510901</v>
      </c>
      <c r="E1998" s="10">
        <v>14.075931956991299</v>
      </c>
      <c r="F1998" s="4">
        <v>5.3396292784168802E-45</v>
      </c>
      <c r="G1998" s="4">
        <v>1.1193197874881399E-42</v>
      </c>
      <c r="H1998" s="10" t="s">
        <v>5525</v>
      </c>
      <c r="I1998" s="10" t="s">
        <v>18</v>
      </c>
    </row>
    <row r="1999" spans="1:9" x14ac:dyDescent="0.2">
      <c r="A1999" s="10" t="s">
        <v>10759</v>
      </c>
      <c r="B1999" s="10">
        <v>303.30403037556198</v>
      </c>
      <c r="C1999" s="10">
        <v>-1.09887332478191</v>
      </c>
      <c r="D1999" s="10">
        <v>0.311129347125288</v>
      </c>
      <c r="E1999" s="10">
        <v>-3.5318858054859299</v>
      </c>
      <c r="F1999" s="10">
        <v>4.1260749316971497E-4</v>
      </c>
      <c r="G1999" s="10">
        <v>2.8296459898266599E-3</v>
      </c>
      <c r="H1999" s="10" t="s">
        <v>10760</v>
      </c>
      <c r="I1999" s="10" t="s">
        <v>18</v>
      </c>
    </row>
    <row r="2000" spans="1:9" x14ac:dyDescent="0.2">
      <c r="A2000" s="10" t="s">
        <v>10761</v>
      </c>
      <c r="B2000" s="10">
        <v>236.52652648582699</v>
      </c>
      <c r="C2000" s="10">
        <v>-1.0308095048172099</v>
      </c>
      <c r="D2000" s="10">
        <v>0.31542437998224099</v>
      </c>
      <c r="E2000" s="10">
        <v>-3.2680083412551899</v>
      </c>
      <c r="F2000" s="10">
        <v>1.0830717357267301E-3</v>
      </c>
      <c r="G2000" s="10">
        <v>6.53036181980005E-3</v>
      </c>
      <c r="H2000" s="10" t="s">
        <v>10762</v>
      </c>
      <c r="I2000" s="10" t="s">
        <v>18</v>
      </c>
    </row>
    <row r="2001" spans="1:9" x14ac:dyDescent="0.2">
      <c r="A2001" s="10" t="s">
        <v>10763</v>
      </c>
      <c r="B2001" s="10">
        <v>79.553741216417706</v>
      </c>
      <c r="C2001" s="10">
        <v>-1.6499941694782401</v>
      </c>
      <c r="D2001" s="10">
        <v>0.478365831588973</v>
      </c>
      <c r="E2001" s="10">
        <v>-3.4492308198466102</v>
      </c>
      <c r="F2001" s="10">
        <v>5.6218592537233603E-4</v>
      </c>
      <c r="G2001" s="10">
        <v>3.7030078430848701E-3</v>
      </c>
      <c r="H2001" s="10" t="s">
        <v>10764</v>
      </c>
      <c r="I2001" s="10" t="s">
        <v>18</v>
      </c>
    </row>
    <row r="2002" spans="1:9" x14ac:dyDescent="0.2">
      <c r="A2002" s="10" t="s">
        <v>5534</v>
      </c>
      <c r="B2002" s="10">
        <v>1144.6594902398999</v>
      </c>
      <c r="C2002" s="10">
        <v>-2.08640810300371</v>
      </c>
      <c r="D2002" s="10">
        <v>0.32423348364835203</v>
      </c>
      <c r="E2002" s="10">
        <v>-6.4348940138043504</v>
      </c>
      <c r="F2002" s="4">
        <v>1.23559516584656E-10</v>
      </c>
      <c r="G2002" s="4">
        <v>2.80518018022295E-9</v>
      </c>
      <c r="H2002" s="10" t="s">
        <v>5535</v>
      </c>
      <c r="I2002" s="10" t="s">
        <v>18</v>
      </c>
    </row>
    <row r="2003" spans="1:9" x14ac:dyDescent="0.2">
      <c r="A2003" s="10" t="s">
        <v>5536</v>
      </c>
      <c r="B2003" s="10">
        <v>175.94735768983901</v>
      </c>
      <c r="C2003" s="10">
        <v>1.7539879000212699</v>
      </c>
      <c r="D2003" s="10">
        <v>0.38927423724034799</v>
      </c>
      <c r="E2003" s="10">
        <v>4.5057898320106604</v>
      </c>
      <c r="F2003" s="4">
        <v>6.61265124973041E-6</v>
      </c>
      <c r="G2003" s="4">
        <v>7.0783507313603605E-5</v>
      </c>
      <c r="H2003" s="10" t="s">
        <v>5537</v>
      </c>
      <c r="I2003" s="10" t="s">
        <v>18</v>
      </c>
    </row>
    <row r="2004" spans="1:9" x14ac:dyDescent="0.2">
      <c r="A2004" s="10" t="s">
        <v>10765</v>
      </c>
      <c r="B2004" s="10">
        <v>176.245191277478</v>
      </c>
      <c r="C2004" s="10">
        <v>-1.7918997930507901</v>
      </c>
      <c r="D2004" s="10">
        <v>0.35740000843597902</v>
      </c>
      <c r="E2004" s="10">
        <v>-5.0137094313241199</v>
      </c>
      <c r="F2004" s="4">
        <v>5.3390594863467497E-7</v>
      </c>
      <c r="G2004" s="4">
        <v>7.0500809122862199E-6</v>
      </c>
      <c r="H2004" s="10" t="s">
        <v>10766</v>
      </c>
      <c r="I2004" s="10" t="s">
        <v>18</v>
      </c>
    </row>
    <row r="2005" spans="1:9" x14ac:dyDescent="0.2">
      <c r="A2005" s="10" t="s">
        <v>5540</v>
      </c>
      <c r="B2005" s="10">
        <v>682.46871518661396</v>
      </c>
      <c r="C2005" s="10">
        <v>-3.3638790273869699</v>
      </c>
      <c r="D2005" s="10">
        <v>0.29897969281991899</v>
      </c>
      <c r="E2005" s="10">
        <v>-11.251195677069299</v>
      </c>
      <c r="F2005" s="4">
        <v>2.2847361559751701E-29</v>
      </c>
      <c r="G2005" s="4">
        <v>2.2276177520757899E-27</v>
      </c>
      <c r="H2005" s="10" t="s">
        <v>5541</v>
      </c>
      <c r="I2005" s="10" t="s">
        <v>18</v>
      </c>
    </row>
    <row r="2006" spans="1:9" x14ac:dyDescent="0.2">
      <c r="A2006" s="10" t="s">
        <v>5546</v>
      </c>
      <c r="B2006" s="10">
        <v>17.991177574954399</v>
      </c>
      <c r="C2006" s="10">
        <v>-4.5060619391212899</v>
      </c>
      <c r="D2006" s="10">
        <v>1.16344497229611</v>
      </c>
      <c r="E2006" s="10">
        <v>-3.8730340036867901</v>
      </c>
      <c r="F2006" s="10">
        <v>1.0748882390436501E-4</v>
      </c>
      <c r="G2006" s="10">
        <v>8.6551900298152901E-4</v>
      </c>
      <c r="H2006" s="10" t="s">
        <v>5547</v>
      </c>
      <c r="I2006" s="10" t="s">
        <v>18</v>
      </c>
    </row>
    <row r="2007" spans="1:9" x14ac:dyDescent="0.2">
      <c r="A2007" s="10" t="s">
        <v>5550</v>
      </c>
      <c r="B2007" s="10">
        <v>254.90646167777999</v>
      </c>
      <c r="C2007" s="10">
        <v>3.2492508279991599</v>
      </c>
      <c r="D2007" s="10">
        <v>0.33525914267818202</v>
      </c>
      <c r="E2007" s="10">
        <v>9.6917590435949403</v>
      </c>
      <c r="F2007" s="4">
        <v>3.2685006869884801E-22</v>
      </c>
      <c r="G2007" s="4">
        <v>2.0351270985444399E-20</v>
      </c>
      <c r="H2007" s="10" t="s">
        <v>5551</v>
      </c>
      <c r="I2007" s="10" t="s">
        <v>18</v>
      </c>
    </row>
    <row r="2008" spans="1:9" x14ac:dyDescent="0.2">
      <c r="A2008" s="10" t="s">
        <v>5552</v>
      </c>
      <c r="B2008" s="10">
        <v>1094.05244912545</v>
      </c>
      <c r="C2008" s="10">
        <v>1.4151102432040901</v>
      </c>
      <c r="D2008" s="10">
        <v>0.28478331454968597</v>
      </c>
      <c r="E2008" s="10">
        <v>4.9690770874049903</v>
      </c>
      <c r="F2008" s="4">
        <v>6.72723235606457E-7</v>
      </c>
      <c r="G2008" s="4">
        <v>8.7093942314361406E-6</v>
      </c>
      <c r="H2008" s="10" t="s">
        <v>5553</v>
      </c>
      <c r="I2008" s="10" t="s">
        <v>18</v>
      </c>
    </row>
    <row r="2009" spans="1:9" x14ac:dyDescent="0.2">
      <c r="A2009" s="10" t="s">
        <v>5554</v>
      </c>
      <c r="B2009" s="10">
        <v>58.182134365359602</v>
      </c>
      <c r="C2009" s="10">
        <v>2.5634841004120799</v>
      </c>
      <c r="D2009" s="10">
        <v>0.52103007679227797</v>
      </c>
      <c r="E2009" s="10">
        <v>4.92003094369172</v>
      </c>
      <c r="F2009" s="4">
        <v>8.6530531110493001E-7</v>
      </c>
      <c r="G2009" s="4">
        <v>1.09270858939982E-5</v>
      </c>
      <c r="H2009" s="10" t="s">
        <v>5555</v>
      </c>
      <c r="I2009" s="10" t="s">
        <v>18</v>
      </c>
    </row>
    <row r="2010" spans="1:9" x14ac:dyDescent="0.2">
      <c r="A2010" s="10" t="s">
        <v>5560</v>
      </c>
      <c r="B2010" s="10">
        <v>150.19887554053301</v>
      </c>
      <c r="C2010" s="10">
        <v>-4.3528750303084198</v>
      </c>
      <c r="D2010" s="10">
        <v>0.44042329551914</v>
      </c>
      <c r="E2010" s="10">
        <v>-9.8833896267397794</v>
      </c>
      <c r="F2010" s="4">
        <v>4.9141917552151098E-23</v>
      </c>
      <c r="G2010" s="4">
        <v>3.2275846893586401E-21</v>
      </c>
      <c r="H2010" s="10" t="s">
        <v>5561</v>
      </c>
      <c r="I2010" s="10" t="s">
        <v>18</v>
      </c>
    </row>
    <row r="2011" spans="1:9" x14ac:dyDescent="0.2">
      <c r="A2011" s="10" t="s">
        <v>5562</v>
      </c>
      <c r="B2011" s="10">
        <v>1812.4746505727801</v>
      </c>
      <c r="C2011" s="10">
        <v>4.2282555312032004</v>
      </c>
      <c r="D2011" s="10">
        <v>0.31948761585548402</v>
      </c>
      <c r="E2011" s="10">
        <v>13.234489605743599</v>
      </c>
      <c r="F2011" s="4">
        <v>5.5472287735226297E-40</v>
      </c>
      <c r="G2011" s="4">
        <v>9.2410953508583899E-38</v>
      </c>
      <c r="H2011" s="10" t="s">
        <v>5563</v>
      </c>
      <c r="I2011" s="10" t="s">
        <v>18</v>
      </c>
    </row>
    <row r="2012" spans="1:9" x14ac:dyDescent="0.2">
      <c r="A2012" s="10" t="s">
        <v>5564</v>
      </c>
      <c r="B2012" s="10">
        <v>328.72940691436798</v>
      </c>
      <c r="C2012" s="10">
        <v>-2.9416378990262202</v>
      </c>
      <c r="D2012" s="10">
        <v>0.32991489718781702</v>
      </c>
      <c r="E2012" s="10">
        <v>-8.9163536539290504</v>
      </c>
      <c r="F2012" s="4">
        <v>4.8189288441997703E-19</v>
      </c>
      <c r="G2012" s="4">
        <v>2.4292616247664401E-17</v>
      </c>
      <c r="H2012" s="10" t="s">
        <v>5565</v>
      </c>
      <c r="I2012" s="10" t="s">
        <v>18</v>
      </c>
    </row>
    <row r="2013" spans="1:9" x14ac:dyDescent="0.2">
      <c r="A2013" s="10" t="s">
        <v>10767</v>
      </c>
      <c r="B2013" s="10">
        <v>100.84401197762401</v>
      </c>
      <c r="C2013" s="10">
        <v>-2.4435977362925998</v>
      </c>
      <c r="D2013" s="10">
        <v>0.43611383517176899</v>
      </c>
      <c r="E2013" s="10">
        <v>-5.6031190464988496</v>
      </c>
      <c r="F2013" s="4">
        <v>2.10528522419483E-8</v>
      </c>
      <c r="G2013" s="4">
        <v>3.5211735249083101E-7</v>
      </c>
      <c r="H2013" s="10" t="s">
        <v>10768</v>
      </c>
      <c r="I2013" s="10" t="s">
        <v>18</v>
      </c>
    </row>
    <row r="2014" spans="1:9" x14ac:dyDescent="0.2">
      <c r="A2014" s="10" t="s">
        <v>10769</v>
      </c>
      <c r="B2014" s="10">
        <v>51.721517674589698</v>
      </c>
      <c r="C2014" s="10">
        <v>-1.3149569544650199</v>
      </c>
      <c r="D2014" s="10">
        <v>0.52118091390806398</v>
      </c>
      <c r="E2014" s="10">
        <v>-2.52303359423667</v>
      </c>
      <c r="F2014" s="10">
        <v>1.1634728550801301E-2</v>
      </c>
      <c r="G2014" s="10">
        <v>4.7845610053197297E-2</v>
      </c>
      <c r="H2014" s="10" t="s">
        <v>10770</v>
      </c>
      <c r="I2014" s="10" t="s">
        <v>18</v>
      </c>
    </row>
    <row r="2015" spans="1:9" x14ac:dyDescent="0.2">
      <c r="A2015" s="10" t="s">
        <v>10771</v>
      </c>
      <c r="B2015" s="10">
        <v>461.64451958449501</v>
      </c>
      <c r="C2015" s="10">
        <v>-1.7784834130502001</v>
      </c>
      <c r="D2015" s="10">
        <v>0.286114511453543</v>
      </c>
      <c r="E2015" s="10">
        <v>-6.2159846559861602</v>
      </c>
      <c r="F2015" s="4">
        <v>5.1003788038985797E-10</v>
      </c>
      <c r="G2015" s="4">
        <v>1.0845310973125E-8</v>
      </c>
      <c r="H2015" s="10" t="s">
        <v>10772</v>
      </c>
      <c r="I2015" s="10" t="s">
        <v>18</v>
      </c>
    </row>
    <row r="2016" spans="1:9" x14ac:dyDescent="0.2">
      <c r="A2016" s="10" t="s">
        <v>5568</v>
      </c>
      <c r="B2016" s="10">
        <v>1669.0028420302899</v>
      </c>
      <c r="C2016" s="10">
        <v>4.0502149444319597</v>
      </c>
      <c r="D2016" s="10">
        <v>0.25619068675391499</v>
      </c>
      <c r="E2016" s="10">
        <v>15.8093761945469</v>
      </c>
      <c r="F2016" s="4">
        <v>2.6810836628608001E-56</v>
      </c>
      <c r="G2016" s="4">
        <v>8.1256216312365499E-54</v>
      </c>
      <c r="H2016" s="10" t="s">
        <v>5569</v>
      </c>
      <c r="I2016" s="10" t="s">
        <v>18</v>
      </c>
    </row>
    <row r="2017" spans="1:9" x14ac:dyDescent="0.2">
      <c r="A2017" s="10" t="s">
        <v>5572</v>
      </c>
      <c r="B2017" s="10">
        <v>1339.7186026683601</v>
      </c>
      <c r="C2017" s="10">
        <v>-1.15780533561881</v>
      </c>
      <c r="D2017" s="10">
        <v>0.24775174255884899</v>
      </c>
      <c r="E2017" s="10">
        <v>-4.6732480008441897</v>
      </c>
      <c r="F2017" s="4">
        <v>2.9647341239828E-6</v>
      </c>
      <c r="G2017" s="4">
        <v>3.3852876481519498E-5</v>
      </c>
      <c r="H2017" s="10" t="s">
        <v>5573</v>
      </c>
      <c r="I2017" s="10" t="s">
        <v>18</v>
      </c>
    </row>
    <row r="2018" spans="1:9" x14ac:dyDescent="0.2">
      <c r="A2018" s="10" t="s">
        <v>5576</v>
      </c>
      <c r="B2018" s="10">
        <v>276.40302744528901</v>
      </c>
      <c r="C2018" s="10">
        <v>-1.2342337382198201</v>
      </c>
      <c r="D2018" s="10">
        <v>0.30224103260871299</v>
      </c>
      <c r="E2018" s="10">
        <v>-4.0836074690682</v>
      </c>
      <c r="F2018" s="4">
        <v>4.43419080365237E-5</v>
      </c>
      <c r="G2018" s="10">
        <v>3.9303054850555098E-4</v>
      </c>
      <c r="H2018" s="10" t="s">
        <v>5577</v>
      </c>
      <c r="I2018" s="10" t="s">
        <v>18</v>
      </c>
    </row>
    <row r="2019" spans="1:9" x14ac:dyDescent="0.2">
      <c r="A2019" s="10" t="s">
        <v>5578</v>
      </c>
      <c r="B2019" s="10">
        <v>6431.6221752845704</v>
      </c>
      <c r="C2019" s="10">
        <v>-1.2054747175567699</v>
      </c>
      <c r="D2019" s="10">
        <v>0.245377870451748</v>
      </c>
      <c r="E2019" s="10">
        <v>-4.9127279299370397</v>
      </c>
      <c r="F2019" s="4">
        <v>8.9817873078054601E-7</v>
      </c>
      <c r="G2019" s="4">
        <v>1.13308354928709E-5</v>
      </c>
      <c r="H2019" s="10" t="s">
        <v>5579</v>
      </c>
      <c r="I2019" s="10" t="s">
        <v>18</v>
      </c>
    </row>
    <row r="2020" spans="1:9" x14ac:dyDescent="0.2">
      <c r="A2020" s="10" t="s">
        <v>5580</v>
      </c>
      <c r="B2020" s="10">
        <v>322.67146341443998</v>
      </c>
      <c r="C2020" s="10">
        <v>-1.32982205687597</v>
      </c>
      <c r="D2020" s="10">
        <v>0.375584632084494</v>
      </c>
      <c r="E2020" s="10">
        <v>-3.5406721768552099</v>
      </c>
      <c r="F2020" s="10">
        <v>3.9910913317830701E-4</v>
      </c>
      <c r="G2020" s="10">
        <v>2.7490663321742301E-3</v>
      </c>
      <c r="H2020" s="10" t="s">
        <v>5581</v>
      </c>
      <c r="I2020" s="10" t="s">
        <v>18</v>
      </c>
    </row>
    <row r="2021" spans="1:9" x14ac:dyDescent="0.2">
      <c r="A2021" s="10" t="s">
        <v>10773</v>
      </c>
      <c r="B2021" s="10">
        <v>76.830922208206999</v>
      </c>
      <c r="C2021" s="10">
        <v>-3.0002687885959798</v>
      </c>
      <c r="D2021" s="10">
        <v>0.48382813238230898</v>
      </c>
      <c r="E2021" s="10">
        <v>-6.2011044579467303</v>
      </c>
      <c r="F2021" s="4">
        <v>5.6068282577508503E-10</v>
      </c>
      <c r="G2021" s="4">
        <v>1.1822277017914699E-8</v>
      </c>
      <c r="H2021" s="10" t="s">
        <v>10774</v>
      </c>
      <c r="I2021" s="10" t="s">
        <v>18</v>
      </c>
    </row>
    <row r="2022" spans="1:9" x14ac:dyDescent="0.2">
      <c r="A2022" s="10" t="s">
        <v>5586</v>
      </c>
      <c r="B2022" s="10">
        <v>141.95293066019499</v>
      </c>
      <c r="C2022" s="10">
        <v>-3.0565229544948802</v>
      </c>
      <c r="D2022" s="10">
        <v>0.38970236643261202</v>
      </c>
      <c r="E2022" s="10">
        <v>-7.8432240031660703</v>
      </c>
      <c r="F2022" s="4">
        <v>4.3912363948424201E-15</v>
      </c>
      <c r="G2022" s="4">
        <v>1.6078828458844401E-13</v>
      </c>
      <c r="H2022" s="10" t="s">
        <v>5587</v>
      </c>
      <c r="I2022" s="10" t="s">
        <v>18</v>
      </c>
    </row>
    <row r="2023" spans="1:9" x14ac:dyDescent="0.2">
      <c r="A2023" s="10" t="s">
        <v>10775</v>
      </c>
      <c r="B2023" s="10">
        <v>2796.6762701652601</v>
      </c>
      <c r="C2023" s="10">
        <v>-1.0876073054336299</v>
      </c>
      <c r="D2023" s="10">
        <v>0.27373254301537497</v>
      </c>
      <c r="E2023" s="10">
        <v>-3.9732480963088799</v>
      </c>
      <c r="F2023" s="4">
        <v>7.0899133598347798E-5</v>
      </c>
      <c r="G2023" s="10">
        <v>5.9940456056837004E-4</v>
      </c>
      <c r="H2023" s="10" t="s">
        <v>10776</v>
      </c>
      <c r="I2023" s="10" t="s">
        <v>18</v>
      </c>
    </row>
    <row r="2024" spans="1:9" x14ac:dyDescent="0.2">
      <c r="A2024" s="10" t="s">
        <v>5588</v>
      </c>
      <c r="B2024" s="10">
        <v>2913.88231380154</v>
      </c>
      <c r="C2024" s="10">
        <v>4.5826924619429503</v>
      </c>
      <c r="D2024" s="10">
        <v>0.25732187568424902</v>
      </c>
      <c r="E2024" s="10">
        <v>17.809183341902099</v>
      </c>
      <c r="F2024" s="4">
        <v>5.9978550634765296E-71</v>
      </c>
      <c r="G2024" s="4">
        <v>3.2799140026467798E-68</v>
      </c>
      <c r="H2024" s="10" t="s">
        <v>5589</v>
      </c>
      <c r="I2024" s="10" t="s">
        <v>18</v>
      </c>
    </row>
    <row r="2025" spans="1:9" x14ac:dyDescent="0.2">
      <c r="A2025" s="10" t="s">
        <v>10777</v>
      </c>
      <c r="B2025" s="10">
        <v>689.199143375316</v>
      </c>
      <c r="C2025" s="10">
        <v>-1.46516488360107</v>
      </c>
      <c r="D2025" s="10">
        <v>0.27466841441830098</v>
      </c>
      <c r="E2025" s="10">
        <v>-5.3343042253476103</v>
      </c>
      <c r="F2025" s="4">
        <v>9.5911604039350701E-8</v>
      </c>
      <c r="G2025" s="4">
        <v>1.4384816848295399E-6</v>
      </c>
      <c r="H2025" s="10" t="s">
        <v>10778</v>
      </c>
      <c r="I2025" s="10" t="s">
        <v>18</v>
      </c>
    </row>
    <row r="2026" spans="1:9" x14ac:dyDescent="0.2">
      <c r="A2026" s="10" t="s">
        <v>10779</v>
      </c>
      <c r="B2026" s="10">
        <v>39.779953588912598</v>
      </c>
      <c r="C2026" s="10">
        <v>-2.0333808692188602</v>
      </c>
      <c r="D2026" s="10">
        <v>0.58873391914709206</v>
      </c>
      <c r="E2026" s="10">
        <v>-3.4538198039696</v>
      </c>
      <c r="F2026" s="10">
        <v>5.5270654750627201E-4</v>
      </c>
      <c r="G2026" s="10">
        <v>3.6520444451064501E-3</v>
      </c>
      <c r="H2026" s="10" t="s">
        <v>10780</v>
      </c>
      <c r="I2026" s="10" t="s">
        <v>18</v>
      </c>
    </row>
    <row r="2027" spans="1:9" x14ac:dyDescent="0.2">
      <c r="A2027" s="10" t="s">
        <v>10781</v>
      </c>
      <c r="B2027" s="10">
        <v>4014.1736489083401</v>
      </c>
      <c r="C2027" s="10">
        <v>-1.0131926749190701</v>
      </c>
      <c r="D2027" s="10">
        <v>0.266611964734494</v>
      </c>
      <c r="E2027" s="10">
        <v>-3.80025208519077</v>
      </c>
      <c r="F2027" s="10">
        <v>1.4454896733519701E-4</v>
      </c>
      <c r="G2027" s="10">
        <v>1.1222621213941E-3</v>
      </c>
      <c r="H2027" s="10" t="s">
        <v>10782</v>
      </c>
      <c r="I2027" s="10" t="s">
        <v>18</v>
      </c>
    </row>
    <row r="2028" spans="1:9" x14ac:dyDescent="0.2">
      <c r="A2028" s="10" t="s">
        <v>5594</v>
      </c>
      <c r="B2028" s="10">
        <v>64.576309444667601</v>
      </c>
      <c r="C2028" s="10">
        <v>2.0218619848212098</v>
      </c>
      <c r="D2028" s="10">
        <v>0.50237264593304798</v>
      </c>
      <c r="E2028" s="10">
        <v>4.0246259448820796</v>
      </c>
      <c r="F2028" s="4">
        <v>5.7065947489417101E-5</v>
      </c>
      <c r="G2028" s="10">
        <v>4.9436266825409901E-4</v>
      </c>
      <c r="H2028" s="10" t="s">
        <v>5595</v>
      </c>
      <c r="I2028" s="10" t="s">
        <v>18</v>
      </c>
    </row>
    <row r="2029" spans="1:9" x14ac:dyDescent="0.2">
      <c r="A2029" s="10" t="s">
        <v>5596</v>
      </c>
      <c r="B2029" s="10">
        <v>4091.7184233046</v>
      </c>
      <c r="C2029" s="10">
        <v>-1.16883015309611</v>
      </c>
      <c r="D2029" s="10">
        <v>0.274938603885028</v>
      </c>
      <c r="E2029" s="10">
        <v>-4.2512405918264102</v>
      </c>
      <c r="F2029" s="4">
        <v>2.1258964460831001E-5</v>
      </c>
      <c r="G2029" s="10">
        <v>2.02028428791917E-4</v>
      </c>
      <c r="H2029" s="10" t="s">
        <v>5597</v>
      </c>
      <c r="I2029" s="10" t="s">
        <v>18</v>
      </c>
    </row>
    <row r="2030" spans="1:9" x14ac:dyDescent="0.2">
      <c r="A2030" s="10" t="s">
        <v>5598</v>
      </c>
      <c r="B2030" s="10">
        <v>116.93717156710299</v>
      </c>
      <c r="C2030" s="10">
        <v>-1.5743252442214299</v>
      </c>
      <c r="D2030" s="10">
        <v>0.38510178639847298</v>
      </c>
      <c r="E2030" s="10">
        <v>-4.0880756720054299</v>
      </c>
      <c r="F2030" s="4">
        <v>4.3496628072158299E-5</v>
      </c>
      <c r="G2030" s="10">
        <v>3.8703844328091401E-4</v>
      </c>
      <c r="H2030" s="10" t="s">
        <v>5599</v>
      </c>
      <c r="I2030" s="10" t="s">
        <v>18</v>
      </c>
    </row>
    <row r="2031" spans="1:9" x14ac:dyDescent="0.2">
      <c r="A2031" s="10" t="s">
        <v>5604</v>
      </c>
      <c r="B2031" s="10">
        <v>400.038015150219</v>
      </c>
      <c r="C2031" s="10">
        <v>-1.4395492111821999</v>
      </c>
      <c r="D2031" s="10">
        <v>0.29132745176076502</v>
      </c>
      <c r="E2031" s="10">
        <v>-4.9413441901257498</v>
      </c>
      <c r="F2031" s="4">
        <v>7.7585804741472504E-7</v>
      </c>
      <c r="G2031" s="4">
        <v>9.9473543235052995E-6</v>
      </c>
      <c r="H2031" s="10" t="s">
        <v>5605</v>
      </c>
      <c r="I2031" s="10" t="s">
        <v>18</v>
      </c>
    </row>
    <row r="2032" spans="1:9" x14ac:dyDescent="0.2">
      <c r="A2032" s="10" t="s">
        <v>5606</v>
      </c>
      <c r="B2032" s="10">
        <v>580.094022325271</v>
      </c>
      <c r="C2032" s="10">
        <v>-1.51986131898125</v>
      </c>
      <c r="D2032" s="10">
        <v>0.30312568768390402</v>
      </c>
      <c r="E2032" s="10">
        <v>-5.0139641103796802</v>
      </c>
      <c r="F2032" s="4">
        <v>5.3319936340242604E-7</v>
      </c>
      <c r="G2032" s="4">
        <v>7.0444485222626203E-6</v>
      </c>
      <c r="H2032" s="10" t="s">
        <v>5607</v>
      </c>
      <c r="I2032" s="10" t="s">
        <v>18</v>
      </c>
    </row>
    <row r="2033" spans="1:9" x14ac:dyDescent="0.2">
      <c r="A2033" s="10" t="s">
        <v>5608</v>
      </c>
      <c r="B2033" s="10">
        <v>90.658621314500294</v>
      </c>
      <c r="C2033" s="10">
        <v>-1.9700442549885999</v>
      </c>
      <c r="D2033" s="10">
        <v>0.442391386861063</v>
      </c>
      <c r="E2033" s="10">
        <v>-4.4531704583283496</v>
      </c>
      <c r="F2033" s="4">
        <v>8.4611528864417903E-6</v>
      </c>
      <c r="G2033" s="4">
        <v>8.8352138172869695E-5</v>
      </c>
      <c r="H2033" s="10" t="s">
        <v>5609</v>
      </c>
      <c r="I2033" s="10" t="s">
        <v>18</v>
      </c>
    </row>
    <row r="2034" spans="1:9" x14ac:dyDescent="0.2">
      <c r="A2034" s="10" t="s">
        <v>10783</v>
      </c>
      <c r="B2034" s="10">
        <v>878.20685005083101</v>
      </c>
      <c r="C2034" s="10">
        <v>-1.06260172029662</v>
      </c>
      <c r="D2034" s="10">
        <v>0.27767117254384299</v>
      </c>
      <c r="E2034" s="10">
        <v>-3.82683485131624</v>
      </c>
      <c r="F2034" s="10">
        <v>1.29801536897956E-4</v>
      </c>
      <c r="G2034" s="10">
        <v>1.0201952292704099E-3</v>
      </c>
      <c r="H2034" s="10" t="s">
        <v>10784</v>
      </c>
      <c r="I2034" s="10" t="s">
        <v>18</v>
      </c>
    </row>
    <row r="2035" spans="1:9" x14ac:dyDescent="0.2">
      <c r="A2035" s="10" t="s">
        <v>5614</v>
      </c>
      <c r="B2035" s="10">
        <v>4046.9201610273999</v>
      </c>
      <c r="C2035" s="10">
        <v>-1.5550935955312799</v>
      </c>
      <c r="D2035" s="10">
        <v>0.275875469539834</v>
      </c>
      <c r="E2035" s="10">
        <v>-5.6369404576826296</v>
      </c>
      <c r="F2035" s="4">
        <v>1.73097928845423E-8</v>
      </c>
      <c r="G2035" s="4">
        <v>2.9460611638069198E-7</v>
      </c>
      <c r="H2035" s="10" t="s">
        <v>5615</v>
      </c>
      <c r="I2035" s="10" t="s">
        <v>18</v>
      </c>
    </row>
    <row r="2036" spans="1:9" x14ac:dyDescent="0.2">
      <c r="A2036" s="10" t="s">
        <v>5616</v>
      </c>
      <c r="B2036" s="10">
        <v>66.741094529109503</v>
      </c>
      <c r="C2036" s="10">
        <v>-1.58980772401463</v>
      </c>
      <c r="D2036" s="10">
        <v>0.475494098254784</v>
      </c>
      <c r="E2036" s="10">
        <v>-3.3434857127559199</v>
      </c>
      <c r="F2036" s="10">
        <v>8.2732954054632604E-4</v>
      </c>
      <c r="G2036" s="10">
        <v>5.1898939133273904E-3</v>
      </c>
      <c r="H2036" s="10" t="s">
        <v>5617</v>
      </c>
      <c r="I2036" s="10" t="s">
        <v>18</v>
      </c>
    </row>
    <row r="2037" spans="1:9" x14ac:dyDescent="0.2">
      <c r="A2037" s="10" t="s">
        <v>5618</v>
      </c>
      <c r="B2037" s="10">
        <v>365.938543962837</v>
      </c>
      <c r="C2037" s="10">
        <v>-1.2821020100445699</v>
      </c>
      <c r="D2037" s="10">
        <v>0.33236902770013899</v>
      </c>
      <c r="E2037" s="10">
        <v>-3.8574653568541102</v>
      </c>
      <c r="F2037" s="10">
        <v>1.14568911176403E-4</v>
      </c>
      <c r="G2037" s="10">
        <v>9.1676035164526496E-4</v>
      </c>
      <c r="H2037" s="10" t="s">
        <v>5619</v>
      </c>
      <c r="I2037" s="10" t="s">
        <v>18</v>
      </c>
    </row>
    <row r="2038" spans="1:9" x14ac:dyDescent="0.2">
      <c r="A2038" s="10" t="s">
        <v>5626</v>
      </c>
      <c r="B2038" s="10">
        <v>129.96465856588301</v>
      </c>
      <c r="C2038" s="10">
        <v>1.4122199231316701</v>
      </c>
      <c r="D2038" s="10">
        <v>0.38490977507065199</v>
      </c>
      <c r="E2038" s="10">
        <v>3.6689635197558901</v>
      </c>
      <c r="F2038" s="10">
        <v>2.4353582374850001E-4</v>
      </c>
      <c r="G2038" s="10">
        <v>1.77766844920547E-3</v>
      </c>
      <c r="H2038" s="10" t="s">
        <v>5627</v>
      </c>
      <c r="I2038" s="10" t="s">
        <v>18</v>
      </c>
    </row>
    <row r="2039" spans="1:9" x14ac:dyDescent="0.2">
      <c r="A2039" s="10" t="s">
        <v>10785</v>
      </c>
      <c r="B2039" s="10">
        <v>2273.0885116836698</v>
      </c>
      <c r="C2039" s="10">
        <v>1.10569577991728</v>
      </c>
      <c r="D2039" s="10">
        <v>0.26413045154520798</v>
      </c>
      <c r="E2039" s="10">
        <v>4.1861730574750897</v>
      </c>
      <c r="F2039" s="4">
        <v>2.8369708017579998E-5</v>
      </c>
      <c r="G2039" s="10">
        <v>2.62560708308398E-4</v>
      </c>
      <c r="H2039" s="10" t="s">
        <v>10786</v>
      </c>
      <c r="I2039" s="10" t="s">
        <v>18</v>
      </c>
    </row>
    <row r="2040" spans="1:9" x14ac:dyDescent="0.2">
      <c r="A2040" s="10" t="s">
        <v>10787</v>
      </c>
      <c r="B2040" s="10">
        <v>4383.9336727510999</v>
      </c>
      <c r="C2040" s="10">
        <v>1.38744408018009</v>
      </c>
      <c r="D2040" s="10">
        <v>0.25125251570476198</v>
      </c>
      <c r="E2040" s="10">
        <v>5.5221102017160497</v>
      </c>
      <c r="F2040" s="4">
        <v>3.3495228742685003E-8</v>
      </c>
      <c r="G2040" s="4">
        <v>5.4184725339050997E-7</v>
      </c>
      <c r="H2040" s="10" t="s">
        <v>10788</v>
      </c>
      <c r="I2040" s="10" t="s">
        <v>18</v>
      </c>
    </row>
    <row r="2041" spans="1:9" x14ac:dyDescent="0.2">
      <c r="A2041" s="10" t="s">
        <v>5628</v>
      </c>
      <c r="B2041" s="10">
        <v>1998.00687827094</v>
      </c>
      <c r="C2041" s="10">
        <v>-1.2768521388543499</v>
      </c>
      <c r="D2041" s="10">
        <v>0.243036705512155</v>
      </c>
      <c r="E2041" s="10">
        <v>-5.2537419652871797</v>
      </c>
      <c r="F2041" s="4">
        <v>1.4903964989718599E-7</v>
      </c>
      <c r="G2041" s="4">
        <v>2.1835133332345399E-6</v>
      </c>
      <c r="H2041" s="10" t="s">
        <v>5629</v>
      </c>
      <c r="I2041" s="10" t="s">
        <v>18</v>
      </c>
    </row>
    <row r="2042" spans="1:9" x14ac:dyDescent="0.2">
      <c r="A2042" s="10" t="s">
        <v>10789</v>
      </c>
      <c r="B2042" s="10">
        <v>1531.9628232847101</v>
      </c>
      <c r="C2042" s="10">
        <v>1.4623441443872101</v>
      </c>
      <c r="D2042" s="10">
        <v>0.248656159394994</v>
      </c>
      <c r="E2042" s="10">
        <v>5.8809890249461301</v>
      </c>
      <c r="F2042" s="4">
        <v>4.0782221051589301E-9</v>
      </c>
      <c r="G2042" s="4">
        <v>7.6273365840351602E-8</v>
      </c>
      <c r="H2042" s="10" t="s">
        <v>10790</v>
      </c>
      <c r="I2042" s="10" t="s">
        <v>18</v>
      </c>
    </row>
    <row r="2043" spans="1:9" x14ac:dyDescent="0.2">
      <c r="A2043" s="10" t="s">
        <v>10791</v>
      </c>
      <c r="B2043" s="10">
        <v>98.668243500581895</v>
      </c>
      <c r="C2043" s="10">
        <v>-1.6724118769006799</v>
      </c>
      <c r="D2043" s="10">
        <v>0.40510571019755298</v>
      </c>
      <c r="E2043" s="10">
        <v>-4.1283344934464603</v>
      </c>
      <c r="F2043" s="4">
        <v>3.6540030610273897E-5</v>
      </c>
      <c r="G2043" s="10">
        <v>3.3039700575177602E-4</v>
      </c>
      <c r="H2043" s="10" t="s">
        <v>10792</v>
      </c>
      <c r="I2043" s="10" t="s">
        <v>18</v>
      </c>
    </row>
    <row r="2044" spans="1:9" x14ac:dyDescent="0.2">
      <c r="A2044" s="10" t="s">
        <v>10793</v>
      </c>
      <c r="B2044" s="10">
        <v>2542.7969497219601</v>
      </c>
      <c r="C2044" s="10">
        <v>1.0494112272649101</v>
      </c>
      <c r="D2044" s="10">
        <v>0.240583093821054</v>
      </c>
      <c r="E2044" s="10">
        <v>4.3619491735585703</v>
      </c>
      <c r="F2044" s="4">
        <v>1.28908820742905E-5</v>
      </c>
      <c r="G2044" s="10">
        <v>1.2837297647615899E-4</v>
      </c>
      <c r="H2044" s="10" t="s">
        <v>10794</v>
      </c>
      <c r="I2044" s="10" t="s">
        <v>18</v>
      </c>
    </row>
    <row r="2045" spans="1:9" x14ac:dyDescent="0.2">
      <c r="A2045" s="10" t="s">
        <v>5640</v>
      </c>
      <c r="B2045" s="10">
        <v>32642.3664995459</v>
      </c>
      <c r="C2045" s="10">
        <v>4.4358760186858399</v>
      </c>
      <c r="D2045" s="10">
        <v>0.24593401847319099</v>
      </c>
      <c r="E2045" s="10">
        <v>18.036854137645001</v>
      </c>
      <c r="F2045" s="4">
        <v>1.00081441675039E-72</v>
      </c>
      <c r="G2045" s="4">
        <v>5.7217015121263698E-70</v>
      </c>
      <c r="H2045" s="10" t="s">
        <v>5641</v>
      </c>
      <c r="I2045" s="10" t="s">
        <v>18</v>
      </c>
    </row>
    <row r="2046" spans="1:9" x14ac:dyDescent="0.2">
      <c r="A2046" s="10" t="s">
        <v>5648</v>
      </c>
      <c r="B2046" s="10">
        <v>40.985544727674998</v>
      </c>
      <c r="C2046" s="10">
        <v>2.31651856964351</v>
      </c>
      <c r="D2046" s="10">
        <v>0.58523724824434897</v>
      </c>
      <c r="E2046" s="10">
        <v>3.9582555221712599</v>
      </c>
      <c r="F2046" s="4">
        <v>7.5499165167940797E-5</v>
      </c>
      <c r="G2046" s="10">
        <v>6.33060499933184E-4</v>
      </c>
      <c r="H2046" s="10" t="s">
        <v>5649</v>
      </c>
      <c r="I2046" s="10" t="s">
        <v>18</v>
      </c>
    </row>
    <row r="2047" spans="1:9" x14ac:dyDescent="0.2">
      <c r="A2047" s="10" t="s">
        <v>10795</v>
      </c>
      <c r="B2047" s="10">
        <v>42.133315494204503</v>
      </c>
      <c r="C2047" s="10">
        <v>-1.4926357259676299</v>
      </c>
      <c r="D2047" s="10">
        <v>0.56029532182960495</v>
      </c>
      <c r="E2047" s="10">
        <v>-2.6640160426353998</v>
      </c>
      <c r="F2047" s="10">
        <v>7.7213880261849197E-3</v>
      </c>
      <c r="G2047" s="10">
        <v>3.3986266981396597E-2</v>
      </c>
      <c r="H2047" s="10" t="s">
        <v>10796</v>
      </c>
      <c r="I2047" s="10" t="s">
        <v>18</v>
      </c>
    </row>
    <row r="2048" spans="1:9" x14ac:dyDescent="0.2">
      <c r="A2048" s="10" t="s">
        <v>10797</v>
      </c>
      <c r="B2048" s="10">
        <v>128.40933342597501</v>
      </c>
      <c r="C2048" s="10">
        <v>-1.26875274050117</v>
      </c>
      <c r="D2048" s="10">
        <v>0.39595512381365</v>
      </c>
      <c r="E2048" s="10">
        <v>-3.2042841832204498</v>
      </c>
      <c r="F2048" s="10">
        <v>1.35398758454027E-3</v>
      </c>
      <c r="G2048" s="10">
        <v>7.9024495798400204E-3</v>
      </c>
      <c r="H2048" s="10" t="s">
        <v>10798</v>
      </c>
      <c r="I2048" s="10" t="s">
        <v>18</v>
      </c>
    </row>
    <row r="2049" spans="1:9" x14ac:dyDescent="0.2">
      <c r="A2049" s="10" t="s">
        <v>5658</v>
      </c>
      <c r="B2049" s="10">
        <v>2910.44647311277</v>
      </c>
      <c r="C2049" s="10">
        <v>1.4328092086945701</v>
      </c>
      <c r="D2049" s="10">
        <v>0.237329426076896</v>
      </c>
      <c r="E2049" s="10">
        <v>6.0372168440264504</v>
      </c>
      <c r="F2049" s="4">
        <v>1.56794961372575E-9</v>
      </c>
      <c r="G2049" s="4">
        <v>3.1007682809175399E-8</v>
      </c>
      <c r="H2049" s="10" t="s">
        <v>5659</v>
      </c>
      <c r="I2049" s="10" t="s">
        <v>18</v>
      </c>
    </row>
    <row r="2050" spans="1:9" x14ac:dyDescent="0.2">
      <c r="A2050" s="10" t="s">
        <v>5672</v>
      </c>
      <c r="B2050" s="10">
        <v>93.584392231270698</v>
      </c>
      <c r="C2050" s="10">
        <v>-3.0065184483403402</v>
      </c>
      <c r="D2050" s="10">
        <v>0.44755024792391801</v>
      </c>
      <c r="E2050" s="10">
        <v>-6.7177226742402301</v>
      </c>
      <c r="F2050" s="4">
        <v>1.8458656574284099E-11</v>
      </c>
      <c r="G2050" s="4">
        <v>4.610998074738E-10</v>
      </c>
      <c r="H2050" s="10" t="s">
        <v>5673</v>
      </c>
      <c r="I2050" s="10" t="s">
        <v>18</v>
      </c>
    </row>
    <row r="2051" spans="1:9" x14ac:dyDescent="0.2">
      <c r="A2051" s="10" t="s">
        <v>10799</v>
      </c>
      <c r="B2051" s="10">
        <v>1287.67420252072</v>
      </c>
      <c r="C2051" s="10">
        <v>1.0212589921562201</v>
      </c>
      <c r="D2051" s="10">
        <v>0.27658191512595798</v>
      </c>
      <c r="E2051" s="10">
        <v>3.6924286668964799</v>
      </c>
      <c r="F2051" s="10">
        <v>2.22122654383248E-4</v>
      </c>
      <c r="G2051" s="10">
        <v>1.6400045115968901E-3</v>
      </c>
      <c r="H2051" s="10" t="s">
        <v>10800</v>
      </c>
      <c r="I2051" s="10" t="s">
        <v>18</v>
      </c>
    </row>
    <row r="2052" spans="1:9" x14ac:dyDescent="0.2">
      <c r="A2052" s="10" t="s">
        <v>5678</v>
      </c>
      <c r="B2052" s="10">
        <v>3298.7213621365499</v>
      </c>
      <c r="C2052" s="10">
        <v>1.3576734603304801</v>
      </c>
      <c r="D2052" s="10">
        <v>0.26422443393970702</v>
      </c>
      <c r="E2052" s="10">
        <v>5.1383342565521097</v>
      </c>
      <c r="F2052" s="4">
        <v>2.7718451826905099E-7</v>
      </c>
      <c r="G2052" s="4">
        <v>3.8416399763404801E-6</v>
      </c>
      <c r="H2052" s="10" t="s">
        <v>5679</v>
      </c>
      <c r="I2052" s="10" t="s">
        <v>18</v>
      </c>
    </row>
    <row r="2053" spans="1:9" x14ac:dyDescent="0.2">
      <c r="A2053" s="10" t="s">
        <v>5680</v>
      </c>
      <c r="B2053" s="10">
        <v>3653.6028959151399</v>
      </c>
      <c r="C2053" s="10">
        <v>1.59138389088942</v>
      </c>
      <c r="D2053" s="10">
        <v>0.25351817013995998</v>
      </c>
      <c r="E2053" s="10">
        <v>6.27719855350351</v>
      </c>
      <c r="F2053" s="4">
        <v>3.4472774455509299E-10</v>
      </c>
      <c r="G2053" s="4">
        <v>7.4626733341509197E-9</v>
      </c>
      <c r="H2053" s="10" t="s">
        <v>5681</v>
      </c>
      <c r="I2053" s="10" t="s">
        <v>18</v>
      </c>
    </row>
    <row r="2054" spans="1:9" x14ac:dyDescent="0.2">
      <c r="A2054" s="10" t="s">
        <v>5682</v>
      </c>
      <c r="B2054" s="10">
        <v>53.549581137234902</v>
      </c>
      <c r="C2054" s="10">
        <v>-1.5794362219920299</v>
      </c>
      <c r="D2054" s="10">
        <v>0.55087725228283102</v>
      </c>
      <c r="E2054" s="10">
        <v>-2.8671291389267801</v>
      </c>
      <c r="F2054" s="10">
        <v>4.1421395523310502E-3</v>
      </c>
      <c r="G2054" s="10">
        <v>2.0275446670342E-2</v>
      </c>
      <c r="H2054" s="10" t="s">
        <v>5683</v>
      </c>
      <c r="I2054" s="10" t="s">
        <v>18</v>
      </c>
    </row>
    <row r="2055" spans="1:9" x14ac:dyDescent="0.2">
      <c r="A2055" s="10" t="s">
        <v>5684</v>
      </c>
      <c r="B2055" s="10">
        <v>2847.42001931102</v>
      </c>
      <c r="C2055" s="10">
        <v>-1.2596846728392299</v>
      </c>
      <c r="D2055" s="10">
        <v>0.26095592646188798</v>
      </c>
      <c r="E2055" s="10">
        <v>-4.8271931966381398</v>
      </c>
      <c r="F2055" s="4">
        <v>1.38470776520776E-6</v>
      </c>
      <c r="G2055" s="4">
        <v>1.6714166906814398E-5</v>
      </c>
      <c r="H2055" s="10" t="s">
        <v>5685</v>
      </c>
      <c r="I2055" s="10" t="s">
        <v>18</v>
      </c>
    </row>
    <row r="2056" spans="1:9" x14ac:dyDescent="0.2">
      <c r="A2056" s="10" t="s">
        <v>5690</v>
      </c>
      <c r="B2056" s="10">
        <v>335.06105585377901</v>
      </c>
      <c r="C2056" s="10">
        <v>-3.2132923353874898</v>
      </c>
      <c r="D2056" s="10">
        <v>0.31080650072230698</v>
      </c>
      <c r="E2056" s="10">
        <v>-10.3385621855395</v>
      </c>
      <c r="F2056" s="4">
        <v>4.7155931553736403E-25</v>
      </c>
      <c r="G2056" s="4">
        <v>3.6953503371783201E-23</v>
      </c>
      <c r="H2056" s="10" t="s">
        <v>5691</v>
      </c>
      <c r="I2056" s="10" t="s">
        <v>18</v>
      </c>
    </row>
    <row r="2057" spans="1:9" x14ac:dyDescent="0.2">
      <c r="A2057" s="10" t="s">
        <v>5696</v>
      </c>
      <c r="B2057" s="10">
        <v>889.64833829750899</v>
      </c>
      <c r="C2057" s="10">
        <v>1.6050483828136399</v>
      </c>
      <c r="D2057" s="10">
        <v>0.25970199877167899</v>
      </c>
      <c r="E2057" s="10">
        <v>6.1803466681237902</v>
      </c>
      <c r="F2057" s="4">
        <v>6.3960992166828597E-10</v>
      </c>
      <c r="G2057" s="4">
        <v>1.33855137933159E-8</v>
      </c>
      <c r="H2057" s="10" t="s">
        <v>5697</v>
      </c>
      <c r="I2057" s="10" t="s">
        <v>18</v>
      </c>
    </row>
    <row r="2058" spans="1:9" x14ac:dyDescent="0.2">
      <c r="A2058" s="10" t="s">
        <v>10801</v>
      </c>
      <c r="B2058" s="10">
        <v>2091.8587896132099</v>
      </c>
      <c r="C2058" s="10">
        <v>-1.1211621740234901</v>
      </c>
      <c r="D2058" s="10">
        <v>0.244228651075651</v>
      </c>
      <c r="E2058" s="10">
        <v>-4.5906250928610604</v>
      </c>
      <c r="F2058" s="4">
        <v>4.4192050300551798E-6</v>
      </c>
      <c r="G2058" s="4">
        <v>4.9122891087511303E-5</v>
      </c>
      <c r="H2058" s="10" t="s">
        <v>10802</v>
      </c>
      <c r="I2058" s="10" t="s">
        <v>18</v>
      </c>
    </row>
    <row r="2059" spans="1:9" x14ac:dyDescent="0.2">
      <c r="A2059" s="10" t="s">
        <v>10803</v>
      </c>
      <c r="B2059" s="10">
        <v>44.9484058469519</v>
      </c>
      <c r="C2059" s="10">
        <v>-2.2427115384562901</v>
      </c>
      <c r="D2059" s="10">
        <v>0.57022369622013303</v>
      </c>
      <c r="E2059" s="10">
        <v>-3.9330381275324902</v>
      </c>
      <c r="F2059" s="4">
        <v>8.3878926852441001E-5</v>
      </c>
      <c r="G2059" s="10">
        <v>6.9407052795169503E-4</v>
      </c>
      <c r="H2059" s="10" t="s">
        <v>10804</v>
      </c>
      <c r="I2059" s="10" t="s">
        <v>18</v>
      </c>
    </row>
    <row r="2060" spans="1:9" x14ac:dyDescent="0.2">
      <c r="A2060" s="10" t="s">
        <v>5698</v>
      </c>
      <c r="B2060" s="10">
        <v>701.31307847251401</v>
      </c>
      <c r="C2060" s="10">
        <v>-2.6471740461960001</v>
      </c>
      <c r="D2060" s="10">
        <v>0.279704848544503</v>
      </c>
      <c r="E2060" s="10">
        <v>-9.4641693198064694</v>
      </c>
      <c r="F2060" s="4">
        <v>2.9590356673642199E-21</v>
      </c>
      <c r="G2060" s="4">
        <v>1.73103586540807E-19</v>
      </c>
      <c r="H2060" s="10" t="s">
        <v>5699</v>
      </c>
      <c r="I2060" s="10" t="s">
        <v>18</v>
      </c>
    </row>
    <row r="2061" spans="1:9" x14ac:dyDescent="0.2">
      <c r="A2061" s="10" t="s">
        <v>5700</v>
      </c>
      <c r="B2061" s="10">
        <v>367.52226740895401</v>
      </c>
      <c r="C2061" s="10">
        <v>-3.8144116910621402</v>
      </c>
      <c r="D2061" s="10">
        <v>0.32932293879729202</v>
      </c>
      <c r="E2061" s="10">
        <v>-11.582587307742999</v>
      </c>
      <c r="F2061" s="4">
        <v>5.0498540648562102E-31</v>
      </c>
      <c r="G2061" s="4">
        <v>5.3825880932821205E-29</v>
      </c>
      <c r="H2061" s="10" t="s">
        <v>5701</v>
      </c>
      <c r="I2061" s="10" t="s">
        <v>18</v>
      </c>
    </row>
    <row r="2062" spans="1:9" x14ac:dyDescent="0.2">
      <c r="A2062" s="10" t="s">
        <v>10805</v>
      </c>
      <c r="B2062" s="10">
        <v>883.31982429964603</v>
      </c>
      <c r="C2062" s="10">
        <v>-1.5795381034740099</v>
      </c>
      <c r="D2062" s="10">
        <v>0.25974785824320401</v>
      </c>
      <c r="E2062" s="10">
        <v>-6.0810438020823696</v>
      </c>
      <c r="F2062" s="4">
        <v>1.1940266541308399E-9</v>
      </c>
      <c r="G2062" s="4">
        <v>2.4047830652250899E-8</v>
      </c>
      <c r="H2062" s="10" t="s">
        <v>10806</v>
      </c>
      <c r="I2062" s="10" t="s">
        <v>18</v>
      </c>
    </row>
    <row r="2063" spans="1:9" x14ac:dyDescent="0.2">
      <c r="A2063" s="10" t="s">
        <v>5704</v>
      </c>
      <c r="B2063" s="10">
        <v>5108.5222669099903</v>
      </c>
      <c r="C2063" s="10">
        <v>-1.38695203238968</v>
      </c>
      <c r="D2063" s="10">
        <v>0.237256031871724</v>
      </c>
      <c r="E2063" s="10">
        <v>-5.8458030400658298</v>
      </c>
      <c r="F2063" s="4">
        <v>5.0413026126071201E-9</v>
      </c>
      <c r="G2063" s="4">
        <v>9.3314177498257699E-8</v>
      </c>
      <c r="H2063" s="10" t="s">
        <v>5705</v>
      </c>
      <c r="I2063" s="10" t="s">
        <v>18</v>
      </c>
    </row>
    <row r="2064" spans="1:9" x14ac:dyDescent="0.2">
      <c r="A2064" s="10" t="s">
        <v>5706</v>
      </c>
      <c r="B2064" s="10">
        <v>5215.2353779284103</v>
      </c>
      <c r="C2064" s="10">
        <v>2.60929083611332</v>
      </c>
      <c r="D2064" s="10">
        <v>0.249216424186295</v>
      </c>
      <c r="E2064" s="10">
        <v>10.469979435074499</v>
      </c>
      <c r="F2064" s="4">
        <v>1.1866878278019E-25</v>
      </c>
      <c r="G2064" s="4">
        <v>9.6605606175911703E-24</v>
      </c>
      <c r="H2064" s="10" t="s">
        <v>5707</v>
      </c>
      <c r="I2064" s="10" t="s">
        <v>18</v>
      </c>
    </row>
    <row r="2065" spans="1:9" x14ac:dyDescent="0.2">
      <c r="A2065" s="10" t="s">
        <v>5708</v>
      </c>
      <c r="B2065" s="10">
        <v>3374.7828335076201</v>
      </c>
      <c r="C2065" s="10">
        <v>1.8924408004887801</v>
      </c>
      <c r="D2065" s="10">
        <v>0.237256011559908</v>
      </c>
      <c r="E2065" s="10">
        <v>7.9763660699106298</v>
      </c>
      <c r="F2065" s="4">
        <v>1.5070453142275E-15</v>
      </c>
      <c r="G2065" s="4">
        <v>5.7789214755172003E-14</v>
      </c>
      <c r="H2065" s="10" t="s">
        <v>5709</v>
      </c>
      <c r="I2065" s="10" t="s">
        <v>18</v>
      </c>
    </row>
    <row r="2066" spans="1:9" x14ac:dyDescent="0.2">
      <c r="A2066" s="10" t="s">
        <v>10807</v>
      </c>
      <c r="B2066" s="10">
        <v>126.652681876538</v>
      </c>
      <c r="C2066" s="10">
        <v>-1.0129809366128599</v>
      </c>
      <c r="D2066" s="10">
        <v>0.37948551790990198</v>
      </c>
      <c r="E2066" s="10">
        <v>-2.6693533450026501</v>
      </c>
      <c r="F2066" s="10">
        <v>7.59974534524205E-3</v>
      </c>
      <c r="G2066" s="10">
        <v>3.3527112269302599E-2</v>
      </c>
      <c r="H2066" s="10" t="s">
        <v>10808</v>
      </c>
      <c r="I2066" s="10" t="s">
        <v>18</v>
      </c>
    </row>
    <row r="2067" spans="1:9" x14ac:dyDescent="0.2">
      <c r="A2067" s="10" t="s">
        <v>5714</v>
      </c>
      <c r="B2067" s="10">
        <v>69.237468124335393</v>
      </c>
      <c r="C2067" s="10">
        <v>1.9781486203107499</v>
      </c>
      <c r="D2067" s="10">
        <v>0.47571523278216898</v>
      </c>
      <c r="E2067" s="10">
        <v>4.1582620946185802</v>
      </c>
      <c r="F2067" s="4">
        <v>3.20677970727906E-5</v>
      </c>
      <c r="G2067" s="10">
        <v>2.9429603625175002E-4</v>
      </c>
      <c r="H2067" s="10" t="s">
        <v>5715</v>
      </c>
      <c r="I2067" s="10" t="s">
        <v>18</v>
      </c>
    </row>
    <row r="2068" spans="1:9" x14ac:dyDescent="0.2">
      <c r="A2068" s="10" t="s">
        <v>10809</v>
      </c>
      <c r="B2068" s="10">
        <v>2022.64462553556</v>
      </c>
      <c r="C2068" s="10">
        <v>1.8092740751149501</v>
      </c>
      <c r="D2068" s="10">
        <v>0.25252613361672999</v>
      </c>
      <c r="E2068" s="10">
        <v>7.1647003389398298</v>
      </c>
      <c r="F2068" s="4">
        <v>7.7956887605043702E-13</v>
      </c>
      <c r="G2068" s="4">
        <v>2.2696823005843499E-11</v>
      </c>
      <c r="H2068" s="10" t="s">
        <v>10810</v>
      </c>
      <c r="I2068" s="10" t="s">
        <v>18</v>
      </c>
    </row>
    <row r="2069" spans="1:9" x14ac:dyDescent="0.2">
      <c r="A2069" s="10" t="s">
        <v>10811</v>
      </c>
      <c r="B2069" s="10">
        <v>169.43068289850399</v>
      </c>
      <c r="C2069" s="10">
        <v>1.67955736582944</v>
      </c>
      <c r="D2069" s="10">
        <v>0.34323682577972098</v>
      </c>
      <c r="E2069" s="10">
        <v>4.8932901124873096</v>
      </c>
      <c r="F2069" s="4">
        <v>9.9164061243032101E-7</v>
      </c>
      <c r="G2069" s="4">
        <v>1.2447464873096201E-5</v>
      </c>
      <c r="H2069" s="10" t="s">
        <v>10812</v>
      </c>
      <c r="I2069" s="10" t="s">
        <v>18</v>
      </c>
    </row>
    <row r="2070" spans="1:9" x14ac:dyDescent="0.2">
      <c r="A2070" s="10" t="s">
        <v>5732</v>
      </c>
      <c r="B2070" s="10">
        <v>4678.2834871728201</v>
      </c>
      <c r="C2070" s="10">
        <v>2.1858544578833499</v>
      </c>
      <c r="D2070" s="10">
        <v>0.251012594670944</v>
      </c>
      <c r="E2070" s="10">
        <v>8.7081465404108993</v>
      </c>
      <c r="F2070" s="4">
        <v>3.0888382123608099E-18</v>
      </c>
      <c r="G2070" s="4">
        <v>1.4743780878925299E-16</v>
      </c>
      <c r="H2070" s="10" t="s">
        <v>5733</v>
      </c>
      <c r="I2070" s="10" t="s">
        <v>18</v>
      </c>
    </row>
    <row r="2071" spans="1:9" x14ac:dyDescent="0.2">
      <c r="A2071" s="10" t="s">
        <v>10813</v>
      </c>
      <c r="B2071" s="10">
        <v>1773.3281734176501</v>
      </c>
      <c r="C2071" s="10">
        <v>-1.4885874400588901</v>
      </c>
      <c r="D2071" s="10">
        <v>0.24972357114136101</v>
      </c>
      <c r="E2071" s="10">
        <v>-5.9609408645539901</v>
      </c>
      <c r="F2071" s="4">
        <v>2.5078971997550701E-9</v>
      </c>
      <c r="G2071" s="4">
        <v>4.7901407790310301E-8</v>
      </c>
      <c r="H2071" s="10" t="s">
        <v>10814</v>
      </c>
      <c r="I2071" s="10" t="s">
        <v>18</v>
      </c>
    </row>
    <row r="2072" spans="1:9" x14ac:dyDescent="0.2">
      <c r="A2072" s="10" t="s">
        <v>5736</v>
      </c>
      <c r="B2072" s="10">
        <v>721.44712874252195</v>
      </c>
      <c r="C2072" s="10">
        <v>2.64220452650483</v>
      </c>
      <c r="D2072" s="10">
        <v>0.26543237210657999</v>
      </c>
      <c r="E2072" s="10">
        <v>9.9543416861146596</v>
      </c>
      <c r="F2072" s="4">
        <v>2.4141532689382399E-23</v>
      </c>
      <c r="G2072" s="4">
        <v>1.64129798594977E-21</v>
      </c>
      <c r="H2072" s="10" t="s">
        <v>5737</v>
      </c>
      <c r="I2072" s="10" t="s">
        <v>18</v>
      </c>
    </row>
    <row r="2073" spans="1:9" x14ac:dyDescent="0.2">
      <c r="A2073" s="10" t="s">
        <v>10815</v>
      </c>
      <c r="B2073" s="10">
        <v>796.29018554641902</v>
      </c>
      <c r="C2073" s="10">
        <v>1.86708368176647</v>
      </c>
      <c r="D2073" s="10">
        <v>0.26467378727348201</v>
      </c>
      <c r="E2073" s="10">
        <v>7.0542825604306802</v>
      </c>
      <c r="F2073" s="4">
        <v>1.73493513980035E-12</v>
      </c>
      <c r="G2073" s="4">
        <v>4.8707916787586699E-11</v>
      </c>
      <c r="H2073" s="10" t="s">
        <v>10816</v>
      </c>
      <c r="I2073" s="10" t="s">
        <v>18</v>
      </c>
    </row>
    <row r="2074" spans="1:9" x14ac:dyDescent="0.2">
      <c r="A2074" s="10" t="s">
        <v>5738</v>
      </c>
      <c r="B2074" s="10">
        <v>4280.69823126744</v>
      </c>
      <c r="C2074" s="10">
        <v>2.15811282617884</v>
      </c>
      <c r="D2074" s="10">
        <v>0.238512621573084</v>
      </c>
      <c r="E2074" s="10">
        <v>9.0482122578890998</v>
      </c>
      <c r="F2074" s="4">
        <v>1.4532806185678101E-19</v>
      </c>
      <c r="G2074" s="4">
        <v>7.6160987416819495E-18</v>
      </c>
      <c r="H2074" s="10" t="s">
        <v>5739</v>
      </c>
      <c r="I2074" s="10" t="s">
        <v>18</v>
      </c>
    </row>
    <row r="2075" spans="1:9" x14ac:dyDescent="0.2">
      <c r="A2075" s="10" t="s">
        <v>5740</v>
      </c>
      <c r="B2075" s="10">
        <v>15.2037170511016</v>
      </c>
      <c r="C2075" s="10">
        <v>2.8695591854028701</v>
      </c>
      <c r="D2075" s="10">
        <v>0.98963275658070904</v>
      </c>
      <c r="E2075" s="10">
        <v>2.8996202544037799</v>
      </c>
      <c r="F2075" s="10">
        <v>3.73614998686489E-3</v>
      </c>
      <c r="G2075" s="10">
        <v>1.8592057946505699E-2</v>
      </c>
      <c r="H2075" s="10" t="s">
        <v>5741</v>
      </c>
      <c r="I2075" s="10" t="s">
        <v>18</v>
      </c>
    </row>
    <row r="2076" spans="1:9" x14ac:dyDescent="0.2">
      <c r="A2076" s="10" t="s">
        <v>5742</v>
      </c>
      <c r="B2076" s="10">
        <v>110.806655498203</v>
      </c>
      <c r="C2076" s="10">
        <v>5.6820018002301698</v>
      </c>
      <c r="D2076" s="10">
        <v>0.61263353635400697</v>
      </c>
      <c r="E2076" s="10">
        <v>9.2747155731070894</v>
      </c>
      <c r="F2076" s="4">
        <v>1.7809356463002501E-20</v>
      </c>
      <c r="G2076" s="4">
        <v>9.9554302628183997E-19</v>
      </c>
      <c r="H2076" s="10" t="s">
        <v>5743</v>
      </c>
      <c r="I2076" s="10" t="s">
        <v>18</v>
      </c>
    </row>
    <row r="2077" spans="1:9" x14ac:dyDescent="0.2">
      <c r="A2077" s="10" t="s">
        <v>5746</v>
      </c>
      <c r="B2077" s="10">
        <v>1942.5389943811199</v>
      </c>
      <c r="C2077" s="10">
        <v>-2.0603304167305998</v>
      </c>
      <c r="D2077" s="10">
        <v>0.25135809994885799</v>
      </c>
      <c r="E2077" s="10">
        <v>-8.1967934080890696</v>
      </c>
      <c r="F2077" s="4">
        <v>2.4688420811205402E-16</v>
      </c>
      <c r="G2077" s="4">
        <v>1.0279196058531E-14</v>
      </c>
      <c r="H2077" s="10" t="s">
        <v>5747</v>
      </c>
      <c r="I2077" s="10" t="s">
        <v>18</v>
      </c>
    </row>
    <row r="2078" spans="1:9" x14ac:dyDescent="0.2">
      <c r="A2078" s="10" t="s">
        <v>5754</v>
      </c>
      <c r="B2078" s="10">
        <v>554.04506090704194</v>
      </c>
      <c r="C2078" s="10">
        <v>-1.72996561268087</v>
      </c>
      <c r="D2078" s="10">
        <v>0.28179418955254298</v>
      </c>
      <c r="E2078" s="10">
        <v>-6.13911030396992</v>
      </c>
      <c r="F2078" s="4">
        <v>8.2984932344992296E-10</v>
      </c>
      <c r="G2078" s="4">
        <v>1.7110540763428502E-8</v>
      </c>
      <c r="H2078" s="10" t="s">
        <v>5755</v>
      </c>
      <c r="I2078" s="10" t="s">
        <v>18</v>
      </c>
    </row>
    <row r="2079" spans="1:9" x14ac:dyDescent="0.2">
      <c r="A2079" s="10" t="s">
        <v>10817</v>
      </c>
      <c r="B2079" s="10">
        <v>332.343410953231</v>
      </c>
      <c r="C2079" s="10">
        <v>1.8887491347752099</v>
      </c>
      <c r="D2079" s="10">
        <v>0.36102224704215702</v>
      </c>
      <c r="E2079" s="10">
        <v>5.2316696554012001</v>
      </c>
      <c r="F2079" s="4">
        <v>1.67985758400994E-7</v>
      </c>
      <c r="G2079" s="4">
        <v>2.4285527313660898E-6</v>
      </c>
      <c r="H2079" s="10" t="s">
        <v>10818</v>
      </c>
      <c r="I2079" s="10" t="s">
        <v>18</v>
      </c>
    </row>
    <row r="2080" spans="1:9" x14ac:dyDescent="0.2">
      <c r="A2080" s="10" t="s">
        <v>5756</v>
      </c>
      <c r="B2080" s="10">
        <v>1450.6069740011001</v>
      </c>
      <c r="C2080" s="10">
        <v>2.0186544428625099</v>
      </c>
      <c r="D2080" s="10">
        <v>0.246746059183512</v>
      </c>
      <c r="E2080" s="10">
        <v>8.1811010459185294</v>
      </c>
      <c r="F2080" s="4">
        <v>2.8126192187613099E-16</v>
      </c>
      <c r="G2080" s="4">
        <v>1.1598596139006701E-14</v>
      </c>
      <c r="H2080" s="10" t="s">
        <v>5757</v>
      </c>
      <c r="I2080" s="10" t="s">
        <v>18</v>
      </c>
    </row>
    <row r="2081" spans="1:9" x14ac:dyDescent="0.2">
      <c r="A2081" s="10" t="s">
        <v>5762</v>
      </c>
      <c r="B2081" s="10">
        <v>8.5935013722671503</v>
      </c>
      <c r="C2081" s="10">
        <v>6.6251372881083803</v>
      </c>
      <c r="D2081" s="10">
        <v>1.81874909498084</v>
      </c>
      <c r="E2081" s="10">
        <v>3.64268898133977</v>
      </c>
      <c r="F2081" s="10">
        <v>2.69804760447921E-4</v>
      </c>
      <c r="G2081" s="10">
        <v>1.9469130089120601E-3</v>
      </c>
      <c r="H2081" s="10" t="s">
        <v>5763</v>
      </c>
      <c r="I2081" s="10" t="s">
        <v>18</v>
      </c>
    </row>
    <row r="2082" spans="1:9" x14ac:dyDescent="0.2">
      <c r="A2082" s="10" t="s">
        <v>10819</v>
      </c>
      <c r="B2082" s="10">
        <v>165.18831630610899</v>
      </c>
      <c r="C2082" s="10">
        <v>-1.1710956608818499</v>
      </c>
      <c r="D2082" s="10">
        <v>0.35211304594770798</v>
      </c>
      <c r="E2082" s="10">
        <v>-3.3259081830662001</v>
      </c>
      <c r="F2082" s="10">
        <v>8.8130954567362699E-4</v>
      </c>
      <c r="G2082" s="10">
        <v>5.4847455767986402E-3</v>
      </c>
      <c r="H2082" s="10" t="s">
        <v>10820</v>
      </c>
      <c r="I2082" s="10" t="s">
        <v>18</v>
      </c>
    </row>
    <row r="2083" spans="1:9" x14ac:dyDescent="0.2">
      <c r="A2083" s="10" t="s">
        <v>10821</v>
      </c>
      <c r="B2083" s="10">
        <v>2670.8390121060602</v>
      </c>
      <c r="C2083" s="10">
        <v>-1.08344010602904</v>
      </c>
      <c r="D2083" s="10">
        <v>0.25815505011803402</v>
      </c>
      <c r="E2083" s="10">
        <v>-4.1968580724400502</v>
      </c>
      <c r="F2083" s="4">
        <v>2.7064341748731301E-5</v>
      </c>
      <c r="G2083" s="10">
        <v>2.52242873912314E-4</v>
      </c>
      <c r="H2083" s="10" t="s">
        <v>10822</v>
      </c>
      <c r="I2083" s="10" t="s">
        <v>18</v>
      </c>
    </row>
    <row r="2084" spans="1:9" x14ac:dyDescent="0.2">
      <c r="A2084" s="10" t="s">
        <v>5770</v>
      </c>
      <c r="B2084" s="10">
        <v>2076.5949572108998</v>
      </c>
      <c r="C2084" s="10">
        <v>8.1394025154337708</v>
      </c>
      <c r="D2084" s="10">
        <v>0.36223446780678398</v>
      </c>
      <c r="E2084" s="10">
        <v>22.4699835018884</v>
      </c>
      <c r="F2084" s="4">
        <v>8.1621576009578896E-112</v>
      </c>
      <c r="G2084" s="4">
        <v>2.05319074452096E-108</v>
      </c>
      <c r="H2084" s="10" t="s">
        <v>5771</v>
      </c>
      <c r="I2084" s="10" t="s">
        <v>18</v>
      </c>
    </row>
    <row r="2085" spans="1:9" x14ac:dyDescent="0.2">
      <c r="A2085" s="10" t="s">
        <v>5774</v>
      </c>
      <c r="B2085" s="10">
        <v>102.939518519953</v>
      </c>
      <c r="C2085" s="10">
        <v>1.3092839586616001</v>
      </c>
      <c r="D2085" s="10">
        <v>0.39736494534219102</v>
      </c>
      <c r="E2085" s="10">
        <v>3.2949156034237101</v>
      </c>
      <c r="F2085" s="10">
        <v>9.8451243083123494E-4</v>
      </c>
      <c r="G2085" s="10">
        <v>6.0184761397771101E-3</v>
      </c>
      <c r="H2085" s="10" t="s">
        <v>5775</v>
      </c>
      <c r="I2085" s="10" t="s">
        <v>18</v>
      </c>
    </row>
    <row r="2086" spans="1:9" x14ac:dyDescent="0.2">
      <c r="A2086" s="10" t="s">
        <v>5776</v>
      </c>
      <c r="B2086" s="10">
        <v>3874.6876558236199</v>
      </c>
      <c r="C2086" s="10">
        <v>1.79324379183633</v>
      </c>
      <c r="D2086" s="10">
        <v>0.31132102793071098</v>
      </c>
      <c r="E2086" s="10">
        <v>5.7601113672136801</v>
      </c>
      <c r="F2086" s="4">
        <v>8.4058456425935594E-9</v>
      </c>
      <c r="G2086" s="4">
        <v>1.4975144981546799E-7</v>
      </c>
      <c r="H2086" s="10" t="s">
        <v>5777</v>
      </c>
      <c r="I2086" s="10" t="s">
        <v>18</v>
      </c>
    </row>
    <row r="2087" spans="1:9" x14ac:dyDescent="0.2">
      <c r="A2087" s="10" t="s">
        <v>5778</v>
      </c>
      <c r="B2087" s="10">
        <v>154.37080434408199</v>
      </c>
      <c r="C2087" s="10">
        <v>1.8523420815196801</v>
      </c>
      <c r="D2087" s="10">
        <v>0.42572921817888498</v>
      </c>
      <c r="E2087" s="10">
        <v>4.3509865013336997</v>
      </c>
      <c r="F2087" s="4">
        <v>1.35526396511469E-5</v>
      </c>
      <c r="G2087" s="10">
        <v>1.34377867727474E-4</v>
      </c>
      <c r="H2087" s="10" t="s">
        <v>5779</v>
      </c>
      <c r="I2087" s="10" t="s">
        <v>18</v>
      </c>
    </row>
    <row r="2088" spans="1:9" x14ac:dyDescent="0.2">
      <c r="A2088" s="10" t="s">
        <v>10823</v>
      </c>
      <c r="B2088" s="10">
        <v>6209.1743298728097</v>
      </c>
      <c r="C2088" s="10">
        <v>1.3865416824116901</v>
      </c>
      <c r="D2088" s="10">
        <v>0.24824432744475</v>
      </c>
      <c r="E2088" s="10">
        <v>5.5853912018202703</v>
      </c>
      <c r="F2088" s="4">
        <v>2.33174728370048E-8</v>
      </c>
      <c r="G2088" s="4">
        <v>3.8716239552135702E-7</v>
      </c>
      <c r="H2088" s="10" t="s">
        <v>10824</v>
      </c>
      <c r="I2088" s="10" t="s">
        <v>18</v>
      </c>
    </row>
    <row r="2089" spans="1:9" x14ac:dyDescent="0.2">
      <c r="A2089" s="10" t="s">
        <v>5782</v>
      </c>
      <c r="B2089" s="10">
        <v>1213.5894082022401</v>
      </c>
      <c r="C2089" s="10">
        <v>-1.0039752785491201</v>
      </c>
      <c r="D2089" s="10">
        <v>0.29147460991031399</v>
      </c>
      <c r="E2089" s="10">
        <v>-3.4444690700779601</v>
      </c>
      <c r="F2089" s="10">
        <v>5.7218209651201004E-4</v>
      </c>
      <c r="G2089" s="10">
        <v>3.7639227609203999E-3</v>
      </c>
      <c r="H2089" s="10" t="s">
        <v>5783</v>
      </c>
      <c r="I2089" s="10" t="s">
        <v>18</v>
      </c>
    </row>
    <row r="2090" spans="1:9" x14ac:dyDescent="0.2">
      <c r="A2090" s="10" t="s">
        <v>5790</v>
      </c>
      <c r="B2090" s="10">
        <v>207.646058213336</v>
      </c>
      <c r="C2090" s="10">
        <v>7.4390469246063002</v>
      </c>
      <c r="D2090" s="10">
        <v>0.72119458113377799</v>
      </c>
      <c r="E2090" s="10">
        <v>10.3148957565814</v>
      </c>
      <c r="F2090" s="4">
        <v>6.0346760743994904E-25</v>
      </c>
      <c r="G2090" s="4">
        <v>4.6147323740767603E-23</v>
      </c>
      <c r="H2090" s="10" t="s">
        <v>5791</v>
      </c>
      <c r="I2090" s="10" t="s">
        <v>18</v>
      </c>
    </row>
    <row r="2091" spans="1:9" x14ac:dyDescent="0.2">
      <c r="A2091" s="10" t="s">
        <v>5792</v>
      </c>
      <c r="B2091" s="10">
        <v>4038.7883984349501</v>
      </c>
      <c r="C2091" s="10">
        <v>2.1544081250823499</v>
      </c>
      <c r="D2091" s="10">
        <v>0.24403439686721401</v>
      </c>
      <c r="E2091" s="10">
        <v>8.8282969644423908</v>
      </c>
      <c r="F2091" s="4">
        <v>1.0628156121475501E-18</v>
      </c>
      <c r="G2091" s="4">
        <v>5.2013865220956402E-17</v>
      </c>
      <c r="H2091" s="10" t="s">
        <v>5793</v>
      </c>
      <c r="I2091" s="10" t="s">
        <v>18</v>
      </c>
    </row>
    <row r="2092" spans="1:9" x14ac:dyDescent="0.2">
      <c r="A2092" s="10" t="s">
        <v>10825</v>
      </c>
      <c r="B2092" s="10">
        <v>504.65059341963598</v>
      </c>
      <c r="C2092" s="10">
        <v>-3.4999073747667002</v>
      </c>
      <c r="D2092" s="10">
        <v>0.33349762812906802</v>
      </c>
      <c r="E2092" s="10">
        <v>-10.494549524688599</v>
      </c>
      <c r="F2092" s="4">
        <v>9.1513176930232799E-26</v>
      </c>
      <c r="G2092" s="4">
        <v>7.5229214564706103E-24</v>
      </c>
      <c r="H2092" s="10" t="s">
        <v>10826</v>
      </c>
      <c r="I2092" s="10" t="s">
        <v>18</v>
      </c>
    </row>
    <row r="2093" spans="1:9" x14ac:dyDescent="0.2">
      <c r="A2093" s="10" t="s">
        <v>10827</v>
      </c>
      <c r="B2093" s="10">
        <v>1575.8254364730501</v>
      </c>
      <c r="C2093" s="10">
        <v>1.49880591148951</v>
      </c>
      <c r="D2093" s="10">
        <v>0.26181507695392903</v>
      </c>
      <c r="E2093" s="10">
        <v>5.7246738000243296</v>
      </c>
      <c r="F2093" s="4">
        <v>1.0363266755929201E-8</v>
      </c>
      <c r="G2093" s="4">
        <v>1.82171890458E-7</v>
      </c>
      <c r="H2093" s="10" t="s">
        <v>10828</v>
      </c>
      <c r="I2093" s="10" t="s">
        <v>18</v>
      </c>
    </row>
    <row r="2094" spans="1:9" x14ac:dyDescent="0.2">
      <c r="A2094" s="10" t="s">
        <v>10829</v>
      </c>
      <c r="B2094" s="10">
        <v>926.16881078306096</v>
      </c>
      <c r="C2094" s="10">
        <v>1.1241831303908301</v>
      </c>
      <c r="D2094" s="10">
        <v>0.29170527006589297</v>
      </c>
      <c r="E2094" s="10">
        <v>3.8538320892759099</v>
      </c>
      <c r="F2094" s="10">
        <v>1.1628335789897901E-4</v>
      </c>
      <c r="G2094" s="10">
        <v>9.2772212748138804E-4</v>
      </c>
      <c r="H2094" s="10" t="s">
        <v>10830</v>
      </c>
      <c r="I2094" s="10" t="s">
        <v>18</v>
      </c>
    </row>
    <row r="2095" spans="1:9" x14ac:dyDescent="0.2">
      <c r="A2095" s="10" t="s">
        <v>5800</v>
      </c>
      <c r="B2095" s="10">
        <v>194.449670477545</v>
      </c>
      <c r="C2095" s="10">
        <v>2.1968647908988301</v>
      </c>
      <c r="D2095" s="10">
        <v>0.34442878238278501</v>
      </c>
      <c r="E2095" s="10">
        <v>6.3782845780214599</v>
      </c>
      <c r="F2095" s="4">
        <v>1.79082517453668E-10</v>
      </c>
      <c r="G2095" s="4">
        <v>3.9900980748866398E-9</v>
      </c>
      <c r="H2095" s="10" t="s">
        <v>5801</v>
      </c>
      <c r="I2095" s="10" t="s">
        <v>18</v>
      </c>
    </row>
    <row r="2096" spans="1:9" x14ac:dyDescent="0.2">
      <c r="A2096" s="10" t="s">
        <v>10831</v>
      </c>
      <c r="B2096" s="10">
        <v>4067.2440625896802</v>
      </c>
      <c r="C2096" s="10">
        <v>-1.0020214029630199</v>
      </c>
      <c r="D2096" s="10">
        <v>0.25778661959774901</v>
      </c>
      <c r="E2096" s="10">
        <v>-3.88701866887651</v>
      </c>
      <c r="F2096" s="10">
        <v>1.01482951941721E-4</v>
      </c>
      <c r="G2096" s="10">
        <v>8.2268889980469898E-4</v>
      </c>
      <c r="H2096" s="10" t="s">
        <v>10832</v>
      </c>
      <c r="I2096" s="10" t="s">
        <v>18</v>
      </c>
    </row>
    <row r="2097" spans="1:9" x14ac:dyDescent="0.2">
      <c r="A2097" s="10" t="s">
        <v>5802</v>
      </c>
      <c r="B2097" s="10">
        <v>173.37962268760799</v>
      </c>
      <c r="C2097" s="10">
        <v>3.8323663865504098</v>
      </c>
      <c r="D2097" s="10">
        <v>0.433242327109162</v>
      </c>
      <c r="E2097" s="10">
        <v>8.8457801713930504</v>
      </c>
      <c r="F2097" s="4">
        <v>9.0891031490453192E-19</v>
      </c>
      <c r="G2097" s="4">
        <v>4.4742933407873801E-17</v>
      </c>
      <c r="H2097" s="10" t="s">
        <v>5803</v>
      </c>
      <c r="I2097" s="10" t="s">
        <v>18</v>
      </c>
    </row>
    <row r="2098" spans="1:9" x14ac:dyDescent="0.2">
      <c r="A2098" s="10" t="s">
        <v>5804</v>
      </c>
      <c r="B2098" s="10">
        <v>495.12853206897199</v>
      </c>
      <c r="C2098" s="10">
        <v>3.73171057666557</v>
      </c>
      <c r="D2098" s="10">
        <v>0.363969687115272</v>
      </c>
      <c r="E2098" s="10">
        <v>10.2528059582163</v>
      </c>
      <c r="F2098" s="4">
        <v>1.14956982049501E-24</v>
      </c>
      <c r="G2098" s="4">
        <v>8.6953194550969199E-23</v>
      </c>
      <c r="H2098" s="10" t="s">
        <v>5805</v>
      </c>
      <c r="I2098" s="10" t="s">
        <v>18</v>
      </c>
    </row>
    <row r="2099" spans="1:9" x14ac:dyDescent="0.2">
      <c r="A2099" s="10" t="s">
        <v>5806</v>
      </c>
      <c r="B2099" s="10">
        <v>172.59529448939799</v>
      </c>
      <c r="C2099" s="10">
        <v>-1.8020955722719001</v>
      </c>
      <c r="D2099" s="10">
        <v>0.37352717511857703</v>
      </c>
      <c r="E2099" s="10">
        <v>-4.8245367199851401</v>
      </c>
      <c r="F2099" s="4">
        <v>1.40329063429264E-6</v>
      </c>
      <c r="G2099" s="4">
        <v>1.6922231977771599E-5</v>
      </c>
      <c r="H2099" s="10" t="s">
        <v>5807</v>
      </c>
      <c r="I2099" s="10" t="s">
        <v>18</v>
      </c>
    </row>
    <row r="2100" spans="1:9" x14ac:dyDescent="0.2">
      <c r="A2100" s="10" t="s">
        <v>10833</v>
      </c>
      <c r="B2100" s="10">
        <v>394.23235457267702</v>
      </c>
      <c r="C2100" s="10">
        <v>1.26753646683391</v>
      </c>
      <c r="D2100" s="10">
        <v>0.33645235180942401</v>
      </c>
      <c r="E2100" s="10">
        <v>3.7673580226654901</v>
      </c>
      <c r="F2100" s="10">
        <v>1.64984313205598E-4</v>
      </c>
      <c r="G2100" s="10">
        <v>1.2585655294240501E-3</v>
      </c>
      <c r="H2100" s="10" t="s">
        <v>10834</v>
      </c>
      <c r="I2100" s="10" t="s">
        <v>18</v>
      </c>
    </row>
    <row r="2101" spans="1:9" x14ac:dyDescent="0.2">
      <c r="A2101" s="10" t="s">
        <v>5810</v>
      </c>
      <c r="B2101" s="10">
        <v>211.789726321541</v>
      </c>
      <c r="C2101" s="10">
        <v>2.8668320624364001</v>
      </c>
      <c r="D2101" s="10">
        <v>0.34881481316344398</v>
      </c>
      <c r="E2101" s="10">
        <v>8.2187795765803404</v>
      </c>
      <c r="F2101" s="4">
        <v>2.0558450194104899E-16</v>
      </c>
      <c r="G2101" s="4">
        <v>8.6191302438784607E-15</v>
      </c>
      <c r="H2101" s="10" t="s">
        <v>5811</v>
      </c>
      <c r="I2101" s="10" t="s">
        <v>18</v>
      </c>
    </row>
    <row r="2102" spans="1:9" x14ac:dyDescent="0.2">
      <c r="A2102" s="10" t="s">
        <v>10835</v>
      </c>
      <c r="B2102" s="10">
        <v>9778.5348057501105</v>
      </c>
      <c r="C2102" s="10">
        <v>2.0764346443479398</v>
      </c>
      <c r="D2102" s="10">
        <v>0.30056664991027299</v>
      </c>
      <c r="E2102" s="10">
        <v>6.9084000003587001</v>
      </c>
      <c r="F2102" s="4">
        <v>4.9015030986696898E-12</v>
      </c>
      <c r="G2102" s="4">
        <v>1.31587311042728E-10</v>
      </c>
      <c r="H2102" s="10" t="s">
        <v>10836</v>
      </c>
      <c r="I2102" s="10" t="s">
        <v>18</v>
      </c>
    </row>
    <row r="2103" spans="1:9" x14ac:dyDescent="0.2">
      <c r="A2103" s="10" t="s">
        <v>10837</v>
      </c>
      <c r="B2103" s="10">
        <v>3954.5589507649001</v>
      </c>
      <c r="C2103" s="10">
        <v>-1.06652969200922</v>
      </c>
      <c r="D2103" s="10">
        <v>0.236880974854177</v>
      </c>
      <c r="E2103" s="10">
        <v>-4.5023864523766504</v>
      </c>
      <c r="F2103" s="4">
        <v>6.7194656194262004E-6</v>
      </c>
      <c r="G2103" s="4">
        <v>7.1865713289398796E-5</v>
      </c>
      <c r="H2103" s="10" t="s">
        <v>10838</v>
      </c>
      <c r="I2103" s="10" t="s">
        <v>18</v>
      </c>
    </row>
    <row r="2104" spans="1:9" x14ac:dyDescent="0.2">
      <c r="A2104" s="10" t="s">
        <v>5818</v>
      </c>
      <c r="B2104" s="10">
        <v>16.099191304283099</v>
      </c>
      <c r="C2104" s="10">
        <v>3.99671646567537</v>
      </c>
      <c r="D2104" s="10">
        <v>1.06292251499235</v>
      </c>
      <c r="E2104" s="10">
        <v>3.7601202432936698</v>
      </c>
      <c r="F2104" s="10">
        <v>1.69831705918769E-4</v>
      </c>
      <c r="G2104" s="10">
        <v>1.29066965631016E-3</v>
      </c>
      <c r="H2104" s="10" t="s">
        <v>5819</v>
      </c>
      <c r="I2104" s="10" t="s">
        <v>18</v>
      </c>
    </row>
    <row r="2105" spans="1:9" x14ac:dyDescent="0.2">
      <c r="A2105" s="10" t="s">
        <v>10839</v>
      </c>
      <c r="B2105" s="10">
        <v>67.414590943606299</v>
      </c>
      <c r="C2105" s="10">
        <v>1.4022415636869101</v>
      </c>
      <c r="D2105" s="10">
        <v>0.46566310000660799</v>
      </c>
      <c r="E2105" s="10">
        <v>3.0112791064334199</v>
      </c>
      <c r="F2105" s="10">
        <v>2.6014960683469501E-3</v>
      </c>
      <c r="G2105" s="10">
        <v>1.36533765072538E-2</v>
      </c>
      <c r="H2105" s="10" t="s">
        <v>10840</v>
      </c>
      <c r="I2105" s="10" t="s">
        <v>18</v>
      </c>
    </row>
    <row r="2106" spans="1:9" x14ac:dyDescent="0.2">
      <c r="A2106" s="10" t="s">
        <v>10841</v>
      </c>
      <c r="B2106" s="10">
        <v>1701.6357952299199</v>
      </c>
      <c r="C2106" s="10">
        <v>1.14558167685948</v>
      </c>
      <c r="D2106" s="10">
        <v>0.30341706757207298</v>
      </c>
      <c r="E2106" s="10">
        <v>3.7756006477366899</v>
      </c>
      <c r="F2106" s="10">
        <v>1.5962255447112E-4</v>
      </c>
      <c r="G2106" s="10">
        <v>1.2249253684322801E-3</v>
      </c>
      <c r="H2106" s="10" t="s">
        <v>10842</v>
      </c>
      <c r="I2106" s="10" t="s">
        <v>18</v>
      </c>
    </row>
    <row r="2107" spans="1:9" x14ac:dyDescent="0.2">
      <c r="A2107" s="10" t="s">
        <v>5828</v>
      </c>
      <c r="B2107" s="10">
        <v>15.007590204128199</v>
      </c>
      <c r="C2107" s="10">
        <v>4.3455355085333096</v>
      </c>
      <c r="D2107" s="10">
        <v>1.1668138418176</v>
      </c>
      <c r="E2107" s="10">
        <v>3.7242749038390599</v>
      </c>
      <c r="F2107" s="10">
        <v>1.95877393176099E-4</v>
      </c>
      <c r="G2107" s="10">
        <v>1.4660207751695301E-3</v>
      </c>
      <c r="H2107" s="10" t="s">
        <v>5829</v>
      </c>
      <c r="I2107" s="10" t="s">
        <v>18</v>
      </c>
    </row>
    <row r="2108" spans="1:9" x14ac:dyDescent="0.2">
      <c r="A2108" s="10" t="s">
        <v>10843</v>
      </c>
      <c r="B2108" s="10">
        <v>2121.4072937588198</v>
      </c>
      <c r="C2108" s="10">
        <v>1.1167082610088599</v>
      </c>
      <c r="D2108" s="10">
        <v>0.29024920012653199</v>
      </c>
      <c r="E2108" s="10">
        <v>3.84741201878261</v>
      </c>
      <c r="F2108" s="10">
        <v>1.19372123932999E-4</v>
      </c>
      <c r="G2108" s="10">
        <v>9.5025499289069001E-4</v>
      </c>
      <c r="H2108" s="10" t="s">
        <v>10844</v>
      </c>
      <c r="I2108" s="10" t="s">
        <v>18</v>
      </c>
    </row>
    <row r="2109" spans="1:9" x14ac:dyDescent="0.2">
      <c r="A2109" s="10" t="s">
        <v>5836</v>
      </c>
      <c r="B2109" s="10">
        <v>82.387571415329205</v>
      </c>
      <c r="C2109" s="10">
        <v>1.3741865848414001</v>
      </c>
      <c r="D2109" s="10">
        <v>0.46414629211014702</v>
      </c>
      <c r="E2109" s="10">
        <v>2.9606755632883299</v>
      </c>
      <c r="F2109" s="10">
        <v>3.0696511255895102E-3</v>
      </c>
      <c r="G2109" s="10">
        <v>1.5720088368119702E-2</v>
      </c>
      <c r="H2109" s="10" t="s">
        <v>5837</v>
      </c>
      <c r="I2109" s="10" t="s">
        <v>18</v>
      </c>
    </row>
    <row r="2110" spans="1:9" x14ac:dyDescent="0.2">
      <c r="A2110" s="10" t="s">
        <v>10845</v>
      </c>
      <c r="B2110" s="10">
        <v>49.9409871097481</v>
      </c>
      <c r="C2110" s="10">
        <v>-3.35646442581892</v>
      </c>
      <c r="D2110" s="10">
        <v>0.60699256330657603</v>
      </c>
      <c r="E2110" s="10">
        <v>-5.5296631766535498</v>
      </c>
      <c r="F2110" s="4">
        <v>3.2084623199592198E-8</v>
      </c>
      <c r="G2110" s="4">
        <v>5.2070238489402699E-7</v>
      </c>
      <c r="H2110" s="10" t="s">
        <v>10846</v>
      </c>
      <c r="I2110" s="10" t="s">
        <v>18</v>
      </c>
    </row>
    <row r="2111" spans="1:9" x14ac:dyDescent="0.2">
      <c r="A2111" s="10" t="s">
        <v>10847</v>
      </c>
      <c r="B2111" s="10">
        <v>43.172929484510398</v>
      </c>
      <c r="C2111" s="10">
        <v>-1.72940459717533</v>
      </c>
      <c r="D2111" s="10">
        <v>0.56168693607061204</v>
      </c>
      <c r="E2111" s="10">
        <v>-3.0789475170523</v>
      </c>
      <c r="F2111" s="10">
        <v>2.07733273663272E-3</v>
      </c>
      <c r="G2111" s="10">
        <v>1.13155705911642E-2</v>
      </c>
      <c r="H2111" s="10" t="s">
        <v>10848</v>
      </c>
      <c r="I2111" s="10" t="s">
        <v>18</v>
      </c>
    </row>
    <row r="2112" spans="1:9" x14ac:dyDescent="0.2">
      <c r="A2112" s="10" t="s">
        <v>10849</v>
      </c>
      <c r="B2112" s="10">
        <v>761.41019273998597</v>
      </c>
      <c r="C2112" s="10">
        <v>-1.54967326207445</v>
      </c>
      <c r="D2112" s="10">
        <v>0.31737231496500001</v>
      </c>
      <c r="E2112" s="10">
        <v>-4.8828243328198004</v>
      </c>
      <c r="F2112" s="4">
        <v>1.0457703023807901E-6</v>
      </c>
      <c r="G2112" s="4">
        <v>1.30423162897317E-5</v>
      </c>
      <c r="H2112" s="10" t="s">
        <v>10850</v>
      </c>
      <c r="I2112" s="10" t="s">
        <v>18</v>
      </c>
    </row>
    <row r="2113" spans="1:9" x14ac:dyDescent="0.2">
      <c r="A2113" s="10" t="s">
        <v>5846</v>
      </c>
      <c r="B2113" s="10">
        <v>1298.93219282059</v>
      </c>
      <c r="C2113" s="10">
        <v>-1.27523038963067</v>
      </c>
      <c r="D2113" s="10">
        <v>0.25016538918869602</v>
      </c>
      <c r="E2113" s="10">
        <v>-5.0975492403898404</v>
      </c>
      <c r="F2113" s="4">
        <v>3.44078932317506E-7</v>
      </c>
      <c r="G2113" s="4">
        <v>4.6810738466451403E-6</v>
      </c>
      <c r="H2113" s="10" t="s">
        <v>5847</v>
      </c>
      <c r="I2113" s="10" t="s">
        <v>18</v>
      </c>
    </row>
    <row r="2114" spans="1:9" x14ac:dyDescent="0.2">
      <c r="A2114" s="10" t="s">
        <v>10851</v>
      </c>
      <c r="B2114" s="10">
        <v>673.09073514235399</v>
      </c>
      <c r="C2114" s="10">
        <v>1.3631473121058599</v>
      </c>
      <c r="D2114" s="10">
        <v>0.27988901885942402</v>
      </c>
      <c r="E2114" s="10">
        <v>4.8703136609675504</v>
      </c>
      <c r="F2114" s="4">
        <v>1.11421233883516E-6</v>
      </c>
      <c r="G2114" s="4">
        <v>1.37865279800288E-5</v>
      </c>
      <c r="H2114" s="10" t="s">
        <v>10852</v>
      </c>
      <c r="I2114" s="10" t="s">
        <v>18</v>
      </c>
    </row>
    <row r="2115" spans="1:9" x14ac:dyDescent="0.2">
      <c r="A2115" s="10" t="s">
        <v>10853</v>
      </c>
      <c r="B2115" s="10">
        <v>13.306341105654401</v>
      </c>
      <c r="C2115" s="10">
        <v>-2.9172740928720402</v>
      </c>
      <c r="D2115" s="10">
        <v>1.02496424298071</v>
      </c>
      <c r="E2115" s="10">
        <v>-2.84622035632021</v>
      </c>
      <c r="F2115" s="10">
        <v>4.4241568305750101E-3</v>
      </c>
      <c r="G2115" s="10">
        <v>2.1414213021572901E-2</v>
      </c>
      <c r="H2115" s="10" t="s">
        <v>10854</v>
      </c>
      <c r="I2115" s="10" t="s">
        <v>18</v>
      </c>
    </row>
    <row r="2116" spans="1:9" x14ac:dyDescent="0.2">
      <c r="A2116" s="10" t="s">
        <v>10855</v>
      </c>
      <c r="B2116" s="10">
        <v>3018.7326482264298</v>
      </c>
      <c r="C2116" s="10">
        <v>-1.15958456397084</v>
      </c>
      <c r="D2116" s="10">
        <v>0.27038270170782702</v>
      </c>
      <c r="E2116" s="10">
        <v>-4.2886788120930897</v>
      </c>
      <c r="F2116" s="4">
        <v>1.79739067036725E-5</v>
      </c>
      <c r="G2116" s="10">
        <v>1.74165494272297E-4</v>
      </c>
      <c r="H2116" s="10" t="s">
        <v>10856</v>
      </c>
      <c r="I2116" s="10" t="s">
        <v>18</v>
      </c>
    </row>
    <row r="2117" spans="1:9" x14ac:dyDescent="0.2">
      <c r="A2117" s="10" t="s">
        <v>5856</v>
      </c>
      <c r="B2117" s="10">
        <v>1452.9883320080601</v>
      </c>
      <c r="C2117" s="10">
        <v>1.05880807305703</v>
      </c>
      <c r="D2117" s="10">
        <v>0.26163523491852397</v>
      </c>
      <c r="E2117" s="10">
        <v>4.04688639657709</v>
      </c>
      <c r="F2117" s="4">
        <v>5.1903415069041001E-5</v>
      </c>
      <c r="G2117" s="10">
        <v>4.5397441100894498E-4</v>
      </c>
      <c r="H2117" s="10" t="s">
        <v>5857</v>
      </c>
      <c r="I2117" s="10" t="s">
        <v>18</v>
      </c>
    </row>
    <row r="2118" spans="1:9" x14ac:dyDescent="0.2">
      <c r="A2118" s="10" t="s">
        <v>10857</v>
      </c>
      <c r="B2118" s="10">
        <v>2307.7789588965302</v>
      </c>
      <c r="C2118" s="10">
        <v>-1.00143255372268</v>
      </c>
      <c r="D2118" s="10">
        <v>0.269924979743493</v>
      </c>
      <c r="E2118" s="10">
        <v>-3.7100403033254898</v>
      </c>
      <c r="F2118" s="10">
        <v>2.07226255082794E-4</v>
      </c>
      <c r="G2118" s="10">
        <v>1.5411596033656899E-3</v>
      </c>
      <c r="H2118" s="10" t="s">
        <v>10858</v>
      </c>
      <c r="I2118" s="10" t="s">
        <v>18</v>
      </c>
    </row>
    <row r="2119" spans="1:9" x14ac:dyDescent="0.2">
      <c r="A2119" s="10" t="s">
        <v>5866</v>
      </c>
      <c r="B2119" s="10">
        <v>3676.2190934481901</v>
      </c>
      <c r="C2119" s="10">
        <v>1.87468138353608</v>
      </c>
      <c r="D2119" s="10">
        <v>0.24565497737140499</v>
      </c>
      <c r="E2119" s="10">
        <v>7.6313592486333199</v>
      </c>
      <c r="F2119" s="4">
        <v>2.3229136357469899E-14</v>
      </c>
      <c r="G2119" s="4">
        <v>7.8750528985465701E-13</v>
      </c>
      <c r="H2119" s="10" t="s">
        <v>5867</v>
      </c>
      <c r="I2119" s="10" t="s">
        <v>18</v>
      </c>
    </row>
    <row r="2120" spans="1:9" x14ac:dyDescent="0.2">
      <c r="A2120" s="10" t="s">
        <v>10859</v>
      </c>
      <c r="B2120" s="10">
        <v>171.606162716927</v>
      </c>
      <c r="C2120" s="10">
        <v>-2.8099706000062699</v>
      </c>
      <c r="D2120" s="10">
        <v>0.36431051528792402</v>
      </c>
      <c r="E2120" s="10">
        <v>-7.7131196660230197</v>
      </c>
      <c r="F2120" s="4">
        <v>1.22778864399262E-14</v>
      </c>
      <c r="G2120" s="4">
        <v>4.3015352840716498E-13</v>
      </c>
      <c r="H2120" s="10" t="s">
        <v>10860</v>
      </c>
      <c r="I2120" s="10" t="s">
        <v>18</v>
      </c>
    </row>
    <row r="2121" spans="1:9" x14ac:dyDescent="0.2">
      <c r="A2121" s="10" t="s">
        <v>5874</v>
      </c>
      <c r="B2121" s="10">
        <v>206.26142778549499</v>
      </c>
      <c r="C2121" s="10">
        <v>-1.2125444747591501</v>
      </c>
      <c r="D2121" s="10">
        <v>0.33910085551428398</v>
      </c>
      <c r="E2121" s="10">
        <v>-3.5757635377244799</v>
      </c>
      <c r="F2121" s="10">
        <v>3.4920719060532799E-4</v>
      </c>
      <c r="G2121" s="10">
        <v>2.4496115113432902E-3</v>
      </c>
      <c r="H2121" s="10" t="s">
        <v>5875</v>
      </c>
      <c r="I2121" s="10" t="s">
        <v>18</v>
      </c>
    </row>
    <row r="2122" spans="1:9" x14ac:dyDescent="0.2">
      <c r="A2122" s="10" t="s">
        <v>5878</v>
      </c>
      <c r="B2122" s="10">
        <v>410.150528125633</v>
      </c>
      <c r="C2122" s="10">
        <v>2.0231688713303702</v>
      </c>
      <c r="D2122" s="10">
        <v>0.29405221992130198</v>
      </c>
      <c r="E2122" s="10">
        <v>6.8803047019057804</v>
      </c>
      <c r="F2122" s="4">
        <v>5.9724673850993801E-12</v>
      </c>
      <c r="G2122" s="4">
        <v>1.5797806014995701E-10</v>
      </c>
      <c r="H2122" s="10" t="s">
        <v>5879</v>
      </c>
      <c r="I2122" s="10" t="s">
        <v>18</v>
      </c>
    </row>
    <row r="2123" spans="1:9" x14ac:dyDescent="0.2">
      <c r="A2123" s="10" t="s">
        <v>5880</v>
      </c>
      <c r="B2123" s="10">
        <v>1020.43521169191</v>
      </c>
      <c r="C2123" s="10">
        <v>3.4232361315919499</v>
      </c>
      <c r="D2123" s="10">
        <v>0.28513917861981802</v>
      </c>
      <c r="E2123" s="10">
        <v>12.0054920132748</v>
      </c>
      <c r="F2123" s="4">
        <v>3.3248068647229998E-33</v>
      </c>
      <c r="G2123" s="4">
        <v>3.8720146612086599E-31</v>
      </c>
      <c r="H2123" s="10" t="s">
        <v>5881</v>
      </c>
      <c r="I2123" s="10" t="s">
        <v>18</v>
      </c>
    </row>
    <row r="2124" spans="1:9" x14ac:dyDescent="0.2">
      <c r="A2124" s="10" t="s">
        <v>5882</v>
      </c>
      <c r="B2124" s="10">
        <v>16.777413877586799</v>
      </c>
      <c r="C2124" s="10">
        <v>4.5362999068619096</v>
      </c>
      <c r="D2124" s="10">
        <v>1.1770087694836999</v>
      </c>
      <c r="E2124" s="10">
        <v>3.8540918508634099</v>
      </c>
      <c r="F2124" s="10">
        <v>1.1615998434574499E-4</v>
      </c>
      <c r="G2124" s="10">
        <v>9.2703185476434398E-4</v>
      </c>
      <c r="H2124" s="10" t="s">
        <v>5883</v>
      </c>
      <c r="I2124" s="10" t="s">
        <v>18</v>
      </c>
    </row>
    <row r="2125" spans="1:9" x14ac:dyDescent="0.2">
      <c r="A2125" s="10" t="s">
        <v>5884</v>
      </c>
      <c r="B2125" s="10">
        <v>411.52158467746898</v>
      </c>
      <c r="C2125" s="10">
        <v>-1.1276193434025701</v>
      </c>
      <c r="D2125" s="10">
        <v>0.32091503160632201</v>
      </c>
      <c r="E2125" s="10">
        <v>-3.5137629351867301</v>
      </c>
      <c r="F2125" s="10">
        <v>4.4180691733937503E-4</v>
      </c>
      <c r="G2125" s="10">
        <v>3.0061274021292899E-3</v>
      </c>
      <c r="H2125" s="10" t="s">
        <v>5885</v>
      </c>
      <c r="I2125" s="10" t="s">
        <v>18</v>
      </c>
    </row>
    <row r="2126" spans="1:9" x14ac:dyDescent="0.2">
      <c r="A2126" s="10" t="s">
        <v>10861</v>
      </c>
      <c r="B2126" s="10">
        <v>217.52001834823199</v>
      </c>
      <c r="C2126" s="10">
        <v>-1.98400761330549</v>
      </c>
      <c r="D2126" s="10">
        <v>0.37472273931564598</v>
      </c>
      <c r="E2126" s="10">
        <v>-5.2946015951123604</v>
      </c>
      <c r="F2126" s="4">
        <v>1.1927616337257501E-7</v>
      </c>
      <c r="G2126" s="4">
        <v>1.76909899153133E-6</v>
      </c>
      <c r="H2126" s="10" t="s">
        <v>10862</v>
      </c>
      <c r="I2126" s="10" t="s">
        <v>18</v>
      </c>
    </row>
    <row r="2127" spans="1:9" x14ac:dyDescent="0.2">
      <c r="A2127" s="10" t="s">
        <v>5888</v>
      </c>
      <c r="B2127" s="10">
        <v>3066.8364438482399</v>
      </c>
      <c r="C2127" s="10">
        <v>1.1919482149773699</v>
      </c>
      <c r="D2127" s="10">
        <v>0.29237552409927497</v>
      </c>
      <c r="E2127" s="10">
        <v>4.0767715377318998</v>
      </c>
      <c r="F2127" s="4">
        <v>4.5665320926843298E-5</v>
      </c>
      <c r="G2127" s="10">
        <v>4.0404894404317399E-4</v>
      </c>
      <c r="H2127" s="10" t="s">
        <v>5889</v>
      </c>
      <c r="I2127" s="10" t="s">
        <v>18</v>
      </c>
    </row>
    <row r="2128" spans="1:9" x14ac:dyDescent="0.2">
      <c r="A2128" s="10" t="s">
        <v>5890</v>
      </c>
      <c r="B2128" s="10">
        <v>1106.00511727149</v>
      </c>
      <c r="C2128" s="10">
        <v>-2.3036762758085398</v>
      </c>
      <c r="D2128" s="10">
        <v>0.28027029848742202</v>
      </c>
      <c r="E2128" s="10">
        <v>-8.2194805808576294</v>
      </c>
      <c r="F2128" s="4">
        <v>2.0438645163649E-16</v>
      </c>
      <c r="G2128" s="4">
        <v>8.5832073304105404E-15</v>
      </c>
      <c r="H2128" s="10" t="s">
        <v>5891</v>
      </c>
      <c r="I2128" s="10" t="s">
        <v>18</v>
      </c>
    </row>
    <row r="2129" spans="1:9" x14ac:dyDescent="0.2">
      <c r="A2129" s="10" t="s">
        <v>10863</v>
      </c>
      <c r="B2129" s="10">
        <v>205.267742422585</v>
      </c>
      <c r="C2129" s="10">
        <v>-1.03600636649563</v>
      </c>
      <c r="D2129" s="10">
        <v>0.32361042652578398</v>
      </c>
      <c r="E2129" s="10">
        <v>-3.20139983627223</v>
      </c>
      <c r="F2129" s="10">
        <v>1.36761613893001E-3</v>
      </c>
      <c r="G2129" s="10">
        <v>7.9579884281250294E-3</v>
      </c>
      <c r="H2129" s="10" t="s">
        <v>10864</v>
      </c>
      <c r="I2129" s="10" t="s">
        <v>18</v>
      </c>
    </row>
    <row r="2130" spans="1:9" x14ac:dyDescent="0.2">
      <c r="A2130" s="10" t="s">
        <v>5894</v>
      </c>
      <c r="B2130" s="10">
        <v>178.996986447697</v>
      </c>
      <c r="C2130" s="10">
        <v>-1.3273164585310899</v>
      </c>
      <c r="D2130" s="10">
        <v>0.338558975137498</v>
      </c>
      <c r="E2130" s="10">
        <v>-3.9204881748948801</v>
      </c>
      <c r="F2130" s="4">
        <v>8.83697724860965E-5</v>
      </c>
      <c r="G2130" s="10">
        <v>7.2787872524157095E-4</v>
      </c>
      <c r="H2130" s="10" t="s">
        <v>5895</v>
      </c>
      <c r="I2130" s="10" t="s">
        <v>18</v>
      </c>
    </row>
    <row r="2131" spans="1:9" x14ac:dyDescent="0.2">
      <c r="A2131" s="10" t="s">
        <v>5896</v>
      </c>
      <c r="B2131" s="10">
        <v>57.939829516370303</v>
      </c>
      <c r="C2131" s="10">
        <v>2.5658982164006199</v>
      </c>
      <c r="D2131" s="10">
        <v>0.54065712133852095</v>
      </c>
      <c r="E2131" s="10">
        <v>4.7458881334035699</v>
      </c>
      <c r="F2131" s="4">
        <v>2.0759342571073301E-6</v>
      </c>
      <c r="G2131" s="4">
        <v>2.44019281483808E-5</v>
      </c>
      <c r="H2131" s="10" t="s">
        <v>5897</v>
      </c>
      <c r="I2131" s="10" t="s">
        <v>18</v>
      </c>
    </row>
    <row r="2132" spans="1:9" x14ac:dyDescent="0.2">
      <c r="A2132" s="10" t="s">
        <v>10865</v>
      </c>
      <c r="B2132" s="10">
        <v>604.93975095030703</v>
      </c>
      <c r="C2132" s="10">
        <v>1.2119671189758401</v>
      </c>
      <c r="D2132" s="10">
        <v>0.26867054037577698</v>
      </c>
      <c r="E2132" s="10">
        <v>4.5109788266354496</v>
      </c>
      <c r="F2132" s="4">
        <v>6.4529162451811397E-6</v>
      </c>
      <c r="G2132" s="4">
        <v>6.9220941640738397E-5</v>
      </c>
      <c r="H2132" s="10" t="s">
        <v>10866</v>
      </c>
      <c r="I2132" s="10" t="s">
        <v>18</v>
      </c>
    </row>
    <row r="2133" spans="1:9" x14ac:dyDescent="0.2">
      <c r="A2133" s="10" t="s">
        <v>10867</v>
      </c>
      <c r="B2133" s="10">
        <v>1270.92931591458</v>
      </c>
      <c r="C2133" s="10">
        <v>-1.04139639116273</v>
      </c>
      <c r="D2133" s="10">
        <v>0.251212686282622</v>
      </c>
      <c r="E2133" s="10">
        <v>-4.1454769127031001</v>
      </c>
      <c r="F2133" s="4">
        <v>3.3910716883880897E-5</v>
      </c>
      <c r="G2133" s="10">
        <v>3.0962761641162398E-4</v>
      </c>
      <c r="H2133" s="10" t="s">
        <v>10868</v>
      </c>
      <c r="I2133" s="10" t="s">
        <v>18</v>
      </c>
    </row>
    <row r="2134" spans="1:9" x14ac:dyDescent="0.2">
      <c r="A2134" s="10" t="s">
        <v>10869</v>
      </c>
      <c r="B2134" s="10">
        <v>1408.12594580426</v>
      </c>
      <c r="C2134" s="10">
        <v>-1.7348282334474201</v>
      </c>
      <c r="D2134" s="10">
        <v>0.290655768966113</v>
      </c>
      <c r="E2134" s="10">
        <v>-5.9686695351630403</v>
      </c>
      <c r="F2134" s="4">
        <v>2.3919602069884699E-9</v>
      </c>
      <c r="G2134" s="4">
        <v>4.5791293003649098E-8</v>
      </c>
      <c r="H2134" s="10" t="s">
        <v>10870</v>
      </c>
      <c r="I2134" s="10" t="s">
        <v>18</v>
      </c>
    </row>
    <row r="2135" spans="1:9" x14ac:dyDescent="0.2">
      <c r="A2135" s="10" t="s">
        <v>5908</v>
      </c>
      <c r="B2135" s="10">
        <v>1465.80236743347</v>
      </c>
      <c r="C2135" s="10">
        <v>-1.2649527273060801</v>
      </c>
      <c r="D2135" s="10">
        <v>0.247579149477272</v>
      </c>
      <c r="E2135" s="10">
        <v>-5.1092861817194297</v>
      </c>
      <c r="F2135" s="4">
        <v>3.2337822161889498E-7</v>
      </c>
      <c r="G2135" s="4">
        <v>4.4233709433514399E-6</v>
      </c>
      <c r="H2135" s="10" t="s">
        <v>5909</v>
      </c>
      <c r="I2135" s="10" t="s">
        <v>18</v>
      </c>
    </row>
    <row r="2136" spans="1:9" x14ac:dyDescent="0.2">
      <c r="A2136" s="10" t="s">
        <v>5910</v>
      </c>
      <c r="B2136" s="10">
        <v>221.23029843399999</v>
      </c>
      <c r="C2136" s="10">
        <v>-2.6220951859295698</v>
      </c>
      <c r="D2136" s="10">
        <v>0.40129143612283902</v>
      </c>
      <c r="E2136" s="10">
        <v>-6.5341418976280403</v>
      </c>
      <c r="F2136" s="4">
        <v>6.3975269518879798E-11</v>
      </c>
      <c r="G2136" s="4">
        <v>1.50121073204051E-9</v>
      </c>
      <c r="H2136" s="10" t="s">
        <v>5911</v>
      </c>
      <c r="I2136" s="10" t="s">
        <v>18</v>
      </c>
    </row>
    <row r="2137" spans="1:9" x14ac:dyDescent="0.2">
      <c r="A2137" s="10" t="s">
        <v>10871</v>
      </c>
      <c r="B2137" s="10">
        <v>161.50423325942</v>
      </c>
      <c r="C2137" s="10">
        <v>-1.6026354574474899</v>
      </c>
      <c r="D2137" s="10">
        <v>0.36146125068553497</v>
      </c>
      <c r="E2137" s="10">
        <v>-4.4337683621909196</v>
      </c>
      <c r="F2137" s="4">
        <v>9.2600115977512097E-6</v>
      </c>
      <c r="G2137" s="4">
        <v>9.5700736130415598E-5</v>
      </c>
      <c r="H2137" s="10" t="s">
        <v>10872</v>
      </c>
      <c r="I2137" s="10" t="s">
        <v>18</v>
      </c>
    </row>
    <row r="2138" spans="1:9" x14ac:dyDescent="0.2">
      <c r="A2138" s="10" t="s">
        <v>5916</v>
      </c>
      <c r="B2138" s="10">
        <v>1296.77881339946</v>
      </c>
      <c r="C2138" s="10">
        <v>1.8311050619065099</v>
      </c>
      <c r="D2138" s="10">
        <v>0.261602491054509</v>
      </c>
      <c r="E2138" s="10">
        <v>6.9995704342317504</v>
      </c>
      <c r="F2138" s="4">
        <v>2.5674848249470401E-12</v>
      </c>
      <c r="G2138" s="4">
        <v>7.0739409388327197E-11</v>
      </c>
      <c r="H2138" s="10" t="s">
        <v>5917</v>
      </c>
      <c r="I2138" s="10" t="s">
        <v>18</v>
      </c>
    </row>
    <row r="2139" spans="1:9" x14ac:dyDescent="0.2">
      <c r="A2139" s="10" t="s">
        <v>5920</v>
      </c>
      <c r="B2139" s="10">
        <v>1011.02928114479</v>
      </c>
      <c r="C2139" s="10">
        <v>-1.28190351019222</v>
      </c>
      <c r="D2139" s="10">
        <v>0.26358731393360302</v>
      </c>
      <c r="E2139" s="10">
        <v>-4.8632974442583796</v>
      </c>
      <c r="F2139" s="4">
        <v>1.15446160353729E-6</v>
      </c>
      <c r="G2139" s="4">
        <v>1.42076720337478E-5</v>
      </c>
      <c r="H2139" s="10" t="s">
        <v>5921</v>
      </c>
      <c r="I2139" s="10" t="s">
        <v>18</v>
      </c>
    </row>
    <row r="2140" spans="1:9" x14ac:dyDescent="0.2">
      <c r="A2140" s="10" t="s">
        <v>5922</v>
      </c>
      <c r="B2140" s="10">
        <v>3678.1116026940899</v>
      </c>
      <c r="C2140" s="10">
        <v>1.34035146266133</v>
      </c>
      <c r="D2140" s="10">
        <v>0.240780993939673</v>
      </c>
      <c r="E2140" s="10">
        <v>5.5666829874336097</v>
      </c>
      <c r="F2140" s="4">
        <v>2.5963411433148599E-8</v>
      </c>
      <c r="G2140" s="4">
        <v>4.2826859973826397E-7</v>
      </c>
      <c r="H2140" s="10" t="s">
        <v>5923</v>
      </c>
      <c r="I2140" s="10" t="s">
        <v>18</v>
      </c>
    </row>
    <row r="2141" spans="1:9" x14ac:dyDescent="0.2">
      <c r="A2141" s="10" t="s">
        <v>10873</v>
      </c>
      <c r="B2141" s="10">
        <v>2294.4092107659899</v>
      </c>
      <c r="C2141" s="10">
        <v>-1.2882250722888899</v>
      </c>
      <c r="D2141" s="10">
        <v>0.24600572324586201</v>
      </c>
      <c r="E2141" s="10">
        <v>-5.2365654558427499</v>
      </c>
      <c r="F2141" s="4">
        <v>1.6359224134191901E-7</v>
      </c>
      <c r="G2141" s="4">
        <v>2.37321962569548E-6</v>
      </c>
      <c r="H2141" s="10" t="s">
        <v>10874</v>
      </c>
      <c r="I2141" s="10" t="s">
        <v>18</v>
      </c>
    </row>
    <row r="2142" spans="1:9" x14ac:dyDescent="0.2">
      <c r="A2142" s="10" t="s">
        <v>10875</v>
      </c>
      <c r="B2142" s="10">
        <v>36.117956942193203</v>
      </c>
      <c r="C2142" s="10">
        <v>-1.8362801916421601</v>
      </c>
      <c r="D2142" s="10">
        <v>0.618401576944269</v>
      </c>
      <c r="E2142" s="10">
        <v>-2.9693976537314901</v>
      </c>
      <c r="F2142" s="10">
        <v>2.9838419006641402E-3</v>
      </c>
      <c r="G2142" s="10">
        <v>1.5346257004949199E-2</v>
      </c>
      <c r="H2142" s="10" t="s">
        <v>10876</v>
      </c>
      <c r="I2142" s="10" t="s">
        <v>18</v>
      </c>
    </row>
    <row r="2143" spans="1:9" x14ac:dyDescent="0.2">
      <c r="A2143" s="10" t="s">
        <v>10877</v>
      </c>
      <c r="B2143" s="10">
        <v>154.55432127935401</v>
      </c>
      <c r="C2143" s="10">
        <v>1.82187037435054</v>
      </c>
      <c r="D2143" s="10">
        <v>0.35376768949699899</v>
      </c>
      <c r="E2143" s="10">
        <v>5.1499060780280503</v>
      </c>
      <c r="F2143" s="4">
        <v>2.6061693325446898E-7</v>
      </c>
      <c r="G2143" s="4">
        <v>3.6340459844879001E-6</v>
      </c>
      <c r="H2143" s="10" t="s">
        <v>10878</v>
      </c>
      <c r="I2143" s="10" t="s">
        <v>18</v>
      </c>
    </row>
    <row r="2144" spans="1:9" x14ac:dyDescent="0.2">
      <c r="A2144" s="10" t="s">
        <v>10879</v>
      </c>
      <c r="B2144" s="10">
        <v>146.14161537489201</v>
      </c>
      <c r="C2144" s="10">
        <v>-1.12777139520522</v>
      </c>
      <c r="D2144" s="10">
        <v>0.36703849543302097</v>
      </c>
      <c r="E2144" s="10">
        <v>-3.0726242866561</v>
      </c>
      <c r="F2144" s="10">
        <v>2.12185452877269E-3</v>
      </c>
      <c r="G2144" s="10">
        <v>1.15132119653316E-2</v>
      </c>
      <c r="H2144" s="10" t="s">
        <v>10880</v>
      </c>
      <c r="I2144" s="10" t="s">
        <v>18</v>
      </c>
    </row>
    <row r="2145" spans="1:9" x14ac:dyDescent="0.2">
      <c r="A2145" s="10" t="s">
        <v>5936</v>
      </c>
      <c r="B2145" s="10">
        <v>613.24730331296701</v>
      </c>
      <c r="C2145" s="10">
        <v>-1.0101271723482099</v>
      </c>
      <c r="D2145" s="10">
        <v>0.27875753880450899</v>
      </c>
      <c r="E2145" s="10">
        <v>-3.6236766068472401</v>
      </c>
      <c r="F2145" s="10">
        <v>2.9044472271434301E-4</v>
      </c>
      <c r="G2145" s="10">
        <v>2.0827072405585202E-3</v>
      </c>
      <c r="H2145" s="10" t="s">
        <v>5937</v>
      </c>
      <c r="I2145" s="10" t="s">
        <v>18</v>
      </c>
    </row>
    <row r="2146" spans="1:9" x14ac:dyDescent="0.2">
      <c r="A2146" s="10" t="s">
        <v>10881</v>
      </c>
      <c r="B2146" s="10">
        <v>95.145081094196797</v>
      </c>
      <c r="C2146" s="10">
        <v>-1.8463532289961899</v>
      </c>
      <c r="D2146" s="10">
        <v>0.41578758584453501</v>
      </c>
      <c r="E2146" s="10">
        <v>-4.4406165355945699</v>
      </c>
      <c r="F2146" s="4">
        <v>8.97015124352604E-6</v>
      </c>
      <c r="G2146" s="4">
        <v>9.2972457573505402E-5</v>
      </c>
      <c r="H2146" s="10" t="s">
        <v>10882</v>
      </c>
      <c r="I2146" s="10" t="s">
        <v>18</v>
      </c>
    </row>
    <row r="2147" spans="1:9" x14ac:dyDescent="0.2">
      <c r="A2147" s="10" t="s">
        <v>5940</v>
      </c>
      <c r="B2147" s="10">
        <v>119.949405933107</v>
      </c>
      <c r="C2147" s="10">
        <v>2.9533076992724001</v>
      </c>
      <c r="D2147" s="10">
        <v>0.408165610664812</v>
      </c>
      <c r="E2147" s="10">
        <v>7.2355622867446296</v>
      </c>
      <c r="F2147" s="4">
        <v>4.6360430285571295E-13</v>
      </c>
      <c r="G2147" s="4">
        <v>1.3966426632737099E-11</v>
      </c>
      <c r="H2147" s="10" t="s">
        <v>5941</v>
      </c>
      <c r="I2147" s="10" t="s">
        <v>18</v>
      </c>
    </row>
    <row r="2148" spans="1:9" x14ac:dyDescent="0.2">
      <c r="A2148" s="10" t="s">
        <v>5942</v>
      </c>
      <c r="B2148" s="10">
        <v>528.21285412442296</v>
      </c>
      <c r="C2148" s="10">
        <v>-1.11479535564763</v>
      </c>
      <c r="D2148" s="10">
        <v>0.30522769969633201</v>
      </c>
      <c r="E2148" s="10">
        <v>-3.6523400620478599</v>
      </c>
      <c r="F2148" s="10">
        <v>2.5986144525851301E-4</v>
      </c>
      <c r="G2148" s="10">
        <v>1.8838082580627999E-3</v>
      </c>
      <c r="H2148" s="10" t="s">
        <v>5943</v>
      </c>
      <c r="I2148" s="10" t="s">
        <v>18</v>
      </c>
    </row>
    <row r="2149" spans="1:9" x14ac:dyDescent="0.2">
      <c r="A2149" s="10" t="s">
        <v>10883</v>
      </c>
      <c r="B2149" s="10">
        <v>1604.2914107869799</v>
      </c>
      <c r="C2149" s="10">
        <v>1.50871162424814</v>
      </c>
      <c r="D2149" s="10">
        <v>0.289773273097712</v>
      </c>
      <c r="E2149" s="10">
        <v>5.2065244255269798</v>
      </c>
      <c r="F2149" s="4">
        <v>1.92410377638141E-7</v>
      </c>
      <c r="G2149" s="4">
        <v>2.7563115315987602E-6</v>
      </c>
      <c r="H2149" s="10" t="s">
        <v>10884</v>
      </c>
      <c r="I2149" s="10" t="s">
        <v>18</v>
      </c>
    </row>
    <row r="2150" spans="1:9" x14ac:dyDescent="0.2">
      <c r="A2150" s="10" t="s">
        <v>5954</v>
      </c>
      <c r="B2150" s="10">
        <v>544.59094221780799</v>
      </c>
      <c r="C2150" s="10">
        <v>3.20277417039153</v>
      </c>
      <c r="D2150" s="10">
        <v>0.32837493921392003</v>
      </c>
      <c r="E2150" s="10">
        <v>9.7534062071194594</v>
      </c>
      <c r="F2150" s="4">
        <v>1.7838048876054201E-22</v>
      </c>
      <c r="G2150" s="4">
        <v>1.12742743587222E-20</v>
      </c>
      <c r="H2150" s="10" t="s">
        <v>5955</v>
      </c>
      <c r="I2150" s="10" t="s">
        <v>18</v>
      </c>
    </row>
    <row r="2151" spans="1:9" x14ac:dyDescent="0.2">
      <c r="A2151" s="10" t="s">
        <v>5958</v>
      </c>
      <c r="B2151" s="10">
        <v>22.369649584587499</v>
      </c>
      <c r="C2151" s="10">
        <v>2.0951209187819999</v>
      </c>
      <c r="D2151" s="10">
        <v>0.75659782471169501</v>
      </c>
      <c r="E2151" s="10">
        <v>2.7691342088914301</v>
      </c>
      <c r="F2151" s="10">
        <v>5.6205477579886398E-3</v>
      </c>
      <c r="G2151" s="10">
        <v>2.60666035958417E-2</v>
      </c>
      <c r="H2151" s="10" t="s">
        <v>5959</v>
      </c>
      <c r="I2151" s="10" t="s">
        <v>18</v>
      </c>
    </row>
    <row r="2152" spans="1:9" x14ac:dyDescent="0.2">
      <c r="A2152" s="10" t="s">
        <v>5960</v>
      </c>
      <c r="B2152" s="10">
        <v>265.37752100207803</v>
      </c>
      <c r="C2152" s="10">
        <v>7.5339548720721101</v>
      </c>
      <c r="D2152" s="10">
        <v>0.66713102021925297</v>
      </c>
      <c r="E2152" s="10">
        <v>11.2930663448929</v>
      </c>
      <c r="F2152" s="4">
        <v>1.4199485736717501E-29</v>
      </c>
      <c r="G2152" s="4">
        <v>1.4062522193194001E-27</v>
      </c>
      <c r="H2152" s="10" t="s">
        <v>5961</v>
      </c>
      <c r="I2152" s="10" t="s">
        <v>18</v>
      </c>
    </row>
    <row r="2153" spans="1:9" x14ac:dyDescent="0.2">
      <c r="A2153" s="10" t="s">
        <v>5962</v>
      </c>
      <c r="B2153" s="10">
        <v>61.656735825320297</v>
      </c>
      <c r="C2153" s="10">
        <v>1.9008033363394401</v>
      </c>
      <c r="D2153" s="10">
        <v>0.48228482596058297</v>
      </c>
      <c r="E2153" s="10">
        <v>3.9412464046604501</v>
      </c>
      <c r="F2153" s="4">
        <v>8.1059304172911398E-5</v>
      </c>
      <c r="G2153" s="10">
        <v>6.74065056684161E-4</v>
      </c>
      <c r="H2153" s="10" t="s">
        <v>5963</v>
      </c>
      <c r="I2153" s="10" t="s">
        <v>18</v>
      </c>
    </row>
    <row r="2154" spans="1:9" x14ac:dyDescent="0.2">
      <c r="A2154" s="10" t="s">
        <v>5968</v>
      </c>
      <c r="B2154" s="10">
        <v>4444.4007970064604</v>
      </c>
      <c r="C2154" s="10">
        <v>2.5055408359276798</v>
      </c>
      <c r="D2154" s="10">
        <v>0.26253216707924498</v>
      </c>
      <c r="E2154" s="10">
        <v>9.5437479673543493</v>
      </c>
      <c r="F2154" s="4">
        <v>1.3776152139641501E-21</v>
      </c>
      <c r="G2154" s="4">
        <v>8.2313327095648998E-20</v>
      </c>
      <c r="H2154" s="10" t="s">
        <v>5969</v>
      </c>
      <c r="I2154" s="10" t="s">
        <v>18</v>
      </c>
    </row>
    <row r="2155" spans="1:9" x14ac:dyDescent="0.2">
      <c r="A2155" s="10" t="s">
        <v>5974</v>
      </c>
      <c r="B2155" s="10">
        <v>65.103476953033294</v>
      </c>
      <c r="C2155" s="10">
        <v>-2.5766525633060802</v>
      </c>
      <c r="D2155" s="10">
        <v>0.49667078940103299</v>
      </c>
      <c r="E2155" s="10">
        <v>-5.1878480037318599</v>
      </c>
      <c r="F2155" s="4">
        <v>2.1273812441891299E-7</v>
      </c>
      <c r="G2155" s="4">
        <v>3.0182896332531099E-6</v>
      </c>
      <c r="H2155" s="10" t="s">
        <v>5975</v>
      </c>
      <c r="I2155" s="10" t="s">
        <v>18</v>
      </c>
    </row>
    <row r="2156" spans="1:9" x14ac:dyDescent="0.2">
      <c r="A2156" s="10" t="s">
        <v>5976</v>
      </c>
      <c r="B2156" s="10">
        <v>20.7713462411932</v>
      </c>
      <c r="C2156" s="10">
        <v>2.5839069908357999</v>
      </c>
      <c r="D2156" s="10">
        <v>0.85993502381778197</v>
      </c>
      <c r="E2156" s="10">
        <v>3.00477003409426</v>
      </c>
      <c r="F2156" s="10">
        <v>2.6578171645017198E-3</v>
      </c>
      <c r="G2156" s="10">
        <v>1.39083400817642E-2</v>
      </c>
      <c r="H2156" s="10" t="s">
        <v>5977</v>
      </c>
      <c r="I2156" s="10" t="s">
        <v>18</v>
      </c>
    </row>
    <row r="2157" spans="1:9" x14ac:dyDescent="0.2">
      <c r="A2157" s="10" t="s">
        <v>5978</v>
      </c>
      <c r="B2157" s="10">
        <v>5241.7326392352797</v>
      </c>
      <c r="C2157" s="10">
        <v>-1.7431177649723899</v>
      </c>
      <c r="D2157" s="10">
        <v>0.28812510700177701</v>
      </c>
      <c r="E2157" s="10">
        <v>-6.0498641826505004</v>
      </c>
      <c r="F2157" s="4">
        <v>1.44967997714788E-9</v>
      </c>
      <c r="G2157" s="4">
        <v>2.87819256709983E-8</v>
      </c>
      <c r="H2157" s="10" t="s">
        <v>5979</v>
      </c>
      <c r="I2157" s="10" t="s">
        <v>18</v>
      </c>
    </row>
    <row r="2158" spans="1:9" x14ac:dyDescent="0.2">
      <c r="A2158" s="10" t="s">
        <v>10885</v>
      </c>
      <c r="B2158" s="10">
        <v>1837.8689719465599</v>
      </c>
      <c r="C2158" s="10">
        <v>1.6008182596168801</v>
      </c>
      <c r="D2158" s="10">
        <v>0.27710678371467101</v>
      </c>
      <c r="E2158" s="10">
        <v>5.7769002914962897</v>
      </c>
      <c r="F2158" s="4">
        <v>7.6089345180726104E-9</v>
      </c>
      <c r="G2158" s="4">
        <v>1.3664566170885099E-7</v>
      </c>
      <c r="H2158" s="10" t="s">
        <v>10886</v>
      </c>
      <c r="I2158" s="10" t="s">
        <v>18</v>
      </c>
    </row>
    <row r="2159" spans="1:9" x14ac:dyDescent="0.2">
      <c r="A2159" s="10" t="s">
        <v>5980</v>
      </c>
      <c r="B2159" s="10">
        <v>81.132272534246397</v>
      </c>
      <c r="C2159" s="10">
        <v>1.84094918186463</v>
      </c>
      <c r="D2159" s="10">
        <v>0.455653856460077</v>
      </c>
      <c r="E2159" s="10">
        <v>4.0402361480417603</v>
      </c>
      <c r="F2159" s="4">
        <v>5.3397408304894802E-5</v>
      </c>
      <c r="G2159" s="10">
        <v>4.6574611855396299E-4</v>
      </c>
      <c r="H2159" s="10" t="s">
        <v>5981</v>
      </c>
      <c r="I2159" s="10" t="s">
        <v>18</v>
      </c>
    </row>
    <row r="2160" spans="1:9" x14ac:dyDescent="0.2">
      <c r="A2160" s="10" t="s">
        <v>10887</v>
      </c>
      <c r="B2160" s="10">
        <v>963.86507640731497</v>
      </c>
      <c r="C2160" s="10">
        <v>-1.8311194316914201</v>
      </c>
      <c r="D2160" s="10">
        <v>0.28383892004581102</v>
      </c>
      <c r="E2160" s="10">
        <v>-6.45126267883166</v>
      </c>
      <c r="F2160" s="4">
        <v>1.10922045803636E-10</v>
      </c>
      <c r="G2160" s="4">
        <v>2.53428161870161E-9</v>
      </c>
      <c r="H2160" s="10" t="s">
        <v>10888</v>
      </c>
      <c r="I2160" s="10" t="s">
        <v>18</v>
      </c>
    </row>
    <row r="2161" spans="1:9" x14ac:dyDescent="0.2">
      <c r="A2161" s="10" t="s">
        <v>5988</v>
      </c>
      <c r="B2161" s="10">
        <v>4268.4433128600504</v>
      </c>
      <c r="C2161" s="10">
        <v>2.4482888749818401</v>
      </c>
      <c r="D2161" s="10">
        <v>0.25375100802601103</v>
      </c>
      <c r="E2161" s="10">
        <v>9.64839073557836</v>
      </c>
      <c r="F2161" s="4">
        <v>4.9933139213934598E-22</v>
      </c>
      <c r="G2161" s="4">
        <v>3.0561268051740297E-20</v>
      </c>
      <c r="H2161" s="10" t="s">
        <v>5989</v>
      </c>
      <c r="I2161" s="10" t="s">
        <v>18</v>
      </c>
    </row>
    <row r="2162" spans="1:9" x14ac:dyDescent="0.2">
      <c r="A2162" s="10" t="s">
        <v>5992</v>
      </c>
      <c r="B2162" s="10">
        <v>1867.9982234581901</v>
      </c>
      <c r="C2162" s="10">
        <v>1.44942391658535</v>
      </c>
      <c r="D2162" s="10">
        <v>0.288674802420958</v>
      </c>
      <c r="E2162" s="10">
        <v>5.0209575079980198</v>
      </c>
      <c r="F2162" s="4">
        <v>5.1414533603726395E-7</v>
      </c>
      <c r="G2162" s="4">
        <v>6.8105981716784504E-6</v>
      </c>
      <c r="H2162" s="10" t="s">
        <v>5993</v>
      </c>
      <c r="I2162" s="10" t="s">
        <v>18</v>
      </c>
    </row>
    <row r="2163" spans="1:9" x14ac:dyDescent="0.2">
      <c r="A2163" s="10" t="s">
        <v>5994</v>
      </c>
      <c r="B2163" s="10">
        <v>11998.310225883501</v>
      </c>
      <c r="C2163" s="10">
        <v>2.1392155786732499</v>
      </c>
      <c r="D2163" s="10">
        <v>0.25844744506675299</v>
      </c>
      <c r="E2163" s="10">
        <v>8.2771782794011592</v>
      </c>
      <c r="F2163" s="4">
        <v>1.26128321353486E-16</v>
      </c>
      <c r="G2163" s="4">
        <v>5.3684567235988602E-15</v>
      </c>
      <c r="H2163" s="10" t="s">
        <v>5995</v>
      </c>
      <c r="I2163" s="10" t="s">
        <v>18</v>
      </c>
    </row>
    <row r="2164" spans="1:9" x14ac:dyDescent="0.2">
      <c r="A2164" s="10" t="s">
        <v>6000</v>
      </c>
      <c r="B2164" s="10">
        <v>55.055871413253897</v>
      </c>
      <c r="C2164" s="10">
        <v>3.5200900242938098</v>
      </c>
      <c r="D2164" s="10">
        <v>0.59182960275858498</v>
      </c>
      <c r="E2164" s="10">
        <v>5.9478099910620799</v>
      </c>
      <c r="F2164" s="4">
        <v>2.7175378429511798E-9</v>
      </c>
      <c r="G2164" s="4">
        <v>5.1787624575331002E-8</v>
      </c>
      <c r="H2164" s="10" t="s">
        <v>6001</v>
      </c>
      <c r="I2164" s="10" t="s">
        <v>18</v>
      </c>
    </row>
    <row r="2165" spans="1:9" x14ac:dyDescent="0.2">
      <c r="A2165" s="10" t="s">
        <v>6002</v>
      </c>
      <c r="B2165" s="10">
        <v>48.2028914911482</v>
      </c>
      <c r="C2165" s="10">
        <v>1.63738391657265</v>
      </c>
      <c r="D2165" s="10">
        <v>0.53291469294365901</v>
      </c>
      <c r="E2165" s="10">
        <v>3.0725066098820402</v>
      </c>
      <c r="F2165" s="10">
        <v>2.1226913214792199E-3</v>
      </c>
      <c r="G2165" s="10">
        <v>1.1514568612791499E-2</v>
      </c>
      <c r="H2165" s="10" t="s">
        <v>6003</v>
      </c>
      <c r="I2165" s="10" t="s">
        <v>18</v>
      </c>
    </row>
    <row r="2166" spans="1:9" x14ac:dyDescent="0.2">
      <c r="A2166" s="10" t="s">
        <v>10889</v>
      </c>
      <c r="B2166" s="10">
        <v>79.737331213930801</v>
      </c>
      <c r="C2166" s="10">
        <v>-1.8453715694211501</v>
      </c>
      <c r="D2166" s="10">
        <v>0.48006942011937798</v>
      </c>
      <c r="E2166" s="10">
        <v>-3.8439681681084101</v>
      </c>
      <c r="F2166" s="10">
        <v>1.21060715553052E-4</v>
      </c>
      <c r="G2166" s="10">
        <v>9.6187059372615698E-4</v>
      </c>
      <c r="H2166" s="10" t="s">
        <v>10890</v>
      </c>
      <c r="I2166" s="10" t="s">
        <v>18</v>
      </c>
    </row>
    <row r="2167" spans="1:9" x14ac:dyDescent="0.2">
      <c r="A2167" s="10" t="s">
        <v>6006</v>
      </c>
      <c r="B2167" s="10">
        <v>203.880845023511</v>
      </c>
      <c r="C2167" s="10">
        <v>1.9002005465788601</v>
      </c>
      <c r="D2167" s="10">
        <v>0.34934630715306902</v>
      </c>
      <c r="E2167" s="10">
        <v>5.4393033722445399</v>
      </c>
      <c r="F2167" s="4">
        <v>5.3489306271433099E-8</v>
      </c>
      <c r="G2167" s="4">
        <v>8.3469199705825004E-7</v>
      </c>
      <c r="H2167" s="10" t="s">
        <v>6007</v>
      </c>
      <c r="I2167" s="10" t="s">
        <v>18</v>
      </c>
    </row>
    <row r="2168" spans="1:9" x14ac:dyDescent="0.2">
      <c r="A2168" s="10" t="s">
        <v>10891</v>
      </c>
      <c r="B2168" s="10">
        <v>315.37682791350301</v>
      </c>
      <c r="C2168" s="10">
        <v>1.03165279733147</v>
      </c>
      <c r="D2168" s="10">
        <v>0.34674074202490002</v>
      </c>
      <c r="E2168" s="10">
        <v>2.97528577491879</v>
      </c>
      <c r="F2168" s="10">
        <v>2.9271571869910399E-3</v>
      </c>
      <c r="G2168" s="10">
        <v>1.51072300038489E-2</v>
      </c>
      <c r="H2168" s="10" t="s">
        <v>10892</v>
      </c>
      <c r="I2168" s="10" t="s">
        <v>18</v>
      </c>
    </row>
    <row r="2169" spans="1:9" x14ac:dyDescent="0.2">
      <c r="A2169" s="10" t="s">
        <v>6008</v>
      </c>
      <c r="B2169" s="10">
        <v>361.17922067361798</v>
      </c>
      <c r="C2169" s="10">
        <v>4.0665407972697096</v>
      </c>
      <c r="D2169" s="10">
        <v>0.32275501745359197</v>
      </c>
      <c r="E2169" s="10">
        <v>12.5994657785744</v>
      </c>
      <c r="F2169" s="4">
        <v>2.1257943214521401E-36</v>
      </c>
      <c r="G2169" s="4">
        <v>2.9062150084852398E-34</v>
      </c>
      <c r="H2169" s="10" t="s">
        <v>6009</v>
      </c>
      <c r="I2169" s="10" t="s">
        <v>18</v>
      </c>
    </row>
    <row r="2170" spans="1:9" x14ac:dyDescent="0.2">
      <c r="A2170" s="10" t="s">
        <v>10893</v>
      </c>
      <c r="B2170" s="10">
        <v>61518.222207288702</v>
      </c>
      <c r="C2170" s="10">
        <v>1.0719891941820201</v>
      </c>
      <c r="D2170" s="10">
        <v>0.25852638001021699</v>
      </c>
      <c r="E2170" s="10">
        <v>4.1465369767667397</v>
      </c>
      <c r="F2170" s="4">
        <v>3.37541689086272E-5</v>
      </c>
      <c r="G2170" s="10">
        <v>3.0842212818616598E-4</v>
      </c>
      <c r="H2170" s="10" t="s">
        <v>10894</v>
      </c>
      <c r="I2170" s="10" t="s">
        <v>18</v>
      </c>
    </row>
    <row r="2171" spans="1:9" x14ac:dyDescent="0.2">
      <c r="A2171" s="10" t="s">
        <v>10895</v>
      </c>
      <c r="B2171" s="10">
        <v>57.469611939215298</v>
      </c>
      <c r="C2171" s="10">
        <v>-2.0209194038601002</v>
      </c>
      <c r="D2171" s="10">
        <v>0.54968674336983703</v>
      </c>
      <c r="E2171" s="10">
        <v>-3.67649289024311</v>
      </c>
      <c r="F2171" s="10">
        <v>2.36462442415513E-4</v>
      </c>
      <c r="G2171" s="10">
        <v>1.7321528069196999E-3</v>
      </c>
      <c r="H2171" s="10" t="s">
        <v>10896</v>
      </c>
      <c r="I2171" s="10" t="s">
        <v>18</v>
      </c>
    </row>
    <row r="2172" spans="1:9" x14ac:dyDescent="0.2">
      <c r="A2172" s="10" t="s">
        <v>10897</v>
      </c>
      <c r="B2172" s="10">
        <v>171.30636806533201</v>
      </c>
      <c r="C2172" s="10">
        <v>-1.0410955098938099</v>
      </c>
      <c r="D2172" s="10">
        <v>0.38324161682845598</v>
      </c>
      <c r="E2172" s="10">
        <v>-2.7165512934359102</v>
      </c>
      <c r="F2172" s="10">
        <v>6.5965972595490403E-3</v>
      </c>
      <c r="G2172" s="10">
        <v>2.97645567827724E-2</v>
      </c>
      <c r="H2172" s="10" t="s">
        <v>10898</v>
      </c>
      <c r="I2172" s="10" t="s">
        <v>18</v>
      </c>
    </row>
    <row r="2173" spans="1:9" x14ac:dyDescent="0.2">
      <c r="A2173" s="10" t="s">
        <v>10899</v>
      </c>
      <c r="B2173" s="10">
        <v>225.08116994423901</v>
      </c>
      <c r="C2173" s="10">
        <v>2.21486163581713</v>
      </c>
      <c r="D2173" s="10">
        <v>0.348404831584329</v>
      </c>
      <c r="E2173" s="10">
        <v>6.3571496002088104</v>
      </c>
      <c r="F2173" s="4">
        <v>2.0553180819638901E-10</v>
      </c>
      <c r="G2173" s="4">
        <v>4.56727264591888E-9</v>
      </c>
      <c r="H2173" s="10" t="s">
        <v>10900</v>
      </c>
      <c r="I2173" s="10" t="s">
        <v>18</v>
      </c>
    </row>
    <row r="2174" spans="1:9" x14ac:dyDescent="0.2">
      <c r="A2174" s="10" t="s">
        <v>10901</v>
      </c>
      <c r="B2174" s="10">
        <v>2542.65149994275</v>
      </c>
      <c r="C2174" s="10">
        <v>1.9666881026565299</v>
      </c>
      <c r="D2174" s="10">
        <v>0.29108348958296398</v>
      </c>
      <c r="E2174" s="10">
        <v>6.7564398979626503</v>
      </c>
      <c r="F2174" s="4">
        <v>1.41423605624263E-11</v>
      </c>
      <c r="G2174" s="4">
        <v>3.5717979914441198E-10</v>
      </c>
      <c r="H2174" s="10" t="s">
        <v>10902</v>
      </c>
      <c r="I2174" s="10" t="s">
        <v>18</v>
      </c>
    </row>
    <row r="2175" spans="1:9" x14ac:dyDescent="0.2">
      <c r="A2175" s="10" t="s">
        <v>10903</v>
      </c>
      <c r="B2175" s="10">
        <v>391.25791354197401</v>
      </c>
      <c r="C2175" s="10">
        <v>1.5355392731463899</v>
      </c>
      <c r="D2175" s="10">
        <v>0.30518703050851897</v>
      </c>
      <c r="E2175" s="10">
        <v>5.0314696223748099</v>
      </c>
      <c r="F2175" s="4">
        <v>4.8673424105712003E-7</v>
      </c>
      <c r="G2175" s="4">
        <v>6.4816304043366097E-6</v>
      </c>
      <c r="H2175" s="10" t="s">
        <v>10904</v>
      </c>
      <c r="I2175" s="10" t="s">
        <v>18</v>
      </c>
    </row>
    <row r="2176" spans="1:9" x14ac:dyDescent="0.2">
      <c r="A2176" s="10" t="s">
        <v>10905</v>
      </c>
      <c r="B2176" s="10">
        <v>32.812023673558798</v>
      </c>
      <c r="C2176" s="10">
        <v>-1.90267890514626</v>
      </c>
      <c r="D2176" s="10">
        <v>0.63629388785682806</v>
      </c>
      <c r="E2176" s="10">
        <v>-2.9902517397344202</v>
      </c>
      <c r="F2176" s="10">
        <v>2.7874761518070202E-3</v>
      </c>
      <c r="G2176" s="10">
        <v>1.4484396322806301E-2</v>
      </c>
      <c r="H2176" s="10" t="s">
        <v>10906</v>
      </c>
      <c r="I2176" s="10" t="s">
        <v>18</v>
      </c>
    </row>
    <row r="2177" spans="1:9" x14ac:dyDescent="0.2">
      <c r="A2177" s="10" t="s">
        <v>6022</v>
      </c>
      <c r="B2177" s="10">
        <v>1415.47885467366</v>
      </c>
      <c r="C2177" s="10">
        <v>-1.4285757708671201</v>
      </c>
      <c r="D2177" s="10">
        <v>0.24964348690279001</v>
      </c>
      <c r="E2177" s="10">
        <v>-5.7224636163786498</v>
      </c>
      <c r="F2177" s="4">
        <v>1.0499033348390901E-8</v>
      </c>
      <c r="G2177" s="4">
        <v>1.84300895937735E-7</v>
      </c>
      <c r="H2177" s="10" t="s">
        <v>6023</v>
      </c>
      <c r="I2177" s="10" t="s">
        <v>18</v>
      </c>
    </row>
    <row r="2178" spans="1:9" x14ac:dyDescent="0.2">
      <c r="A2178" s="10" t="s">
        <v>10907</v>
      </c>
      <c r="B2178" s="10">
        <v>30.643286965851701</v>
      </c>
      <c r="C2178" s="10">
        <v>-2.7648350828969299</v>
      </c>
      <c r="D2178" s="10">
        <v>0.70978614867468803</v>
      </c>
      <c r="E2178" s="10">
        <v>-3.8953071823948999</v>
      </c>
      <c r="F2178" s="4">
        <v>9.8074355552389895E-5</v>
      </c>
      <c r="G2178" s="10">
        <v>7.9788499803375395E-4</v>
      </c>
      <c r="H2178" s="10" t="s">
        <v>10908</v>
      </c>
      <c r="I2178" s="10" t="s">
        <v>18</v>
      </c>
    </row>
    <row r="2179" spans="1:9" x14ac:dyDescent="0.2">
      <c r="A2179" s="10" t="s">
        <v>6024</v>
      </c>
      <c r="B2179" s="10">
        <v>2490.2661564148598</v>
      </c>
      <c r="C2179" s="10">
        <v>-1.3793029174640199</v>
      </c>
      <c r="D2179" s="10">
        <v>0.25104986417271002</v>
      </c>
      <c r="E2179" s="10">
        <v>-5.4941392699385103</v>
      </c>
      <c r="F2179" s="4">
        <v>3.9262056714952899E-8</v>
      </c>
      <c r="G2179" s="4">
        <v>6.2746952774119504E-7</v>
      </c>
      <c r="H2179" s="10" t="s">
        <v>6025</v>
      </c>
      <c r="I2179" s="10" t="s">
        <v>18</v>
      </c>
    </row>
    <row r="2180" spans="1:9" x14ac:dyDescent="0.2">
      <c r="A2180" s="10" t="s">
        <v>10909</v>
      </c>
      <c r="B2180" s="10">
        <v>499.30664245001998</v>
      </c>
      <c r="C2180" s="10">
        <v>3.24531884515932</v>
      </c>
      <c r="D2180" s="10">
        <v>0.28626763558880602</v>
      </c>
      <c r="E2180" s="10">
        <v>11.3366599702555</v>
      </c>
      <c r="F2180" s="4">
        <v>8.6378613768718194E-30</v>
      </c>
      <c r="G2180" s="4">
        <v>8.7969798759194593E-28</v>
      </c>
      <c r="H2180" s="10" t="s">
        <v>10910</v>
      </c>
      <c r="I2180" s="10" t="s">
        <v>18</v>
      </c>
    </row>
    <row r="2181" spans="1:9" x14ac:dyDescent="0.2">
      <c r="A2181" s="10" t="s">
        <v>6034</v>
      </c>
      <c r="B2181" s="10">
        <v>7388.2173626500398</v>
      </c>
      <c r="C2181" s="10">
        <v>1.6488359299486699</v>
      </c>
      <c r="D2181" s="10">
        <v>0.23961708193745701</v>
      </c>
      <c r="E2181" s="10">
        <v>6.8811284930805998</v>
      </c>
      <c r="F2181" s="4">
        <v>5.9380258787694398E-12</v>
      </c>
      <c r="G2181" s="4">
        <v>1.5723267471625801E-10</v>
      </c>
      <c r="H2181" s="10" t="s">
        <v>6035</v>
      </c>
      <c r="I2181" s="10" t="s">
        <v>18</v>
      </c>
    </row>
    <row r="2182" spans="1:9" x14ac:dyDescent="0.2">
      <c r="A2182" s="10" t="s">
        <v>6038</v>
      </c>
      <c r="B2182" s="10">
        <v>2200.9827031913201</v>
      </c>
      <c r="C2182" s="10">
        <v>-1.1327623677720899</v>
      </c>
      <c r="D2182" s="10">
        <v>0.24748069274548701</v>
      </c>
      <c r="E2182" s="10">
        <v>-4.5771747088854298</v>
      </c>
      <c r="F2182" s="4">
        <v>4.7129783810248103E-6</v>
      </c>
      <c r="G2182" s="4">
        <v>5.1997794374859197E-5</v>
      </c>
      <c r="H2182" s="10" t="s">
        <v>6039</v>
      </c>
      <c r="I2182" s="10" t="s">
        <v>18</v>
      </c>
    </row>
    <row r="2183" spans="1:9" x14ac:dyDescent="0.2">
      <c r="A2183" s="10" t="s">
        <v>6042</v>
      </c>
      <c r="B2183" s="10">
        <v>4018.3981496473202</v>
      </c>
      <c r="C2183" s="10">
        <v>1.6428619261399999</v>
      </c>
      <c r="D2183" s="10">
        <v>0.252855195056919</v>
      </c>
      <c r="E2183" s="10">
        <v>6.4972441075224303</v>
      </c>
      <c r="F2183" s="4">
        <v>8.18046698691978E-11</v>
      </c>
      <c r="G2183" s="4">
        <v>1.9000890771557401E-9</v>
      </c>
      <c r="H2183" s="10" t="s">
        <v>6043</v>
      </c>
      <c r="I2183" s="10" t="s">
        <v>18</v>
      </c>
    </row>
    <row r="2184" spans="1:9" x14ac:dyDescent="0.2">
      <c r="A2184" s="10" t="s">
        <v>10911</v>
      </c>
      <c r="B2184" s="10">
        <v>31.216739693958999</v>
      </c>
      <c r="C2184" s="10">
        <v>-2.5315396166362998</v>
      </c>
      <c r="D2184" s="10">
        <v>0.67957337521476502</v>
      </c>
      <c r="E2184" s="10">
        <v>-3.72518952178822</v>
      </c>
      <c r="F2184" s="10">
        <v>1.9516853478037099E-4</v>
      </c>
      <c r="G2184" s="10">
        <v>1.4620203967838699E-3</v>
      </c>
      <c r="H2184" s="10" t="s">
        <v>10912</v>
      </c>
      <c r="I2184" s="10" t="s">
        <v>18</v>
      </c>
    </row>
    <row r="2185" spans="1:9" x14ac:dyDescent="0.2">
      <c r="A2185" s="10" t="s">
        <v>6048</v>
      </c>
      <c r="B2185" s="10">
        <v>249.72323669068501</v>
      </c>
      <c r="C2185" s="10">
        <v>1.2144083721654</v>
      </c>
      <c r="D2185" s="10">
        <v>0.33029354723061499</v>
      </c>
      <c r="E2185" s="10">
        <v>3.6767547605690498</v>
      </c>
      <c r="F2185" s="10">
        <v>2.36219935063525E-4</v>
      </c>
      <c r="G2185" s="10">
        <v>1.73188938109093E-3</v>
      </c>
      <c r="H2185" s="10" t="s">
        <v>6049</v>
      </c>
      <c r="I2185" s="10" t="s">
        <v>18</v>
      </c>
    </row>
    <row r="2186" spans="1:9" x14ac:dyDescent="0.2">
      <c r="A2186" s="10" t="s">
        <v>10913</v>
      </c>
      <c r="B2186" s="10">
        <v>430.51036014486698</v>
      </c>
      <c r="C2186" s="10">
        <v>-1.13519855806743</v>
      </c>
      <c r="D2186" s="10">
        <v>0.30161891368176402</v>
      </c>
      <c r="E2186" s="10">
        <v>-3.7636849235030798</v>
      </c>
      <c r="F2186" s="10">
        <v>1.67427812421943E-4</v>
      </c>
      <c r="G2186" s="10">
        <v>1.2743257553627799E-3</v>
      </c>
      <c r="H2186" s="10" t="s">
        <v>10914</v>
      </c>
      <c r="I2186" s="10" t="s">
        <v>18</v>
      </c>
    </row>
    <row r="2187" spans="1:9" x14ac:dyDescent="0.2">
      <c r="A2187" s="10" t="s">
        <v>6054</v>
      </c>
      <c r="B2187" s="10">
        <v>389.51766915611802</v>
      </c>
      <c r="C2187" s="10">
        <v>-1.19712835083743</v>
      </c>
      <c r="D2187" s="10">
        <v>0.31181541835988902</v>
      </c>
      <c r="E2187" s="10">
        <v>-3.83922115568941</v>
      </c>
      <c r="F2187" s="10">
        <v>1.2342521778351399E-4</v>
      </c>
      <c r="G2187" s="10">
        <v>9.7787759160450111E-4</v>
      </c>
      <c r="H2187" s="10" t="s">
        <v>6055</v>
      </c>
      <c r="I2187" s="10" t="s">
        <v>18</v>
      </c>
    </row>
    <row r="2188" spans="1:9" x14ac:dyDescent="0.2">
      <c r="A2188" s="10" t="s">
        <v>10915</v>
      </c>
      <c r="B2188" s="10">
        <v>2189.9061618672699</v>
      </c>
      <c r="C2188" s="10">
        <v>1.28965438387127</v>
      </c>
      <c r="D2188" s="10">
        <v>0.279041160461584</v>
      </c>
      <c r="E2188" s="10">
        <v>4.6217353086474802</v>
      </c>
      <c r="F2188" s="4">
        <v>3.80543363202318E-6</v>
      </c>
      <c r="G2188" s="4">
        <v>4.2753766419626198E-5</v>
      </c>
      <c r="H2188" s="10" t="s">
        <v>10916</v>
      </c>
      <c r="I2188" s="10" t="s">
        <v>18</v>
      </c>
    </row>
    <row r="2189" spans="1:9" x14ac:dyDescent="0.2">
      <c r="A2189" s="10" t="s">
        <v>6058</v>
      </c>
      <c r="B2189" s="10">
        <v>295.78839628301699</v>
      </c>
      <c r="C2189" s="10">
        <v>1.42650897575367</v>
      </c>
      <c r="D2189" s="10">
        <v>0.32186808579768</v>
      </c>
      <c r="E2189" s="10">
        <v>4.4319677492050102</v>
      </c>
      <c r="F2189" s="4">
        <v>9.3376987023693607E-6</v>
      </c>
      <c r="G2189" s="4">
        <v>9.6325701963526596E-5</v>
      </c>
      <c r="H2189" s="10" t="s">
        <v>6059</v>
      </c>
      <c r="I2189" s="10" t="s">
        <v>18</v>
      </c>
    </row>
    <row r="2190" spans="1:9" x14ac:dyDescent="0.2">
      <c r="A2190" s="10" t="s">
        <v>10917</v>
      </c>
      <c r="B2190" s="10">
        <v>906.63404037241696</v>
      </c>
      <c r="C2190" s="10">
        <v>1.13477144872952</v>
      </c>
      <c r="D2190" s="10">
        <v>0.25975183470228902</v>
      </c>
      <c r="E2190" s="10">
        <v>4.3686753936892</v>
      </c>
      <c r="F2190" s="4">
        <v>1.25002403177454E-5</v>
      </c>
      <c r="G2190" s="10">
        <v>1.24779184600351E-4</v>
      </c>
      <c r="H2190" s="10" t="s">
        <v>10918</v>
      </c>
      <c r="I2190" s="10" t="s">
        <v>18</v>
      </c>
    </row>
    <row r="2191" spans="1:9" x14ac:dyDescent="0.2">
      <c r="A2191" s="10" t="s">
        <v>10919</v>
      </c>
      <c r="B2191" s="10">
        <v>152.55623429201</v>
      </c>
      <c r="C2191" s="10">
        <v>-1.5916960995320699</v>
      </c>
      <c r="D2191" s="10">
        <v>0.355242099492797</v>
      </c>
      <c r="E2191" s="10">
        <v>-4.4805953511834504</v>
      </c>
      <c r="F2191" s="4">
        <v>7.4435116354398904E-6</v>
      </c>
      <c r="G2191" s="4">
        <v>7.8938252609397303E-5</v>
      </c>
      <c r="H2191" s="10" t="s">
        <v>10920</v>
      </c>
      <c r="I2191" s="10" t="s">
        <v>18</v>
      </c>
    </row>
    <row r="2192" spans="1:9" x14ac:dyDescent="0.2">
      <c r="A2192" s="10" t="s">
        <v>6074</v>
      </c>
      <c r="B2192" s="10">
        <v>835.80399188804302</v>
      </c>
      <c r="C2192" s="10">
        <v>1.2901584350134401</v>
      </c>
      <c r="D2192" s="10">
        <v>0.28250777965363899</v>
      </c>
      <c r="E2192" s="10">
        <v>4.5668067498714704</v>
      </c>
      <c r="F2192" s="4">
        <v>4.9521015856786196E-6</v>
      </c>
      <c r="G2192" s="4">
        <v>5.4278917380281398E-5</v>
      </c>
      <c r="H2192" s="10" t="s">
        <v>6075</v>
      </c>
      <c r="I2192" s="10" t="s">
        <v>18</v>
      </c>
    </row>
    <row r="2193" spans="1:9" x14ac:dyDescent="0.2">
      <c r="A2193" s="10" t="s">
        <v>10921</v>
      </c>
      <c r="B2193" s="10">
        <v>653.36324505542996</v>
      </c>
      <c r="C2193" s="10">
        <v>1.0830338074021899</v>
      </c>
      <c r="D2193" s="10">
        <v>0.27540843510375301</v>
      </c>
      <c r="E2193" s="10">
        <v>3.9324641853986</v>
      </c>
      <c r="F2193" s="4">
        <v>8.4079509601426506E-5</v>
      </c>
      <c r="G2193" s="10">
        <v>6.9527286785795003E-4</v>
      </c>
      <c r="H2193" s="10" t="s">
        <v>10922</v>
      </c>
      <c r="I2193" s="10" t="s">
        <v>18</v>
      </c>
    </row>
    <row r="2194" spans="1:9" x14ac:dyDescent="0.2">
      <c r="A2194" s="10" t="s">
        <v>10923</v>
      </c>
      <c r="B2194" s="10">
        <v>41.004759788704803</v>
      </c>
      <c r="C2194" s="10">
        <v>-2.3657754617074098</v>
      </c>
      <c r="D2194" s="10">
        <v>0.627506100015224</v>
      </c>
      <c r="E2194" s="10">
        <v>-3.7701234484413999</v>
      </c>
      <c r="F2194" s="10">
        <v>1.63166817843781E-4</v>
      </c>
      <c r="G2194" s="10">
        <v>1.24793593884473E-3</v>
      </c>
      <c r="H2194" s="10" t="s">
        <v>10924</v>
      </c>
      <c r="I2194" s="10" t="s">
        <v>18</v>
      </c>
    </row>
    <row r="2195" spans="1:9" x14ac:dyDescent="0.2">
      <c r="A2195" s="10" t="s">
        <v>6082</v>
      </c>
      <c r="B2195" s="10">
        <v>58.448422192617301</v>
      </c>
      <c r="C2195" s="10">
        <v>2.9608922684124401</v>
      </c>
      <c r="D2195" s="10">
        <v>0.53785913845598998</v>
      </c>
      <c r="E2195" s="10">
        <v>5.5049585601764601</v>
      </c>
      <c r="F2195" s="4">
        <v>3.6925511629898601E-8</v>
      </c>
      <c r="G2195" s="4">
        <v>5.9276403640721103E-7</v>
      </c>
      <c r="H2195" s="10" t="s">
        <v>6083</v>
      </c>
      <c r="I2195" s="10" t="s">
        <v>18</v>
      </c>
    </row>
    <row r="2196" spans="1:9" x14ac:dyDescent="0.2">
      <c r="A2196" s="10" t="s">
        <v>10925</v>
      </c>
      <c r="B2196" s="10">
        <v>2560.5298561725299</v>
      </c>
      <c r="C2196" s="10">
        <v>1.7772276061572401</v>
      </c>
      <c r="D2196" s="10">
        <v>0.25221745405899498</v>
      </c>
      <c r="E2196" s="10">
        <v>7.04641006225342</v>
      </c>
      <c r="F2196" s="4">
        <v>1.8359269499999698E-12</v>
      </c>
      <c r="G2196" s="4">
        <v>5.1200379631096803E-11</v>
      </c>
      <c r="H2196" s="10" t="s">
        <v>10926</v>
      </c>
      <c r="I2196" s="10" t="s">
        <v>18</v>
      </c>
    </row>
    <row r="2197" spans="1:9" x14ac:dyDescent="0.2">
      <c r="A2197" s="10" t="s">
        <v>10927</v>
      </c>
      <c r="B2197" s="10">
        <v>776.93817292802805</v>
      </c>
      <c r="C2197" s="10">
        <v>-1.1230807074265801</v>
      </c>
      <c r="D2197" s="10">
        <v>0.26160788395332901</v>
      </c>
      <c r="E2197" s="10">
        <v>-4.2929925904944897</v>
      </c>
      <c r="F2197" s="4">
        <v>1.7628089135328101E-5</v>
      </c>
      <c r="G2197" s="10">
        <v>1.71408806416381E-4</v>
      </c>
      <c r="H2197" s="10" t="s">
        <v>10928</v>
      </c>
      <c r="I2197" s="10" t="s">
        <v>18</v>
      </c>
    </row>
    <row r="2198" spans="1:9" x14ac:dyDescent="0.2">
      <c r="A2198" s="10" t="s">
        <v>10929</v>
      </c>
      <c r="B2198" s="10">
        <v>1699.2631559515801</v>
      </c>
      <c r="C2198" s="10">
        <v>1.2581708296068399</v>
      </c>
      <c r="D2198" s="10">
        <v>0.25739987590378799</v>
      </c>
      <c r="E2198" s="10">
        <v>4.8880009175961101</v>
      </c>
      <c r="F2198" s="4">
        <v>1.0186505588175701E-6</v>
      </c>
      <c r="G2198" s="4">
        <v>1.27419964232004E-5</v>
      </c>
      <c r="H2198" s="10" t="s">
        <v>10930</v>
      </c>
      <c r="I2198" s="10" t="s">
        <v>18</v>
      </c>
    </row>
    <row r="2199" spans="1:9" x14ac:dyDescent="0.2">
      <c r="A2199" s="10" t="s">
        <v>6088</v>
      </c>
      <c r="B2199" s="10">
        <v>2977.8843122793501</v>
      </c>
      <c r="C2199" s="10">
        <v>-1.0302207526999001</v>
      </c>
      <c r="D2199" s="10">
        <v>0.25730102251050602</v>
      </c>
      <c r="E2199" s="10">
        <v>-4.0039512577445304</v>
      </c>
      <c r="F2199" s="4">
        <v>6.2293204760410499E-5</v>
      </c>
      <c r="G2199" s="10">
        <v>5.3462489448929604E-4</v>
      </c>
      <c r="H2199" s="10" t="s">
        <v>6089</v>
      </c>
      <c r="I2199" s="10" t="s">
        <v>18</v>
      </c>
    </row>
    <row r="2200" spans="1:9" x14ac:dyDescent="0.2">
      <c r="A2200" s="10" t="s">
        <v>6090</v>
      </c>
      <c r="B2200" s="10">
        <v>88.699825090189904</v>
      </c>
      <c r="C2200" s="10">
        <v>-1.81873824686581</v>
      </c>
      <c r="D2200" s="10">
        <v>0.43937673921106601</v>
      </c>
      <c r="E2200" s="10">
        <v>-4.1393594256525601</v>
      </c>
      <c r="F2200" s="4">
        <v>3.4827693212999099E-5</v>
      </c>
      <c r="G2200" s="10">
        <v>3.1719428775271198E-4</v>
      </c>
      <c r="H2200" s="10" t="s">
        <v>6091</v>
      </c>
      <c r="I2200" s="10" t="s">
        <v>18</v>
      </c>
    </row>
    <row r="2201" spans="1:9" x14ac:dyDescent="0.2">
      <c r="A2201" s="10" t="s">
        <v>6096</v>
      </c>
      <c r="B2201" s="10">
        <v>391.988107029177</v>
      </c>
      <c r="C2201" s="10">
        <v>1.4787025086785599</v>
      </c>
      <c r="D2201" s="10">
        <v>0.31114543601632899</v>
      </c>
      <c r="E2201" s="10">
        <v>4.7524480114853898</v>
      </c>
      <c r="F2201" s="4">
        <v>2.0096845409882802E-6</v>
      </c>
      <c r="G2201" s="4">
        <v>2.36896038559326E-5</v>
      </c>
      <c r="H2201" s="10" t="s">
        <v>6097</v>
      </c>
      <c r="I2201" s="10" t="s">
        <v>18</v>
      </c>
    </row>
    <row r="2202" spans="1:9" x14ac:dyDescent="0.2">
      <c r="A2202" s="10" t="s">
        <v>10931</v>
      </c>
      <c r="B2202" s="10">
        <v>915.03576703664805</v>
      </c>
      <c r="C2202" s="10">
        <v>1.61970130027782</v>
      </c>
      <c r="D2202" s="10">
        <v>0.254201445019276</v>
      </c>
      <c r="E2202" s="10">
        <v>6.3717234186257397</v>
      </c>
      <c r="F2202" s="4">
        <v>1.8691574730407699E-10</v>
      </c>
      <c r="G2202" s="4">
        <v>4.1572640348665498E-9</v>
      </c>
      <c r="H2202" s="10" t="s">
        <v>10932</v>
      </c>
      <c r="I2202" s="10" t="s">
        <v>18</v>
      </c>
    </row>
    <row r="2203" spans="1:9" x14ac:dyDescent="0.2">
      <c r="A2203" s="10" t="s">
        <v>6102</v>
      </c>
      <c r="B2203" s="10">
        <v>16.953354280314699</v>
      </c>
      <c r="C2203" s="10">
        <v>2.92960137734083</v>
      </c>
      <c r="D2203" s="10">
        <v>0.96766752809741396</v>
      </c>
      <c r="E2203" s="10">
        <v>3.02748753293488</v>
      </c>
      <c r="F2203" s="10">
        <v>2.4659588580242101E-3</v>
      </c>
      <c r="G2203" s="10">
        <v>1.30684984450772E-2</v>
      </c>
      <c r="H2203" s="10" t="s">
        <v>6103</v>
      </c>
      <c r="I2203" s="10" t="s">
        <v>18</v>
      </c>
    </row>
    <row r="2204" spans="1:9" x14ac:dyDescent="0.2">
      <c r="A2204" s="10" t="s">
        <v>6104</v>
      </c>
      <c r="B2204" s="10">
        <v>428.101114281364</v>
      </c>
      <c r="C2204" s="10">
        <v>4.0412724399017304</v>
      </c>
      <c r="D2204" s="10">
        <v>0.31526785045803202</v>
      </c>
      <c r="E2204" s="10">
        <v>12.8185364731305</v>
      </c>
      <c r="F2204" s="4">
        <v>1.2911460044070099E-37</v>
      </c>
      <c r="G2204" s="4">
        <v>1.8773859965814099E-35</v>
      </c>
      <c r="H2204" s="10" t="s">
        <v>6105</v>
      </c>
      <c r="I2204" s="10" t="s">
        <v>18</v>
      </c>
    </row>
    <row r="2205" spans="1:9" x14ac:dyDescent="0.2">
      <c r="A2205" s="10" t="s">
        <v>6106</v>
      </c>
      <c r="B2205" s="10">
        <v>1944.9701896120901</v>
      </c>
      <c r="C2205" s="10">
        <v>1.7991568701395599</v>
      </c>
      <c r="D2205" s="10">
        <v>0.27765876630059699</v>
      </c>
      <c r="E2205" s="10">
        <v>6.4797409212420503</v>
      </c>
      <c r="F2205" s="4">
        <v>9.1880247658506495E-11</v>
      </c>
      <c r="G2205" s="4">
        <v>2.1184671217687698E-9</v>
      </c>
      <c r="H2205" s="10" t="s">
        <v>6107</v>
      </c>
      <c r="I2205" s="10" t="s">
        <v>18</v>
      </c>
    </row>
    <row r="2206" spans="1:9" x14ac:dyDescent="0.2">
      <c r="A2206" s="10" t="s">
        <v>6110</v>
      </c>
      <c r="B2206" s="10">
        <v>2671.3248013377602</v>
      </c>
      <c r="C2206" s="10">
        <v>3.6277347627791898</v>
      </c>
      <c r="D2206" s="10">
        <v>0.25715821368011599</v>
      </c>
      <c r="E2206" s="10">
        <v>14.107014941750201</v>
      </c>
      <c r="F2206" s="4">
        <v>3.43826522190055E-45</v>
      </c>
      <c r="G2206" s="4">
        <v>7.3296238692295092E-43</v>
      </c>
      <c r="H2206" s="10" t="s">
        <v>6111</v>
      </c>
      <c r="I2206" s="10" t="s">
        <v>18</v>
      </c>
    </row>
    <row r="2207" spans="1:9" x14ac:dyDescent="0.2">
      <c r="A2207" s="10" t="s">
        <v>6114</v>
      </c>
      <c r="B2207" s="10">
        <v>432.537085826414</v>
      </c>
      <c r="C2207" s="10">
        <v>-1.5906815041840501</v>
      </c>
      <c r="D2207" s="10">
        <v>0.3219862782524</v>
      </c>
      <c r="E2207" s="10">
        <v>-4.9402151943168704</v>
      </c>
      <c r="F2207" s="4">
        <v>7.8036398972057696E-7</v>
      </c>
      <c r="G2207" s="4">
        <v>9.9898504638275396E-6</v>
      </c>
      <c r="H2207" s="10" t="s">
        <v>6115</v>
      </c>
      <c r="I2207" s="10" t="s">
        <v>18</v>
      </c>
    </row>
    <row r="2208" spans="1:9" x14ac:dyDescent="0.2">
      <c r="A2208" s="10" t="s">
        <v>10933</v>
      </c>
      <c r="B2208" s="10">
        <v>4504.3869839891304</v>
      </c>
      <c r="C2208" s="10">
        <v>1.4585138848772501</v>
      </c>
      <c r="D2208" s="10">
        <v>0.237507502497741</v>
      </c>
      <c r="E2208" s="10">
        <v>6.1409171059390903</v>
      </c>
      <c r="F2208" s="4">
        <v>8.2046393797761801E-10</v>
      </c>
      <c r="G2208" s="4">
        <v>1.6944803251089501E-8</v>
      </c>
      <c r="H2208" s="10" t="s">
        <v>10934</v>
      </c>
      <c r="I2208" s="10" t="s">
        <v>18</v>
      </c>
    </row>
    <row r="2209" spans="1:9" x14ac:dyDescent="0.2">
      <c r="A2209" s="10" t="s">
        <v>6120</v>
      </c>
      <c r="B2209" s="10">
        <v>1046.9336868032501</v>
      </c>
      <c r="C2209" s="10">
        <v>2.1154294843992001</v>
      </c>
      <c r="D2209" s="10">
        <v>0.29054645607729401</v>
      </c>
      <c r="E2209" s="10">
        <v>7.2808648673946701</v>
      </c>
      <c r="F2209" s="4">
        <v>3.3168680379695399E-13</v>
      </c>
      <c r="G2209" s="4">
        <v>1.02249773891083E-11</v>
      </c>
      <c r="H2209" s="10" t="s">
        <v>6121</v>
      </c>
      <c r="I2209" s="10" t="s">
        <v>18</v>
      </c>
    </row>
    <row r="2210" spans="1:9" x14ac:dyDescent="0.2">
      <c r="A2210" s="10" t="s">
        <v>6126</v>
      </c>
      <c r="B2210" s="10">
        <v>1599.1717105979101</v>
      </c>
      <c r="C2210" s="10">
        <v>-1.1393929156436</v>
      </c>
      <c r="D2210" s="10">
        <v>0.26768967358249202</v>
      </c>
      <c r="E2210" s="10">
        <v>-4.2563947289976003</v>
      </c>
      <c r="F2210" s="4">
        <v>2.0774978688790201E-5</v>
      </c>
      <c r="G2210" s="10">
        <v>1.9825287895163801E-4</v>
      </c>
      <c r="H2210" s="10" t="s">
        <v>6127</v>
      </c>
      <c r="I2210" s="10" t="s">
        <v>18</v>
      </c>
    </row>
    <row r="2211" spans="1:9" x14ac:dyDescent="0.2">
      <c r="A2211" s="10" t="s">
        <v>6128</v>
      </c>
      <c r="B2211" s="10">
        <v>201.60781165924399</v>
      </c>
      <c r="C2211" s="10">
        <v>1.87446355777687</v>
      </c>
      <c r="D2211" s="10">
        <v>0.33473994779249999</v>
      </c>
      <c r="E2211" s="10">
        <v>5.5997605608124799</v>
      </c>
      <c r="F2211" s="4">
        <v>2.1464807607368699E-8</v>
      </c>
      <c r="G2211" s="4">
        <v>3.5876892715173298E-7</v>
      </c>
      <c r="H2211" s="10" t="s">
        <v>6129</v>
      </c>
      <c r="I2211" s="10" t="s">
        <v>18</v>
      </c>
    </row>
    <row r="2212" spans="1:9" x14ac:dyDescent="0.2">
      <c r="A2212" s="10" t="s">
        <v>6132</v>
      </c>
      <c r="B2212" s="10">
        <v>296.513651767824</v>
      </c>
      <c r="C2212" s="10">
        <v>2.35949695863903</v>
      </c>
      <c r="D2212" s="10">
        <v>0.32366742463645498</v>
      </c>
      <c r="E2212" s="10">
        <v>7.2898808438607201</v>
      </c>
      <c r="F2212" s="4">
        <v>3.1022927700222002E-13</v>
      </c>
      <c r="G2212" s="4">
        <v>9.5869993402835995E-12</v>
      </c>
      <c r="H2212" s="10" t="s">
        <v>6133</v>
      </c>
      <c r="I2212" s="10" t="s">
        <v>18</v>
      </c>
    </row>
    <row r="2213" spans="1:9" x14ac:dyDescent="0.2">
      <c r="A2213" s="10" t="s">
        <v>6134</v>
      </c>
      <c r="B2213" s="10">
        <v>1852.29850482241</v>
      </c>
      <c r="C2213" s="10">
        <v>2.8420627135073802</v>
      </c>
      <c r="D2213" s="10">
        <v>0.28228107841632</v>
      </c>
      <c r="E2213" s="10">
        <v>10.0682012746026</v>
      </c>
      <c r="F2213" s="4">
        <v>7.6361809194255596E-24</v>
      </c>
      <c r="G2213" s="4">
        <v>5.3506443183328704E-22</v>
      </c>
      <c r="H2213" s="10" t="s">
        <v>6135</v>
      </c>
      <c r="I2213" s="10" t="s">
        <v>18</v>
      </c>
    </row>
    <row r="2214" spans="1:9" x14ac:dyDescent="0.2">
      <c r="A2214" s="10" t="s">
        <v>10935</v>
      </c>
      <c r="B2214" s="10">
        <v>130.06354024829</v>
      </c>
      <c r="C2214" s="10">
        <v>-1.68439139915185</v>
      </c>
      <c r="D2214" s="10">
        <v>0.37143809914227799</v>
      </c>
      <c r="E2214" s="10">
        <v>-4.5347835966246697</v>
      </c>
      <c r="F2214" s="4">
        <v>5.7662575997308702E-6</v>
      </c>
      <c r="G2214" s="4">
        <v>6.2494704834653196E-5</v>
      </c>
      <c r="H2214" s="10" t="s">
        <v>10936</v>
      </c>
      <c r="I2214" s="10" t="s">
        <v>18</v>
      </c>
    </row>
    <row r="2215" spans="1:9" x14ac:dyDescent="0.2">
      <c r="A2215" s="10" t="s">
        <v>10937</v>
      </c>
      <c r="B2215" s="10">
        <v>59.507950971649201</v>
      </c>
      <c r="C2215" s="10">
        <v>-2.0486890679773699</v>
      </c>
      <c r="D2215" s="10">
        <v>0.505629121580075</v>
      </c>
      <c r="E2215" s="10">
        <v>-4.0517624095212001</v>
      </c>
      <c r="F2215" s="4">
        <v>5.08332713193214E-5</v>
      </c>
      <c r="G2215" s="10">
        <v>4.4569917742681399E-4</v>
      </c>
      <c r="H2215" s="10" t="s">
        <v>10938</v>
      </c>
      <c r="I2215" s="10" t="s">
        <v>18</v>
      </c>
    </row>
    <row r="2216" spans="1:9" x14ac:dyDescent="0.2">
      <c r="A2216" s="10" t="s">
        <v>10939</v>
      </c>
      <c r="B2216" s="10">
        <v>358.93211253814201</v>
      </c>
      <c r="C2216" s="10">
        <v>1.3218126295633601</v>
      </c>
      <c r="D2216" s="10">
        <v>0.29616506635774498</v>
      </c>
      <c r="E2216" s="10">
        <v>4.4630943339100799</v>
      </c>
      <c r="F2216" s="4">
        <v>8.0784465480873608E-6</v>
      </c>
      <c r="G2216" s="4">
        <v>8.48135738385382E-5</v>
      </c>
      <c r="H2216" s="10" t="s">
        <v>10940</v>
      </c>
      <c r="I2216" s="10" t="s">
        <v>18</v>
      </c>
    </row>
    <row r="2217" spans="1:9" x14ac:dyDescent="0.2">
      <c r="A2217" s="10" t="s">
        <v>6140</v>
      </c>
      <c r="B2217" s="10">
        <v>85.331232579880506</v>
      </c>
      <c r="C2217" s="10">
        <v>-3.6595203067038198</v>
      </c>
      <c r="D2217" s="10">
        <v>0.52067240162230799</v>
      </c>
      <c r="E2217" s="10">
        <v>-7.0284507020182199</v>
      </c>
      <c r="F2217" s="4">
        <v>2.08839382576398E-12</v>
      </c>
      <c r="G2217" s="4">
        <v>5.79840471159965E-11</v>
      </c>
      <c r="H2217" s="10" t="s">
        <v>6141</v>
      </c>
      <c r="I2217" s="10" t="s">
        <v>18</v>
      </c>
    </row>
    <row r="2218" spans="1:9" x14ac:dyDescent="0.2">
      <c r="A2218" s="10" t="s">
        <v>6142</v>
      </c>
      <c r="B2218" s="10">
        <v>23.9135124600807</v>
      </c>
      <c r="C2218" s="10">
        <v>2.3919635419777499</v>
      </c>
      <c r="D2218" s="10">
        <v>0.746744978665287</v>
      </c>
      <c r="E2218" s="10">
        <v>3.2031866437897998</v>
      </c>
      <c r="F2218" s="10">
        <v>1.3591586299989101E-3</v>
      </c>
      <c r="G2218" s="10">
        <v>7.9252747653274502E-3</v>
      </c>
      <c r="H2218" s="10" t="s">
        <v>6143</v>
      </c>
      <c r="I2218" s="10" t="s">
        <v>18</v>
      </c>
    </row>
    <row r="2219" spans="1:9" x14ac:dyDescent="0.2">
      <c r="A2219" s="10" t="s">
        <v>10941</v>
      </c>
      <c r="B2219" s="10">
        <v>4065.2987363523998</v>
      </c>
      <c r="C2219" s="10">
        <v>1.0244286419834201</v>
      </c>
      <c r="D2219" s="10">
        <v>0.24432907234309001</v>
      </c>
      <c r="E2219" s="10">
        <v>4.1928233597388296</v>
      </c>
      <c r="F2219" s="4">
        <v>2.7550396484911101E-5</v>
      </c>
      <c r="G2219" s="10">
        <v>2.5601412027260399E-4</v>
      </c>
      <c r="H2219" s="10" t="s">
        <v>10942</v>
      </c>
      <c r="I2219" s="10" t="s">
        <v>18</v>
      </c>
    </row>
    <row r="2220" spans="1:9" x14ac:dyDescent="0.2">
      <c r="A2220" s="10" t="s">
        <v>6148</v>
      </c>
      <c r="B2220" s="10">
        <v>3908.8000678026101</v>
      </c>
      <c r="C2220" s="10">
        <v>2.5613238438066901</v>
      </c>
      <c r="D2220" s="10">
        <v>0.25458656918502098</v>
      </c>
      <c r="E2220" s="10">
        <v>10.0607186467298</v>
      </c>
      <c r="F2220" s="4">
        <v>8.2394671385721801E-24</v>
      </c>
      <c r="G2220" s="4">
        <v>5.7413793870023105E-22</v>
      </c>
      <c r="H2220" s="10" t="s">
        <v>6149</v>
      </c>
      <c r="I2220" s="10" t="s">
        <v>18</v>
      </c>
    </row>
    <row r="2221" spans="1:9" x14ac:dyDescent="0.2">
      <c r="A2221" s="10" t="s">
        <v>6150</v>
      </c>
      <c r="B2221" s="10">
        <v>37.443868271446803</v>
      </c>
      <c r="C2221" s="10">
        <v>1.76467554586088</v>
      </c>
      <c r="D2221" s="10">
        <v>0.63050771344252798</v>
      </c>
      <c r="E2221" s="10">
        <v>2.79881674440725</v>
      </c>
      <c r="F2221" s="10">
        <v>5.1290237261301603E-3</v>
      </c>
      <c r="G2221" s="10">
        <v>2.42337700658911E-2</v>
      </c>
      <c r="H2221" s="10" t="s">
        <v>6151</v>
      </c>
      <c r="I2221" s="10" t="s">
        <v>18</v>
      </c>
    </row>
    <row r="2222" spans="1:9" x14ac:dyDescent="0.2">
      <c r="A2222" s="10" t="s">
        <v>6152</v>
      </c>
      <c r="B2222" s="10">
        <v>719.22568005266305</v>
      </c>
      <c r="C2222" s="10">
        <v>2.4989428546944499</v>
      </c>
      <c r="D2222" s="10">
        <v>0.281453941246402</v>
      </c>
      <c r="E2222" s="10">
        <v>8.8786919935390802</v>
      </c>
      <c r="F2222" s="4">
        <v>6.7651148544202699E-19</v>
      </c>
      <c r="G2222" s="4">
        <v>3.3698309735236001E-17</v>
      </c>
      <c r="H2222" s="10" t="s">
        <v>6153</v>
      </c>
      <c r="I2222" s="10" t="s">
        <v>18</v>
      </c>
    </row>
    <row r="2223" spans="1:9" x14ac:dyDescent="0.2">
      <c r="A2223" s="10" t="s">
        <v>6168</v>
      </c>
      <c r="B2223" s="10">
        <v>1107.4812670106301</v>
      </c>
      <c r="C2223" s="10">
        <v>1.9528347827416099</v>
      </c>
      <c r="D2223" s="10">
        <v>0.27644114787332202</v>
      </c>
      <c r="E2223" s="10">
        <v>7.0641971998918498</v>
      </c>
      <c r="F2223" s="4">
        <v>1.61547194612125E-12</v>
      </c>
      <c r="G2223" s="4">
        <v>4.5455477410156799E-11</v>
      </c>
      <c r="H2223" s="10" t="s">
        <v>6169</v>
      </c>
      <c r="I2223" s="10" t="s">
        <v>18</v>
      </c>
    </row>
    <row r="2224" spans="1:9" x14ac:dyDescent="0.2">
      <c r="A2224" s="10" t="s">
        <v>6170</v>
      </c>
      <c r="B2224" s="10">
        <v>30.602834731162702</v>
      </c>
      <c r="C2224" s="10">
        <v>2.0675987995799399</v>
      </c>
      <c r="D2224" s="10">
        <v>0.65073219003647798</v>
      </c>
      <c r="E2224" s="10">
        <v>3.1773421251283702</v>
      </c>
      <c r="F2224" s="10">
        <v>1.4863158714749499E-3</v>
      </c>
      <c r="G2224" s="10">
        <v>8.5380853498406902E-3</v>
      </c>
      <c r="H2224" s="10" t="s">
        <v>6171</v>
      </c>
      <c r="I2224" s="10" t="s">
        <v>18</v>
      </c>
    </row>
    <row r="2225" spans="1:9" x14ac:dyDescent="0.2">
      <c r="A2225" s="10" t="s">
        <v>10943</v>
      </c>
      <c r="B2225" s="10">
        <v>731.66287477354604</v>
      </c>
      <c r="C2225" s="10">
        <v>1.54806936122232</v>
      </c>
      <c r="D2225" s="10">
        <v>0.33091649581041499</v>
      </c>
      <c r="E2225" s="10">
        <v>4.6781269015649896</v>
      </c>
      <c r="F2225" s="4">
        <v>2.8950736368245202E-6</v>
      </c>
      <c r="G2225" s="4">
        <v>3.3102535151963998E-5</v>
      </c>
      <c r="H2225" s="10" t="s">
        <v>10944</v>
      </c>
      <c r="I2225" s="10" t="s">
        <v>18</v>
      </c>
    </row>
    <row r="2226" spans="1:9" x14ac:dyDescent="0.2">
      <c r="A2226" s="10" t="s">
        <v>10945</v>
      </c>
      <c r="B2226" s="10">
        <v>1556.19559854717</v>
      </c>
      <c r="C2226" s="10">
        <v>2.0988222363503399</v>
      </c>
      <c r="D2226" s="10">
        <v>0.29938829153130397</v>
      </c>
      <c r="E2226" s="10">
        <v>7.0103684603540399</v>
      </c>
      <c r="F2226" s="4">
        <v>2.37691319081485E-12</v>
      </c>
      <c r="G2226" s="4">
        <v>6.5704671774667702E-11</v>
      </c>
      <c r="H2226" s="10" t="s">
        <v>10946</v>
      </c>
      <c r="I2226" s="10" t="s">
        <v>18</v>
      </c>
    </row>
    <row r="2227" spans="1:9" x14ac:dyDescent="0.2">
      <c r="A2227" s="10" t="s">
        <v>6172</v>
      </c>
      <c r="B2227" s="10">
        <v>1002.3910265409399</v>
      </c>
      <c r="C2227" s="10">
        <v>1.3103546401274599</v>
      </c>
      <c r="D2227" s="10">
        <v>0.26049445876711103</v>
      </c>
      <c r="E2227" s="10">
        <v>5.03025917069104</v>
      </c>
      <c r="F2227" s="4">
        <v>4.89817280626683E-7</v>
      </c>
      <c r="G2227" s="4">
        <v>6.5176736092590004E-6</v>
      </c>
      <c r="H2227" s="10" t="s">
        <v>6173</v>
      </c>
      <c r="I2227" s="10" t="s">
        <v>18</v>
      </c>
    </row>
    <row r="2228" spans="1:9" x14ac:dyDescent="0.2">
      <c r="A2228" s="10" t="s">
        <v>6176</v>
      </c>
      <c r="B2228" s="10">
        <v>108.637578611089</v>
      </c>
      <c r="C2228" s="10">
        <v>4.6178128460615397</v>
      </c>
      <c r="D2228" s="10">
        <v>0.50461051852346395</v>
      </c>
      <c r="E2228" s="10">
        <v>9.1512417528942596</v>
      </c>
      <c r="F2228" s="4">
        <v>5.6282818885250001E-20</v>
      </c>
      <c r="G2228" s="4">
        <v>3.03167946265196E-18</v>
      </c>
      <c r="H2228" s="10" t="s">
        <v>6177</v>
      </c>
      <c r="I2228" s="10" t="s">
        <v>18</v>
      </c>
    </row>
    <row r="2229" spans="1:9" x14ac:dyDescent="0.2">
      <c r="A2229" s="10" t="s">
        <v>6178</v>
      </c>
      <c r="B2229" s="10">
        <v>594.64471727839395</v>
      </c>
      <c r="C2229" s="10">
        <v>1.3446717077991801</v>
      </c>
      <c r="D2229" s="10">
        <v>0.288192483786395</v>
      </c>
      <c r="E2229" s="10">
        <v>4.6658805605625702</v>
      </c>
      <c r="F2229" s="4">
        <v>3.0729817354597E-6</v>
      </c>
      <c r="G2229" s="4">
        <v>3.4993596901534102E-5</v>
      </c>
      <c r="H2229" s="10" t="s">
        <v>6179</v>
      </c>
      <c r="I2229" s="10" t="s">
        <v>18</v>
      </c>
    </row>
    <row r="2230" spans="1:9" x14ac:dyDescent="0.2">
      <c r="A2230" s="10" t="s">
        <v>6182</v>
      </c>
      <c r="B2230" s="10">
        <v>4185.7527975611401</v>
      </c>
      <c r="C2230" s="10">
        <v>2.4650647979193399</v>
      </c>
      <c r="D2230" s="10">
        <v>0.26368697102473099</v>
      </c>
      <c r="E2230" s="10">
        <v>9.3484512653002803</v>
      </c>
      <c r="F2230" s="4">
        <v>8.8940463864847007E-21</v>
      </c>
      <c r="G2230" s="4">
        <v>5.0389580372077199E-19</v>
      </c>
      <c r="H2230" s="10" t="s">
        <v>6183</v>
      </c>
      <c r="I2230" s="10" t="s">
        <v>18</v>
      </c>
    </row>
    <row r="2231" spans="1:9" x14ac:dyDescent="0.2">
      <c r="A2231" s="10" t="s">
        <v>10947</v>
      </c>
      <c r="B2231" s="10">
        <v>787.88402176951604</v>
      </c>
      <c r="C2231" s="10">
        <v>-1.3488410451577</v>
      </c>
      <c r="D2231" s="10">
        <v>0.28577331252127902</v>
      </c>
      <c r="E2231" s="10">
        <v>-4.7199685416995099</v>
      </c>
      <c r="F2231" s="4">
        <v>2.3588111991314399E-6</v>
      </c>
      <c r="G2231" s="4">
        <v>2.7432221781854499E-5</v>
      </c>
      <c r="H2231" s="10" t="s">
        <v>10948</v>
      </c>
      <c r="I2231" s="10" t="s">
        <v>18</v>
      </c>
    </row>
    <row r="2232" spans="1:9" x14ac:dyDescent="0.2">
      <c r="A2232" s="10" t="s">
        <v>10949</v>
      </c>
      <c r="B2232" s="10">
        <v>13.959277809392599</v>
      </c>
      <c r="C2232" s="10">
        <v>-5.7173971100449998</v>
      </c>
      <c r="D2232" s="10">
        <v>1.65726822340722</v>
      </c>
      <c r="E2232" s="10">
        <v>-3.4498924370193098</v>
      </c>
      <c r="F2232" s="10">
        <v>5.6080995634277396E-4</v>
      </c>
      <c r="G2232" s="10">
        <v>3.69684865089164E-3</v>
      </c>
      <c r="H2232" s="10" t="s">
        <v>10950</v>
      </c>
      <c r="I2232" s="10" t="s">
        <v>18</v>
      </c>
    </row>
    <row r="2233" spans="1:9" x14ac:dyDescent="0.2">
      <c r="A2233" s="10" t="s">
        <v>6186</v>
      </c>
      <c r="B2233" s="10">
        <v>1988.27632153737</v>
      </c>
      <c r="C2233" s="10">
        <v>3.6742065526463699</v>
      </c>
      <c r="D2233" s="10">
        <v>0.287994012837549</v>
      </c>
      <c r="E2233" s="10">
        <v>12.7579268625939</v>
      </c>
      <c r="F2233" s="4">
        <v>2.8159598113749298E-37</v>
      </c>
      <c r="G2233" s="4">
        <v>4.0020039014201401E-35</v>
      </c>
      <c r="H2233" s="10" t="s">
        <v>6187</v>
      </c>
      <c r="I2233" s="10" t="s">
        <v>18</v>
      </c>
    </row>
    <row r="2234" spans="1:9" x14ac:dyDescent="0.2">
      <c r="A2234" s="10" t="s">
        <v>6188</v>
      </c>
      <c r="B2234" s="10">
        <v>5496.0595719860703</v>
      </c>
      <c r="C2234" s="10">
        <v>1.92489092707212</v>
      </c>
      <c r="D2234" s="10">
        <v>0.23804615196199999</v>
      </c>
      <c r="E2234" s="10">
        <v>8.0862089607707492</v>
      </c>
      <c r="F2234" s="4">
        <v>6.1550549867172403E-16</v>
      </c>
      <c r="G2234" s="4">
        <v>2.4382741447381401E-14</v>
      </c>
      <c r="H2234" s="10" t="s">
        <v>6189</v>
      </c>
      <c r="I2234" s="10" t="s">
        <v>18</v>
      </c>
    </row>
    <row r="2235" spans="1:9" x14ac:dyDescent="0.2">
      <c r="A2235" s="10" t="s">
        <v>10951</v>
      </c>
      <c r="B2235" s="10">
        <v>166.279121780765</v>
      </c>
      <c r="C2235" s="10">
        <v>-1.01786481479389</v>
      </c>
      <c r="D2235" s="10">
        <v>0.341126879243078</v>
      </c>
      <c r="E2235" s="10">
        <v>-2.9838305824871298</v>
      </c>
      <c r="F2235" s="10">
        <v>2.8466434175656802E-3</v>
      </c>
      <c r="G2235" s="10">
        <v>1.47400813439408E-2</v>
      </c>
      <c r="H2235" s="10" t="s">
        <v>10952</v>
      </c>
      <c r="I2235" s="10" t="s">
        <v>18</v>
      </c>
    </row>
    <row r="2236" spans="1:9" x14ac:dyDescent="0.2">
      <c r="A2236" s="10" t="s">
        <v>6192</v>
      </c>
      <c r="B2236" s="10">
        <v>82.120804547577393</v>
      </c>
      <c r="C2236" s="10">
        <v>4.6924512936714304</v>
      </c>
      <c r="D2236" s="10">
        <v>0.58247422313564201</v>
      </c>
      <c r="E2236" s="10">
        <v>8.0560668735012602</v>
      </c>
      <c r="F2236" s="4">
        <v>7.8788539985941099E-16</v>
      </c>
      <c r="G2236" s="4">
        <v>3.0959430890090297E-14</v>
      </c>
      <c r="H2236" s="10" t="s">
        <v>6193</v>
      </c>
      <c r="I2236" s="10" t="s">
        <v>18</v>
      </c>
    </row>
    <row r="2237" spans="1:9" x14ac:dyDescent="0.2">
      <c r="A2237" s="10" t="s">
        <v>6194</v>
      </c>
      <c r="B2237" s="10">
        <v>586.67460550418298</v>
      </c>
      <c r="C2237" s="10">
        <v>1.89831239139859</v>
      </c>
      <c r="D2237" s="10">
        <v>0.34794276950320702</v>
      </c>
      <c r="E2237" s="10">
        <v>5.4558179039300096</v>
      </c>
      <c r="F2237" s="4">
        <v>4.8747930721918503E-8</v>
      </c>
      <c r="G2237" s="4">
        <v>7.6593016696430995E-7</v>
      </c>
      <c r="H2237" s="10" t="s">
        <v>6195</v>
      </c>
      <c r="I2237" s="10" t="s">
        <v>18</v>
      </c>
    </row>
    <row r="2238" spans="1:9" x14ac:dyDescent="0.2">
      <c r="A2238" s="10" t="s">
        <v>6196</v>
      </c>
      <c r="B2238" s="10">
        <v>220.51891049083201</v>
      </c>
      <c r="C2238" s="10">
        <v>5.0662626785556997</v>
      </c>
      <c r="D2238" s="10">
        <v>0.42096008955247999</v>
      </c>
      <c r="E2238" s="10">
        <v>12.035019006057301</v>
      </c>
      <c r="F2238" s="4">
        <v>2.32580457662501E-33</v>
      </c>
      <c r="G2238" s="4">
        <v>2.7467424471832002E-31</v>
      </c>
      <c r="H2238" s="10" t="s">
        <v>6197</v>
      </c>
      <c r="I2238" s="10" t="s">
        <v>18</v>
      </c>
    </row>
    <row r="2239" spans="1:9" x14ac:dyDescent="0.2">
      <c r="A2239" s="10" t="s">
        <v>10953</v>
      </c>
      <c r="B2239" s="10">
        <v>254.11576709985701</v>
      </c>
      <c r="C2239" s="10">
        <v>1.2760891106688701</v>
      </c>
      <c r="D2239" s="10">
        <v>0.32133989701362098</v>
      </c>
      <c r="E2239" s="10">
        <v>3.9711505559322902</v>
      </c>
      <c r="F2239" s="4">
        <v>7.1526357502191498E-5</v>
      </c>
      <c r="G2239" s="10">
        <v>6.0357112477947897E-4</v>
      </c>
      <c r="H2239" s="10" t="s">
        <v>10954</v>
      </c>
      <c r="I2239" s="10" t="s">
        <v>18</v>
      </c>
    </row>
    <row r="2240" spans="1:9" x14ac:dyDescent="0.2">
      <c r="A2240" s="10" t="s">
        <v>6198</v>
      </c>
      <c r="B2240" s="10">
        <v>18.237238828062399</v>
      </c>
      <c r="C2240" s="10">
        <v>3.5629512428656001</v>
      </c>
      <c r="D2240" s="10">
        <v>0.93934019141984804</v>
      </c>
      <c r="E2240" s="10">
        <v>3.7930360857657601</v>
      </c>
      <c r="F2240" s="10">
        <v>1.4881652026035199E-4</v>
      </c>
      <c r="G2240" s="10">
        <v>1.1497173117780001E-3</v>
      </c>
      <c r="H2240" s="10" t="s">
        <v>6199</v>
      </c>
      <c r="I2240" s="10" t="s">
        <v>18</v>
      </c>
    </row>
    <row r="2241" spans="1:9" x14ac:dyDescent="0.2">
      <c r="A2241" s="10" t="s">
        <v>6200</v>
      </c>
      <c r="B2241" s="10">
        <v>2113.65092592367</v>
      </c>
      <c r="C2241" s="10">
        <v>2.0612995515304502</v>
      </c>
      <c r="D2241" s="10">
        <v>0.248814970386284</v>
      </c>
      <c r="E2241" s="10">
        <v>8.2844675637092795</v>
      </c>
      <c r="F2241" s="4">
        <v>1.18638642851726E-16</v>
      </c>
      <c r="G2241" s="4">
        <v>5.0927560766811899E-15</v>
      </c>
      <c r="H2241" s="10" t="s">
        <v>6201</v>
      </c>
      <c r="I2241" s="10" t="s">
        <v>18</v>
      </c>
    </row>
    <row r="2242" spans="1:9" x14ac:dyDescent="0.2">
      <c r="A2242" s="10" t="s">
        <v>10955</v>
      </c>
      <c r="B2242" s="10">
        <v>3966.3979798647401</v>
      </c>
      <c r="C2242" s="10">
        <v>1.62232743056527</v>
      </c>
      <c r="D2242" s="10">
        <v>0.278467490846803</v>
      </c>
      <c r="E2242" s="10">
        <v>5.8259131995331703</v>
      </c>
      <c r="F2242" s="4">
        <v>5.6801134577616797E-9</v>
      </c>
      <c r="G2242" s="4">
        <v>1.04142313432941E-7</v>
      </c>
      <c r="H2242" s="10" t="s">
        <v>10956</v>
      </c>
      <c r="I2242" s="10" t="s">
        <v>18</v>
      </c>
    </row>
    <row r="2243" spans="1:9" x14ac:dyDescent="0.2">
      <c r="A2243" s="10" t="s">
        <v>10957</v>
      </c>
      <c r="B2243" s="10">
        <v>615.60816080863503</v>
      </c>
      <c r="C2243" s="10">
        <v>1.68089401656106</v>
      </c>
      <c r="D2243" s="10">
        <v>0.34123905689376699</v>
      </c>
      <c r="E2243" s="10">
        <v>4.9258547127105299</v>
      </c>
      <c r="F2243" s="4">
        <v>8.3992391050929996E-7</v>
      </c>
      <c r="G2243" s="4">
        <v>1.06547080024516E-5</v>
      </c>
      <c r="H2243" s="10" t="s">
        <v>10958</v>
      </c>
      <c r="I2243" s="10" t="s">
        <v>18</v>
      </c>
    </row>
    <row r="2244" spans="1:9" x14ac:dyDescent="0.2">
      <c r="A2244" s="10" t="s">
        <v>10959</v>
      </c>
      <c r="B2244" s="10">
        <v>2574.1339212072899</v>
      </c>
      <c r="C2244" s="10">
        <v>1.4386990288294399</v>
      </c>
      <c r="D2244" s="10">
        <v>0.23971918551028201</v>
      </c>
      <c r="E2244" s="10">
        <v>6.0016015229107502</v>
      </c>
      <c r="F2244" s="4">
        <v>1.9538071716868598E-9</v>
      </c>
      <c r="G2244" s="4">
        <v>3.7952138535739802E-8</v>
      </c>
      <c r="H2244" s="10" t="s">
        <v>10960</v>
      </c>
      <c r="I2244" s="10" t="s">
        <v>18</v>
      </c>
    </row>
    <row r="2245" spans="1:9" x14ac:dyDescent="0.2">
      <c r="A2245" s="10" t="s">
        <v>6204</v>
      </c>
      <c r="B2245" s="10">
        <v>4406.8843286678502</v>
      </c>
      <c r="C2245" s="10">
        <v>-1.0807167075347901</v>
      </c>
      <c r="D2245" s="10">
        <v>0.27985254845179802</v>
      </c>
      <c r="E2245" s="10">
        <v>-3.8617361661115601</v>
      </c>
      <c r="F2245" s="10">
        <v>1.12584109894084E-4</v>
      </c>
      <c r="G2245" s="10">
        <v>9.0279033611274505E-4</v>
      </c>
      <c r="H2245" s="10" t="s">
        <v>6205</v>
      </c>
      <c r="I2245" s="10" t="s">
        <v>18</v>
      </c>
    </row>
    <row r="2246" spans="1:9" x14ac:dyDescent="0.2">
      <c r="A2246" s="10" t="s">
        <v>10961</v>
      </c>
      <c r="B2246" s="10">
        <v>1118.8001860965101</v>
      </c>
      <c r="C2246" s="10">
        <v>1.3081036203296601</v>
      </c>
      <c r="D2246" s="10">
        <v>0.25209582605637199</v>
      </c>
      <c r="E2246" s="10">
        <v>5.1889142346892596</v>
      </c>
      <c r="F2246" s="4">
        <v>2.11523783987923E-7</v>
      </c>
      <c r="G2246" s="4">
        <v>3.0027543940272099E-6</v>
      </c>
      <c r="H2246" s="10" t="s">
        <v>10962</v>
      </c>
      <c r="I2246" s="10" t="s">
        <v>18</v>
      </c>
    </row>
    <row r="2247" spans="1:9" x14ac:dyDescent="0.2">
      <c r="A2247" s="10" t="s">
        <v>6212</v>
      </c>
      <c r="B2247" s="10">
        <v>440.61528275243501</v>
      </c>
      <c r="C2247" s="10">
        <v>12.3019986961089</v>
      </c>
      <c r="D2247" s="10">
        <v>1.4705817076162899</v>
      </c>
      <c r="E2247" s="10">
        <v>8.3653962458499205</v>
      </c>
      <c r="F2247" s="4">
        <v>5.9913232207754404E-17</v>
      </c>
      <c r="G2247" s="4">
        <v>2.62563999335551E-15</v>
      </c>
      <c r="H2247" s="10" t="s">
        <v>6213</v>
      </c>
      <c r="I2247" s="10" t="s">
        <v>18</v>
      </c>
    </row>
    <row r="2248" spans="1:9" x14ac:dyDescent="0.2">
      <c r="A2248" s="10" t="s">
        <v>6214</v>
      </c>
      <c r="B2248" s="10">
        <v>1031.4914786367799</v>
      </c>
      <c r="C2248" s="10">
        <v>1.16739966252786</v>
      </c>
      <c r="D2248" s="10">
        <v>0.32536311324547101</v>
      </c>
      <c r="E2248" s="10">
        <v>3.5879902023408299</v>
      </c>
      <c r="F2248" s="10">
        <v>3.3323680918569902E-4</v>
      </c>
      <c r="G2248" s="10">
        <v>2.35003418420697E-3</v>
      </c>
      <c r="H2248" s="10" t="s">
        <v>6215</v>
      </c>
      <c r="I2248" s="10" t="s">
        <v>18</v>
      </c>
    </row>
    <row r="2249" spans="1:9" x14ac:dyDescent="0.2">
      <c r="A2249" s="10" t="s">
        <v>6216</v>
      </c>
      <c r="B2249" s="10">
        <v>112.305623646779</v>
      </c>
      <c r="C2249" s="10">
        <v>2.9936122918732102</v>
      </c>
      <c r="D2249" s="10">
        <v>0.52210304471266</v>
      </c>
      <c r="E2249" s="10">
        <v>5.7337575832769696</v>
      </c>
      <c r="F2249" s="4">
        <v>9.8229700527046995E-9</v>
      </c>
      <c r="G2249" s="4">
        <v>1.73279671581898E-7</v>
      </c>
      <c r="H2249" s="10" t="s">
        <v>6217</v>
      </c>
      <c r="I2249" s="10" t="s">
        <v>18</v>
      </c>
    </row>
    <row r="2250" spans="1:9" x14ac:dyDescent="0.2">
      <c r="A2250" s="10" t="s">
        <v>6220</v>
      </c>
      <c r="B2250" s="10">
        <v>1804.8405784722499</v>
      </c>
      <c r="C2250" s="10">
        <v>1.41486655850909</v>
      </c>
      <c r="D2250" s="10">
        <v>0.32171035759704902</v>
      </c>
      <c r="E2250" s="10">
        <v>4.3979515271971801</v>
      </c>
      <c r="F2250" s="4">
        <v>1.0927737602647399E-5</v>
      </c>
      <c r="G2250" s="10">
        <v>1.1075231240717E-4</v>
      </c>
      <c r="H2250" s="10" t="s">
        <v>6221</v>
      </c>
      <c r="I2250" s="10" t="s">
        <v>18</v>
      </c>
    </row>
    <row r="2251" spans="1:9" x14ac:dyDescent="0.2">
      <c r="A2251" s="10" t="s">
        <v>10963</v>
      </c>
      <c r="B2251" s="10">
        <v>148.58834371504599</v>
      </c>
      <c r="C2251" s="10">
        <v>2.1433983175984999</v>
      </c>
      <c r="D2251" s="10">
        <v>0.40604559007784502</v>
      </c>
      <c r="E2251" s="10">
        <v>5.27871344985566</v>
      </c>
      <c r="F2251" s="4">
        <v>1.30094061577572E-7</v>
      </c>
      <c r="G2251" s="4">
        <v>1.9216183904778798E-6</v>
      </c>
      <c r="H2251" s="10" t="s">
        <v>10964</v>
      </c>
      <c r="I2251" s="10" t="s">
        <v>18</v>
      </c>
    </row>
    <row r="2252" spans="1:9" x14ac:dyDescent="0.2">
      <c r="A2252" s="10" t="s">
        <v>6222</v>
      </c>
      <c r="B2252" s="10">
        <v>4443.98658027089</v>
      </c>
      <c r="C2252" s="10">
        <v>2.6644715763332698</v>
      </c>
      <c r="D2252" s="10">
        <v>0.30673165240738498</v>
      </c>
      <c r="E2252" s="10">
        <v>8.6866534817034697</v>
      </c>
      <c r="F2252" s="4">
        <v>3.7327251785776697E-18</v>
      </c>
      <c r="G2252" s="4">
        <v>1.7749849124219501E-16</v>
      </c>
      <c r="H2252" s="10" t="s">
        <v>6223</v>
      </c>
      <c r="I2252" s="10" t="s">
        <v>18</v>
      </c>
    </row>
    <row r="2253" spans="1:9" x14ac:dyDescent="0.2">
      <c r="A2253" s="10" t="s">
        <v>6224</v>
      </c>
      <c r="B2253" s="10">
        <v>579.66427843891802</v>
      </c>
      <c r="C2253" s="10">
        <v>3.54774506104315</v>
      </c>
      <c r="D2253" s="10">
        <v>0.37584632100804199</v>
      </c>
      <c r="E2253" s="10">
        <v>9.4393502416835897</v>
      </c>
      <c r="F2253" s="4">
        <v>3.7509814224693501E-21</v>
      </c>
      <c r="G2253" s="4">
        <v>2.1841652241253798E-19</v>
      </c>
      <c r="H2253" s="10" t="s">
        <v>6225</v>
      </c>
      <c r="I2253" s="10" t="s">
        <v>18</v>
      </c>
    </row>
    <row r="2254" spans="1:9" x14ac:dyDescent="0.2">
      <c r="A2254" s="10" t="s">
        <v>6230</v>
      </c>
      <c r="B2254" s="10">
        <v>106.201063429961</v>
      </c>
      <c r="C2254" s="10">
        <v>4.6507175586404701</v>
      </c>
      <c r="D2254" s="10">
        <v>0.528686877352471</v>
      </c>
      <c r="E2254" s="10">
        <v>8.7967334879391696</v>
      </c>
      <c r="F2254" s="4">
        <v>1.4085630964310201E-18</v>
      </c>
      <c r="G2254" s="4">
        <v>6.8667450951012194E-17</v>
      </c>
      <c r="H2254" s="10" t="s">
        <v>6231</v>
      </c>
      <c r="I2254" s="10" t="s">
        <v>18</v>
      </c>
    </row>
    <row r="2255" spans="1:9" x14ac:dyDescent="0.2">
      <c r="A2255" s="10" t="s">
        <v>10965</v>
      </c>
      <c r="B2255" s="10">
        <v>162.12421326175999</v>
      </c>
      <c r="C2255" s="10">
        <v>2.934052297659</v>
      </c>
      <c r="D2255" s="10">
        <v>0.421840104007001</v>
      </c>
      <c r="E2255" s="10">
        <v>6.9553659545141304</v>
      </c>
      <c r="F2255" s="4">
        <v>3.5164800189796599E-12</v>
      </c>
      <c r="G2255" s="4">
        <v>9.56292485161442E-11</v>
      </c>
      <c r="H2255" s="10" t="s">
        <v>10966</v>
      </c>
      <c r="I2255" s="10" t="s">
        <v>18</v>
      </c>
    </row>
    <row r="2256" spans="1:9" x14ac:dyDescent="0.2">
      <c r="A2256" s="10" t="s">
        <v>10967</v>
      </c>
      <c r="B2256" s="10">
        <v>1617.2370517869999</v>
      </c>
      <c r="C2256" s="10">
        <v>2.4444844693049501</v>
      </c>
      <c r="D2256" s="10">
        <v>0.32127592673090599</v>
      </c>
      <c r="E2256" s="10">
        <v>7.60867611270608</v>
      </c>
      <c r="F2256" s="4">
        <v>2.7691773262697699E-14</v>
      </c>
      <c r="G2256" s="4">
        <v>9.3376213997742802E-13</v>
      </c>
      <c r="H2256" s="10" t="s">
        <v>10968</v>
      </c>
      <c r="I2256" s="10" t="s">
        <v>18</v>
      </c>
    </row>
    <row r="2257" spans="1:9" x14ac:dyDescent="0.2">
      <c r="A2257" s="10" t="s">
        <v>10969</v>
      </c>
      <c r="B2257" s="10">
        <v>2183.4026104635</v>
      </c>
      <c r="C2257" s="10">
        <v>1.54202728754617</v>
      </c>
      <c r="D2257" s="10">
        <v>0.29990653163396203</v>
      </c>
      <c r="E2257" s="10">
        <v>5.1416929106039602</v>
      </c>
      <c r="F2257" s="4">
        <v>2.7227389119462898E-7</v>
      </c>
      <c r="G2257" s="4">
        <v>3.7819159210385902E-6</v>
      </c>
      <c r="H2257" s="10" t="s">
        <v>10970</v>
      </c>
      <c r="I2257" s="10" t="s">
        <v>18</v>
      </c>
    </row>
    <row r="2258" spans="1:9" x14ac:dyDescent="0.2">
      <c r="A2258" s="10" t="s">
        <v>10971</v>
      </c>
      <c r="B2258" s="10">
        <v>607.82305085655105</v>
      </c>
      <c r="C2258" s="10">
        <v>2.77182363146331</v>
      </c>
      <c r="D2258" s="10">
        <v>0.343257533638686</v>
      </c>
      <c r="E2258" s="10">
        <v>8.0750554899136997</v>
      </c>
      <c r="F2258" s="4">
        <v>6.7445967354187905E-16</v>
      </c>
      <c r="G2258" s="4">
        <v>2.66761526540031E-14</v>
      </c>
      <c r="H2258" s="10" t="s">
        <v>10972</v>
      </c>
      <c r="I2258" s="10" t="s">
        <v>18</v>
      </c>
    </row>
    <row r="2259" spans="1:9" x14ac:dyDescent="0.2">
      <c r="A2259" s="10" t="s">
        <v>6232</v>
      </c>
      <c r="B2259" s="10">
        <v>126.95916611122701</v>
      </c>
      <c r="C2259" s="10">
        <v>1.57284503337939</v>
      </c>
      <c r="D2259" s="10">
        <v>0.412304163093969</v>
      </c>
      <c r="E2259" s="10">
        <v>3.8147687415441398</v>
      </c>
      <c r="F2259" s="10">
        <v>1.36310524375997E-4</v>
      </c>
      <c r="G2259" s="10">
        <v>1.06454245286501E-3</v>
      </c>
      <c r="H2259" s="10" t="s">
        <v>6233</v>
      </c>
      <c r="I2259" s="10" t="s">
        <v>18</v>
      </c>
    </row>
    <row r="2260" spans="1:9" x14ac:dyDescent="0.2">
      <c r="A2260" s="10" t="s">
        <v>10973</v>
      </c>
      <c r="B2260" s="10">
        <v>41.7060481641373</v>
      </c>
      <c r="C2260" s="10">
        <v>3.77227542427091</v>
      </c>
      <c r="D2260" s="10">
        <v>0.66636406580639596</v>
      </c>
      <c r="E2260" s="10">
        <v>5.6609826637424003</v>
      </c>
      <c r="F2260" s="4">
        <v>1.5050863320038399E-8</v>
      </c>
      <c r="G2260" s="4">
        <v>2.5896338359477899E-7</v>
      </c>
      <c r="H2260" s="10" t="s">
        <v>10974</v>
      </c>
      <c r="I2260" s="10" t="s">
        <v>18</v>
      </c>
    </row>
    <row r="2261" spans="1:9" x14ac:dyDescent="0.2">
      <c r="A2261" s="10" t="s">
        <v>10975</v>
      </c>
      <c r="B2261" s="10">
        <v>262.12399871447599</v>
      </c>
      <c r="C2261" s="10">
        <v>-1.2137124538859201</v>
      </c>
      <c r="D2261" s="10">
        <v>0.30630537989615902</v>
      </c>
      <c r="E2261" s="10">
        <v>-3.9624261718725902</v>
      </c>
      <c r="F2261" s="4">
        <v>7.4191953221543997E-5</v>
      </c>
      <c r="G2261" s="10">
        <v>6.2355448823519502E-4</v>
      </c>
      <c r="H2261" s="10" t="s">
        <v>10976</v>
      </c>
      <c r="I2261" s="10" t="s">
        <v>18</v>
      </c>
    </row>
    <row r="2262" spans="1:9" x14ac:dyDescent="0.2">
      <c r="A2262" s="10" t="s">
        <v>10977</v>
      </c>
      <c r="B2262" s="10">
        <v>1732.94502386505</v>
      </c>
      <c r="C2262" s="10">
        <v>1.02544079890559</v>
      </c>
      <c r="D2262" s="10">
        <v>0.24958873564133699</v>
      </c>
      <c r="E2262" s="10">
        <v>4.1085219502019701</v>
      </c>
      <c r="F2262" s="4">
        <v>3.9819936380319203E-5</v>
      </c>
      <c r="G2262" s="10">
        <v>3.5710178240532301E-4</v>
      </c>
      <c r="H2262" s="10" t="s">
        <v>10978</v>
      </c>
      <c r="I2262" s="10" t="s">
        <v>18</v>
      </c>
    </row>
    <row r="2263" spans="1:9" x14ac:dyDescent="0.2">
      <c r="A2263" s="10" t="s">
        <v>10979</v>
      </c>
      <c r="B2263" s="10">
        <v>1369.44425667068</v>
      </c>
      <c r="C2263" s="10">
        <v>1.4166071149372801</v>
      </c>
      <c r="D2263" s="10">
        <v>0.259213834783528</v>
      </c>
      <c r="E2263" s="10">
        <v>5.4650135326314597</v>
      </c>
      <c r="F2263" s="4">
        <v>4.62871490483345E-8</v>
      </c>
      <c r="G2263" s="4">
        <v>7.3091854005703399E-7</v>
      </c>
      <c r="H2263" s="10" t="s">
        <v>10980</v>
      </c>
      <c r="I2263" s="10" t="s">
        <v>18</v>
      </c>
    </row>
    <row r="2264" spans="1:9" x14ac:dyDescent="0.2">
      <c r="A2264" s="10" t="s">
        <v>6260</v>
      </c>
      <c r="B2264" s="10">
        <v>16115.9662375513</v>
      </c>
      <c r="C2264" s="10">
        <v>-1.4136601379107101</v>
      </c>
      <c r="D2264" s="10">
        <v>0.29346318563589502</v>
      </c>
      <c r="E2264" s="10">
        <v>-4.8171634709392999</v>
      </c>
      <c r="F2264" s="4">
        <v>1.4561338967075701E-6</v>
      </c>
      <c r="G2264" s="4">
        <v>1.7551053268653E-5</v>
      </c>
      <c r="H2264" s="10" t="s">
        <v>6261</v>
      </c>
      <c r="I2264" s="10" t="s">
        <v>18</v>
      </c>
    </row>
    <row r="2265" spans="1:9" x14ac:dyDescent="0.2">
      <c r="A2265" s="10" t="s">
        <v>6262</v>
      </c>
      <c r="B2265" s="10">
        <v>66.456509684454801</v>
      </c>
      <c r="C2265" s="10">
        <v>-1.32253607363921</v>
      </c>
      <c r="D2265" s="10">
        <v>0.469730941116694</v>
      </c>
      <c r="E2265" s="10">
        <v>-2.8155183273538098</v>
      </c>
      <c r="F2265" s="10">
        <v>4.8698619189994404E-3</v>
      </c>
      <c r="G2265" s="10">
        <v>2.32045030247581E-2</v>
      </c>
      <c r="H2265" s="10" t="s">
        <v>6263</v>
      </c>
      <c r="I2265" s="10" t="s">
        <v>18</v>
      </c>
    </row>
    <row r="2266" spans="1:9" x14ac:dyDescent="0.2">
      <c r="A2266" s="10" t="s">
        <v>10981</v>
      </c>
      <c r="B2266" s="10">
        <v>4850.6899264982403</v>
      </c>
      <c r="C2266" s="10">
        <v>1.75621209785632</v>
      </c>
      <c r="D2266" s="10">
        <v>0.236165489143254</v>
      </c>
      <c r="E2266" s="10">
        <v>7.4363621214403404</v>
      </c>
      <c r="F2266" s="4">
        <v>1.0349588248194301E-13</v>
      </c>
      <c r="G2266" s="4">
        <v>3.3292057849530298E-12</v>
      </c>
      <c r="H2266" s="10" t="s">
        <v>10982</v>
      </c>
      <c r="I2266" s="10" t="s">
        <v>18</v>
      </c>
    </row>
    <row r="2267" spans="1:9" x14ac:dyDescent="0.2">
      <c r="A2267" s="10" t="s">
        <v>10983</v>
      </c>
      <c r="B2267" s="10">
        <v>538.34945143708001</v>
      </c>
      <c r="C2267" s="10">
        <v>-1.5663605552217099</v>
      </c>
      <c r="D2267" s="10">
        <v>0.32269023100482203</v>
      </c>
      <c r="E2267" s="10">
        <v>-4.8540687158214704</v>
      </c>
      <c r="F2267" s="4">
        <v>1.2095379349962001E-6</v>
      </c>
      <c r="G2267" s="4">
        <v>1.4814093631954301E-5</v>
      </c>
      <c r="H2267" s="10" t="s">
        <v>10984</v>
      </c>
      <c r="I2267" s="10" t="s">
        <v>18</v>
      </c>
    </row>
    <row r="2268" spans="1:9" x14ac:dyDescent="0.2">
      <c r="A2268" s="10" t="s">
        <v>10985</v>
      </c>
      <c r="B2268" s="10">
        <v>1281.9599650094201</v>
      </c>
      <c r="C2268" s="10">
        <v>1.09816718365003</v>
      </c>
      <c r="D2268" s="10">
        <v>0.29483421398458798</v>
      </c>
      <c r="E2268" s="10">
        <v>3.7246938501765299</v>
      </c>
      <c r="F2268" s="10">
        <v>1.95552396510673E-4</v>
      </c>
      <c r="G2268" s="10">
        <v>1.46402396851963E-3</v>
      </c>
      <c r="H2268" s="10" t="s">
        <v>10986</v>
      </c>
      <c r="I2268" s="10" t="s">
        <v>18</v>
      </c>
    </row>
    <row r="2269" spans="1:9" x14ac:dyDescent="0.2">
      <c r="A2269" s="10" t="s">
        <v>10987</v>
      </c>
      <c r="B2269" s="10">
        <v>642.61843483312805</v>
      </c>
      <c r="C2269" s="10">
        <v>-1.31354809161913</v>
      </c>
      <c r="D2269" s="10">
        <v>0.27800325600975101</v>
      </c>
      <c r="E2269" s="10">
        <v>-4.7249377955956797</v>
      </c>
      <c r="F2269" s="4">
        <v>2.30185805684627E-6</v>
      </c>
      <c r="G2269" s="4">
        <v>2.6856790083473101E-5</v>
      </c>
      <c r="H2269" s="10" t="s">
        <v>10988</v>
      </c>
      <c r="I2269" s="10" t="s">
        <v>18</v>
      </c>
    </row>
    <row r="2270" spans="1:9" x14ac:dyDescent="0.2">
      <c r="A2270" s="10" t="s">
        <v>6266</v>
      </c>
      <c r="B2270" s="10">
        <v>309.54365865013602</v>
      </c>
      <c r="C2270" s="10">
        <v>1.02025297212418</v>
      </c>
      <c r="D2270" s="10">
        <v>0.35774711640085499</v>
      </c>
      <c r="E2270" s="10">
        <v>2.85188314692379</v>
      </c>
      <c r="F2270" s="10">
        <v>4.3461074036759998E-3</v>
      </c>
      <c r="G2270" s="10">
        <v>2.1105469447774101E-2</v>
      </c>
      <c r="H2270" s="10" t="s">
        <v>6267</v>
      </c>
      <c r="I2270" s="10" t="s">
        <v>18</v>
      </c>
    </row>
    <row r="2271" spans="1:9" x14ac:dyDescent="0.2">
      <c r="A2271" s="10" t="s">
        <v>10989</v>
      </c>
      <c r="B2271" s="10">
        <v>21.2522866850843</v>
      </c>
      <c r="C2271" s="10">
        <v>-2.3895826210691502</v>
      </c>
      <c r="D2271" s="10">
        <v>0.79884748184611198</v>
      </c>
      <c r="E2271" s="10">
        <v>-2.9912876680125402</v>
      </c>
      <c r="F2271" s="10">
        <v>2.7780365812941099E-3</v>
      </c>
      <c r="G2271" s="10">
        <v>1.44562495247111E-2</v>
      </c>
      <c r="H2271" s="10" t="s">
        <v>10990</v>
      </c>
      <c r="I2271" s="10" t="s">
        <v>18</v>
      </c>
    </row>
    <row r="2272" spans="1:9" x14ac:dyDescent="0.2">
      <c r="A2272" s="10" t="s">
        <v>10991</v>
      </c>
      <c r="B2272" s="10">
        <v>51.493394665534801</v>
      </c>
      <c r="C2272" s="10">
        <v>-2.4063019706792299</v>
      </c>
      <c r="D2272" s="10">
        <v>0.57148155204963602</v>
      </c>
      <c r="E2272" s="10">
        <v>-4.2106380548050302</v>
      </c>
      <c r="F2272" s="4">
        <v>2.54650451272357E-5</v>
      </c>
      <c r="G2272" s="10">
        <v>2.3910907434700001E-4</v>
      </c>
      <c r="H2272" s="10" t="s">
        <v>10992</v>
      </c>
      <c r="I2272" s="10" t="s">
        <v>18</v>
      </c>
    </row>
    <row r="2273" spans="1:9" x14ac:dyDescent="0.2">
      <c r="A2273" s="10" t="s">
        <v>10993</v>
      </c>
      <c r="B2273" s="10">
        <v>732.78078381304499</v>
      </c>
      <c r="C2273" s="10">
        <v>-1.3823870305278501</v>
      </c>
      <c r="D2273" s="10">
        <v>0.26802980018903599</v>
      </c>
      <c r="E2273" s="10">
        <v>-5.1575870651430602</v>
      </c>
      <c r="F2273" s="4">
        <v>2.5015254134752301E-7</v>
      </c>
      <c r="G2273" s="4">
        <v>3.49977039910842E-6</v>
      </c>
      <c r="H2273" s="10" t="s">
        <v>10994</v>
      </c>
      <c r="I2273" s="10" t="s">
        <v>18</v>
      </c>
    </row>
    <row r="2274" spans="1:9" x14ac:dyDescent="0.2">
      <c r="A2274" s="10" t="s">
        <v>6270</v>
      </c>
      <c r="B2274" s="10">
        <v>1520.7573131331801</v>
      </c>
      <c r="C2274" s="10">
        <v>-2.0166653743790399</v>
      </c>
      <c r="D2274" s="10">
        <v>0.28188764845325798</v>
      </c>
      <c r="E2274" s="10">
        <v>-7.1541459352499501</v>
      </c>
      <c r="F2274" s="4">
        <v>8.4195459433668804E-13</v>
      </c>
      <c r="G2274" s="4">
        <v>2.4372114868284701E-11</v>
      </c>
      <c r="H2274" s="10" t="s">
        <v>6271</v>
      </c>
      <c r="I2274" s="10" t="s">
        <v>18</v>
      </c>
    </row>
    <row r="2275" spans="1:9" x14ac:dyDescent="0.2">
      <c r="A2275" s="10" t="s">
        <v>10995</v>
      </c>
      <c r="B2275" s="10">
        <v>1051.8139697446099</v>
      </c>
      <c r="C2275" s="10">
        <v>1.8142184463737101</v>
      </c>
      <c r="D2275" s="10">
        <v>0.30165234643855099</v>
      </c>
      <c r="E2275" s="10">
        <v>6.0142692997194498</v>
      </c>
      <c r="F2275" s="4">
        <v>1.8069990135539501E-9</v>
      </c>
      <c r="G2275" s="4">
        <v>3.5236480764302001E-8</v>
      </c>
      <c r="H2275" s="10" t="s">
        <v>10996</v>
      </c>
      <c r="I2275" s="10" t="s">
        <v>18</v>
      </c>
    </row>
    <row r="2276" spans="1:9" x14ac:dyDescent="0.2">
      <c r="A2276" s="10" t="s">
        <v>6276</v>
      </c>
      <c r="B2276" s="10">
        <v>87.076172030360297</v>
      </c>
      <c r="C2276" s="10">
        <v>4.56905785726887</v>
      </c>
      <c r="D2276" s="10">
        <v>0.55160744734698797</v>
      </c>
      <c r="E2276" s="10">
        <v>8.2831692705459599</v>
      </c>
      <c r="F2276" s="4">
        <v>1.1993975117549101E-16</v>
      </c>
      <c r="G2276" s="4">
        <v>5.1310959877882399E-15</v>
      </c>
      <c r="H2276" s="10" t="s">
        <v>6277</v>
      </c>
      <c r="I2276" s="10" t="s">
        <v>18</v>
      </c>
    </row>
    <row r="2277" spans="1:9" x14ac:dyDescent="0.2">
      <c r="A2277" s="10" t="s">
        <v>6278</v>
      </c>
      <c r="B2277" s="10">
        <v>8.2278130295627694</v>
      </c>
      <c r="C2277" s="10">
        <v>5.0597305381064999</v>
      </c>
      <c r="D2277" s="10">
        <v>1.77840264373614</v>
      </c>
      <c r="E2277" s="10">
        <v>2.8450984122902598</v>
      </c>
      <c r="F2277" s="10">
        <v>4.4397703716369998E-3</v>
      </c>
      <c r="G2277" s="10">
        <v>2.1481520234377501E-2</v>
      </c>
      <c r="H2277" s="10" t="s">
        <v>6279</v>
      </c>
      <c r="I2277" s="10" t="s">
        <v>18</v>
      </c>
    </row>
    <row r="2278" spans="1:9" x14ac:dyDescent="0.2">
      <c r="A2278" s="10" t="s">
        <v>10997</v>
      </c>
      <c r="B2278" s="10">
        <v>1191.38402439426</v>
      </c>
      <c r="C2278" s="10">
        <v>-1.0814869628461301</v>
      </c>
      <c r="D2278" s="10">
        <v>0.25074026149239698</v>
      </c>
      <c r="E2278" s="10">
        <v>-4.31317633797285</v>
      </c>
      <c r="F2278" s="4">
        <v>1.6092566225621001E-5</v>
      </c>
      <c r="G2278" s="10">
        <v>1.57451771063982E-4</v>
      </c>
      <c r="H2278" s="10" t="s">
        <v>10998</v>
      </c>
      <c r="I2278" s="10" t="s">
        <v>18</v>
      </c>
    </row>
    <row r="2279" spans="1:9" x14ac:dyDescent="0.2">
      <c r="A2279" s="10" t="s">
        <v>10999</v>
      </c>
      <c r="B2279" s="10">
        <v>1947.8470250365101</v>
      </c>
      <c r="C2279" s="10">
        <v>1.19967889255598</v>
      </c>
      <c r="D2279" s="10">
        <v>0.256375747155834</v>
      </c>
      <c r="E2279" s="10">
        <v>4.6793774600948304</v>
      </c>
      <c r="F2279" s="4">
        <v>2.8774727399910801E-6</v>
      </c>
      <c r="G2279" s="4">
        <v>3.2916246827865202E-5</v>
      </c>
      <c r="H2279" s="10" t="s">
        <v>11000</v>
      </c>
      <c r="I2279" s="10" t="s">
        <v>18</v>
      </c>
    </row>
    <row r="2280" spans="1:9" x14ac:dyDescent="0.2">
      <c r="A2280" s="10" t="s">
        <v>6282</v>
      </c>
      <c r="B2280" s="10">
        <v>381.96264583058502</v>
      </c>
      <c r="C2280" s="10">
        <v>-1.1470437681905501</v>
      </c>
      <c r="D2280" s="10">
        <v>0.308729488829321</v>
      </c>
      <c r="E2280" s="10">
        <v>-3.71536833925405</v>
      </c>
      <c r="F2280" s="10">
        <v>2.02907897953848E-4</v>
      </c>
      <c r="G2280" s="10">
        <v>1.51234019941602E-3</v>
      </c>
      <c r="H2280" s="10" t="s">
        <v>6283</v>
      </c>
      <c r="I2280" s="10" t="s">
        <v>18</v>
      </c>
    </row>
    <row r="2281" spans="1:9" x14ac:dyDescent="0.2">
      <c r="A2281" s="10" t="s">
        <v>6284</v>
      </c>
      <c r="B2281" s="10">
        <v>161.07904060662099</v>
      </c>
      <c r="C2281" s="10">
        <v>4.1218624662076602</v>
      </c>
      <c r="D2281" s="10">
        <v>0.40923842849586201</v>
      </c>
      <c r="E2281" s="10">
        <v>10.0720318015036</v>
      </c>
      <c r="F2281" s="4">
        <v>7.3444910679122194E-24</v>
      </c>
      <c r="G2281" s="4">
        <v>5.1896256408239303E-22</v>
      </c>
      <c r="H2281" s="10" t="s">
        <v>6285</v>
      </c>
      <c r="I2281" s="10" t="s">
        <v>18</v>
      </c>
    </row>
    <row r="2282" spans="1:9" x14ac:dyDescent="0.2">
      <c r="A2282" s="10" t="s">
        <v>6288</v>
      </c>
      <c r="B2282" s="10">
        <v>271.81571906988103</v>
      </c>
      <c r="C2282" s="10">
        <v>2.5820092161732302</v>
      </c>
      <c r="D2282" s="10">
        <v>0.31544379621260299</v>
      </c>
      <c r="E2282" s="10">
        <v>8.1853225429515497</v>
      </c>
      <c r="F2282" s="4">
        <v>2.7157529560173198E-16</v>
      </c>
      <c r="G2282" s="4">
        <v>1.12359811856276E-14</v>
      </c>
      <c r="H2282" s="10" t="s">
        <v>6289</v>
      </c>
      <c r="I2282" s="10" t="s">
        <v>18</v>
      </c>
    </row>
    <row r="2283" spans="1:9" x14ac:dyDescent="0.2">
      <c r="A2283" s="10" t="s">
        <v>6290</v>
      </c>
      <c r="B2283" s="10">
        <v>21.111497558607699</v>
      </c>
      <c r="C2283" s="10">
        <v>4.80985989680104</v>
      </c>
      <c r="D2283" s="10">
        <v>1.1122365043842</v>
      </c>
      <c r="E2283" s="10">
        <v>4.3244938264852903</v>
      </c>
      <c r="F2283" s="4">
        <v>1.5288248507272601E-5</v>
      </c>
      <c r="G2283" s="10">
        <v>1.5023578263343099E-4</v>
      </c>
      <c r="H2283" s="10" t="s">
        <v>6291</v>
      </c>
      <c r="I2283" s="10" t="s">
        <v>18</v>
      </c>
    </row>
    <row r="2284" spans="1:9" x14ac:dyDescent="0.2">
      <c r="A2284" s="10" t="s">
        <v>6294</v>
      </c>
      <c r="B2284" s="10">
        <v>378.39071541405599</v>
      </c>
      <c r="C2284" s="10">
        <v>-2.7981735482864698</v>
      </c>
      <c r="D2284" s="10">
        <v>0.31425431184019698</v>
      </c>
      <c r="E2284" s="10">
        <v>-8.9041691485505794</v>
      </c>
      <c r="F2284" s="4">
        <v>5.3787381887555103E-19</v>
      </c>
      <c r="G2284" s="4">
        <v>2.7006418989649701E-17</v>
      </c>
      <c r="H2284" s="10" t="s">
        <v>6295</v>
      </c>
      <c r="I2284" s="10" t="s">
        <v>18</v>
      </c>
    </row>
    <row r="2285" spans="1:9" x14ac:dyDescent="0.2">
      <c r="A2285" s="10" t="s">
        <v>6296</v>
      </c>
      <c r="B2285" s="10">
        <v>762.802968634271</v>
      </c>
      <c r="C2285" s="10">
        <v>2.56824414489363</v>
      </c>
      <c r="D2285" s="10">
        <v>0.26645763305770598</v>
      </c>
      <c r="E2285" s="10">
        <v>9.6384709096977996</v>
      </c>
      <c r="F2285" s="4">
        <v>5.5001127869916302E-22</v>
      </c>
      <c r="G2285" s="4">
        <v>3.3500081636022899E-20</v>
      </c>
      <c r="H2285" s="10" t="s">
        <v>6297</v>
      </c>
      <c r="I2285" s="10" t="s">
        <v>18</v>
      </c>
    </row>
    <row r="2286" spans="1:9" x14ac:dyDescent="0.2">
      <c r="A2286" s="10" t="s">
        <v>6302</v>
      </c>
      <c r="B2286" s="10">
        <v>137.93428089877199</v>
      </c>
      <c r="C2286" s="10">
        <v>5.4711264179807904</v>
      </c>
      <c r="D2286" s="10">
        <v>0.54605125045487801</v>
      </c>
      <c r="E2286" s="10">
        <v>10.019437577376101</v>
      </c>
      <c r="F2286" s="4">
        <v>1.25213434690732E-23</v>
      </c>
      <c r="G2286" s="4">
        <v>8.5836334113448197E-22</v>
      </c>
      <c r="H2286" s="10" t="s">
        <v>6303</v>
      </c>
      <c r="I2286" s="10" t="s">
        <v>18</v>
      </c>
    </row>
    <row r="2287" spans="1:9" x14ac:dyDescent="0.2">
      <c r="A2287" s="10" t="s">
        <v>6304</v>
      </c>
      <c r="B2287" s="10">
        <v>42.241319538540701</v>
      </c>
      <c r="C2287" s="10">
        <v>6.4632775684627797</v>
      </c>
      <c r="D2287" s="10">
        <v>1.14669394062698</v>
      </c>
      <c r="E2287" s="10">
        <v>5.6364452095463502</v>
      </c>
      <c r="F2287" s="4">
        <v>1.7359623292135E-8</v>
      </c>
      <c r="G2287" s="4">
        <v>2.9525444483681897E-7</v>
      </c>
      <c r="H2287" s="10" t="s">
        <v>6305</v>
      </c>
      <c r="I2287" s="10" t="s">
        <v>18</v>
      </c>
    </row>
    <row r="2288" spans="1:9" x14ac:dyDescent="0.2">
      <c r="A2288" s="10" t="s">
        <v>6306</v>
      </c>
      <c r="B2288" s="10">
        <v>32.277564476258497</v>
      </c>
      <c r="C2288" s="10">
        <v>3.82557425985497</v>
      </c>
      <c r="D2288" s="10">
        <v>0.75019115983473095</v>
      </c>
      <c r="E2288" s="10">
        <v>5.0994659290543298</v>
      </c>
      <c r="F2288" s="4">
        <v>3.4061317116015502E-7</v>
      </c>
      <c r="G2288" s="4">
        <v>4.6439698214274802E-6</v>
      </c>
      <c r="H2288" s="10" t="s">
        <v>6307</v>
      </c>
      <c r="I2288" s="10" t="s">
        <v>18</v>
      </c>
    </row>
    <row r="2289" spans="1:9" x14ac:dyDescent="0.2">
      <c r="A2289" s="10" t="s">
        <v>11001</v>
      </c>
      <c r="B2289" s="10">
        <v>725.39802582277105</v>
      </c>
      <c r="C2289" s="10">
        <v>-1.07404632515598</v>
      </c>
      <c r="D2289" s="10">
        <v>0.304741947474025</v>
      </c>
      <c r="E2289" s="10">
        <v>-3.5244453021930102</v>
      </c>
      <c r="F2289" s="10">
        <v>4.2437041938156E-4</v>
      </c>
      <c r="G2289" s="10">
        <v>2.9024029090655599E-3</v>
      </c>
      <c r="H2289" s="10" t="s">
        <v>11002</v>
      </c>
      <c r="I2289" s="10" t="s">
        <v>18</v>
      </c>
    </row>
    <row r="2290" spans="1:9" x14ac:dyDescent="0.2">
      <c r="A2290" s="10" t="s">
        <v>11003</v>
      </c>
      <c r="B2290" s="10">
        <v>5.8227886644876197</v>
      </c>
      <c r="C2290" s="10">
        <v>-5.9278979655098603</v>
      </c>
      <c r="D2290" s="10">
        <v>1.9561041240196</v>
      </c>
      <c r="E2290" s="10">
        <v>-3.0304613607830899</v>
      </c>
      <c r="F2290" s="10">
        <v>2.4418042831127699E-3</v>
      </c>
      <c r="G2290" s="10">
        <v>1.29640326597091E-2</v>
      </c>
      <c r="H2290" s="10" t="s">
        <v>11004</v>
      </c>
      <c r="I2290" s="10" t="s">
        <v>18</v>
      </c>
    </row>
    <row r="2291" spans="1:9" x14ac:dyDescent="0.2">
      <c r="A2291" s="10" t="s">
        <v>6312</v>
      </c>
      <c r="B2291" s="10">
        <v>232.44002060971701</v>
      </c>
      <c r="C2291" s="10">
        <v>1.5578822130480401</v>
      </c>
      <c r="D2291" s="10">
        <v>0.31732311938707503</v>
      </c>
      <c r="E2291" s="10">
        <v>4.9094507077113301</v>
      </c>
      <c r="F2291" s="4">
        <v>9.13318523902516E-7</v>
      </c>
      <c r="G2291" s="4">
        <v>1.1510284302989899E-5</v>
      </c>
      <c r="H2291" s="10" t="s">
        <v>6313</v>
      </c>
      <c r="I2291" s="10" t="s">
        <v>18</v>
      </c>
    </row>
    <row r="2292" spans="1:9" x14ac:dyDescent="0.2">
      <c r="A2292" s="10" t="s">
        <v>6318</v>
      </c>
      <c r="B2292" s="10">
        <v>1655.84163848719</v>
      </c>
      <c r="C2292" s="10">
        <v>-3.0989424649631601</v>
      </c>
      <c r="D2292" s="10">
        <v>0.25827061833438902</v>
      </c>
      <c r="E2292" s="10">
        <v>-11.998819242190701</v>
      </c>
      <c r="F2292" s="4">
        <v>3.6040121972022101E-33</v>
      </c>
      <c r="G2292" s="4">
        <v>4.1778307290608998E-31</v>
      </c>
      <c r="H2292" s="10" t="s">
        <v>6319</v>
      </c>
      <c r="I2292" s="10" t="s">
        <v>18</v>
      </c>
    </row>
    <row r="2293" spans="1:9" x14ac:dyDescent="0.2">
      <c r="A2293" s="10" t="s">
        <v>11005</v>
      </c>
      <c r="B2293" s="10">
        <v>13.8021320284784</v>
      </c>
      <c r="C2293" s="10">
        <v>-3.2564991753207</v>
      </c>
      <c r="D2293" s="10">
        <v>1.05701262298153</v>
      </c>
      <c r="E2293" s="10">
        <v>-3.0808517367891599</v>
      </c>
      <c r="F2293" s="10">
        <v>2.06409400576253E-3</v>
      </c>
      <c r="G2293" s="10">
        <v>1.12507659187338E-2</v>
      </c>
      <c r="H2293" s="10" t="s">
        <v>11006</v>
      </c>
      <c r="I2293" s="10" t="s">
        <v>18</v>
      </c>
    </row>
    <row r="2294" spans="1:9" x14ac:dyDescent="0.2">
      <c r="A2294" s="10" t="s">
        <v>6324</v>
      </c>
      <c r="B2294" s="10">
        <v>59.647255289909502</v>
      </c>
      <c r="C2294" s="10">
        <v>1.3449372988277299</v>
      </c>
      <c r="D2294" s="10">
        <v>0.49759240730123</v>
      </c>
      <c r="E2294" s="10">
        <v>2.70288951176367</v>
      </c>
      <c r="F2294" s="10">
        <v>6.8739591718601197E-3</v>
      </c>
      <c r="G2294" s="10">
        <v>3.0833315215222101E-2</v>
      </c>
      <c r="H2294" s="10" t="s">
        <v>6325</v>
      </c>
      <c r="I2294" s="10" t="s">
        <v>18</v>
      </c>
    </row>
    <row r="2295" spans="1:9" x14ac:dyDescent="0.2">
      <c r="A2295" s="10" t="s">
        <v>11007</v>
      </c>
      <c r="B2295" s="10">
        <v>438.696182459753</v>
      </c>
      <c r="C2295" s="10">
        <v>1.4642131408463701</v>
      </c>
      <c r="D2295" s="10">
        <v>0.28511036016941499</v>
      </c>
      <c r="E2295" s="10">
        <v>5.1356013158424698</v>
      </c>
      <c r="F2295" s="4">
        <v>2.8124331395532701E-7</v>
      </c>
      <c r="G2295" s="4">
        <v>3.8936024009610704E-6</v>
      </c>
      <c r="H2295" s="10" t="s">
        <v>11008</v>
      </c>
      <c r="I2295" s="10" t="s">
        <v>18</v>
      </c>
    </row>
    <row r="2296" spans="1:9" x14ac:dyDescent="0.2">
      <c r="A2296" s="10" t="s">
        <v>11009</v>
      </c>
      <c r="B2296" s="10">
        <v>2762.2520013437702</v>
      </c>
      <c r="C2296" s="10">
        <v>-1.0007127409007801</v>
      </c>
      <c r="D2296" s="10">
        <v>0.25314976809647499</v>
      </c>
      <c r="E2296" s="10">
        <v>-3.9530462477824901</v>
      </c>
      <c r="F2296" s="4">
        <v>7.7162515929660394E-5</v>
      </c>
      <c r="G2296" s="10">
        <v>6.4550152584323499E-4</v>
      </c>
      <c r="H2296" s="10" t="s">
        <v>11010</v>
      </c>
      <c r="I2296" s="10" t="s">
        <v>18</v>
      </c>
    </row>
    <row r="2297" spans="1:9" x14ac:dyDescent="0.2">
      <c r="A2297" s="10" t="s">
        <v>6332</v>
      </c>
      <c r="B2297" s="10">
        <v>1697.70357389331</v>
      </c>
      <c r="C2297" s="10">
        <v>1.1085357318823701</v>
      </c>
      <c r="D2297" s="10">
        <v>0.26034929086627401</v>
      </c>
      <c r="E2297" s="10">
        <v>4.2578788219237502</v>
      </c>
      <c r="F2297" s="4">
        <v>2.0637575748954001E-5</v>
      </c>
      <c r="G2297" s="10">
        <v>1.9701640150471999E-4</v>
      </c>
      <c r="H2297" s="10" t="s">
        <v>6333</v>
      </c>
      <c r="I2297" s="10" t="s">
        <v>18</v>
      </c>
    </row>
    <row r="2298" spans="1:9" x14ac:dyDescent="0.2">
      <c r="A2298" s="10" t="s">
        <v>6346</v>
      </c>
      <c r="B2298" s="10">
        <v>1228.7764418664999</v>
      </c>
      <c r="C2298" s="10">
        <v>1.5059600278554499</v>
      </c>
      <c r="D2298" s="10">
        <v>0.282427979063685</v>
      </c>
      <c r="E2298" s="10">
        <v>5.3321913531657197</v>
      </c>
      <c r="F2298" s="4">
        <v>9.70346072837214E-8</v>
      </c>
      <c r="G2298" s="4">
        <v>1.45119235803925E-6</v>
      </c>
      <c r="H2298" s="10" t="s">
        <v>6347</v>
      </c>
      <c r="I2298" s="10" t="s">
        <v>18</v>
      </c>
    </row>
    <row r="2299" spans="1:9" x14ac:dyDescent="0.2">
      <c r="A2299" s="10" t="s">
        <v>6348</v>
      </c>
      <c r="B2299" s="10">
        <v>396.108718820278</v>
      </c>
      <c r="C2299" s="10">
        <v>-1.67794088344924</v>
      </c>
      <c r="D2299" s="10">
        <v>0.29822803618108601</v>
      </c>
      <c r="E2299" s="10">
        <v>-5.6263686839636398</v>
      </c>
      <c r="F2299" s="4">
        <v>1.8404277110369799E-8</v>
      </c>
      <c r="G2299" s="4">
        <v>3.1196737918554699E-7</v>
      </c>
      <c r="H2299" s="10" t="s">
        <v>6349</v>
      </c>
      <c r="I2299" s="10" t="s">
        <v>18</v>
      </c>
    </row>
    <row r="2300" spans="1:9" x14ac:dyDescent="0.2">
      <c r="A2300" s="10" t="s">
        <v>11011</v>
      </c>
      <c r="B2300" s="10">
        <v>244.013464530606</v>
      </c>
      <c r="C2300" s="10">
        <v>1.6215757132195101</v>
      </c>
      <c r="D2300" s="10">
        <v>0.32748954175184802</v>
      </c>
      <c r="E2300" s="10">
        <v>4.9515343437997501</v>
      </c>
      <c r="F2300" s="4">
        <v>7.3630621779412001E-7</v>
      </c>
      <c r="G2300" s="4">
        <v>9.4692141659565894E-6</v>
      </c>
      <c r="H2300" s="10" t="s">
        <v>11012</v>
      </c>
      <c r="I2300" s="10" t="s">
        <v>18</v>
      </c>
    </row>
    <row r="2301" spans="1:9" x14ac:dyDescent="0.2">
      <c r="A2301" s="10" t="s">
        <v>11013</v>
      </c>
      <c r="B2301" s="10">
        <v>1134.2109791314299</v>
      </c>
      <c r="C2301" s="10">
        <v>-1.05948328497773</v>
      </c>
      <c r="D2301" s="10">
        <v>0.28165734960748101</v>
      </c>
      <c r="E2301" s="10">
        <v>-3.7616035457772701</v>
      </c>
      <c r="F2301" s="10">
        <v>1.68827502061091E-4</v>
      </c>
      <c r="G2301" s="10">
        <v>1.2845903854648299E-3</v>
      </c>
      <c r="H2301" s="10" t="s">
        <v>11014</v>
      </c>
      <c r="I2301" s="10" t="s">
        <v>18</v>
      </c>
    </row>
    <row r="2302" spans="1:9" x14ac:dyDescent="0.2">
      <c r="A2302" s="10" t="s">
        <v>6354</v>
      </c>
      <c r="B2302" s="10">
        <v>619.068750608561</v>
      </c>
      <c r="C2302" s="10">
        <v>2.24540091861319</v>
      </c>
      <c r="D2302" s="10">
        <v>0.30901595717355501</v>
      </c>
      <c r="E2302" s="10">
        <v>7.2662943983572204</v>
      </c>
      <c r="F2302" s="4">
        <v>3.6948288137786898E-13</v>
      </c>
      <c r="G2302" s="4">
        <v>1.1238623798138199E-11</v>
      </c>
      <c r="H2302" s="10" t="s">
        <v>6355</v>
      </c>
      <c r="I2302" s="10" t="s">
        <v>18</v>
      </c>
    </row>
    <row r="2303" spans="1:9" x14ac:dyDescent="0.2">
      <c r="A2303" s="10" t="s">
        <v>11015</v>
      </c>
      <c r="B2303" s="10">
        <v>55.961066697536801</v>
      </c>
      <c r="C2303" s="10">
        <v>-1.6899668921877899</v>
      </c>
      <c r="D2303" s="10">
        <v>0.50481970710035395</v>
      </c>
      <c r="E2303" s="10">
        <v>-3.3476642619497299</v>
      </c>
      <c r="F2303" s="10">
        <v>8.1495675375618597E-4</v>
      </c>
      <c r="G2303" s="10">
        <v>5.1199393458383697E-3</v>
      </c>
      <c r="H2303" s="10" t="s">
        <v>11016</v>
      </c>
      <c r="I2303" s="10" t="s">
        <v>18</v>
      </c>
    </row>
    <row r="2304" spans="1:9" x14ac:dyDescent="0.2">
      <c r="A2304" s="10" t="s">
        <v>6356</v>
      </c>
      <c r="B2304" s="10">
        <v>924.03688925770405</v>
      </c>
      <c r="C2304" s="10">
        <v>-2.8709012349904701</v>
      </c>
      <c r="D2304" s="10">
        <v>0.28340299686176301</v>
      </c>
      <c r="E2304" s="10">
        <v>-10.1301018929974</v>
      </c>
      <c r="F2304" s="4">
        <v>4.0622591268887603E-24</v>
      </c>
      <c r="G2304" s="4">
        <v>2.9533563103146401E-22</v>
      </c>
      <c r="H2304" s="10" t="s">
        <v>6357</v>
      </c>
      <c r="I2304" s="10" t="s">
        <v>18</v>
      </c>
    </row>
    <row r="2305" spans="1:9" x14ac:dyDescent="0.2">
      <c r="A2305" s="10" t="s">
        <v>11017</v>
      </c>
      <c r="B2305" s="10">
        <v>2278.21267192804</v>
      </c>
      <c r="C2305" s="10">
        <v>1.4138924553554</v>
      </c>
      <c r="D2305" s="10">
        <v>0.26048878280558802</v>
      </c>
      <c r="E2305" s="10">
        <v>5.4278439176040703</v>
      </c>
      <c r="F2305" s="4">
        <v>5.7038885663263602E-8</v>
      </c>
      <c r="G2305" s="4">
        <v>8.8733034561496405E-7</v>
      </c>
      <c r="H2305" s="10" t="s">
        <v>11018</v>
      </c>
      <c r="I2305" s="10" t="s">
        <v>18</v>
      </c>
    </row>
    <row r="2306" spans="1:9" x14ac:dyDescent="0.2">
      <c r="A2306" s="10" t="s">
        <v>11019</v>
      </c>
      <c r="B2306" s="10">
        <v>97.5419113947124</v>
      </c>
      <c r="C2306" s="10">
        <v>-1.26203765385938</v>
      </c>
      <c r="D2306" s="10">
        <v>0.40120055021324702</v>
      </c>
      <c r="E2306" s="10">
        <v>-3.14565284915132</v>
      </c>
      <c r="F2306" s="10">
        <v>1.65716577198891E-3</v>
      </c>
      <c r="G2306" s="10">
        <v>9.3634332871475792E-3</v>
      </c>
      <c r="H2306" s="10" t="s">
        <v>11020</v>
      </c>
      <c r="I2306" s="10" t="s">
        <v>18</v>
      </c>
    </row>
    <row r="2307" spans="1:9" x14ac:dyDescent="0.2">
      <c r="A2307" s="10" t="s">
        <v>11021</v>
      </c>
      <c r="B2307" s="10">
        <v>8030.7934858053104</v>
      </c>
      <c r="C2307" s="10">
        <v>1.1776477689528999</v>
      </c>
      <c r="D2307" s="10">
        <v>0.257309011486202</v>
      </c>
      <c r="E2307" s="10">
        <v>4.5767840082664497</v>
      </c>
      <c r="F2307" s="4">
        <v>4.7217852819934804E-6</v>
      </c>
      <c r="G2307" s="4">
        <v>5.2072121336495402E-5</v>
      </c>
      <c r="H2307" s="10" t="s">
        <v>11022</v>
      </c>
      <c r="I2307" s="10" t="s">
        <v>18</v>
      </c>
    </row>
    <row r="2308" spans="1:9" x14ac:dyDescent="0.2">
      <c r="A2308" s="10" t="s">
        <v>11023</v>
      </c>
      <c r="B2308" s="10">
        <v>22.4640417568327</v>
      </c>
      <c r="C2308" s="10">
        <v>-2.81007202908736</v>
      </c>
      <c r="D2308" s="10">
        <v>0.81017083017269198</v>
      </c>
      <c r="E2308" s="10">
        <v>-3.4684932170273002</v>
      </c>
      <c r="F2308" s="10">
        <v>5.2338573907743902E-4</v>
      </c>
      <c r="G2308" s="10">
        <v>3.4793256518216098E-3</v>
      </c>
      <c r="H2308" s="10" t="s">
        <v>11024</v>
      </c>
      <c r="I2308" s="10" t="s">
        <v>18</v>
      </c>
    </row>
    <row r="2309" spans="1:9" x14ac:dyDescent="0.2">
      <c r="A2309" s="10" t="s">
        <v>6368</v>
      </c>
      <c r="B2309" s="10">
        <v>5081.8212942211503</v>
      </c>
      <c r="C2309" s="10">
        <v>2.9794942918839502</v>
      </c>
      <c r="D2309" s="10">
        <v>0.26766666061393601</v>
      </c>
      <c r="E2309" s="10">
        <v>11.1313612425619</v>
      </c>
      <c r="F2309" s="4">
        <v>8.8276996963155403E-29</v>
      </c>
      <c r="G2309" s="4">
        <v>8.3796522966346206E-27</v>
      </c>
      <c r="H2309" s="10" t="s">
        <v>6369</v>
      </c>
      <c r="I2309" s="10" t="s">
        <v>18</v>
      </c>
    </row>
    <row r="2310" spans="1:9" x14ac:dyDescent="0.2">
      <c r="A2310" s="10" t="s">
        <v>6374</v>
      </c>
      <c r="B2310" s="10">
        <v>1759.1145398813901</v>
      </c>
      <c r="C2310" s="10">
        <v>1.6318846992442599</v>
      </c>
      <c r="D2310" s="10">
        <v>0.25051270371872197</v>
      </c>
      <c r="E2310" s="10">
        <v>6.5141794209229396</v>
      </c>
      <c r="F2310" s="4">
        <v>7.3088094093505402E-11</v>
      </c>
      <c r="G2310" s="4">
        <v>1.7023435249279001E-9</v>
      </c>
      <c r="H2310" s="10" t="s">
        <v>6375</v>
      </c>
      <c r="I2310" s="10" t="s">
        <v>18</v>
      </c>
    </row>
    <row r="2311" spans="1:9" x14ac:dyDescent="0.2">
      <c r="A2311" s="10" t="s">
        <v>6376</v>
      </c>
      <c r="B2311" s="10">
        <v>118.82619893499999</v>
      </c>
      <c r="C2311" s="10">
        <v>2.0236572249945901</v>
      </c>
      <c r="D2311" s="10">
        <v>0.405303381456603</v>
      </c>
      <c r="E2311" s="10">
        <v>4.9929443414013699</v>
      </c>
      <c r="F2311" s="4">
        <v>5.9465698776378595E-7</v>
      </c>
      <c r="G2311" s="4">
        <v>7.7787813453967904E-6</v>
      </c>
      <c r="H2311" s="10" t="s">
        <v>6377</v>
      </c>
      <c r="I2311" s="10" t="s">
        <v>18</v>
      </c>
    </row>
    <row r="2312" spans="1:9" x14ac:dyDescent="0.2">
      <c r="A2312" s="10" t="s">
        <v>11025</v>
      </c>
      <c r="B2312" s="10">
        <v>594.71260800080904</v>
      </c>
      <c r="C2312" s="10">
        <v>-1.3305054541325201</v>
      </c>
      <c r="D2312" s="10">
        <v>0.28070000941846501</v>
      </c>
      <c r="E2312" s="10">
        <v>-4.7399551460257099</v>
      </c>
      <c r="F2312" s="4">
        <v>2.1376553510368601E-6</v>
      </c>
      <c r="G2312" s="4">
        <v>2.5068867298523101E-5</v>
      </c>
      <c r="H2312" s="10" t="s">
        <v>11026</v>
      </c>
      <c r="I2312" s="10" t="s">
        <v>18</v>
      </c>
    </row>
    <row r="2313" spans="1:9" x14ac:dyDescent="0.2">
      <c r="A2313" s="10" t="s">
        <v>6384</v>
      </c>
      <c r="B2313" s="10">
        <v>4418.7298545944795</v>
      </c>
      <c r="C2313" s="10">
        <v>-2.1740940830125401</v>
      </c>
      <c r="D2313" s="10">
        <v>0.298201304070564</v>
      </c>
      <c r="E2313" s="10">
        <v>-7.2906927412298499</v>
      </c>
      <c r="F2313" s="4">
        <v>3.0836530611577E-13</v>
      </c>
      <c r="G2313" s="4">
        <v>9.5411184198551001E-12</v>
      </c>
      <c r="H2313" s="10" t="s">
        <v>6385</v>
      </c>
      <c r="I2313" s="10" t="s">
        <v>18</v>
      </c>
    </row>
    <row r="2314" spans="1:9" x14ac:dyDescent="0.2">
      <c r="A2314" s="10" t="s">
        <v>6386</v>
      </c>
      <c r="B2314" s="10">
        <v>1092.9995950356699</v>
      </c>
      <c r="C2314" s="10">
        <v>4.8145611345403001</v>
      </c>
      <c r="D2314" s="10">
        <v>0.28852967223585002</v>
      </c>
      <c r="E2314" s="10">
        <v>16.6865372882855</v>
      </c>
      <c r="F2314" s="4">
        <v>1.64223659475057E-62</v>
      </c>
      <c r="G2314" s="4">
        <v>6.4547596157735501E-60</v>
      </c>
      <c r="H2314" s="10" t="s">
        <v>6387</v>
      </c>
      <c r="I2314" s="10" t="s">
        <v>18</v>
      </c>
    </row>
    <row r="2315" spans="1:9" x14ac:dyDescent="0.2">
      <c r="A2315" s="10" t="s">
        <v>11027</v>
      </c>
      <c r="B2315" s="10">
        <v>457.929105182863</v>
      </c>
      <c r="C2315" s="10">
        <v>1.1638506824838899</v>
      </c>
      <c r="D2315" s="10">
        <v>0.28181516478756502</v>
      </c>
      <c r="E2315" s="10">
        <v>4.1298369566492799</v>
      </c>
      <c r="F2315" s="4">
        <v>3.63020588174776E-5</v>
      </c>
      <c r="G2315" s="10">
        <v>3.2859960041513097E-4</v>
      </c>
      <c r="H2315" s="10" t="s">
        <v>11028</v>
      </c>
      <c r="I2315" s="10" t="s">
        <v>18</v>
      </c>
    </row>
    <row r="2316" spans="1:9" x14ac:dyDescent="0.2">
      <c r="A2316" s="10" t="s">
        <v>11029</v>
      </c>
      <c r="B2316" s="10">
        <v>1293.8051833531199</v>
      </c>
      <c r="C2316" s="10">
        <v>-1.3641967279504099</v>
      </c>
      <c r="D2316" s="10">
        <v>0.27944728095535698</v>
      </c>
      <c r="E2316" s="10">
        <v>-4.8817677641613804</v>
      </c>
      <c r="F2316" s="4">
        <v>1.0513903461817101E-6</v>
      </c>
      <c r="G2316" s="4">
        <v>1.30929327515846E-5</v>
      </c>
      <c r="H2316" s="10" t="s">
        <v>11030</v>
      </c>
      <c r="I2316" s="10" t="s">
        <v>18</v>
      </c>
    </row>
    <row r="2317" spans="1:9" x14ac:dyDescent="0.2">
      <c r="A2317" s="10" t="s">
        <v>6394</v>
      </c>
      <c r="B2317" s="10">
        <v>5182.5192469972899</v>
      </c>
      <c r="C2317" s="10">
        <v>1.86564204538088</v>
      </c>
      <c r="D2317" s="10">
        <v>0.24378681960877499</v>
      </c>
      <c r="E2317" s="10">
        <v>7.6527600974278798</v>
      </c>
      <c r="F2317" s="4">
        <v>1.96710692336661E-14</v>
      </c>
      <c r="G2317" s="4">
        <v>6.7049559156215403E-13</v>
      </c>
      <c r="H2317" s="10" t="s">
        <v>6395</v>
      </c>
      <c r="I2317" s="10" t="s">
        <v>18</v>
      </c>
    </row>
    <row r="2318" spans="1:9" x14ac:dyDescent="0.2">
      <c r="A2318" s="10" t="s">
        <v>6406</v>
      </c>
      <c r="B2318" s="10">
        <v>1553.5523793683899</v>
      </c>
      <c r="C2318" s="10">
        <v>-3.36468638168901</v>
      </c>
      <c r="D2318" s="10">
        <v>0.28726761409576901</v>
      </c>
      <c r="E2318" s="10">
        <v>-11.712724360802101</v>
      </c>
      <c r="F2318" s="4">
        <v>1.09697212379406E-31</v>
      </c>
      <c r="G2318" s="4">
        <v>1.22098822009025E-29</v>
      </c>
      <c r="H2318" s="10" t="s">
        <v>6407</v>
      </c>
      <c r="I2318" s="10" t="s">
        <v>18</v>
      </c>
    </row>
    <row r="2319" spans="1:9" x14ac:dyDescent="0.2">
      <c r="A2319" s="10" t="s">
        <v>11031</v>
      </c>
      <c r="B2319" s="10">
        <v>206.81581968823201</v>
      </c>
      <c r="C2319" s="10">
        <v>-1.54634774758033</v>
      </c>
      <c r="D2319" s="10">
        <v>0.357904724678141</v>
      </c>
      <c r="E2319" s="10">
        <v>-4.3205569554046503</v>
      </c>
      <c r="F2319" s="4">
        <v>1.5563587768289501E-5</v>
      </c>
      <c r="G2319" s="10">
        <v>1.5275148275900201E-4</v>
      </c>
      <c r="H2319" s="10" t="s">
        <v>11032</v>
      </c>
      <c r="I2319" s="10" t="s">
        <v>18</v>
      </c>
    </row>
    <row r="2320" spans="1:9" x14ac:dyDescent="0.2">
      <c r="A2320" s="10" t="s">
        <v>11033</v>
      </c>
      <c r="B2320" s="10">
        <v>123.25970776204301</v>
      </c>
      <c r="C2320" s="10">
        <v>-1.13322163042113</v>
      </c>
      <c r="D2320" s="10">
        <v>0.371753027298449</v>
      </c>
      <c r="E2320" s="10">
        <v>-3.04831849966715</v>
      </c>
      <c r="F2320" s="10">
        <v>2.3012587989483398E-3</v>
      </c>
      <c r="G2320" s="10">
        <v>1.23402611570125E-2</v>
      </c>
      <c r="H2320" s="10" t="s">
        <v>11034</v>
      </c>
      <c r="I2320" s="10" t="s">
        <v>18</v>
      </c>
    </row>
    <row r="2321" spans="1:9" x14ac:dyDescent="0.2">
      <c r="A2321" s="10" t="s">
        <v>11035</v>
      </c>
      <c r="B2321" s="10">
        <v>39.915394891593699</v>
      </c>
      <c r="C2321" s="10">
        <v>1.76544316858839</v>
      </c>
      <c r="D2321" s="10">
        <v>0.58784474280087495</v>
      </c>
      <c r="E2321" s="10">
        <v>3.00324735435529</v>
      </c>
      <c r="F2321" s="10">
        <v>2.6711523004551E-3</v>
      </c>
      <c r="G2321" s="10">
        <v>1.3969404598325999E-2</v>
      </c>
      <c r="H2321" s="10" t="s">
        <v>11036</v>
      </c>
      <c r="I2321" s="10" t="s">
        <v>18</v>
      </c>
    </row>
    <row r="2322" spans="1:9" x14ac:dyDescent="0.2">
      <c r="A2322" s="10" t="s">
        <v>11037</v>
      </c>
      <c r="B2322" s="10">
        <v>3006.9914830125199</v>
      </c>
      <c r="C2322" s="10">
        <v>1.00825652489916</v>
      </c>
      <c r="D2322" s="10">
        <v>0.24237237762844199</v>
      </c>
      <c r="E2322" s="10">
        <v>4.1599481540129197</v>
      </c>
      <c r="F2322" s="4">
        <v>3.1831984453122199E-5</v>
      </c>
      <c r="G2322" s="10">
        <v>2.9223852880229498E-4</v>
      </c>
      <c r="H2322" s="10" t="s">
        <v>11038</v>
      </c>
      <c r="I2322" s="10" t="s">
        <v>18</v>
      </c>
    </row>
    <row r="2323" spans="1:9" x14ac:dyDescent="0.2">
      <c r="A2323" s="10" t="s">
        <v>6416</v>
      </c>
      <c r="B2323" s="10">
        <v>1037.9262688536901</v>
      </c>
      <c r="C2323" s="10">
        <v>1.85130554647297</v>
      </c>
      <c r="D2323" s="10">
        <v>0.27433067413398798</v>
      </c>
      <c r="E2323" s="10">
        <v>6.7484452925915299</v>
      </c>
      <c r="F2323" s="4">
        <v>1.49437724289898E-11</v>
      </c>
      <c r="G2323" s="4">
        <v>3.7553506039084702E-10</v>
      </c>
      <c r="H2323" s="10" t="s">
        <v>6417</v>
      </c>
      <c r="I2323" s="10" t="s">
        <v>18</v>
      </c>
    </row>
    <row r="2324" spans="1:9" x14ac:dyDescent="0.2">
      <c r="A2324" s="10" t="s">
        <v>6418</v>
      </c>
      <c r="B2324" s="10">
        <v>27.665609169027199</v>
      </c>
      <c r="C2324" s="10">
        <v>2.0759437827520499</v>
      </c>
      <c r="D2324" s="10">
        <v>0.70267090329722004</v>
      </c>
      <c r="E2324" s="10">
        <v>2.9543613845555199</v>
      </c>
      <c r="F2324" s="10">
        <v>3.1331687064035901E-3</v>
      </c>
      <c r="G2324" s="10">
        <v>1.5996520968050001E-2</v>
      </c>
      <c r="H2324" s="10" t="s">
        <v>6419</v>
      </c>
      <c r="I2324" s="10" t="s">
        <v>18</v>
      </c>
    </row>
    <row r="2325" spans="1:9" x14ac:dyDescent="0.2">
      <c r="A2325" s="10" t="s">
        <v>6424</v>
      </c>
      <c r="B2325" s="10">
        <v>188.000827913059</v>
      </c>
      <c r="C2325" s="10">
        <v>5.1530270700016301</v>
      </c>
      <c r="D2325" s="10">
        <v>0.46375283041010601</v>
      </c>
      <c r="E2325" s="10">
        <v>11.111580851042399</v>
      </c>
      <c r="F2325" s="4">
        <v>1.1019125426525E-28</v>
      </c>
      <c r="G2325" s="4">
        <v>1.0381501876563199E-26</v>
      </c>
      <c r="H2325" s="10" t="s">
        <v>6425</v>
      </c>
      <c r="I2325" s="10" t="s">
        <v>18</v>
      </c>
    </row>
    <row r="2326" spans="1:9" x14ac:dyDescent="0.2">
      <c r="A2326" s="10" t="s">
        <v>11039</v>
      </c>
      <c r="B2326" s="10">
        <v>101.482804744218</v>
      </c>
      <c r="C2326" s="10">
        <v>1.35892637495387</v>
      </c>
      <c r="D2326" s="10">
        <v>0.41895052350113898</v>
      </c>
      <c r="E2326" s="10">
        <v>3.2436440551438399</v>
      </c>
      <c r="F2326" s="10">
        <v>1.18011118842754E-3</v>
      </c>
      <c r="G2326" s="10">
        <v>7.0278638600603403E-3</v>
      </c>
      <c r="H2326" s="10" t="s">
        <v>11040</v>
      </c>
      <c r="I2326" s="10" t="s">
        <v>18</v>
      </c>
    </row>
    <row r="2327" spans="1:9" x14ac:dyDescent="0.2">
      <c r="A2327" s="10" t="s">
        <v>6426</v>
      </c>
      <c r="B2327" s="10">
        <v>1776.3309429239901</v>
      </c>
      <c r="C2327" s="10">
        <v>1.80300081854274</v>
      </c>
      <c r="D2327" s="10">
        <v>0.29898526484967503</v>
      </c>
      <c r="E2327" s="10">
        <v>6.0304002588530796</v>
      </c>
      <c r="F2327" s="4">
        <v>1.63554088520528E-9</v>
      </c>
      <c r="G2327" s="4">
        <v>3.2242970977538202E-8</v>
      </c>
      <c r="H2327" s="10" t="s">
        <v>6427</v>
      </c>
      <c r="I2327" s="10" t="s">
        <v>18</v>
      </c>
    </row>
    <row r="2328" spans="1:9" x14ac:dyDescent="0.2">
      <c r="A2328" s="10" t="s">
        <v>6428</v>
      </c>
      <c r="B2328" s="10">
        <v>293.76132904931501</v>
      </c>
      <c r="C2328" s="10">
        <v>2.7161059899562101</v>
      </c>
      <c r="D2328" s="10">
        <v>0.32992921767736699</v>
      </c>
      <c r="E2328" s="10">
        <v>8.2323899928506794</v>
      </c>
      <c r="F2328" s="4">
        <v>1.83514652980304E-16</v>
      </c>
      <c r="G2328" s="4">
        <v>7.7454884156368307E-15</v>
      </c>
      <c r="H2328" s="10" t="s">
        <v>6429</v>
      </c>
      <c r="I2328" s="10" t="s">
        <v>18</v>
      </c>
    </row>
    <row r="2329" spans="1:9" x14ac:dyDescent="0.2">
      <c r="A2329" s="10" t="s">
        <v>11041</v>
      </c>
      <c r="B2329" s="10">
        <v>1426.4371978136301</v>
      </c>
      <c r="C2329" s="10">
        <v>1.1574735990046601</v>
      </c>
      <c r="D2329" s="10">
        <v>0.29221441466639297</v>
      </c>
      <c r="E2329" s="10">
        <v>3.96104210097266</v>
      </c>
      <c r="F2329" s="4">
        <v>7.4623372654239505E-5</v>
      </c>
      <c r="G2329" s="10">
        <v>6.2697092154889603E-4</v>
      </c>
      <c r="H2329" s="10" t="s">
        <v>11042</v>
      </c>
      <c r="I2329" s="10" t="s">
        <v>18</v>
      </c>
    </row>
    <row r="2330" spans="1:9" x14ac:dyDescent="0.2">
      <c r="A2330" s="10" t="s">
        <v>6432</v>
      </c>
      <c r="B2330" s="10">
        <v>262.88800128358997</v>
      </c>
      <c r="C2330" s="10">
        <v>2.4507242483171998</v>
      </c>
      <c r="D2330" s="10">
        <v>0.39478411107904599</v>
      </c>
      <c r="E2330" s="10">
        <v>6.2077580620424202</v>
      </c>
      <c r="F2330" s="4">
        <v>5.3745807175175999E-10</v>
      </c>
      <c r="G2330" s="4">
        <v>1.13802675041376E-8</v>
      </c>
      <c r="H2330" s="10" t="s">
        <v>6433</v>
      </c>
      <c r="I2330" s="10" t="s">
        <v>18</v>
      </c>
    </row>
    <row r="2331" spans="1:9" x14ac:dyDescent="0.2">
      <c r="A2331" s="10" t="s">
        <v>6438</v>
      </c>
      <c r="B2331" s="10">
        <v>409.81273873069</v>
      </c>
      <c r="C2331" s="10">
        <v>6.7509282924806104</v>
      </c>
      <c r="D2331" s="10">
        <v>0.46317637581301802</v>
      </c>
      <c r="E2331" s="10">
        <v>14.575286316428899</v>
      </c>
      <c r="F2331" s="4">
        <v>4.0342767750747298E-48</v>
      </c>
      <c r="G2331" s="4">
        <v>9.94923845852989E-46</v>
      </c>
      <c r="H2331" s="10" t="s">
        <v>6439</v>
      </c>
      <c r="I2331" s="10" t="s">
        <v>18</v>
      </c>
    </row>
    <row r="2332" spans="1:9" x14ac:dyDescent="0.2">
      <c r="A2332" s="10" t="s">
        <v>6440</v>
      </c>
      <c r="B2332" s="10">
        <v>31.691749772811299</v>
      </c>
      <c r="C2332" s="10">
        <v>2.2671986548128298</v>
      </c>
      <c r="D2332" s="10">
        <v>0.64786053222738504</v>
      </c>
      <c r="E2332" s="10">
        <v>3.4995165502952599</v>
      </c>
      <c r="F2332" s="10">
        <v>4.6610266870640902E-4</v>
      </c>
      <c r="G2332" s="10">
        <v>3.14608467372544E-3</v>
      </c>
      <c r="H2332" s="10" t="s">
        <v>6441</v>
      </c>
      <c r="I2332" s="10" t="s">
        <v>18</v>
      </c>
    </row>
    <row r="2333" spans="1:9" x14ac:dyDescent="0.2">
      <c r="A2333" s="10" t="s">
        <v>6442</v>
      </c>
      <c r="B2333" s="10">
        <v>6960.4976192561198</v>
      </c>
      <c r="C2333" s="10">
        <v>1.8282909793936699</v>
      </c>
      <c r="D2333" s="10">
        <v>0.23549493184797099</v>
      </c>
      <c r="E2333" s="10">
        <v>7.7636107284634104</v>
      </c>
      <c r="F2333" s="4">
        <v>8.2544990756290894E-15</v>
      </c>
      <c r="G2333" s="4">
        <v>2.9286590161840598E-13</v>
      </c>
      <c r="H2333" s="10" t="s">
        <v>6443</v>
      </c>
      <c r="I2333" s="10" t="s">
        <v>18</v>
      </c>
    </row>
    <row r="2334" spans="1:9" x14ac:dyDescent="0.2">
      <c r="A2334" s="10" t="s">
        <v>6446</v>
      </c>
      <c r="B2334" s="10">
        <v>264.12777930956202</v>
      </c>
      <c r="C2334" s="10">
        <v>-1.3121022017092401</v>
      </c>
      <c r="D2334" s="10">
        <v>0.35617459361592502</v>
      </c>
      <c r="E2334" s="10">
        <v>-3.6838736541779502</v>
      </c>
      <c r="F2334" s="10">
        <v>2.29716136474526E-4</v>
      </c>
      <c r="G2334" s="10">
        <v>1.68912873809316E-3</v>
      </c>
      <c r="H2334" s="10" t="s">
        <v>6447</v>
      </c>
      <c r="I2334" s="10" t="s">
        <v>18</v>
      </c>
    </row>
    <row r="2335" spans="1:9" x14ac:dyDescent="0.2">
      <c r="A2335" s="10" t="s">
        <v>6448</v>
      </c>
      <c r="B2335" s="10">
        <v>2177.44039721031</v>
      </c>
      <c r="C2335" s="10">
        <v>1.47346947462374</v>
      </c>
      <c r="D2335" s="10">
        <v>0.26861256526565402</v>
      </c>
      <c r="E2335" s="10">
        <v>5.4854823085677502</v>
      </c>
      <c r="F2335" s="4">
        <v>4.12342824496109E-8</v>
      </c>
      <c r="G2335" s="4">
        <v>6.5731836186309401E-7</v>
      </c>
      <c r="H2335" s="10" t="s">
        <v>6449</v>
      </c>
      <c r="I2335" s="10" t="s">
        <v>18</v>
      </c>
    </row>
    <row r="2336" spans="1:9" x14ac:dyDescent="0.2">
      <c r="A2336" s="10" t="s">
        <v>11043</v>
      </c>
      <c r="B2336" s="10">
        <v>304.66781184386201</v>
      </c>
      <c r="C2336" s="10">
        <v>-1.38089240224605</v>
      </c>
      <c r="D2336" s="10">
        <v>0.35156623020354399</v>
      </c>
      <c r="E2336" s="10">
        <v>-3.9278300462662901</v>
      </c>
      <c r="F2336" s="4">
        <v>8.5715746655730301E-5</v>
      </c>
      <c r="G2336" s="10">
        <v>7.0740800758690796E-4</v>
      </c>
      <c r="H2336" s="10" t="s">
        <v>11044</v>
      </c>
      <c r="I2336" s="10" t="s">
        <v>18</v>
      </c>
    </row>
    <row r="2337" spans="1:9" x14ac:dyDescent="0.2">
      <c r="A2337" s="10" t="s">
        <v>6450</v>
      </c>
      <c r="B2337" s="10">
        <v>70.558192010744605</v>
      </c>
      <c r="C2337" s="10">
        <v>4.15005655585772</v>
      </c>
      <c r="D2337" s="10">
        <v>0.56335306437350896</v>
      </c>
      <c r="E2337" s="10">
        <v>7.3667062776571504</v>
      </c>
      <c r="F2337" s="4">
        <v>1.7489523816891701E-13</v>
      </c>
      <c r="G2337" s="4">
        <v>5.5339493284768601E-12</v>
      </c>
      <c r="H2337" s="10" t="s">
        <v>6451</v>
      </c>
      <c r="I2337" s="10" t="s">
        <v>18</v>
      </c>
    </row>
    <row r="2338" spans="1:9" x14ac:dyDescent="0.2">
      <c r="A2338" s="10" t="s">
        <v>6454</v>
      </c>
      <c r="B2338" s="10">
        <v>1762.55950643611</v>
      </c>
      <c r="C2338" s="10">
        <v>5.5976565110023397</v>
      </c>
      <c r="D2338" s="10">
        <v>0.29881041988180301</v>
      </c>
      <c r="E2338" s="10">
        <v>18.733136927475702</v>
      </c>
      <c r="F2338" s="4">
        <v>2.65783743529306E-78</v>
      </c>
      <c r="G2338" s="4">
        <v>1.8571639079110299E-75</v>
      </c>
      <c r="H2338" s="10" t="s">
        <v>6455</v>
      </c>
      <c r="I2338" s="10" t="s">
        <v>18</v>
      </c>
    </row>
    <row r="2339" spans="1:9" x14ac:dyDescent="0.2">
      <c r="A2339" s="10" t="s">
        <v>6456</v>
      </c>
      <c r="B2339" s="10">
        <v>317.51479430998103</v>
      </c>
      <c r="C2339" s="10">
        <v>1.53133731270344</v>
      </c>
      <c r="D2339" s="10">
        <v>0.34326581526439198</v>
      </c>
      <c r="E2339" s="10">
        <v>4.4610830575248803</v>
      </c>
      <c r="F2339" s="4">
        <v>8.1546475161226299E-6</v>
      </c>
      <c r="G2339" s="4">
        <v>8.5542184432053697E-5</v>
      </c>
      <c r="H2339" s="10" t="s">
        <v>6457</v>
      </c>
      <c r="I2339" s="10" t="s">
        <v>18</v>
      </c>
    </row>
    <row r="2340" spans="1:9" x14ac:dyDescent="0.2">
      <c r="A2340" s="10" t="s">
        <v>11045</v>
      </c>
      <c r="B2340" s="10">
        <v>78.468668937870802</v>
      </c>
      <c r="C2340" s="10">
        <v>-3.3652900743886902</v>
      </c>
      <c r="D2340" s="10">
        <v>0.50933617860061298</v>
      </c>
      <c r="E2340" s="10">
        <v>-6.6072080008821104</v>
      </c>
      <c r="F2340" s="4">
        <v>3.9163561549315101E-11</v>
      </c>
      <c r="G2340" s="4">
        <v>9.42736259112938E-10</v>
      </c>
      <c r="H2340" s="10" t="s">
        <v>11046</v>
      </c>
      <c r="I2340" s="10" t="s">
        <v>18</v>
      </c>
    </row>
    <row r="2341" spans="1:9" x14ac:dyDescent="0.2">
      <c r="A2341" s="10" t="s">
        <v>6464</v>
      </c>
      <c r="B2341" s="10">
        <v>162.267152909522</v>
      </c>
      <c r="C2341" s="10">
        <v>1.0863457272632999</v>
      </c>
      <c r="D2341" s="10">
        <v>0.36020400596683599</v>
      </c>
      <c r="E2341" s="10">
        <v>3.0159179500166902</v>
      </c>
      <c r="F2341" s="10">
        <v>2.5620257784113002E-3</v>
      </c>
      <c r="G2341" s="10">
        <v>1.3474337958590101E-2</v>
      </c>
      <c r="H2341" s="10" t="s">
        <v>6465</v>
      </c>
      <c r="I2341" s="10" t="s">
        <v>18</v>
      </c>
    </row>
    <row r="2342" spans="1:9" x14ac:dyDescent="0.2">
      <c r="A2342" s="10" t="s">
        <v>6470</v>
      </c>
      <c r="B2342" s="10">
        <v>141.720498668262</v>
      </c>
      <c r="C2342" s="10">
        <v>2.6240131538529199</v>
      </c>
      <c r="D2342" s="10">
        <v>0.38005359929643501</v>
      </c>
      <c r="E2342" s="10">
        <v>6.9043239130232097</v>
      </c>
      <c r="F2342" s="4">
        <v>5.0443083601113098E-12</v>
      </c>
      <c r="G2342" s="4">
        <v>1.3498891148787199E-10</v>
      </c>
      <c r="H2342" s="10" t="s">
        <v>6471</v>
      </c>
      <c r="I2342" s="10" t="s">
        <v>18</v>
      </c>
    </row>
    <row r="2343" spans="1:9" x14ac:dyDescent="0.2">
      <c r="A2343" s="10" t="s">
        <v>6474</v>
      </c>
      <c r="B2343" s="10">
        <v>336.51247596119299</v>
      </c>
      <c r="C2343" s="10">
        <v>-2.60358527850891</v>
      </c>
      <c r="D2343" s="10">
        <v>0.31891212633952198</v>
      </c>
      <c r="E2343" s="10">
        <v>-8.1639582301021303</v>
      </c>
      <c r="F2343" s="4">
        <v>3.2422105762514098E-16</v>
      </c>
      <c r="G2343" s="4">
        <v>1.32830304634535E-14</v>
      </c>
      <c r="H2343" s="10" t="s">
        <v>6475</v>
      </c>
      <c r="I2343" s="10" t="s">
        <v>18</v>
      </c>
    </row>
    <row r="2344" spans="1:9" x14ac:dyDescent="0.2">
      <c r="A2344" s="10" t="s">
        <v>11047</v>
      </c>
      <c r="B2344" s="10">
        <v>16.681920162379299</v>
      </c>
      <c r="C2344" s="10">
        <v>2.662499648936</v>
      </c>
      <c r="D2344" s="10">
        <v>0.95199433994419402</v>
      </c>
      <c r="E2344" s="10">
        <v>2.7967599566737702</v>
      </c>
      <c r="F2344" s="10">
        <v>5.1617867551510604E-3</v>
      </c>
      <c r="G2344" s="10">
        <v>2.43565458311433E-2</v>
      </c>
      <c r="H2344" s="10" t="s">
        <v>11048</v>
      </c>
      <c r="I2344" s="10" t="s">
        <v>18</v>
      </c>
    </row>
    <row r="2345" spans="1:9" x14ac:dyDescent="0.2">
      <c r="A2345" s="10" t="s">
        <v>11049</v>
      </c>
      <c r="B2345" s="10">
        <v>5786.3614418664001</v>
      </c>
      <c r="C2345" s="10">
        <v>2.3008932995076901</v>
      </c>
      <c r="D2345" s="10">
        <v>0.26612001415082598</v>
      </c>
      <c r="E2345" s="10">
        <v>8.6460738657695799</v>
      </c>
      <c r="F2345" s="4">
        <v>5.3301618641200499E-18</v>
      </c>
      <c r="G2345" s="4">
        <v>2.4968383927735598E-16</v>
      </c>
      <c r="H2345" s="10" t="s">
        <v>11050</v>
      </c>
      <c r="I2345" s="10" t="s">
        <v>18</v>
      </c>
    </row>
    <row r="2346" spans="1:9" x14ac:dyDescent="0.2">
      <c r="A2346" s="10" t="s">
        <v>11051</v>
      </c>
      <c r="B2346" s="10">
        <v>444.04800753949303</v>
      </c>
      <c r="C2346" s="10">
        <v>-1.8189054022543301</v>
      </c>
      <c r="D2346" s="10">
        <v>0.31864875942500798</v>
      </c>
      <c r="E2346" s="10">
        <v>-5.70818290815407</v>
      </c>
      <c r="F2346" s="4">
        <v>1.1418867232530501E-8</v>
      </c>
      <c r="G2346" s="4">
        <v>1.9988977399742801E-7</v>
      </c>
      <c r="H2346" s="10" t="s">
        <v>11052</v>
      </c>
      <c r="I2346" s="10" t="s">
        <v>18</v>
      </c>
    </row>
    <row r="2347" spans="1:9" x14ac:dyDescent="0.2">
      <c r="A2347" s="10" t="s">
        <v>6480</v>
      </c>
      <c r="B2347" s="10">
        <v>1956.9282425628301</v>
      </c>
      <c r="C2347" s="10">
        <v>-1.1491293251671999</v>
      </c>
      <c r="D2347" s="10">
        <v>0.25334824427346098</v>
      </c>
      <c r="E2347" s="10">
        <v>-4.5357698391106496</v>
      </c>
      <c r="F2347" s="4">
        <v>5.7393744544983496E-6</v>
      </c>
      <c r="G2347" s="4">
        <v>6.2256991980554497E-5</v>
      </c>
      <c r="H2347" s="10" t="s">
        <v>6481</v>
      </c>
      <c r="I2347" s="10" t="s">
        <v>18</v>
      </c>
    </row>
    <row r="2348" spans="1:9" x14ac:dyDescent="0.2">
      <c r="A2348" s="10" t="s">
        <v>6484</v>
      </c>
      <c r="B2348" s="10">
        <v>5638.5225801939096</v>
      </c>
      <c r="C2348" s="10">
        <v>-1.29274083153473</v>
      </c>
      <c r="D2348" s="10">
        <v>0.29467607316752498</v>
      </c>
      <c r="E2348" s="10">
        <v>-4.3869894750490896</v>
      </c>
      <c r="F2348" s="4">
        <v>1.14930348821614E-5</v>
      </c>
      <c r="G2348" s="10">
        <v>1.15735505388619E-4</v>
      </c>
      <c r="H2348" s="10" t="s">
        <v>6485</v>
      </c>
      <c r="I2348" s="10" t="s">
        <v>18</v>
      </c>
    </row>
    <row r="2349" spans="1:9" x14ac:dyDescent="0.2">
      <c r="A2349" s="10" t="s">
        <v>6488</v>
      </c>
      <c r="B2349" s="10">
        <v>5672.0916249434804</v>
      </c>
      <c r="C2349" s="10">
        <v>1.3727968126919301</v>
      </c>
      <c r="D2349" s="10">
        <v>0.30302390730270401</v>
      </c>
      <c r="E2349" s="10">
        <v>4.53032509847674</v>
      </c>
      <c r="F2349" s="4">
        <v>5.8892992486576198E-6</v>
      </c>
      <c r="G2349" s="4">
        <v>6.3691024333612406E-5</v>
      </c>
      <c r="H2349" s="10" t="s">
        <v>6489</v>
      </c>
      <c r="I2349" s="10" t="s">
        <v>18</v>
      </c>
    </row>
    <row r="2350" spans="1:9" x14ac:dyDescent="0.2">
      <c r="A2350" s="10" t="s">
        <v>11053</v>
      </c>
      <c r="B2350" s="10">
        <v>892.36431113584399</v>
      </c>
      <c r="C2350" s="10">
        <v>-1.1202988895688699</v>
      </c>
      <c r="D2350" s="10">
        <v>0.267428198701544</v>
      </c>
      <c r="E2350" s="10">
        <v>-4.1891576692671304</v>
      </c>
      <c r="F2350" s="4">
        <v>2.7999181716332402E-5</v>
      </c>
      <c r="G2350" s="10">
        <v>2.59704799437442E-4</v>
      </c>
      <c r="H2350" s="10" t="s">
        <v>11054</v>
      </c>
      <c r="I2350" s="10" t="s">
        <v>18</v>
      </c>
    </row>
    <row r="2351" spans="1:9" x14ac:dyDescent="0.2">
      <c r="A2351" s="10" t="s">
        <v>11055</v>
      </c>
      <c r="B2351" s="10">
        <v>444.70927760897001</v>
      </c>
      <c r="C2351" s="10">
        <v>1.0634829222289599</v>
      </c>
      <c r="D2351" s="10">
        <v>0.31229764310434499</v>
      </c>
      <c r="E2351" s="10">
        <v>3.4053504588045498</v>
      </c>
      <c r="F2351" s="10">
        <v>6.6079192946332497E-4</v>
      </c>
      <c r="G2351" s="10">
        <v>4.2741632773591999E-3</v>
      </c>
      <c r="H2351" s="10" t="s">
        <v>11056</v>
      </c>
      <c r="I2351" s="10" t="s">
        <v>18</v>
      </c>
    </row>
    <row r="2352" spans="1:9" x14ac:dyDescent="0.2">
      <c r="A2352" s="10" t="s">
        <v>6498</v>
      </c>
      <c r="B2352" s="10">
        <v>276.34013978279199</v>
      </c>
      <c r="C2352" s="10">
        <v>8.6047984074974107</v>
      </c>
      <c r="D2352" s="10">
        <v>0.89673029380619595</v>
      </c>
      <c r="E2352" s="10">
        <v>9.5957485399251006</v>
      </c>
      <c r="F2352" s="4">
        <v>8.3310159066735996E-22</v>
      </c>
      <c r="G2352" s="4">
        <v>5.0255804588099399E-20</v>
      </c>
      <c r="H2352" s="10" t="s">
        <v>6499</v>
      </c>
      <c r="I2352" s="10" t="s">
        <v>18</v>
      </c>
    </row>
    <row r="2353" spans="1:9" x14ac:dyDescent="0.2">
      <c r="A2353" s="10" t="s">
        <v>6500</v>
      </c>
      <c r="B2353" s="10">
        <v>35.855809637891099</v>
      </c>
      <c r="C2353" s="10">
        <v>2.6865945637138098</v>
      </c>
      <c r="D2353" s="10">
        <v>0.65244474503291605</v>
      </c>
      <c r="E2353" s="10">
        <v>4.1177350023384296</v>
      </c>
      <c r="F2353" s="4">
        <v>3.8261429118529798E-5</v>
      </c>
      <c r="G2353" s="10">
        <v>3.4447610933307702E-4</v>
      </c>
      <c r="H2353" s="10" t="s">
        <v>6501</v>
      </c>
      <c r="I2353" s="10" t="s">
        <v>18</v>
      </c>
    </row>
    <row r="2354" spans="1:9" x14ac:dyDescent="0.2">
      <c r="A2354" s="10" t="s">
        <v>6508</v>
      </c>
      <c r="B2354" s="10">
        <v>678.06056400086902</v>
      </c>
      <c r="C2354" s="10">
        <v>1.7541970399762401</v>
      </c>
      <c r="D2354" s="10">
        <v>0.289368986175291</v>
      </c>
      <c r="E2354" s="10">
        <v>6.0621459927761601</v>
      </c>
      <c r="F2354" s="4">
        <v>1.3431720729280301E-9</v>
      </c>
      <c r="G2354" s="4">
        <v>2.68367700512348E-8</v>
      </c>
      <c r="H2354" s="10" t="s">
        <v>6509</v>
      </c>
      <c r="I2354" s="10" t="s">
        <v>18</v>
      </c>
    </row>
    <row r="2355" spans="1:9" x14ac:dyDescent="0.2">
      <c r="A2355" s="10" t="s">
        <v>6512</v>
      </c>
      <c r="B2355" s="10">
        <v>147.91990267998099</v>
      </c>
      <c r="C2355" s="10">
        <v>5.9466220853004801</v>
      </c>
      <c r="D2355" s="10">
        <v>0.57613020523911995</v>
      </c>
      <c r="E2355" s="10">
        <v>10.3216634559758</v>
      </c>
      <c r="F2355" s="4">
        <v>5.6240219037803998E-25</v>
      </c>
      <c r="G2355" s="4">
        <v>4.3263691434127199E-23</v>
      </c>
      <c r="H2355" s="10" t="s">
        <v>6513</v>
      </c>
      <c r="I2355" s="10" t="s">
        <v>18</v>
      </c>
    </row>
    <row r="2356" spans="1:9" x14ac:dyDescent="0.2">
      <c r="A2356" s="10" t="s">
        <v>11057</v>
      </c>
      <c r="B2356" s="10">
        <v>1870.9521213527901</v>
      </c>
      <c r="C2356" s="10">
        <v>-1.32205150698031</v>
      </c>
      <c r="D2356" s="10">
        <v>0.246492649103142</v>
      </c>
      <c r="E2356" s="10">
        <v>-5.3634520615140699</v>
      </c>
      <c r="F2356" s="4">
        <v>8.1646327620428602E-8</v>
      </c>
      <c r="G2356" s="4">
        <v>1.2387294157369599E-6</v>
      </c>
      <c r="H2356" s="10" t="s">
        <v>11058</v>
      </c>
      <c r="I2356" s="10" t="s">
        <v>18</v>
      </c>
    </row>
    <row r="2357" spans="1:9" x14ac:dyDescent="0.2">
      <c r="A2357" s="10" t="s">
        <v>6516</v>
      </c>
      <c r="B2357" s="10">
        <v>434.79226834397599</v>
      </c>
      <c r="C2357" s="10">
        <v>-1.28685461530968</v>
      </c>
      <c r="D2357" s="10">
        <v>0.29414961886257401</v>
      </c>
      <c r="E2357" s="10">
        <v>-4.3748301299377097</v>
      </c>
      <c r="F2357" s="4">
        <v>1.21527076756308E-5</v>
      </c>
      <c r="G2357" s="10">
        <v>1.2178890330390199E-4</v>
      </c>
      <c r="H2357" s="10" t="s">
        <v>6517</v>
      </c>
      <c r="I2357" s="10" t="s">
        <v>18</v>
      </c>
    </row>
    <row r="2358" spans="1:9" x14ac:dyDescent="0.2">
      <c r="A2358" s="10" t="s">
        <v>6518</v>
      </c>
      <c r="B2358" s="10">
        <v>823.94838966721898</v>
      </c>
      <c r="C2358" s="10">
        <v>-1.54770713327571</v>
      </c>
      <c r="D2358" s="10">
        <v>0.28687501745428501</v>
      </c>
      <c r="E2358" s="10">
        <v>-5.3950572169371496</v>
      </c>
      <c r="F2358" s="4">
        <v>6.8501719946287196E-8</v>
      </c>
      <c r="G2358" s="4">
        <v>1.05271861232247E-6</v>
      </c>
      <c r="H2358" s="10" t="s">
        <v>6519</v>
      </c>
      <c r="I2358" s="10" t="s">
        <v>18</v>
      </c>
    </row>
    <row r="2359" spans="1:9" x14ac:dyDescent="0.2">
      <c r="A2359" s="10" t="s">
        <v>6520</v>
      </c>
      <c r="B2359" s="10">
        <v>970.26128297989203</v>
      </c>
      <c r="C2359" s="10">
        <v>1.25972206904353</v>
      </c>
      <c r="D2359" s="10">
        <v>0.31497937924027503</v>
      </c>
      <c r="E2359" s="10">
        <v>3.9993794898001198</v>
      </c>
      <c r="F2359" s="4">
        <v>6.3508775982641102E-5</v>
      </c>
      <c r="G2359" s="10">
        <v>5.4338886389229202E-4</v>
      </c>
      <c r="H2359" s="10" t="s">
        <v>6521</v>
      </c>
      <c r="I2359" s="10" t="s">
        <v>18</v>
      </c>
    </row>
    <row r="2360" spans="1:9" x14ac:dyDescent="0.2">
      <c r="A2360" s="10" t="s">
        <v>11059</v>
      </c>
      <c r="B2360" s="10">
        <v>900.37875185405596</v>
      </c>
      <c r="C2360" s="10">
        <v>1.33251146558182</v>
      </c>
      <c r="D2360" s="10">
        <v>0.29831673895266297</v>
      </c>
      <c r="E2360" s="10">
        <v>4.4667673368247103</v>
      </c>
      <c r="F2360" s="4">
        <v>7.9410411416074606E-6</v>
      </c>
      <c r="G2360" s="4">
        <v>8.3545332462206501E-5</v>
      </c>
      <c r="H2360" s="10" t="s">
        <v>11060</v>
      </c>
      <c r="I2360" s="10" t="s">
        <v>18</v>
      </c>
    </row>
    <row r="2361" spans="1:9" x14ac:dyDescent="0.2">
      <c r="A2361" s="10" t="s">
        <v>11061</v>
      </c>
      <c r="B2361" s="10">
        <v>1286.33791490662</v>
      </c>
      <c r="C2361" s="10">
        <v>1.2804445228111601</v>
      </c>
      <c r="D2361" s="10">
        <v>0.29953487794134398</v>
      </c>
      <c r="E2361" s="10">
        <v>4.2747760514950697</v>
      </c>
      <c r="F2361" s="4">
        <v>1.9132951298248301E-5</v>
      </c>
      <c r="G2361" s="10">
        <v>1.83908823044492E-4</v>
      </c>
      <c r="H2361" s="10" t="s">
        <v>11062</v>
      </c>
      <c r="I2361" s="10" t="s">
        <v>18</v>
      </c>
    </row>
    <row r="2362" spans="1:9" x14ac:dyDescent="0.2">
      <c r="A2362" s="10" t="s">
        <v>11063</v>
      </c>
      <c r="B2362" s="10">
        <v>2879.5236423023498</v>
      </c>
      <c r="C2362" s="10">
        <v>1.05458463159916</v>
      </c>
      <c r="D2362" s="10">
        <v>0.29438642674927101</v>
      </c>
      <c r="E2362" s="10">
        <v>3.5823140463515699</v>
      </c>
      <c r="F2362" s="10">
        <v>3.40564029346006E-4</v>
      </c>
      <c r="G2362" s="10">
        <v>2.39700284224924E-3</v>
      </c>
      <c r="H2362" s="10" t="s">
        <v>11064</v>
      </c>
      <c r="I2362" s="10" t="s">
        <v>18</v>
      </c>
    </row>
    <row r="2363" spans="1:9" x14ac:dyDescent="0.2">
      <c r="A2363" s="10" t="s">
        <v>11065</v>
      </c>
      <c r="B2363" s="10">
        <v>1375.0934126072</v>
      </c>
      <c r="C2363" s="10">
        <v>2.2013812405849298</v>
      </c>
      <c r="D2363" s="10">
        <v>0.28628399604683302</v>
      </c>
      <c r="E2363" s="10">
        <v>7.6895015822847599</v>
      </c>
      <c r="F2363" s="4">
        <v>1.4770930882915099E-14</v>
      </c>
      <c r="G2363" s="4">
        <v>5.1179444402166605E-13</v>
      </c>
      <c r="H2363" s="10" t="s">
        <v>11066</v>
      </c>
      <c r="I2363" s="10" t="s">
        <v>18</v>
      </c>
    </row>
    <row r="2364" spans="1:9" x14ac:dyDescent="0.2">
      <c r="A2364" s="10" t="s">
        <v>6530</v>
      </c>
      <c r="B2364" s="10">
        <v>871.29865453468801</v>
      </c>
      <c r="C2364" s="10">
        <v>2.1084982072094398</v>
      </c>
      <c r="D2364" s="10">
        <v>0.36200356845703702</v>
      </c>
      <c r="E2364" s="10">
        <v>5.8245232669845404</v>
      </c>
      <c r="F2364" s="4">
        <v>5.7275858640766499E-9</v>
      </c>
      <c r="G2364" s="4">
        <v>1.04936214428877E-7</v>
      </c>
      <c r="H2364" s="10" t="s">
        <v>6531</v>
      </c>
      <c r="I2364" s="10" t="s">
        <v>18</v>
      </c>
    </row>
    <row r="2365" spans="1:9" x14ac:dyDescent="0.2">
      <c r="A2365" s="10" t="s">
        <v>11067</v>
      </c>
      <c r="B2365" s="10">
        <v>232.580300956005</v>
      </c>
      <c r="C2365" s="10">
        <v>2.9844569136314001</v>
      </c>
      <c r="D2365" s="10">
        <v>0.38760014033224799</v>
      </c>
      <c r="E2365" s="10">
        <v>7.6998344507129</v>
      </c>
      <c r="F2365" s="4">
        <v>1.3624262501172201E-14</v>
      </c>
      <c r="G2365" s="4">
        <v>4.7402257706360601E-13</v>
      </c>
      <c r="H2365" s="10" t="s">
        <v>11068</v>
      </c>
      <c r="I2365" s="10" t="s">
        <v>18</v>
      </c>
    </row>
    <row r="2366" spans="1:9" x14ac:dyDescent="0.2">
      <c r="A2366" s="10" t="s">
        <v>11069</v>
      </c>
      <c r="B2366" s="10">
        <v>379.92303054680701</v>
      </c>
      <c r="C2366" s="10">
        <v>2.28591041528205</v>
      </c>
      <c r="D2366" s="10">
        <v>0.35222294237653101</v>
      </c>
      <c r="E2366" s="10">
        <v>6.48995320934654</v>
      </c>
      <c r="F2366" s="4">
        <v>8.5863036717957302E-11</v>
      </c>
      <c r="G2366" s="4">
        <v>1.9906771323873001E-9</v>
      </c>
      <c r="H2366" s="10" t="s">
        <v>11070</v>
      </c>
      <c r="I2366" s="10" t="s">
        <v>18</v>
      </c>
    </row>
    <row r="2367" spans="1:9" x14ac:dyDescent="0.2">
      <c r="A2367" s="10" t="s">
        <v>11071</v>
      </c>
      <c r="B2367" s="10">
        <v>78.807330215387594</v>
      </c>
      <c r="C2367" s="10">
        <v>1.8561195521943501</v>
      </c>
      <c r="D2367" s="10">
        <v>0.45205395040861801</v>
      </c>
      <c r="E2367" s="10">
        <v>4.1059691006274397</v>
      </c>
      <c r="F2367" s="4">
        <v>4.0262330353455801E-5</v>
      </c>
      <c r="G2367" s="10">
        <v>3.6029844185029501E-4</v>
      </c>
      <c r="H2367" s="10" t="s">
        <v>11072</v>
      </c>
      <c r="I2367" s="10" t="s">
        <v>18</v>
      </c>
    </row>
    <row r="2368" spans="1:9" x14ac:dyDescent="0.2">
      <c r="A2368" s="10" t="s">
        <v>11073</v>
      </c>
      <c r="B2368" s="10">
        <v>464.207866418219</v>
      </c>
      <c r="C2368" s="10">
        <v>1.80101598520419</v>
      </c>
      <c r="D2368" s="10">
        <v>0.344067156052004</v>
      </c>
      <c r="E2368" s="10">
        <v>5.2344897021556402</v>
      </c>
      <c r="F2368" s="4">
        <v>1.6544129457479199E-7</v>
      </c>
      <c r="G2368" s="4">
        <v>2.3958985406038498E-6</v>
      </c>
      <c r="H2368" s="10" t="s">
        <v>11074</v>
      </c>
      <c r="I2368" s="10" t="s">
        <v>18</v>
      </c>
    </row>
    <row r="2369" spans="1:9" x14ac:dyDescent="0.2">
      <c r="A2369" s="10" t="s">
        <v>6532</v>
      </c>
      <c r="B2369" s="10">
        <v>391.965982531017</v>
      </c>
      <c r="C2369" s="10">
        <v>2.0626970649233098</v>
      </c>
      <c r="D2369" s="10">
        <v>0.31822227100036399</v>
      </c>
      <c r="E2369" s="10">
        <v>6.4819381070941802</v>
      </c>
      <c r="F2369" s="4">
        <v>9.0551788542812395E-11</v>
      </c>
      <c r="G2369" s="4">
        <v>2.0916714791500902E-9</v>
      </c>
      <c r="H2369" s="10" t="s">
        <v>6533</v>
      </c>
      <c r="I2369" s="10" t="s">
        <v>18</v>
      </c>
    </row>
    <row r="2370" spans="1:9" x14ac:dyDescent="0.2">
      <c r="A2370" s="10" t="s">
        <v>11075</v>
      </c>
      <c r="B2370" s="10">
        <v>181.77323512560599</v>
      </c>
      <c r="C2370" s="10">
        <v>1.2936086601308701</v>
      </c>
      <c r="D2370" s="10">
        <v>0.364432988816486</v>
      </c>
      <c r="E2370" s="10">
        <v>3.5496475341925899</v>
      </c>
      <c r="F2370" s="10">
        <v>3.8574724748816899E-4</v>
      </c>
      <c r="G2370" s="10">
        <v>2.6679879050219698E-3</v>
      </c>
      <c r="H2370" s="10" t="s">
        <v>11076</v>
      </c>
      <c r="I2370" s="10" t="s">
        <v>18</v>
      </c>
    </row>
    <row r="2371" spans="1:9" x14ac:dyDescent="0.2">
      <c r="A2371" s="10" t="s">
        <v>11077</v>
      </c>
      <c r="B2371" s="10">
        <v>45.586312942100797</v>
      </c>
      <c r="C2371" s="10">
        <v>2.3006608364739498</v>
      </c>
      <c r="D2371" s="10">
        <v>0.66651232999219301</v>
      </c>
      <c r="E2371" s="10">
        <v>3.45179036147898</v>
      </c>
      <c r="F2371" s="10">
        <v>5.5688021628123895E-4</v>
      </c>
      <c r="G2371" s="10">
        <v>3.6747620336535299E-3</v>
      </c>
      <c r="H2371" s="10" t="s">
        <v>11078</v>
      </c>
      <c r="I2371" s="10" t="s">
        <v>18</v>
      </c>
    </row>
    <row r="2372" spans="1:9" x14ac:dyDescent="0.2">
      <c r="A2372" s="10" t="s">
        <v>11079</v>
      </c>
      <c r="B2372" s="10">
        <v>367.52725876221803</v>
      </c>
      <c r="C2372" s="10">
        <v>1.38123118239156</v>
      </c>
      <c r="D2372" s="10">
        <v>0.32704356180296701</v>
      </c>
      <c r="E2372" s="10">
        <v>4.2233859452145603</v>
      </c>
      <c r="F2372" s="4">
        <v>2.4065918420894001E-5</v>
      </c>
      <c r="G2372" s="10">
        <v>2.2690336502158501E-4</v>
      </c>
      <c r="H2372" s="10" t="s">
        <v>11080</v>
      </c>
      <c r="I2372" s="10" t="s">
        <v>18</v>
      </c>
    </row>
    <row r="2373" spans="1:9" x14ac:dyDescent="0.2">
      <c r="A2373" s="10" t="s">
        <v>11081</v>
      </c>
      <c r="B2373" s="10">
        <v>11.899874557650501</v>
      </c>
      <c r="C2373" s="10">
        <v>-4.4904668504003498</v>
      </c>
      <c r="D2373" s="10">
        <v>1.3835449429806399</v>
      </c>
      <c r="E2373" s="10">
        <v>-3.2456241289323802</v>
      </c>
      <c r="F2373" s="10">
        <v>1.1719346049291299E-3</v>
      </c>
      <c r="G2373" s="10">
        <v>6.9855172039927603E-3</v>
      </c>
      <c r="H2373" s="10" t="s">
        <v>11082</v>
      </c>
      <c r="I2373" s="10" t="s">
        <v>18</v>
      </c>
    </row>
    <row r="2374" spans="1:9" x14ac:dyDescent="0.2">
      <c r="A2374" s="10" t="s">
        <v>11083</v>
      </c>
      <c r="B2374" s="10">
        <v>222.84770411936299</v>
      </c>
      <c r="C2374" s="10">
        <v>1.8251697155600299</v>
      </c>
      <c r="D2374" s="10">
        <v>0.32424172570788201</v>
      </c>
      <c r="E2374" s="10">
        <v>5.62904022169056</v>
      </c>
      <c r="F2374" s="4">
        <v>1.8121514097811499E-8</v>
      </c>
      <c r="G2374" s="4">
        <v>3.0758885771285298E-7</v>
      </c>
      <c r="H2374" s="10" t="s">
        <v>11084</v>
      </c>
      <c r="I2374" s="10" t="s">
        <v>18</v>
      </c>
    </row>
    <row r="2375" spans="1:9" x14ac:dyDescent="0.2">
      <c r="A2375" s="10" t="s">
        <v>6546</v>
      </c>
      <c r="B2375" s="10">
        <v>39.657427217889001</v>
      </c>
      <c r="C2375" s="10">
        <v>7.38412845260605</v>
      </c>
      <c r="D2375" s="10">
        <v>1.51830393362381</v>
      </c>
      <c r="E2375" s="10">
        <v>4.8634059947286001</v>
      </c>
      <c r="F2375" s="4">
        <v>1.1538283698863399E-6</v>
      </c>
      <c r="G2375" s="4">
        <v>1.42068294882482E-5</v>
      </c>
      <c r="H2375" s="10" t="s">
        <v>6547</v>
      </c>
      <c r="I2375" s="10" t="s">
        <v>18</v>
      </c>
    </row>
    <row r="2376" spans="1:9" x14ac:dyDescent="0.2">
      <c r="A2376" s="10" t="s">
        <v>6548</v>
      </c>
      <c r="B2376" s="10">
        <v>357.98346714522597</v>
      </c>
      <c r="C2376" s="10">
        <v>3.6169541996133501</v>
      </c>
      <c r="D2376" s="10">
        <v>0.35588403236354399</v>
      </c>
      <c r="E2376" s="10">
        <v>10.1632944181057</v>
      </c>
      <c r="F2376" s="4">
        <v>2.8913806418161398E-24</v>
      </c>
      <c r="G2376" s="4">
        <v>2.1266865510200302E-22</v>
      </c>
      <c r="H2376" s="10" t="s">
        <v>6549</v>
      </c>
      <c r="I2376" s="10" t="s">
        <v>18</v>
      </c>
    </row>
    <row r="2377" spans="1:9" x14ac:dyDescent="0.2">
      <c r="A2377" s="10" t="s">
        <v>11085</v>
      </c>
      <c r="B2377" s="10">
        <v>2262.37164195688</v>
      </c>
      <c r="C2377" s="10">
        <v>1.25816051717822</v>
      </c>
      <c r="D2377" s="10">
        <v>0.32297308203999298</v>
      </c>
      <c r="E2377" s="10">
        <v>3.89555844478219</v>
      </c>
      <c r="F2377" s="4">
        <v>9.7972733219611305E-5</v>
      </c>
      <c r="G2377" s="10">
        <v>7.9731611262999795E-4</v>
      </c>
      <c r="H2377" s="10" t="s">
        <v>11086</v>
      </c>
      <c r="I2377" s="10" t="s">
        <v>18</v>
      </c>
    </row>
    <row r="2378" spans="1:9" x14ac:dyDescent="0.2">
      <c r="A2378" s="10" t="s">
        <v>11087</v>
      </c>
      <c r="B2378" s="10">
        <v>299.59873509019502</v>
      </c>
      <c r="C2378" s="10">
        <v>1.52975371143153</v>
      </c>
      <c r="D2378" s="10">
        <v>0.40366241469659198</v>
      </c>
      <c r="E2378" s="10">
        <v>3.78968577637171</v>
      </c>
      <c r="F2378" s="10">
        <v>1.50837968135645E-4</v>
      </c>
      <c r="G2378" s="10">
        <v>1.1642617638699499E-3</v>
      </c>
      <c r="H2378" s="10" t="s">
        <v>11088</v>
      </c>
      <c r="I2378" s="10" t="s">
        <v>18</v>
      </c>
    </row>
    <row r="2379" spans="1:9" x14ac:dyDescent="0.2">
      <c r="A2379" s="10" t="s">
        <v>6558</v>
      </c>
      <c r="B2379" s="10">
        <v>205.32569617941201</v>
      </c>
      <c r="C2379" s="10">
        <v>5.8211844511534396</v>
      </c>
      <c r="D2379" s="10">
        <v>0.49933707418527501</v>
      </c>
      <c r="E2379" s="10">
        <v>11.657825449174499</v>
      </c>
      <c r="F2379" s="4">
        <v>2.09320075775609E-31</v>
      </c>
      <c r="G2379" s="4">
        <v>2.2893245678849801E-29</v>
      </c>
      <c r="H2379" s="10" t="s">
        <v>6559</v>
      </c>
      <c r="I2379" s="10" t="s">
        <v>18</v>
      </c>
    </row>
    <row r="2380" spans="1:9" x14ac:dyDescent="0.2">
      <c r="A2380" s="10" t="s">
        <v>11089</v>
      </c>
      <c r="B2380" s="10">
        <v>1857.4688169802</v>
      </c>
      <c r="C2380" s="10">
        <v>2.0723306045480201</v>
      </c>
      <c r="D2380" s="10">
        <v>0.30341527834707199</v>
      </c>
      <c r="E2380" s="10">
        <v>6.8300140185344196</v>
      </c>
      <c r="F2380" s="4">
        <v>8.4906335288477996E-12</v>
      </c>
      <c r="G2380" s="4">
        <v>2.2018751177130599E-10</v>
      </c>
      <c r="H2380" s="10" t="s">
        <v>11090</v>
      </c>
      <c r="I2380" s="10" t="s">
        <v>18</v>
      </c>
    </row>
    <row r="2381" spans="1:9" x14ac:dyDescent="0.2">
      <c r="A2381" s="10" t="s">
        <v>6560</v>
      </c>
      <c r="B2381" s="10">
        <v>6.8963135731131899</v>
      </c>
      <c r="C2381" s="10">
        <v>6.3062947162249099</v>
      </c>
      <c r="D2381" s="10">
        <v>1.8826046802160901</v>
      </c>
      <c r="E2381" s="10">
        <v>3.3497710817870998</v>
      </c>
      <c r="F2381" s="10">
        <v>8.0878371996842796E-4</v>
      </c>
      <c r="G2381" s="10">
        <v>5.0875104965755896E-3</v>
      </c>
      <c r="H2381" s="10" t="s">
        <v>6561</v>
      </c>
      <c r="I2381" s="10" t="s">
        <v>18</v>
      </c>
    </row>
    <row r="2382" spans="1:9" x14ac:dyDescent="0.2">
      <c r="A2382" s="10" t="s">
        <v>6568</v>
      </c>
      <c r="B2382" s="10">
        <v>204.914986153304</v>
      </c>
      <c r="C2382" s="10">
        <v>2.4605673263000201</v>
      </c>
      <c r="D2382" s="10">
        <v>0.36320303870401499</v>
      </c>
      <c r="E2382" s="10">
        <v>6.7746330952512004</v>
      </c>
      <c r="F2382" s="4">
        <v>1.2472237061771399E-11</v>
      </c>
      <c r="G2382" s="4">
        <v>3.1787145216703102E-10</v>
      </c>
      <c r="H2382" s="10" t="s">
        <v>6569</v>
      </c>
      <c r="I2382" s="10" t="s">
        <v>18</v>
      </c>
    </row>
    <row r="2383" spans="1:9" x14ac:dyDescent="0.2">
      <c r="A2383" s="10" t="s">
        <v>6572</v>
      </c>
      <c r="B2383" s="10">
        <v>276.17738339258199</v>
      </c>
      <c r="C2383" s="10">
        <v>1.83943871917066</v>
      </c>
      <c r="D2383" s="10">
        <v>0.37406188509784899</v>
      </c>
      <c r="E2383" s="10">
        <v>4.9174716603096096</v>
      </c>
      <c r="F2383" s="4">
        <v>8.7669143760122597E-7</v>
      </c>
      <c r="G2383" s="4">
        <v>1.10653151594876E-5</v>
      </c>
      <c r="H2383" s="10" t="s">
        <v>6573</v>
      </c>
      <c r="I2383" s="10" t="s">
        <v>18</v>
      </c>
    </row>
    <row r="2384" spans="1:9" x14ac:dyDescent="0.2">
      <c r="A2384" s="10" t="s">
        <v>11091</v>
      </c>
      <c r="B2384" s="10">
        <v>2012.25160754218</v>
      </c>
      <c r="C2384" s="10">
        <v>1.1087127297866901</v>
      </c>
      <c r="D2384" s="10">
        <v>0.30156201441542901</v>
      </c>
      <c r="E2384" s="10">
        <v>3.6765662675914501</v>
      </c>
      <c r="F2384" s="10">
        <v>2.3639446711991801E-4</v>
      </c>
      <c r="G2384" s="10">
        <v>1.7321528069196999E-3</v>
      </c>
      <c r="H2384" s="10" t="s">
        <v>11092</v>
      </c>
      <c r="I2384" s="10" t="s">
        <v>18</v>
      </c>
    </row>
    <row r="2385" spans="1:9" x14ac:dyDescent="0.2">
      <c r="A2385" s="10" t="s">
        <v>6578</v>
      </c>
      <c r="B2385" s="10">
        <v>284.12411682588402</v>
      </c>
      <c r="C2385" s="10">
        <v>2.6984194530065801</v>
      </c>
      <c r="D2385" s="10">
        <v>0.36746732605253002</v>
      </c>
      <c r="E2385" s="10">
        <v>7.3432908498124103</v>
      </c>
      <c r="F2385" s="4">
        <v>2.0840495988701799E-13</v>
      </c>
      <c r="G2385" s="4">
        <v>6.5448523919574696E-12</v>
      </c>
      <c r="H2385" s="10" t="s">
        <v>6579</v>
      </c>
      <c r="I2385" s="10" t="s">
        <v>18</v>
      </c>
    </row>
    <row r="2386" spans="1:9" x14ac:dyDescent="0.2">
      <c r="A2386" s="10" t="s">
        <v>6588</v>
      </c>
      <c r="B2386" s="10">
        <v>139.55733033288601</v>
      </c>
      <c r="C2386" s="10">
        <v>1.1915567137693299</v>
      </c>
      <c r="D2386" s="10">
        <v>0.45194770776259802</v>
      </c>
      <c r="E2386" s="10">
        <v>2.63649243773847</v>
      </c>
      <c r="F2386" s="10">
        <v>8.3768067332411697E-3</v>
      </c>
      <c r="G2386" s="10">
        <v>3.64312886194125E-2</v>
      </c>
      <c r="H2386" s="10" t="s">
        <v>6589</v>
      </c>
      <c r="I2386" s="10" t="s">
        <v>18</v>
      </c>
    </row>
    <row r="2387" spans="1:9" x14ac:dyDescent="0.2">
      <c r="A2387" s="10" t="s">
        <v>6590</v>
      </c>
      <c r="B2387" s="10">
        <v>46.412009466341601</v>
      </c>
      <c r="C2387" s="10">
        <v>2.5510836659873202</v>
      </c>
      <c r="D2387" s="10">
        <v>0.579610242564226</v>
      </c>
      <c r="E2387" s="10">
        <v>4.4013778202075802</v>
      </c>
      <c r="F2387" s="4">
        <v>1.0756563276939199E-5</v>
      </c>
      <c r="G2387" s="10">
        <v>1.09237524921843E-4</v>
      </c>
      <c r="H2387" s="10" t="s">
        <v>6591</v>
      </c>
      <c r="I2387" s="10" t="s">
        <v>18</v>
      </c>
    </row>
    <row r="2388" spans="1:9" x14ac:dyDescent="0.2">
      <c r="A2388" s="10" t="s">
        <v>11093</v>
      </c>
      <c r="B2388" s="10">
        <v>1151.50933269694</v>
      </c>
      <c r="C2388" s="10">
        <v>1.0314965368731099</v>
      </c>
      <c r="D2388" s="10">
        <v>0.28341066603467202</v>
      </c>
      <c r="E2388" s="10">
        <v>3.63958262864714</v>
      </c>
      <c r="F2388" s="10">
        <v>2.7308030178711199E-4</v>
      </c>
      <c r="G2388" s="10">
        <v>1.9688549703223901E-3</v>
      </c>
      <c r="H2388" s="10" t="s">
        <v>11094</v>
      </c>
      <c r="I2388" s="10" t="s">
        <v>18</v>
      </c>
    </row>
    <row r="2389" spans="1:9" x14ac:dyDescent="0.2">
      <c r="A2389" s="10" t="s">
        <v>11095</v>
      </c>
      <c r="B2389" s="10">
        <v>12.9215766555555</v>
      </c>
      <c r="C2389" s="10">
        <v>2.5593151297694701</v>
      </c>
      <c r="D2389" s="10">
        <v>0.99574326931206503</v>
      </c>
      <c r="E2389" s="10">
        <v>2.5702560174347302</v>
      </c>
      <c r="F2389" s="10">
        <v>1.01623381947118E-2</v>
      </c>
      <c r="G2389" s="10">
        <v>4.2848410541061997E-2</v>
      </c>
      <c r="H2389" s="10" t="s">
        <v>11096</v>
      </c>
      <c r="I2389" s="10" t="s">
        <v>18</v>
      </c>
    </row>
    <row r="2390" spans="1:9" x14ac:dyDescent="0.2">
      <c r="A2390" s="10" t="s">
        <v>6596</v>
      </c>
      <c r="B2390" s="10">
        <v>1816.2179954104499</v>
      </c>
      <c r="C2390" s="10">
        <v>2.0798481625255301</v>
      </c>
      <c r="D2390" s="10">
        <v>0.30260851789168403</v>
      </c>
      <c r="E2390" s="10">
        <v>6.8730654940453304</v>
      </c>
      <c r="F2390" s="4">
        <v>6.2836698326596201E-12</v>
      </c>
      <c r="G2390" s="4">
        <v>1.6568733190833599E-10</v>
      </c>
      <c r="H2390" s="10" t="s">
        <v>6597</v>
      </c>
      <c r="I2390" s="10" t="s">
        <v>18</v>
      </c>
    </row>
    <row r="2391" spans="1:9" x14ac:dyDescent="0.2">
      <c r="A2391" s="10" t="s">
        <v>6598</v>
      </c>
      <c r="B2391" s="10">
        <v>194.78909441601701</v>
      </c>
      <c r="C2391" s="10">
        <v>1.49514909874924</v>
      </c>
      <c r="D2391" s="10">
        <v>0.35490163700438498</v>
      </c>
      <c r="E2391" s="10">
        <v>4.2128548951459504</v>
      </c>
      <c r="F2391" s="4">
        <v>2.52163068221158E-5</v>
      </c>
      <c r="G2391" s="10">
        <v>2.36876418368673E-4</v>
      </c>
      <c r="H2391" s="10" t="s">
        <v>6599</v>
      </c>
      <c r="I2391" s="10" t="s">
        <v>18</v>
      </c>
    </row>
    <row r="2392" spans="1:9" x14ac:dyDescent="0.2">
      <c r="A2392" s="10" t="s">
        <v>6600</v>
      </c>
      <c r="B2392" s="10">
        <v>447.91053705026599</v>
      </c>
      <c r="C2392" s="10">
        <v>-1.0454850517274401</v>
      </c>
      <c r="D2392" s="10">
        <v>0.346191330173162</v>
      </c>
      <c r="E2392" s="10">
        <v>-3.0199631261837201</v>
      </c>
      <c r="F2392" s="10">
        <v>2.5280546156711201E-3</v>
      </c>
      <c r="G2392" s="10">
        <v>1.33347061977788E-2</v>
      </c>
      <c r="H2392" s="10" t="s">
        <v>6601</v>
      </c>
      <c r="I2392" s="10" t="s">
        <v>18</v>
      </c>
    </row>
    <row r="2393" spans="1:9" x14ac:dyDescent="0.2">
      <c r="A2393" s="10" t="s">
        <v>11097</v>
      </c>
      <c r="B2393" s="10">
        <v>191.837600916192</v>
      </c>
      <c r="C2393" s="10">
        <v>1.11093958916005</v>
      </c>
      <c r="D2393" s="10">
        <v>0.35089562651394401</v>
      </c>
      <c r="E2393" s="10">
        <v>3.1660115009039802</v>
      </c>
      <c r="F2393" s="10">
        <v>1.54544683193425E-3</v>
      </c>
      <c r="G2393" s="10">
        <v>8.8373982853616993E-3</v>
      </c>
      <c r="H2393" s="10" t="s">
        <v>11098</v>
      </c>
      <c r="I2393" s="10" t="s">
        <v>18</v>
      </c>
    </row>
    <row r="2394" spans="1:9" x14ac:dyDescent="0.2">
      <c r="A2394" s="10" t="s">
        <v>11099</v>
      </c>
      <c r="B2394" s="10">
        <v>4150.7221289577701</v>
      </c>
      <c r="C2394" s="10">
        <v>1.12360748582311</v>
      </c>
      <c r="D2394" s="10">
        <v>0.30632245398734298</v>
      </c>
      <c r="E2394" s="10">
        <v>3.6680545980136801</v>
      </c>
      <c r="F2394" s="10">
        <v>2.4440300151830498E-4</v>
      </c>
      <c r="G2394" s="10">
        <v>1.7820166675921599E-3</v>
      </c>
      <c r="H2394" s="10" t="s">
        <v>11100</v>
      </c>
      <c r="I2394" s="10" t="s">
        <v>18</v>
      </c>
    </row>
    <row r="2395" spans="1:9" x14ac:dyDescent="0.2">
      <c r="A2395" s="10" t="s">
        <v>6614</v>
      </c>
      <c r="B2395" s="10">
        <v>332.17554628378502</v>
      </c>
      <c r="C2395" s="10">
        <v>2.71944105999872</v>
      </c>
      <c r="D2395" s="10">
        <v>0.37900653234481102</v>
      </c>
      <c r="E2395" s="10">
        <v>7.1751825573408201</v>
      </c>
      <c r="F2395" s="4">
        <v>7.2210763333264599E-13</v>
      </c>
      <c r="G2395" s="4">
        <v>2.11462369225643E-11</v>
      </c>
      <c r="H2395" s="10" t="s">
        <v>6615</v>
      </c>
      <c r="I2395" s="10" t="s">
        <v>18</v>
      </c>
    </row>
    <row r="2396" spans="1:9" x14ac:dyDescent="0.2">
      <c r="A2396" s="10" t="s">
        <v>6618</v>
      </c>
      <c r="B2396" s="10">
        <v>10606.9736435421</v>
      </c>
      <c r="C2396" s="10">
        <v>2.6684488853108599</v>
      </c>
      <c r="D2396" s="10">
        <v>0.28454036365204199</v>
      </c>
      <c r="E2396" s="10">
        <v>9.3781031663193009</v>
      </c>
      <c r="F2396" s="4">
        <v>6.7170209436949804E-21</v>
      </c>
      <c r="G2396" s="4">
        <v>3.8665140008843802E-19</v>
      </c>
      <c r="H2396" s="10" t="s">
        <v>6619</v>
      </c>
      <c r="I2396" s="10" t="s">
        <v>18</v>
      </c>
    </row>
    <row r="2397" spans="1:9" x14ac:dyDescent="0.2">
      <c r="A2397" s="10" t="s">
        <v>11101</v>
      </c>
      <c r="B2397" s="10">
        <v>4711.6116894688103</v>
      </c>
      <c r="C2397" s="10">
        <v>1.76548478510916</v>
      </c>
      <c r="D2397" s="10">
        <v>0.28709952320834697</v>
      </c>
      <c r="E2397" s="10">
        <v>6.1493825046443797</v>
      </c>
      <c r="F2397" s="4">
        <v>7.7785183569685403E-10</v>
      </c>
      <c r="G2397" s="4">
        <v>1.6144276342371602E-8</v>
      </c>
      <c r="H2397" s="10" t="s">
        <v>11102</v>
      </c>
      <c r="I2397" s="10" t="s">
        <v>18</v>
      </c>
    </row>
    <row r="2398" spans="1:9" x14ac:dyDescent="0.2">
      <c r="A2398" s="10" t="s">
        <v>11103</v>
      </c>
      <c r="B2398" s="10">
        <v>5356.2989737363196</v>
      </c>
      <c r="C2398" s="10">
        <v>-1.2600783385223899</v>
      </c>
      <c r="D2398" s="10">
        <v>0.27302263791108899</v>
      </c>
      <c r="E2398" s="10">
        <v>-4.6152888572292801</v>
      </c>
      <c r="F2398" s="4">
        <v>3.9254895106608401E-6</v>
      </c>
      <c r="G2398" s="4">
        <v>4.4004317576057703E-5</v>
      </c>
      <c r="H2398" s="10" t="s">
        <v>11104</v>
      </c>
      <c r="I2398" s="10" t="s">
        <v>18</v>
      </c>
    </row>
    <row r="2399" spans="1:9" x14ac:dyDescent="0.2">
      <c r="A2399" s="10" t="s">
        <v>6632</v>
      </c>
      <c r="B2399" s="10">
        <v>2017.49692867665</v>
      </c>
      <c r="C2399" s="10">
        <v>-2.6923172953124599</v>
      </c>
      <c r="D2399" s="10">
        <v>0.25594872789437301</v>
      </c>
      <c r="E2399" s="10">
        <v>-10.518971191853501</v>
      </c>
      <c r="F2399" s="4">
        <v>7.0640689143484895E-26</v>
      </c>
      <c r="G2399" s="4">
        <v>5.8839951503455701E-24</v>
      </c>
      <c r="H2399" s="10" t="s">
        <v>6633</v>
      </c>
      <c r="I2399" s="10" t="s">
        <v>18</v>
      </c>
    </row>
    <row r="2400" spans="1:9" x14ac:dyDescent="0.2">
      <c r="A2400" s="10" t="s">
        <v>6634</v>
      </c>
      <c r="B2400" s="10">
        <v>108.64498203451301</v>
      </c>
      <c r="C2400" s="10">
        <v>1.4145397588758599</v>
      </c>
      <c r="D2400" s="10">
        <v>0.39766526352960302</v>
      </c>
      <c r="E2400" s="10">
        <v>3.5571116931880402</v>
      </c>
      <c r="F2400" s="10">
        <v>3.7495475943613701E-4</v>
      </c>
      <c r="G2400" s="10">
        <v>2.6044535806872202E-3</v>
      </c>
      <c r="H2400" s="10" t="s">
        <v>6635</v>
      </c>
      <c r="I2400" s="10" t="s">
        <v>18</v>
      </c>
    </row>
    <row r="2401" spans="1:9" x14ac:dyDescent="0.2">
      <c r="A2401" s="10" t="s">
        <v>6638</v>
      </c>
      <c r="B2401" s="10">
        <v>101.02445050181301</v>
      </c>
      <c r="C2401" s="10">
        <v>1.65825723224137</v>
      </c>
      <c r="D2401" s="10">
        <v>0.41318315248503701</v>
      </c>
      <c r="E2401" s="10">
        <v>4.0133708798821903</v>
      </c>
      <c r="F2401" s="4">
        <v>5.9857751628389099E-5</v>
      </c>
      <c r="G2401" s="10">
        <v>5.1548159610137901E-4</v>
      </c>
      <c r="H2401" s="10" t="s">
        <v>6639</v>
      </c>
      <c r="I2401" s="10" t="s">
        <v>18</v>
      </c>
    </row>
    <row r="2402" spans="1:9" x14ac:dyDescent="0.2">
      <c r="A2402" s="10" t="s">
        <v>6640</v>
      </c>
      <c r="B2402" s="10">
        <v>1013.8002711799001</v>
      </c>
      <c r="C2402" s="10">
        <v>1.85249190952456</v>
      </c>
      <c r="D2402" s="10">
        <v>0.30795207718589002</v>
      </c>
      <c r="E2402" s="10">
        <v>6.015520097974</v>
      </c>
      <c r="F2402" s="4">
        <v>1.7931005317761499E-9</v>
      </c>
      <c r="G2402" s="4">
        <v>3.49925864056082E-8</v>
      </c>
      <c r="H2402" s="10" t="s">
        <v>6641</v>
      </c>
      <c r="I2402" s="10" t="s">
        <v>18</v>
      </c>
    </row>
    <row r="2403" spans="1:9" x14ac:dyDescent="0.2">
      <c r="A2403" s="10" t="s">
        <v>6644</v>
      </c>
      <c r="B2403" s="10">
        <v>35.7119141823717</v>
      </c>
      <c r="C2403" s="10">
        <v>1.60157825401707</v>
      </c>
      <c r="D2403" s="10">
        <v>0.60653966059930697</v>
      </c>
      <c r="E2403" s="10">
        <v>2.6405169489404599</v>
      </c>
      <c r="F2403" s="10">
        <v>8.2779651989211504E-3</v>
      </c>
      <c r="G2403" s="10">
        <v>3.6051283687476003E-2</v>
      </c>
      <c r="H2403" s="10" t="s">
        <v>6645</v>
      </c>
      <c r="I2403" s="10" t="s">
        <v>18</v>
      </c>
    </row>
    <row r="2404" spans="1:9" x14ac:dyDescent="0.2">
      <c r="A2404" s="10" t="s">
        <v>6646</v>
      </c>
      <c r="B2404" s="10">
        <v>1404.4133799188901</v>
      </c>
      <c r="C2404" s="10">
        <v>1.5651644942743199</v>
      </c>
      <c r="D2404" s="10">
        <v>0.26830511452282502</v>
      </c>
      <c r="E2404" s="10">
        <v>5.8335246313061502</v>
      </c>
      <c r="F2404" s="4">
        <v>5.4268591662853501E-9</v>
      </c>
      <c r="G2404" s="4">
        <v>9.9682330892581494E-8</v>
      </c>
      <c r="H2404" s="10" t="s">
        <v>6647</v>
      </c>
      <c r="I2404" s="10" t="s">
        <v>18</v>
      </c>
    </row>
    <row r="2405" spans="1:9" x14ac:dyDescent="0.2">
      <c r="A2405" s="10" t="s">
        <v>6652</v>
      </c>
      <c r="B2405" s="10">
        <v>1878.05543378217</v>
      </c>
      <c r="C2405" s="10">
        <v>1.47231232469623</v>
      </c>
      <c r="D2405" s="10">
        <v>0.250417686762965</v>
      </c>
      <c r="E2405" s="10">
        <v>5.8794262646865798</v>
      </c>
      <c r="F2405" s="4">
        <v>4.1169093742877903E-9</v>
      </c>
      <c r="G2405" s="4">
        <v>7.6939714197778098E-8</v>
      </c>
      <c r="H2405" s="10" t="s">
        <v>6653</v>
      </c>
      <c r="I2405" s="10" t="s">
        <v>18</v>
      </c>
    </row>
    <row r="2406" spans="1:9" x14ac:dyDescent="0.2">
      <c r="A2406" s="10" t="s">
        <v>6656</v>
      </c>
      <c r="B2406" s="10">
        <v>5945.1326039220203</v>
      </c>
      <c r="C2406" s="10">
        <v>1.7064441897131399</v>
      </c>
      <c r="D2406" s="10">
        <v>0.234449562153971</v>
      </c>
      <c r="E2406" s="10">
        <v>7.2785130159145197</v>
      </c>
      <c r="F2406" s="4">
        <v>3.3751967335254301E-13</v>
      </c>
      <c r="G2406" s="4">
        <v>1.0372866001175801E-11</v>
      </c>
      <c r="H2406" s="10" t="s">
        <v>6657</v>
      </c>
      <c r="I2406" s="10" t="s">
        <v>18</v>
      </c>
    </row>
    <row r="2407" spans="1:9" x14ac:dyDescent="0.2">
      <c r="A2407" s="10" t="s">
        <v>6664</v>
      </c>
      <c r="B2407" s="10">
        <v>6064.2298700757701</v>
      </c>
      <c r="C2407" s="10">
        <v>2.4370031349582701</v>
      </c>
      <c r="D2407" s="10">
        <v>0.23383878464128499</v>
      </c>
      <c r="E2407" s="10">
        <v>10.421723405279799</v>
      </c>
      <c r="F2407" s="4">
        <v>1.97344355213756E-25</v>
      </c>
      <c r="G2407" s="4">
        <v>1.5860055129079901E-23</v>
      </c>
      <c r="H2407" s="10" t="s">
        <v>6665</v>
      </c>
      <c r="I2407" s="10" t="s">
        <v>18</v>
      </c>
    </row>
    <row r="2408" spans="1:9" x14ac:dyDescent="0.2">
      <c r="A2408" s="10" t="s">
        <v>6666</v>
      </c>
      <c r="B2408" s="10">
        <v>78.603993690378005</v>
      </c>
      <c r="C2408" s="10">
        <v>1.16557258745137</v>
      </c>
      <c r="D2408" s="10">
        <v>0.43313188196243102</v>
      </c>
      <c r="E2408" s="10">
        <v>2.6910339229022</v>
      </c>
      <c r="F2408" s="10">
        <v>7.1230951401387204E-3</v>
      </c>
      <c r="G2408" s="10">
        <v>3.1747246323563003E-2</v>
      </c>
      <c r="H2408" s="10" t="s">
        <v>6667</v>
      </c>
      <c r="I2408" s="10" t="s">
        <v>18</v>
      </c>
    </row>
    <row r="2409" spans="1:9" x14ac:dyDescent="0.2">
      <c r="A2409" s="10" t="s">
        <v>11105</v>
      </c>
      <c r="B2409" s="10">
        <v>82.2576058990891</v>
      </c>
      <c r="C2409" s="10">
        <v>-2.6434367984068499</v>
      </c>
      <c r="D2409" s="10">
        <v>0.49301831518764599</v>
      </c>
      <c r="E2409" s="10">
        <v>-5.3617415762753904</v>
      </c>
      <c r="F2409" s="4">
        <v>8.2423399334858396E-8</v>
      </c>
      <c r="G2409" s="4">
        <v>1.24901241582432E-6</v>
      </c>
      <c r="H2409" s="10" t="s">
        <v>11106</v>
      </c>
      <c r="I2409" s="10" t="s">
        <v>18</v>
      </c>
    </row>
    <row r="2410" spans="1:9" x14ac:dyDescent="0.2">
      <c r="A2410" s="10" t="s">
        <v>6678</v>
      </c>
      <c r="B2410" s="10">
        <v>54.350483528366702</v>
      </c>
      <c r="C2410" s="10">
        <v>-1.7524428930139899</v>
      </c>
      <c r="D2410" s="10">
        <v>0.50614165952226597</v>
      </c>
      <c r="E2410" s="10">
        <v>-3.4623565558070699</v>
      </c>
      <c r="F2410" s="10">
        <v>5.3546726132189801E-4</v>
      </c>
      <c r="G2410" s="10">
        <v>3.5511940307282699E-3</v>
      </c>
      <c r="H2410" s="10" t="s">
        <v>6679</v>
      </c>
      <c r="I2410" s="10" t="s">
        <v>18</v>
      </c>
    </row>
    <row r="2411" spans="1:9" x14ac:dyDescent="0.2">
      <c r="A2411" s="10" t="s">
        <v>11107</v>
      </c>
      <c r="B2411" s="10">
        <v>10635.3779400494</v>
      </c>
      <c r="C2411" s="10">
        <v>-1.80004305488155</v>
      </c>
      <c r="D2411" s="10">
        <v>0.26111931132004801</v>
      </c>
      <c r="E2411" s="10">
        <v>-6.8935654195077101</v>
      </c>
      <c r="F2411" s="4">
        <v>5.4411079141091503E-12</v>
      </c>
      <c r="G2411" s="4">
        <v>1.4468400589790201E-10</v>
      </c>
      <c r="H2411" s="10" t="s">
        <v>11108</v>
      </c>
      <c r="I2411" s="10" t="s">
        <v>18</v>
      </c>
    </row>
    <row r="2412" spans="1:9" x14ac:dyDescent="0.2">
      <c r="A2412" s="10" t="s">
        <v>6682</v>
      </c>
      <c r="B2412" s="10">
        <v>252.135952392874</v>
      </c>
      <c r="C2412" s="10">
        <v>2.5417517385064601</v>
      </c>
      <c r="D2412" s="10">
        <v>0.31922026087516497</v>
      </c>
      <c r="E2412" s="10">
        <v>7.9623759830847503</v>
      </c>
      <c r="F2412" s="4">
        <v>1.68766732041568E-15</v>
      </c>
      <c r="G2412" s="4">
        <v>6.4323138553115895E-14</v>
      </c>
      <c r="H2412" s="10" t="s">
        <v>6683</v>
      </c>
      <c r="I2412" s="10" t="s">
        <v>18</v>
      </c>
    </row>
    <row r="2413" spans="1:9" x14ac:dyDescent="0.2">
      <c r="A2413" s="10" t="s">
        <v>6684</v>
      </c>
      <c r="B2413" s="10">
        <v>630.07739847841697</v>
      </c>
      <c r="C2413" s="10">
        <v>-2.21230928209815</v>
      </c>
      <c r="D2413" s="10">
        <v>0.31393681312599903</v>
      </c>
      <c r="E2413" s="10">
        <v>-7.0469890423785104</v>
      </c>
      <c r="F2413" s="4">
        <v>1.82830710503021E-12</v>
      </c>
      <c r="G2413" s="4">
        <v>5.1044467510582602E-11</v>
      </c>
      <c r="H2413" s="10" t="s">
        <v>6685</v>
      </c>
      <c r="I2413" s="10" t="s">
        <v>18</v>
      </c>
    </row>
    <row r="2414" spans="1:9" x14ac:dyDescent="0.2">
      <c r="A2414" s="10" t="s">
        <v>11109</v>
      </c>
      <c r="B2414" s="10">
        <v>61.058646280460898</v>
      </c>
      <c r="C2414" s="10">
        <v>-1.5666747278465301</v>
      </c>
      <c r="D2414" s="10">
        <v>0.485983712328586</v>
      </c>
      <c r="E2414" s="10">
        <v>-3.2237185899499101</v>
      </c>
      <c r="F2414" s="10">
        <v>1.2653768217086301E-3</v>
      </c>
      <c r="G2414" s="10">
        <v>7.4684547043830599E-3</v>
      </c>
      <c r="H2414" s="10" t="s">
        <v>11110</v>
      </c>
      <c r="I2414" s="10" t="s">
        <v>18</v>
      </c>
    </row>
    <row r="2415" spans="1:9" x14ac:dyDescent="0.2">
      <c r="A2415" s="10" t="s">
        <v>11111</v>
      </c>
      <c r="B2415" s="10">
        <v>1159.45238650753</v>
      </c>
      <c r="C2415" s="10">
        <v>1.7806513776539601</v>
      </c>
      <c r="D2415" s="10">
        <v>0.29858901076155803</v>
      </c>
      <c r="E2415" s="10">
        <v>5.9635529556575699</v>
      </c>
      <c r="F2415" s="4">
        <v>2.4681141360268099E-9</v>
      </c>
      <c r="G2415" s="4">
        <v>4.71773640514852E-8</v>
      </c>
      <c r="H2415" s="10" t="s">
        <v>11112</v>
      </c>
      <c r="I2415" s="10" t="s">
        <v>18</v>
      </c>
    </row>
    <row r="2416" spans="1:9" x14ac:dyDescent="0.2">
      <c r="A2416" s="10" t="s">
        <v>6688</v>
      </c>
      <c r="B2416" s="10">
        <v>269.04967381317101</v>
      </c>
      <c r="C2416" s="10">
        <v>3.6949491369388401</v>
      </c>
      <c r="D2416" s="10">
        <v>0.36762929275264999</v>
      </c>
      <c r="E2416" s="10">
        <v>10.0507473419015</v>
      </c>
      <c r="F2416" s="4">
        <v>9.1173332012782398E-24</v>
      </c>
      <c r="G2416" s="4">
        <v>6.3355391347556404E-22</v>
      </c>
      <c r="H2416" s="10" t="s">
        <v>6689</v>
      </c>
      <c r="I2416" s="10" t="s">
        <v>18</v>
      </c>
    </row>
    <row r="2417" spans="1:9" x14ac:dyDescent="0.2">
      <c r="A2417" s="10" t="s">
        <v>6690</v>
      </c>
      <c r="B2417" s="10">
        <v>1444.2663518929101</v>
      </c>
      <c r="C2417" s="10">
        <v>2.3650577440033098</v>
      </c>
      <c r="D2417" s="10">
        <v>0.25935410321928898</v>
      </c>
      <c r="E2417" s="10">
        <v>9.1190295994800898</v>
      </c>
      <c r="F2417" s="4">
        <v>7.5799981258149604E-20</v>
      </c>
      <c r="G2417" s="4">
        <v>4.0311808214561397E-18</v>
      </c>
      <c r="H2417" s="10" t="s">
        <v>6691</v>
      </c>
      <c r="I2417" s="10" t="s">
        <v>18</v>
      </c>
    </row>
    <row r="2418" spans="1:9" x14ac:dyDescent="0.2">
      <c r="A2418" s="10" t="s">
        <v>6694</v>
      </c>
      <c r="B2418" s="10">
        <v>7624.1192216670597</v>
      </c>
      <c r="C2418" s="10">
        <v>2.0187109537636698</v>
      </c>
      <c r="D2418" s="10">
        <v>0.25221604660867297</v>
      </c>
      <c r="E2418" s="10">
        <v>8.0038957905632806</v>
      </c>
      <c r="F2418" s="4">
        <v>1.2054341426163899E-15</v>
      </c>
      <c r="G2418" s="4">
        <v>4.6722181598636798E-14</v>
      </c>
      <c r="H2418" s="10" t="s">
        <v>6695</v>
      </c>
      <c r="I2418" s="10" t="s">
        <v>18</v>
      </c>
    </row>
    <row r="2419" spans="1:9" x14ac:dyDescent="0.2">
      <c r="A2419" s="10" t="s">
        <v>11113</v>
      </c>
      <c r="B2419" s="10">
        <v>167.46521127990101</v>
      </c>
      <c r="C2419" s="10">
        <v>1.1228048879786701</v>
      </c>
      <c r="D2419" s="10">
        <v>0.37193580688211503</v>
      </c>
      <c r="E2419" s="10">
        <v>3.0188136425771601</v>
      </c>
      <c r="F2419" s="10">
        <v>2.5376657674612301E-3</v>
      </c>
      <c r="G2419" s="10">
        <v>1.3371382987115101E-2</v>
      </c>
      <c r="H2419" s="10" t="s">
        <v>11114</v>
      </c>
      <c r="I2419" s="10" t="s">
        <v>18</v>
      </c>
    </row>
    <row r="2420" spans="1:9" x14ac:dyDescent="0.2">
      <c r="A2420" s="10" t="s">
        <v>6702</v>
      </c>
      <c r="B2420" s="10">
        <v>25.204051532446101</v>
      </c>
      <c r="C2420" s="10">
        <v>-2.1574437271041198</v>
      </c>
      <c r="D2420" s="10">
        <v>0.73989885773883501</v>
      </c>
      <c r="E2420" s="10">
        <v>-2.9158630325466</v>
      </c>
      <c r="F2420" s="10">
        <v>3.5470617949049702E-3</v>
      </c>
      <c r="G2420" s="10">
        <v>1.7831003087696699E-2</v>
      </c>
      <c r="H2420" s="10" t="s">
        <v>6703</v>
      </c>
      <c r="I2420" s="10" t="s">
        <v>18</v>
      </c>
    </row>
    <row r="2421" spans="1:9" x14ac:dyDescent="0.2">
      <c r="A2421" s="10" t="s">
        <v>6704</v>
      </c>
      <c r="B2421" s="10">
        <v>17.512483411486301</v>
      </c>
      <c r="C2421" s="10">
        <v>2.8411854858111099</v>
      </c>
      <c r="D2421" s="10">
        <v>0.89198633639111902</v>
      </c>
      <c r="E2421" s="10">
        <v>3.1852343134607199</v>
      </c>
      <c r="F2421" s="10">
        <v>1.44636846778627E-3</v>
      </c>
      <c r="G2421" s="10">
        <v>8.3483614926814099E-3</v>
      </c>
      <c r="H2421" s="10" t="s">
        <v>6705</v>
      </c>
      <c r="I2421" s="10" t="s">
        <v>18</v>
      </c>
    </row>
    <row r="2422" spans="1:9" x14ac:dyDescent="0.2">
      <c r="A2422" s="10" t="s">
        <v>6708</v>
      </c>
      <c r="B2422" s="10">
        <v>63.315424494823901</v>
      </c>
      <c r="C2422" s="10">
        <v>3.54007057129671</v>
      </c>
      <c r="D2422" s="10">
        <v>0.54657219285890402</v>
      </c>
      <c r="E2422" s="10">
        <v>6.4768581672258101</v>
      </c>
      <c r="F2422" s="4">
        <v>9.3652147398548905E-11</v>
      </c>
      <c r="G2422" s="4">
        <v>2.1573441097165701E-9</v>
      </c>
      <c r="H2422" s="10" t="s">
        <v>6709</v>
      </c>
      <c r="I2422" s="10" t="s">
        <v>18</v>
      </c>
    </row>
    <row r="2423" spans="1:9" x14ac:dyDescent="0.2">
      <c r="A2423" s="10" t="s">
        <v>6710</v>
      </c>
      <c r="B2423" s="10">
        <v>384.858381643781</v>
      </c>
      <c r="C2423" s="10">
        <v>1.7566080140634901</v>
      </c>
      <c r="D2423" s="10">
        <v>0.35640581261705401</v>
      </c>
      <c r="E2423" s="10">
        <v>4.9286738652349298</v>
      </c>
      <c r="F2423" s="4">
        <v>8.2789640029733399E-7</v>
      </c>
      <c r="G2423" s="4">
        <v>1.05286824820422E-5</v>
      </c>
      <c r="H2423" s="10" t="s">
        <v>6711</v>
      </c>
      <c r="I2423" s="10" t="s">
        <v>18</v>
      </c>
    </row>
    <row r="2424" spans="1:9" x14ac:dyDescent="0.2">
      <c r="A2424" s="10" t="s">
        <v>6714</v>
      </c>
      <c r="B2424" s="10">
        <v>44.984742735498997</v>
      </c>
      <c r="C2424" s="10">
        <v>1.64695505984923</v>
      </c>
      <c r="D2424" s="10">
        <v>0.57365591763259105</v>
      </c>
      <c r="E2424" s="10">
        <v>2.8709806858543501</v>
      </c>
      <c r="F2424" s="10">
        <v>4.0920052616888504E-3</v>
      </c>
      <c r="G2424" s="10">
        <v>2.0084759484445502E-2</v>
      </c>
      <c r="H2424" s="10" t="s">
        <v>6715</v>
      </c>
      <c r="I2424" s="10" t="s">
        <v>18</v>
      </c>
    </row>
    <row r="2425" spans="1:9" x14ac:dyDescent="0.2">
      <c r="A2425" s="10" t="s">
        <v>6716</v>
      </c>
      <c r="B2425" s="10">
        <v>2611.6390834488702</v>
      </c>
      <c r="C2425" s="10">
        <v>5.8839965101048897</v>
      </c>
      <c r="D2425" s="10">
        <v>0.36099719248380602</v>
      </c>
      <c r="E2425" s="10">
        <v>16.299286068184099</v>
      </c>
      <c r="F2425" s="4">
        <v>9.9851642815090194E-60</v>
      </c>
      <c r="G2425" s="4">
        <v>3.53770151410365E-57</v>
      </c>
      <c r="H2425" s="10" t="s">
        <v>6717</v>
      </c>
      <c r="I2425" s="10" t="s">
        <v>18</v>
      </c>
    </row>
    <row r="2426" spans="1:9" x14ac:dyDescent="0.2">
      <c r="A2426" s="10" t="s">
        <v>6718</v>
      </c>
      <c r="B2426" s="10">
        <v>32.411148740382899</v>
      </c>
      <c r="C2426" s="10">
        <v>1.81134462060183</v>
      </c>
      <c r="D2426" s="10">
        <v>0.63395551220184998</v>
      </c>
      <c r="E2426" s="10">
        <v>2.8572109331626199</v>
      </c>
      <c r="F2426" s="10">
        <v>4.2738171879557196E-3</v>
      </c>
      <c r="G2426" s="10">
        <v>2.0818720248455901E-2</v>
      </c>
      <c r="H2426" s="10" t="s">
        <v>6719</v>
      </c>
      <c r="I2426" s="10" t="s">
        <v>18</v>
      </c>
    </row>
    <row r="2427" spans="1:9" x14ac:dyDescent="0.2">
      <c r="A2427" s="10" t="s">
        <v>6720</v>
      </c>
      <c r="B2427" s="10">
        <v>174.34000432012201</v>
      </c>
      <c r="C2427" s="10">
        <v>1.1645713466601599</v>
      </c>
      <c r="D2427" s="10">
        <v>0.34662355579204401</v>
      </c>
      <c r="E2427" s="10">
        <v>3.3597582368546299</v>
      </c>
      <c r="F2427" s="10">
        <v>7.8010706553770096E-4</v>
      </c>
      <c r="G2427" s="10">
        <v>4.9354987162798097E-3</v>
      </c>
      <c r="H2427" s="10" t="s">
        <v>6721</v>
      </c>
      <c r="I2427" s="10" t="s">
        <v>18</v>
      </c>
    </row>
    <row r="2428" spans="1:9" x14ac:dyDescent="0.2">
      <c r="A2428" s="10" t="s">
        <v>6724</v>
      </c>
      <c r="B2428" s="10">
        <v>43.342990504427398</v>
      </c>
      <c r="C2428" s="10">
        <v>-2.5566145094524</v>
      </c>
      <c r="D2428" s="10">
        <v>0.59902377290562903</v>
      </c>
      <c r="E2428" s="10">
        <v>-4.2679683596717197</v>
      </c>
      <c r="F2428" s="4">
        <v>1.9726129800291199E-5</v>
      </c>
      <c r="G2428" s="10">
        <v>1.89032683857648E-4</v>
      </c>
      <c r="H2428" s="10" t="s">
        <v>6725</v>
      </c>
      <c r="I2428" s="10" t="s">
        <v>18</v>
      </c>
    </row>
    <row r="2429" spans="1:9" x14ac:dyDescent="0.2">
      <c r="A2429" s="10" t="s">
        <v>6726</v>
      </c>
      <c r="B2429" s="10">
        <v>481.52712608978698</v>
      </c>
      <c r="C2429" s="10">
        <v>2.52193028718108</v>
      </c>
      <c r="D2429" s="10">
        <v>0.31705001823943102</v>
      </c>
      <c r="E2429" s="10">
        <v>7.9543609591486</v>
      </c>
      <c r="F2429" s="4">
        <v>1.80058457621039E-15</v>
      </c>
      <c r="G2429" s="4">
        <v>6.8213411166524806E-14</v>
      </c>
      <c r="H2429" s="10" t="s">
        <v>6727</v>
      </c>
      <c r="I2429" s="10" t="s">
        <v>18</v>
      </c>
    </row>
    <row r="2430" spans="1:9" x14ac:dyDescent="0.2">
      <c r="A2430" s="10" t="s">
        <v>6728</v>
      </c>
      <c r="B2430" s="10">
        <v>786.03818764309699</v>
      </c>
      <c r="C2430" s="10">
        <v>1.91446341024865</v>
      </c>
      <c r="D2430" s="10">
        <v>0.29684737012938101</v>
      </c>
      <c r="E2430" s="10">
        <v>6.4493190874968302</v>
      </c>
      <c r="F2430" s="4">
        <v>1.12353788114943E-10</v>
      </c>
      <c r="G2430" s="4">
        <v>2.56466382942958E-9</v>
      </c>
      <c r="H2430" s="10" t="s">
        <v>6729</v>
      </c>
      <c r="I2430" s="10" t="s">
        <v>18</v>
      </c>
    </row>
    <row r="2431" spans="1:9" x14ac:dyDescent="0.2">
      <c r="A2431" s="10" t="s">
        <v>6732</v>
      </c>
      <c r="B2431" s="10">
        <v>5314.7796732483803</v>
      </c>
      <c r="C2431" s="10">
        <v>-1.2038604906093699</v>
      </c>
      <c r="D2431" s="10">
        <v>0.29344169842407197</v>
      </c>
      <c r="E2431" s="10">
        <v>-4.1025542623106901</v>
      </c>
      <c r="F2431" s="4">
        <v>4.0861398330532703E-5</v>
      </c>
      <c r="G2431" s="10">
        <v>3.6513977797675003E-4</v>
      </c>
      <c r="H2431" s="10" t="s">
        <v>6733</v>
      </c>
      <c r="I2431" s="10" t="s">
        <v>18</v>
      </c>
    </row>
    <row r="2432" spans="1:9" x14ac:dyDescent="0.2">
      <c r="A2432" s="10" t="s">
        <v>6734</v>
      </c>
      <c r="B2432" s="10">
        <v>1183.01710379271</v>
      </c>
      <c r="C2432" s="10">
        <v>2.33978788875655</v>
      </c>
      <c r="D2432" s="10">
        <v>0.30339344104909599</v>
      </c>
      <c r="E2432" s="10">
        <v>7.71205824577439</v>
      </c>
      <c r="F2432" s="4">
        <v>1.2380460128666499E-14</v>
      </c>
      <c r="G2432" s="4">
        <v>4.3254232574528501E-13</v>
      </c>
      <c r="H2432" s="10" t="s">
        <v>6735</v>
      </c>
      <c r="I2432" s="10" t="s">
        <v>18</v>
      </c>
    </row>
    <row r="2433" spans="1:9" x14ac:dyDescent="0.2">
      <c r="A2433" s="10" t="s">
        <v>6736</v>
      </c>
      <c r="B2433" s="10">
        <v>648.11978901961595</v>
      </c>
      <c r="C2433" s="10">
        <v>-1.9071920366748401</v>
      </c>
      <c r="D2433" s="10">
        <v>0.28324096082111899</v>
      </c>
      <c r="E2433" s="10">
        <v>-6.7334612590843701</v>
      </c>
      <c r="F2433" s="4">
        <v>1.6567378841590499E-11</v>
      </c>
      <c r="G2433" s="4">
        <v>4.1509204657391199E-10</v>
      </c>
      <c r="H2433" s="10" t="s">
        <v>6737</v>
      </c>
      <c r="I2433" s="10" t="s">
        <v>18</v>
      </c>
    </row>
    <row r="2434" spans="1:9" x14ac:dyDescent="0.2">
      <c r="A2434" s="10" t="s">
        <v>6740</v>
      </c>
      <c r="B2434" s="10">
        <v>38.351107049558003</v>
      </c>
      <c r="C2434" s="10">
        <v>-2.0407571605578601</v>
      </c>
      <c r="D2434" s="10">
        <v>0.71939694205410698</v>
      </c>
      <c r="E2434" s="10">
        <v>-2.8367609608276201</v>
      </c>
      <c r="F2434" s="10">
        <v>4.5573718085216699E-3</v>
      </c>
      <c r="G2434" s="10">
        <v>2.1957611155595198E-2</v>
      </c>
      <c r="H2434" s="10" t="s">
        <v>6741</v>
      </c>
      <c r="I2434" s="10" t="s">
        <v>18</v>
      </c>
    </row>
    <row r="2435" spans="1:9" x14ac:dyDescent="0.2">
      <c r="A2435" s="10" t="s">
        <v>6742</v>
      </c>
      <c r="B2435" s="10">
        <v>1206.17692896741</v>
      </c>
      <c r="C2435" s="10">
        <v>2.0810607204860201</v>
      </c>
      <c r="D2435" s="10">
        <v>0.30540774670328003</v>
      </c>
      <c r="E2435" s="10">
        <v>6.8140403868271404</v>
      </c>
      <c r="F2435" s="4">
        <v>9.4895045260697902E-12</v>
      </c>
      <c r="G2435" s="4">
        <v>2.4432803106784601E-10</v>
      </c>
      <c r="H2435" s="10" t="s">
        <v>6743</v>
      </c>
      <c r="I2435" s="10" t="s">
        <v>18</v>
      </c>
    </row>
    <row r="2436" spans="1:9" x14ac:dyDescent="0.2">
      <c r="A2436" s="10" t="s">
        <v>6746</v>
      </c>
      <c r="B2436" s="10">
        <v>79.673017382934802</v>
      </c>
      <c r="C2436" s="10">
        <v>1.53573975147824</v>
      </c>
      <c r="D2436" s="10">
        <v>0.46251430079160299</v>
      </c>
      <c r="E2436" s="10">
        <v>3.32041571222726</v>
      </c>
      <c r="F2436" s="10">
        <v>8.9883496046855803E-4</v>
      </c>
      <c r="G2436" s="10">
        <v>5.5745052836751897E-3</v>
      </c>
      <c r="H2436" s="10" t="s">
        <v>6747</v>
      </c>
      <c r="I2436" s="10" t="s">
        <v>18</v>
      </c>
    </row>
    <row r="2437" spans="1:9" x14ac:dyDescent="0.2">
      <c r="A2437" s="10" t="s">
        <v>6748</v>
      </c>
      <c r="B2437" s="10">
        <v>220.50674520291199</v>
      </c>
      <c r="C2437" s="10">
        <v>2.8076532113525201</v>
      </c>
      <c r="D2437" s="10">
        <v>0.33607995867504098</v>
      </c>
      <c r="E2437" s="10">
        <v>8.3541226987214401</v>
      </c>
      <c r="F2437" s="4">
        <v>6.5920797766894803E-17</v>
      </c>
      <c r="G2437" s="4">
        <v>2.87888483997611E-15</v>
      </c>
      <c r="H2437" s="10" t="s">
        <v>6749</v>
      </c>
      <c r="I2437" s="10" t="s">
        <v>18</v>
      </c>
    </row>
    <row r="2438" spans="1:9" x14ac:dyDescent="0.2">
      <c r="A2438" s="10" t="s">
        <v>11115</v>
      </c>
      <c r="B2438" s="10">
        <v>88.690868378585094</v>
      </c>
      <c r="C2438" s="10">
        <v>-1.5774495313800001</v>
      </c>
      <c r="D2438" s="10">
        <v>0.43551295530728101</v>
      </c>
      <c r="E2438" s="10">
        <v>-3.6220496133507898</v>
      </c>
      <c r="F2438" s="10">
        <v>2.92278046393051E-4</v>
      </c>
      <c r="G2438" s="10">
        <v>2.0946593324835299E-3</v>
      </c>
      <c r="H2438" s="10" t="s">
        <v>11116</v>
      </c>
      <c r="I2438" s="10" t="s">
        <v>18</v>
      </c>
    </row>
    <row r="2439" spans="1:9" x14ac:dyDescent="0.2">
      <c r="A2439" s="10" t="s">
        <v>6752</v>
      </c>
      <c r="B2439" s="10">
        <v>1774.43193491391</v>
      </c>
      <c r="C2439" s="10">
        <v>-1.2615934340303701</v>
      </c>
      <c r="D2439" s="10">
        <v>0.26467952553003898</v>
      </c>
      <c r="E2439" s="10">
        <v>-4.7664942405497497</v>
      </c>
      <c r="F2439" s="4">
        <v>1.87459086118282E-6</v>
      </c>
      <c r="G2439" s="4">
        <v>2.2159461049367401E-5</v>
      </c>
      <c r="H2439" s="10" t="s">
        <v>6753</v>
      </c>
      <c r="I2439" s="10" t="s">
        <v>18</v>
      </c>
    </row>
    <row r="2440" spans="1:9" x14ac:dyDescent="0.2">
      <c r="A2440" s="10" t="s">
        <v>11117</v>
      </c>
      <c r="B2440" s="10">
        <v>284.00175908346301</v>
      </c>
      <c r="C2440" s="10">
        <v>-1.09750281073194</v>
      </c>
      <c r="D2440" s="10">
        <v>0.35912973150371102</v>
      </c>
      <c r="E2440" s="10">
        <v>-3.0560065470953601</v>
      </c>
      <c r="F2440" s="10">
        <v>2.24306357946511E-3</v>
      </c>
      <c r="G2440" s="10">
        <v>1.20796969260212E-2</v>
      </c>
      <c r="H2440" s="10" t="s">
        <v>11118</v>
      </c>
      <c r="I2440" s="10" t="s">
        <v>18</v>
      </c>
    </row>
    <row r="2441" spans="1:9" x14ac:dyDescent="0.2">
      <c r="A2441" s="10" t="s">
        <v>6762</v>
      </c>
      <c r="B2441" s="10">
        <v>804.875050555494</v>
      </c>
      <c r="C2441" s="10">
        <v>2.5894019131390098</v>
      </c>
      <c r="D2441" s="10">
        <v>0.29794503474665701</v>
      </c>
      <c r="E2441" s="10">
        <v>8.6908711713916507</v>
      </c>
      <c r="F2441" s="4">
        <v>3.5967071195933801E-18</v>
      </c>
      <c r="G2441" s="4">
        <v>1.7135448407835499E-16</v>
      </c>
      <c r="H2441" s="10" t="s">
        <v>6763</v>
      </c>
      <c r="I2441" s="10" t="s">
        <v>18</v>
      </c>
    </row>
    <row r="2442" spans="1:9" x14ac:dyDescent="0.2">
      <c r="A2442" s="10" t="s">
        <v>6764</v>
      </c>
      <c r="B2442" s="10">
        <v>519.59824542466504</v>
      </c>
      <c r="C2442" s="10">
        <v>2.87571555459082</v>
      </c>
      <c r="D2442" s="10">
        <v>0.31760014900259598</v>
      </c>
      <c r="E2442" s="10">
        <v>9.0545157602155797</v>
      </c>
      <c r="F2442" s="4">
        <v>1.37175073813338E-19</v>
      </c>
      <c r="G2442" s="4">
        <v>7.2189100037123893E-18</v>
      </c>
      <c r="H2442" s="10" t="s">
        <v>6765</v>
      </c>
      <c r="I2442" s="10" t="s">
        <v>18</v>
      </c>
    </row>
    <row r="2443" spans="1:9" x14ac:dyDescent="0.2">
      <c r="A2443" s="10" t="s">
        <v>6770</v>
      </c>
      <c r="B2443" s="10">
        <v>369.03977055023802</v>
      </c>
      <c r="C2443" s="10">
        <v>1.18810695846884</v>
      </c>
      <c r="D2443" s="10">
        <v>0.34622733473311201</v>
      </c>
      <c r="E2443" s="10">
        <v>3.4315804654323201</v>
      </c>
      <c r="F2443" s="10">
        <v>6.0007508151632E-4</v>
      </c>
      <c r="G2443" s="10">
        <v>3.9309605925893299E-3</v>
      </c>
      <c r="H2443" s="10" t="s">
        <v>6771</v>
      </c>
      <c r="I2443" s="10" t="s">
        <v>18</v>
      </c>
    </row>
    <row r="2444" spans="1:9" x14ac:dyDescent="0.2">
      <c r="A2444" s="10" t="s">
        <v>6772</v>
      </c>
      <c r="B2444" s="10">
        <v>224.70835288212101</v>
      </c>
      <c r="C2444" s="10">
        <v>3.2112870891266798</v>
      </c>
      <c r="D2444" s="10">
        <v>0.37994831564173998</v>
      </c>
      <c r="E2444" s="10">
        <v>8.4519050537248894</v>
      </c>
      <c r="F2444" s="4">
        <v>2.8658762084254101E-17</v>
      </c>
      <c r="G2444" s="4">
        <v>1.28276007158258E-15</v>
      </c>
      <c r="H2444" s="10" t="s">
        <v>6773</v>
      </c>
      <c r="I2444" s="10" t="s">
        <v>18</v>
      </c>
    </row>
    <row r="2445" spans="1:9" x14ac:dyDescent="0.2">
      <c r="A2445" s="10" t="s">
        <v>6774</v>
      </c>
      <c r="B2445" s="10">
        <v>60.158852529436601</v>
      </c>
      <c r="C2445" s="10">
        <v>2.9034650924134899</v>
      </c>
      <c r="D2445" s="10">
        <v>0.52676773241637198</v>
      </c>
      <c r="E2445" s="10">
        <v>5.5118506957417601</v>
      </c>
      <c r="F2445" s="4">
        <v>3.5508007746990602E-8</v>
      </c>
      <c r="G2445" s="4">
        <v>5.7146764867277499E-7</v>
      </c>
      <c r="H2445" s="10" t="s">
        <v>6775</v>
      </c>
      <c r="I2445" s="10" t="s">
        <v>18</v>
      </c>
    </row>
    <row r="2446" spans="1:9" x14ac:dyDescent="0.2">
      <c r="A2446" s="10" t="s">
        <v>6776</v>
      </c>
      <c r="B2446" s="10">
        <v>427.652515620739</v>
      </c>
      <c r="C2446" s="10">
        <v>-1.09356595209281</v>
      </c>
      <c r="D2446" s="10">
        <v>0.30403693307125901</v>
      </c>
      <c r="E2446" s="10">
        <v>-3.59681944244748</v>
      </c>
      <c r="F2446" s="10">
        <v>3.2213192148214799E-4</v>
      </c>
      <c r="G2446" s="10">
        <v>2.2838862696965699E-3</v>
      </c>
      <c r="H2446" s="10" t="s">
        <v>6777</v>
      </c>
      <c r="I2446" s="10" t="s">
        <v>18</v>
      </c>
    </row>
    <row r="2447" spans="1:9" x14ac:dyDescent="0.2">
      <c r="A2447" s="10" t="s">
        <v>11119</v>
      </c>
      <c r="B2447" s="10">
        <v>1684.59640883</v>
      </c>
      <c r="C2447" s="10">
        <v>-1.0293267772997601</v>
      </c>
      <c r="D2447" s="10">
        <v>0.24404331122425599</v>
      </c>
      <c r="E2447" s="10">
        <v>-4.2178036846659896</v>
      </c>
      <c r="F2447" s="4">
        <v>2.46693451060463E-5</v>
      </c>
      <c r="G2447" s="10">
        <v>2.32418492937301E-4</v>
      </c>
      <c r="H2447" s="10" t="s">
        <v>11120</v>
      </c>
      <c r="I2447" s="10" t="s">
        <v>18</v>
      </c>
    </row>
    <row r="2448" spans="1:9" x14ac:dyDescent="0.2">
      <c r="A2448" s="10" t="s">
        <v>6780</v>
      </c>
      <c r="B2448" s="10">
        <v>1548.6792119910699</v>
      </c>
      <c r="C2448" s="10">
        <v>1.0097127803800301</v>
      </c>
      <c r="D2448" s="10">
        <v>0.24670311327946201</v>
      </c>
      <c r="E2448" s="10">
        <v>4.0928254490093998</v>
      </c>
      <c r="F2448" s="4">
        <v>4.2614851442284403E-5</v>
      </c>
      <c r="G2448" s="10">
        <v>3.79595109076014E-4</v>
      </c>
      <c r="H2448" s="10" t="s">
        <v>6781</v>
      </c>
      <c r="I2448" s="10" t="s">
        <v>18</v>
      </c>
    </row>
    <row r="2449" spans="1:9" x14ac:dyDescent="0.2">
      <c r="A2449" s="10" t="s">
        <v>11121</v>
      </c>
      <c r="B2449" s="10">
        <v>3026.8451673324098</v>
      </c>
      <c r="C2449" s="10">
        <v>1.6671546027781201</v>
      </c>
      <c r="D2449" s="10">
        <v>0.25490723035436502</v>
      </c>
      <c r="E2449" s="10">
        <v>6.5402405434341198</v>
      </c>
      <c r="F2449" s="4">
        <v>6.1419965051965598E-11</v>
      </c>
      <c r="G2449" s="4">
        <v>1.4466472105638501E-9</v>
      </c>
      <c r="H2449" s="10" t="s">
        <v>11122</v>
      </c>
      <c r="I2449" s="10" t="s">
        <v>18</v>
      </c>
    </row>
    <row r="2450" spans="1:9" x14ac:dyDescent="0.2">
      <c r="A2450" s="10" t="s">
        <v>6784</v>
      </c>
      <c r="B2450" s="10">
        <v>214.796072848205</v>
      </c>
      <c r="C2450" s="10">
        <v>1.88315996318896</v>
      </c>
      <c r="D2450" s="10">
        <v>0.33986637610319698</v>
      </c>
      <c r="E2450" s="10">
        <v>5.5408834047683397</v>
      </c>
      <c r="F2450" s="4">
        <v>3.0094955372786997E-8</v>
      </c>
      <c r="G2450" s="4">
        <v>4.9094591595490105E-7</v>
      </c>
      <c r="H2450" s="10" t="s">
        <v>6785</v>
      </c>
      <c r="I2450" s="10" t="s">
        <v>18</v>
      </c>
    </row>
    <row r="2451" spans="1:9" x14ac:dyDescent="0.2">
      <c r="A2451" s="10" t="s">
        <v>6786</v>
      </c>
      <c r="B2451" s="10">
        <v>5498.1794230068999</v>
      </c>
      <c r="C2451" s="10">
        <v>1.7136142653828601</v>
      </c>
      <c r="D2451" s="10">
        <v>0.23679465611969799</v>
      </c>
      <c r="E2451" s="10">
        <v>7.2367100400975399</v>
      </c>
      <c r="F2451" s="4">
        <v>4.5969950615708796E-13</v>
      </c>
      <c r="G2451" s="4">
        <v>1.3865396975277599E-11</v>
      </c>
      <c r="H2451" s="10" t="s">
        <v>6787</v>
      </c>
      <c r="I2451" s="10" t="s">
        <v>18</v>
      </c>
    </row>
    <row r="2452" spans="1:9" x14ac:dyDescent="0.2">
      <c r="A2452" s="10" t="s">
        <v>6788</v>
      </c>
      <c r="B2452" s="10">
        <v>347.75030823524799</v>
      </c>
      <c r="C2452" s="10">
        <v>5.0868352703030704</v>
      </c>
      <c r="D2452" s="10">
        <v>0.37297689754845198</v>
      </c>
      <c r="E2452" s="10">
        <v>13.638472794799</v>
      </c>
      <c r="F2452" s="4">
        <v>2.3646075815474199E-42</v>
      </c>
      <c r="G2452" s="4">
        <v>4.5405880697576698E-40</v>
      </c>
      <c r="H2452" s="10" t="s">
        <v>6789</v>
      </c>
      <c r="I2452" s="10" t="s">
        <v>18</v>
      </c>
    </row>
    <row r="2453" spans="1:9" x14ac:dyDescent="0.2">
      <c r="A2453" s="10" t="s">
        <v>11123</v>
      </c>
      <c r="B2453" s="10">
        <v>89.6942500333694</v>
      </c>
      <c r="C2453" s="10">
        <v>-4.11360304211511</v>
      </c>
      <c r="D2453" s="10">
        <v>0.52919392794849995</v>
      </c>
      <c r="E2453" s="10">
        <v>-7.77333757033478</v>
      </c>
      <c r="F2453" s="4">
        <v>7.6444661358208106E-15</v>
      </c>
      <c r="G2453" s="4">
        <v>2.73148502338881E-13</v>
      </c>
      <c r="H2453" s="10" t="s">
        <v>11124</v>
      </c>
      <c r="I2453" s="10" t="s">
        <v>18</v>
      </c>
    </row>
    <row r="2454" spans="1:9" x14ac:dyDescent="0.2">
      <c r="A2454" s="10" t="s">
        <v>6792</v>
      </c>
      <c r="B2454" s="10">
        <v>2416.3071953659801</v>
      </c>
      <c r="C2454" s="10">
        <v>-1.6142202943696899</v>
      </c>
      <c r="D2454" s="10">
        <v>0.28238310257351901</v>
      </c>
      <c r="E2454" s="10">
        <v>-5.7164195720578697</v>
      </c>
      <c r="F2454" s="4">
        <v>1.0879192526686701E-8</v>
      </c>
      <c r="G2454" s="4">
        <v>1.9057527020111701E-7</v>
      </c>
      <c r="H2454" s="10" t="s">
        <v>6793</v>
      </c>
      <c r="I2454" s="10" t="s">
        <v>18</v>
      </c>
    </row>
    <row r="2455" spans="1:9" x14ac:dyDescent="0.2">
      <c r="A2455" s="10" t="s">
        <v>6794</v>
      </c>
      <c r="B2455" s="10">
        <v>1280.7095474862199</v>
      </c>
      <c r="C2455" s="10">
        <v>-2.6945979099033002</v>
      </c>
      <c r="D2455" s="10">
        <v>0.25178042354969798</v>
      </c>
      <c r="E2455" s="10">
        <v>-10.702174028917</v>
      </c>
      <c r="F2455" s="4">
        <v>9.9417869796277498E-27</v>
      </c>
      <c r="G2455" s="4">
        <v>8.6236431542253804E-25</v>
      </c>
      <c r="H2455" s="10" t="s">
        <v>6795</v>
      </c>
      <c r="I2455" s="10" t="s">
        <v>18</v>
      </c>
    </row>
    <row r="2456" spans="1:9" x14ac:dyDescent="0.2">
      <c r="A2456" s="10" t="s">
        <v>6796</v>
      </c>
      <c r="B2456" s="10">
        <v>204.50732681309501</v>
      </c>
      <c r="C2456" s="10">
        <v>7.7487929987998303</v>
      </c>
      <c r="D2456" s="10">
        <v>0.78990805744741499</v>
      </c>
      <c r="E2456" s="10">
        <v>9.8097404194610007</v>
      </c>
      <c r="F2456" s="4">
        <v>1.02231200945407E-22</v>
      </c>
      <c r="G2456" s="4">
        <v>6.5602700504635797E-21</v>
      </c>
      <c r="H2456" s="10" t="s">
        <v>6797</v>
      </c>
      <c r="I2456" s="10" t="s">
        <v>18</v>
      </c>
    </row>
    <row r="2457" spans="1:9" x14ac:dyDescent="0.2">
      <c r="A2457" s="10" t="s">
        <v>11125</v>
      </c>
      <c r="B2457" s="10">
        <v>4114.72997033509</v>
      </c>
      <c r="C2457" s="10">
        <v>1.28735944957172</v>
      </c>
      <c r="D2457" s="10">
        <v>0.26598480363976901</v>
      </c>
      <c r="E2457" s="10">
        <v>4.8399736825387603</v>
      </c>
      <c r="F2457" s="4">
        <v>1.2985632377519599E-6</v>
      </c>
      <c r="G2457" s="4">
        <v>1.5787993352175299E-5</v>
      </c>
      <c r="H2457" s="10" t="s">
        <v>11126</v>
      </c>
      <c r="I2457" s="10" t="s">
        <v>18</v>
      </c>
    </row>
    <row r="2458" spans="1:9" x14ac:dyDescent="0.2">
      <c r="A2458" s="10" t="s">
        <v>6798</v>
      </c>
      <c r="B2458" s="10">
        <v>1624.67357932664</v>
      </c>
      <c r="C2458" s="10">
        <v>-1.1975531837648501</v>
      </c>
      <c r="D2458" s="10">
        <v>0.280714992201753</v>
      </c>
      <c r="E2458" s="10">
        <v>-4.2660820299336004</v>
      </c>
      <c r="F2458" s="4">
        <v>1.9893566062300099E-5</v>
      </c>
      <c r="G2458" s="10">
        <v>1.9049206482571701E-4</v>
      </c>
      <c r="H2458" s="10" t="s">
        <v>6799</v>
      </c>
      <c r="I2458" s="10" t="s">
        <v>18</v>
      </c>
    </row>
    <row r="2459" spans="1:9" x14ac:dyDescent="0.2">
      <c r="A2459" s="10" t="s">
        <v>6800</v>
      </c>
      <c r="B2459" s="10">
        <v>446.267149217471</v>
      </c>
      <c r="C2459" s="10">
        <v>2.1738582355846501</v>
      </c>
      <c r="D2459" s="10">
        <v>0.33737615758536699</v>
      </c>
      <c r="E2459" s="10">
        <v>6.44342579257279</v>
      </c>
      <c r="F2459" s="4">
        <v>1.1680639439596501E-10</v>
      </c>
      <c r="G2459" s="4">
        <v>2.65906321360227E-9</v>
      </c>
      <c r="H2459" s="10" t="s">
        <v>6801</v>
      </c>
      <c r="I2459" s="10" t="s">
        <v>18</v>
      </c>
    </row>
    <row r="2460" spans="1:9" x14ac:dyDescent="0.2">
      <c r="A2460" s="10" t="s">
        <v>6802</v>
      </c>
      <c r="B2460" s="10">
        <v>13912.2833675027</v>
      </c>
      <c r="C2460" s="10">
        <v>2.1765338356158699</v>
      </c>
      <c r="D2460" s="10">
        <v>0.25711655279189699</v>
      </c>
      <c r="E2460" s="10">
        <v>8.4651641910332192</v>
      </c>
      <c r="F2460" s="4">
        <v>2.5579208342378901E-17</v>
      </c>
      <c r="G2460" s="4">
        <v>1.1531272147894999E-15</v>
      </c>
      <c r="H2460" s="10" t="s">
        <v>6803</v>
      </c>
      <c r="I2460" s="10" t="s">
        <v>18</v>
      </c>
    </row>
    <row r="2461" spans="1:9" x14ac:dyDescent="0.2">
      <c r="A2461" s="10" t="s">
        <v>11127</v>
      </c>
      <c r="B2461" s="10">
        <v>1246.4690875812601</v>
      </c>
      <c r="C2461" s="10">
        <v>1.4825986176187</v>
      </c>
      <c r="D2461" s="10">
        <v>0.24998352945150901</v>
      </c>
      <c r="E2461" s="10">
        <v>5.9307852036159296</v>
      </c>
      <c r="F2461" s="4">
        <v>3.0148940504207199E-9</v>
      </c>
      <c r="G2461" s="4">
        <v>5.7280709847683798E-8</v>
      </c>
      <c r="H2461" s="10" t="s">
        <v>11128</v>
      </c>
      <c r="I2461" s="10" t="s">
        <v>18</v>
      </c>
    </row>
    <row r="2462" spans="1:9" x14ac:dyDescent="0.2">
      <c r="A2462" s="10" t="s">
        <v>6808</v>
      </c>
      <c r="B2462" s="10">
        <v>7519.1658695340402</v>
      </c>
      <c r="C2462" s="10">
        <v>2.5467082492805599</v>
      </c>
      <c r="D2462" s="10">
        <v>0.258457955807397</v>
      </c>
      <c r="E2462" s="10">
        <v>9.8534720717916908</v>
      </c>
      <c r="F2462" s="4">
        <v>6.6216128750245001E-23</v>
      </c>
      <c r="G2462" s="4">
        <v>4.2929554605989999E-21</v>
      </c>
      <c r="H2462" s="10" t="s">
        <v>6809</v>
      </c>
      <c r="I2462" s="10" t="s">
        <v>18</v>
      </c>
    </row>
    <row r="2463" spans="1:9" x14ac:dyDescent="0.2">
      <c r="A2463" s="10" t="s">
        <v>6810</v>
      </c>
      <c r="B2463" s="10">
        <v>1163.4274282901999</v>
      </c>
      <c r="C2463" s="10">
        <v>-1.34065691463089</v>
      </c>
      <c r="D2463" s="10">
        <v>0.30183611188294801</v>
      </c>
      <c r="E2463" s="10">
        <v>-4.4416716948394797</v>
      </c>
      <c r="F2463" s="4">
        <v>8.9262680572387193E-6</v>
      </c>
      <c r="G2463" s="4">
        <v>9.2632125816765606E-5</v>
      </c>
      <c r="H2463" s="10" t="s">
        <v>6811</v>
      </c>
      <c r="I2463" s="10" t="s">
        <v>18</v>
      </c>
    </row>
    <row r="2464" spans="1:9" x14ac:dyDescent="0.2">
      <c r="A2464" s="10" t="s">
        <v>11129</v>
      </c>
      <c r="B2464" s="10">
        <v>23.797267347161601</v>
      </c>
      <c r="C2464" s="10">
        <v>-4.4752403564376504</v>
      </c>
      <c r="D2464" s="10">
        <v>0.99063837766976204</v>
      </c>
      <c r="E2464" s="10">
        <v>-4.5175317828535704</v>
      </c>
      <c r="F2464" s="4">
        <v>6.2564639404170496E-6</v>
      </c>
      <c r="G2464" s="4">
        <v>6.7285741950060205E-5</v>
      </c>
      <c r="H2464" s="10" t="s">
        <v>11130</v>
      </c>
      <c r="I2464" s="10" t="s">
        <v>18</v>
      </c>
    </row>
    <row r="2465" spans="1:9" x14ac:dyDescent="0.2">
      <c r="A2465" s="10" t="s">
        <v>11131</v>
      </c>
      <c r="B2465" s="10">
        <v>79.248214431923103</v>
      </c>
      <c r="C2465" s="10">
        <v>-2.7353835712052499</v>
      </c>
      <c r="D2465" s="10">
        <v>0.49101460280300901</v>
      </c>
      <c r="E2465" s="10">
        <v>-5.5708802866351199</v>
      </c>
      <c r="F2465" s="4">
        <v>2.5345544370798299E-8</v>
      </c>
      <c r="G2465" s="4">
        <v>4.1945208463646802E-7</v>
      </c>
      <c r="H2465" s="10" t="s">
        <v>11132</v>
      </c>
      <c r="I2465" s="10" t="s">
        <v>18</v>
      </c>
    </row>
    <row r="2466" spans="1:9" x14ac:dyDescent="0.2">
      <c r="A2466" s="10" t="s">
        <v>6812</v>
      </c>
      <c r="B2466" s="10">
        <v>370.29906241684802</v>
      </c>
      <c r="C2466" s="10">
        <v>-4.5301191178342002</v>
      </c>
      <c r="D2466" s="10">
        <v>0.400230712043599</v>
      </c>
      <c r="E2466" s="10">
        <v>-11.318769353564001</v>
      </c>
      <c r="F2466" s="4">
        <v>1.0594875973648701E-29</v>
      </c>
      <c r="G2466" s="4">
        <v>1.05759565522672E-27</v>
      </c>
      <c r="H2466" s="10" t="s">
        <v>6813</v>
      </c>
      <c r="I2466" s="10" t="s">
        <v>18</v>
      </c>
    </row>
    <row r="2467" spans="1:9" x14ac:dyDescent="0.2">
      <c r="A2467" s="10" t="s">
        <v>6814</v>
      </c>
      <c r="B2467" s="10">
        <v>505.58371719017401</v>
      </c>
      <c r="C2467" s="10">
        <v>-5.10274236859577</v>
      </c>
      <c r="D2467" s="10">
        <v>0.38274531163147801</v>
      </c>
      <c r="E2467" s="10">
        <v>-13.3319526419409</v>
      </c>
      <c r="F2467" s="4">
        <v>1.5089574656339099E-40</v>
      </c>
      <c r="G2467" s="4">
        <v>2.6177810377945498E-38</v>
      </c>
      <c r="H2467" s="10" t="s">
        <v>6815</v>
      </c>
      <c r="I2467" s="10" t="s">
        <v>18</v>
      </c>
    </row>
    <row r="2468" spans="1:9" x14ac:dyDescent="0.2">
      <c r="A2468" s="10" t="s">
        <v>6816</v>
      </c>
      <c r="B2468" s="10">
        <v>310.41151070189898</v>
      </c>
      <c r="C2468" s="10">
        <v>-1.5342187541625301</v>
      </c>
      <c r="D2468" s="10">
        <v>0.29955443608556298</v>
      </c>
      <c r="E2468" s="10">
        <v>-5.1216692839237403</v>
      </c>
      <c r="F2468" s="4">
        <v>3.0284269065234702E-7</v>
      </c>
      <c r="G2468" s="4">
        <v>4.1651218607762704E-6</v>
      </c>
      <c r="H2468" s="10" t="s">
        <v>6817</v>
      </c>
      <c r="I2468" s="10" t="s">
        <v>18</v>
      </c>
    </row>
    <row r="2469" spans="1:9" x14ac:dyDescent="0.2">
      <c r="A2469" s="10" t="s">
        <v>11133</v>
      </c>
      <c r="B2469" s="10">
        <v>110.849601389528</v>
      </c>
      <c r="C2469" s="10">
        <v>-2.0954153333685999</v>
      </c>
      <c r="D2469" s="10">
        <v>0.407531078965641</v>
      </c>
      <c r="E2469" s="10">
        <v>-5.1417313709840098</v>
      </c>
      <c r="F2469" s="4">
        <v>2.7221814852253901E-7</v>
      </c>
      <c r="G2469" s="4">
        <v>3.7819159210385902E-6</v>
      </c>
      <c r="H2469" s="10" t="s">
        <v>11134</v>
      </c>
      <c r="I2469" s="10" t="s">
        <v>18</v>
      </c>
    </row>
    <row r="2470" spans="1:9" x14ac:dyDescent="0.2">
      <c r="A2470" s="10" t="s">
        <v>11135</v>
      </c>
      <c r="B2470" s="10">
        <v>612.76226472770395</v>
      </c>
      <c r="C2470" s="10">
        <v>-1.01140748815043</v>
      </c>
      <c r="D2470" s="10">
        <v>0.31312977367598799</v>
      </c>
      <c r="E2470" s="10">
        <v>-3.2299946321839901</v>
      </c>
      <c r="F2470" s="10">
        <v>1.23792542237232E-3</v>
      </c>
      <c r="G2470" s="10">
        <v>7.3287865379561704E-3</v>
      </c>
      <c r="H2470" s="10" t="s">
        <v>11136</v>
      </c>
      <c r="I2470" s="10" t="s">
        <v>18</v>
      </c>
    </row>
    <row r="2471" spans="1:9" x14ac:dyDescent="0.2">
      <c r="A2471" s="10" t="s">
        <v>6822</v>
      </c>
      <c r="B2471" s="10">
        <v>1226.4534553712899</v>
      </c>
      <c r="C2471" s="10">
        <v>-1.05436866786828</v>
      </c>
      <c r="D2471" s="10">
        <v>0.29680189677074997</v>
      </c>
      <c r="E2471" s="10">
        <v>-3.5524323777576101</v>
      </c>
      <c r="F2471" s="10">
        <v>3.8168710936006199E-4</v>
      </c>
      <c r="G2471" s="10">
        <v>2.6413587994366899E-3</v>
      </c>
      <c r="H2471" s="10" t="s">
        <v>6823</v>
      </c>
      <c r="I2471" s="10" t="s">
        <v>18</v>
      </c>
    </row>
    <row r="2472" spans="1:9" x14ac:dyDescent="0.2">
      <c r="A2472" s="10" t="s">
        <v>11137</v>
      </c>
      <c r="B2472" s="10">
        <v>124.052639609197</v>
      </c>
      <c r="C2472" s="10">
        <v>-1.6018020176248</v>
      </c>
      <c r="D2472" s="10">
        <v>0.42968891828287797</v>
      </c>
      <c r="E2472" s="10">
        <v>-3.7278178455844699</v>
      </c>
      <c r="F2472" s="10">
        <v>1.93144892318499E-4</v>
      </c>
      <c r="G2472" s="10">
        <v>1.4490187194368699E-3</v>
      </c>
      <c r="H2472" s="10" t="s">
        <v>11138</v>
      </c>
      <c r="I2472" s="10" t="s">
        <v>18</v>
      </c>
    </row>
    <row r="2473" spans="1:9" x14ac:dyDescent="0.2">
      <c r="A2473" s="10" t="s">
        <v>6826</v>
      </c>
      <c r="B2473" s="10">
        <v>6758.8174859374103</v>
      </c>
      <c r="C2473" s="10">
        <v>6.8627333763693397</v>
      </c>
      <c r="D2473" s="10">
        <v>0.26964320542807901</v>
      </c>
      <c r="E2473" s="10">
        <v>25.451163753502399</v>
      </c>
      <c r="F2473" s="4">
        <v>6.8531569069097404E-143</v>
      </c>
      <c r="G2473" s="4">
        <v>4.3097790498328599E-139</v>
      </c>
      <c r="H2473" s="10" t="s">
        <v>6827</v>
      </c>
      <c r="I2473" s="10" t="s">
        <v>18</v>
      </c>
    </row>
    <row r="2474" spans="1:9" x14ac:dyDescent="0.2">
      <c r="A2474" s="10" t="s">
        <v>6828</v>
      </c>
      <c r="B2474" s="10">
        <v>34.958795983433497</v>
      </c>
      <c r="C2474" s="10">
        <v>-3.0266573420613199</v>
      </c>
      <c r="D2474" s="10">
        <v>0.68445877554628898</v>
      </c>
      <c r="E2474" s="10">
        <v>-4.42197170990414</v>
      </c>
      <c r="F2474" s="4">
        <v>9.7804264808780105E-6</v>
      </c>
      <c r="G2474" s="10">
        <v>1.00378061251116E-4</v>
      </c>
      <c r="H2474" s="10" t="s">
        <v>6829</v>
      </c>
      <c r="I2474" s="10" t="s">
        <v>18</v>
      </c>
    </row>
    <row r="2475" spans="1:9" x14ac:dyDescent="0.2">
      <c r="A2475" s="10" t="s">
        <v>6830</v>
      </c>
      <c r="B2475" s="10">
        <v>1510.2951816073401</v>
      </c>
      <c r="C2475" s="10">
        <v>-1.5870192968895001</v>
      </c>
      <c r="D2475" s="10">
        <v>0.31453514570880797</v>
      </c>
      <c r="E2475" s="10">
        <v>-5.0456024343897603</v>
      </c>
      <c r="F2475" s="4">
        <v>4.5209460132307899E-7</v>
      </c>
      <c r="G2475" s="4">
        <v>6.0459541181722704E-6</v>
      </c>
      <c r="H2475" s="10" t="s">
        <v>6831</v>
      </c>
      <c r="I2475" s="10" t="s">
        <v>18</v>
      </c>
    </row>
    <row r="2476" spans="1:9" x14ac:dyDescent="0.2">
      <c r="A2476" s="10" t="s">
        <v>6832</v>
      </c>
      <c r="B2476" s="10">
        <v>361.14565667015898</v>
      </c>
      <c r="C2476" s="10">
        <v>4.4307662796042298</v>
      </c>
      <c r="D2476" s="10">
        <v>0.33767794964943099</v>
      </c>
      <c r="E2476" s="10">
        <v>13.1212780822797</v>
      </c>
      <c r="F2476" s="4">
        <v>2.4870482386537501E-39</v>
      </c>
      <c r="G2476" s="4">
        <v>3.9596011672996896E-37</v>
      </c>
      <c r="H2476" s="10" t="s">
        <v>6833</v>
      </c>
      <c r="I2476" s="10" t="s">
        <v>18</v>
      </c>
    </row>
    <row r="2477" spans="1:9" x14ac:dyDescent="0.2">
      <c r="A2477" s="10" t="s">
        <v>11139</v>
      </c>
      <c r="B2477" s="10">
        <v>1175.10444333482</v>
      </c>
      <c r="C2477" s="10">
        <v>-1.7724114232711301</v>
      </c>
      <c r="D2477" s="10">
        <v>0.25214137666311998</v>
      </c>
      <c r="E2477" s="10">
        <v>-7.0294350206519596</v>
      </c>
      <c r="F2477" s="4">
        <v>2.0737149824915899E-12</v>
      </c>
      <c r="G2477" s="4">
        <v>5.7703872106831802E-11</v>
      </c>
      <c r="H2477" s="10" t="s">
        <v>11140</v>
      </c>
      <c r="I2477" s="10" t="s">
        <v>18</v>
      </c>
    </row>
    <row r="2478" spans="1:9" x14ac:dyDescent="0.2">
      <c r="A2478" s="10" t="s">
        <v>11141</v>
      </c>
      <c r="B2478" s="10">
        <v>37.3841826730335</v>
      </c>
      <c r="C2478" s="10">
        <v>-1.9028615520671599</v>
      </c>
      <c r="D2478" s="10">
        <v>0.64313439219189705</v>
      </c>
      <c r="E2478" s="10">
        <v>-2.95873082697682</v>
      </c>
      <c r="F2478" s="10">
        <v>3.0890879618679901E-3</v>
      </c>
      <c r="G2478" s="10">
        <v>1.5797114795850699E-2</v>
      </c>
      <c r="H2478" s="10" t="s">
        <v>11142</v>
      </c>
      <c r="I2478" s="10" t="s">
        <v>18</v>
      </c>
    </row>
    <row r="2479" spans="1:9" x14ac:dyDescent="0.2">
      <c r="A2479" s="10" t="s">
        <v>11143</v>
      </c>
      <c r="B2479" s="10">
        <v>164.803490606135</v>
      </c>
      <c r="C2479" s="10">
        <v>-1.2243013124809701</v>
      </c>
      <c r="D2479" s="10">
        <v>0.38090062676171899</v>
      </c>
      <c r="E2479" s="10">
        <v>-3.2142276133529601</v>
      </c>
      <c r="F2479" s="10">
        <v>1.3079594619459099E-3</v>
      </c>
      <c r="G2479" s="10">
        <v>7.6693986632283004E-3</v>
      </c>
      <c r="H2479" s="10" t="s">
        <v>11144</v>
      </c>
      <c r="I2479" s="10" t="s">
        <v>18</v>
      </c>
    </row>
    <row r="2480" spans="1:9" x14ac:dyDescent="0.2">
      <c r="A2480" s="10" t="s">
        <v>6838</v>
      </c>
      <c r="B2480" s="10">
        <v>93.980726533390694</v>
      </c>
      <c r="C2480" s="10">
        <v>3.6276324856637499</v>
      </c>
      <c r="D2480" s="10">
        <v>0.47367626955647202</v>
      </c>
      <c r="E2480" s="10">
        <v>7.6584636360620104</v>
      </c>
      <c r="F2480" s="4">
        <v>1.8817050275123199E-14</v>
      </c>
      <c r="G2480" s="4">
        <v>6.4453099941513802E-13</v>
      </c>
      <c r="H2480" s="10" t="s">
        <v>6839</v>
      </c>
      <c r="I2480" s="10" t="s">
        <v>18</v>
      </c>
    </row>
    <row r="2481" spans="1:9" x14ac:dyDescent="0.2">
      <c r="A2481" s="10" t="s">
        <v>6842</v>
      </c>
      <c r="B2481" s="10">
        <v>217.974548413045</v>
      </c>
      <c r="C2481" s="10">
        <v>3.4802531161924501</v>
      </c>
      <c r="D2481" s="10">
        <v>0.43201251185110701</v>
      </c>
      <c r="E2481" s="10">
        <v>8.0559081524748102</v>
      </c>
      <c r="F2481" s="4">
        <v>7.8890857485779796E-16</v>
      </c>
      <c r="G2481" s="4">
        <v>3.0959430890090297E-14</v>
      </c>
      <c r="H2481" s="10" t="s">
        <v>6843</v>
      </c>
      <c r="I2481" s="10" t="s">
        <v>18</v>
      </c>
    </row>
    <row r="2482" spans="1:9" x14ac:dyDescent="0.2">
      <c r="A2482" s="10" t="s">
        <v>6844</v>
      </c>
      <c r="B2482" s="10">
        <v>4666.1518692884101</v>
      </c>
      <c r="C2482" s="10">
        <v>2.8387481966817201</v>
      </c>
      <c r="D2482" s="10">
        <v>0.27912624378908601</v>
      </c>
      <c r="E2482" s="10">
        <v>10.170122873959301</v>
      </c>
      <c r="F2482" s="4">
        <v>2.6956839518008298E-24</v>
      </c>
      <c r="G2482" s="4">
        <v>1.9944097002220499E-22</v>
      </c>
      <c r="H2482" s="10" t="s">
        <v>6845</v>
      </c>
      <c r="I2482" s="10" t="s">
        <v>18</v>
      </c>
    </row>
    <row r="2483" spans="1:9" x14ac:dyDescent="0.2">
      <c r="A2483" s="10" t="s">
        <v>11145</v>
      </c>
      <c r="B2483" s="10">
        <v>376.147271607584</v>
      </c>
      <c r="C2483" s="10">
        <v>1.55420624628961</v>
      </c>
      <c r="D2483" s="10">
        <v>0.34929048108204103</v>
      </c>
      <c r="E2483" s="10">
        <v>4.44960950975518</v>
      </c>
      <c r="F2483" s="4">
        <v>8.6026557159761405E-6</v>
      </c>
      <c r="G2483" s="4">
        <v>8.9606544321068195E-5</v>
      </c>
      <c r="H2483" s="10" t="s">
        <v>11146</v>
      </c>
      <c r="I2483" s="10" t="s">
        <v>18</v>
      </c>
    </row>
    <row r="2484" spans="1:9" x14ac:dyDescent="0.2">
      <c r="A2484" s="10" t="s">
        <v>6846</v>
      </c>
      <c r="B2484" s="10">
        <v>25.633708651027401</v>
      </c>
      <c r="C2484" s="10">
        <v>3.4212041492421799</v>
      </c>
      <c r="D2484" s="10">
        <v>0.83318329582356898</v>
      </c>
      <c r="E2484" s="10">
        <v>4.1061842770868999</v>
      </c>
      <c r="F2484" s="4">
        <v>4.02248622685015E-5</v>
      </c>
      <c r="G2484" s="10">
        <v>3.6009124923991299E-4</v>
      </c>
      <c r="H2484" s="10" t="s">
        <v>6847</v>
      </c>
      <c r="I2484" s="10" t="s">
        <v>18</v>
      </c>
    </row>
    <row r="2485" spans="1:9" x14ac:dyDescent="0.2">
      <c r="A2485" s="10" t="s">
        <v>6854</v>
      </c>
      <c r="B2485" s="10">
        <v>88.114134139969394</v>
      </c>
      <c r="C2485" s="10">
        <v>1.10360080590001</v>
      </c>
      <c r="D2485" s="10">
        <v>0.438130671778935</v>
      </c>
      <c r="E2485" s="10">
        <v>2.5188850655423898</v>
      </c>
      <c r="F2485" s="10">
        <v>1.1772707831628501E-2</v>
      </c>
      <c r="G2485" s="10">
        <v>4.83103532633955E-2</v>
      </c>
      <c r="H2485" s="10" t="s">
        <v>6855</v>
      </c>
      <c r="I2485" s="10" t="s">
        <v>18</v>
      </c>
    </row>
    <row r="2486" spans="1:9" x14ac:dyDescent="0.2">
      <c r="A2486" s="10" t="s">
        <v>6858</v>
      </c>
      <c r="B2486" s="10">
        <v>501.80381963636302</v>
      </c>
      <c r="C2486" s="10">
        <v>-1.3488431734211299</v>
      </c>
      <c r="D2486" s="10">
        <v>0.32077369766097302</v>
      </c>
      <c r="E2486" s="10">
        <v>-4.20496812318674</v>
      </c>
      <c r="F2486" s="4">
        <v>2.6111895640565501E-5</v>
      </c>
      <c r="G2486" s="10">
        <v>2.4454383277677799E-4</v>
      </c>
      <c r="H2486" s="10" t="s">
        <v>6859</v>
      </c>
      <c r="I2486" s="10" t="s">
        <v>18</v>
      </c>
    </row>
    <row r="2487" spans="1:9" x14ac:dyDescent="0.2">
      <c r="A2487" s="10" t="s">
        <v>11147</v>
      </c>
      <c r="B2487" s="10">
        <v>13.778116846701201</v>
      </c>
      <c r="C2487" s="10">
        <v>-3.64159265251444</v>
      </c>
      <c r="D2487" s="10">
        <v>1.10923866026994</v>
      </c>
      <c r="E2487" s="10">
        <v>-3.2829658602308598</v>
      </c>
      <c r="F2487" s="10">
        <v>1.02721104885516E-3</v>
      </c>
      <c r="G2487" s="10">
        <v>6.2474598486343099E-3</v>
      </c>
      <c r="H2487" s="10" t="s">
        <v>11148</v>
      </c>
      <c r="I2487" s="10" t="s">
        <v>18</v>
      </c>
    </row>
    <row r="2488" spans="1:9" x14ac:dyDescent="0.2">
      <c r="A2488" s="10" t="s">
        <v>6862</v>
      </c>
      <c r="B2488" s="10">
        <v>1837.01427621677</v>
      </c>
      <c r="C2488" s="10">
        <v>-1.0746244757998</v>
      </c>
      <c r="D2488" s="10">
        <v>0.29245876017884698</v>
      </c>
      <c r="E2488" s="10">
        <v>-3.6744478952951698</v>
      </c>
      <c r="F2488" s="10">
        <v>2.38364279148961E-4</v>
      </c>
      <c r="G2488" s="10">
        <v>1.74405277544855E-3</v>
      </c>
      <c r="H2488" s="10" t="s">
        <v>6863</v>
      </c>
      <c r="I2488" s="10" t="s">
        <v>18</v>
      </c>
    </row>
    <row r="2489" spans="1:9" x14ac:dyDescent="0.2">
      <c r="A2489" s="10" t="s">
        <v>6864</v>
      </c>
      <c r="B2489" s="10">
        <v>126.554569112007</v>
      </c>
      <c r="C2489" s="10">
        <v>-2.1115246497635498</v>
      </c>
      <c r="D2489" s="10">
        <v>0.43586817601495098</v>
      </c>
      <c r="E2489" s="10">
        <v>-4.8444111452888503</v>
      </c>
      <c r="F2489" s="4">
        <v>1.2698773095570199E-6</v>
      </c>
      <c r="G2489" s="4">
        <v>1.5484131712024601E-5</v>
      </c>
      <c r="H2489" s="10" t="s">
        <v>6865</v>
      </c>
      <c r="I2489" s="10" t="s">
        <v>18</v>
      </c>
    </row>
    <row r="2490" spans="1:9" x14ac:dyDescent="0.2">
      <c r="A2490" s="10" t="s">
        <v>11149</v>
      </c>
      <c r="B2490" s="10">
        <v>758.52702850880701</v>
      </c>
      <c r="C2490" s="10">
        <v>-1.0055771863740499</v>
      </c>
      <c r="D2490" s="10">
        <v>0.286383958210501</v>
      </c>
      <c r="E2490" s="10">
        <v>-3.5112902016492198</v>
      </c>
      <c r="F2490" s="10">
        <v>4.4593729812227799E-4</v>
      </c>
      <c r="G2490" s="10">
        <v>3.0268625834500599E-3</v>
      </c>
      <c r="H2490" s="10" t="s">
        <v>11150</v>
      </c>
      <c r="I2490" s="10" t="s">
        <v>18</v>
      </c>
    </row>
    <row r="2491" spans="1:9" x14ac:dyDescent="0.2">
      <c r="A2491" s="10" t="s">
        <v>6866</v>
      </c>
      <c r="B2491" s="10">
        <v>2747.3039137436599</v>
      </c>
      <c r="C2491" s="10">
        <v>1.26789008522572</v>
      </c>
      <c r="D2491" s="10">
        <v>0.27666764751712197</v>
      </c>
      <c r="E2491" s="10">
        <v>4.5827190009531398</v>
      </c>
      <c r="F2491" s="4">
        <v>4.5896861825324402E-6</v>
      </c>
      <c r="G2491" s="4">
        <v>5.0834588382625602E-5</v>
      </c>
      <c r="H2491" s="10" t="s">
        <v>6867</v>
      </c>
      <c r="I2491" s="10" t="s">
        <v>18</v>
      </c>
    </row>
    <row r="2492" spans="1:9" x14ac:dyDescent="0.2">
      <c r="A2492" s="10" t="s">
        <v>6874</v>
      </c>
      <c r="B2492" s="10">
        <v>5548.8481296058499</v>
      </c>
      <c r="C2492" s="10">
        <v>1.82454210792266</v>
      </c>
      <c r="D2492" s="10">
        <v>0.29572673368705399</v>
      </c>
      <c r="E2492" s="10">
        <v>6.1696894466546404</v>
      </c>
      <c r="F2492" s="4">
        <v>6.8424249442285402E-10</v>
      </c>
      <c r="G2492" s="4">
        <v>1.42720729247155E-8</v>
      </c>
      <c r="H2492" s="10" t="s">
        <v>6875</v>
      </c>
      <c r="I2492" s="10" t="s">
        <v>18</v>
      </c>
    </row>
    <row r="2493" spans="1:9" x14ac:dyDescent="0.2">
      <c r="A2493" s="10" t="s">
        <v>6876</v>
      </c>
      <c r="B2493" s="10">
        <v>17.990901957333701</v>
      </c>
      <c r="C2493" s="10">
        <v>2.5494894074175001</v>
      </c>
      <c r="D2493" s="10">
        <v>0.85476913560227996</v>
      </c>
      <c r="E2493" s="10">
        <v>2.98266432563817</v>
      </c>
      <c r="F2493" s="10">
        <v>2.8575120516471002E-3</v>
      </c>
      <c r="G2493" s="10">
        <v>1.4790270711766E-2</v>
      </c>
      <c r="H2493" s="10" t="s">
        <v>6877</v>
      </c>
      <c r="I2493" s="10" t="s">
        <v>18</v>
      </c>
    </row>
    <row r="2494" spans="1:9" x14ac:dyDescent="0.2">
      <c r="A2494" s="10" t="s">
        <v>6878</v>
      </c>
      <c r="B2494" s="10">
        <v>2083.8292454532402</v>
      </c>
      <c r="C2494" s="10">
        <v>1.91779644575841</v>
      </c>
      <c r="D2494" s="10">
        <v>0.28828606469301798</v>
      </c>
      <c r="E2494" s="10">
        <v>6.6524077318845896</v>
      </c>
      <c r="F2494" s="4">
        <v>2.8833658298641399E-11</v>
      </c>
      <c r="G2494" s="4">
        <v>7.0282042102938395E-10</v>
      </c>
      <c r="H2494" s="10" t="s">
        <v>6879</v>
      </c>
      <c r="I2494" s="10" t="s">
        <v>18</v>
      </c>
    </row>
    <row r="2495" spans="1:9" x14ac:dyDescent="0.2">
      <c r="A2495" s="10" t="s">
        <v>6880</v>
      </c>
      <c r="B2495" s="10">
        <v>58.768509206589002</v>
      </c>
      <c r="C2495" s="10">
        <v>2.6352137098112398</v>
      </c>
      <c r="D2495" s="10">
        <v>0.52598266240352598</v>
      </c>
      <c r="E2495" s="10">
        <v>5.0100771340435299</v>
      </c>
      <c r="F2495" s="4">
        <v>5.4408223994707501E-7</v>
      </c>
      <c r="G2495" s="4">
        <v>7.1731597200569602E-6</v>
      </c>
      <c r="H2495" s="10" t="s">
        <v>6881</v>
      </c>
      <c r="I2495" s="10" t="s">
        <v>18</v>
      </c>
    </row>
    <row r="2496" spans="1:9" x14ac:dyDescent="0.2">
      <c r="A2496" s="10" t="s">
        <v>6882</v>
      </c>
      <c r="B2496" s="10">
        <v>826.17686579102201</v>
      </c>
      <c r="C2496" s="10">
        <v>2.4111662164505399</v>
      </c>
      <c r="D2496" s="10">
        <v>0.308607922928261</v>
      </c>
      <c r="E2496" s="10">
        <v>7.8130405518171004</v>
      </c>
      <c r="F2496" s="4">
        <v>5.5824625489661401E-15</v>
      </c>
      <c r="G2496" s="4">
        <v>2.0263614057610799E-13</v>
      </c>
      <c r="H2496" s="10" t="s">
        <v>6883</v>
      </c>
      <c r="I2496" s="10" t="s">
        <v>18</v>
      </c>
    </row>
    <row r="2497" spans="1:9" x14ac:dyDescent="0.2">
      <c r="A2497" s="10" t="s">
        <v>11151</v>
      </c>
      <c r="B2497" s="10">
        <v>1783.3840617323799</v>
      </c>
      <c r="C2497" s="10">
        <v>-1.1601643537579001</v>
      </c>
      <c r="D2497" s="10">
        <v>0.253010952946363</v>
      </c>
      <c r="E2497" s="10">
        <v>-4.5854313429816296</v>
      </c>
      <c r="F2497" s="4">
        <v>4.5305013543768099E-6</v>
      </c>
      <c r="G2497" s="4">
        <v>5.0226867152643701E-5</v>
      </c>
      <c r="H2497" s="10" t="s">
        <v>11152</v>
      </c>
      <c r="I2497" s="10" t="s">
        <v>18</v>
      </c>
    </row>
    <row r="2498" spans="1:9" x14ac:dyDescent="0.2">
      <c r="A2498" s="10" t="s">
        <v>11153</v>
      </c>
      <c r="B2498" s="10">
        <v>9631.80219505889</v>
      </c>
      <c r="C2498" s="10">
        <v>1.2170509315750999</v>
      </c>
      <c r="D2498" s="10">
        <v>0.24875031772602799</v>
      </c>
      <c r="E2498" s="10">
        <v>4.8926608122589599</v>
      </c>
      <c r="F2498" s="4">
        <v>9.9481771080862706E-7</v>
      </c>
      <c r="G2498" s="4">
        <v>1.24748950724781E-5</v>
      </c>
      <c r="H2498" s="10" t="s">
        <v>11154</v>
      </c>
      <c r="I2498" s="10" t="s">
        <v>18</v>
      </c>
    </row>
    <row r="2499" spans="1:9" x14ac:dyDescent="0.2">
      <c r="A2499" s="10" t="s">
        <v>11155</v>
      </c>
      <c r="B2499" s="10">
        <v>8532.0155324422703</v>
      </c>
      <c r="C2499" s="10">
        <v>1.0795491104033299</v>
      </c>
      <c r="D2499" s="10">
        <v>0.28770995457519899</v>
      </c>
      <c r="E2499" s="10">
        <v>3.7522132732503701</v>
      </c>
      <c r="F2499" s="10">
        <v>1.75280249667813E-4</v>
      </c>
      <c r="G2499" s="10">
        <v>1.3264665103471199E-3</v>
      </c>
      <c r="H2499" s="10" t="s">
        <v>11156</v>
      </c>
      <c r="I2499" s="10" t="s">
        <v>18</v>
      </c>
    </row>
    <row r="2500" spans="1:9" x14ac:dyDescent="0.2">
      <c r="A2500" s="10" t="s">
        <v>6892</v>
      </c>
      <c r="B2500" s="10">
        <v>123.88320457234001</v>
      </c>
      <c r="C2500" s="10">
        <v>-1.70444645399104</v>
      </c>
      <c r="D2500" s="10">
        <v>0.38296438271142602</v>
      </c>
      <c r="E2500" s="10">
        <v>-4.4506657301219104</v>
      </c>
      <c r="F2500" s="4">
        <v>8.5604500487993506E-6</v>
      </c>
      <c r="G2500" s="4">
        <v>8.92408292488801E-5</v>
      </c>
      <c r="H2500" s="10" t="s">
        <v>6893</v>
      </c>
      <c r="I2500" s="10" t="s">
        <v>18</v>
      </c>
    </row>
    <row r="2501" spans="1:9" x14ac:dyDescent="0.2">
      <c r="A2501" s="10" t="s">
        <v>6894</v>
      </c>
      <c r="B2501" s="10">
        <v>236.571305222718</v>
      </c>
      <c r="C2501" s="10">
        <v>1.55287645704449</v>
      </c>
      <c r="D2501" s="10">
        <v>0.31718469667951599</v>
      </c>
      <c r="E2501" s="10">
        <v>4.8958114098850096</v>
      </c>
      <c r="F2501" s="4">
        <v>9.7900921822862991E-7</v>
      </c>
      <c r="G2501" s="4">
        <v>1.22950458734604E-5</v>
      </c>
      <c r="H2501" s="10" t="s">
        <v>6895</v>
      </c>
      <c r="I2501" s="10" t="s">
        <v>18</v>
      </c>
    </row>
    <row r="2502" spans="1:9" x14ac:dyDescent="0.2">
      <c r="A2502" s="10" t="s">
        <v>6908</v>
      </c>
      <c r="B2502" s="10">
        <v>121.675146619166</v>
      </c>
      <c r="C2502" s="10">
        <v>-1.9820548026826199</v>
      </c>
      <c r="D2502" s="10">
        <v>0.38307546623302502</v>
      </c>
      <c r="E2502" s="10">
        <v>-5.1740583185166296</v>
      </c>
      <c r="F2502" s="4">
        <v>2.2906327636376101E-7</v>
      </c>
      <c r="G2502" s="4">
        <v>3.2316807161696E-6</v>
      </c>
      <c r="H2502" s="10" t="s">
        <v>6909</v>
      </c>
      <c r="I2502" s="10" t="s">
        <v>18</v>
      </c>
    </row>
    <row r="2503" spans="1:9" x14ac:dyDescent="0.2">
      <c r="A2503" s="10" t="s">
        <v>6910</v>
      </c>
      <c r="B2503" s="10">
        <v>25.2608867732249</v>
      </c>
      <c r="C2503" s="10">
        <v>2.20790674528729</v>
      </c>
      <c r="D2503" s="10">
        <v>0.71732388959188698</v>
      </c>
      <c r="E2503" s="10">
        <v>3.07797743435458</v>
      </c>
      <c r="F2503" s="10">
        <v>2.08410695978166E-3</v>
      </c>
      <c r="G2503" s="10">
        <v>1.13475564011488E-2</v>
      </c>
      <c r="H2503" s="10" t="s">
        <v>6911</v>
      </c>
      <c r="I2503" s="10" t="s">
        <v>18</v>
      </c>
    </row>
    <row r="2504" spans="1:9" x14ac:dyDescent="0.2">
      <c r="A2504" s="10" t="s">
        <v>6916</v>
      </c>
      <c r="B2504" s="10">
        <v>411.26577150031397</v>
      </c>
      <c r="C2504" s="10">
        <v>2.6638938203409301</v>
      </c>
      <c r="D2504" s="10">
        <v>0.309663484221744</v>
      </c>
      <c r="E2504" s="10">
        <v>8.6025442329305104</v>
      </c>
      <c r="F2504" s="4">
        <v>7.7968089234926797E-18</v>
      </c>
      <c r="G2504" s="4">
        <v>3.60530750864813E-16</v>
      </c>
      <c r="H2504" s="10" t="s">
        <v>6917</v>
      </c>
      <c r="I2504" s="10" t="s">
        <v>18</v>
      </c>
    </row>
    <row r="2505" spans="1:9" x14ac:dyDescent="0.2">
      <c r="A2505" s="10" t="s">
        <v>6922</v>
      </c>
      <c r="B2505" s="10">
        <v>122.38529887299499</v>
      </c>
      <c r="C2505" s="10">
        <v>-1.8557231117030299</v>
      </c>
      <c r="D2505" s="10">
        <v>0.38936096715177398</v>
      </c>
      <c r="E2505" s="10">
        <v>-4.7660738190525098</v>
      </c>
      <c r="F2505" s="4">
        <v>1.87850458824496E-6</v>
      </c>
      <c r="G2505" s="4">
        <v>2.2195294935322699E-5</v>
      </c>
      <c r="H2505" s="10" t="s">
        <v>6923</v>
      </c>
      <c r="I2505" s="10" t="s">
        <v>18</v>
      </c>
    </row>
    <row r="2506" spans="1:9" x14ac:dyDescent="0.2">
      <c r="A2506" s="10" t="s">
        <v>11157</v>
      </c>
      <c r="B2506" s="10">
        <v>1415.39238311246</v>
      </c>
      <c r="C2506" s="10">
        <v>-1.0519460023626801</v>
      </c>
      <c r="D2506" s="10">
        <v>0.27353484971387498</v>
      </c>
      <c r="E2506" s="10">
        <v>-3.8457476386026999</v>
      </c>
      <c r="F2506" s="10">
        <v>1.2018541202076201E-4</v>
      </c>
      <c r="G2506" s="10">
        <v>9.5612398462437099E-4</v>
      </c>
      <c r="H2506" s="10" t="s">
        <v>11158</v>
      </c>
      <c r="I2506" s="10" t="s">
        <v>18</v>
      </c>
    </row>
    <row r="2507" spans="1:9" x14ac:dyDescent="0.2">
      <c r="A2507" s="10" t="s">
        <v>11159</v>
      </c>
      <c r="B2507" s="10">
        <v>9.9369718111004595</v>
      </c>
      <c r="C2507" s="10">
        <v>-3.0978378189347699</v>
      </c>
      <c r="D2507" s="10">
        <v>1.2063948523925601</v>
      </c>
      <c r="E2507" s="10">
        <v>-2.56784734516319</v>
      </c>
      <c r="F2507" s="10">
        <v>1.0233220985609999E-2</v>
      </c>
      <c r="G2507" s="10">
        <v>4.3089500149484303E-2</v>
      </c>
      <c r="H2507" s="10" t="s">
        <v>11160</v>
      </c>
      <c r="I2507" s="10" t="s">
        <v>18</v>
      </c>
    </row>
    <row r="2508" spans="1:9" x14ac:dyDescent="0.2">
      <c r="A2508" s="10" t="s">
        <v>6930</v>
      </c>
      <c r="B2508" s="10">
        <v>35.176777690850201</v>
      </c>
      <c r="C2508" s="10">
        <v>1.9299360779279799</v>
      </c>
      <c r="D2508" s="10">
        <v>0.67895976768527599</v>
      </c>
      <c r="E2508" s="10">
        <v>2.8424895992108099</v>
      </c>
      <c r="F2508" s="10">
        <v>4.4762691620842598E-3</v>
      </c>
      <c r="G2508" s="10">
        <v>2.1628995538269202E-2</v>
      </c>
      <c r="H2508" s="10" t="s">
        <v>6931</v>
      </c>
      <c r="I2508" s="10" t="s">
        <v>18</v>
      </c>
    </row>
    <row r="2509" spans="1:9" x14ac:dyDescent="0.2">
      <c r="A2509" s="10" t="s">
        <v>6934</v>
      </c>
      <c r="B2509" s="10">
        <v>729.94713669793498</v>
      </c>
      <c r="C2509" s="10">
        <v>-3.2954810653213702</v>
      </c>
      <c r="D2509" s="10">
        <v>0.32749354463848901</v>
      </c>
      <c r="E2509" s="10">
        <v>-10.062735950899899</v>
      </c>
      <c r="F2509" s="4">
        <v>8.0723237916774096E-24</v>
      </c>
      <c r="G2509" s="4">
        <v>5.6405362494345899E-22</v>
      </c>
      <c r="H2509" s="10" t="s">
        <v>6935</v>
      </c>
      <c r="I2509" s="10" t="s">
        <v>18</v>
      </c>
    </row>
    <row r="2510" spans="1:9" x14ac:dyDescent="0.2">
      <c r="A2510" s="10" t="s">
        <v>6936</v>
      </c>
      <c r="B2510" s="10">
        <v>129.26717405008799</v>
      </c>
      <c r="C2510" s="10">
        <v>1.60391551973427</v>
      </c>
      <c r="D2510" s="10">
        <v>0.37457880333208199</v>
      </c>
      <c r="E2510" s="10">
        <v>4.2819174642734001</v>
      </c>
      <c r="F2510" s="4">
        <v>1.85289712825061E-5</v>
      </c>
      <c r="G2510" s="10">
        <v>1.78923713094603E-4</v>
      </c>
      <c r="H2510" s="10" t="s">
        <v>6937</v>
      </c>
      <c r="I2510" s="10" t="s">
        <v>18</v>
      </c>
    </row>
    <row r="2511" spans="1:9" x14ac:dyDescent="0.2">
      <c r="A2511" s="10" t="s">
        <v>6938</v>
      </c>
      <c r="B2511" s="10">
        <v>227.33599536090901</v>
      </c>
      <c r="C2511" s="10">
        <v>2.0712551973304598</v>
      </c>
      <c r="D2511" s="10">
        <v>0.33696879763408</v>
      </c>
      <c r="E2511" s="10">
        <v>6.14672697256578</v>
      </c>
      <c r="F2511" s="4">
        <v>7.9098107568622596E-10</v>
      </c>
      <c r="G2511" s="4">
        <v>1.63627705254005E-8</v>
      </c>
      <c r="H2511" s="10" t="s">
        <v>6939</v>
      </c>
      <c r="I2511" s="10" t="s">
        <v>18</v>
      </c>
    </row>
    <row r="2512" spans="1:9" x14ac:dyDescent="0.2">
      <c r="A2512" s="10" t="s">
        <v>6940</v>
      </c>
      <c r="B2512" s="10">
        <v>9.2676381843546096</v>
      </c>
      <c r="C2512" s="10">
        <v>5.2377508519837797</v>
      </c>
      <c r="D2512" s="10">
        <v>1.7434551656043999</v>
      </c>
      <c r="E2512" s="10">
        <v>3.0042360453634198</v>
      </c>
      <c r="F2512" s="10">
        <v>2.6624867215667499E-3</v>
      </c>
      <c r="G2512" s="10">
        <v>1.39298780118577E-2</v>
      </c>
      <c r="H2512" s="10" t="s">
        <v>6941</v>
      </c>
      <c r="I2512" s="10" t="s">
        <v>18</v>
      </c>
    </row>
    <row r="2513" spans="1:9" x14ac:dyDescent="0.2">
      <c r="A2513" s="10" t="s">
        <v>11161</v>
      </c>
      <c r="B2513" s="10">
        <v>3328.72376757145</v>
      </c>
      <c r="C2513" s="10">
        <v>2.26326032393994</v>
      </c>
      <c r="D2513" s="10">
        <v>0.26284157704886102</v>
      </c>
      <c r="E2513" s="10">
        <v>8.6107394018534897</v>
      </c>
      <c r="F2513" s="4">
        <v>7.2590835673966794E-18</v>
      </c>
      <c r="G2513" s="4">
        <v>3.3628406471061399E-16</v>
      </c>
      <c r="H2513" s="10" t="s">
        <v>11162</v>
      </c>
      <c r="I2513" s="10" t="s">
        <v>18</v>
      </c>
    </row>
    <row r="2514" spans="1:9" x14ac:dyDescent="0.2">
      <c r="A2514" s="10" t="s">
        <v>6942</v>
      </c>
      <c r="B2514" s="10">
        <v>1104.0661136300901</v>
      </c>
      <c r="C2514" s="10">
        <v>-2.1273766620532202</v>
      </c>
      <c r="D2514" s="10">
        <v>0.28062697835375</v>
      </c>
      <c r="E2514" s="10">
        <v>-7.5807988046377703</v>
      </c>
      <c r="F2514" s="4">
        <v>3.4343382853515098E-14</v>
      </c>
      <c r="G2514" s="4">
        <v>1.15034326988039E-12</v>
      </c>
      <c r="H2514" s="10" t="s">
        <v>6943</v>
      </c>
      <c r="I2514" s="10" t="s">
        <v>18</v>
      </c>
    </row>
    <row r="2515" spans="1:9" x14ac:dyDescent="0.2">
      <c r="A2515" s="10" t="s">
        <v>11163</v>
      </c>
      <c r="B2515" s="10">
        <v>10.524299564171599</v>
      </c>
      <c r="C2515" s="10">
        <v>3.0236844844195101</v>
      </c>
      <c r="D2515" s="10">
        <v>1.17383838367411</v>
      </c>
      <c r="E2515" s="10">
        <v>2.57589505205596</v>
      </c>
      <c r="F2515" s="10">
        <v>9.99809874796799E-3</v>
      </c>
      <c r="G2515" s="10">
        <v>4.22836001566195E-2</v>
      </c>
      <c r="H2515" s="10" t="s">
        <v>11164</v>
      </c>
      <c r="I2515" s="10" t="s">
        <v>18</v>
      </c>
    </row>
    <row r="2516" spans="1:9" x14ac:dyDescent="0.2">
      <c r="A2516" s="10" t="s">
        <v>6944</v>
      </c>
      <c r="B2516" s="10">
        <v>32.636351984318701</v>
      </c>
      <c r="C2516" s="10">
        <v>5.0309718259614904</v>
      </c>
      <c r="D2516" s="10">
        <v>0.94021796546847702</v>
      </c>
      <c r="E2516" s="10">
        <v>5.3508569403422701</v>
      </c>
      <c r="F2516" s="4">
        <v>8.7538705564410004E-8</v>
      </c>
      <c r="G2516" s="4">
        <v>1.3209574915853201E-6</v>
      </c>
      <c r="H2516" s="10" t="s">
        <v>6945</v>
      </c>
      <c r="I2516" s="10" t="s">
        <v>18</v>
      </c>
    </row>
    <row r="2517" spans="1:9" x14ac:dyDescent="0.2">
      <c r="A2517" s="10" t="s">
        <v>11165</v>
      </c>
      <c r="B2517" s="10">
        <v>101.641243923727</v>
      </c>
      <c r="C2517" s="10">
        <v>-1.7145463158338501</v>
      </c>
      <c r="D2517" s="10">
        <v>0.41161505512240198</v>
      </c>
      <c r="E2517" s="10">
        <v>-4.1654120627924902</v>
      </c>
      <c r="F2517" s="4">
        <v>3.1079070385820997E-5</v>
      </c>
      <c r="G2517" s="10">
        <v>2.8543045474820202E-4</v>
      </c>
      <c r="H2517" s="10" t="s">
        <v>11166</v>
      </c>
      <c r="I2517" s="10" t="s">
        <v>18</v>
      </c>
    </row>
    <row r="2518" spans="1:9" x14ac:dyDescent="0.2">
      <c r="A2518" s="10" t="s">
        <v>6950</v>
      </c>
      <c r="B2518" s="10">
        <v>267.42718325897602</v>
      </c>
      <c r="C2518" s="10">
        <v>-1.4602509840776301</v>
      </c>
      <c r="D2518" s="10">
        <v>0.36066320324545298</v>
      </c>
      <c r="E2518" s="10">
        <v>-4.0487939189178803</v>
      </c>
      <c r="F2518" s="4">
        <v>5.1482251298083199E-5</v>
      </c>
      <c r="G2518" s="10">
        <v>4.5107489773712399E-4</v>
      </c>
      <c r="H2518" s="10" t="s">
        <v>6951</v>
      </c>
      <c r="I2518" s="10" t="s">
        <v>18</v>
      </c>
    </row>
    <row r="2519" spans="1:9" x14ac:dyDescent="0.2">
      <c r="A2519" s="10" t="s">
        <v>6952</v>
      </c>
      <c r="B2519" s="10">
        <v>14.487752902177199</v>
      </c>
      <c r="C2519" s="10">
        <v>4.3186555571409597</v>
      </c>
      <c r="D2519" s="10">
        <v>1.20098541445201</v>
      </c>
      <c r="E2519" s="10">
        <v>3.5959267324753301</v>
      </c>
      <c r="F2519" s="10">
        <v>3.2323877475535801E-4</v>
      </c>
      <c r="G2519" s="10">
        <v>2.2891529783139199E-3</v>
      </c>
      <c r="H2519" s="10" t="s">
        <v>6953</v>
      </c>
      <c r="I2519" s="10" t="s">
        <v>18</v>
      </c>
    </row>
    <row r="2520" spans="1:9" x14ac:dyDescent="0.2">
      <c r="A2520" s="10" t="s">
        <v>11167</v>
      </c>
      <c r="B2520" s="10">
        <v>405.52666277635501</v>
      </c>
      <c r="C2520" s="10">
        <v>1.5576030003013599</v>
      </c>
      <c r="D2520" s="10">
        <v>0.36153288753093898</v>
      </c>
      <c r="E2520" s="10">
        <v>4.3083300413937202</v>
      </c>
      <c r="F2520" s="4">
        <v>1.6449180488631502E-5</v>
      </c>
      <c r="G2520" s="10">
        <v>1.6062854627000201E-4</v>
      </c>
      <c r="H2520" s="10" t="s">
        <v>11168</v>
      </c>
      <c r="I2520" s="10" t="s">
        <v>18</v>
      </c>
    </row>
    <row r="2521" spans="1:9" x14ac:dyDescent="0.2">
      <c r="A2521" s="10" t="s">
        <v>6954</v>
      </c>
      <c r="B2521" s="10">
        <v>667.46952511008999</v>
      </c>
      <c r="C2521" s="10">
        <v>-1.1387553694333099</v>
      </c>
      <c r="D2521" s="10">
        <v>0.308885145764767</v>
      </c>
      <c r="E2521" s="10">
        <v>-3.68666277756371</v>
      </c>
      <c r="F2521" s="10">
        <v>2.27214126394854E-4</v>
      </c>
      <c r="G2521" s="10">
        <v>1.6726869620903001E-3</v>
      </c>
      <c r="H2521" s="10" t="s">
        <v>6955</v>
      </c>
      <c r="I2521" s="10" t="s">
        <v>18</v>
      </c>
    </row>
    <row r="2522" spans="1:9" x14ac:dyDescent="0.2">
      <c r="A2522" s="10" t="s">
        <v>6956</v>
      </c>
      <c r="B2522" s="10">
        <v>146.18962386511899</v>
      </c>
      <c r="C2522" s="10">
        <v>5.9432510531214904</v>
      </c>
      <c r="D2522" s="10">
        <v>0.59377525004735598</v>
      </c>
      <c r="E2522" s="10">
        <v>10.009260326440801</v>
      </c>
      <c r="F2522" s="4">
        <v>1.3878628654042899E-23</v>
      </c>
      <c r="G2522" s="4">
        <v>9.4868723856644008E-22</v>
      </c>
      <c r="H2522" s="10" t="s">
        <v>6957</v>
      </c>
      <c r="I2522" s="10" t="s">
        <v>18</v>
      </c>
    </row>
    <row r="2523" spans="1:9" x14ac:dyDescent="0.2">
      <c r="A2523" s="10" t="s">
        <v>11169</v>
      </c>
      <c r="B2523" s="10">
        <v>499.17043421254999</v>
      </c>
      <c r="C2523" s="10">
        <v>2.4061410561926899</v>
      </c>
      <c r="D2523" s="10">
        <v>0.35347492565664801</v>
      </c>
      <c r="E2523" s="10">
        <v>6.8071053462217002</v>
      </c>
      <c r="F2523" s="4">
        <v>9.9582013985886402E-12</v>
      </c>
      <c r="G2523" s="4">
        <v>2.55610771613773E-10</v>
      </c>
      <c r="H2523" s="10" t="s">
        <v>11170</v>
      </c>
      <c r="I2523" s="10" t="s">
        <v>18</v>
      </c>
    </row>
    <row r="2524" spans="1:9" x14ac:dyDescent="0.2">
      <c r="A2524" s="10" t="s">
        <v>11171</v>
      </c>
      <c r="B2524" s="10">
        <v>524.20269800103802</v>
      </c>
      <c r="C2524" s="10">
        <v>1.8204873494928799</v>
      </c>
      <c r="D2524" s="10">
        <v>0.288036141410901</v>
      </c>
      <c r="E2524" s="10">
        <v>6.3203434838958099</v>
      </c>
      <c r="F2524" s="4">
        <v>2.6098254736326801E-10</v>
      </c>
      <c r="G2524" s="4">
        <v>5.7487005069378297E-9</v>
      </c>
      <c r="H2524" s="10" t="s">
        <v>11172</v>
      </c>
      <c r="I2524" s="10" t="s">
        <v>18</v>
      </c>
    </row>
    <row r="2525" spans="1:9" x14ac:dyDescent="0.2">
      <c r="A2525" s="10" t="s">
        <v>11173</v>
      </c>
      <c r="B2525" s="10">
        <v>814.84907819146395</v>
      </c>
      <c r="C2525" s="10">
        <v>1.27159186951155</v>
      </c>
      <c r="D2525" s="10">
        <v>0.278278610844996</v>
      </c>
      <c r="E2525" s="10">
        <v>4.5694919406502299</v>
      </c>
      <c r="F2525" s="4">
        <v>4.8890796574553401E-6</v>
      </c>
      <c r="G2525" s="4">
        <v>5.3658289172464701E-5</v>
      </c>
      <c r="H2525" s="10" t="s">
        <v>11174</v>
      </c>
      <c r="I2525" s="10" t="s">
        <v>18</v>
      </c>
    </row>
    <row r="2526" spans="1:9" x14ac:dyDescent="0.2">
      <c r="A2526" s="10" t="s">
        <v>6968</v>
      </c>
      <c r="B2526" s="10">
        <v>287.65345040674703</v>
      </c>
      <c r="C2526" s="10">
        <v>-1.23027145478417</v>
      </c>
      <c r="D2526" s="10">
        <v>0.32976456420049999</v>
      </c>
      <c r="E2526" s="10">
        <v>-3.7307569955762401</v>
      </c>
      <c r="F2526" s="10">
        <v>1.9090529370196501E-4</v>
      </c>
      <c r="G2526" s="10">
        <v>1.4343556341317001E-3</v>
      </c>
      <c r="H2526" s="10" t="s">
        <v>6969</v>
      </c>
      <c r="I2526" s="10" t="s">
        <v>18</v>
      </c>
    </row>
    <row r="2527" spans="1:9" x14ac:dyDescent="0.2">
      <c r="A2527" s="10" t="s">
        <v>11175</v>
      </c>
      <c r="B2527" s="10">
        <v>1293.6344306892499</v>
      </c>
      <c r="C2527" s="10">
        <v>1.5749908533760699</v>
      </c>
      <c r="D2527" s="10">
        <v>0.30734850252034701</v>
      </c>
      <c r="E2527" s="10">
        <v>5.1244461595247097</v>
      </c>
      <c r="F2527" s="4">
        <v>2.98413603432468E-7</v>
      </c>
      <c r="G2527" s="4">
        <v>4.1169048924332699E-6</v>
      </c>
      <c r="H2527" s="10" t="s">
        <v>11176</v>
      </c>
      <c r="I2527" s="10" t="s">
        <v>18</v>
      </c>
    </row>
    <row r="2528" spans="1:9" x14ac:dyDescent="0.2">
      <c r="A2528" s="10" t="s">
        <v>11177</v>
      </c>
      <c r="B2528" s="10">
        <v>181.68507909719699</v>
      </c>
      <c r="C2528" s="10">
        <v>1.61252798371691</v>
      </c>
      <c r="D2528" s="10">
        <v>0.41769318630874702</v>
      </c>
      <c r="E2528" s="10">
        <v>3.8605561128904098</v>
      </c>
      <c r="F2528" s="10">
        <v>1.13129256520158E-4</v>
      </c>
      <c r="G2528" s="10">
        <v>9.06295047058782E-4</v>
      </c>
      <c r="H2528" s="10" t="s">
        <v>11178</v>
      </c>
      <c r="I2528" s="10" t="s">
        <v>18</v>
      </c>
    </row>
    <row r="2529" spans="1:9" x14ac:dyDescent="0.2">
      <c r="A2529" s="10" t="s">
        <v>11179</v>
      </c>
      <c r="B2529" s="10">
        <v>1158.5626311753799</v>
      </c>
      <c r="C2529" s="10">
        <v>1.0390031292115001</v>
      </c>
      <c r="D2529" s="10">
        <v>0.31878835191325899</v>
      </c>
      <c r="E2529" s="10">
        <v>3.2592255111448001</v>
      </c>
      <c r="F2529" s="10">
        <v>1.1171682758698001E-3</v>
      </c>
      <c r="G2529" s="10">
        <v>6.7022103456963597E-3</v>
      </c>
      <c r="H2529" s="10" t="s">
        <v>11180</v>
      </c>
      <c r="I2529" s="10" t="s">
        <v>18</v>
      </c>
    </row>
    <row r="2530" spans="1:9" x14ac:dyDescent="0.2">
      <c r="A2530" s="10" t="s">
        <v>6974</v>
      </c>
      <c r="B2530" s="10">
        <v>40.9097155290657</v>
      </c>
      <c r="C2530" s="10">
        <v>1.61591383534802</v>
      </c>
      <c r="D2530" s="10">
        <v>0.57808955733001399</v>
      </c>
      <c r="E2530" s="10">
        <v>2.7952655689048198</v>
      </c>
      <c r="F2530" s="10">
        <v>5.1857096867426603E-3</v>
      </c>
      <c r="G2530" s="10">
        <v>2.4441920024360499E-2</v>
      </c>
      <c r="H2530" s="10" t="s">
        <v>6975</v>
      </c>
      <c r="I2530" s="10" t="s">
        <v>18</v>
      </c>
    </row>
    <row r="2531" spans="1:9" x14ac:dyDescent="0.2">
      <c r="A2531" s="10" t="s">
        <v>11181</v>
      </c>
      <c r="B2531" s="10">
        <v>771.95533011468399</v>
      </c>
      <c r="C2531" s="10">
        <v>1.80452242889851</v>
      </c>
      <c r="D2531" s="10">
        <v>0.27681044616669598</v>
      </c>
      <c r="E2531" s="10">
        <v>6.5189824079537102</v>
      </c>
      <c r="F2531" s="4">
        <v>7.0785954483043104E-11</v>
      </c>
      <c r="G2531" s="4">
        <v>1.65331539927665E-9</v>
      </c>
      <c r="H2531" s="10" t="s">
        <v>11182</v>
      </c>
      <c r="I2531" s="10" t="s">
        <v>18</v>
      </c>
    </row>
    <row r="2532" spans="1:9" x14ac:dyDescent="0.2">
      <c r="A2532" s="10" t="s">
        <v>6976</v>
      </c>
      <c r="B2532" s="10">
        <v>627.83666915491801</v>
      </c>
      <c r="C2532" s="10">
        <v>-2.0882149060973498</v>
      </c>
      <c r="D2532" s="10">
        <v>0.35706954597615098</v>
      </c>
      <c r="E2532" s="10">
        <v>-5.8482022049475502</v>
      </c>
      <c r="F2532" s="4">
        <v>4.9691427969738496E-9</v>
      </c>
      <c r="G2532" s="4">
        <v>9.21012574817078E-8</v>
      </c>
      <c r="H2532" s="10" t="s">
        <v>6977</v>
      </c>
      <c r="I2532" s="10" t="s">
        <v>18</v>
      </c>
    </row>
    <row r="2533" spans="1:9" x14ac:dyDescent="0.2">
      <c r="A2533" s="10" t="s">
        <v>6978</v>
      </c>
      <c r="B2533" s="10">
        <v>1062.2734431772301</v>
      </c>
      <c r="C2533" s="10">
        <v>-1.3661642691927101</v>
      </c>
      <c r="D2533" s="10">
        <v>0.27324309689534998</v>
      </c>
      <c r="E2533" s="10">
        <v>-4.9998125651311396</v>
      </c>
      <c r="F2533" s="4">
        <v>5.7386073114717704E-7</v>
      </c>
      <c r="G2533" s="4">
        <v>7.5341684196279899E-6</v>
      </c>
      <c r="H2533" s="10" t="s">
        <v>6979</v>
      </c>
      <c r="I2533" s="10" t="s">
        <v>18</v>
      </c>
    </row>
    <row r="2534" spans="1:9" x14ac:dyDescent="0.2">
      <c r="A2534" s="10" t="s">
        <v>11183</v>
      </c>
      <c r="B2534" s="10">
        <v>872.42539111876397</v>
      </c>
      <c r="C2534" s="10">
        <v>-1.0864326303059899</v>
      </c>
      <c r="D2534" s="10">
        <v>0.28797541705095298</v>
      </c>
      <c r="E2534" s="10">
        <v>-3.7726575463688499</v>
      </c>
      <c r="F2534" s="10">
        <v>1.6151791182499999E-4</v>
      </c>
      <c r="G2534" s="10">
        <v>1.2372055639335801E-3</v>
      </c>
      <c r="H2534" s="10" t="s">
        <v>11184</v>
      </c>
      <c r="I2534" s="10" t="s">
        <v>18</v>
      </c>
    </row>
    <row r="2535" spans="1:9" x14ac:dyDescent="0.2">
      <c r="A2535" s="10" t="s">
        <v>11185</v>
      </c>
      <c r="B2535" s="10">
        <v>3078.4278339893399</v>
      </c>
      <c r="C2535" s="10">
        <v>1.1124423478994701</v>
      </c>
      <c r="D2535" s="10">
        <v>0.264949510866267</v>
      </c>
      <c r="E2535" s="10">
        <v>4.1986956090701</v>
      </c>
      <c r="F2535" s="4">
        <v>2.68456895731234E-5</v>
      </c>
      <c r="G2535" s="10">
        <v>2.5057637150720501E-4</v>
      </c>
      <c r="H2535" s="10" t="s">
        <v>11186</v>
      </c>
      <c r="I2535" s="10" t="s">
        <v>18</v>
      </c>
    </row>
    <row r="2536" spans="1:9" x14ac:dyDescent="0.2">
      <c r="A2536" s="10" t="s">
        <v>11187</v>
      </c>
      <c r="B2536" s="10">
        <v>2977.64637109661</v>
      </c>
      <c r="C2536" s="10">
        <v>1.0581651772062299</v>
      </c>
      <c r="D2536" s="10">
        <v>0.27729279644050597</v>
      </c>
      <c r="E2536" s="10">
        <v>3.8160572174591501</v>
      </c>
      <c r="F2536" s="10">
        <v>1.3560107290191799E-4</v>
      </c>
      <c r="G2536" s="10">
        <v>1.0603186163654799E-3</v>
      </c>
      <c r="H2536" s="10" t="s">
        <v>11188</v>
      </c>
      <c r="I2536" s="10" t="s">
        <v>18</v>
      </c>
    </row>
    <row r="2537" spans="1:9" x14ac:dyDescent="0.2">
      <c r="A2537" s="10" t="s">
        <v>11189</v>
      </c>
      <c r="B2537" s="10">
        <v>2697.7072113934801</v>
      </c>
      <c r="C2537" s="10">
        <v>1.0694941843197501</v>
      </c>
      <c r="D2537" s="10">
        <v>0.26902426645091698</v>
      </c>
      <c r="E2537" s="10">
        <v>3.9754561862726301</v>
      </c>
      <c r="F2537" s="4">
        <v>7.0244475827655096E-5</v>
      </c>
      <c r="G2537" s="10">
        <v>5.9474917180904203E-4</v>
      </c>
      <c r="H2537" s="10" t="s">
        <v>11190</v>
      </c>
      <c r="I2537" s="10" t="s">
        <v>18</v>
      </c>
    </row>
    <row r="2538" spans="1:9" x14ac:dyDescent="0.2">
      <c r="A2538" s="10" t="s">
        <v>6990</v>
      </c>
      <c r="B2538" s="10">
        <v>421.54809204039998</v>
      </c>
      <c r="C2538" s="10">
        <v>1.48495454065169</v>
      </c>
      <c r="D2538" s="10">
        <v>0.30936387152990302</v>
      </c>
      <c r="E2538" s="10">
        <v>4.8000257215172502</v>
      </c>
      <c r="F2538" s="4">
        <v>1.5864525352846201E-6</v>
      </c>
      <c r="G2538" s="4">
        <v>1.8985353722685401E-5</v>
      </c>
      <c r="H2538" s="10" t="s">
        <v>6991</v>
      </c>
      <c r="I2538" s="10" t="s">
        <v>18</v>
      </c>
    </row>
    <row r="2539" spans="1:9" x14ac:dyDescent="0.2">
      <c r="A2539" s="10" t="s">
        <v>11191</v>
      </c>
      <c r="B2539" s="10">
        <v>115.471363240939</v>
      </c>
      <c r="C2539" s="10">
        <v>1.1692670461313099</v>
      </c>
      <c r="D2539" s="10">
        <v>0.41328125527082199</v>
      </c>
      <c r="E2539" s="10">
        <v>2.8292283553124</v>
      </c>
      <c r="F2539" s="10">
        <v>4.6660392442760597E-3</v>
      </c>
      <c r="G2539" s="10">
        <v>2.2391113542496101E-2</v>
      </c>
      <c r="H2539" s="10" t="s">
        <v>11192</v>
      </c>
      <c r="I2539" s="10" t="s">
        <v>18</v>
      </c>
    </row>
    <row r="2540" spans="1:9" x14ac:dyDescent="0.2">
      <c r="A2540" s="10" t="s">
        <v>6994</v>
      </c>
      <c r="B2540" s="10">
        <v>31.0954547331432</v>
      </c>
      <c r="C2540" s="10">
        <v>3.3439753239151599</v>
      </c>
      <c r="D2540" s="10">
        <v>0.73471597921072496</v>
      </c>
      <c r="E2540" s="10">
        <v>4.5513850501896798</v>
      </c>
      <c r="F2540" s="4">
        <v>5.32939121269279E-6</v>
      </c>
      <c r="G2540" s="4">
        <v>5.8135661732561601E-5</v>
      </c>
      <c r="H2540" s="10" t="s">
        <v>6995</v>
      </c>
      <c r="I2540" s="10" t="s">
        <v>18</v>
      </c>
    </row>
    <row r="2541" spans="1:9" x14ac:dyDescent="0.2">
      <c r="A2541" s="10" t="s">
        <v>6996</v>
      </c>
      <c r="B2541" s="10">
        <v>43.998061892764603</v>
      </c>
      <c r="C2541" s="10">
        <v>4.2786387193286401</v>
      </c>
      <c r="D2541" s="10">
        <v>0.70680498213194398</v>
      </c>
      <c r="E2541" s="10">
        <v>6.0534925863467102</v>
      </c>
      <c r="F2541" s="4">
        <v>1.4173859857200901E-9</v>
      </c>
      <c r="G2541" s="4">
        <v>2.8162989313419401E-8</v>
      </c>
      <c r="H2541" s="10" t="s">
        <v>6997</v>
      </c>
      <c r="I2541" s="10" t="s">
        <v>18</v>
      </c>
    </row>
    <row r="2542" spans="1:9" x14ac:dyDescent="0.2">
      <c r="A2542" s="10" t="s">
        <v>6998</v>
      </c>
      <c r="B2542" s="10">
        <v>39.351239690777597</v>
      </c>
      <c r="C2542" s="10">
        <v>4.7240318535769097</v>
      </c>
      <c r="D2542" s="10">
        <v>0.80255581776612905</v>
      </c>
      <c r="E2542" s="10">
        <v>5.8862346381414197</v>
      </c>
      <c r="F2542" s="4">
        <v>3.9509329794099296E-9</v>
      </c>
      <c r="G2542" s="4">
        <v>7.4057912889014003E-8</v>
      </c>
      <c r="H2542" s="10" t="s">
        <v>6999</v>
      </c>
      <c r="I2542" s="10" t="s">
        <v>18</v>
      </c>
    </row>
    <row r="2543" spans="1:9" x14ac:dyDescent="0.2">
      <c r="A2543" s="10" t="s">
        <v>7002</v>
      </c>
      <c r="B2543" s="10">
        <v>124.937098796404</v>
      </c>
      <c r="C2543" s="10">
        <v>2.99481188572712</v>
      </c>
      <c r="D2543" s="10">
        <v>0.431647394801565</v>
      </c>
      <c r="E2543" s="10">
        <v>6.9380979053606397</v>
      </c>
      <c r="F2543" s="4">
        <v>3.9741427406526998E-12</v>
      </c>
      <c r="G2543" s="4">
        <v>1.0784202873907099E-10</v>
      </c>
      <c r="H2543" s="10" t="s">
        <v>7003</v>
      </c>
      <c r="I2543" s="10" t="s">
        <v>18</v>
      </c>
    </row>
    <row r="2544" spans="1:9" x14ac:dyDescent="0.2">
      <c r="A2544" s="10" t="s">
        <v>7006</v>
      </c>
      <c r="B2544" s="10">
        <v>587.15777715656805</v>
      </c>
      <c r="C2544" s="10">
        <v>-1.1482141340687599</v>
      </c>
      <c r="D2544" s="10">
        <v>0.33251787640582497</v>
      </c>
      <c r="E2544" s="10">
        <v>-3.4530899405462701</v>
      </c>
      <c r="F2544" s="10">
        <v>5.5420418825813096E-4</v>
      </c>
      <c r="G2544" s="10">
        <v>3.6600174207490899E-3</v>
      </c>
      <c r="H2544" s="10" t="s">
        <v>7007</v>
      </c>
      <c r="I2544" s="10" t="s">
        <v>18</v>
      </c>
    </row>
    <row r="2545" spans="1:9" x14ac:dyDescent="0.2">
      <c r="A2545" s="10" t="s">
        <v>7010</v>
      </c>
      <c r="B2545" s="10">
        <v>256.00984102108998</v>
      </c>
      <c r="C2545" s="10">
        <v>7.6625268369523898</v>
      </c>
      <c r="D2545" s="10">
        <v>1.63034516263704</v>
      </c>
      <c r="E2545" s="10">
        <v>4.6999414679517599</v>
      </c>
      <c r="F2545" s="4">
        <v>2.6023606882410401E-6</v>
      </c>
      <c r="G2545" s="4">
        <v>3.0001092168975E-5</v>
      </c>
      <c r="H2545" s="10" t="s">
        <v>7011</v>
      </c>
      <c r="I2545" s="10" t="s">
        <v>18</v>
      </c>
    </row>
    <row r="2546" spans="1:9" x14ac:dyDescent="0.2">
      <c r="A2546" s="10" t="s">
        <v>11193</v>
      </c>
      <c r="B2546" s="10">
        <v>564.06420016621803</v>
      </c>
      <c r="C2546" s="10">
        <v>-1.2350884335780301</v>
      </c>
      <c r="D2546" s="10">
        <v>0.27173125023772299</v>
      </c>
      <c r="E2546" s="10">
        <v>-4.54525724405093</v>
      </c>
      <c r="F2546" s="4">
        <v>5.4868201516653203E-6</v>
      </c>
      <c r="G2546" s="4">
        <v>5.9723479409407697E-5</v>
      </c>
      <c r="H2546" s="10" t="s">
        <v>11194</v>
      </c>
      <c r="I2546" s="10" t="s">
        <v>18</v>
      </c>
    </row>
    <row r="2547" spans="1:9" x14ac:dyDescent="0.2">
      <c r="A2547" s="10" t="s">
        <v>7016</v>
      </c>
      <c r="B2547" s="10">
        <v>3540.99302554012</v>
      </c>
      <c r="C2547" s="10">
        <v>-1.3087449343495801</v>
      </c>
      <c r="D2547" s="10">
        <v>0.24594371244672</v>
      </c>
      <c r="E2547" s="10">
        <v>-5.3213189364745599</v>
      </c>
      <c r="F2547" s="4">
        <v>1.03017611665954E-7</v>
      </c>
      <c r="G2547" s="4">
        <v>1.53884086784862E-6</v>
      </c>
      <c r="H2547" s="10" t="s">
        <v>7017</v>
      </c>
      <c r="I2547" s="10" t="s">
        <v>18</v>
      </c>
    </row>
    <row r="2548" spans="1:9" x14ac:dyDescent="0.2">
      <c r="A2548" s="10" t="s">
        <v>11195</v>
      </c>
      <c r="B2548" s="10">
        <v>1662.3398759495999</v>
      </c>
      <c r="C2548" s="10">
        <v>-1.09603818037463</v>
      </c>
      <c r="D2548" s="10">
        <v>0.246327406276412</v>
      </c>
      <c r="E2548" s="10">
        <v>-4.4495178061702303</v>
      </c>
      <c r="F2548" s="4">
        <v>8.6063294810159401E-6</v>
      </c>
      <c r="G2548" s="4">
        <v>8.9607706165130803E-5</v>
      </c>
      <c r="H2548" s="10" t="s">
        <v>11196</v>
      </c>
      <c r="I2548" s="10" t="s">
        <v>18</v>
      </c>
    </row>
    <row r="2549" spans="1:9" x14ac:dyDescent="0.2">
      <c r="A2549" s="10" t="s">
        <v>11197</v>
      </c>
      <c r="B2549" s="10">
        <v>1400.9589750857299</v>
      </c>
      <c r="C2549" s="10">
        <v>-1.7586437801925201</v>
      </c>
      <c r="D2549" s="10">
        <v>0.2752244734664</v>
      </c>
      <c r="E2549" s="10">
        <v>-6.3898524649452</v>
      </c>
      <c r="F2549" s="4">
        <v>1.6604588092918099E-10</v>
      </c>
      <c r="G2549" s="4">
        <v>3.7127858975764901E-9</v>
      </c>
      <c r="H2549" s="10" t="s">
        <v>11198</v>
      </c>
      <c r="I2549" s="10" t="s">
        <v>18</v>
      </c>
    </row>
    <row r="2550" spans="1:9" x14ac:dyDescent="0.2">
      <c r="A2550" s="10" t="s">
        <v>11199</v>
      </c>
      <c r="B2550" s="10">
        <v>102.91595194016099</v>
      </c>
      <c r="C2550" s="10">
        <v>-1.6705753265091701</v>
      </c>
      <c r="D2550" s="10">
        <v>0.45488740635284203</v>
      </c>
      <c r="E2550" s="10">
        <v>-3.6725029164983098</v>
      </c>
      <c r="F2550" s="10">
        <v>2.4018640923290801E-4</v>
      </c>
      <c r="G2550" s="10">
        <v>1.754832740126E-3</v>
      </c>
      <c r="H2550" s="10" t="s">
        <v>11200</v>
      </c>
      <c r="I2550" s="10" t="s">
        <v>18</v>
      </c>
    </row>
    <row r="2551" spans="1:9" x14ac:dyDescent="0.2">
      <c r="A2551" s="10" t="s">
        <v>7022</v>
      </c>
      <c r="B2551" s="10">
        <v>133.182845393001</v>
      </c>
      <c r="C2551" s="10">
        <v>1.5927945678549</v>
      </c>
      <c r="D2551" s="10">
        <v>0.370902753562804</v>
      </c>
      <c r="E2551" s="10">
        <v>4.2943724535741303</v>
      </c>
      <c r="F2551" s="4">
        <v>1.7518816055884299E-5</v>
      </c>
      <c r="G2551" s="10">
        <v>1.7041214922110199E-4</v>
      </c>
      <c r="H2551" s="10" t="s">
        <v>7023</v>
      </c>
      <c r="I2551" s="10" t="s">
        <v>18</v>
      </c>
    </row>
    <row r="2552" spans="1:9" x14ac:dyDescent="0.2">
      <c r="A2552" s="10" t="s">
        <v>7024</v>
      </c>
      <c r="B2552" s="10">
        <v>233.006754295344</v>
      </c>
      <c r="C2552" s="10">
        <v>-1.32401210555981</v>
      </c>
      <c r="D2552" s="10">
        <v>0.38003435839191502</v>
      </c>
      <c r="E2552" s="10">
        <v>-3.4839273774146702</v>
      </c>
      <c r="F2552" s="10">
        <v>4.9411354135600399E-4</v>
      </c>
      <c r="G2552" s="10">
        <v>3.3074577256014602E-3</v>
      </c>
      <c r="H2552" s="10" t="s">
        <v>7025</v>
      </c>
      <c r="I2552" s="10" t="s">
        <v>18</v>
      </c>
    </row>
    <row r="2553" spans="1:9" x14ac:dyDescent="0.2">
      <c r="A2553" s="10" t="s">
        <v>11201</v>
      </c>
      <c r="B2553" s="10">
        <v>260.92576243429198</v>
      </c>
      <c r="C2553" s="10">
        <v>-1.35067655536833</v>
      </c>
      <c r="D2553" s="10">
        <v>0.35191008130656098</v>
      </c>
      <c r="E2553" s="10">
        <v>-3.83812975847006</v>
      </c>
      <c r="F2553" s="10">
        <v>1.2397496797767401E-4</v>
      </c>
      <c r="G2553" s="10">
        <v>9.8099726941755202E-4</v>
      </c>
      <c r="H2553" s="10" t="s">
        <v>11202</v>
      </c>
      <c r="I2553" s="10" t="s">
        <v>18</v>
      </c>
    </row>
    <row r="2554" spans="1:9" x14ac:dyDescent="0.2">
      <c r="A2554" s="10" t="s">
        <v>7032</v>
      </c>
      <c r="B2554" s="10">
        <v>1011.3400026385</v>
      </c>
      <c r="C2554" s="10">
        <v>-1.2377474920793701</v>
      </c>
      <c r="D2554" s="10">
        <v>0.30035844270207301</v>
      </c>
      <c r="E2554" s="10">
        <v>-4.1209012836276404</v>
      </c>
      <c r="F2554" s="4">
        <v>3.77393115974766E-5</v>
      </c>
      <c r="G2554" s="10">
        <v>3.4026250295144203E-4</v>
      </c>
      <c r="H2554" s="10" t="s">
        <v>7033</v>
      </c>
      <c r="I2554" s="10" t="s">
        <v>18</v>
      </c>
    </row>
    <row r="2555" spans="1:9" x14ac:dyDescent="0.2">
      <c r="A2555" s="10" t="s">
        <v>7034</v>
      </c>
      <c r="B2555" s="10">
        <v>161.146486156077</v>
      </c>
      <c r="C2555" s="10">
        <v>-1.35284341987631</v>
      </c>
      <c r="D2555" s="10">
        <v>0.39313662868406202</v>
      </c>
      <c r="E2555" s="10">
        <v>-3.4411533323787702</v>
      </c>
      <c r="F2555" s="10">
        <v>5.7924018700749203E-4</v>
      </c>
      <c r="G2555" s="10">
        <v>3.8033899514939898E-3</v>
      </c>
      <c r="H2555" s="10" t="s">
        <v>7035</v>
      </c>
      <c r="I2555" s="10" t="s">
        <v>18</v>
      </c>
    </row>
    <row r="2556" spans="1:9" x14ac:dyDescent="0.2">
      <c r="A2556" s="10" t="s">
        <v>7036</v>
      </c>
      <c r="B2556" s="10">
        <v>14498.618429799</v>
      </c>
      <c r="C2556" s="10">
        <v>-1.27880009391437</v>
      </c>
      <c r="D2556" s="10">
        <v>0.27946143327239398</v>
      </c>
      <c r="E2556" s="10">
        <v>-4.57594480547841</v>
      </c>
      <c r="F2556" s="4">
        <v>4.7407553296972899E-6</v>
      </c>
      <c r="G2556" s="4">
        <v>5.22355235736029E-5</v>
      </c>
      <c r="H2556" s="10" t="s">
        <v>7037</v>
      </c>
      <c r="I2556" s="10" t="s">
        <v>18</v>
      </c>
    </row>
    <row r="2557" spans="1:9" x14ac:dyDescent="0.2">
      <c r="A2557" s="10" t="s">
        <v>7038</v>
      </c>
      <c r="B2557" s="10">
        <v>269.10084843637799</v>
      </c>
      <c r="C2557" s="10">
        <v>1.19690582311537</v>
      </c>
      <c r="D2557" s="10">
        <v>0.31727840947470998</v>
      </c>
      <c r="E2557" s="10">
        <v>3.77241497490165</v>
      </c>
      <c r="F2557" s="10">
        <v>1.6167506884248801E-4</v>
      </c>
      <c r="G2557" s="10">
        <v>1.23803237647878E-3</v>
      </c>
      <c r="H2557" s="10" t="s">
        <v>7039</v>
      </c>
      <c r="I2557" s="10" t="s">
        <v>18</v>
      </c>
    </row>
    <row r="2558" spans="1:9" x14ac:dyDescent="0.2">
      <c r="A2558" s="10" t="s">
        <v>11203</v>
      </c>
      <c r="B2558" s="10">
        <v>338.447811281226</v>
      </c>
      <c r="C2558" s="10">
        <v>1.0799787071765199</v>
      </c>
      <c r="D2558" s="10">
        <v>0.31152373648954301</v>
      </c>
      <c r="E2558" s="10">
        <v>3.4667621778887101</v>
      </c>
      <c r="F2558" s="10">
        <v>5.2676773574464905E-4</v>
      </c>
      <c r="G2558" s="10">
        <v>3.4982165329134501E-3</v>
      </c>
      <c r="H2558" s="10" t="s">
        <v>11204</v>
      </c>
      <c r="I2558" s="10" t="s">
        <v>18</v>
      </c>
    </row>
    <row r="2559" spans="1:9" x14ac:dyDescent="0.2">
      <c r="A2559" s="10" t="s">
        <v>11205</v>
      </c>
      <c r="B2559" s="10">
        <v>1701.06058391382</v>
      </c>
      <c r="C2559" s="10">
        <v>1.0619882167632599</v>
      </c>
      <c r="D2559" s="10">
        <v>0.26730070068040701</v>
      </c>
      <c r="E2559" s="10">
        <v>3.9730094760694401</v>
      </c>
      <c r="F2559" s="4">
        <v>7.0970224624721499E-5</v>
      </c>
      <c r="G2559" s="10">
        <v>5.9968290239666405E-4</v>
      </c>
      <c r="H2559" s="10" t="s">
        <v>11206</v>
      </c>
      <c r="I2559" s="10" t="s">
        <v>18</v>
      </c>
    </row>
    <row r="2560" spans="1:9" x14ac:dyDescent="0.2">
      <c r="A2560" s="10" t="s">
        <v>7042</v>
      </c>
      <c r="B2560" s="10">
        <v>179.02412904847401</v>
      </c>
      <c r="C2560" s="10">
        <v>1.76950969892367</v>
      </c>
      <c r="D2560" s="10">
        <v>0.36467288898134598</v>
      </c>
      <c r="E2560" s="10">
        <v>4.85232040107645</v>
      </c>
      <c r="F2560" s="4">
        <v>1.22025273204311E-6</v>
      </c>
      <c r="G2560" s="4">
        <v>1.4915188277232399E-5</v>
      </c>
      <c r="H2560" s="10" t="s">
        <v>7043</v>
      </c>
      <c r="I2560" s="10" t="s">
        <v>18</v>
      </c>
    </row>
    <row r="2561" spans="1:9" x14ac:dyDescent="0.2">
      <c r="A2561" s="10" t="s">
        <v>11207</v>
      </c>
      <c r="B2561" s="10">
        <v>26.640374573569002</v>
      </c>
      <c r="C2561" s="10">
        <v>-1.99616131667234</v>
      </c>
      <c r="D2561" s="10">
        <v>0.71336868611125603</v>
      </c>
      <c r="E2561" s="10">
        <v>-2.7982183063766</v>
      </c>
      <c r="F2561" s="10">
        <v>5.1385369380216404E-3</v>
      </c>
      <c r="G2561" s="10">
        <v>2.42650453681123E-2</v>
      </c>
      <c r="H2561" s="10" t="s">
        <v>11208</v>
      </c>
      <c r="I2561" s="10" t="s">
        <v>18</v>
      </c>
    </row>
    <row r="2562" spans="1:9" x14ac:dyDescent="0.2">
      <c r="A2562" s="10" t="s">
        <v>11209</v>
      </c>
      <c r="B2562" s="10">
        <v>1878.54153588398</v>
      </c>
      <c r="C2562" s="10">
        <v>1.62951914468135</v>
      </c>
      <c r="D2562" s="10">
        <v>0.270428007788242</v>
      </c>
      <c r="E2562" s="10">
        <v>6.0257040607914201</v>
      </c>
      <c r="F2562" s="4">
        <v>1.6837502741822999E-9</v>
      </c>
      <c r="G2562" s="4">
        <v>3.30324957021369E-8</v>
      </c>
      <c r="H2562" s="10" t="s">
        <v>11210</v>
      </c>
      <c r="I2562" s="10" t="s">
        <v>18</v>
      </c>
    </row>
    <row r="2563" spans="1:9" x14ac:dyDescent="0.2">
      <c r="A2563" s="10" t="s">
        <v>7044</v>
      </c>
      <c r="B2563" s="10">
        <v>81.046023613012295</v>
      </c>
      <c r="C2563" s="10">
        <v>2.41054081987247</v>
      </c>
      <c r="D2563" s="10">
        <v>0.46115612697192099</v>
      </c>
      <c r="E2563" s="10">
        <v>5.2271685854002303</v>
      </c>
      <c r="F2563" s="4">
        <v>1.72125545760181E-7</v>
      </c>
      <c r="G2563" s="4">
        <v>2.4826938667416002E-6</v>
      </c>
      <c r="H2563" s="10" t="s">
        <v>7045</v>
      </c>
      <c r="I2563" s="10" t="s">
        <v>18</v>
      </c>
    </row>
    <row r="2564" spans="1:9" x14ac:dyDescent="0.2">
      <c r="A2564" s="10" t="s">
        <v>7046</v>
      </c>
      <c r="B2564" s="10">
        <v>116.502790209484</v>
      </c>
      <c r="C2564" s="10">
        <v>-1.3608175650141601</v>
      </c>
      <c r="D2564" s="10">
        <v>0.40268401545215199</v>
      </c>
      <c r="E2564" s="10">
        <v>-3.37936822122469</v>
      </c>
      <c r="F2564" s="10">
        <v>7.2652628216475805E-4</v>
      </c>
      <c r="G2564" s="10">
        <v>4.6491398188385899E-3</v>
      </c>
      <c r="H2564" s="10" t="s">
        <v>7047</v>
      </c>
      <c r="I2564" s="10" t="s">
        <v>18</v>
      </c>
    </row>
    <row r="2565" spans="1:9" x14ac:dyDescent="0.2">
      <c r="A2565" s="10" t="s">
        <v>7048</v>
      </c>
      <c r="B2565" s="10">
        <v>21.986105008728401</v>
      </c>
      <c r="C2565" s="10">
        <v>2.6646439548822398</v>
      </c>
      <c r="D2565" s="10">
        <v>0.83072180705941201</v>
      </c>
      <c r="E2565" s="10">
        <v>3.2076249019085501</v>
      </c>
      <c r="F2565" s="10">
        <v>1.3383593069992801E-3</v>
      </c>
      <c r="G2565" s="10">
        <v>7.8239433807964099E-3</v>
      </c>
      <c r="H2565" s="10" t="s">
        <v>7049</v>
      </c>
      <c r="I2565" s="10" t="s">
        <v>18</v>
      </c>
    </row>
    <row r="2566" spans="1:9" x14ac:dyDescent="0.2">
      <c r="A2566" s="10" t="s">
        <v>7052</v>
      </c>
      <c r="B2566" s="10">
        <v>1595.46017420667</v>
      </c>
      <c r="C2566" s="10">
        <v>-1.4411011574572099</v>
      </c>
      <c r="D2566" s="10">
        <v>0.30834578403461699</v>
      </c>
      <c r="E2566" s="10">
        <v>-4.6736528665993298</v>
      </c>
      <c r="F2566" s="4">
        <v>2.9588928429143401E-6</v>
      </c>
      <c r="G2566" s="4">
        <v>3.3801521100594997E-5</v>
      </c>
      <c r="H2566" s="10" t="s">
        <v>7053</v>
      </c>
      <c r="I2566" s="10" t="s">
        <v>18</v>
      </c>
    </row>
    <row r="2567" spans="1:9" x14ac:dyDescent="0.2">
      <c r="A2567" s="10" t="s">
        <v>7060</v>
      </c>
      <c r="B2567" s="10">
        <v>10650.8376282848</v>
      </c>
      <c r="C2567" s="10">
        <v>-1.13198992672607</v>
      </c>
      <c r="D2567" s="10">
        <v>0.241245659946936</v>
      </c>
      <c r="E2567" s="10">
        <v>-4.6922706380502701</v>
      </c>
      <c r="F2567" s="4">
        <v>2.7018937235282099E-6</v>
      </c>
      <c r="G2567" s="4">
        <v>3.1034765577786402E-5</v>
      </c>
      <c r="H2567" s="10" t="s">
        <v>7061</v>
      </c>
      <c r="I2567" s="10" t="s">
        <v>18</v>
      </c>
    </row>
    <row r="2568" spans="1:9" x14ac:dyDescent="0.2">
      <c r="A2568" s="10" t="s">
        <v>7064</v>
      </c>
      <c r="B2568" s="10">
        <v>1041.18184968625</v>
      </c>
      <c r="C2568" s="10">
        <v>6.3749847047745698</v>
      </c>
      <c r="D2568" s="10">
        <v>0.33916931216733798</v>
      </c>
      <c r="E2568" s="10">
        <v>18.795877091702501</v>
      </c>
      <c r="F2568" s="4">
        <v>8.1619638575436298E-79</v>
      </c>
      <c r="G2568" s="4">
        <v>6.2216424495912104E-76</v>
      </c>
      <c r="H2568" s="10" t="s">
        <v>7065</v>
      </c>
      <c r="I2568" s="10" t="s">
        <v>18</v>
      </c>
    </row>
    <row r="2569" spans="1:9" x14ac:dyDescent="0.2">
      <c r="A2569" s="10" t="s">
        <v>7066</v>
      </c>
      <c r="B2569" s="10">
        <v>368.52833419770002</v>
      </c>
      <c r="C2569" s="10">
        <v>-2.6783850303588199</v>
      </c>
      <c r="D2569" s="10">
        <v>0.32349480851822898</v>
      </c>
      <c r="E2569" s="10">
        <v>-8.2795301804909496</v>
      </c>
      <c r="F2569" s="4">
        <v>1.2366219114750899E-16</v>
      </c>
      <c r="G2569" s="4">
        <v>5.2724108785010001E-15</v>
      </c>
      <c r="H2569" s="10" t="s">
        <v>7067</v>
      </c>
      <c r="I2569" s="10" t="s">
        <v>18</v>
      </c>
    </row>
    <row r="2570" spans="1:9" x14ac:dyDescent="0.2">
      <c r="A2570" s="10" t="s">
        <v>11211</v>
      </c>
      <c r="B2570" s="10">
        <v>47.578355948586399</v>
      </c>
      <c r="C2570" s="10">
        <v>-3.0031178434777601</v>
      </c>
      <c r="D2570" s="10">
        <v>0.61182745692368101</v>
      </c>
      <c r="E2570" s="10">
        <v>-4.9084391514197199</v>
      </c>
      <c r="F2570" s="4">
        <v>9.1804103210380401E-7</v>
      </c>
      <c r="G2570" s="4">
        <v>1.15582193005862E-5</v>
      </c>
      <c r="H2570" s="10" t="s">
        <v>11212</v>
      </c>
      <c r="I2570" s="10" t="s">
        <v>18</v>
      </c>
    </row>
    <row r="2571" spans="1:9" x14ac:dyDescent="0.2">
      <c r="A2571" s="10" t="s">
        <v>11213</v>
      </c>
      <c r="B2571" s="10">
        <v>49.638212726650103</v>
      </c>
      <c r="C2571" s="10">
        <v>-2.0339831864464002</v>
      </c>
      <c r="D2571" s="10">
        <v>0.54226219259348496</v>
      </c>
      <c r="E2571" s="10">
        <v>-3.7509219971955599</v>
      </c>
      <c r="F2571" s="10">
        <v>1.76185508741548E-4</v>
      </c>
      <c r="G2571" s="10">
        <v>1.3321149601423601E-3</v>
      </c>
      <c r="H2571" s="10" t="s">
        <v>11214</v>
      </c>
      <c r="I2571" s="10" t="s">
        <v>18</v>
      </c>
    </row>
    <row r="2572" spans="1:9" x14ac:dyDescent="0.2">
      <c r="A2572" s="10" t="s">
        <v>7072</v>
      </c>
      <c r="B2572" s="10">
        <v>36.576786246887302</v>
      </c>
      <c r="C2572" s="10">
        <v>-1.5091023849492999</v>
      </c>
      <c r="D2572" s="10">
        <v>0.59252012753320904</v>
      </c>
      <c r="E2572" s="10">
        <v>-2.5469217243843101</v>
      </c>
      <c r="F2572" s="10">
        <v>1.0867780739142199E-2</v>
      </c>
      <c r="G2572" s="10">
        <v>4.5268922750972503E-2</v>
      </c>
      <c r="H2572" s="10" t="s">
        <v>7073</v>
      </c>
      <c r="I2572" s="10" t="s">
        <v>18</v>
      </c>
    </row>
    <row r="2573" spans="1:9" x14ac:dyDescent="0.2">
      <c r="A2573" s="10" t="s">
        <v>7076</v>
      </c>
      <c r="B2573" s="10">
        <v>71.041948564236506</v>
      </c>
      <c r="C2573" s="10">
        <v>-2.9313137223189698</v>
      </c>
      <c r="D2573" s="10">
        <v>0.49994405138085402</v>
      </c>
      <c r="E2573" s="10">
        <v>-5.8632835298722599</v>
      </c>
      <c r="F2573" s="4">
        <v>4.5380234758077496E-9</v>
      </c>
      <c r="G2573" s="4">
        <v>8.4371012959308196E-8</v>
      </c>
      <c r="H2573" s="10" t="s">
        <v>7077</v>
      </c>
      <c r="I2573" s="10" t="s">
        <v>18</v>
      </c>
    </row>
    <row r="2574" spans="1:9" x14ac:dyDescent="0.2">
      <c r="A2574" s="10" t="s">
        <v>11215</v>
      </c>
      <c r="B2574" s="10">
        <v>21.7144755329807</v>
      </c>
      <c r="C2574" s="10">
        <v>-1.9754705502768399</v>
      </c>
      <c r="D2574" s="10">
        <v>0.75667405539112298</v>
      </c>
      <c r="E2574" s="10">
        <v>-2.6107285378718701</v>
      </c>
      <c r="F2574" s="10">
        <v>9.0349580827540805E-3</v>
      </c>
      <c r="G2574" s="10">
        <v>3.8876397774428001E-2</v>
      </c>
      <c r="H2574" s="10" t="s">
        <v>11216</v>
      </c>
      <c r="I2574" s="10" t="s">
        <v>18</v>
      </c>
    </row>
    <row r="2575" spans="1:9" x14ac:dyDescent="0.2">
      <c r="A2575" s="10" t="s">
        <v>11217</v>
      </c>
      <c r="B2575" s="10">
        <v>647.37751774426101</v>
      </c>
      <c r="C2575" s="10">
        <v>1.04077536347211</v>
      </c>
      <c r="D2575" s="10">
        <v>0.26492214703364902</v>
      </c>
      <c r="E2575" s="10">
        <v>3.9286083671212402</v>
      </c>
      <c r="F2575" s="4">
        <v>8.5438848416361096E-5</v>
      </c>
      <c r="G2575" s="10">
        <v>7.0581748174501299E-4</v>
      </c>
      <c r="H2575" s="10" t="s">
        <v>11218</v>
      </c>
      <c r="I2575" s="10" t="s">
        <v>18</v>
      </c>
    </row>
    <row r="2576" spans="1:9" x14ac:dyDescent="0.2">
      <c r="A2576" s="10" t="s">
        <v>7078</v>
      </c>
      <c r="B2576" s="10">
        <v>1451.4547584913901</v>
      </c>
      <c r="C2576" s="10">
        <v>-2.12492550390373</v>
      </c>
      <c r="D2576" s="10">
        <v>0.27220894528608303</v>
      </c>
      <c r="E2576" s="10">
        <v>-7.8062295185431996</v>
      </c>
      <c r="F2576" s="4">
        <v>5.8924231333948698E-15</v>
      </c>
      <c r="G2576" s="4">
        <v>2.1296537919618999E-13</v>
      </c>
      <c r="H2576" s="10" t="s">
        <v>7079</v>
      </c>
      <c r="I2576" s="10" t="s">
        <v>18</v>
      </c>
    </row>
    <row r="2577" spans="1:9" x14ac:dyDescent="0.2">
      <c r="A2577" s="10" t="s">
        <v>7084</v>
      </c>
      <c r="B2577" s="10">
        <v>165.31800885332501</v>
      </c>
      <c r="C2577" s="10">
        <v>1.33834501959188</v>
      </c>
      <c r="D2577" s="10">
        <v>0.36970222574897998</v>
      </c>
      <c r="E2577" s="10">
        <v>3.6200621104742599</v>
      </c>
      <c r="F2577" s="10">
        <v>2.9453230728962199E-4</v>
      </c>
      <c r="G2577" s="10">
        <v>2.1078122873031098E-3</v>
      </c>
      <c r="H2577" s="10" t="s">
        <v>7085</v>
      </c>
      <c r="I2577" s="10" t="s">
        <v>18</v>
      </c>
    </row>
    <row r="2578" spans="1:9" x14ac:dyDescent="0.2">
      <c r="A2578" s="10" t="s">
        <v>7092</v>
      </c>
      <c r="B2578" s="10">
        <v>562.87163116841305</v>
      </c>
      <c r="C2578" s="10">
        <v>1.33075241597156</v>
      </c>
      <c r="D2578" s="10">
        <v>0.30772556464047501</v>
      </c>
      <c r="E2578" s="10">
        <v>4.3244779403567399</v>
      </c>
      <c r="F2578" s="4">
        <v>1.5289350170605601E-5</v>
      </c>
      <c r="G2578" s="10">
        <v>1.5023578263343099E-4</v>
      </c>
      <c r="H2578" s="10" t="s">
        <v>7093</v>
      </c>
      <c r="I2578" s="10" t="s">
        <v>18</v>
      </c>
    </row>
    <row r="2579" spans="1:9" x14ac:dyDescent="0.2">
      <c r="A2579" s="10" t="s">
        <v>7094</v>
      </c>
      <c r="B2579" s="10">
        <v>74.298691172500099</v>
      </c>
      <c r="C2579" s="10">
        <v>2.3222843252483898</v>
      </c>
      <c r="D2579" s="10">
        <v>0.47055943528180999</v>
      </c>
      <c r="E2579" s="10">
        <v>4.9351562228427399</v>
      </c>
      <c r="F2579" s="4">
        <v>8.0086629343789099E-7</v>
      </c>
      <c r="G2579" s="4">
        <v>1.0221101781547501E-5</v>
      </c>
      <c r="H2579" s="10" t="s">
        <v>7095</v>
      </c>
      <c r="I2579" s="10" t="s">
        <v>18</v>
      </c>
    </row>
    <row r="2580" spans="1:9" x14ac:dyDescent="0.2">
      <c r="A2580" s="10" t="s">
        <v>7100</v>
      </c>
      <c r="B2580" s="10">
        <v>782.16688303401804</v>
      </c>
      <c r="C2580" s="10">
        <v>-1.5722961780119999</v>
      </c>
      <c r="D2580" s="10">
        <v>0.30264903897818501</v>
      </c>
      <c r="E2580" s="10">
        <v>-5.1951137308099504</v>
      </c>
      <c r="F2580" s="4">
        <v>2.0459472377933301E-7</v>
      </c>
      <c r="G2580" s="4">
        <v>2.9126090982847399E-6</v>
      </c>
      <c r="H2580" s="10" t="s">
        <v>7101</v>
      </c>
      <c r="I2580" s="10" t="s">
        <v>18</v>
      </c>
    </row>
    <row r="2581" spans="1:9" x14ac:dyDescent="0.2">
      <c r="A2581" s="10" t="s">
        <v>11219</v>
      </c>
      <c r="B2581" s="10">
        <v>39.8297551706004</v>
      </c>
      <c r="C2581" s="10">
        <v>-3.44515956948272</v>
      </c>
      <c r="D2581" s="10">
        <v>0.67434276947362803</v>
      </c>
      <c r="E2581" s="10">
        <v>-5.1089145245405501</v>
      </c>
      <c r="F2581" s="4">
        <v>3.2401488304930698E-7</v>
      </c>
      <c r="G2581" s="4">
        <v>4.4248612286131004E-6</v>
      </c>
      <c r="H2581" s="10" t="s">
        <v>11220</v>
      </c>
      <c r="I2581" s="10" t="s">
        <v>18</v>
      </c>
    </row>
    <row r="2582" spans="1:9" x14ac:dyDescent="0.2">
      <c r="A2582" s="10" t="s">
        <v>7102</v>
      </c>
      <c r="B2582" s="10">
        <v>1903.2815043794401</v>
      </c>
      <c r="C2582" s="10">
        <v>1.1600003121268501</v>
      </c>
      <c r="D2582" s="10">
        <v>0.24155596399700899</v>
      </c>
      <c r="E2582" s="10">
        <v>4.8022010838913296</v>
      </c>
      <c r="F2582" s="4">
        <v>1.56930981072318E-6</v>
      </c>
      <c r="G2582" s="4">
        <v>1.8798089661305499E-5</v>
      </c>
      <c r="H2582" s="10" t="s">
        <v>7103</v>
      </c>
      <c r="I2582" s="10" t="s">
        <v>18</v>
      </c>
    </row>
    <row r="2583" spans="1:9" x14ac:dyDescent="0.2">
      <c r="A2583" s="10" t="s">
        <v>7104</v>
      </c>
      <c r="B2583" s="10">
        <v>35.605947005062497</v>
      </c>
      <c r="C2583" s="10">
        <v>4.3756589193866402</v>
      </c>
      <c r="D2583" s="10">
        <v>0.79266399636556395</v>
      </c>
      <c r="E2583" s="10">
        <v>5.5201938519340201</v>
      </c>
      <c r="F2583" s="4">
        <v>3.3862588401668501E-8</v>
      </c>
      <c r="G2583" s="4">
        <v>5.4708632706741999E-7</v>
      </c>
      <c r="H2583" s="10" t="s">
        <v>7105</v>
      </c>
      <c r="I2583" s="10" t="s">
        <v>18</v>
      </c>
    </row>
    <row r="2584" spans="1:9" x14ac:dyDescent="0.2">
      <c r="A2584" s="10" t="s">
        <v>7106</v>
      </c>
      <c r="B2584" s="10">
        <v>340.30680729579399</v>
      </c>
      <c r="C2584" s="10">
        <v>1.0642659304648701</v>
      </c>
      <c r="D2584" s="10">
        <v>0.32325342385422401</v>
      </c>
      <c r="E2584" s="10">
        <v>3.2923577970973499</v>
      </c>
      <c r="F2584" s="10">
        <v>9.93511266885102E-4</v>
      </c>
      <c r="G2584" s="10">
        <v>6.0689111021113998E-3</v>
      </c>
      <c r="H2584" s="10" t="s">
        <v>7107</v>
      </c>
      <c r="I2584" s="10" t="s">
        <v>18</v>
      </c>
    </row>
    <row r="2585" spans="1:9" x14ac:dyDescent="0.2">
      <c r="A2585" s="10" t="s">
        <v>7108</v>
      </c>
      <c r="B2585" s="10">
        <v>3559.6058105649399</v>
      </c>
      <c r="C2585" s="10">
        <v>-1.02382705226217</v>
      </c>
      <c r="D2585" s="10">
        <v>0.249124679019536</v>
      </c>
      <c r="E2585" s="10">
        <v>-4.1096974265720201</v>
      </c>
      <c r="F2585" s="4">
        <v>3.9617787917680702E-5</v>
      </c>
      <c r="G2585" s="10">
        <v>3.5554243848350301E-4</v>
      </c>
      <c r="H2585" s="10" t="s">
        <v>7109</v>
      </c>
      <c r="I2585" s="10" t="s">
        <v>18</v>
      </c>
    </row>
    <row r="2586" spans="1:9" x14ac:dyDescent="0.2">
      <c r="A2586" s="10" t="s">
        <v>7112</v>
      </c>
      <c r="B2586" s="10">
        <v>1976.00142014278</v>
      </c>
      <c r="C2586" s="10">
        <v>1.33017524026915</v>
      </c>
      <c r="D2586" s="10">
        <v>0.244158330686289</v>
      </c>
      <c r="E2586" s="10">
        <v>5.4480026814168001</v>
      </c>
      <c r="F2586" s="4">
        <v>5.0938590612865301E-8</v>
      </c>
      <c r="G2586" s="4">
        <v>7.9736169686784396E-7</v>
      </c>
      <c r="H2586" s="10" t="s">
        <v>7113</v>
      </c>
      <c r="I2586" s="10" t="s">
        <v>18</v>
      </c>
    </row>
    <row r="2587" spans="1:9" x14ac:dyDescent="0.2">
      <c r="A2587" s="10" t="s">
        <v>7114</v>
      </c>
      <c r="B2587" s="10">
        <v>832.80402431449295</v>
      </c>
      <c r="C2587" s="10">
        <v>1.31449709031933</v>
      </c>
      <c r="D2587" s="10">
        <v>0.27970164543189402</v>
      </c>
      <c r="E2587" s="10">
        <v>4.69964017655162</v>
      </c>
      <c r="F2587" s="4">
        <v>2.6062028110276199E-6</v>
      </c>
      <c r="G2587" s="4">
        <v>3.00178716627288E-5</v>
      </c>
      <c r="H2587" s="10" t="s">
        <v>7115</v>
      </c>
      <c r="I2587" s="10" t="s">
        <v>18</v>
      </c>
    </row>
    <row r="2588" spans="1:9" x14ac:dyDescent="0.2">
      <c r="A2588" s="10" t="s">
        <v>7116</v>
      </c>
      <c r="B2588" s="10">
        <v>9.0227010163359598</v>
      </c>
      <c r="C2588" s="10">
        <v>5.2251495962445702</v>
      </c>
      <c r="D2588" s="10">
        <v>1.75316941267018</v>
      </c>
      <c r="E2588" s="10">
        <v>2.9804019842476901</v>
      </c>
      <c r="F2588" s="10">
        <v>2.87870346188916E-3</v>
      </c>
      <c r="G2588" s="10">
        <v>1.48877026282528E-2</v>
      </c>
      <c r="H2588" s="10" t="s">
        <v>7117</v>
      </c>
      <c r="I2588" s="10" t="s">
        <v>18</v>
      </c>
    </row>
    <row r="2589" spans="1:9" x14ac:dyDescent="0.2">
      <c r="A2589" s="10" t="s">
        <v>7118</v>
      </c>
      <c r="B2589" s="10">
        <v>704.63351738524295</v>
      </c>
      <c r="C2589" s="10">
        <v>-1.2832178141872701</v>
      </c>
      <c r="D2589" s="10">
        <v>0.28308829890888898</v>
      </c>
      <c r="E2589" s="10">
        <v>-4.5329242470748303</v>
      </c>
      <c r="F2589" s="4">
        <v>5.8172681792193198E-6</v>
      </c>
      <c r="G2589" s="4">
        <v>6.3020405274875999E-5</v>
      </c>
      <c r="H2589" s="10" t="s">
        <v>7119</v>
      </c>
      <c r="I2589" s="10" t="s">
        <v>18</v>
      </c>
    </row>
    <row r="2590" spans="1:9" x14ac:dyDescent="0.2">
      <c r="A2590" s="10" t="s">
        <v>7120</v>
      </c>
      <c r="B2590" s="10">
        <v>9336.40748216879</v>
      </c>
      <c r="C2590" s="10">
        <v>1.16113349705139</v>
      </c>
      <c r="D2590" s="10">
        <v>0.237706287902888</v>
      </c>
      <c r="E2590" s="10">
        <v>4.8847403545578798</v>
      </c>
      <c r="F2590" s="4">
        <v>1.03565237604309E-6</v>
      </c>
      <c r="G2590" s="4">
        <v>1.29353701685024E-5</v>
      </c>
      <c r="H2590" s="10" t="s">
        <v>7121</v>
      </c>
      <c r="I2590" s="10" t="s">
        <v>18</v>
      </c>
    </row>
    <row r="2591" spans="1:9" x14ac:dyDescent="0.2">
      <c r="A2591" s="10" t="s">
        <v>11221</v>
      </c>
      <c r="B2591" s="10">
        <v>2566.74857757668</v>
      </c>
      <c r="C2591" s="10">
        <v>1.4154405017095599</v>
      </c>
      <c r="D2591" s="10">
        <v>0.28529342479601499</v>
      </c>
      <c r="E2591" s="10">
        <v>4.9613498899303403</v>
      </c>
      <c r="F2591" s="4">
        <v>7.0004959556642998E-7</v>
      </c>
      <c r="G2591" s="4">
        <v>9.0352732562716995E-6</v>
      </c>
      <c r="H2591" s="10" t="s">
        <v>11222</v>
      </c>
      <c r="I2591" s="10" t="s">
        <v>18</v>
      </c>
    </row>
    <row r="2592" spans="1:9" x14ac:dyDescent="0.2">
      <c r="A2592" s="10" t="s">
        <v>7122</v>
      </c>
      <c r="B2592" s="10">
        <v>62.607307356932097</v>
      </c>
      <c r="C2592" s="10">
        <v>2.7401117239159301</v>
      </c>
      <c r="D2592" s="10">
        <v>0.52671466749652895</v>
      </c>
      <c r="E2592" s="10">
        <v>5.2022696404861204</v>
      </c>
      <c r="F2592" s="4">
        <v>1.9686930789561999E-7</v>
      </c>
      <c r="G2592" s="4">
        <v>2.8121791255618E-6</v>
      </c>
      <c r="H2592" s="10" t="s">
        <v>7123</v>
      </c>
      <c r="I2592" s="10" t="s">
        <v>18</v>
      </c>
    </row>
    <row r="2593" spans="1:9" x14ac:dyDescent="0.2">
      <c r="A2593" s="10" t="s">
        <v>7126</v>
      </c>
      <c r="B2593" s="10">
        <v>129.35499165017899</v>
      </c>
      <c r="C2593" s="10">
        <v>6.2778834621916699</v>
      </c>
      <c r="D2593" s="10">
        <v>0.65864284183728805</v>
      </c>
      <c r="E2593" s="10">
        <v>9.5315443566948606</v>
      </c>
      <c r="F2593" s="4">
        <v>1.5496055888256401E-21</v>
      </c>
      <c r="G2593" s="4">
        <v>9.2152077037609901E-20</v>
      </c>
      <c r="H2593" s="10" t="s">
        <v>7127</v>
      </c>
      <c r="I2593" s="10" t="s">
        <v>18</v>
      </c>
    </row>
    <row r="2594" spans="1:9" x14ac:dyDescent="0.2">
      <c r="A2594" s="10" t="s">
        <v>7128</v>
      </c>
      <c r="B2594" s="10">
        <v>272.44956741407998</v>
      </c>
      <c r="C2594" s="10">
        <v>-1.8226952333169</v>
      </c>
      <c r="D2594" s="10">
        <v>0.32269934749872897</v>
      </c>
      <c r="E2594" s="10">
        <v>-5.6482767859457201</v>
      </c>
      <c r="F2594" s="4">
        <v>1.62064100531315E-8</v>
      </c>
      <c r="G2594" s="4">
        <v>2.7695125331964799E-7</v>
      </c>
      <c r="H2594" s="10" t="s">
        <v>7129</v>
      </c>
      <c r="I2594" s="10" t="s">
        <v>18</v>
      </c>
    </row>
    <row r="2595" spans="1:9" x14ac:dyDescent="0.2">
      <c r="A2595" s="10" t="s">
        <v>11223</v>
      </c>
      <c r="B2595" s="10">
        <v>67.674780327185601</v>
      </c>
      <c r="C2595" s="10">
        <v>-1.4276036804125101</v>
      </c>
      <c r="D2595" s="10">
        <v>0.50451840202456999</v>
      </c>
      <c r="E2595" s="10">
        <v>-2.8296364903316</v>
      </c>
      <c r="F2595" s="10">
        <v>4.6600917926635397E-3</v>
      </c>
      <c r="G2595" s="10">
        <v>2.2366840115331299E-2</v>
      </c>
      <c r="H2595" s="10" t="s">
        <v>11224</v>
      </c>
      <c r="I2595" s="10" t="s">
        <v>18</v>
      </c>
    </row>
    <row r="2596" spans="1:9" x14ac:dyDescent="0.2">
      <c r="A2596" s="10" t="s">
        <v>7132</v>
      </c>
      <c r="B2596" s="10">
        <v>717.46852660887305</v>
      </c>
      <c r="C2596" s="10">
        <v>1.24606015763954</v>
      </c>
      <c r="D2596" s="10">
        <v>0.28920871666640202</v>
      </c>
      <c r="E2596" s="10">
        <v>4.3085152204345798</v>
      </c>
      <c r="F2596" s="4">
        <v>1.6435416793835499E-5</v>
      </c>
      <c r="G2596" s="10">
        <v>1.60556469688905E-4</v>
      </c>
      <c r="H2596" s="10" t="s">
        <v>7133</v>
      </c>
      <c r="I2596" s="10" t="s">
        <v>18</v>
      </c>
    </row>
    <row r="2597" spans="1:9" x14ac:dyDescent="0.2">
      <c r="A2597" s="10" t="s">
        <v>7134</v>
      </c>
      <c r="B2597" s="10">
        <v>938.01347261300805</v>
      </c>
      <c r="C2597" s="10">
        <v>2.0400432842662499</v>
      </c>
      <c r="D2597" s="10">
        <v>0.275592705082358</v>
      </c>
      <c r="E2597" s="10">
        <v>7.4023849203722802</v>
      </c>
      <c r="F2597" s="4">
        <v>1.33760099612153E-13</v>
      </c>
      <c r="G2597" s="4">
        <v>4.2537740907000099E-12</v>
      </c>
      <c r="H2597" s="10" t="s">
        <v>7135</v>
      </c>
      <c r="I2597" s="10" t="s">
        <v>18</v>
      </c>
    </row>
    <row r="2598" spans="1:9" x14ac:dyDescent="0.2">
      <c r="A2598" s="10" t="s">
        <v>7146</v>
      </c>
      <c r="B2598" s="10">
        <v>270.31527568815397</v>
      </c>
      <c r="C2598" s="10">
        <v>-3.3330589551488301</v>
      </c>
      <c r="D2598" s="10">
        <v>0.33104451720761202</v>
      </c>
      <c r="E2598" s="10">
        <v>-10.068310399046799</v>
      </c>
      <c r="F2598" s="4">
        <v>7.6277145923657494E-24</v>
      </c>
      <c r="G2598" s="4">
        <v>5.3506443183328704E-22</v>
      </c>
      <c r="H2598" s="10" t="s">
        <v>7147</v>
      </c>
      <c r="I2598" s="10" t="s">
        <v>18</v>
      </c>
    </row>
    <row r="2599" spans="1:9" x14ac:dyDescent="0.2">
      <c r="A2599" s="10" t="s">
        <v>7158</v>
      </c>
      <c r="B2599" s="10">
        <v>1884.71659390114</v>
      </c>
      <c r="C2599" s="10">
        <v>-1.2502935730368001</v>
      </c>
      <c r="D2599" s="10">
        <v>0.253164100570831</v>
      </c>
      <c r="E2599" s="10">
        <v>-4.9386685166564099</v>
      </c>
      <c r="F2599" s="4">
        <v>7.8657788402316703E-7</v>
      </c>
      <c r="G2599" s="4">
        <v>1.00540481059973E-5</v>
      </c>
      <c r="H2599" s="10" t="s">
        <v>7159</v>
      </c>
      <c r="I2599" s="10" t="s">
        <v>18</v>
      </c>
    </row>
    <row r="2600" spans="1:9" x14ac:dyDescent="0.2">
      <c r="A2600" s="10" t="s">
        <v>7164</v>
      </c>
      <c r="B2600" s="10">
        <v>1059.1301142202799</v>
      </c>
      <c r="C2600" s="10">
        <v>8.3154777621378209</v>
      </c>
      <c r="D2600" s="10">
        <v>0.464241433572254</v>
      </c>
      <c r="E2600" s="10">
        <v>17.911968128634498</v>
      </c>
      <c r="F2600" s="4">
        <v>9.51122054535145E-72</v>
      </c>
      <c r="G2600" s="4">
        <v>5.3167722848514599E-69</v>
      </c>
      <c r="H2600" s="10" t="s">
        <v>7165</v>
      </c>
      <c r="I2600" s="10" t="s">
        <v>18</v>
      </c>
    </row>
    <row r="2601" spans="1:9" x14ac:dyDescent="0.2">
      <c r="A2601" s="10" t="s">
        <v>11225</v>
      </c>
      <c r="B2601" s="10">
        <v>15.909694658696701</v>
      </c>
      <c r="C2601" s="10">
        <v>-3.8379070714743699</v>
      </c>
      <c r="D2601" s="10">
        <v>1.08885461313343</v>
      </c>
      <c r="E2601" s="10">
        <v>-3.5247194852120098</v>
      </c>
      <c r="F2601" s="10">
        <v>4.23931454561616E-4</v>
      </c>
      <c r="G2601" s="10">
        <v>2.9009781663486001E-3</v>
      </c>
      <c r="H2601" s="10" t="s">
        <v>11226</v>
      </c>
      <c r="I2601" s="10" t="s">
        <v>18</v>
      </c>
    </row>
    <row r="2602" spans="1:9" x14ac:dyDescent="0.2">
      <c r="A2602" s="10" t="s">
        <v>11227</v>
      </c>
      <c r="B2602" s="10">
        <v>10.1186772435662</v>
      </c>
      <c r="C2602" s="10">
        <v>-3.12807516100681</v>
      </c>
      <c r="D2602" s="10">
        <v>1.19561256360018</v>
      </c>
      <c r="E2602" s="10">
        <v>-2.6162949907348501</v>
      </c>
      <c r="F2602" s="10">
        <v>8.8889725384997294E-3</v>
      </c>
      <c r="G2602" s="10">
        <v>3.8347128143707901E-2</v>
      </c>
      <c r="H2602" s="10" t="s">
        <v>11228</v>
      </c>
      <c r="I2602" s="10" t="s">
        <v>18</v>
      </c>
    </row>
    <row r="2603" spans="1:9" x14ac:dyDescent="0.2">
      <c r="A2603" s="10" t="s">
        <v>7168</v>
      </c>
      <c r="B2603" s="10">
        <v>553.29800932113096</v>
      </c>
      <c r="C2603" s="10">
        <v>-2.2430043490145</v>
      </c>
      <c r="D2603" s="10">
        <v>0.31140238705380902</v>
      </c>
      <c r="E2603" s="10">
        <v>-7.2029131511664204</v>
      </c>
      <c r="F2603" s="4">
        <v>5.8939517230055295E-13</v>
      </c>
      <c r="G2603" s="4">
        <v>1.7483768348137299E-11</v>
      </c>
      <c r="H2603" s="10" t="s">
        <v>7169</v>
      </c>
      <c r="I2603" s="10" t="s">
        <v>18</v>
      </c>
    </row>
    <row r="2604" spans="1:9" x14ac:dyDescent="0.2">
      <c r="A2604" s="10" t="s">
        <v>7170</v>
      </c>
      <c r="B2604" s="10">
        <v>75.417340427799402</v>
      </c>
      <c r="C2604" s="10">
        <v>6.7225715918104596</v>
      </c>
      <c r="D2604" s="10">
        <v>0.93667887752090895</v>
      </c>
      <c r="E2604" s="10">
        <v>7.1770291325485696</v>
      </c>
      <c r="F2604" s="4">
        <v>7.1242511454189103E-13</v>
      </c>
      <c r="G2604" s="4">
        <v>2.0887009039978199E-11</v>
      </c>
      <c r="H2604" s="10" t="s">
        <v>7171</v>
      </c>
      <c r="I2604" s="10" t="s">
        <v>18</v>
      </c>
    </row>
    <row r="2605" spans="1:9" x14ac:dyDescent="0.2">
      <c r="A2605" s="10" t="s">
        <v>11229</v>
      </c>
      <c r="B2605" s="10">
        <v>1335.96197753513</v>
      </c>
      <c r="C2605" s="10">
        <v>-1.51085506217045</v>
      </c>
      <c r="D2605" s="10">
        <v>0.25424558554722698</v>
      </c>
      <c r="E2605" s="10">
        <v>-5.9425026354678003</v>
      </c>
      <c r="F2605" s="4">
        <v>2.8070314063340098E-9</v>
      </c>
      <c r="G2605" s="4">
        <v>5.3452592752711499E-8</v>
      </c>
      <c r="H2605" s="10" t="s">
        <v>11230</v>
      </c>
      <c r="I2605" s="10" t="s">
        <v>18</v>
      </c>
    </row>
    <row r="2606" spans="1:9" x14ac:dyDescent="0.2">
      <c r="A2606" s="10" t="s">
        <v>11231</v>
      </c>
      <c r="B2606" s="10">
        <v>1436.2879127438</v>
      </c>
      <c r="C2606" s="10">
        <v>1.4102302054093401</v>
      </c>
      <c r="D2606" s="10">
        <v>0.25127509597507602</v>
      </c>
      <c r="E2606" s="10">
        <v>5.6122959576909901</v>
      </c>
      <c r="F2606" s="4">
        <v>1.99659572492703E-8</v>
      </c>
      <c r="G2606" s="4">
        <v>3.3527613792082401E-7</v>
      </c>
      <c r="H2606" s="10" t="s">
        <v>11232</v>
      </c>
      <c r="I2606" s="10" t="s">
        <v>18</v>
      </c>
    </row>
    <row r="2607" spans="1:9" x14ac:dyDescent="0.2">
      <c r="A2607" s="10" t="s">
        <v>7186</v>
      </c>
      <c r="B2607" s="10">
        <v>261.394774709015</v>
      </c>
      <c r="C2607" s="10">
        <v>3.5523594460549899</v>
      </c>
      <c r="D2607" s="10">
        <v>0.35393143310493502</v>
      </c>
      <c r="E2607" s="10">
        <v>10.0368577464036</v>
      </c>
      <c r="F2607" s="4">
        <v>1.04964641881284E-23</v>
      </c>
      <c r="G2607" s="4">
        <v>7.2737894394592101E-22</v>
      </c>
      <c r="H2607" s="10" t="s">
        <v>7187</v>
      </c>
      <c r="I2607" s="10" t="s">
        <v>18</v>
      </c>
    </row>
    <row r="2608" spans="1:9" x14ac:dyDescent="0.2">
      <c r="A2608" s="10" t="s">
        <v>7190</v>
      </c>
      <c r="B2608" s="10">
        <v>2281.9508126268802</v>
      </c>
      <c r="C2608" s="10">
        <v>-2.6656403118803502</v>
      </c>
      <c r="D2608" s="10">
        <v>0.26061902698096001</v>
      </c>
      <c r="E2608" s="10">
        <v>-10.228110904869199</v>
      </c>
      <c r="F2608" s="4">
        <v>1.48385591661605E-24</v>
      </c>
      <c r="G2608" s="4">
        <v>1.11755675396637E-22</v>
      </c>
      <c r="H2608" s="10" t="s">
        <v>7191</v>
      </c>
      <c r="I2608" s="10" t="s">
        <v>18</v>
      </c>
    </row>
    <row r="2609" spans="1:9" x14ac:dyDescent="0.2">
      <c r="A2609" s="10" t="s">
        <v>7194</v>
      </c>
      <c r="B2609" s="10">
        <v>634.74103396940302</v>
      </c>
      <c r="C2609" s="10">
        <v>-1.08517128093063</v>
      </c>
      <c r="D2609" s="10">
        <v>0.32090671959464501</v>
      </c>
      <c r="E2609" s="10">
        <v>-3.3815785543580201</v>
      </c>
      <c r="F2609" s="10">
        <v>7.2070623055427001E-4</v>
      </c>
      <c r="G2609" s="10">
        <v>4.6213013585502602E-3</v>
      </c>
      <c r="H2609" s="10" t="s">
        <v>7195</v>
      </c>
      <c r="I2609" s="10" t="s">
        <v>18</v>
      </c>
    </row>
    <row r="2610" spans="1:9" x14ac:dyDescent="0.2">
      <c r="A2610" s="10" t="s">
        <v>7198</v>
      </c>
      <c r="B2610" s="10">
        <v>25.158105178607901</v>
      </c>
      <c r="C2610" s="10">
        <v>2.8204566972512701</v>
      </c>
      <c r="D2610" s="10">
        <v>0.75740738090583704</v>
      </c>
      <c r="E2610" s="10">
        <v>3.7238304885253202</v>
      </c>
      <c r="F2610" s="10">
        <v>1.96222702051251E-4</v>
      </c>
      <c r="G2610" s="10">
        <v>1.4681683730217801E-3</v>
      </c>
      <c r="H2610" s="10" t="s">
        <v>7199</v>
      </c>
      <c r="I2610" s="10" t="s">
        <v>18</v>
      </c>
    </row>
    <row r="2611" spans="1:9" x14ac:dyDescent="0.2">
      <c r="A2611" s="10" t="s">
        <v>11233</v>
      </c>
      <c r="B2611" s="10">
        <v>1207.9331984937901</v>
      </c>
      <c r="C2611" s="10">
        <v>1.1567194535074601</v>
      </c>
      <c r="D2611" s="10">
        <v>0.25772246315757902</v>
      </c>
      <c r="E2611" s="10">
        <v>4.4882368394880796</v>
      </c>
      <c r="F2611" s="4">
        <v>7.1815064671020103E-6</v>
      </c>
      <c r="G2611" s="4">
        <v>7.6514525700953505E-5</v>
      </c>
      <c r="H2611" s="10" t="s">
        <v>11234</v>
      </c>
      <c r="I2611" s="10" t="s">
        <v>18</v>
      </c>
    </row>
    <row r="2612" spans="1:9" x14ac:dyDescent="0.2">
      <c r="A2612" s="10" t="s">
        <v>11235</v>
      </c>
      <c r="B2612" s="10">
        <v>16.639853389635</v>
      </c>
      <c r="C2612" s="10">
        <v>-3.2948067596377899</v>
      </c>
      <c r="D2612" s="10">
        <v>0.96665565619985605</v>
      </c>
      <c r="E2612" s="10">
        <v>-3.4084596086577799</v>
      </c>
      <c r="F2612" s="10">
        <v>6.5330756149931698E-4</v>
      </c>
      <c r="G2612" s="10">
        <v>4.23446320781121E-3</v>
      </c>
      <c r="H2612" s="10" t="s">
        <v>11236</v>
      </c>
      <c r="I2612" s="10" t="s">
        <v>18</v>
      </c>
    </row>
    <row r="2613" spans="1:9" x14ac:dyDescent="0.2">
      <c r="A2613" s="10" t="s">
        <v>11237</v>
      </c>
      <c r="B2613" s="10">
        <v>351.98889776096797</v>
      </c>
      <c r="C2613" s="10">
        <v>-1.0756233727343201</v>
      </c>
      <c r="D2613" s="10">
        <v>0.31805544146020698</v>
      </c>
      <c r="E2613" s="10">
        <v>-3.38187382613572</v>
      </c>
      <c r="F2613" s="10">
        <v>7.1993203525692504E-4</v>
      </c>
      <c r="G2613" s="10">
        <v>4.6175141119041202E-3</v>
      </c>
      <c r="H2613" s="10" t="s">
        <v>11238</v>
      </c>
      <c r="I2613" s="10" t="s">
        <v>18</v>
      </c>
    </row>
    <row r="2614" spans="1:9" x14ac:dyDescent="0.2">
      <c r="A2614" s="10" t="s">
        <v>7200</v>
      </c>
      <c r="B2614" s="10">
        <v>2452.61075523002</v>
      </c>
      <c r="C2614" s="10">
        <v>-1.07445231202249</v>
      </c>
      <c r="D2614" s="10">
        <v>0.29744848223398102</v>
      </c>
      <c r="E2614" s="10">
        <v>-3.6122299362660599</v>
      </c>
      <c r="F2614" s="10">
        <v>3.0357519816181198E-4</v>
      </c>
      <c r="G2614" s="10">
        <v>2.1675941270963301E-3</v>
      </c>
      <c r="H2614" s="10" t="s">
        <v>7201</v>
      </c>
      <c r="I2614" s="10" t="s">
        <v>18</v>
      </c>
    </row>
    <row r="2615" spans="1:9" x14ac:dyDescent="0.2">
      <c r="A2615" s="10" t="s">
        <v>7204</v>
      </c>
      <c r="B2615" s="10">
        <v>2183.9282947455099</v>
      </c>
      <c r="C2615" s="10">
        <v>-1.0242358469463</v>
      </c>
      <c r="D2615" s="10">
        <v>0.28404110051084502</v>
      </c>
      <c r="E2615" s="10">
        <v>-3.60594239743553</v>
      </c>
      <c r="F2615" s="10">
        <v>3.1102212890078403E-4</v>
      </c>
      <c r="G2615" s="10">
        <v>2.2144810791110102E-3</v>
      </c>
      <c r="H2615" s="10" t="s">
        <v>7205</v>
      </c>
      <c r="I2615" s="10" t="s">
        <v>18</v>
      </c>
    </row>
    <row r="2616" spans="1:9" x14ac:dyDescent="0.2">
      <c r="A2616" s="10" t="s">
        <v>7206</v>
      </c>
      <c r="B2616" s="10">
        <v>110.444708927782</v>
      </c>
      <c r="C2616" s="10">
        <v>1.7445361772425301</v>
      </c>
      <c r="D2616" s="10">
        <v>0.39389771145997499</v>
      </c>
      <c r="E2616" s="10">
        <v>4.42890660820657</v>
      </c>
      <c r="F2616" s="4">
        <v>9.4712021634606694E-6</v>
      </c>
      <c r="G2616" s="4">
        <v>9.7482852054767995E-5</v>
      </c>
      <c r="H2616" s="10" t="s">
        <v>7207</v>
      </c>
      <c r="I2616" s="10" t="s">
        <v>18</v>
      </c>
    </row>
    <row r="2617" spans="1:9" x14ac:dyDescent="0.2">
      <c r="A2617" s="10" t="s">
        <v>7208</v>
      </c>
      <c r="B2617" s="10">
        <v>3930.8381680685602</v>
      </c>
      <c r="C2617" s="10">
        <v>-2.4389654006195101</v>
      </c>
      <c r="D2617" s="10">
        <v>0.25136466937634</v>
      </c>
      <c r="E2617" s="10">
        <v>-9.7028966189672694</v>
      </c>
      <c r="F2617" s="4">
        <v>2.9305829296335499E-22</v>
      </c>
      <c r="G2617" s="4">
        <v>1.8338013332072599E-20</v>
      </c>
      <c r="H2617" s="10" t="s">
        <v>7209</v>
      </c>
      <c r="I2617" s="10" t="s">
        <v>18</v>
      </c>
    </row>
    <row r="2618" spans="1:9" x14ac:dyDescent="0.2">
      <c r="A2618" s="10" t="s">
        <v>7210</v>
      </c>
      <c r="B2618" s="10">
        <v>1314.3906060120801</v>
      </c>
      <c r="C2618" s="10">
        <v>-1.04149320769035</v>
      </c>
      <c r="D2618" s="10">
        <v>0.31023303281367798</v>
      </c>
      <c r="E2618" s="10">
        <v>-3.35713188967808</v>
      </c>
      <c r="F2618" s="10">
        <v>7.8755535373358399E-4</v>
      </c>
      <c r="G2618" s="10">
        <v>4.9663963206739298E-3</v>
      </c>
      <c r="H2618" s="10" t="s">
        <v>7211</v>
      </c>
      <c r="I2618" s="10" t="s">
        <v>18</v>
      </c>
    </row>
    <row r="2619" spans="1:9" x14ac:dyDescent="0.2">
      <c r="A2619" s="10" t="s">
        <v>11239</v>
      </c>
      <c r="B2619" s="10">
        <v>4988.5947966170297</v>
      </c>
      <c r="C2619" s="10">
        <v>-1.15328382379818</v>
      </c>
      <c r="D2619" s="10">
        <v>0.25608907005299503</v>
      </c>
      <c r="E2619" s="10">
        <v>-4.5034480525058003</v>
      </c>
      <c r="F2619" s="4">
        <v>6.6859716453268103E-6</v>
      </c>
      <c r="G2619" s="4">
        <v>7.1537905886089303E-5</v>
      </c>
      <c r="H2619" s="10" t="s">
        <v>11240</v>
      </c>
      <c r="I2619" s="10" t="s">
        <v>18</v>
      </c>
    </row>
    <row r="2620" spans="1:9" x14ac:dyDescent="0.2">
      <c r="A2620" s="10" t="s">
        <v>11241</v>
      </c>
      <c r="B2620" s="10">
        <v>26.324238437931601</v>
      </c>
      <c r="C2620" s="10">
        <v>-2.8980334652454798</v>
      </c>
      <c r="D2620" s="10">
        <v>0.74695787344380304</v>
      </c>
      <c r="E2620" s="10">
        <v>-3.87978166945918</v>
      </c>
      <c r="F2620" s="10">
        <v>1.04550267881294E-4</v>
      </c>
      <c r="G2620" s="10">
        <v>8.4564694165722E-4</v>
      </c>
      <c r="H2620" s="10" t="s">
        <v>11242</v>
      </c>
      <c r="I2620" s="10" t="s">
        <v>18</v>
      </c>
    </row>
    <row r="2621" spans="1:9" x14ac:dyDescent="0.2">
      <c r="A2621" s="10" t="s">
        <v>11243</v>
      </c>
      <c r="B2621" s="10">
        <v>16.809716993304601</v>
      </c>
      <c r="C2621" s="10">
        <v>-3.5867436295191801</v>
      </c>
      <c r="D2621" s="10">
        <v>1.0178615484295299</v>
      </c>
      <c r="E2621" s="10">
        <v>-3.5238030506734499</v>
      </c>
      <c r="F2621" s="10">
        <v>4.2540032095729897E-4</v>
      </c>
      <c r="G2621" s="10">
        <v>2.9083181415692E-3</v>
      </c>
      <c r="H2621" s="10" t="s">
        <v>11244</v>
      </c>
      <c r="I2621" s="10" t="s">
        <v>18</v>
      </c>
    </row>
    <row r="2622" spans="1:9" x14ac:dyDescent="0.2">
      <c r="A2622" s="10" t="s">
        <v>7220</v>
      </c>
      <c r="B2622" s="10">
        <v>9.8550725488863193</v>
      </c>
      <c r="C2622" s="10">
        <v>5.3540841906844401</v>
      </c>
      <c r="D2622" s="10">
        <v>1.7300814763738901</v>
      </c>
      <c r="E2622" s="10">
        <v>3.0947006044513898</v>
      </c>
      <c r="F2622" s="10">
        <v>1.9701165653868802E-3</v>
      </c>
      <c r="G2622" s="10">
        <v>1.08111435868907E-2</v>
      </c>
      <c r="H2622" s="10" t="s">
        <v>7221</v>
      </c>
      <c r="I2622" s="10" t="s">
        <v>18</v>
      </c>
    </row>
    <row r="2623" spans="1:9" x14ac:dyDescent="0.2">
      <c r="A2623" s="10" t="s">
        <v>11245</v>
      </c>
      <c r="B2623" s="10">
        <v>25.3443919482851</v>
      </c>
      <c r="C2623" s="10">
        <v>-2.7011902841030602</v>
      </c>
      <c r="D2623" s="10">
        <v>0.77068072782128605</v>
      </c>
      <c r="E2623" s="10">
        <v>-3.5049407447093199</v>
      </c>
      <c r="F2623" s="10">
        <v>4.5670892052877902E-4</v>
      </c>
      <c r="G2623" s="10">
        <v>3.0916342561629201E-3</v>
      </c>
      <c r="H2623" s="10" t="s">
        <v>11246</v>
      </c>
      <c r="I2623" s="10" t="s">
        <v>18</v>
      </c>
    </row>
    <row r="2624" spans="1:9" x14ac:dyDescent="0.2">
      <c r="A2624" s="10" t="s">
        <v>7222</v>
      </c>
      <c r="B2624" s="10">
        <v>209.15755734341201</v>
      </c>
      <c r="C2624" s="10">
        <v>3.65842690799087</v>
      </c>
      <c r="D2624" s="10">
        <v>0.443478248038576</v>
      </c>
      <c r="E2624" s="10">
        <v>8.2493942468913204</v>
      </c>
      <c r="F2624" s="4">
        <v>1.59199417598967E-16</v>
      </c>
      <c r="G2624" s="4">
        <v>6.7532231866813E-15</v>
      </c>
      <c r="H2624" s="10" t="s">
        <v>7223</v>
      </c>
      <c r="I2624" s="10" t="s">
        <v>18</v>
      </c>
    </row>
    <row r="2625" spans="1:9" x14ac:dyDescent="0.2">
      <c r="A2625" s="10" t="s">
        <v>11247</v>
      </c>
      <c r="B2625" s="10">
        <v>14360.7089213994</v>
      </c>
      <c r="C2625" s="10">
        <v>1.18692727452347</v>
      </c>
      <c r="D2625" s="10">
        <v>0.31703039016365298</v>
      </c>
      <c r="E2625" s="10">
        <v>3.7438911579131902</v>
      </c>
      <c r="F2625" s="10">
        <v>1.81192167842945E-4</v>
      </c>
      <c r="G2625" s="10">
        <v>1.3662736756862299E-3</v>
      </c>
      <c r="H2625" s="10" t="s">
        <v>11248</v>
      </c>
      <c r="I2625" s="10" t="s">
        <v>18</v>
      </c>
    </row>
    <row r="2626" spans="1:9" x14ac:dyDescent="0.2">
      <c r="A2626" s="10" t="s">
        <v>7224</v>
      </c>
      <c r="B2626" s="10">
        <v>31.478562318181801</v>
      </c>
      <c r="C2626" s="10">
        <v>2.0147155310042</v>
      </c>
      <c r="D2626" s="10">
        <v>0.69730112960139701</v>
      </c>
      <c r="E2626" s="10">
        <v>2.8893048433119399</v>
      </c>
      <c r="F2626" s="10">
        <v>3.86094580080234E-3</v>
      </c>
      <c r="G2626" s="10">
        <v>1.9122286201847399E-2</v>
      </c>
      <c r="H2626" s="10" t="s">
        <v>7225</v>
      </c>
      <c r="I2626" s="10" t="s">
        <v>18</v>
      </c>
    </row>
    <row r="2627" spans="1:9" x14ac:dyDescent="0.2">
      <c r="A2627" s="10" t="s">
        <v>7226</v>
      </c>
      <c r="B2627" s="10">
        <v>113.950850826402</v>
      </c>
      <c r="C2627" s="10">
        <v>6.3228376404247602</v>
      </c>
      <c r="D2627" s="10">
        <v>0.70775250673116297</v>
      </c>
      <c r="E2627" s="10">
        <v>8.9336845582186903</v>
      </c>
      <c r="F2627" s="4">
        <v>4.1205107956358799E-19</v>
      </c>
      <c r="G2627" s="4">
        <v>2.0897469569399299E-17</v>
      </c>
      <c r="H2627" s="10" t="s">
        <v>7227</v>
      </c>
      <c r="I2627" s="10" t="s">
        <v>18</v>
      </c>
    </row>
    <row r="2628" spans="1:9" x14ac:dyDescent="0.2">
      <c r="A2628" s="10" t="s">
        <v>11249</v>
      </c>
      <c r="B2628" s="10">
        <v>2465.5776426667899</v>
      </c>
      <c r="C2628" s="10">
        <v>1.16192745307104</v>
      </c>
      <c r="D2628" s="10">
        <v>0.31190226773622698</v>
      </c>
      <c r="E2628" s="10">
        <v>3.7252933795712901</v>
      </c>
      <c r="F2628" s="10">
        <v>1.95088194228985E-4</v>
      </c>
      <c r="G2628" s="10">
        <v>1.4618538950938701E-3</v>
      </c>
      <c r="H2628" s="10" t="s">
        <v>11250</v>
      </c>
      <c r="I2628" s="10" t="s">
        <v>18</v>
      </c>
    </row>
    <row r="2629" spans="1:9" x14ac:dyDescent="0.2">
      <c r="A2629" s="10" t="s">
        <v>7232</v>
      </c>
      <c r="B2629" s="10">
        <v>14419.5665000097</v>
      </c>
      <c r="C2629" s="10">
        <v>-1.0941259825382199</v>
      </c>
      <c r="D2629" s="10">
        <v>0.26508986955283098</v>
      </c>
      <c r="E2629" s="10">
        <v>-4.1273775734389702</v>
      </c>
      <c r="F2629" s="4">
        <v>3.6692366307972501E-5</v>
      </c>
      <c r="G2629" s="10">
        <v>3.31655219000017E-4</v>
      </c>
      <c r="H2629" s="10" t="s">
        <v>7233</v>
      </c>
      <c r="I2629" s="10" t="s">
        <v>18</v>
      </c>
    </row>
    <row r="2630" spans="1:9" x14ac:dyDescent="0.2">
      <c r="A2630" s="10" t="s">
        <v>7236</v>
      </c>
      <c r="B2630" s="10">
        <v>6572.7972465008397</v>
      </c>
      <c r="C2630" s="10">
        <v>-1.7824780961820199</v>
      </c>
      <c r="D2630" s="10">
        <v>0.29298204281542201</v>
      </c>
      <c r="E2630" s="10">
        <v>-6.0839158572765601</v>
      </c>
      <c r="F2630" s="4">
        <v>1.17282171174447E-9</v>
      </c>
      <c r="G2630" s="4">
        <v>2.3639687627349501E-8</v>
      </c>
      <c r="H2630" s="10" t="s">
        <v>7237</v>
      </c>
      <c r="I2630" s="10" t="s">
        <v>18</v>
      </c>
    </row>
    <row r="2631" spans="1:9" x14ac:dyDescent="0.2">
      <c r="A2631" s="10" t="s">
        <v>11251</v>
      </c>
      <c r="B2631" s="10">
        <v>105.739427845728</v>
      </c>
      <c r="C2631" s="10">
        <v>3.1706852646192498</v>
      </c>
      <c r="D2631" s="10">
        <v>0.43971735835423498</v>
      </c>
      <c r="E2631" s="10">
        <v>7.2107348149420796</v>
      </c>
      <c r="F2631" s="4">
        <v>5.56507399673659E-13</v>
      </c>
      <c r="G2631" s="4">
        <v>1.6527678440130901E-11</v>
      </c>
      <c r="H2631" s="10" t="s">
        <v>11252</v>
      </c>
      <c r="I2631" s="10" t="s">
        <v>18</v>
      </c>
    </row>
    <row r="2632" spans="1:9" x14ac:dyDescent="0.2">
      <c r="A2632" s="10" t="s">
        <v>7242</v>
      </c>
      <c r="B2632" s="10">
        <v>108.639918622227</v>
      </c>
      <c r="C2632" s="10">
        <v>3.1470688118466201</v>
      </c>
      <c r="D2632" s="10">
        <v>0.43449020846076902</v>
      </c>
      <c r="E2632" s="10">
        <v>7.2431294205581001</v>
      </c>
      <c r="F2632" s="4">
        <v>4.3844814802769002E-13</v>
      </c>
      <c r="G2632" s="4">
        <v>1.3272157838311099E-11</v>
      </c>
      <c r="H2632" s="10" t="s">
        <v>7243</v>
      </c>
      <c r="I2632" s="10" t="s">
        <v>18</v>
      </c>
    </row>
    <row r="2633" spans="1:9" x14ac:dyDescent="0.2">
      <c r="A2633" s="10" t="s">
        <v>7244</v>
      </c>
      <c r="B2633" s="10">
        <v>11526.866886034901</v>
      </c>
      <c r="C2633" s="10">
        <v>1.8013827117728001</v>
      </c>
      <c r="D2633" s="10">
        <v>0.250288676263556</v>
      </c>
      <c r="E2633" s="10">
        <v>7.1972201805723097</v>
      </c>
      <c r="F2633" s="4">
        <v>6.1452487715483496E-13</v>
      </c>
      <c r="G2633" s="4">
        <v>1.8143630615997499E-11</v>
      </c>
      <c r="H2633" s="10" t="s">
        <v>7245</v>
      </c>
      <c r="I2633" s="10" t="s">
        <v>18</v>
      </c>
    </row>
    <row r="2634" spans="1:9" x14ac:dyDescent="0.2">
      <c r="A2634" s="10" t="s">
        <v>7246</v>
      </c>
      <c r="B2634" s="10">
        <v>1635.87679609629</v>
      </c>
      <c r="C2634" s="10">
        <v>-1.8261584606291501</v>
      </c>
      <c r="D2634" s="10">
        <v>0.28843292654649999</v>
      </c>
      <c r="E2634" s="10">
        <v>-6.33131065337904</v>
      </c>
      <c r="F2634" s="4">
        <v>2.4308735353487903E-10</v>
      </c>
      <c r="G2634" s="4">
        <v>5.35921330251523E-9</v>
      </c>
      <c r="H2634" s="10" t="s">
        <v>7247</v>
      </c>
      <c r="I2634" s="10" t="s">
        <v>18</v>
      </c>
    </row>
    <row r="2635" spans="1:9" x14ac:dyDescent="0.2">
      <c r="A2635" s="10" t="s">
        <v>11253</v>
      </c>
      <c r="B2635" s="10">
        <v>969.87655839373201</v>
      </c>
      <c r="C2635" s="10">
        <v>-1.3647668952765399</v>
      </c>
      <c r="D2635" s="10">
        <v>0.28029299442862199</v>
      </c>
      <c r="E2635" s="10">
        <v>-4.8690724434929802</v>
      </c>
      <c r="F2635" s="4">
        <v>1.1212330055290999E-6</v>
      </c>
      <c r="G2635" s="4">
        <v>1.38581549594624E-5</v>
      </c>
      <c r="H2635" s="10" t="s">
        <v>11254</v>
      </c>
      <c r="I2635" s="10" t="s">
        <v>18</v>
      </c>
    </row>
    <row r="2636" spans="1:9" x14ac:dyDescent="0.2">
      <c r="A2636" s="10" t="s">
        <v>7248</v>
      </c>
      <c r="B2636" s="10">
        <v>366.95073689043198</v>
      </c>
      <c r="C2636" s="10">
        <v>-1.7179493045168099</v>
      </c>
      <c r="D2636" s="10">
        <v>0.35406059589107303</v>
      </c>
      <c r="E2636" s="10">
        <v>-4.8521335738963103</v>
      </c>
      <c r="F2636" s="4">
        <v>1.2214031146736501E-6</v>
      </c>
      <c r="G2636" s="4">
        <v>1.49219987127808E-5</v>
      </c>
      <c r="H2636" s="10" t="s">
        <v>7249</v>
      </c>
      <c r="I2636" s="10" t="s">
        <v>18</v>
      </c>
    </row>
    <row r="2637" spans="1:9" x14ac:dyDescent="0.2">
      <c r="A2637" s="10" t="s">
        <v>11255</v>
      </c>
      <c r="B2637" s="10">
        <v>28.204093375281801</v>
      </c>
      <c r="C2637" s="10">
        <v>-1.94622383674389</v>
      </c>
      <c r="D2637" s="10">
        <v>0.75236765606091305</v>
      </c>
      <c r="E2637" s="10">
        <v>-2.58679891548437</v>
      </c>
      <c r="F2637" s="10">
        <v>9.6872106524545191E-3</v>
      </c>
      <c r="G2637" s="10">
        <v>4.11624635071779E-2</v>
      </c>
      <c r="H2637" s="10" t="s">
        <v>11256</v>
      </c>
      <c r="I2637" s="10" t="s">
        <v>18</v>
      </c>
    </row>
    <row r="2638" spans="1:9" x14ac:dyDescent="0.2">
      <c r="A2638" s="10" t="s">
        <v>7250</v>
      </c>
      <c r="B2638" s="10">
        <v>1045.3391621713999</v>
      </c>
      <c r="C2638" s="10">
        <v>-2.8353439000272398</v>
      </c>
      <c r="D2638" s="10">
        <v>0.31435110346300399</v>
      </c>
      <c r="E2638" s="10">
        <v>-9.0196721716325499</v>
      </c>
      <c r="F2638" s="4">
        <v>1.8865299422636101E-19</v>
      </c>
      <c r="G2638" s="4">
        <v>9.7645392381977707E-18</v>
      </c>
      <c r="H2638" s="10" t="s">
        <v>7251</v>
      </c>
      <c r="I2638" s="10" t="s">
        <v>18</v>
      </c>
    </row>
    <row r="2639" spans="1:9" x14ac:dyDescent="0.2">
      <c r="A2639" s="10" t="s">
        <v>7252</v>
      </c>
      <c r="B2639" s="10">
        <v>124.85428489250999</v>
      </c>
      <c r="C2639" s="10">
        <v>-1.9768986293975499</v>
      </c>
      <c r="D2639" s="10">
        <v>0.39747142538851499</v>
      </c>
      <c r="E2639" s="10">
        <v>-4.9736874228510803</v>
      </c>
      <c r="F2639" s="4">
        <v>6.5691201166908696E-7</v>
      </c>
      <c r="G2639" s="4">
        <v>8.5354450689751408E-6</v>
      </c>
      <c r="H2639" s="10" t="s">
        <v>7253</v>
      </c>
      <c r="I2639" s="10" t="s">
        <v>18</v>
      </c>
    </row>
    <row r="2640" spans="1:9" x14ac:dyDescent="0.2">
      <c r="A2640" s="10" t="s">
        <v>7254</v>
      </c>
      <c r="B2640" s="10">
        <v>1450.4362471999</v>
      </c>
      <c r="C2640" s="10">
        <v>-2.2355229103040002</v>
      </c>
      <c r="D2640" s="10">
        <v>0.28775437091390399</v>
      </c>
      <c r="E2640" s="10">
        <v>-7.7688582216979301</v>
      </c>
      <c r="F2640" s="4">
        <v>7.9196752105880006E-15</v>
      </c>
      <c r="G2640" s="4">
        <v>2.8218049564071001E-13</v>
      </c>
      <c r="H2640" s="10" t="s">
        <v>7255</v>
      </c>
      <c r="I2640" s="10" t="s">
        <v>18</v>
      </c>
    </row>
    <row r="2641" spans="1:9" x14ac:dyDescent="0.2">
      <c r="A2641" s="10" t="s">
        <v>11257</v>
      </c>
      <c r="B2641" s="10">
        <v>700.54085660967701</v>
      </c>
      <c r="C2641" s="10">
        <v>-1.82295273247044</v>
      </c>
      <c r="D2641" s="10">
        <v>0.27366037186747699</v>
      </c>
      <c r="E2641" s="10">
        <v>-6.6613690540229999</v>
      </c>
      <c r="F2641" s="4">
        <v>2.7128844920502301E-11</v>
      </c>
      <c r="G2641" s="4">
        <v>6.6254960580119903E-10</v>
      </c>
      <c r="H2641" s="10" t="s">
        <v>11258</v>
      </c>
      <c r="I2641" s="10" t="s">
        <v>18</v>
      </c>
    </row>
    <row r="2642" spans="1:9" x14ac:dyDescent="0.2">
      <c r="A2642" s="10" t="s">
        <v>7258</v>
      </c>
      <c r="B2642" s="10">
        <v>489.26703401377301</v>
      </c>
      <c r="C2642" s="10">
        <v>-1.327600473508</v>
      </c>
      <c r="D2642" s="10">
        <v>0.31697584906556903</v>
      </c>
      <c r="E2642" s="10">
        <v>-4.1883332040018599</v>
      </c>
      <c r="F2642" s="4">
        <v>2.8101072882101901E-5</v>
      </c>
      <c r="G2642" s="10">
        <v>2.6045780705573801E-4</v>
      </c>
      <c r="H2642" s="10" t="s">
        <v>7259</v>
      </c>
      <c r="I2642" s="10" t="s">
        <v>18</v>
      </c>
    </row>
    <row r="2643" spans="1:9" x14ac:dyDescent="0.2">
      <c r="A2643" s="10" t="s">
        <v>11259</v>
      </c>
      <c r="B2643" s="10">
        <v>2769.17841887328</v>
      </c>
      <c r="C2643" s="10">
        <v>-1.3789862835475399</v>
      </c>
      <c r="D2643" s="10">
        <v>0.26175173519814299</v>
      </c>
      <c r="E2643" s="10">
        <v>-5.2682985367935196</v>
      </c>
      <c r="F2643" s="4">
        <v>1.3769404729564801E-7</v>
      </c>
      <c r="G2643" s="4">
        <v>2.0303011487233401E-6</v>
      </c>
      <c r="H2643" s="10" t="s">
        <v>11260</v>
      </c>
      <c r="I2643" s="10" t="s">
        <v>18</v>
      </c>
    </row>
    <row r="2644" spans="1:9" x14ac:dyDescent="0.2">
      <c r="A2644" s="10" t="s">
        <v>7264</v>
      </c>
      <c r="B2644" s="10">
        <v>475.609243394202</v>
      </c>
      <c r="C2644" s="10">
        <v>-2.1268377657947801</v>
      </c>
      <c r="D2644" s="10">
        <v>0.30153695625076499</v>
      </c>
      <c r="E2644" s="10">
        <v>-7.0533237193853404</v>
      </c>
      <c r="F2644" s="4">
        <v>1.7469378478418799E-12</v>
      </c>
      <c r="G2644" s="4">
        <v>4.89356587555261E-11</v>
      </c>
      <c r="H2644" s="10" t="s">
        <v>7265</v>
      </c>
      <c r="I2644" s="10" t="s">
        <v>18</v>
      </c>
    </row>
    <row r="2645" spans="1:9" x14ac:dyDescent="0.2">
      <c r="A2645" s="10" t="s">
        <v>11261</v>
      </c>
      <c r="B2645" s="10">
        <v>71.580164026989607</v>
      </c>
      <c r="C2645" s="10">
        <v>-2.7897174288822701</v>
      </c>
      <c r="D2645" s="10">
        <v>0.49156113048505801</v>
      </c>
      <c r="E2645" s="10">
        <v>-5.6752197353957996</v>
      </c>
      <c r="F2645" s="4">
        <v>1.3851074310306201E-8</v>
      </c>
      <c r="G2645" s="4">
        <v>2.3930204277180703E-7</v>
      </c>
      <c r="H2645" s="10" t="s">
        <v>11262</v>
      </c>
      <c r="I2645" s="10" t="s">
        <v>18</v>
      </c>
    </row>
    <row r="2646" spans="1:9" x14ac:dyDescent="0.2">
      <c r="A2646" s="10" t="s">
        <v>7274</v>
      </c>
      <c r="B2646" s="10">
        <v>232.88495995026699</v>
      </c>
      <c r="C2646" s="10">
        <v>1.97279361702642</v>
      </c>
      <c r="D2646" s="10">
        <v>0.34879580676317801</v>
      </c>
      <c r="E2646" s="10">
        <v>5.6560129989346102</v>
      </c>
      <c r="F2646" s="4">
        <v>1.5492973861813698E-8</v>
      </c>
      <c r="G2646" s="4">
        <v>2.6566172971637497E-7</v>
      </c>
      <c r="H2646" s="10" t="s">
        <v>7275</v>
      </c>
      <c r="I2646" s="10" t="s">
        <v>18</v>
      </c>
    </row>
    <row r="2647" spans="1:9" x14ac:dyDescent="0.2">
      <c r="A2647" s="10" t="s">
        <v>11263</v>
      </c>
      <c r="B2647" s="10">
        <v>65.033921969729803</v>
      </c>
      <c r="C2647" s="10">
        <v>-5.1359204947320301</v>
      </c>
      <c r="D2647" s="10">
        <v>0.71007986885739804</v>
      </c>
      <c r="E2647" s="10">
        <v>-7.2328772015411902</v>
      </c>
      <c r="F2647" s="4">
        <v>4.7286695106438398E-13</v>
      </c>
      <c r="G2647" s="4">
        <v>1.4211431486289801E-11</v>
      </c>
      <c r="H2647" s="10" t="s">
        <v>11264</v>
      </c>
      <c r="I2647" s="10" t="s">
        <v>18</v>
      </c>
    </row>
    <row r="2648" spans="1:9" x14ac:dyDescent="0.2">
      <c r="A2648" s="10" t="s">
        <v>7278</v>
      </c>
      <c r="B2648" s="10">
        <v>1795.11359169655</v>
      </c>
      <c r="C2648" s="10">
        <v>-1.5221738213624201</v>
      </c>
      <c r="D2648" s="10">
        <v>0.24291938642699101</v>
      </c>
      <c r="E2648" s="10">
        <v>-6.2661685580204098</v>
      </c>
      <c r="F2648" s="4">
        <v>3.70039777934116E-10</v>
      </c>
      <c r="G2648" s="4">
        <v>7.9900005269808408E-9</v>
      </c>
      <c r="H2648" s="10" t="s">
        <v>7279</v>
      </c>
      <c r="I2648" s="10" t="s">
        <v>18</v>
      </c>
    </row>
    <row r="2649" spans="1:9" x14ac:dyDescent="0.2">
      <c r="A2649" s="10" t="s">
        <v>7280</v>
      </c>
      <c r="B2649" s="10">
        <v>2243.2889700229298</v>
      </c>
      <c r="C2649" s="10">
        <v>-1.0155993555906699</v>
      </c>
      <c r="D2649" s="10">
        <v>0.31116011617443601</v>
      </c>
      <c r="E2649" s="10">
        <v>-3.2639123807927999</v>
      </c>
      <c r="F2649" s="10">
        <v>1.0988514211273299E-3</v>
      </c>
      <c r="G2649" s="10">
        <v>6.6080821177283899E-3</v>
      </c>
      <c r="H2649" s="10" t="s">
        <v>7281</v>
      </c>
      <c r="I2649" s="10" t="s">
        <v>18</v>
      </c>
    </row>
    <row r="2650" spans="1:9" x14ac:dyDescent="0.2">
      <c r="A2650" s="10" t="s">
        <v>11265</v>
      </c>
      <c r="B2650" s="10">
        <v>1269.98560671878</v>
      </c>
      <c r="C2650" s="10">
        <v>1.04286550795616</v>
      </c>
      <c r="D2650" s="10">
        <v>0.27347976896512199</v>
      </c>
      <c r="E2650" s="10">
        <v>3.8133186666877901</v>
      </c>
      <c r="F2650" s="10">
        <v>1.37113135954462E-4</v>
      </c>
      <c r="G2650" s="10">
        <v>1.07047825416962E-3</v>
      </c>
      <c r="H2650" s="10" t="s">
        <v>11266</v>
      </c>
      <c r="I2650" s="10" t="s">
        <v>18</v>
      </c>
    </row>
    <row r="2651" spans="1:9" x14ac:dyDescent="0.2">
      <c r="A2651" s="10" t="s">
        <v>11267</v>
      </c>
      <c r="B2651" s="10">
        <v>1060.8155380616699</v>
      </c>
      <c r="C2651" s="10">
        <v>1.3183326611297299</v>
      </c>
      <c r="D2651" s="10">
        <v>0.31489346593123602</v>
      </c>
      <c r="E2651" s="10">
        <v>4.1865989731829503</v>
      </c>
      <c r="F2651" s="4">
        <v>2.8316548796870701E-5</v>
      </c>
      <c r="G2651" s="10">
        <v>2.62165176660023E-4</v>
      </c>
      <c r="H2651" s="10" t="s">
        <v>11268</v>
      </c>
      <c r="I2651" s="10" t="s">
        <v>18</v>
      </c>
    </row>
    <row r="2652" spans="1:9" x14ac:dyDescent="0.2">
      <c r="A2652" s="10" t="s">
        <v>11269</v>
      </c>
      <c r="B2652" s="10">
        <v>71.731822424208104</v>
      </c>
      <c r="C2652" s="10">
        <v>-1.84699465374355</v>
      </c>
      <c r="D2652" s="10">
        <v>0.47220250686526499</v>
      </c>
      <c r="E2652" s="10">
        <v>-3.91144609969332</v>
      </c>
      <c r="F2652" s="4">
        <v>9.1745133057475502E-5</v>
      </c>
      <c r="G2652" s="10">
        <v>7.5247760745379699E-4</v>
      </c>
      <c r="H2652" s="10" t="s">
        <v>11270</v>
      </c>
      <c r="I2652" s="10" t="s">
        <v>18</v>
      </c>
    </row>
    <row r="2653" spans="1:9" x14ac:dyDescent="0.2">
      <c r="A2653" s="10" t="s">
        <v>11271</v>
      </c>
      <c r="B2653" s="10">
        <v>619.40159759671997</v>
      </c>
      <c r="C2653" s="10">
        <v>-1.05856405357345</v>
      </c>
      <c r="D2653" s="10">
        <v>0.27108305716380199</v>
      </c>
      <c r="E2653" s="10">
        <v>-3.9049436163537399</v>
      </c>
      <c r="F2653" s="4">
        <v>9.42473564798368E-5</v>
      </c>
      <c r="G2653" s="10">
        <v>7.70488219775851E-4</v>
      </c>
      <c r="H2653" s="10" t="s">
        <v>11272</v>
      </c>
      <c r="I2653" s="10" t="s">
        <v>18</v>
      </c>
    </row>
    <row r="2654" spans="1:9" x14ac:dyDescent="0.2">
      <c r="A2654" s="10" t="s">
        <v>7286</v>
      </c>
      <c r="B2654" s="10">
        <v>802.471191660106</v>
      </c>
      <c r="C2654" s="10">
        <v>-1.6831977653682799</v>
      </c>
      <c r="D2654" s="10">
        <v>0.29568039030215099</v>
      </c>
      <c r="E2654" s="10">
        <v>-5.6926256206853703</v>
      </c>
      <c r="F2654" s="4">
        <v>1.2510049303745001E-8</v>
      </c>
      <c r="G2654" s="4">
        <v>2.1767171440845799E-7</v>
      </c>
      <c r="H2654" s="10" t="s">
        <v>7287</v>
      </c>
      <c r="I2654" s="10" t="s">
        <v>18</v>
      </c>
    </row>
    <row r="2655" spans="1:9" x14ac:dyDescent="0.2">
      <c r="A2655" s="10" t="s">
        <v>7288</v>
      </c>
      <c r="B2655" s="10">
        <v>108.624172780454</v>
      </c>
      <c r="C2655" s="10">
        <v>3.1071657950320799</v>
      </c>
      <c r="D2655" s="10">
        <v>0.42694142745286501</v>
      </c>
      <c r="E2655" s="10">
        <v>7.2777331859535002</v>
      </c>
      <c r="F2655" s="4">
        <v>3.3947589280971202E-13</v>
      </c>
      <c r="G2655" s="4">
        <v>1.04140440044248E-11</v>
      </c>
      <c r="H2655" s="10" t="s">
        <v>7289</v>
      </c>
      <c r="I2655" s="10" t="s">
        <v>18</v>
      </c>
    </row>
    <row r="2656" spans="1:9" x14ac:dyDescent="0.2">
      <c r="A2656" s="10" t="s">
        <v>7290</v>
      </c>
      <c r="B2656" s="10">
        <v>5362.3324749773901</v>
      </c>
      <c r="C2656" s="10">
        <v>1.7363832722494501</v>
      </c>
      <c r="D2656" s="10">
        <v>0.26539226127825599</v>
      </c>
      <c r="E2656" s="10">
        <v>6.5427049902894501</v>
      </c>
      <c r="F2656" s="4">
        <v>6.0415937500058698E-11</v>
      </c>
      <c r="G2656" s="4">
        <v>1.4256687690562599E-9</v>
      </c>
      <c r="H2656" s="10" t="s">
        <v>7291</v>
      </c>
      <c r="I2656" s="10" t="s">
        <v>18</v>
      </c>
    </row>
    <row r="2657" spans="1:9" x14ac:dyDescent="0.2">
      <c r="A2657" s="10" t="s">
        <v>7300</v>
      </c>
      <c r="B2657" s="10">
        <v>40.475952135562601</v>
      </c>
      <c r="C2657" s="10">
        <v>3.0145492205063</v>
      </c>
      <c r="D2657" s="10">
        <v>0.62801901264535598</v>
      </c>
      <c r="E2657" s="10">
        <v>4.8000922898947698</v>
      </c>
      <c r="F2657" s="4">
        <v>1.58592529012813E-6</v>
      </c>
      <c r="G2657" s="4">
        <v>1.8985353722685401E-5</v>
      </c>
      <c r="H2657" s="10" t="s">
        <v>7301</v>
      </c>
      <c r="I2657" s="10" t="s">
        <v>18</v>
      </c>
    </row>
    <row r="2658" spans="1:9" x14ac:dyDescent="0.2">
      <c r="A2658" s="10" t="s">
        <v>7302</v>
      </c>
      <c r="B2658" s="10">
        <v>589.50425525112098</v>
      </c>
      <c r="C2658" s="10">
        <v>2.4324656578132902</v>
      </c>
      <c r="D2658" s="10">
        <v>0.34650935530259902</v>
      </c>
      <c r="E2658" s="10">
        <v>7.0199133748901898</v>
      </c>
      <c r="F2658" s="4">
        <v>2.22005843917094E-12</v>
      </c>
      <c r="G2658" s="4">
        <v>6.1436270668146198E-11</v>
      </c>
      <c r="H2658" s="10" t="s">
        <v>7303</v>
      </c>
      <c r="I2658" s="10" t="s">
        <v>18</v>
      </c>
    </row>
    <row r="2659" spans="1:9" x14ac:dyDescent="0.2">
      <c r="A2659" s="10" t="s">
        <v>11273</v>
      </c>
      <c r="B2659" s="10">
        <v>148.832533373893</v>
      </c>
      <c r="C2659" s="10">
        <v>-3.0801129003388601</v>
      </c>
      <c r="D2659" s="10">
        <v>0.406693515317893</v>
      </c>
      <c r="E2659" s="10">
        <v>-7.5735481002968097</v>
      </c>
      <c r="F2659" s="4">
        <v>3.6316615599705099E-14</v>
      </c>
      <c r="G2659" s="4">
        <v>1.21320646136863E-12</v>
      </c>
      <c r="H2659" s="10" t="s">
        <v>11274</v>
      </c>
      <c r="I2659" s="10" t="s">
        <v>18</v>
      </c>
    </row>
    <row r="2660" spans="1:9" x14ac:dyDescent="0.2">
      <c r="A2660" s="10" t="s">
        <v>7304</v>
      </c>
      <c r="B2660" s="10">
        <v>748.66503355678697</v>
      </c>
      <c r="C2660" s="10">
        <v>-1.9342846594190799</v>
      </c>
      <c r="D2660" s="10">
        <v>0.29114025508581698</v>
      </c>
      <c r="E2660" s="10">
        <v>-6.6438241556425197</v>
      </c>
      <c r="F2660" s="4">
        <v>3.0564720015928002E-11</v>
      </c>
      <c r="G2660" s="4">
        <v>7.4357401547453402E-10</v>
      </c>
      <c r="H2660" s="10" t="s">
        <v>7305</v>
      </c>
      <c r="I2660" s="10" t="s">
        <v>18</v>
      </c>
    </row>
    <row r="2661" spans="1:9" x14ac:dyDescent="0.2">
      <c r="A2661" s="10" t="s">
        <v>11275</v>
      </c>
      <c r="B2661" s="10">
        <v>194.076559555139</v>
      </c>
      <c r="C2661" s="10">
        <v>-1.9071824057593401</v>
      </c>
      <c r="D2661" s="10">
        <v>0.33966327465296903</v>
      </c>
      <c r="E2661" s="10">
        <v>-5.6149208586294499</v>
      </c>
      <c r="F2661" s="4">
        <v>1.9665223078307299E-8</v>
      </c>
      <c r="G2661" s="4">
        <v>3.30945170265505E-7</v>
      </c>
      <c r="H2661" s="10" t="s">
        <v>11276</v>
      </c>
      <c r="I2661" s="10" t="s">
        <v>18</v>
      </c>
    </row>
    <row r="2662" spans="1:9" x14ac:dyDescent="0.2">
      <c r="A2662" s="10" t="s">
        <v>7306</v>
      </c>
      <c r="B2662" s="10">
        <v>1537.25539288701</v>
      </c>
      <c r="C2662" s="10">
        <v>4.9963632785046599</v>
      </c>
      <c r="D2662" s="10">
        <v>0.30559750542046199</v>
      </c>
      <c r="E2662" s="10">
        <v>16.349489736934601</v>
      </c>
      <c r="F2662" s="4">
        <v>4.3863767106918802E-60</v>
      </c>
      <c r="G2662" s="4">
        <v>1.6226368552566799E-57</v>
      </c>
      <c r="H2662" s="10" t="s">
        <v>7307</v>
      </c>
      <c r="I2662" s="10" t="s">
        <v>18</v>
      </c>
    </row>
    <row r="2663" spans="1:9" x14ac:dyDescent="0.2">
      <c r="A2663" s="10" t="s">
        <v>11277</v>
      </c>
      <c r="B2663" s="10">
        <v>3086.7188660342799</v>
      </c>
      <c r="C2663" s="10">
        <v>1.4556630253842999</v>
      </c>
      <c r="D2663" s="10">
        <v>0.278576535232892</v>
      </c>
      <c r="E2663" s="10">
        <v>5.2253612249407801</v>
      </c>
      <c r="F2663" s="4">
        <v>1.7381544317955801E-7</v>
      </c>
      <c r="G2663" s="4">
        <v>2.5056317897889898E-6</v>
      </c>
      <c r="H2663" s="10" t="s">
        <v>11278</v>
      </c>
      <c r="I2663" s="10" t="s">
        <v>18</v>
      </c>
    </row>
    <row r="2664" spans="1:9" x14ac:dyDescent="0.2">
      <c r="A2664" s="10" t="s">
        <v>11279</v>
      </c>
      <c r="B2664" s="10">
        <v>2213.1798325956001</v>
      </c>
      <c r="C2664" s="10">
        <v>1.2361035442597501</v>
      </c>
      <c r="D2664" s="10">
        <v>0.27643926374015398</v>
      </c>
      <c r="E2664" s="10">
        <v>4.4715194489219101</v>
      </c>
      <c r="F2664" s="4">
        <v>7.7665795004284293E-6</v>
      </c>
      <c r="G2664" s="4">
        <v>8.1984182682869096E-5</v>
      </c>
      <c r="H2664" s="10" t="s">
        <v>11280</v>
      </c>
      <c r="I2664" s="10" t="s">
        <v>18</v>
      </c>
    </row>
    <row r="2665" spans="1:9" x14ac:dyDescent="0.2">
      <c r="A2665" s="10" t="s">
        <v>11281</v>
      </c>
      <c r="B2665" s="10">
        <v>8846.13151307107</v>
      </c>
      <c r="C2665" s="10">
        <v>-1.0664108975537301</v>
      </c>
      <c r="D2665" s="10">
        <v>0.23443524937897101</v>
      </c>
      <c r="E2665" s="10">
        <v>-4.5488504837847401</v>
      </c>
      <c r="F2665" s="4">
        <v>5.3939748580953399E-6</v>
      </c>
      <c r="G2665" s="4">
        <v>5.8795920164069698E-5</v>
      </c>
      <c r="H2665" s="10" t="s">
        <v>11282</v>
      </c>
      <c r="I2665" s="10" t="s">
        <v>18</v>
      </c>
    </row>
    <row r="2666" spans="1:9" x14ac:dyDescent="0.2">
      <c r="A2666" s="10" t="s">
        <v>7310</v>
      </c>
      <c r="B2666" s="10">
        <v>466.48368537383999</v>
      </c>
      <c r="C2666" s="10">
        <v>1.02347237239654</v>
      </c>
      <c r="D2666" s="10">
        <v>0.27488818765540302</v>
      </c>
      <c r="E2666" s="10">
        <v>3.72323154780136</v>
      </c>
      <c r="F2666" s="10">
        <v>1.96688981500968E-4</v>
      </c>
      <c r="G2666" s="10">
        <v>1.4709779471766501E-3</v>
      </c>
      <c r="H2666" s="10" t="s">
        <v>7311</v>
      </c>
      <c r="I2666" s="10" t="s">
        <v>18</v>
      </c>
    </row>
    <row r="2667" spans="1:9" x14ac:dyDescent="0.2">
      <c r="A2667" s="10" t="s">
        <v>7314</v>
      </c>
      <c r="B2667" s="10">
        <v>417.24983084678098</v>
      </c>
      <c r="C2667" s="10">
        <v>2.9446798266402801</v>
      </c>
      <c r="D2667" s="10">
        <v>0.30531309223838898</v>
      </c>
      <c r="E2667" s="10">
        <v>9.6447872741109393</v>
      </c>
      <c r="F2667" s="4">
        <v>5.17183125204224E-22</v>
      </c>
      <c r="G2667" s="4">
        <v>3.1577042510952001E-20</v>
      </c>
      <c r="H2667" s="10" t="s">
        <v>7315</v>
      </c>
      <c r="I2667" s="10" t="s">
        <v>18</v>
      </c>
    </row>
    <row r="2668" spans="1:9" x14ac:dyDescent="0.2">
      <c r="A2668" s="10" t="s">
        <v>11283</v>
      </c>
      <c r="B2668" s="10">
        <v>2562.6024651110001</v>
      </c>
      <c r="C2668" s="10">
        <v>1.8909002306862499</v>
      </c>
      <c r="D2668" s="10">
        <v>0.30214856896181602</v>
      </c>
      <c r="E2668" s="10">
        <v>6.2581803289136602</v>
      </c>
      <c r="F2668" s="4">
        <v>3.8949529735692602E-10</v>
      </c>
      <c r="G2668" s="4">
        <v>8.3956762682206198E-9</v>
      </c>
      <c r="H2668" s="10" t="s">
        <v>11284</v>
      </c>
      <c r="I2668" s="10" t="s">
        <v>18</v>
      </c>
    </row>
    <row r="2669" spans="1:9" x14ac:dyDescent="0.2">
      <c r="A2669" s="10" t="s">
        <v>7318</v>
      </c>
      <c r="B2669" s="10">
        <v>4180.4314616319398</v>
      </c>
      <c r="C2669" s="10">
        <v>10.5318852306801</v>
      </c>
      <c r="D2669" s="10">
        <v>0.49386232267819102</v>
      </c>
      <c r="E2669" s="10">
        <v>21.325549140023799</v>
      </c>
      <c r="F2669" s="4">
        <v>6.5777136963615798E-101</v>
      </c>
      <c r="G2669" s="4">
        <v>1.10308258687984E-97</v>
      </c>
      <c r="H2669" s="10" t="s">
        <v>7319</v>
      </c>
      <c r="I2669" s="10" t="s">
        <v>18</v>
      </c>
    </row>
    <row r="2670" spans="1:9" x14ac:dyDescent="0.2">
      <c r="A2670" s="10" t="s">
        <v>11285</v>
      </c>
      <c r="B2670" s="10">
        <v>124.742156846809</v>
      </c>
      <c r="C2670" s="10">
        <v>-1.0854904479055201</v>
      </c>
      <c r="D2670" s="10">
        <v>0.38845110526218901</v>
      </c>
      <c r="E2670" s="10">
        <v>-2.7944068975498499</v>
      </c>
      <c r="F2670" s="10">
        <v>5.1995010194457398E-3</v>
      </c>
      <c r="G2670" s="10">
        <v>2.4473205741241299E-2</v>
      </c>
      <c r="H2670" s="10" t="s">
        <v>11286</v>
      </c>
      <c r="I2670" s="10" t="s">
        <v>18</v>
      </c>
    </row>
    <row r="2671" spans="1:9" x14ac:dyDescent="0.2">
      <c r="A2671" s="10" t="s">
        <v>7338</v>
      </c>
      <c r="B2671" s="10">
        <v>108.744055112632</v>
      </c>
      <c r="C2671" s="10">
        <v>1.7342488002412499</v>
      </c>
      <c r="D2671" s="10">
        <v>0.39178154416122901</v>
      </c>
      <c r="E2671" s="10">
        <v>4.4265709451784696</v>
      </c>
      <c r="F2671" s="4">
        <v>9.5742902570109298E-6</v>
      </c>
      <c r="G2671" s="4">
        <v>9.8382872310093903E-5</v>
      </c>
      <c r="H2671" s="10" t="s">
        <v>7339</v>
      </c>
      <c r="I2671" s="10" t="s">
        <v>18</v>
      </c>
    </row>
    <row r="2672" spans="1:9" x14ac:dyDescent="0.2">
      <c r="A2672" s="10" t="s">
        <v>7342</v>
      </c>
      <c r="B2672" s="10">
        <v>3332.0360549141701</v>
      </c>
      <c r="C2672" s="10">
        <v>1.9330721023034101</v>
      </c>
      <c r="D2672" s="10">
        <v>0.25248889776550998</v>
      </c>
      <c r="E2672" s="10">
        <v>7.6560677297529702</v>
      </c>
      <c r="F2672" s="4">
        <v>1.9171264375724801E-14</v>
      </c>
      <c r="G2672" s="4">
        <v>6.5523526545021199E-13</v>
      </c>
      <c r="H2672" s="10" t="s">
        <v>7343</v>
      </c>
      <c r="I2672" s="10" t="s">
        <v>18</v>
      </c>
    </row>
    <row r="2673" spans="1:9" x14ac:dyDescent="0.2">
      <c r="A2673" s="10" t="s">
        <v>11287</v>
      </c>
      <c r="B2673" s="10">
        <v>544.07594945829101</v>
      </c>
      <c r="C2673" s="10">
        <v>-1.2534799906731999</v>
      </c>
      <c r="D2673" s="10">
        <v>0.31010587514941401</v>
      </c>
      <c r="E2673" s="10">
        <v>-4.0421033302553599</v>
      </c>
      <c r="F2673" s="4">
        <v>5.2973877835178797E-5</v>
      </c>
      <c r="G2673" s="10">
        <v>4.6253311244148602E-4</v>
      </c>
      <c r="H2673" s="10" t="s">
        <v>11288</v>
      </c>
      <c r="I2673" s="10" t="s">
        <v>18</v>
      </c>
    </row>
    <row r="2674" spans="1:9" x14ac:dyDescent="0.2">
      <c r="A2674" s="10" t="s">
        <v>7350</v>
      </c>
      <c r="B2674" s="10">
        <v>3174.0105612254602</v>
      </c>
      <c r="C2674" s="10">
        <v>2.4397255619011302</v>
      </c>
      <c r="D2674" s="10">
        <v>0.246809606733875</v>
      </c>
      <c r="E2674" s="10">
        <v>9.8850510488102099</v>
      </c>
      <c r="F2674" s="4">
        <v>4.8333539316465399E-23</v>
      </c>
      <c r="G2674" s="4">
        <v>3.19115533203593E-21</v>
      </c>
      <c r="H2674" s="10" t="s">
        <v>7351</v>
      </c>
      <c r="I2674" s="10" t="s">
        <v>18</v>
      </c>
    </row>
    <row r="2675" spans="1:9" x14ac:dyDescent="0.2">
      <c r="A2675" s="10" t="s">
        <v>7354</v>
      </c>
      <c r="B2675" s="10">
        <v>33.743817257523801</v>
      </c>
      <c r="C2675" s="10">
        <v>-1.89145944697599</v>
      </c>
      <c r="D2675" s="10">
        <v>0.63003801276544702</v>
      </c>
      <c r="E2675" s="10">
        <v>-3.0021354404851599</v>
      </c>
      <c r="F2675" s="10">
        <v>2.6809286803646201E-3</v>
      </c>
      <c r="G2675" s="10">
        <v>1.4014705102778901E-2</v>
      </c>
      <c r="H2675" s="10" t="s">
        <v>7355</v>
      </c>
      <c r="I2675" s="10" t="s">
        <v>18</v>
      </c>
    </row>
    <row r="2676" spans="1:9" x14ac:dyDescent="0.2">
      <c r="A2676" s="10" t="s">
        <v>7358</v>
      </c>
      <c r="B2676" s="10">
        <v>246.78464217717899</v>
      </c>
      <c r="C2676" s="10">
        <v>4.54294880966901</v>
      </c>
      <c r="D2676" s="10">
        <v>0.37555157458437899</v>
      </c>
      <c r="E2676" s="10">
        <v>12.096737484582899</v>
      </c>
      <c r="F2676" s="4">
        <v>1.09892367368451E-33</v>
      </c>
      <c r="G2676" s="4">
        <v>1.3101149294565801E-31</v>
      </c>
      <c r="H2676" s="10" t="s">
        <v>7359</v>
      </c>
      <c r="I2676" s="10" t="s">
        <v>18</v>
      </c>
    </row>
    <row r="2677" spans="1:9" x14ac:dyDescent="0.2">
      <c r="A2677" s="10" t="s">
        <v>11289</v>
      </c>
      <c r="B2677" s="10">
        <v>307.19603411785101</v>
      </c>
      <c r="C2677" s="10">
        <v>-1.52542141266488</v>
      </c>
      <c r="D2677" s="10">
        <v>0.30680467440418802</v>
      </c>
      <c r="E2677" s="10">
        <v>-4.9719627500044803</v>
      </c>
      <c r="F2677" s="4">
        <v>6.62784420158177E-7</v>
      </c>
      <c r="G2677" s="4">
        <v>8.5984229443419005E-6</v>
      </c>
      <c r="H2677" s="10" t="s">
        <v>11290</v>
      </c>
      <c r="I2677" s="10" t="s">
        <v>18</v>
      </c>
    </row>
    <row r="2678" spans="1:9" x14ac:dyDescent="0.2">
      <c r="A2678" s="10" t="s">
        <v>7364</v>
      </c>
      <c r="B2678" s="10">
        <v>481.60175072290298</v>
      </c>
      <c r="C2678" s="10">
        <v>1.5646579190193199</v>
      </c>
      <c r="D2678" s="10">
        <v>0.28649578578227097</v>
      </c>
      <c r="E2678" s="10">
        <v>5.4613645179703099</v>
      </c>
      <c r="F2678" s="4">
        <v>4.7248875927136401E-8</v>
      </c>
      <c r="G2678" s="4">
        <v>7.4423636440019797E-7</v>
      </c>
      <c r="H2678" s="10" t="s">
        <v>7365</v>
      </c>
      <c r="I2678" s="10" t="s">
        <v>18</v>
      </c>
    </row>
    <row r="2679" spans="1:9" x14ac:dyDescent="0.2">
      <c r="A2679" s="10" t="s">
        <v>7370</v>
      </c>
      <c r="B2679" s="10">
        <v>33.621865686131102</v>
      </c>
      <c r="C2679" s="10">
        <v>8.5889514643510196</v>
      </c>
      <c r="D2679" s="10">
        <v>1.5571450248565499</v>
      </c>
      <c r="E2679" s="10">
        <v>5.5158327113059098</v>
      </c>
      <c r="F2679" s="4">
        <v>3.4713234493308703E-8</v>
      </c>
      <c r="G2679" s="4">
        <v>5.5939232138320298E-7</v>
      </c>
      <c r="H2679" s="10" t="s">
        <v>7371</v>
      </c>
      <c r="I2679" s="10" t="s">
        <v>18</v>
      </c>
    </row>
    <row r="2680" spans="1:9" x14ac:dyDescent="0.2">
      <c r="A2680" s="10" t="s">
        <v>7372</v>
      </c>
      <c r="B2680" s="10">
        <v>53.489361861343703</v>
      </c>
      <c r="C2680" s="10">
        <v>3.5424205885356601</v>
      </c>
      <c r="D2680" s="10">
        <v>0.58725334698903298</v>
      </c>
      <c r="E2680" s="10">
        <v>6.0321845872796898</v>
      </c>
      <c r="F2680" s="4">
        <v>1.61757854879807E-9</v>
      </c>
      <c r="G2680" s="4">
        <v>3.1938923386982398E-8</v>
      </c>
      <c r="H2680" s="10" t="s">
        <v>7373</v>
      </c>
      <c r="I2680" s="10" t="s">
        <v>18</v>
      </c>
    </row>
    <row r="2681" spans="1:9" x14ac:dyDescent="0.2">
      <c r="A2681" s="10" t="s">
        <v>7374</v>
      </c>
      <c r="B2681" s="10">
        <v>43.189305755146698</v>
      </c>
      <c r="C2681" s="10">
        <v>2.3269012995521101</v>
      </c>
      <c r="D2681" s="10">
        <v>0.57740217153058904</v>
      </c>
      <c r="E2681" s="10">
        <v>4.0299489927166698</v>
      </c>
      <c r="F2681" s="4">
        <v>5.5788957476221099E-5</v>
      </c>
      <c r="G2681" s="10">
        <v>4.8425508119887602E-4</v>
      </c>
      <c r="H2681" s="10" t="s">
        <v>7375</v>
      </c>
      <c r="I2681" s="10" t="s">
        <v>18</v>
      </c>
    </row>
    <row r="2682" spans="1:9" x14ac:dyDescent="0.2">
      <c r="A2682" s="10" t="s">
        <v>11291</v>
      </c>
      <c r="B2682" s="10">
        <v>413.197199463684</v>
      </c>
      <c r="C2682" s="10">
        <v>-1.86286457066339</v>
      </c>
      <c r="D2682" s="10">
        <v>0.32443763038957901</v>
      </c>
      <c r="E2682" s="10">
        <v>-5.7418264596079496</v>
      </c>
      <c r="F2682" s="4">
        <v>9.3660782203063305E-9</v>
      </c>
      <c r="G2682" s="4">
        <v>1.65568304730714E-7</v>
      </c>
      <c r="H2682" s="10" t="s">
        <v>11292</v>
      </c>
      <c r="I2682" s="10" t="s">
        <v>18</v>
      </c>
    </row>
    <row r="2683" spans="1:9" x14ac:dyDescent="0.2">
      <c r="A2683" s="10" t="s">
        <v>7380</v>
      </c>
      <c r="B2683" s="10">
        <v>3511.8181568670502</v>
      </c>
      <c r="C2683" s="10">
        <v>1.14384378561156</v>
      </c>
      <c r="D2683" s="10">
        <v>0.27574502185723199</v>
      </c>
      <c r="E2683" s="10">
        <v>4.1481937839073098</v>
      </c>
      <c r="F2683" s="4">
        <v>3.3510869309969898E-5</v>
      </c>
      <c r="G2683" s="10">
        <v>3.0653306090628799E-4</v>
      </c>
      <c r="H2683" s="10" t="s">
        <v>7381</v>
      </c>
      <c r="I2683" s="10" t="s">
        <v>18</v>
      </c>
    </row>
    <row r="2684" spans="1:9" x14ac:dyDescent="0.2">
      <c r="A2684" s="10" t="s">
        <v>11293</v>
      </c>
      <c r="B2684" s="10">
        <v>1961.4335643484501</v>
      </c>
      <c r="C2684" s="10">
        <v>1.1466277976844901</v>
      </c>
      <c r="D2684" s="10">
        <v>0.25781846820102899</v>
      </c>
      <c r="E2684" s="10">
        <v>4.4474230480278596</v>
      </c>
      <c r="F2684" s="4">
        <v>8.6906576677827393E-6</v>
      </c>
      <c r="G2684" s="4">
        <v>9.0373498814830502E-5</v>
      </c>
      <c r="H2684" s="10" t="s">
        <v>11294</v>
      </c>
      <c r="I2684" s="10" t="s">
        <v>18</v>
      </c>
    </row>
    <row r="2685" spans="1:9" x14ac:dyDescent="0.2">
      <c r="A2685" s="10" t="s">
        <v>7384</v>
      </c>
      <c r="B2685" s="10">
        <v>14788.4981538827</v>
      </c>
      <c r="C2685" s="10">
        <v>-2.0399492419133098</v>
      </c>
      <c r="D2685" s="10">
        <v>0.28547801708658799</v>
      </c>
      <c r="E2685" s="10">
        <v>-7.1457314392602402</v>
      </c>
      <c r="F2685" s="4">
        <v>8.9517926061870503E-13</v>
      </c>
      <c r="G2685" s="4">
        <v>2.5823663189063699E-11</v>
      </c>
      <c r="H2685" s="10" t="s">
        <v>7385</v>
      </c>
      <c r="I2685" s="10" t="s">
        <v>18</v>
      </c>
    </row>
    <row r="2686" spans="1:9" x14ac:dyDescent="0.2">
      <c r="A2686" s="10" t="s">
        <v>7390</v>
      </c>
      <c r="B2686" s="10">
        <v>26.751558332637199</v>
      </c>
      <c r="C2686" s="10">
        <v>4.4239182486458297</v>
      </c>
      <c r="D2686" s="10">
        <v>0.89869169413455496</v>
      </c>
      <c r="E2686" s="10">
        <v>4.9226206022812802</v>
      </c>
      <c r="F2686" s="4">
        <v>8.53929058704408E-7</v>
      </c>
      <c r="G2686" s="4">
        <v>1.08105613848563E-5</v>
      </c>
      <c r="H2686" s="10" t="s">
        <v>7391</v>
      </c>
      <c r="I2686" s="10" t="s">
        <v>18</v>
      </c>
    </row>
    <row r="2687" spans="1:9" x14ac:dyDescent="0.2">
      <c r="A2687" s="10" t="s">
        <v>7392</v>
      </c>
      <c r="B2687" s="10">
        <v>375.12864406731399</v>
      </c>
      <c r="C2687" s="10">
        <v>1.88688290329284</v>
      </c>
      <c r="D2687" s="10">
        <v>0.28948441692252003</v>
      </c>
      <c r="E2687" s="10">
        <v>6.51808108827447</v>
      </c>
      <c r="F2687" s="4">
        <v>7.12124951926342E-11</v>
      </c>
      <c r="G2687" s="4">
        <v>1.6617349875424099E-9</v>
      </c>
      <c r="H2687" s="10" t="s">
        <v>7393</v>
      </c>
      <c r="I2687" s="10" t="s">
        <v>18</v>
      </c>
    </row>
    <row r="2688" spans="1:9" x14ac:dyDescent="0.2">
      <c r="A2688" s="10" t="s">
        <v>7394</v>
      </c>
      <c r="B2688" s="10">
        <v>2260.46966047571</v>
      </c>
      <c r="C2688" s="10">
        <v>1.6704305050693899</v>
      </c>
      <c r="D2688" s="10">
        <v>0.29494151445082101</v>
      </c>
      <c r="E2688" s="10">
        <v>5.6635991314404004</v>
      </c>
      <c r="F2688" s="4">
        <v>1.4823047056763699E-8</v>
      </c>
      <c r="G2688" s="4">
        <v>2.5539297857047401E-7</v>
      </c>
      <c r="H2688" s="10" t="s">
        <v>7395</v>
      </c>
      <c r="I2688" s="10" t="s">
        <v>18</v>
      </c>
    </row>
    <row r="2689" spans="1:9" x14ac:dyDescent="0.2">
      <c r="A2689" s="10" t="s">
        <v>11295</v>
      </c>
      <c r="B2689" s="10">
        <v>18815.833657006999</v>
      </c>
      <c r="C2689" s="10">
        <v>-1.4746287394942601</v>
      </c>
      <c r="D2689" s="10">
        <v>0.23479067088237299</v>
      </c>
      <c r="E2689" s="10">
        <v>-6.2806104431339698</v>
      </c>
      <c r="F2689" s="4">
        <v>3.3724620529763902E-10</v>
      </c>
      <c r="G2689" s="4">
        <v>7.3070011147821701E-9</v>
      </c>
      <c r="H2689" s="10" t="s">
        <v>11296</v>
      </c>
      <c r="I2689" s="10" t="s">
        <v>18</v>
      </c>
    </row>
    <row r="2690" spans="1:9" x14ac:dyDescent="0.2">
      <c r="A2690" s="10" t="s">
        <v>11297</v>
      </c>
      <c r="B2690" s="10">
        <v>245.339445371295</v>
      </c>
      <c r="C2690" s="10">
        <v>-4.6094397782222298</v>
      </c>
      <c r="D2690" s="10">
        <v>0.40559708405127398</v>
      </c>
      <c r="E2690" s="10">
        <v>-11.3645781971143</v>
      </c>
      <c r="F2690" s="4">
        <v>6.2766915894957703E-30</v>
      </c>
      <c r="G2690" s="4">
        <v>6.44449701770474E-28</v>
      </c>
      <c r="H2690" s="10" t="s">
        <v>11298</v>
      </c>
      <c r="I2690" s="10" t="s">
        <v>18</v>
      </c>
    </row>
    <row r="2691" spans="1:9" x14ac:dyDescent="0.2">
      <c r="A2691" s="10" t="s">
        <v>7404</v>
      </c>
      <c r="B2691" s="10">
        <v>1908.80006426299</v>
      </c>
      <c r="C2691" s="10">
        <v>1.86810049129322</v>
      </c>
      <c r="D2691" s="10">
        <v>0.25830750320738799</v>
      </c>
      <c r="E2691" s="10">
        <v>7.2320798586844397</v>
      </c>
      <c r="F2691" s="4">
        <v>4.7565234070260901E-13</v>
      </c>
      <c r="G2691" s="4">
        <v>1.4278084284456001E-11</v>
      </c>
      <c r="H2691" s="10" t="s">
        <v>7405</v>
      </c>
      <c r="I2691" s="10" t="s">
        <v>18</v>
      </c>
    </row>
    <row r="2692" spans="1:9" x14ac:dyDescent="0.2">
      <c r="A2692" s="10" t="s">
        <v>7406</v>
      </c>
      <c r="B2692" s="10">
        <v>374.59729795684598</v>
      </c>
      <c r="C2692" s="10">
        <v>-1.11936240602146</v>
      </c>
      <c r="D2692" s="10">
        <v>0.28678357576809599</v>
      </c>
      <c r="E2692" s="10">
        <v>-3.9031607825638601</v>
      </c>
      <c r="F2692" s="4">
        <v>9.4944585138779096E-5</v>
      </c>
      <c r="G2692" s="10">
        <v>7.75408210234556E-4</v>
      </c>
      <c r="H2692" s="10" t="s">
        <v>7407</v>
      </c>
      <c r="I2692" s="10" t="s">
        <v>18</v>
      </c>
    </row>
    <row r="2693" spans="1:9" x14ac:dyDescent="0.2">
      <c r="A2693" s="10" t="s">
        <v>7408</v>
      </c>
      <c r="B2693" s="10">
        <v>32.061912979932401</v>
      </c>
      <c r="C2693" s="10">
        <v>-1.64016411801943</v>
      </c>
      <c r="D2693" s="10">
        <v>0.62738517843424502</v>
      </c>
      <c r="E2693" s="10">
        <v>-2.61428572812759</v>
      </c>
      <c r="F2693" s="10">
        <v>8.9414225665320098E-3</v>
      </c>
      <c r="G2693" s="10">
        <v>3.8531153802201699E-2</v>
      </c>
      <c r="H2693" s="10" t="s">
        <v>7409</v>
      </c>
      <c r="I2693" s="10" t="s">
        <v>18</v>
      </c>
    </row>
    <row r="2694" spans="1:9" x14ac:dyDescent="0.2">
      <c r="A2694" s="10" t="s">
        <v>7410</v>
      </c>
      <c r="B2694" s="10">
        <v>7135.9497479716001</v>
      </c>
      <c r="C2694" s="10">
        <v>2.2701656668444499</v>
      </c>
      <c r="D2694" s="10">
        <v>0.23482475190034399</v>
      </c>
      <c r="E2694" s="10">
        <v>9.6674888335786306</v>
      </c>
      <c r="F2694" s="4">
        <v>4.14421904282001E-22</v>
      </c>
      <c r="G2694" s="4">
        <v>2.5613717450156601E-20</v>
      </c>
      <c r="H2694" s="10" t="s">
        <v>7411</v>
      </c>
      <c r="I2694" s="10" t="s">
        <v>18</v>
      </c>
    </row>
    <row r="2695" spans="1:9" x14ac:dyDescent="0.2">
      <c r="A2695" s="10" t="s">
        <v>7412</v>
      </c>
      <c r="B2695" s="10">
        <v>4165.2993610553604</v>
      </c>
      <c r="C2695" s="10">
        <v>1.49864047011757</v>
      </c>
      <c r="D2695" s="10">
        <v>0.26466834459905803</v>
      </c>
      <c r="E2695" s="10">
        <v>5.6623336364151804</v>
      </c>
      <c r="F2695" s="4">
        <v>1.4932812504362799E-8</v>
      </c>
      <c r="G2695" s="4">
        <v>2.57108075665467E-7</v>
      </c>
      <c r="H2695" s="10" t="s">
        <v>7413</v>
      </c>
      <c r="I2695" s="10" t="s">
        <v>18</v>
      </c>
    </row>
    <row r="2696" spans="1:9" x14ac:dyDescent="0.2">
      <c r="A2696" s="10" t="s">
        <v>7416</v>
      </c>
      <c r="B2696" s="10">
        <v>259.46888629780898</v>
      </c>
      <c r="C2696" s="10">
        <v>2.2204048946455699</v>
      </c>
      <c r="D2696" s="10">
        <v>0.33088943401427801</v>
      </c>
      <c r="E2696" s="10">
        <v>6.7104134082134497</v>
      </c>
      <c r="F2696" s="4">
        <v>1.9407378667196899E-11</v>
      </c>
      <c r="G2696" s="4">
        <v>4.8240376519104598E-10</v>
      </c>
      <c r="H2696" s="10" t="s">
        <v>7417</v>
      </c>
      <c r="I2696" s="10" t="s">
        <v>18</v>
      </c>
    </row>
    <row r="2697" spans="1:9" x14ac:dyDescent="0.2">
      <c r="A2697" s="10" t="s">
        <v>7420</v>
      </c>
      <c r="B2697" s="10">
        <v>447.80864274421799</v>
      </c>
      <c r="C2697" s="10">
        <v>8.0753504524991602</v>
      </c>
      <c r="D2697" s="10">
        <v>0.614035800221026</v>
      </c>
      <c r="E2697" s="10">
        <v>13.151269762434699</v>
      </c>
      <c r="F2697" s="4">
        <v>1.6734046117344499E-39</v>
      </c>
      <c r="G2697" s="4">
        <v>2.6983649364218E-37</v>
      </c>
      <c r="H2697" s="10" t="s">
        <v>7421</v>
      </c>
      <c r="I2697" s="10" t="s">
        <v>18</v>
      </c>
    </row>
    <row r="2698" spans="1:9" x14ac:dyDescent="0.2">
      <c r="A2698" s="10" t="s">
        <v>7422</v>
      </c>
      <c r="B2698" s="10">
        <v>13812.7768955356</v>
      </c>
      <c r="C2698" s="10">
        <v>5.5537579682544802</v>
      </c>
      <c r="D2698" s="10">
        <v>0.26589822843158201</v>
      </c>
      <c r="E2698" s="10">
        <v>20.886780634130901</v>
      </c>
      <c r="F2698" s="4">
        <v>7.0622546159954997E-97</v>
      </c>
      <c r="G2698" s="4">
        <v>9.3500534139666796E-94</v>
      </c>
      <c r="H2698" s="10" t="s">
        <v>7423</v>
      </c>
      <c r="I2698" s="10" t="s">
        <v>18</v>
      </c>
    </row>
    <row r="2699" spans="1:9" x14ac:dyDescent="0.2">
      <c r="A2699" s="10" t="s">
        <v>7424</v>
      </c>
      <c r="B2699" s="10">
        <v>159.08465670539999</v>
      </c>
      <c r="C2699" s="10">
        <v>7.39145631428753</v>
      </c>
      <c r="D2699" s="10">
        <v>0.80524770700591297</v>
      </c>
      <c r="E2699" s="10">
        <v>9.1791088009062296</v>
      </c>
      <c r="F2699" s="4">
        <v>4.34673823516633E-20</v>
      </c>
      <c r="G2699" s="4">
        <v>2.3565129376208801E-18</v>
      </c>
      <c r="H2699" s="10" t="s">
        <v>7425</v>
      </c>
      <c r="I2699" s="10" t="s">
        <v>18</v>
      </c>
    </row>
    <row r="2700" spans="1:9" x14ac:dyDescent="0.2">
      <c r="A2700" s="10" t="s">
        <v>7426</v>
      </c>
      <c r="B2700" s="10">
        <v>13.797794972872101</v>
      </c>
      <c r="C2700" s="10">
        <v>4.18931994150749</v>
      </c>
      <c r="D2700" s="10">
        <v>1.18378727465609</v>
      </c>
      <c r="E2700" s="10">
        <v>3.5389128023229901</v>
      </c>
      <c r="F2700" s="10">
        <v>4.0177854550340898E-4</v>
      </c>
      <c r="G2700" s="10">
        <v>2.7636694865021201E-3</v>
      </c>
      <c r="H2700" s="10" t="s">
        <v>7427</v>
      </c>
      <c r="I2700" s="10" t="s">
        <v>18</v>
      </c>
    </row>
    <row r="2701" spans="1:9" x14ac:dyDescent="0.2">
      <c r="A2701" s="10" t="s">
        <v>11299</v>
      </c>
      <c r="B2701" s="10">
        <v>874.92329471808898</v>
      </c>
      <c r="C2701" s="10">
        <v>-1.1777486408031901</v>
      </c>
      <c r="D2701" s="10">
        <v>0.321367193856329</v>
      </c>
      <c r="E2701" s="10">
        <v>-3.6648066863032498</v>
      </c>
      <c r="F2701" s="10">
        <v>2.4752547293091E-4</v>
      </c>
      <c r="G2701" s="10">
        <v>1.8032155434627899E-3</v>
      </c>
      <c r="H2701" s="10" t="s">
        <v>11300</v>
      </c>
      <c r="I2701" s="10" t="s">
        <v>18</v>
      </c>
    </row>
    <row r="2702" spans="1:9" x14ac:dyDescent="0.2">
      <c r="A2702" s="10" t="s">
        <v>7438</v>
      </c>
      <c r="B2702" s="10">
        <v>431.46542328825302</v>
      </c>
      <c r="C2702" s="10">
        <v>1.5477749905553999</v>
      </c>
      <c r="D2702" s="10">
        <v>0.33073491364223701</v>
      </c>
      <c r="E2702" s="10">
        <v>4.6798052661282199</v>
      </c>
      <c r="F2702" s="4">
        <v>2.8714752183583801E-6</v>
      </c>
      <c r="G2702" s="4">
        <v>3.2862583766062398E-5</v>
      </c>
      <c r="H2702" s="10" t="s">
        <v>7439</v>
      </c>
      <c r="I2702" s="10" t="s">
        <v>18</v>
      </c>
    </row>
    <row r="2703" spans="1:9" x14ac:dyDescent="0.2">
      <c r="A2703" s="10" t="s">
        <v>7440</v>
      </c>
      <c r="B2703" s="10">
        <v>335.13934029177102</v>
      </c>
      <c r="C2703" s="10">
        <v>1.09149881526805</v>
      </c>
      <c r="D2703" s="10">
        <v>0.342597101656755</v>
      </c>
      <c r="E2703" s="10">
        <v>3.1859546096266098</v>
      </c>
      <c r="F2703" s="10">
        <v>1.4427723125768901E-3</v>
      </c>
      <c r="G2703" s="10">
        <v>8.3317120116785503E-3</v>
      </c>
      <c r="H2703" s="10" t="s">
        <v>7441</v>
      </c>
      <c r="I2703" s="10" t="s">
        <v>18</v>
      </c>
    </row>
    <row r="2704" spans="1:9" x14ac:dyDescent="0.2">
      <c r="A2704" s="10" t="s">
        <v>7444</v>
      </c>
      <c r="B2704" s="10">
        <v>24.271809237843499</v>
      </c>
      <c r="C2704" s="10">
        <v>2.2506378830678</v>
      </c>
      <c r="D2704" s="10">
        <v>0.74990862594558405</v>
      </c>
      <c r="E2704" s="10">
        <v>3.00121615514144</v>
      </c>
      <c r="F2704" s="10">
        <v>2.6890360761068302E-3</v>
      </c>
      <c r="G2704" s="10">
        <v>1.40512468829388E-2</v>
      </c>
      <c r="H2704" s="10" t="s">
        <v>7445</v>
      </c>
      <c r="I2704" s="10" t="s">
        <v>18</v>
      </c>
    </row>
    <row r="2705" spans="1:9" x14ac:dyDescent="0.2">
      <c r="A2705" s="10" t="s">
        <v>7450</v>
      </c>
      <c r="B2705" s="10">
        <v>526.27250792598102</v>
      </c>
      <c r="C2705" s="10">
        <v>2.5617815338061898</v>
      </c>
      <c r="D2705" s="10">
        <v>0.325068109843901</v>
      </c>
      <c r="E2705" s="10">
        <v>7.8807531598112304</v>
      </c>
      <c r="F2705" s="4">
        <v>3.2541359419095798E-15</v>
      </c>
      <c r="G2705" s="4">
        <v>1.20379102380493E-13</v>
      </c>
      <c r="H2705" s="10" t="s">
        <v>7451</v>
      </c>
      <c r="I2705" s="10" t="s">
        <v>18</v>
      </c>
    </row>
    <row r="2706" spans="1:9" x14ac:dyDescent="0.2">
      <c r="A2706" s="10" t="s">
        <v>7452</v>
      </c>
      <c r="B2706" s="10">
        <v>1876.0849507334401</v>
      </c>
      <c r="C2706" s="10">
        <v>1.2470321640845801</v>
      </c>
      <c r="D2706" s="10">
        <v>0.31687069597926298</v>
      </c>
      <c r="E2706" s="10">
        <v>3.9354606781505299</v>
      </c>
      <c r="F2706" s="4">
        <v>8.3037259789919704E-5</v>
      </c>
      <c r="G2706" s="10">
        <v>6.8778474481904204E-4</v>
      </c>
      <c r="H2706" s="10" t="s">
        <v>7453</v>
      </c>
      <c r="I2706" s="10" t="s">
        <v>18</v>
      </c>
    </row>
    <row r="2707" spans="1:9" x14ac:dyDescent="0.2">
      <c r="A2707" s="10" t="s">
        <v>7456</v>
      </c>
      <c r="B2707" s="10">
        <v>1385.45664653829</v>
      </c>
      <c r="C2707" s="10">
        <v>1.73015606171749</v>
      </c>
      <c r="D2707" s="10">
        <v>0.32017035883920802</v>
      </c>
      <c r="E2707" s="10">
        <v>5.4038608320590402</v>
      </c>
      <c r="F2707" s="4">
        <v>6.5221555064867994E-8</v>
      </c>
      <c r="G2707" s="4">
        <v>1.0040686766565199E-6</v>
      </c>
      <c r="H2707" s="10" t="s">
        <v>7457</v>
      </c>
      <c r="I2707" s="10" t="s">
        <v>18</v>
      </c>
    </row>
    <row r="2708" spans="1:9" x14ac:dyDescent="0.2">
      <c r="A2708" s="10" t="s">
        <v>7458</v>
      </c>
      <c r="B2708" s="10">
        <v>12491.0309314892</v>
      </c>
      <c r="C2708" s="10">
        <v>9.5053778969586702</v>
      </c>
      <c r="D2708" s="10">
        <v>0.32137442936059901</v>
      </c>
      <c r="E2708" s="10">
        <v>29.5772688445388</v>
      </c>
      <c r="F2708" s="4">
        <v>2.9299471304490101E-192</v>
      </c>
      <c r="G2708" s="4">
        <v>7.3702820066444695E-188</v>
      </c>
      <c r="H2708" s="10" t="s">
        <v>7459</v>
      </c>
      <c r="I2708" s="10" t="s">
        <v>18</v>
      </c>
    </row>
    <row r="2709" spans="1:9" x14ac:dyDescent="0.2">
      <c r="A2709" s="10" t="s">
        <v>7460</v>
      </c>
      <c r="B2709" s="10">
        <v>12.475678119206201</v>
      </c>
      <c r="C2709" s="10">
        <v>3.0106213460823898</v>
      </c>
      <c r="D2709" s="10">
        <v>1.1012050767274499</v>
      </c>
      <c r="E2709" s="10">
        <v>2.7339334059640601</v>
      </c>
      <c r="F2709" s="10">
        <v>6.2582700297808798E-3</v>
      </c>
      <c r="G2709" s="10">
        <v>2.8522530088019301E-2</v>
      </c>
      <c r="H2709" s="10" t="s">
        <v>7461</v>
      </c>
      <c r="I2709" s="10" t="s">
        <v>18</v>
      </c>
    </row>
    <row r="2710" spans="1:9" x14ac:dyDescent="0.2">
      <c r="A2710" s="10" t="s">
        <v>7462</v>
      </c>
      <c r="B2710" s="10">
        <v>18.617348585274399</v>
      </c>
      <c r="C2710" s="10">
        <v>2.9730002967899898</v>
      </c>
      <c r="D2710" s="10">
        <v>0.87492279150410002</v>
      </c>
      <c r="E2710" s="10">
        <v>3.3980144598576998</v>
      </c>
      <c r="F2710" s="10">
        <v>6.7876832333435295E-4</v>
      </c>
      <c r="G2710" s="10">
        <v>4.37581167951708E-3</v>
      </c>
      <c r="H2710" s="10" t="s">
        <v>7463</v>
      </c>
      <c r="I2710" s="10" t="s">
        <v>18</v>
      </c>
    </row>
    <row r="2711" spans="1:9" x14ac:dyDescent="0.2">
      <c r="A2711" s="10" t="s">
        <v>7464</v>
      </c>
      <c r="B2711" s="10">
        <v>45.435271364173097</v>
      </c>
      <c r="C2711" s="10">
        <v>4.3817636736201697</v>
      </c>
      <c r="D2711" s="10">
        <v>0.72833132698505199</v>
      </c>
      <c r="E2711" s="10">
        <v>6.0161680697693001</v>
      </c>
      <c r="F2711" s="4">
        <v>1.7859414840724301E-9</v>
      </c>
      <c r="G2711" s="4">
        <v>3.4879936360125803E-8</v>
      </c>
      <c r="H2711" s="10" t="s">
        <v>7465</v>
      </c>
      <c r="I2711" s="10" t="s">
        <v>18</v>
      </c>
    </row>
    <row r="2712" spans="1:9" x14ac:dyDescent="0.2">
      <c r="A2712" s="10" t="s">
        <v>7466</v>
      </c>
      <c r="B2712" s="10">
        <v>4114.8079872394901</v>
      </c>
      <c r="C2712" s="10">
        <v>1.89059230199354</v>
      </c>
      <c r="D2712" s="10">
        <v>0.24201897310016099</v>
      </c>
      <c r="E2712" s="10">
        <v>7.8117524331908896</v>
      </c>
      <c r="F2712" s="4">
        <v>5.6398257177862898E-15</v>
      </c>
      <c r="G2712" s="4">
        <v>2.04423365894689E-13</v>
      </c>
      <c r="H2712" s="10" t="s">
        <v>7467</v>
      </c>
      <c r="I2712" s="10" t="s">
        <v>18</v>
      </c>
    </row>
    <row r="2713" spans="1:9" x14ac:dyDescent="0.2">
      <c r="A2713" s="10" t="s">
        <v>7470</v>
      </c>
      <c r="B2713" s="10">
        <v>5632.2393436414004</v>
      </c>
      <c r="C2713" s="10">
        <v>-1.9187602281323199</v>
      </c>
      <c r="D2713" s="10">
        <v>0.23938639411454801</v>
      </c>
      <c r="E2713" s="10">
        <v>-8.0153269998050796</v>
      </c>
      <c r="F2713" s="4">
        <v>1.0984437773358701E-15</v>
      </c>
      <c r="G2713" s="4">
        <v>4.2772992598891399E-14</v>
      </c>
      <c r="H2713" s="10" t="s">
        <v>7471</v>
      </c>
      <c r="I2713" s="10" t="s">
        <v>18</v>
      </c>
    </row>
    <row r="2714" spans="1:9" x14ac:dyDescent="0.2">
      <c r="A2714" s="10" t="s">
        <v>7472</v>
      </c>
      <c r="B2714" s="10">
        <v>160.046260145834</v>
      </c>
      <c r="C2714" s="10">
        <v>-2.0781102810004</v>
      </c>
      <c r="D2714" s="10">
        <v>0.37452399085759502</v>
      </c>
      <c r="E2714" s="10">
        <v>-5.54867066390565</v>
      </c>
      <c r="F2714" s="4">
        <v>2.8784981576407499E-8</v>
      </c>
      <c r="G2714" s="4">
        <v>4.7079727669345298E-7</v>
      </c>
      <c r="H2714" s="10" t="s">
        <v>7473</v>
      </c>
      <c r="I2714" s="10" t="s">
        <v>18</v>
      </c>
    </row>
    <row r="2715" spans="1:9" x14ac:dyDescent="0.2">
      <c r="A2715" s="10" t="s">
        <v>11301</v>
      </c>
      <c r="B2715" s="10">
        <v>11.889743194725799</v>
      </c>
      <c r="C2715" s="10">
        <v>-3.0454375766298898</v>
      </c>
      <c r="D2715" s="10">
        <v>1.11394443948331</v>
      </c>
      <c r="E2715" s="10">
        <v>-2.73392232923436</v>
      </c>
      <c r="F2715" s="10">
        <v>6.2584805600875903E-3</v>
      </c>
      <c r="G2715" s="10">
        <v>2.8522530088019301E-2</v>
      </c>
      <c r="H2715" s="10" t="s">
        <v>11302</v>
      </c>
      <c r="I2715" s="10" t="s">
        <v>18</v>
      </c>
    </row>
    <row r="2716" spans="1:9" x14ac:dyDescent="0.2">
      <c r="A2716" s="10" t="s">
        <v>11303</v>
      </c>
      <c r="B2716" s="10">
        <v>4053.5499942133602</v>
      </c>
      <c r="C2716" s="10">
        <v>-1.29325109001066</v>
      </c>
      <c r="D2716" s="10">
        <v>0.28583346766802697</v>
      </c>
      <c r="E2716" s="10">
        <v>-4.5244914829661198</v>
      </c>
      <c r="F2716" s="4">
        <v>6.05408907803165E-6</v>
      </c>
      <c r="G2716" s="4">
        <v>6.53047215942908E-5</v>
      </c>
      <c r="H2716" s="10" t="s">
        <v>11304</v>
      </c>
      <c r="I2716" s="10" t="s">
        <v>18</v>
      </c>
    </row>
    <row r="2717" spans="1:9" x14ac:dyDescent="0.2">
      <c r="A2717" s="10" t="s">
        <v>11305</v>
      </c>
      <c r="B2717" s="10">
        <v>4948.9573684069601</v>
      </c>
      <c r="C2717" s="10">
        <v>-1.0074378257702801</v>
      </c>
      <c r="D2717" s="10">
        <v>0.25811290517809299</v>
      </c>
      <c r="E2717" s="10">
        <v>-3.90308971601076</v>
      </c>
      <c r="F2717" s="4">
        <v>9.4972478462837097E-5</v>
      </c>
      <c r="G2717" s="10">
        <v>7.75408210234556E-4</v>
      </c>
      <c r="H2717" s="10" t="s">
        <v>11306</v>
      </c>
      <c r="I2717" s="10" t="s">
        <v>18</v>
      </c>
    </row>
    <row r="2718" spans="1:9" x14ac:dyDescent="0.2">
      <c r="A2718" s="10" t="s">
        <v>7476</v>
      </c>
      <c r="B2718" s="10">
        <v>679.01887902995304</v>
      </c>
      <c r="C2718" s="10">
        <v>1.1980891502917399</v>
      </c>
      <c r="D2718" s="10">
        <v>0.295575324926448</v>
      </c>
      <c r="E2718" s="10">
        <v>4.0534139667777698</v>
      </c>
      <c r="F2718" s="4">
        <v>5.04755679443081E-5</v>
      </c>
      <c r="G2718" s="10">
        <v>4.4302613804573197E-4</v>
      </c>
      <c r="H2718" s="10" t="s">
        <v>7477</v>
      </c>
      <c r="I2718" s="10" t="s">
        <v>18</v>
      </c>
    </row>
    <row r="2719" spans="1:9" x14ac:dyDescent="0.2">
      <c r="A2719" s="10" t="s">
        <v>11307</v>
      </c>
      <c r="B2719" s="10">
        <v>135.22433559141399</v>
      </c>
      <c r="C2719" s="10">
        <v>1.20412192812548</v>
      </c>
      <c r="D2719" s="10">
        <v>0.41672583821374298</v>
      </c>
      <c r="E2719" s="10">
        <v>2.8894822871719099</v>
      </c>
      <c r="F2719" s="10">
        <v>3.8587674559495098E-3</v>
      </c>
      <c r="G2719" s="10">
        <v>1.9115260999293001E-2</v>
      </c>
      <c r="H2719" s="10" t="s">
        <v>11308</v>
      </c>
      <c r="I2719" s="10" t="s">
        <v>18</v>
      </c>
    </row>
    <row r="2720" spans="1:9" x14ac:dyDescent="0.2">
      <c r="A2720" s="10" t="s">
        <v>7482</v>
      </c>
      <c r="B2720" s="10">
        <v>960.47012820945395</v>
      </c>
      <c r="C2720" s="10">
        <v>-2.3717721635973699</v>
      </c>
      <c r="D2720" s="10">
        <v>0.32833829137658699</v>
      </c>
      <c r="E2720" s="10">
        <v>-7.2235624838440398</v>
      </c>
      <c r="F2720" s="4">
        <v>5.0643013240615805E-13</v>
      </c>
      <c r="G2720" s="4">
        <v>1.5104117834349599E-11</v>
      </c>
      <c r="H2720" s="10" t="s">
        <v>7483</v>
      </c>
      <c r="I2720" s="10" t="s">
        <v>18</v>
      </c>
    </row>
    <row r="2721" spans="1:9" x14ac:dyDescent="0.2">
      <c r="A2721" s="10" t="s">
        <v>7484</v>
      </c>
      <c r="B2721" s="10">
        <v>449.180864626328</v>
      </c>
      <c r="C2721" s="10">
        <v>-1.48339723539968</v>
      </c>
      <c r="D2721" s="10">
        <v>0.31375014087326902</v>
      </c>
      <c r="E2721" s="10">
        <v>-4.7279571931693702</v>
      </c>
      <c r="F2721" s="4">
        <v>2.2678998117206901E-6</v>
      </c>
      <c r="G2721" s="4">
        <v>2.6485153093702E-5</v>
      </c>
      <c r="H2721" s="10" t="s">
        <v>7485</v>
      </c>
      <c r="I2721" s="10" t="s">
        <v>18</v>
      </c>
    </row>
    <row r="2722" spans="1:9" x14ac:dyDescent="0.2">
      <c r="A2722" s="10" t="s">
        <v>7492</v>
      </c>
      <c r="B2722" s="10">
        <v>32.926997960023897</v>
      </c>
      <c r="C2722" s="10">
        <v>5.4967329504951303</v>
      </c>
      <c r="D2722" s="10">
        <v>1.01985181500664</v>
      </c>
      <c r="E2722" s="10">
        <v>5.3897368908044001</v>
      </c>
      <c r="F2722" s="4">
        <v>7.0560912479570603E-8</v>
      </c>
      <c r="G2722" s="4">
        <v>1.0816330002581299E-6</v>
      </c>
      <c r="H2722" s="10" t="s">
        <v>7493</v>
      </c>
      <c r="I2722" s="10" t="s">
        <v>18</v>
      </c>
    </row>
    <row r="2723" spans="1:9" x14ac:dyDescent="0.2">
      <c r="A2723" s="10" t="s">
        <v>11309</v>
      </c>
      <c r="B2723" s="10">
        <v>1364.5710698303301</v>
      </c>
      <c r="C2723" s="10">
        <v>1.1533496230965801</v>
      </c>
      <c r="D2723" s="10">
        <v>0.31201086862934002</v>
      </c>
      <c r="E2723" s="10">
        <v>3.6965046383263198</v>
      </c>
      <c r="F2723" s="10">
        <v>2.1858826742140799E-4</v>
      </c>
      <c r="G2723" s="10">
        <v>1.616280972071E-3</v>
      </c>
      <c r="H2723" s="10" t="s">
        <v>11310</v>
      </c>
      <c r="I2723" s="10" t="s">
        <v>18</v>
      </c>
    </row>
    <row r="2724" spans="1:9" x14ac:dyDescent="0.2">
      <c r="A2724" s="10" t="s">
        <v>7494</v>
      </c>
      <c r="B2724" s="10">
        <v>20566.212596681798</v>
      </c>
      <c r="C2724" s="10">
        <v>1.44559610582714</v>
      </c>
      <c r="D2724" s="10">
        <v>0.26148367193541799</v>
      </c>
      <c r="E2724" s="10">
        <v>5.5284373786221401</v>
      </c>
      <c r="F2724" s="4">
        <v>3.2309571350537301E-8</v>
      </c>
      <c r="G2724" s="4">
        <v>5.2401500149759202E-7</v>
      </c>
      <c r="H2724" s="10" t="s">
        <v>7495</v>
      </c>
      <c r="I2724" s="10" t="s">
        <v>18</v>
      </c>
    </row>
    <row r="2725" spans="1:9" x14ac:dyDescent="0.2">
      <c r="A2725" s="10" t="s">
        <v>11311</v>
      </c>
      <c r="B2725" s="10">
        <v>44.670112775366398</v>
      </c>
      <c r="C2725" s="10">
        <v>1.5857440116741901</v>
      </c>
      <c r="D2725" s="10">
        <v>0.55806694183603001</v>
      </c>
      <c r="E2725" s="10">
        <v>2.8414942595544601</v>
      </c>
      <c r="F2725" s="10">
        <v>4.4902660346740298E-3</v>
      </c>
      <c r="G2725" s="10">
        <v>2.1684131714767799E-2</v>
      </c>
      <c r="H2725" s="10" t="s">
        <v>11312</v>
      </c>
      <c r="I2725" s="10" t="s">
        <v>18</v>
      </c>
    </row>
    <row r="2726" spans="1:9" x14ac:dyDescent="0.2">
      <c r="A2726" s="10" t="s">
        <v>11313</v>
      </c>
      <c r="B2726" s="10">
        <v>642.51285014538098</v>
      </c>
      <c r="C2726" s="10">
        <v>1.5776618147803201</v>
      </c>
      <c r="D2726" s="10">
        <v>0.28215130543104999</v>
      </c>
      <c r="E2726" s="10">
        <v>5.5915453319277901</v>
      </c>
      <c r="F2726" s="4">
        <v>2.25057517245587E-8</v>
      </c>
      <c r="G2726" s="4">
        <v>3.74426048036557E-7</v>
      </c>
      <c r="H2726" s="10" t="s">
        <v>11314</v>
      </c>
      <c r="I2726" s="10" t="s">
        <v>18</v>
      </c>
    </row>
    <row r="2727" spans="1:9" x14ac:dyDescent="0.2">
      <c r="A2727" s="10" t="s">
        <v>11315</v>
      </c>
      <c r="B2727" s="10">
        <v>3167.1299244813899</v>
      </c>
      <c r="C2727" s="10">
        <v>1.9261966896629701</v>
      </c>
      <c r="D2727" s="10">
        <v>0.293602983798749</v>
      </c>
      <c r="E2727" s="10">
        <v>6.5605487544475602</v>
      </c>
      <c r="F2727" s="4">
        <v>5.3610122692351797E-11</v>
      </c>
      <c r="G2727" s="4">
        <v>1.2746338717638101E-9</v>
      </c>
      <c r="H2727" s="10" t="s">
        <v>11316</v>
      </c>
      <c r="I2727" s="10" t="s">
        <v>18</v>
      </c>
    </row>
    <row r="2728" spans="1:9" x14ac:dyDescent="0.2">
      <c r="A2728" s="10" t="s">
        <v>7498</v>
      </c>
      <c r="B2728" s="10">
        <v>500.358610908559</v>
      </c>
      <c r="C2728" s="10">
        <v>2.9505087720104299</v>
      </c>
      <c r="D2728" s="10">
        <v>0.36615393418764303</v>
      </c>
      <c r="E2728" s="10">
        <v>8.0581102550666301</v>
      </c>
      <c r="F2728" s="4">
        <v>7.7482918622010903E-16</v>
      </c>
      <c r="G2728" s="4">
        <v>3.0549887428474699E-14</v>
      </c>
      <c r="H2728" s="10" t="s">
        <v>7499</v>
      </c>
      <c r="I2728" s="10" t="s">
        <v>18</v>
      </c>
    </row>
    <row r="2729" spans="1:9" x14ac:dyDescent="0.2">
      <c r="A2729" s="10" t="s">
        <v>11317</v>
      </c>
      <c r="B2729" s="10">
        <v>635.45165672514804</v>
      </c>
      <c r="C2729" s="10">
        <v>1.16183427084225</v>
      </c>
      <c r="D2729" s="10">
        <v>0.33016986541037302</v>
      </c>
      <c r="E2729" s="10">
        <v>3.51889858088107</v>
      </c>
      <c r="F2729" s="10">
        <v>4.3334233229067699E-4</v>
      </c>
      <c r="G2729" s="10">
        <v>2.9549271804749202E-3</v>
      </c>
      <c r="H2729" s="10" t="s">
        <v>11318</v>
      </c>
      <c r="I2729" s="10" t="s">
        <v>18</v>
      </c>
    </row>
    <row r="2730" spans="1:9" x14ac:dyDescent="0.2">
      <c r="A2730" s="10" t="s">
        <v>7502</v>
      </c>
      <c r="B2730" s="10">
        <v>271.49160202787601</v>
      </c>
      <c r="C2730" s="10">
        <v>-1.4259754567335701</v>
      </c>
      <c r="D2730" s="10">
        <v>0.34151624881999798</v>
      </c>
      <c r="E2730" s="10">
        <v>-4.1754249224175499</v>
      </c>
      <c r="F2730" s="4">
        <v>2.97430338390873E-5</v>
      </c>
      <c r="G2730" s="10">
        <v>2.7375997666382701E-4</v>
      </c>
      <c r="H2730" s="10" t="s">
        <v>7503</v>
      </c>
      <c r="I2730" s="10" t="s">
        <v>18</v>
      </c>
    </row>
    <row r="2731" spans="1:9" x14ac:dyDescent="0.2">
      <c r="A2731" s="10" t="s">
        <v>7504</v>
      </c>
      <c r="B2731" s="10">
        <v>506.26496777360097</v>
      </c>
      <c r="C2731" s="10">
        <v>1.0230133892617399</v>
      </c>
      <c r="D2731" s="10">
        <v>0.30633207684172298</v>
      </c>
      <c r="E2731" s="10">
        <v>3.3395568619812401</v>
      </c>
      <c r="F2731" s="10">
        <v>8.3912170364855302E-4</v>
      </c>
      <c r="G2731" s="10">
        <v>5.2546941636244402E-3</v>
      </c>
      <c r="H2731" s="10" t="s">
        <v>7505</v>
      </c>
      <c r="I2731" s="10" t="s">
        <v>18</v>
      </c>
    </row>
    <row r="2732" spans="1:9" x14ac:dyDescent="0.2">
      <c r="A2732" s="10" t="s">
        <v>11319</v>
      </c>
      <c r="B2732" s="10">
        <v>19.3470255184696</v>
      </c>
      <c r="C2732" s="10">
        <v>-4.5906664219887299</v>
      </c>
      <c r="D2732" s="10">
        <v>1.11176674749464</v>
      </c>
      <c r="E2732" s="10">
        <v>-4.12916327308203</v>
      </c>
      <c r="F2732" s="4">
        <v>3.6408579497662599E-5</v>
      </c>
      <c r="G2732" s="10">
        <v>3.2944525800852599E-4</v>
      </c>
      <c r="H2732" s="10" t="s">
        <v>11320</v>
      </c>
      <c r="I2732" s="10" t="s">
        <v>18</v>
      </c>
    </row>
    <row r="2733" spans="1:9" x14ac:dyDescent="0.2">
      <c r="A2733" s="10" t="s">
        <v>7510</v>
      </c>
      <c r="B2733" s="10">
        <v>1589.07221928492</v>
      </c>
      <c r="C2733" s="10">
        <v>-1.0520979174560601</v>
      </c>
      <c r="D2733" s="10">
        <v>0.316611201745297</v>
      </c>
      <c r="E2733" s="10">
        <v>-3.32299650693481</v>
      </c>
      <c r="F2733" s="10">
        <v>8.9056029619408996E-4</v>
      </c>
      <c r="G2733" s="10">
        <v>5.5320458172466698E-3</v>
      </c>
      <c r="H2733" s="10" t="s">
        <v>7511</v>
      </c>
      <c r="I2733" s="10" t="s">
        <v>18</v>
      </c>
    </row>
    <row r="2734" spans="1:9" x14ac:dyDescent="0.2">
      <c r="A2734" s="10" t="s">
        <v>7516</v>
      </c>
      <c r="B2734" s="10">
        <v>2787.6528549500699</v>
      </c>
      <c r="C2734" s="10">
        <v>2.6107863425151501</v>
      </c>
      <c r="D2734" s="10">
        <v>0.31182914730701</v>
      </c>
      <c r="E2734" s="10">
        <v>8.3724897594153003</v>
      </c>
      <c r="F2734" s="4">
        <v>5.6413427820944004E-17</v>
      </c>
      <c r="G2734" s="4">
        <v>2.4852535496249499E-15</v>
      </c>
      <c r="H2734" s="10" t="s">
        <v>7517</v>
      </c>
      <c r="I2734" s="10" t="s">
        <v>18</v>
      </c>
    </row>
    <row r="2735" spans="1:9" x14ac:dyDescent="0.2">
      <c r="A2735" s="10" t="s">
        <v>11321</v>
      </c>
      <c r="B2735" s="10">
        <v>1591.2909402677799</v>
      </c>
      <c r="C2735" s="10">
        <v>1.35776272968258</v>
      </c>
      <c r="D2735" s="10">
        <v>0.312439852376248</v>
      </c>
      <c r="E2735" s="10">
        <v>4.34567715787911</v>
      </c>
      <c r="F2735" s="4">
        <v>1.38846657487942E-5</v>
      </c>
      <c r="G2735" s="10">
        <v>1.3739920020099E-4</v>
      </c>
      <c r="H2735" s="10" t="s">
        <v>11322</v>
      </c>
      <c r="I2735" s="10" t="s">
        <v>18</v>
      </c>
    </row>
    <row r="2736" spans="1:9" x14ac:dyDescent="0.2">
      <c r="A2736" s="10" t="s">
        <v>7524</v>
      </c>
      <c r="B2736" s="10">
        <v>2743.6258497478998</v>
      </c>
      <c r="C2736" s="10">
        <v>2.7409585694627001</v>
      </c>
      <c r="D2736" s="10">
        <v>0.32497925308125902</v>
      </c>
      <c r="E2736" s="10">
        <v>8.4342570901821308</v>
      </c>
      <c r="F2736" s="4">
        <v>3.3331328005942399E-17</v>
      </c>
      <c r="G2736" s="4">
        <v>1.4866126879246099E-15</v>
      </c>
      <c r="H2736" s="10" t="s">
        <v>7525</v>
      </c>
      <c r="I2736" s="10" t="s">
        <v>18</v>
      </c>
    </row>
    <row r="2737" spans="1:9" x14ac:dyDescent="0.2">
      <c r="A2737" s="10" t="s">
        <v>11323</v>
      </c>
      <c r="B2737" s="10">
        <v>2386.1265911554001</v>
      </c>
      <c r="C2737" s="10">
        <v>1.0457423809772699</v>
      </c>
      <c r="D2737" s="10">
        <v>0.31671847410077603</v>
      </c>
      <c r="E2737" s="10">
        <v>3.3018041778154101</v>
      </c>
      <c r="F2737" s="10">
        <v>9.6065111342849801E-4</v>
      </c>
      <c r="G2737" s="10">
        <v>5.8925088413298897E-3</v>
      </c>
      <c r="H2737" s="10" t="s">
        <v>11324</v>
      </c>
      <c r="I2737" s="10" t="s">
        <v>18</v>
      </c>
    </row>
    <row r="2738" spans="1:9" x14ac:dyDescent="0.2">
      <c r="A2738" s="10" t="s">
        <v>11325</v>
      </c>
      <c r="B2738" s="10">
        <v>1474.0128560494099</v>
      </c>
      <c r="C2738" s="10">
        <v>1.1825664518249199</v>
      </c>
      <c r="D2738" s="10">
        <v>0.33135390217212601</v>
      </c>
      <c r="E2738" s="10">
        <v>3.5688924864709302</v>
      </c>
      <c r="F2738" s="10">
        <v>3.58493493106845E-4</v>
      </c>
      <c r="G2738" s="10">
        <v>2.5035824039707599E-3</v>
      </c>
      <c r="H2738" s="10" t="s">
        <v>11326</v>
      </c>
      <c r="I2738" s="10" t="s">
        <v>18</v>
      </c>
    </row>
    <row r="2739" spans="1:9" x14ac:dyDescent="0.2">
      <c r="A2739" s="10" t="s">
        <v>7526</v>
      </c>
      <c r="B2739" s="10">
        <v>7991.7985554112201</v>
      </c>
      <c r="C2739" s="10">
        <v>1.25635448088119</v>
      </c>
      <c r="D2739" s="10">
        <v>0.35202169739795802</v>
      </c>
      <c r="E2739" s="10">
        <v>3.5689688737023801</v>
      </c>
      <c r="F2739" s="10">
        <v>3.5838899735858299E-4</v>
      </c>
      <c r="G2739" s="10">
        <v>2.5035476891294502E-3</v>
      </c>
      <c r="H2739" s="10" t="s">
        <v>7527</v>
      </c>
      <c r="I2739" s="10" t="s">
        <v>18</v>
      </c>
    </row>
    <row r="2740" spans="1:9" x14ac:dyDescent="0.2">
      <c r="A2740" s="10" t="s">
        <v>11327</v>
      </c>
      <c r="B2740" s="10">
        <v>1368.0266600903501</v>
      </c>
      <c r="C2740" s="10">
        <v>2.2147425450712901</v>
      </c>
      <c r="D2740" s="10">
        <v>0.321573667294833</v>
      </c>
      <c r="E2740" s="10">
        <v>6.8872011931272903</v>
      </c>
      <c r="F2740" s="4">
        <v>5.6900722923364002E-12</v>
      </c>
      <c r="G2740" s="4">
        <v>1.5098498788367301E-10</v>
      </c>
      <c r="H2740" s="10" t="s">
        <v>11328</v>
      </c>
      <c r="I2740" s="10" t="s">
        <v>18</v>
      </c>
    </row>
    <row r="2741" spans="1:9" x14ac:dyDescent="0.2">
      <c r="A2741" s="10" t="s">
        <v>11329</v>
      </c>
      <c r="B2741" s="10">
        <v>97.115610754739194</v>
      </c>
      <c r="C2741" s="10">
        <v>-1.25233095543103</v>
      </c>
      <c r="D2741" s="10">
        <v>0.42236276825570102</v>
      </c>
      <c r="E2741" s="10">
        <v>-2.9650600137009802</v>
      </c>
      <c r="F2741" s="10">
        <v>3.0262388749008099E-3</v>
      </c>
      <c r="G2741" s="10">
        <v>1.5532552315472299E-2</v>
      </c>
      <c r="H2741" s="10" t="s">
        <v>11330</v>
      </c>
      <c r="I2741" s="10" t="s">
        <v>18</v>
      </c>
    </row>
    <row r="2742" spans="1:9" x14ac:dyDescent="0.2">
      <c r="A2742" s="10" t="s">
        <v>11331</v>
      </c>
      <c r="B2742" s="10">
        <v>141.140506105969</v>
      </c>
      <c r="C2742" s="10">
        <v>-1.2475776762930799</v>
      </c>
      <c r="D2742" s="10">
        <v>0.36038802811655701</v>
      </c>
      <c r="E2742" s="10">
        <v>-3.46176226444899</v>
      </c>
      <c r="F2742" s="10">
        <v>5.3665096807414402E-4</v>
      </c>
      <c r="G2742" s="10">
        <v>3.5581062472074599E-3</v>
      </c>
      <c r="H2742" s="10" t="s">
        <v>11332</v>
      </c>
      <c r="I2742" s="10" t="s">
        <v>18</v>
      </c>
    </row>
    <row r="2743" spans="1:9" x14ac:dyDescent="0.2">
      <c r="A2743" s="10" t="s">
        <v>11333</v>
      </c>
      <c r="B2743" s="10">
        <v>870.00812385083202</v>
      </c>
      <c r="C2743" s="10">
        <v>1.7596966182156799</v>
      </c>
      <c r="D2743" s="10">
        <v>0.30104807468698702</v>
      </c>
      <c r="E2743" s="10">
        <v>5.8452345860218999</v>
      </c>
      <c r="F2743" s="4">
        <v>5.0585488677651398E-9</v>
      </c>
      <c r="G2743" s="4">
        <v>9.35645564475235E-8</v>
      </c>
      <c r="H2743" s="10" t="s">
        <v>11334</v>
      </c>
      <c r="I2743" s="10" t="s">
        <v>18</v>
      </c>
    </row>
    <row r="2744" spans="1:9" x14ac:dyDescent="0.2">
      <c r="A2744" s="10" t="s">
        <v>7538</v>
      </c>
      <c r="B2744" s="10">
        <v>405.27044490957098</v>
      </c>
      <c r="C2744" s="10">
        <v>3.19154968716076</v>
      </c>
      <c r="D2744" s="10">
        <v>0.31686781784842</v>
      </c>
      <c r="E2744" s="10">
        <v>10.072179967129101</v>
      </c>
      <c r="F2744" s="4">
        <v>7.3334329151895504E-24</v>
      </c>
      <c r="G2744" s="4">
        <v>5.1896256408239303E-22</v>
      </c>
      <c r="H2744" s="10" t="s">
        <v>7539</v>
      </c>
      <c r="I2744" s="10" t="s">
        <v>18</v>
      </c>
    </row>
    <row r="2745" spans="1:9" x14ac:dyDescent="0.2">
      <c r="A2745" s="10" t="s">
        <v>11335</v>
      </c>
      <c r="B2745" s="10">
        <v>5538.51351983117</v>
      </c>
      <c r="C2745" s="10">
        <v>1.15454865199713</v>
      </c>
      <c r="D2745" s="10">
        <v>0.24355645347072899</v>
      </c>
      <c r="E2745" s="10">
        <v>4.7403738868117697</v>
      </c>
      <c r="F2745" s="4">
        <v>2.13324199087283E-6</v>
      </c>
      <c r="G2745" s="4">
        <v>2.5028779048696801E-5</v>
      </c>
      <c r="H2745" s="10" t="s">
        <v>11336</v>
      </c>
      <c r="I2745" s="10" t="s">
        <v>18</v>
      </c>
    </row>
    <row r="2746" spans="1:9" x14ac:dyDescent="0.2">
      <c r="A2746" s="10" t="s">
        <v>7544</v>
      </c>
      <c r="B2746" s="10">
        <v>261.21954412746601</v>
      </c>
      <c r="C2746" s="10">
        <v>3.0319828241077098</v>
      </c>
      <c r="D2746" s="10">
        <v>0.335230760233171</v>
      </c>
      <c r="E2746" s="10">
        <v>9.0444648396788008</v>
      </c>
      <c r="F2746" s="4">
        <v>1.5040005657902799E-19</v>
      </c>
      <c r="G2746" s="4">
        <v>7.8655164724437796E-18</v>
      </c>
      <c r="H2746" s="10" t="s">
        <v>7545</v>
      </c>
      <c r="I2746" s="10" t="s">
        <v>18</v>
      </c>
    </row>
    <row r="2747" spans="1:9" x14ac:dyDescent="0.2">
      <c r="A2747" s="10" t="s">
        <v>7552</v>
      </c>
      <c r="B2747" s="10">
        <v>399.31409072966397</v>
      </c>
      <c r="C2747" s="10">
        <v>3.8941834755304101</v>
      </c>
      <c r="D2747" s="10">
        <v>0.313595485855517</v>
      </c>
      <c r="E2747" s="10">
        <v>12.4178556489955</v>
      </c>
      <c r="F2747" s="4">
        <v>2.0909092139086699E-35</v>
      </c>
      <c r="G2747" s="4">
        <v>2.69727288594219E-33</v>
      </c>
      <c r="H2747" s="10" t="s">
        <v>7553</v>
      </c>
      <c r="I2747" s="10" t="s">
        <v>18</v>
      </c>
    </row>
    <row r="2748" spans="1:9" x14ac:dyDescent="0.2">
      <c r="A2748" s="10" t="s">
        <v>11337</v>
      </c>
      <c r="B2748" s="10">
        <v>2292.0611196956002</v>
      </c>
      <c r="C2748" s="10">
        <v>2.2625113838087199</v>
      </c>
      <c r="D2748" s="10">
        <v>0.25022148356681301</v>
      </c>
      <c r="E2748" s="10">
        <v>9.04203488668308</v>
      </c>
      <c r="F2748" s="4">
        <v>1.5378199169529001E-19</v>
      </c>
      <c r="G2748" s="4">
        <v>8.0256970977075201E-18</v>
      </c>
      <c r="H2748" s="10" t="s">
        <v>11338</v>
      </c>
      <c r="I2748" s="10" t="s">
        <v>18</v>
      </c>
    </row>
    <row r="2749" spans="1:9" x14ac:dyDescent="0.2">
      <c r="A2749" s="10" t="s">
        <v>7554</v>
      </c>
      <c r="B2749" s="10">
        <v>80.827039063801806</v>
      </c>
      <c r="C2749" s="10">
        <v>1.4790364443191399</v>
      </c>
      <c r="D2749" s="10">
        <v>0.44845850281118099</v>
      </c>
      <c r="E2749" s="10">
        <v>3.2980452707390699</v>
      </c>
      <c r="F2749" s="10">
        <v>9.7360435925266395E-4</v>
      </c>
      <c r="G2749" s="10">
        <v>5.9646901259134896E-3</v>
      </c>
      <c r="H2749" s="10" t="s">
        <v>7555</v>
      </c>
      <c r="I2749" s="10" t="s">
        <v>18</v>
      </c>
    </row>
    <row r="2750" spans="1:9" x14ac:dyDescent="0.2">
      <c r="A2750" s="10" t="s">
        <v>11339</v>
      </c>
      <c r="B2750" s="10">
        <v>29.29746569357</v>
      </c>
      <c r="C2750" s="10">
        <v>-4.1844972490583396</v>
      </c>
      <c r="D2750" s="10">
        <v>0.86209077660529099</v>
      </c>
      <c r="E2750" s="10">
        <v>-4.8538940012047203</v>
      </c>
      <c r="F2750" s="4">
        <v>1.21060461425049E-6</v>
      </c>
      <c r="G2750" s="4">
        <v>1.48188608620297E-5</v>
      </c>
      <c r="H2750" s="10" t="s">
        <v>11340</v>
      </c>
      <c r="I2750" s="10" t="s">
        <v>18</v>
      </c>
    </row>
    <row r="2751" spans="1:9" x14ac:dyDescent="0.2">
      <c r="A2751" s="10" t="s">
        <v>11341</v>
      </c>
      <c r="B2751" s="10">
        <v>6907.1232720266098</v>
      </c>
      <c r="C2751" s="10">
        <v>2.1323327718323402</v>
      </c>
      <c r="D2751" s="10">
        <v>0.23728791707257799</v>
      </c>
      <c r="E2751" s="10">
        <v>8.9862678139659593</v>
      </c>
      <c r="F2751" s="4">
        <v>2.5576824823433301E-19</v>
      </c>
      <c r="G2751" s="4">
        <v>1.31303067027238E-17</v>
      </c>
      <c r="H2751" s="10" t="s">
        <v>11342</v>
      </c>
      <c r="I2751" s="10" t="s">
        <v>18</v>
      </c>
    </row>
    <row r="2752" spans="1:9" x14ac:dyDescent="0.2">
      <c r="A2752" s="10" t="s">
        <v>7556</v>
      </c>
      <c r="B2752" s="10">
        <v>192.69045483404699</v>
      </c>
      <c r="C2752" s="10">
        <v>-3.2052734316257299</v>
      </c>
      <c r="D2752" s="10">
        <v>0.36234057784524198</v>
      </c>
      <c r="E2752" s="10">
        <v>-8.8460239553813604</v>
      </c>
      <c r="F2752" s="4">
        <v>9.0692797857119591E-19</v>
      </c>
      <c r="G2752" s="4">
        <v>4.4732888825408698E-17</v>
      </c>
      <c r="H2752" s="10" t="s">
        <v>7557</v>
      </c>
      <c r="I2752" s="10" t="s">
        <v>18</v>
      </c>
    </row>
    <row r="2753" spans="1:9" x14ac:dyDescent="0.2">
      <c r="A2753" s="10" t="s">
        <v>7558</v>
      </c>
      <c r="B2753" s="10">
        <v>1059.20204444714</v>
      </c>
      <c r="C2753" s="10">
        <v>-1.7564414406450599</v>
      </c>
      <c r="D2753" s="10">
        <v>0.30559442166477102</v>
      </c>
      <c r="E2753" s="10">
        <v>-5.7476227186235596</v>
      </c>
      <c r="F2753" s="4">
        <v>9.0506908306486697E-9</v>
      </c>
      <c r="G2753" s="4">
        <v>1.60218246196318E-7</v>
      </c>
      <c r="H2753" s="10" t="s">
        <v>7559</v>
      </c>
      <c r="I2753" s="10" t="s">
        <v>18</v>
      </c>
    </row>
    <row r="2754" spans="1:9" x14ac:dyDescent="0.2">
      <c r="A2754" s="10" t="s">
        <v>7560</v>
      </c>
      <c r="B2754" s="10">
        <v>179.213719872979</v>
      </c>
      <c r="C2754" s="10">
        <v>5.6055328781135296</v>
      </c>
      <c r="D2754" s="10">
        <v>0.54304327682862197</v>
      </c>
      <c r="E2754" s="10">
        <v>10.322442275411101</v>
      </c>
      <c r="F2754" s="4">
        <v>5.5785781714693103E-25</v>
      </c>
      <c r="G2754" s="4">
        <v>4.30893543116183E-23</v>
      </c>
      <c r="H2754" s="10" t="s">
        <v>7561</v>
      </c>
      <c r="I2754" s="10" t="s">
        <v>18</v>
      </c>
    </row>
    <row r="2755" spans="1:9" x14ac:dyDescent="0.2">
      <c r="A2755" s="10" t="s">
        <v>7562</v>
      </c>
      <c r="B2755" s="10">
        <v>3563.8966788241501</v>
      </c>
      <c r="C2755" s="10">
        <v>1.27080873246735</v>
      </c>
      <c r="D2755" s="10">
        <v>0.26324080369519598</v>
      </c>
      <c r="E2755" s="10">
        <v>4.8275522435298797</v>
      </c>
      <c r="F2755" s="4">
        <v>1.3822143499642599E-6</v>
      </c>
      <c r="G2755" s="4">
        <v>1.6692079679957299E-5</v>
      </c>
      <c r="H2755" s="10" t="s">
        <v>7563</v>
      </c>
      <c r="I2755" s="10" t="s">
        <v>18</v>
      </c>
    </row>
    <row r="2756" spans="1:9" x14ac:dyDescent="0.2">
      <c r="A2756" s="10" t="s">
        <v>7564</v>
      </c>
      <c r="B2756" s="10">
        <v>1880.6985597053999</v>
      </c>
      <c r="C2756" s="10">
        <v>1.43377402597339</v>
      </c>
      <c r="D2756" s="10">
        <v>0.26718091031291902</v>
      </c>
      <c r="E2756" s="10">
        <v>5.3663041431147596</v>
      </c>
      <c r="F2756" s="4">
        <v>8.0366379931563095E-8</v>
      </c>
      <c r="G2756" s="4">
        <v>1.2205533554042599E-6</v>
      </c>
      <c r="H2756" s="10" t="s">
        <v>7565</v>
      </c>
      <c r="I2756" s="10" t="s">
        <v>18</v>
      </c>
    </row>
    <row r="2757" spans="1:9" x14ac:dyDescent="0.2">
      <c r="A2757" s="10" t="s">
        <v>7566</v>
      </c>
      <c r="B2757" s="10">
        <v>421.884983081847</v>
      </c>
      <c r="C2757" s="10">
        <v>-1.3824961059480301</v>
      </c>
      <c r="D2757" s="10">
        <v>0.28265960896312797</v>
      </c>
      <c r="E2757" s="10">
        <v>-4.8910281558069197</v>
      </c>
      <c r="F2757" s="4">
        <v>1.00310612730766E-6</v>
      </c>
      <c r="G2757" s="4">
        <v>1.2560047104243E-5</v>
      </c>
      <c r="H2757" s="10" t="s">
        <v>7567</v>
      </c>
      <c r="I2757" s="10" t="s">
        <v>18</v>
      </c>
    </row>
    <row r="2758" spans="1:9" x14ac:dyDescent="0.2">
      <c r="A2758" s="10" t="s">
        <v>7570</v>
      </c>
      <c r="B2758" s="10">
        <v>913.46055011676401</v>
      </c>
      <c r="C2758" s="10">
        <v>-2.74889021458565</v>
      </c>
      <c r="D2758" s="10">
        <v>0.27657509101900601</v>
      </c>
      <c r="E2758" s="10">
        <v>-9.9390375483841105</v>
      </c>
      <c r="F2758" s="4">
        <v>2.8153401752839198E-23</v>
      </c>
      <c r="G2758" s="4">
        <v>1.8935797355419002E-21</v>
      </c>
      <c r="H2758" s="10" t="s">
        <v>7571</v>
      </c>
      <c r="I2758" s="10" t="s">
        <v>18</v>
      </c>
    </row>
    <row r="2759" spans="1:9" x14ac:dyDescent="0.2">
      <c r="A2759" s="10" t="s">
        <v>11343</v>
      </c>
      <c r="B2759" s="10">
        <v>1222.67979330812</v>
      </c>
      <c r="C2759" s="10">
        <v>-1.1441599010410499</v>
      </c>
      <c r="D2759" s="10">
        <v>0.29770942560291003</v>
      </c>
      <c r="E2759" s="10">
        <v>-3.8432101997575101</v>
      </c>
      <c r="F2759" s="10">
        <v>1.21435374815691E-4</v>
      </c>
      <c r="G2759" s="10">
        <v>9.6454273870814596E-4</v>
      </c>
      <c r="H2759" s="10" t="s">
        <v>11344</v>
      </c>
      <c r="I2759" s="10" t="s">
        <v>18</v>
      </c>
    </row>
    <row r="2760" spans="1:9" x14ac:dyDescent="0.2">
      <c r="A2760" s="10" t="s">
        <v>7572</v>
      </c>
      <c r="B2760" s="10">
        <v>1373.36147156109</v>
      </c>
      <c r="C2760" s="10">
        <v>-1.4372818073003799</v>
      </c>
      <c r="D2760" s="10">
        <v>0.27891164300374999</v>
      </c>
      <c r="E2760" s="10">
        <v>-5.15317966586663</v>
      </c>
      <c r="F2760" s="4">
        <v>2.56106378237397E-7</v>
      </c>
      <c r="G2760" s="4">
        <v>3.5810761226024101E-6</v>
      </c>
      <c r="H2760" s="10" t="s">
        <v>7573</v>
      </c>
      <c r="I2760" s="10" t="s">
        <v>18</v>
      </c>
    </row>
    <row r="2761" spans="1:9" x14ac:dyDescent="0.2">
      <c r="A2761" s="10" t="s">
        <v>7576</v>
      </c>
      <c r="B2761" s="10">
        <v>2645.96959810321</v>
      </c>
      <c r="C2761" s="10">
        <v>1.13877276433393</v>
      </c>
      <c r="D2761" s="10">
        <v>0.24449177570480099</v>
      </c>
      <c r="E2761" s="10">
        <v>4.6577139907924003</v>
      </c>
      <c r="F2761" s="4">
        <v>3.1973999838935801E-6</v>
      </c>
      <c r="G2761" s="4">
        <v>3.6344598551668803E-5</v>
      </c>
      <c r="H2761" s="10" t="s">
        <v>7577</v>
      </c>
      <c r="I2761" s="10" t="s">
        <v>18</v>
      </c>
    </row>
    <row r="2762" spans="1:9" x14ac:dyDescent="0.2">
      <c r="A2762" s="10" t="s">
        <v>7582</v>
      </c>
      <c r="B2762" s="10">
        <v>1028.42418216089</v>
      </c>
      <c r="C2762" s="10">
        <v>4.81624308025249</v>
      </c>
      <c r="D2762" s="10">
        <v>0.282600733010131</v>
      </c>
      <c r="E2762" s="10">
        <v>17.0425710823611</v>
      </c>
      <c r="F2762" s="4">
        <v>3.9689316351772597E-65</v>
      </c>
      <c r="G2762" s="4">
        <v>1.6921775471675301E-62</v>
      </c>
      <c r="H2762" s="10" t="s">
        <v>7583</v>
      </c>
      <c r="I2762" s="10" t="s">
        <v>18</v>
      </c>
    </row>
    <row r="2763" spans="1:9" x14ac:dyDescent="0.2">
      <c r="A2763" s="10" t="s">
        <v>11345</v>
      </c>
      <c r="B2763" s="10">
        <v>982.24669763717395</v>
      </c>
      <c r="C2763" s="10">
        <v>1.2102496573708501</v>
      </c>
      <c r="D2763" s="10">
        <v>0.26712923144912998</v>
      </c>
      <c r="E2763" s="10">
        <v>4.5305773943400096</v>
      </c>
      <c r="F2763" s="4">
        <v>5.8822700536611203E-6</v>
      </c>
      <c r="G2763" s="4">
        <v>6.3642366967675497E-5</v>
      </c>
      <c r="H2763" s="10" t="s">
        <v>11346</v>
      </c>
      <c r="I2763" s="10" t="s">
        <v>18</v>
      </c>
    </row>
    <row r="2764" spans="1:9" x14ac:dyDescent="0.2">
      <c r="A2764" s="10" t="s">
        <v>7584</v>
      </c>
      <c r="B2764" s="10">
        <v>568.35146631108603</v>
      </c>
      <c r="C2764" s="10">
        <v>7.1325043007811004</v>
      </c>
      <c r="D2764" s="10">
        <v>0.448291103376669</v>
      </c>
      <c r="E2764" s="10">
        <v>15.910430180426999</v>
      </c>
      <c r="F2764" s="4">
        <v>5.3643634637885498E-57</v>
      </c>
      <c r="G2764" s="4">
        <v>1.7300072170718099E-54</v>
      </c>
      <c r="H2764" s="10" t="s">
        <v>7585</v>
      </c>
      <c r="I2764" s="10" t="s">
        <v>18</v>
      </c>
    </row>
    <row r="2765" spans="1:9" x14ac:dyDescent="0.2">
      <c r="A2765" s="10" t="s">
        <v>7586</v>
      </c>
      <c r="B2765" s="10">
        <v>112.707338438318</v>
      </c>
      <c r="C2765" s="10">
        <v>2.61579975337771</v>
      </c>
      <c r="D2765" s="10">
        <v>0.44357719673575302</v>
      </c>
      <c r="E2765" s="10">
        <v>5.8970564145929201</v>
      </c>
      <c r="F2765" s="4">
        <v>3.7004337322728401E-9</v>
      </c>
      <c r="G2765" s="4">
        <v>6.9673959981529301E-8</v>
      </c>
      <c r="H2765" s="10" t="s">
        <v>7587</v>
      </c>
      <c r="I2765" s="10" t="s">
        <v>18</v>
      </c>
    </row>
    <row r="2766" spans="1:9" x14ac:dyDescent="0.2">
      <c r="A2766" s="10" t="s">
        <v>7588</v>
      </c>
      <c r="B2766" s="10">
        <v>345.15007249436599</v>
      </c>
      <c r="C2766" s="10">
        <v>1.3493793024730401</v>
      </c>
      <c r="D2766" s="10">
        <v>0.294104468653272</v>
      </c>
      <c r="E2766" s="10">
        <v>4.5880952052580204</v>
      </c>
      <c r="F2766" s="4">
        <v>4.4730864735824003E-6</v>
      </c>
      <c r="G2766" s="4">
        <v>4.9655997459384503E-5</v>
      </c>
      <c r="H2766" s="10" t="s">
        <v>7589</v>
      </c>
      <c r="I2766" s="10" t="s">
        <v>18</v>
      </c>
    </row>
    <row r="2767" spans="1:9" x14ac:dyDescent="0.2">
      <c r="A2767" s="10" t="s">
        <v>7590</v>
      </c>
      <c r="B2767" s="10">
        <v>207.848897871182</v>
      </c>
      <c r="C2767" s="10">
        <v>-1.30995178070148</v>
      </c>
      <c r="D2767" s="10">
        <v>0.32549245359204798</v>
      </c>
      <c r="E2767" s="10">
        <v>-4.0245227385311004</v>
      </c>
      <c r="F2767" s="4">
        <v>5.7090977987603198E-5</v>
      </c>
      <c r="G2767" s="10">
        <v>4.9436266825409901E-4</v>
      </c>
      <c r="H2767" s="10" t="s">
        <v>7591</v>
      </c>
      <c r="I2767" s="10" t="s">
        <v>18</v>
      </c>
    </row>
    <row r="2768" spans="1:9" x14ac:dyDescent="0.2">
      <c r="A2768" s="10" t="s">
        <v>7592</v>
      </c>
      <c r="B2768" s="10">
        <v>612.13183367690999</v>
      </c>
      <c r="C2768" s="10">
        <v>1.29717089037372</v>
      </c>
      <c r="D2768" s="10">
        <v>0.29073491988876998</v>
      </c>
      <c r="E2768" s="10">
        <v>4.4616962106581504</v>
      </c>
      <c r="F2768" s="4">
        <v>8.1313445605020502E-6</v>
      </c>
      <c r="G2768" s="4">
        <v>8.5333321827045906E-5</v>
      </c>
      <c r="H2768" s="10" t="s">
        <v>7593</v>
      </c>
      <c r="I2768" s="10" t="s">
        <v>18</v>
      </c>
    </row>
    <row r="2769" spans="1:9" x14ac:dyDescent="0.2">
      <c r="A2769" s="10" t="s">
        <v>7596</v>
      </c>
      <c r="B2769" s="10">
        <v>376.42853565224698</v>
      </c>
      <c r="C2769" s="10">
        <v>-1.1324630226827599</v>
      </c>
      <c r="D2769" s="10">
        <v>0.30763858096412899</v>
      </c>
      <c r="E2769" s="10">
        <v>-3.6811475957718298</v>
      </c>
      <c r="F2769" s="10">
        <v>2.3218654201304399E-4</v>
      </c>
      <c r="G2769" s="10">
        <v>1.70529998958777E-3</v>
      </c>
      <c r="H2769" s="10" t="s">
        <v>7597</v>
      </c>
      <c r="I2769" s="10" t="s">
        <v>18</v>
      </c>
    </row>
    <row r="2770" spans="1:9" x14ac:dyDescent="0.2">
      <c r="A2770" s="10" t="s">
        <v>7598</v>
      </c>
      <c r="B2770" s="10">
        <v>2958.0194930965599</v>
      </c>
      <c r="C2770" s="10">
        <v>-1.3823117613901901</v>
      </c>
      <c r="D2770" s="10">
        <v>0.23691218573018399</v>
      </c>
      <c r="E2770" s="10">
        <v>-5.8347009763545197</v>
      </c>
      <c r="F2770" s="4">
        <v>5.3887119609599796E-9</v>
      </c>
      <c r="G2770" s="4">
        <v>9.9160972478382094E-8</v>
      </c>
      <c r="H2770" s="10" t="s">
        <v>7599</v>
      </c>
      <c r="I2770" s="10" t="s">
        <v>18</v>
      </c>
    </row>
    <row r="2771" spans="1:9" x14ac:dyDescent="0.2">
      <c r="A2771" s="10" t="s">
        <v>7600</v>
      </c>
      <c r="B2771" s="10">
        <v>2229.9722890704202</v>
      </c>
      <c r="C2771" s="10">
        <v>6.8176608260915801</v>
      </c>
      <c r="D2771" s="10">
        <v>0.31264094468077402</v>
      </c>
      <c r="E2771" s="10">
        <v>21.806679330030899</v>
      </c>
      <c r="F2771" s="4">
        <v>2.0051190340639199E-105</v>
      </c>
      <c r="G2771" s="4">
        <v>4.2032307751564903E-102</v>
      </c>
      <c r="H2771" s="10" t="s">
        <v>7601</v>
      </c>
      <c r="I2771" s="10" t="s">
        <v>18</v>
      </c>
    </row>
    <row r="2772" spans="1:9" x14ac:dyDescent="0.2">
      <c r="A2772" s="10" t="s">
        <v>11347</v>
      </c>
      <c r="B2772" s="10">
        <v>3465.8942422621199</v>
      </c>
      <c r="C2772" s="10">
        <v>-1.9914239474595701</v>
      </c>
      <c r="D2772" s="10">
        <v>0.27139127464289198</v>
      </c>
      <c r="E2772" s="10">
        <v>-7.3378333554753201</v>
      </c>
      <c r="F2772" s="4">
        <v>2.1707921253592901E-13</v>
      </c>
      <c r="G2772" s="4">
        <v>6.8002834263278799E-12</v>
      </c>
      <c r="H2772" s="10" t="s">
        <v>11348</v>
      </c>
      <c r="I2772" s="10" t="s">
        <v>18</v>
      </c>
    </row>
    <row r="2773" spans="1:9" x14ac:dyDescent="0.2">
      <c r="A2773" s="10" t="s">
        <v>11349</v>
      </c>
      <c r="B2773" s="10">
        <v>617.010849772955</v>
      </c>
      <c r="C2773" s="10">
        <v>-2.0172344793355999</v>
      </c>
      <c r="D2773" s="10">
        <v>0.27194022974985899</v>
      </c>
      <c r="E2773" s="10">
        <v>-7.4179332759670498</v>
      </c>
      <c r="F2773" s="4">
        <v>1.1896200115766299E-13</v>
      </c>
      <c r="G2773" s="4">
        <v>3.80240043090343E-12</v>
      </c>
      <c r="H2773" s="10" t="s">
        <v>11350</v>
      </c>
      <c r="I2773" s="10" t="s">
        <v>18</v>
      </c>
    </row>
    <row r="2774" spans="1:9" x14ac:dyDescent="0.2">
      <c r="A2774" s="10" t="s">
        <v>11351</v>
      </c>
      <c r="B2774" s="10">
        <v>38.174787621008903</v>
      </c>
      <c r="C2774" s="10">
        <v>-3.3706173950909699</v>
      </c>
      <c r="D2774" s="10">
        <v>0.67009568402310704</v>
      </c>
      <c r="E2774" s="10">
        <v>-5.0300538795512297</v>
      </c>
      <c r="F2774" s="4">
        <v>4.9034202491823598E-7</v>
      </c>
      <c r="G2774" s="4">
        <v>6.5193201040265397E-6</v>
      </c>
      <c r="H2774" s="10" t="s">
        <v>11352</v>
      </c>
      <c r="I2774" s="10" t="s">
        <v>18</v>
      </c>
    </row>
    <row r="2775" spans="1:9" x14ac:dyDescent="0.2">
      <c r="A2775" s="10" t="s">
        <v>7610</v>
      </c>
      <c r="B2775" s="10">
        <v>1275.0455848849999</v>
      </c>
      <c r="C2775" s="10">
        <v>-1.3428428199288001</v>
      </c>
      <c r="D2775" s="10">
        <v>0.25009282411515998</v>
      </c>
      <c r="E2775" s="10">
        <v>-5.3693776487983396</v>
      </c>
      <c r="F2775" s="4">
        <v>7.9008817126164195E-8</v>
      </c>
      <c r="G2775" s="4">
        <v>1.20161233059774E-6</v>
      </c>
      <c r="H2775" s="10" t="s">
        <v>7611</v>
      </c>
      <c r="I2775" s="10" t="s">
        <v>18</v>
      </c>
    </row>
    <row r="2776" spans="1:9" x14ac:dyDescent="0.2">
      <c r="A2776" s="10" t="s">
        <v>7612</v>
      </c>
      <c r="B2776" s="10">
        <v>80.617181890897498</v>
      </c>
      <c r="C2776" s="10">
        <v>3.8226954658149799</v>
      </c>
      <c r="D2776" s="10">
        <v>0.60230368344379903</v>
      </c>
      <c r="E2776" s="10">
        <v>6.3467907816168498</v>
      </c>
      <c r="F2776" s="4">
        <v>2.1985279318751701E-10</v>
      </c>
      <c r="G2776" s="4">
        <v>4.8725964869004299E-9</v>
      </c>
      <c r="H2776" s="10" t="s">
        <v>7613</v>
      </c>
      <c r="I2776" s="10" t="s">
        <v>18</v>
      </c>
    </row>
    <row r="2777" spans="1:9" x14ac:dyDescent="0.2">
      <c r="A2777" s="10" t="s">
        <v>7618</v>
      </c>
      <c r="B2777" s="10">
        <v>3276.1955450363598</v>
      </c>
      <c r="C2777" s="10">
        <v>-1.8615607406805399</v>
      </c>
      <c r="D2777" s="10">
        <v>0.26391868640434002</v>
      </c>
      <c r="E2777" s="10">
        <v>-7.0535389746087196</v>
      </c>
      <c r="F2777" s="4">
        <v>1.7442362264599599E-12</v>
      </c>
      <c r="G2777" s="4">
        <v>4.8914450698551099E-11</v>
      </c>
      <c r="H2777" s="10" t="s">
        <v>7619</v>
      </c>
      <c r="I2777" s="10" t="s">
        <v>18</v>
      </c>
    </row>
    <row r="2778" spans="1:9" x14ac:dyDescent="0.2">
      <c r="A2778" s="10" t="s">
        <v>7628</v>
      </c>
      <c r="B2778" s="10">
        <v>224.27864919161701</v>
      </c>
      <c r="C2778" s="10">
        <v>2.9482217984249499</v>
      </c>
      <c r="D2778" s="10">
        <v>0.36228571746604799</v>
      </c>
      <c r="E2778" s="10">
        <v>8.1378361229524607</v>
      </c>
      <c r="F2778" s="4">
        <v>4.0240500634866202E-16</v>
      </c>
      <c r="G2778" s="4">
        <v>1.6221951818430398E-14</v>
      </c>
      <c r="H2778" s="10" t="s">
        <v>7629</v>
      </c>
      <c r="I2778" s="10" t="s">
        <v>18</v>
      </c>
    </row>
    <row r="2779" spans="1:9" x14ac:dyDescent="0.2">
      <c r="A2779" s="10" t="s">
        <v>11353</v>
      </c>
      <c r="B2779" s="10">
        <v>653.39193122153301</v>
      </c>
      <c r="C2779" s="10">
        <v>-1.33791327638652</v>
      </c>
      <c r="D2779" s="10">
        <v>0.29412863536308398</v>
      </c>
      <c r="E2779" s="10">
        <v>-4.5487351979005801</v>
      </c>
      <c r="F2779" s="4">
        <v>5.3969302189957E-6</v>
      </c>
      <c r="G2779" s="4">
        <v>5.8795920164069698E-5</v>
      </c>
      <c r="H2779" s="10" t="s">
        <v>11354</v>
      </c>
      <c r="I2779" s="10" t="s">
        <v>18</v>
      </c>
    </row>
    <row r="2780" spans="1:9" x14ac:dyDescent="0.2">
      <c r="A2780" s="10" t="s">
        <v>11355</v>
      </c>
      <c r="B2780" s="10">
        <v>203.05664869267699</v>
      </c>
      <c r="C2780" s="10">
        <v>-2.6935707048337898</v>
      </c>
      <c r="D2780" s="10">
        <v>0.35615017467585403</v>
      </c>
      <c r="E2780" s="10">
        <v>-7.5630194686421701</v>
      </c>
      <c r="F2780" s="4">
        <v>3.9381863173796897E-14</v>
      </c>
      <c r="G2780" s="4">
        <v>1.3121202226978299E-12</v>
      </c>
      <c r="H2780" s="10" t="s">
        <v>11356</v>
      </c>
      <c r="I2780" s="10" t="s">
        <v>18</v>
      </c>
    </row>
    <row r="2781" spans="1:9" x14ac:dyDescent="0.2">
      <c r="A2781" s="10" t="s">
        <v>11357</v>
      </c>
      <c r="B2781" s="10">
        <v>1923.1637813560301</v>
      </c>
      <c r="C2781" s="10">
        <v>-1.3025935417207399</v>
      </c>
      <c r="D2781" s="10">
        <v>0.27180405206833602</v>
      </c>
      <c r="E2781" s="10">
        <v>-4.7923992736990204</v>
      </c>
      <c r="F2781" s="4">
        <v>1.64798516203632E-6</v>
      </c>
      <c r="G2781" s="4">
        <v>1.96469510668359E-5</v>
      </c>
      <c r="H2781" s="10" t="s">
        <v>11358</v>
      </c>
      <c r="I2781" s="10" t="s">
        <v>18</v>
      </c>
    </row>
    <row r="2782" spans="1:9" x14ac:dyDescent="0.2">
      <c r="A2782" s="10" t="s">
        <v>7642</v>
      </c>
      <c r="B2782" s="10">
        <v>129.17435586451199</v>
      </c>
      <c r="C2782" s="10">
        <v>1.1476324950313599</v>
      </c>
      <c r="D2782" s="10">
        <v>0.401369872645092</v>
      </c>
      <c r="E2782" s="10">
        <v>2.8592890828309399</v>
      </c>
      <c r="F2782" s="10">
        <v>4.2459166330524999E-3</v>
      </c>
      <c r="G2782" s="10">
        <v>2.0698843586130899E-2</v>
      </c>
      <c r="H2782" s="10" t="s">
        <v>7643</v>
      </c>
      <c r="I2782" s="10" t="s">
        <v>18</v>
      </c>
    </row>
    <row r="2783" spans="1:9" x14ac:dyDescent="0.2">
      <c r="A2783" s="10" t="s">
        <v>11359</v>
      </c>
      <c r="B2783" s="10">
        <v>2317.7118599350001</v>
      </c>
      <c r="C2783" s="10">
        <v>-1.09745259220223</v>
      </c>
      <c r="D2783" s="10">
        <v>0.25487851651355897</v>
      </c>
      <c r="E2783" s="10">
        <v>-4.3057869577008798</v>
      </c>
      <c r="F2783" s="4">
        <v>1.66393136873474E-5</v>
      </c>
      <c r="G2783" s="10">
        <v>1.62233308451637E-4</v>
      </c>
      <c r="H2783" s="10" t="s">
        <v>11360</v>
      </c>
      <c r="I2783" s="10" t="s">
        <v>18</v>
      </c>
    </row>
    <row r="2784" spans="1:9" x14ac:dyDescent="0.2">
      <c r="A2784" s="10" t="s">
        <v>7646</v>
      </c>
      <c r="B2784" s="10">
        <v>107.778737823792</v>
      </c>
      <c r="C2784" s="10">
        <v>-1.7864894392444199</v>
      </c>
      <c r="D2784" s="10">
        <v>0.40050958804319597</v>
      </c>
      <c r="E2784" s="10">
        <v>-4.4605410022087701</v>
      </c>
      <c r="F2784" s="4">
        <v>8.1753015414243295E-6</v>
      </c>
      <c r="G2784" s="4">
        <v>8.5723097238236295E-5</v>
      </c>
      <c r="H2784" s="10" t="s">
        <v>7647</v>
      </c>
      <c r="I2784" s="10" t="s">
        <v>18</v>
      </c>
    </row>
    <row r="2785" spans="1:9" x14ac:dyDescent="0.2">
      <c r="A2785" s="10" t="s">
        <v>11361</v>
      </c>
      <c r="B2785" s="10">
        <v>2700.1724377415599</v>
      </c>
      <c r="C2785" s="10">
        <v>-1.0406272364026401</v>
      </c>
      <c r="D2785" s="10">
        <v>0.24287426135092099</v>
      </c>
      <c r="E2785" s="10">
        <v>-4.2846336644090703</v>
      </c>
      <c r="F2785" s="4">
        <v>1.8304053786102901E-5</v>
      </c>
      <c r="G2785" s="10">
        <v>1.7715985878777099E-4</v>
      </c>
      <c r="H2785" s="10" t="s">
        <v>11362</v>
      </c>
      <c r="I2785" s="10" t="s">
        <v>18</v>
      </c>
    </row>
    <row r="2786" spans="1:9" x14ac:dyDescent="0.2">
      <c r="A2786" s="10" t="s">
        <v>11363</v>
      </c>
      <c r="B2786" s="10">
        <v>516.30722654405395</v>
      </c>
      <c r="C2786" s="10">
        <v>2.07932703499301</v>
      </c>
      <c r="D2786" s="10">
        <v>0.28932734605961602</v>
      </c>
      <c r="E2786" s="10">
        <v>7.1867628943880399</v>
      </c>
      <c r="F2786" s="4">
        <v>6.6345477984388999E-13</v>
      </c>
      <c r="G2786" s="4">
        <v>1.9519537996459698E-11</v>
      </c>
      <c r="H2786" s="10" t="s">
        <v>11364</v>
      </c>
      <c r="I2786" s="10" t="s">
        <v>18</v>
      </c>
    </row>
    <row r="2787" spans="1:9" x14ac:dyDescent="0.2">
      <c r="A2787" s="10" t="s">
        <v>11365</v>
      </c>
      <c r="B2787" s="10">
        <v>1417.6876615241399</v>
      </c>
      <c r="C2787" s="10">
        <v>1.7410782775647999</v>
      </c>
      <c r="D2787" s="10">
        <v>0.25569451279747402</v>
      </c>
      <c r="E2787" s="10">
        <v>6.8092125189399004</v>
      </c>
      <c r="F2787" s="4">
        <v>9.8134422621975095E-12</v>
      </c>
      <c r="G2787" s="4">
        <v>2.5241016370713503E-10</v>
      </c>
      <c r="H2787" s="10" t="s">
        <v>11366</v>
      </c>
      <c r="I2787" s="10" t="s">
        <v>18</v>
      </c>
    </row>
    <row r="2788" spans="1:9" x14ac:dyDescent="0.2">
      <c r="A2788" s="10" t="s">
        <v>7652</v>
      </c>
      <c r="B2788" s="10">
        <v>1302.7685643183099</v>
      </c>
      <c r="C2788" s="10">
        <v>-1.3320489387262999</v>
      </c>
      <c r="D2788" s="10">
        <v>0.2585436655053</v>
      </c>
      <c r="E2788" s="10">
        <v>-5.1521236697984198</v>
      </c>
      <c r="F2788" s="4">
        <v>2.5755309291971898E-7</v>
      </c>
      <c r="G2788" s="4">
        <v>3.59540328810931E-6</v>
      </c>
      <c r="H2788" s="10" t="s">
        <v>7653</v>
      </c>
      <c r="I2788" s="10" t="s">
        <v>18</v>
      </c>
    </row>
    <row r="2789" spans="1:9" x14ac:dyDescent="0.2">
      <c r="A2789" s="10" t="s">
        <v>11367</v>
      </c>
      <c r="B2789" s="10">
        <v>35.999574188733</v>
      </c>
      <c r="C2789" s="10">
        <v>-2.9230244726779802</v>
      </c>
      <c r="D2789" s="10">
        <v>0.66326627618293399</v>
      </c>
      <c r="E2789" s="10">
        <v>-4.40701506716103</v>
      </c>
      <c r="F2789" s="4">
        <v>1.0480490028084101E-5</v>
      </c>
      <c r="G2789" s="10">
        <v>1.06606035849759E-4</v>
      </c>
      <c r="H2789" s="10" t="s">
        <v>11368</v>
      </c>
      <c r="I2789" s="10" t="s">
        <v>18</v>
      </c>
    </row>
    <row r="2790" spans="1:9" x14ac:dyDescent="0.2">
      <c r="A2790" s="10" t="s">
        <v>7654</v>
      </c>
      <c r="B2790" s="10">
        <v>451.77105152811498</v>
      </c>
      <c r="C2790" s="10">
        <v>2.7007946307119899</v>
      </c>
      <c r="D2790" s="10">
        <v>0.287009721726732</v>
      </c>
      <c r="E2790" s="10">
        <v>9.4101154987477305</v>
      </c>
      <c r="F2790" s="4">
        <v>4.9559202545528599E-21</v>
      </c>
      <c r="G2790" s="4">
        <v>2.8658890575466002E-19</v>
      </c>
      <c r="H2790" s="10" t="s">
        <v>7655</v>
      </c>
      <c r="I2790" s="10" t="s">
        <v>18</v>
      </c>
    </row>
    <row r="2791" spans="1:9" x14ac:dyDescent="0.2">
      <c r="A2791" s="10" t="s">
        <v>7660</v>
      </c>
      <c r="B2791" s="10">
        <v>64.577374090999299</v>
      </c>
      <c r="C2791" s="10">
        <v>-1.7615437587254801</v>
      </c>
      <c r="D2791" s="10">
        <v>0.494647453691133</v>
      </c>
      <c r="E2791" s="10">
        <v>-3.5612106068283098</v>
      </c>
      <c r="F2791" s="10">
        <v>3.6914882820470699E-4</v>
      </c>
      <c r="G2791" s="10">
        <v>2.5687244186692699E-3</v>
      </c>
      <c r="H2791" s="10" t="s">
        <v>7661</v>
      </c>
      <c r="I2791" s="10" t="s">
        <v>18</v>
      </c>
    </row>
    <row r="2792" spans="1:9" x14ac:dyDescent="0.2">
      <c r="A2792" s="10" t="s">
        <v>7662</v>
      </c>
      <c r="B2792" s="10">
        <v>123.06888347202199</v>
      </c>
      <c r="C2792" s="10">
        <v>4.8803657947962096</v>
      </c>
      <c r="D2792" s="10">
        <v>0.52896741851610596</v>
      </c>
      <c r="E2792" s="10">
        <v>9.2262124735147797</v>
      </c>
      <c r="F2792" s="4">
        <v>2.8037068803034197E-20</v>
      </c>
      <c r="G2792" s="4">
        <v>1.53989621340683E-18</v>
      </c>
      <c r="H2792" s="10" t="s">
        <v>7663</v>
      </c>
      <c r="I2792" s="10" t="s">
        <v>18</v>
      </c>
    </row>
    <row r="2793" spans="1:9" x14ac:dyDescent="0.2">
      <c r="A2793" s="10" t="s">
        <v>7666</v>
      </c>
      <c r="B2793" s="10">
        <v>182.246612227236</v>
      </c>
      <c r="C2793" s="10">
        <v>2.2930631953203902</v>
      </c>
      <c r="D2793" s="10">
        <v>0.38254994318199798</v>
      </c>
      <c r="E2793" s="10">
        <v>5.9941537992320901</v>
      </c>
      <c r="F2793" s="4">
        <v>2.0454772050784702E-9</v>
      </c>
      <c r="G2793" s="4">
        <v>3.96715336112173E-8</v>
      </c>
      <c r="H2793" s="10" t="s">
        <v>7667</v>
      </c>
      <c r="I2793" s="10" t="s">
        <v>18</v>
      </c>
    </row>
    <row r="2794" spans="1:9" x14ac:dyDescent="0.2">
      <c r="A2794" s="10" t="s">
        <v>11369</v>
      </c>
      <c r="B2794" s="10">
        <v>49.574729835372899</v>
      </c>
      <c r="C2794" s="10">
        <v>-1.40248338631436</v>
      </c>
      <c r="D2794" s="10">
        <v>0.536577085330184</v>
      </c>
      <c r="E2794" s="10">
        <v>-2.61375937336447</v>
      </c>
      <c r="F2794" s="10">
        <v>8.9552082028939595E-3</v>
      </c>
      <c r="G2794" s="10">
        <v>3.85799387470111E-2</v>
      </c>
      <c r="H2794" s="10" t="s">
        <v>11370</v>
      </c>
      <c r="I2794" s="10" t="s">
        <v>18</v>
      </c>
    </row>
    <row r="2795" spans="1:9" x14ac:dyDescent="0.2">
      <c r="A2795" s="10" t="s">
        <v>7670</v>
      </c>
      <c r="B2795" s="10">
        <v>1795.68247693986</v>
      </c>
      <c r="C2795" s="10">
        <v>1.25181395941</v>
      </c>
      <c r="D2795" s="10">
        <v>0.245290946010115</v>
      </c>
      <c r="E2795" s="10">
        <v>5.1033842861790104</v>
      </c>
      <c r="F2795" s="4">
        <v>3.3363254503845098E-7</v>
      </c>
      <c r="G2795" s="4">
        <v>4.5512617518667203E-6</v>
      </c>
      <c r="H2795" s="10" t="s">
        <v>7671</v>
      </c>
      <c r="I2795" s="10" t="s">
        <v>18</v>
      </c>
    </row>
    <row r="2796" spans="1:9" x14ac:dyDescent="0.2">
      <c r="A2796" s="10" t="s">
        <v>7676</v>
      </c>
      <c r="B2796" s="10">
        <v>14.0285150167498</v>
      </c>
      <c r="C2796" s="10">
        <v>4.8073568576300598</v>
      </c>
      <c r="D2796" s="10">
        <v>1.3331410636232499</v>
      </c>
      <c r="E2796" s="10">
        <v>3.6060376420815401</v>
      </c>
      <c r="F2796" s="10">
        <v>3.1090805679879401E-4</v>
      </c>
      <c r="G2796" s="10">
        <v>2.2142956310231198E-3</v>
      </c>
      <c r="H2796" s="10" t="s">
        <v>7677</v>
      </c>
      <c r="I2796" s="10" t="s">
        <v>18</v>
      </c>
    </row>
    <row r="2797" spans="1:9" x14ac:dyDescent="0.2">
      <c r="A2797" s="10" t="s">
        <v>7678</v>
      </c>
      <c r="B2797" s="10">
        <v>322.32393533259801</v>
      </c>
      <c r="C2797" s="10">
        <v>-1.6342202601778599</v>
      </c>
      <c r="D2797" s="10">
        <v>0.34617204627853798</v>
      </c>
      <c r="E2797" s="10">
        <v>-4.7208325390402104</v>
      </c>
      <c r="F2797" s="4">
        <v>2.348812613477E-6</v>
      </c>
      <c r="G2797" s="4">
        <v>2.7328575990755702E-5</v>
      </c>
      <c r="H2797" s="10" t="s">
        <v>7679</v>
      </c>
      <c r="I2797" s="10" t="s">
        <v>18</v>
      </c>
    </row>
    <row r="2798" spans="1:9" x14ac:dyDescent="0.2">
      <c r="A2798" s="10" t="s">
        <v>11371</v>
      </c>
      <c r="B2798" s="10">
        <v>612.66967294722099</v>
      </c>
      <c r="C2798" s="10">
        <v>1.05760941023725</v>
      </c>
      <c r="D2798" s="10">
        <v>0.28429954291025</v>
      </c>
      <c r="E2798" s="10">
        <v>3.7200531503180101</v>
      </c>
      <c r="F2798" s="10">
        <v>1.9918085685703701E-4</v>
      </c>
      <c r="G2798" s="10">
        <v>1.48764680945331E-3</v>
      </c>
      <c r="H2798" s="10" t="s">
        <v>11372</v>
      </c>
      <c r="I2798" s="10" t="s">
        <v>18</v>
      </c>
    </row>
    <row r="2799" spans="1:9" x14ac:dyDescent="0.2">
      <c r="A2799" s="10" t="s">
        <v>7682</v>
      </c>
      <c r="B2799" s="10">
        <v>30.978380738940398</v>
      </c>
      <c r="C2799" s="10">
        <v>4.6596967279216299</v>
      </c>
      <c r="D2799" s="10">
        <v>0.87381117579539003</v>
      </c>
      <c r="E2799" s="10">
        <v>5.3326128767809902</v>
      </c>
      <c r="F2799" s="4">
        <v>9.6809553580853596E-8</v>
      </c>
      <c r="G2799" s="4">
        <v>1.44955019067046E-6</v>
      </c>
      <c r="H2799" s="10" t="s">
        <v>7683</v>
      </c>
      <c r="I2799" s="10" t="s">
        <v>18</v>
      </c>
    </row>
    <row r="2800" spans="1:9" x14ac:dyDescent="0.2">
      <c r="A2800" s="10" t="s">
        <v>7688</v>
      </c>
      <c r="B2800" s="10">
        <v>811.21521049793103</v>
      </c>
      <c r="C2800" s="10">
        <v>1.82048216635152</v>
      </c>
      <c r="D2800" s="10">
        <v>0.30385438239096602</v>
      </c>
      <c r="E2800" s="10">
        <v>5.99129804226133</v>
      </c>
      <c r="F2800" s="4">
        <v>2.0817272751326599E-9</v>
      </c>
      <c r="G2800" s="4">
        <v>4.0312432337153301E-8</v>
      </c>
      <c r="H2800" s="10" t="s">
        <v>7689</v>
      </c>
      <c r="I2800" s="10" t="s">
        <v>18</v>
      </c>
    </row>
    <row r="2801" spans="1:9" x14ac:dyDescent="0.2">
      <c r="A2801" s="10" t="s">
        <v>11373</v>
      </c>
      <c r="B2801" s="10">
        <v>29.622726402147499</v>
      </c>
      <c r="C2801" s="10">
        <v>-2.6098986657674499</v>
      </c>
      <c r="D2801" s="10">
        <v>0.702512891501064</v>
      </c>
      <c r="E2801" s="10">
        <v>-3.71509006787173</v>
      </c>
      <c r="F2801" s="10">
        <v>2.03131327644885E-4</v>
      </c>
      <c r="G2801" s="10">
        <v>1.5135570340364601E-3</v>
      </c>
      <c r="H2801" s="10" t="s">
        <v>11374</v>
      </c>
      <c r="I2801" s="10" t="s">
        <v>18</v>
      </c>
    </row>
    <row r="2802" spans="1:9" x14ac:dyDescent="0.2">
      <c r="A2802" s="10" t="s">
        <v>11375</v>
      </c>
      <c r="B2802" s="10">
        <v>364.10436281787298</v>
      </c>
      <c r="C2802" s="10">
        <v>1.0565205772033499</v>
      </c>
      <c r="D2802" s="10">
        <v>0.34931900756219397</v>
      </c>
      <c r="E2802" s="10">
        <v>3.02451499727007</v>
      </c>
      <c r="F2802" s="10">
        <v>2.4903212455689599E-3</v>
      </c>
      <c r="G2802" s="10">
        <v>1.31750053800036E-2</v>
      </c>
      <c r="H2802" s="10" t="s">
        <v>11376</v>
      </c>
      <c r="I2802" s="10" t="s">
        <v>18</v>
      </c>
    </row>
    <row r="2803" spans="1:9" x14ac:dyDescent="0.2">
      <c r="A2803" s="10" t="s">
        <v>7690</v>
      </c>
      <c r="B2803" s="10">
        <v>22.500478382721099</v>
      </c>
      <c r="C2803" s="10">
        <v>2.1979461577355899</v>
      </c>
      <c r="D2803" s="10">
        <v>0.75060906036520902</v>
      </c>
      <c r="E2803" s="10">
        <v>2.92821692915108</v>
      </c>
      <c r="F2803" s="10">
        <v>3.4091210007107199E-3</v>
      </c>
      <c r="G2803" s="10">
        <v>1.7234011007411201E-2</v>
      </c>
      <c r="H2803" s="10" t="s">
        <v>7691</v>
      </c>
      <c r="I2803" s="10" t="s">
        <v>18</v>
      </c>
    </row>
    <row r="2804" spans="1:9" x14ac:dyDescent="0.2">
      <c r="A2804" s="10" t="s">
        <v>11377</v>
      </c>
      <c r="B2804" s="10">
        <v>125.50972968602601</v>
      </c>
      <c r="C2804" s="10">
        <v>1.1158754704449401</v>
      </c>
      <c r="D2804" s="10">
        <v>0.37527334604787399</v>
      </c>
      <c r="E2804" s="10">
        <v>2.9735004689157498</v>
      </c>
      <c r="F2804" s="10">
        <v>2.9442395679220501E-3</v>
      </c>
      <c r="G2804" s="10">
        <v>1.5179820932789301E-2</v>
      </c>
      <c r="H2804" s="10" t="s">
        <v>11378</v>
      </c>
      <c r="I2804" s="10" t="s">
        <v>18</v>
      </c>
    </row>
    <row r="2805" spans="1:9" x14ac:dyDescent="0.2">
      <c r="A2805" s="10" t="s">
        <v>11379</v>
      </c>
      <c r="B2805" s="10">
        <v>17.6627684876605</v>
      </c>
      <c r="C2805" s="10">
        <v>-4.4545706361330497</v>
      </c>
      <c r="D2805" s="10">
        <v>1.13490507670547</v>
      </c>
      <c r="E2805" s="10">
        <v>-3.9250601019992701</v>
      </c>
      <c r="F2805" s="4">
        <v>8.6708086421034294E-5</v>
      </c>
      <c r="G2805" s="10">
        <v>7.1536304162713002E-4</v>
      </c>
      <c r="H2805" s="10" t="s">
        <v>11380</v>
      </c>
      <c r="I2805" s="10" t="s">
        <v>18</v>
      </c>
    </row>
    <row r="2806" spans="1:9" x14ac:dyDescent="0.2">
      <c r="A2806" s="10" t="s">
        <v>7692</v>
      </c>
      <c r="B2806" s="10">
        <v>135.57304649828899</v>
      </c>
      <c r="C2806" s="10">
        <v>3.0575022468783</v>
      </c>
      <c r="D2806" s="10">
        <v>0.44108450075829297</v>
      </c>
      <c r="E2806" s="10">
        <v>6.93178346013514</v>
      </c>
      <c r="F2806" s="4">
        <v>4.1556774307074703E-12</v>
      </c>
      <c r="G2806" s="4">
        <v>1.12525366813182E-10</v>
      </c>
      <c r="H2806" s="10" t="s">
        <v>7693</v>
      </c>
      <c r="I2806" s="10" t="s">
        <v>18</v>
      </c>
    </row>
    <row r="2807" spans="1:9" x14ac:dyDescent="0.2">
      <c r="A2807" s="10" t="s">
        <v>7698</v>
      </c>
      <c r="B2807" s="10">
        <v>1518.65127282555</v>
      </c>
      <c r="C2807" s="10">
        <v>2.7416402778083202</v>
      </c>
      <c r="D2807" s="10">
        <v>0.32165542905058198</v>
      </c>
      <c r="E2807" s="10">
        <v>8.5235317989213506</v>
      </c>
      <c r="F2807" s="4">
        <v>1.5476026801313999E-17</v>
      </c>
      <c r="G2807" s="4">
        <v>7.0653258473149501E-16</v>
      </c>
      <c r="H2807" s="10" t="s">
        <v>7699</v>
      </c>
      <c r="I2807" s="10" t="s">
        <v>18</v>
      </c>
    </row>
    <row r="2808" spans="1:9" x14ac:dyDescent="0.2">
      <c r="A2808" s="10" t="s">
        <v>7704</v>
      </c>
      <c r="B2808" s="10">
        <v>76.780035466481905</v>
      </c>
      <c r="C2808" s="10">
        <v>5.1334301643660103</v>
      </c>
      <c r="D2808" s="10">
        <v>0.63731679830906596</v>
      </c>
      <c r="E2808" s="10">
        <v>8.0547542101291896</v>
      </c>
      <c r="F2808" s="4">
        <v>7.9638677823628796E-16</v>
      </c>
      <c r="G2808" s="4">
        <v>3.1204220259398499E-14</v>
      </c>
      <c r="H2808" s="10" t="s">
        <v>7705</v>
      </c>
      <c r="I2808" s="10" t="s">
        <v>18</v>
      </c>
    </row>
    <row r="2809" spans="1:9" x14ac:dyDescent="0.2">
      <c r="A2809" s="10" t="s">
        <v>11381</v>
      </c>
      <c r="B2809" s="10">
        <v>105.75292946551301</v>
      </c>
      <c r="C2809" s="10">
        <v>1.46973085136222</v>
      </c>
      <c r="D2809" s="10">
        <v>0.429426929395061</v>
      </c>
      <c r="E2809" s="10">
        <v>3.4225400196318598</v>
      </c>
      <c r="F2809" s="10">
        <v>6.2038964517655503E-4</v>
      </c>
      <c r="G2809" s="10">
        <v>4.0450755636122901E-3</v>
      </c>
      <c r="H2809" s="10" t="s">
        <v>11382</v>
      </c>
      <c r="I2809" s="10" t="s">
        <v>18</v>
      </c>
    </row>
    <row r="2810" spans="1:9" x14ac:dyDescent="0.2">
      <c r="A2810" s="10" t="s">
        <v>7710</v>
      </c>
      <c r="B2810" s="10">
        <v>1115.05596132962</v>
      </c>
      <c r="C2810" s="10">
        <v>-1.09800055482535</v>
      </c>
      <c r="D2810" s="10">
        <v>0.29853469837506902</v>
      </c>
      <c r="E2810" s="10">
        <v>-3.6779662826525299</v>
      </c>
      <c r="F2810" s="10">
        <v>2.3510102844100401E-4</v>
      </c>
      <c r="G2810" s="10">
        <v>1.7246912716341401E-3</v>
      </c>
      <c r="H2810" s="10" t="s">
        <v>7711</v>
      </c>
      <c r="I2810" s="10" t="s">
        <v>18</v>
      </c>
    </row>
    <row r="2811" spans="1:9" x14ac:dyDescent="0.2">
      <c r="A2811" s="10" t="s">
        <v>7712</v>
      </c>
      <c r="B2811" s="10">
        <v>62.907342809540303</v>
      </c>
      <c r="C2811" s="10">
        <v>3.2670012435058799</v>
      </c>
      <c r="D2811" s="10">
        <v>0.52826453708672405</v>
      </c>
      <c r="E2811" s="10">
        <v>6.1844038623579598</v>
      </c>
      <c r="F2811" s="4">
        <v>6.2337589075434505E-10</v>
      </c>
      <c r="G2811" s="4">
        <v>1.3078415789762799E-8</v>
      </c>
      <c r="H2811" s="10" t="s">
        <v>7713</v>
      </c>
      <c r="I2811" s="10" t="s">
        <v>18</v>
      </c>
    </row>
    <row r="2812" spans="1:9" x14ac:dyDescent="0.2">
      <c r="A2812" s="10" t="s">
        <v>11383</v>
      </c>
      <c r="B2812" s="10">
        <v>843.19311641064405</v>
      </c>
      <c r="C2812" s="10">
        <v>1.6746805930063899</v>
      </c>
      <c r="D2812" s="10">
        <v>0.33294336396323898</v>
      </c>
      <c r="E2812" s="10">
        <v>5.0299263306275002</v>
      </c>
      <c r="F2812" s="4">
        <v>4.9066832550428699E-7</v>
      </c>
      <c r="G2812" s="4">
        <v>6.5202122176758302E-6</v>
      </c>
      <c r="H2812" s="10" t="s">
        <v>11384</v>
      </c>
      <c r="I2812" s="10" t="s">
        <v>18</v>
      </c>
    </row>
    <row r="2813" spans="1:9" x14ac:dyDescent="0.2">
      <c r="A2813" s="10" t="s">
        <v>7724</v>
      </c>
      <c r="B2813" s="10">
        <v>463.10066209279302</v>
      </c>
      <c r="C2813" s="10">
        <v>-1.0878351075194801</v>
      </c>
      <c r="D2813" s="10">
        <v>0.29883372365952598</v>
      </c>
      <c r="E2813" s="10">
        <v>-3.6402688899961602</v>
      </c>
      <c r="F2813" s="10">
        <v>2.7235347155602402E-4</v>
      </c>
      <c r="G2813" s="10">
        <v>1.9641776310182898E-3</v>
      </c>
      <c r="H2813" s="10" t="s">
        <v>7725</v>
      </c>
      <c r="I2813" s="10" t="s">
        <v>18</v>
      </c>
    </row>
    <row r="2814" spans="1:9" x14ac:dyDescent="0.2">
      <c r="A2814" s="10" t="s">
        <v>11385</v>
      </c>
      <c r="B2814" s="10">
        <v>1078.4690660895301</v>
      </c>
      <c r="C2814" s="10">
        <v>1.3986985742310001</v>
      </c>
      <c r="D2814" s="10">
        <v>0.281266563979852</v>
      </c>
      <c r="E2814" s="10">
        <v>4.9728576139295297</v>
      </c>
      <c r="F2814" s="4">
        <v>6.5973117541077405E-7</v>
      </c>
      <c r="G2814" s="4">
        <v>8.5632289563766908E-6</v>
      </c>
      <c r="H2814" s="10" t="s">
        <v>11386</v>
      </c>
      <c r="I2814" s="10" t="s">
        <v>18</v>
      </c>
    </row>
    <row r="2815" spans="1:9" x14ac:dyDescent="0.2">
      <c r="A2815" s="10" t="s">
        <v>11387</v>
      </c>
      <c r="B2815" s="10">
        <v>2128.6801851984901</v>
      </c>
      <c r="C2815" s="10">
        <v>1.4829379103863001</v>
      </c>
      <c r="D2815" s="10">
        <v>0.29163290712473999</v>
      </c>
      <c r="E2815" s="10">
        <v>5.0849471172743996</v>
      </c>
      <c r="F2815" s="4">
        <v>3.6772851329217198E-7</v>
      </c>
      <c r="G2815" s="4">
        <v>4.9893261876292202E-6</v>
      </c>
      <c r="H2815" s="10" t="s">
        <v>11388</v>
      </c>
      <c r="I2815" s="10" t="s">
        <v>18</v>
      </c>
    </row>
    <row r="2816" spans="1:9" x14ac:dyDescent="0.2">
      <c r="A2816" s="10" t="s">
        <v>11389</v>
      </c>
      <c r="B2816" s="10">
        <v>967.50487744220004</v>
      </c>
      <c r="C2816" s="10">
        <v>1.43573769200112</v>
      </c>
      <c r="D2816" s="10">
        <v>0.29643604887632602</v>
      </c>
      <c r="E2816" s="10">
        <v>4.8433302813320003</v>
      </c>
      <c r="F2816" s="4">
        <v>1.2768078599825E-6</v>
      </c>
      <c r="G2816" s="4">
        <v>1.55535601539273E-5</v>
      </c>
      <c r="H2816" s="10" t="s">
        <v>11390</v>
      </c>
      <c r="I2816" s="10" t="s">
        <v>18</v>
      </c>
    </row>
    <row r="2817" spans="1:9" x14ac:dyDescent="0.2">
      <c r="A2817" s="10" t="s">
        <v>11391</v>
      </c>
      <c r="B2817" s="10">
        <v>587.76756168490795</v>
      </c>
      <c r="C2817" s="10">
        <v>1.4306716973014699</v>
      </c>
      <c r="D2817" s="10">
        <v>0.31099678663737601</v>
      </c>
      <c r="E2817" s="10">
        <v>4.60027806965621</v>
      </c>
      <c r="F2817" s="4">
        <v>4.2192732839904299E-6</v>
      </c>
      <c r="G2817" s="4">
        <v>4.7087763735039598E-5</v>
      </c>
      <c r="H2817" s="10" t="s">
        <v>11392</v>
      </c>
      <c r="I2817" s="10" t="s">
        <v>18</v>
      </c>
    </row>
    <row r="2818" spans="1:9" x14ac:dyDescent="0.2">
      <c r="A2818" s="10" t="s">
        <v>11393</v>
      </c>
      <c r="B2818" s="10">
        <v>5506.4482124823799</v>
      </c>
      <c r="C2818" s="10">
        <v>1.0115438246494199</v>
      </c>
      <c r="D2818" s="10">
        <v>0.286276710816181</v>
      </c>
      <c r="E2818" s="10">
        <v>3.53344783711358</v>
      </c>
      <c r="F2818" s="10">
        <v>4.1017702243241298E-4</v>
      </c>
      <c r="G2818" s="10">
        <v>2.8152804909378801E-3</v>
      </c>
      <c r="H2818" s="10" t="s">
        <v>11394</v>
      </c>
      <c r="I2818" s="10" t="s">
        <v>18</v>
      </c>
    </row>
    <row r="2819" spans="1:9" x14ac:dyDescent="0.2">
      <c r="A2819" s="10" t="s">
        <v>7748</v>
      </c>
      <c r="B2819" s="10">
        <v>6377.3603255427497</v>
      </c>
      <c r="C2819" s="10">
        <v>-1.07166463559989</v>
      </c>
      <c r="D2819" s="10">
        <v>0.27996727772084101</v>
      </c>
      <c r="E2819" s="10">
        <v>-3.82782103795881</v>
      </c>
      <c r="F2819" s="10">
        <v>1.2928269951269301E-4</v>
      </c>
      <c r="G2819" s="10">
        <v>1.01755516465638E-3</v>
      </c>
      <c r="H2819" s="10" t="s">
        <v>7749</v>
      </c>
      <c r="I2819" s="10" t="s">
        <v>18</v>
      </c>
    </row>
    <row r="2820" spans="1:9" x14ac:dyDescent="0.2">
      <c r="A2820" s="10" t="s">
        <v>7752</v>
      </c>
      <c r="B2820" s="10">
        <v>255.65785889588199</v>
      </c>
      <c r="C2820" s="10">
        <v>1.21702723191607</v>
      </c>
      <c r="D2820" s="10">
        <v>0.308021983162163</v>
      </c>
      <c r="E2820" s="10">
        <v>3.9511051108172</v>
      </c>
      <c r="F2820" s="4">
        <v>7.7791146829039705E-5</v>
      </c>
      <c r="G2820" s="10">
        <v>6.4968004597758798E-4</v>
      </c>
      <c r="H2820" s="10" t="s">
        <v>7753</v>
      </c>
      <c r="I2820" s="10" t="s">
        <v>18</v>
      </c>
    </row>
    <row r="2821" spans="1:9" x14ac:dyDescent="0.2">
      <c r="A2821" s="10" t="s">
        <v>7756</v>
      </c>
      <c r="B2821" s="10">
        <v>3802.9685055213499</v>
      </c>
      <c r="C2821" s="10">
        <v>-1.0534535471294</v>
      </c>
      <c r="D2821" s="10">
        <v>0.27025469467093799</v>
      </c>
      <c r="E2821" s="10">
        <v>-3.8980027651770599</v>
      </c>
      <c r="F2821" s="4">
        <v>9.69893092566911E-5</v>
      </c>
      <c r="G2821" s="10">
        <v>7.90108736764781E-4</v>
      </c>
      <c r="H2821" s="10" t="s">
        <v>7757</v>
      </c>
      <c r="I2821" s="10" t="s">
        <v>18</v>
      </c>
    </row>
    <row r="2822" spans="1:9" x14ac:dyDescent="0.2">
      <c r="A2822" s="10" t="s">
        <v>7760</v>
      </c>
      <c r="B2822" s="10">
        <v>129.41408388503899</v>
      </c>
      <c r="C2822" s="10">
        <v>6.6717549482802498</v>
      </c>
      <c r="D2822" s="10">
        <v>1.6141081201685701</v>
      </c>
      <c r="E2822" s="10">
        <v>4.1334002753071299</v>
      </c>
      <c r="F2822" s="4">
        <v>3.5743542501926397E-5</v>
      </c>
      <c r="G2822" s="10">
        <v>3.2412718516076401E-4</v>
      </c>
      <c r="H2822" s="10" t="s">
        <v>7761</v>
      </c>
      <c r="I2822" s="10" t="s">
        <v>18</v>
      </c>
    </row>
    <row r="2823" spans="1:9" x14ac:dyDescent="0.2">
      <c r="A2823" s="10" t="s">
        <v>7764</v>
      </c>
      <c r="B2823" s="10">
        <v>828.18985911864797</v>
      </c>
      <c r="C2823" s="10">
        <v>-1.03689958887098</v>
      </c>
      <c r="D2823" s="10">
        <v>0.31527851586760702</v>
      </c>
      <c r="E2823" s="10">
        <v>-3.2888368115333102</v>
      </c>
      <c r="F2823" s="10">
        <v>1.0060233475861699E-3</v>
      </c>
      <c r="G2823" s="10">
        <v>6.1349132869164E-3</v>
      </c>
      <c r="H2823" s="10" t="s">
        <v>7765</v>
      </c>
      <c r="I2823" s="10" t="s">
        <v>18</v>
      </c>
    </row>
    <row r="2824" spans="1:9" x14ac:dyDescent="0.2">
      <c r="A2824" s="10" t="s">
        <v>7770</v>
      </c>
      <c r="B2824" s="10">
        <v>37.015279470056498</v>
      </c>
      <c r="C2824" s="10">
        <v>-3.3348970832685199</v>
      </c>
      <c r="D2824" s="10">
        <v>0.70423946065189202</v>
      </c>
      <c r="E2824" s="10">
        <v>-4.7354589874607598</v>
      </c>
      <c r="F2824" s="4">
        <v>2.1855990087653702E-6</v>
      </c>
      <c r="G2824" s="4">
        <v>2.55834076619325E-5</v>
      </c>
      <c r="H2824" s="10" t="s">
        <v>7771</v>
      </c>
      <c r="I2824" s="10" t="s">
        <v>18</v>
      </c>
    </row>
    <row r="2825" spans="1:9" x14ac:dyDescent="0.2">
      <c r="A2825" s="10" t="s">
        <v>7772</v>
      </c>
      <c r="B2825" s="10">
        <v>117.865701258351</v>
      </c>
      <c r="C2825" s="10">
        <v>-2.8815782424879601</v>
      </c>
      <c r="D2825" s="10">
        <v>0.437719865321891</v>
      </c>
      <c r="E2825" s="10">
        <v>-6.5831561936740099</v>
      </c>
      <c r="F2825" s="4">
        <v>4.6056484708668999E-11</v>
      </c>
      <c r="G2825" s="4">
        <v>1.0991943765147699E-9</v>
      </c>
      <c r="H2825" s="10" t="s">
        <v>7773</v>
      </c>
      <c r="I2825" s="10" t="s">
        <v>18</v>
      </c>
    </row>
    <row r="2826" spans="1:9" x14ac:dyDescent="0.2">
      <c r="A2826" s="10" t="s">
        <v>7774</v>
      </c>
      <c r="B2826" s="10">
        <v>26.9657837746011</v>
      </c>
      <c r="C2826" s="10">
        <v>4.1982254195645901</v>
      </c>
      <c r="D2826" s="10">
        <v>0.87354883528736604</v>
      </c>
      <c r="E2826" s="10">
        <v>4.8059424384482501</v>
      </c>
      <c r="F2826" s="4">
        <v>1.54024212600663E-6</v>
      </c>
      <c r="G2826" s="4">
        <v>1.85027653675724E-5</v>
      </c>
      <c r="H2826" s="10" t="s">
        <v>7775</v>
      </c>
      <c r="I2826" s="10" t="s">
        <v>18</v>
      </c>
    </row>
    <row r="2827" spans="1:9" x14ac:dyDescent="0.2">
      <c r="A2827" s="10" t="s">
        <v>7776</v>
      </c>
      <c r="B2827" s="10">
        <v>188.405632204705</v>
      </c>
      <c r="C2827" s="10">
        <v>8.0444093491499906</v>
      </c>
      <c r="D2827" s="10">
        <v>0.89556051147375304</v>
      </c>
      <c r="E2827" s="10">
        <v>8.9825413761398902</v>
      </c>
      <c r="F2827" s="4">
        <v>2.6458343720864298E-19</v>
      </c>
      <c r="G2827" s="4">
        <v>1.35551860753226E-17</v>
      </c>
      <c r="H2827" s="10" t="s">
        <v>7777</v>
      </c>
      <c r="I2827" s="10" t="s">
        <v>18</v>
      </c>
    </row>
    <row r="2828" spans="1:9" x14ac:dyDescent="0.2">
      <c r="A2828" s="10" t="s">
        <v>7778</v>
      </c>
      <c r="B2828" s="10">
        <v>98.268455478533198</v>
      </c>
      <c r="C2828" s="10">
        <v>-1.96856450597041</v>
      </c>
      <c r="D2828" s="10">
        <v>0.42501050385390399</v>
      </c>
      <c r="E2828" s="10">
        <v>-4.6318020098794896</v>
      </c>
      <c r="F2828" s="4">
        <v>3.6249672832906801E-6</v>
      </c>
      <c r="G2828" s="4">
        <v>4.08173912315028E-5</v>
      </c>
      <c r="H2828" s="10" t="s">
        <v>7779</v>
      </c>
      <c r="I2828" s="10" t="s">
        <v>18</v>
      </c>
    </row>
    <row r="2829" spans="1:9" x14ac:dyDescent="0.2">
      <c r="A2829" s="10" t="s">
        <v>11395</v>
      </c>
      <c r="B2829" s="10">
        <v>2435.6648986699802</v>
      </c>
      <c r="C2829" s="10">
        <v>1.13455978471668</v>
      </c>
      <c r="D2829" s="10">
        <v>0.286028143121204</v>
      </c>
      <c r="E2829" s="10">
        <v>3.96660193062162</v>
      </c>
      <c r="F2829" s="4">
        <v>7.2904604478038403E-5</v>
      </c>
      <c r="G2829" s="10">
        <v>6.1396562626215504E-4</v>
      </c>
      <c r="H2829" s="10" t="s">
        <v>11396</v>
      </c>
      <c r="I2829" s="10" t="s">
        <v>18</v>
      </c>
    </row>
    <row r="2830" spans="1:9" x14ac:dyDescent="0.2">
      <c r="A2830" s="10" t="s">
        <v>11397</v>
      </c>
      <c r="B2830" s="10">
        <v>660.05314474801798</v>
      </c>
      <c r="C2830" s="10">
        <v>1.5286978726498399</v>
      </c>
      <c r="D2830" s="10">
        <v>0.32049052563805902</v>
      </c>
      <c r="E2830" s="10">
        <v>4.7698691548100598</v>
      </c>
      <c r="F2830" s="4">
        <v>1.8434562192037901E-6</v>
      </c>
      <c r="G2830" s="4">
        <v>2.1811919658547099E-5</v>
      </c>
      <c r="H2830" s="10" t="s">
        <v>11398</v>
      </c>
      <c r="I2830" s="10" t="s">
        <v>18</v>
      </c>
    </row>
    <row r="2831" spans="1:9" x14ac:dyDescent="0.2">
      <c r="A2831" s="10" t="s">
        <v>7784</v>
      </c>
      <c r="B2831" s="10">
        <v>326.23190786819902</v>
      </c>
      <c r="C2831" s="10">
        <v>4.89788341051913</v>
      </c>
      <c r="D2831" s="10">
        <v>0.36696871485196503</v>
      </c>
      <c r="E2831" s="10">
        <v>13.346869126145901</v>
      </c>
      <c r="F2831" s="4">
        <v>1.23532721099242E-40</v>
      </c>
      <c r="G2831" s="4">
        <v>2.1579622217023899E-38</v>
      </c>
      <c r="H2831" s="10" t="s">
        <v>7785</v>
      </c>
      <c r="I2831" s="10" t="s">
        <v>18</v>
      </c>
    </row>
    <row r="2832" spans="1:9" x14ac:dyDescent="0.2">
      <c r="A2832" s="10" t="s">
        <v>7786</v>
      </c>
      <c r="B2832" s="10">
        <v>69.019650438715303</v>
      </c>
      <c r="C2832" s="10">
        <v>1.71575958131108</v>
      </c>
      <c r="D2832" s="10">
        <v>0.47068713138132101</v>
      </c>
      <c r="E2832" s="10">
        <v>3.6452230514054098</v>
      </c>
      <c r="F2832" s="10">
        <v>2.6715998485772602E-4</v>
      </c>
      <c r="G2832" s="10">
        <v>1.93004291185988E-3</v>
      </c>
      <c r="H2832" s="10" t="s">
        <v>7787</v>
      </c>
      <c r="I2832" s="10" t="s">
        <v>18</v>
      </c>
    </row>
    <row r="2833" spans="1:9" x14ac:dyDescent="0.2">
      <c r="A2833" s="10" t="s">
        <v>7790</v>
      </c>
      <c r="B2833" s="10">
        <v>2512.00117126032</v>
      </c>
      <c r="C2833" s="10">
        <v>-1.0345272270485699</v>
      </c>
      <c r="D2833" s="10">
        <v>0.281575949704854</v>
      </c>
      <c r="E2833" s="10">
        <v>-3.6740610415518602</v>
      </c>
      <c r="F2833" s="10">
        <v>2.3872566193737E-4</v>
      </c>
      <c r="G2833" s="10">
        <v>1.74618901600307E-3</v>
      </c>
      <c r="H2833" s="10" t="s">
        <v>7791</v>
      </c>
      <c r="I2833" s="10" t="s">
        <v>18</v>
      </c>
    </row>
    <row r="2834" spans="1:9" x14ac:dyDescent="0.2">
      <c r="A2834" s="10" t="s">
        <v>7794</v>
      </c>
      <c r="B2834" s="10">
        <v>6073.9174165637996</v>
      </c>
      <c r="C2834" s="10">
        <v>-4.8331196806057104</v>
      </c>
      <c r="D2834" s="10">
        <v>0.285870229565441</v>
      </c>
      <c r="E2834" s="10">
        <v>-16.9066911512705</v>
      </c>
      <c r="F2834" s="4">
        <v>4.0163513396058201E-64</v>
      </c>
      <c r="G2834" s="4">
        <v>1.62953738625459E-61</v>
      </c>
      <c r="H2834" s="10" t="s">
        <v>7795</v>
      </c>
      <c r="I2834" s="10" t="s">
        <v>18</v>
      </c>
    </row>
    <row r="2835" spans="1:9" x14ac:dyDescent="0.2">
      <c r="A2835" s="10" t="s">
        <v>11399</v>
      </c>
      <c r="B2835" s="10">
        <v>2270.3902054707901</v>
      </c>
      <c r="C2835" s="10">
        <v>2.3779994722018301</v>
      </c>
      <c r="D2835" s="10">
        <v>0.28017327488138</v>
      </c>
      <c r="E2835" s="10">
        <v>8.4876027994055896</v>
      </c>
      <c r="F2835" s="4">
        <v>2.1094312033450301E-17</v>
      </c>
      <c r="G2835" s="4">
        <v>9.5436586187309709E-16</v>
      </c>
      <c r="H2835" s="10" t="s">
        <v>11400</v>
      </c>
      <c r="I2835" s="10" t="s">
        <v>18</v>
      </c>
    </row>
    <row r="2836" spans="1:9" x14ac:dyDescent="0.2">
      <c r="A2836" s="10" t="s">
        <v>7796</v>
      </c>
      <c r="B2836" s="10">
        <v>208.63653924484899</v>
      </c>
      <c r="C2836" s="10">
        <v>5.2382453386149699</v>
      </c>
      <c r="D2836" s="10">
        <v>0.44969348726799802</v>
      </c>
      <c r="E2836" s="10">
        <v>11.648479435267401</v>
      </c>
      <c r="F2836" s="4">
        <v>2.3358958961384101E-31</v>
      </c>
      <c r="G2836" s="4">
        <v>2.5327353994552503E-29</v>
      </c>
      <c r="H2836" s="10" t="s">
        <v>7797</v>
      </c>
      <c r="I2836" s="10" t="s">
        <v>18</v>
      </c>
    </row>
    <row r="2837" spans="1:9" x14ac:dyDescent="0.2">
      <c r="A2837" s="10" t="s">
        <v>7800</v>
      </c>
      <c r="B2837" s="10">
        <v>98.759459598940595</v>
      </c>
      <c r="C2837" s="10">
        <v>3.3592127053762</v>
      </c>
      <c r="D2837" s="10">
        <v>0.44766061033824001</v>
      </c>
      <c r="E2837" s="10">
        <v>7.5039273677397498</v>
      </c>
      <c r="F2837" s="4">
        <v>6.1933630028522696E-14</v>
      </c>
      <c r="G2837" s="4">
        <v>2.0154469125064499E-12</v>
      </c>
      <c r="H2837" s="10" t="s">
        <v>7801</v>
      </c>
      <c r="I2837" s="10" t="s">
        <v>18</v>
      </c>
    </row>
    <row r="2838" spans="1:9" x14ac:dyDescent="0.2">
      <c r="A2838" s="10" t="s">
        <v>7806</v>
      </c>
      <c r="B2838" s="10">
        <v>47.064073518046399</v>
      </c>
      <c r="C2838" s="10">
        <v>-4.4479698345184797</v>
      </c>
      <c r="D2838" s="10">
        <v>0.71307366482683199</v>
      </c>
      <c r="E2838" s="10">
        <v>-6.2377424015493004</v>
      </c>
      <c r="F2838" s="4">
        <v>4.4393088626938501E-10</v>
      </c>
      <c r="G2838" s="4">
        <v>9.5038991013671405E-9</v>
      </c>
      <c r="H2838" s="10" t="s">
        <v>7807</v>
      </c>
      <c r="I2838" s="10" t="s">
        <v>18</v>
      </c>
    </row>
    <row r="2839" spans="1:9" x14ac:dyDescent="0.2">
      <c r="A2839" s="10" t="s">
        <v>7808</v>
      </c>
      <c r="B2839" s="10">
        <v>273.09506985849902</v>
      </c>
      <c r="C2839" s="10">
        <v>2.71981144989013</v>
      </c>
      <c r="D2839" s="10">
        <v>0.37266869484590498</v>
      </c>
      <c r="E2839" s="10">
        <v>7.2982020961399598</v>
      </c>
      <c r="F2839" s="4">
        <v>2.9163836896816598E-13</v>
      </c>
      <c r="G2839" s="4">
        <v>9.0346837086135603E-12</v>
      </c>
      <c r="H2839" s="10" t="s">
        <v>7809</v>
      </c>
      <c r="I2839" s="10" t="s">
        <v>18</v>
      </c>
    </row>
    <row r="2840" spans="1:9" x14ac:dyDescent="0.2">
      <c r="A2840" s="10" t="s">
        <v>7810</v>
      </c>
      <c r="B2840" s="10">
        <v>406.41751964927698</v>
      </c>
      <c r="C2840" s="10">
        <v>2.4424256460162699</v>
      </c>
      <c r="D2840" s="10">
        <v>0.318922864409727</v>
      </c>
      <c r="E2840" s="10">
        <v>7.6583585517983996</v>
      </c>
      <c r="F2840" s="4">
        <v>1.8832450191617E-14</v>
      </c>
      <c r="G2840" s="4">
        <v>6.4453099941513802E-13</v>
      </c>
      <c r="H2840" s="10" t="s">
        <v>7811</v>
      </c>
      <c r="I2840" s="10" t="s">
        <v>18</v>
      </c>
    </row>
    <row r="2841" spans="1:9" x14ac:dyDescent="0.2">
      <c r="A2841" s="10" t="s">
        <v>11401</v>
      </c>
      <c r="B2841" s="10">
        <v>1883.01414974511</v>
      </c>
      <c r="C2841" s="10">
        <v>1.3211101191596799</v>
      </c>
      <c r="D2841" s="10">
        <v>0.27766952636727099</v>
      </c>
      <c r="E2841" s="10">
        <v>4.7578505875083303</v>
      </c>
      <c r="F2841" s="4">
        <v>1.9566523588749402E-6</v>
      </c>
      <c r="G2841" s="4">
        <v>2.30861116733111E-5</v>
      </c>
      <c r="H2841" s="10" t="s">
        <v>11402</v>
      </c>
      <c r="I2841" s="10" t="s">
        <v>18</v>
      </c>
    </row>
    <row r="2842" spans="1:9" x14ac:dyDescent="0.2">
      <c r="A2842" s="10" t="s">
        <v>7818</v>
      </c>
      <c r="B2842" s="10">
        <v>421.83050823743201</v>
      </c>
      <c r="C2842" s="10">
        <v>4.0176737800689404</v>
      </c>
      <c r="D2842" s="10">
        <v>0.36606484855322702</v>
      </c>
      <c r="E2842" s="10">
        <v>10.9753061402856</v>
      </c>
      <c r="F2842" s="4">
        <v>5.0235401612951003E-28</v>
      </c>
      <c r="G2842" s="4">
        <v>4.6119398816561402E-26</v>
      </c>
      <c r="H2842" s="10" t="s">
        <v>7819</v>
      </c>
      <c r="I2842" s="10" t="s">
        <v>18</v>
      </c>
    </row>
    <row r="2843" spans="1:9" x14ac:dyDescent="0.2">
      <c r="A2843" s="10" t="s">
        <v>7824</v>
      </c>
      <c r="B2843" s="10">
        <v>2067.3608278291999</v>
      </c>
      <c r="C2843" s="10">
        <v>-1.4650651757756901</v>
      </c>
      <c r="D2843" s="10">
        <v>0.32072481991499702</v>
      </c>
      <c r="E2843" s="10">
        <v>-4.5679819109852096</v>
      </c>
      <c r="F2843" s="4">
        <v>4.9244251841527502E-6</v>
      </c>
      <c r="G2843" s="4">
        <v>5.4022640866708502E-5</v>
      </c>
      <c r="H2843" s="10" t="s">
        <v>7825</v>
      </c>
      <c r="I2843" s="10" t="s">
        <v>18</v>
      </c>
    </row>
    <row r="2844" spans="1:9" x14ac:dyDescent="0.2">
      <c r="A2844" s="10" t="s">
        <v>7828</v>
      </c>
      <c r="B2844" s="10">
        <v>387.73066119496701</v>
      </c>
      <c r="C2844" s="10">
        <v>1.30445490684855</v>
      </c>
      <c r="D2844" s="10">
        <v>0.32131876261791398</v>
      </c>
      <c r="E2844" s="10">
        <v>4.0596910563847199</v>
      </c>
      <c r="F2844" s="4">
        <v>4.91376875110939E-5</v>
      </c>
      <c r="G2844" s="10">
        <v>4.3264211737541701E-4</v>
      </c>
      <c r="H2844" s="10" t="s">
        <v>7829</v>
      </c>
      <c r="I2844" s="10" t="s">
        <v>18</v>
      </c>
    </row>
    <row r="2845" spans="1:9" x14ac:dyDescent="0.2">
      <c r="A2845" s="10" t="s">
        <v>7830</v>
      </c>
      <c r="B2845" s="10">
        <v>153.18394428760899</v>
      </c>
      <c r="C2845" s="10">
        <v>1.0698030765186799</v>
      </c>
      <c r="D2845" s="10">
        <v>0.38169262594382403</v>
      </c>
      <c r="E2845" s="10">
        <v>2.80278685990683</v>
      </c>
      <c r="F2845" s="10">
        <v>5.0663138943979804E-3</v>
      </c>
      <c r="G2845" s="10">
        <v>2.3971905435163102E-2</v>
      </c>
      <c r="H2845" s="10" t="s">
        <v>7831</v>
      </c>
      <c r="I2845" s="10" t="s">
        <v>18</v>
      </c>
    </row>
    <row r="2846" spans="1:9" x14ac:dyDescent="0.2">
      <c r="A2846" s="10" t="s">
        <v>11403</v>
      </c>
      <c r="B2846" s="10">
        <v>39.205867228681797</v>
      </c>
      <c r="C2846" s="10">
        <v>-1.7142717497247399</v>
      </c>
      <c r="D2846" s="10">
        <v>0.66742855545992397</v>
      </c>
      <c r="E2846" s="10">
        <v>-2.5684722892077101</v>
      </c>
      <c r="F2846" s="10">
        <v>1.0214787876937E-2</v>
      </c>
      <c r="G2846" s="10">
        <v>4.3027633076164098E-2</v>
      </c>
      <c r="H2846" s="10" t="s">
        <v>11404</v>
      </c>
      <c r="I2846" s="10" t="s">
        <v>18</v>
      </c>
    </row>
    <row r="2847" spans="1:9" x14ac:dyDescent="0.2">
      <c r="A2847" s="10" t="s">
        <v>7836</v>
      </c>
      <c r="B2847" s="10">
        <v>528.13935002406004</v>
      </c>
      <c r="C2847" s="10">
        <v>6.4080673421288399</v>
      </c>
      <c r="D2847" s="10">
        <v>0.40390360627584099</v>
      </c>
      <c r="E2847" s="10">
        <v>15.8653382702221</v>
      </c>
      <c r="F2847" s="4">
        <v>1.1012256186966799E-56</v>
      </c>
      <c r="G2847" s="4">
        <v>3.4199173380635802E-54</v>
      </c>
      <c r="H2847" s="10" t="s">
        <v>7837</v>
      </c>
      <c r="I2847" s="10" t="s">
        <v>18</v>
      </c>
    </row>
    <row r="2848" spans="1:9" x14ac:dyDescent="0.2">
      <c r="A2848" s="10" t="s">
        <v>7838</v>
      </c>
      <c r="B2848" s="10">
        <v>818.70712006572705</v>
      </c>
      <c r="C2848" s="10">
        <v>2.2541417309664702</v>
      </c>
      <c r="D2848" s="10">
        <v>0.29883254308659501</v>
      </c>
      <c r="E2848" s="10">
        <v>7.5431601514473403</v>
      </c>
      <c r="F2848" s="4">
        <v>4.5871723896661402E-14</v>
      </c>
      <c r="G2848" s="4">
        <v>1.5143086806043501E-12</v>
      </c>
      <c r="H2848" s="10" t="s">
        <v>7839</v>
      </c>
      <c r="I2848" s="10" t="s">
        <v>18</v>
      </c>
    </row>
    <row r="2849" spans="1:9" x14ac:dyDescent="0.2">
      <c r="A2849" s="10" t="s">
        <v>7840</v>
      </c>
      <c r="B2849" s="10">
        <v>49.975172470849898</v>
      </c>
      <c r="C2849" s="10">
        <v>5.3591033900306702</v>
      </c>
      <c r="D2849" s="10">
        <v>0.80931983913948702</v>
      </c>
      <c r="E2849" s="10">
        <v>6.6217373291241204</v>
      </c>
      <c r="F2849" s="4">
        <v>3.5500147865121501E-11</v>
      </c>
      <c r="G2849" s="4">
        <v>8.5701172701260297E-10</v>
      </c>
      <c r="H2849" s="10" t="s">
        <v>7841</v>
      </c>
      <c r="I2849" s="10" t="s">
        <v>18</v>
      </c>
    </row>
    <row r="2850" spans="1:9" x14ac:dyDescent="0.2">
      <c r="A2850" s="10" t="s">
        <v>7842</v>
      </c>
      <c r="B2850" s="10">
        <v>134.157203492793</v>
      </c>
      <c r="C2850" s="10">
        <v>2.1394323964625599</v>
      </c>
      <c r="D2850" s="10">
        <v>0.41122550229286597</v>
      </c>
      <c r="E2850" s="10">
        <v>5.2025771372002598</v>
      </c>
      <c r="F2850" s="4">
        <v>1.9654373735556499E-7</v>
      </c>
      <c r="G2850" s="4">
        <v>2.8091237006700199E-6</v>
      </c>
      <c r="H2850" s="10" t="s">
        <v>7843</v>
      </c>
      <c r="I2850" s="10" t="s">
        <v>18</v>
      </c>
    </row>
    <row r="2851" spans="1:9" x14ac:dyDescent="0.2">
      <c r="A2851" s="10" t="s">
        <v>7844</v>
      </c>
      <c r="B2851" s="10">
        <v>136.33062723556199</v>
      </c>
      <c r="C2851" s="10">
        <v>1.12105866323346</v>
      </c>
      <c r="D2851" s="10">
        <v>0.39427578674241198</v>
      </c>
      <c r="E2851" s="10">
        <v>2.8433363166830001</v>
      </c>
      <c r="F2851" s="10">
        <v>4.4643934075010404E-3</v>
      </c>
      <c r="G2851" s="10">
        <v>2.1584050771802601E-2</v>
      </c>
      <c r="H2851" s="10" t="s">
        <v>7845</v>
      </c>
      <c r="I2851" s="10" t="s">
        <v>18</v>
      </c>
    </row>
    <row r="2852" spans="1:9" x14ac:dyDescent="0.2">
      <c r="A2852" s="10" t="s">
        <v>7846</v>
      </c>
      <c r="B2852" s="10">
        <v>3917.9770526083698</v>
      </c>
      <c r="C2852" s="10">
        <v>2.6116873452304299</v>
      </c>
      <c r="D2852" s="10">
        <v>0.30673346630456499</v>
      </c>
      <c r="E2852" s="10">
        <v>8.5145171040358694</v>
      </c>
      <c r="F2852" s="4">
        <v>1.6728593229355399E-17</v>
      </c>
      <c r="G2852" s="4">
        <v>7.5958079906937701E-16</v>
      </c>
      <c r="H2852" s="10" t="s">
        <v>7847</v>
      </c>
      <c r="I2852" s="10" t="s">
        <v>18</v>
      </c>
    </row>
    <row r="2853" spans="1:9" x14ac:dyDescent="0.2">
      <c r="A2853" s="10" t="s">
        <v>11405</v>
      </c>
      <c r="B2853" s="10">
        <v>514.01216582272195</v>
      </c>
      <c r="C2853" s="10">
        <v>-1.21982950278459</v>
      </c>
      <c r="D2853" s="10">
        <v>0.28079172816876102</v>
      </c>
      <c r="E2853" s="10">
        <v>-4.3442501342185302</v>
      </c>
      <c r="F2853" s="4">
        <v>1.39752207214162E-5</v>
      </c>
      <c r="G2853" s="10">
        <v>1.3813228968456801E-4</v>
      </c>
      <c r="H2853" s="10" t="s">
        <v>11406</v>
      </c>
      <c r="I2853" s="10" t="s">
        <v>18</v>
      </c>
    </row>
    <row r="2854" spans="1:9" x14ac:dyDescent="0.2">
      <c r="A2854" s="10" t="s">
        <v>11407</v>
      </c>
      <c r="B2854" s="10">
        <v>13.644548250584601</v>
      </c>
      <c r="C2854" s="10">
        <v>-2.4785895637930699</v>
      </c>
      <c r="D2854" s="10">
        <v>0.97091352656435004</v>
      </c>
      <c r="E2854" s="10">
        <v>-2.55284275682485</v>
      </c>
      <c r="F2854" s="10">
        <v>1.06847721521298E-2</v>
      </c>
      <c r="G2854" s="10">
        <v>4.4610032113996001E-2</v>
      </c>
      <c r="H2854" s="10" t="s">
        <v>11408</v>
      </c>
      <c r="I2854" s="10" t="s">
        <v>18</v>
      </c>
    </row>
    <row r="2855" spans="1:9" x14ac:dyDescent="0.2">
      <c r="A2855" s="10" t="s">
        <v>7854</v>
      </c>
      <c r="B2855" s="10">
        <v>86.6637808459745</v>
      </c>
      <c r="C2855" s="10">
        <v>-1.45082520267571</v>
      </c>
      <c r="D2855" s="10">
        <v>0.435148370689593</v>
      </c>
      <c r="E2855" s="10">
        <v>-3.33409315166812</v>
      </c>
      <c r="F2855" s="10">
        <v>8.5577992837892396E-4</v>
      </c>
      <c r="G2855" s="10">
        <v>5.3443753968152501E-3</v>
      </c>
      <c r="H2855" s="10" t="s">
        <v>7855</v>
      </c>
      <c r="I2855" s="10" t="s">
        <v>18</v>
      </c>
    </row>
    <row r="2856" spans="1:9" x14ac:dyDescent="0.2">
      <c r="A2856" s="10" t="s">
        <v>11409</v>
      </c>
      <c r="B2856" s="10">
        <v>7024.4478275503798</v>
      </c>
      <c r="C2856" s="10">
        <v>-1.0552111835222699</v>
      </c>
      <c r="D2856" s="10">
        <v>0.27430586614143798</v>
      </c>
      <c r="E2856" s="10">
        <v>-3.8468414779659899</v>
      </c>
      <c r="F2856" s="10">
        <v>1.1965032850583399E-4</v>
      </c>
      <c r="G2856" s="10">
        <v>9.5216830546164001E-4</v>
      </c>
      <c r="H2856" s="10" t="s">
        <v>11410</v>
      </c>
      <c r="I2856" s="10" t="s">
        <v>18</v>
      </c>
    </row>
    <row r="2857" spans="1:9" x14ac:dyDescent="0.2">
      <c r="A2857" s="10" t="s">
        <v>11411</v>
      </c>
      <c r="B2857" s="10">
        <v>352.46163039206101</v>
      </c>
      <c r="C2857" s="10">
        <v>-1.4721876035841199</v>
      </c>
      <c r="D2857" s="10">
        <v>0.32155384449718699</v>
      </c>
      <c r="E2857" s="10">
        <v>-4.5783548502932003</v>
      </c>
      <c r="F2857" s="4">
        <v>4.6864718954123798E-6</v>
      </c>
      <c r="G2857" s="4">
        <v>5.1728038845589502E-5</v>
      </c>
      <c r="H2857" s="10" t="s">
        <v>11412</v>
      </c>
      <c r="I2857" s="10" t="s">
        <v>18</v>
      </c>
    </row>
    <row r="2858" spans="1:9" x14ac:dyDescent="0.2">
      <c r="A2858" s="10" t="s">
        <v>7858</v>
      </c>
      <c r="B2858" s="10">
        <v>744.26638060008599</v>
      </c>
      <c r="C2858" s="10">
        <v>4.0505708856751204</v>
      </c>
      <c r="D2858" s="10">
        <v>0.31576717318036102</v>
      </c>
      <c r="E2858" s="10">
        <v>12.8277136754855</v>
      </c>
      <c r="F2858" s="4">
        <v>1.1469916534433E-37</v>
      </c>
      <c r="G2858" s="4">
        <v>1.6872850901968499E-35</v>
      </c>
      <c r="H2858" s="10" t="s">
        <v>7859</v>
      </c>
      <c r="I2858" s="10" t="s">
        <v>18</v>
      </c>
    </row>
    <row r="2859" spans="1:9" x14ac:dyDescent="0.2">
      <c r="A2859" s="10" t="s">
        <v>7862</v>
      </c>
      <c r="B2859" s="10">
        <v>272.22003947063303</v>
      </c>
      <c r="C2859" s="10">
        <v>-1.93587454034387</v>
      </c>
      <c r="D2859" s="10">
        <v>0.36812123913195</v>
      </c>
      <c r="E2859" s="10">
        <v>-5.2587961099684604</v>
      </c>
      <c r="F2859" s="4">
        <v>1.45001550703367E-7</v>
      </c>
      <c r="G2859" s="4">
        <v>2.1280711831640599E-6</v>
      </c>
      <c r="H2859" s="10" t="s">
        <v>7863</v>
      </c>
      <c r="I2859" s="10" t="s">
        <v>18</v>
      </c>
    </row>
    <row r="2860" spans="1:9" x14ac:dyDescent="0.2">
      <c r="A2860" s="10" t="s">
        <v>11413</v>
      </c>
      <c r="B2860" s="10">
        <v>681.40224297878694</v>
      </c>
      <c r="C2860" s="10">
        <v>1.22691771223576</v>
      </c>
      <c r="D2860" s="10">
        <v>0.293255998728709</v>
      </c>
      <c r="E2860" s="10">
        <v>4.1837770328810304</v>
      </c>
      <c r="F2860" s="4">
        <v>2.8670532216089499E-5</v>
      </c>
      <c r="G2860" s="10">
        <v>2.6505227412559001E-4</v>
      </c>
      <c r="H2860" s="10" t="s">
        <v>11414</v>
      </c>
      <c r="I2860" s="10" t="s">
        <v>18</v>
      </c>
    </row>
    <row r="2861" spans="1:9" x14ac:dyDescent="0.2">
      <c r="A2861" s="10" t="s">
        <v>7868</v>
      </c>
      <c r="B2861" s="10">
        <v>1212.13159281803</v>
      </c>
      <c r="C2861" s="10">
        <v>-1.17521720173551</v>
      </c>
      <c r="D2861" s="10">
        <v>0.262201449838596</v>
      </c>
      <c r="E2861" s="10">
        <v>-4.48211557357497</v>
      </c>
      <c r="F2861" s="4">
        <v>7.3906697433384899E-6</v>
      </c>
      <c r="G2861" s="4">
        <v>7.8510260723682301E-5</v>
      </c>
      <c r="H2861" s="10" t="s">
        <v>7869</v>
      </c>
      <c r="I2861" s="10" t="s">
        <v>18</v>
      </c>
    </row>
    <row r="2862" spans="1:9" x14ac:dyDescent="0.2">
      <c r="A2862" s="10" t="s">
        <v>7870</v>
      </c>
      <c r="B2862" s="10">
        <v>165.594664736076</v>
      </c>
      <c r="C2862" s="10">
        <v>-2.31684971836092</v>
      </c>
      <c r="D2862" s="10">
        <v>0.40800405098480202</v>
      </c>
      <c r="E2862" s="10">
        <v>-5.6784968501384299</v>
      </c>
      <c r="F2862" s="4">
        <v>1.3588353528231799E-8</v>
      </c>
      <c r="G2862" s="4">
        <v>2.350859924365E-7</v>
      </c>
      <c r="H2862" s="10" t="s">
        <v>7871</v>
      </c>
      <c r="I2862" s="10" t="s">
        <v>18</v>
      </c>
    </row>
    <row r="2863" spans="1:9" x14ac:dyDescent="0.2">
      <c r="A2863" s="10" t="s">
        <v>7872</v>
      </c>
      <c r="B2863" s="10">
        <v>168.32037918617499</v>
      </c>
      <c r="C2863" s="10">
        <v>-1.63951719839705</v>
      </c>
      <c r="D2863" s="10">
        <v>0.37345676667246902</v>
      </c>
      <c r="E2863" s="10">
        <v>-4.3901124432830096</v>
      </c>
      <c r="F2863" s="4">
        <v>1.1329206280187199E-5</v>
      </c>
      <c r="G2863" s="10">
        <v>1.1426871851568101E-4</v>
      </c>
      <c r="H2863" s="10" t="s">
        <v>7873</v>
      </c>
      <c r="I2863" s="10" t="s">
        <v>18</v>
      </c>
    </row>
    <row r="2864" spans="1:9" x14ac:dyDescent="0.2">
      <c r="A2864" s="10" t="s">
        <v>7876</v>
      </c>
      <c r="B2864" s="10">
        <v>734.90098509696202</v>
      </c>
      <c r="C2864" s="10">
        <v>-1.04274761622054</v>
      </c>
      <c r="D2864" s="10">
        <v>0.31396488080449098</v>
      </c>
      <c r="E2864" s="10">
        <v>-3.3212237418039998</v>
      </c>
      <c r="F2864" s="10">
        <v>8.9623658675841401E-4</v>
      </c>
      <c r="G2864" s="10">
        <v>5.56250464838586E-3</v>
      </c>
      <c r="H2864" s="10" t="s">
        <v>7877</v>
      </c>
      <c r="I2864" s="10" t="s">
        <v>18</v>
      </c>
    </row>
    <row r="2865" spans="1:9" x14ac:dyDescent="0.2">
      <c r="A2865" s="10" t="s">
        <v>7882</v>
      </c>
      <c r="B2865" s="10">
        <v>1324.27254688216</v>
      </c>
      <c r="C2865" s="10">
        <v>-1.5036229407274799</v>
      </c>
      <c r="D2865" s="10">
        <v>0.27875717429466401</v>
      </c>
      <c r="E2865" s="10">
        <v>-5.3940241880126703</v>
      </c>
      <c r="F2865" s="4">
        <v>6.88969374393387E-8</v>
      </c>
      <c r="G2865" s="4">
        <v>1.0574145584420799E-6</v>
      </c>
      <c r="H2865" s="10" t="s">
        <v>7883</v>
      </c>
      <c r="I2865" s="10" t="s">
        <v>18</v>
      </c>
    </row>
    <row r="2866" spans="1:9" x14ac:dyDescent="0.2">
      <c r="A2866" s="10" t="s">
        <v>11415</v>
      </c>
      <c r="B2866" s="10">
        <v>680.59516757326298</v>
      </c>
      <c r="C2866" s="10">
        <v>-1.1769071658208901</v>
      </c>
      <c r="D2866" s="10">
        <v>0.31084861353288501</v>
      </c>
      <c r="E2866" s="10">
        <v>-3.7861103913091201</v>
      </c>
      <c r="F2866" s="10">
        <v>1.5302371584148899E-4</v>
      </c>
      <c r="G2866" s="10">
        <v>1.17942311667061E-3</v>
      </c>
      <c r="H2866" s="10" t="s">
        <v>11416</v>
      </c>
      <c r="I2866" s="10" t="s">
        <v>18</v>
      </c>
    </row>
    <row r="2867" spans="1:9" x14ac:dyDescent="0.2">
      <c r="A2867" s="10" t="s">
        <v>11417</v>
      </c>
      <c r="B2867" s="10">
        <v>363.66644425566898</v>
      </c>
      <c r="C2867" s="10">
        <v>1.2322391376042501</v>
      </c>
      <c r="D2867" s="10">
        <v>0.34634178658898501</v>
      </c>
      <c r="E2867" s="10">
        <v>3.55787024644123</v>
      </c>
      <c r="F2867" s="10">
        <v>3.7387390601751702E-4</v>
      </c>
      <c r="G2867" s="10">
        <v>2.5994466848730398E-3</v>
      </c>
      <c r="H2867" s="10" t="s">
        <v>11418</v>
      </c>
      <c r="I2867" s="10" t="s">
        <v>18</v>
      </c>
    </row>
    <row r="2868" spans="1:9" x14ac:dyDescent="0.2">
      <c r="A2868" s="10" t="s">
        <v>7892</v>
      </c>
      <c r="B2868" s="10">
        <v>95.519051072973895</v>
      </c>
      <c r="C2868" s="10">
        <v>6.0577928040706999</v>
      </c>
      <c r="D2868" s="10">
        <v>0.71145334507654001</v>
      </c>
      <c r="E2868" s="10">
        <v>8.5146733035867399</v>
      </c>
      <c r="F2868" s="4">
        <v>1.6706060841496301E-17</v>
      </c>
      <c r="G2868" s="4">
        <v>7.5958079906937701E-16</v>
      </c>
      <c r="H2868" s="10" t="s">
        <v>7893</v>
      </c>
      <c r="I2868" s="10" t="s">
        <v>18</v>
      </c>
    </row>
    <row r="2869" spans="1:9" x14ac:dyDescent="0.2">
      <c r="A2869" s="10" t="s">
        <v>11419</v>
      </c>
      <c r="B2869" s="10">
        <v>60.849876886177</v>
      </c>
      <c r="C2869" s="10">
        <v>-1.54839653900731</v>
      </c>
      <c r="D2869" s="10">
        <v>0.51262776210476402</v>
      </c>
      <c r="E2869" s="10">
        <v>-3.0205085511753298</v>
      </c>
      <c r="F2869" s="10">
        <v>2.52350582332495E-3</v>
      </c>
      <c r="G2869" s="10">
        <v>1.3313504401371501E-2</v>
      </c>
      <c r="H2869" s="10" t="s">
        <v>11420</v>
      </c>
      <c r="I2869" s="10" t="s">
        <v>18</v>
      </c>
    </row>
    <row r="2870" spans="1:9" x14ac:dyDescent="0.2">
      <c r="A2870" s="10" t="s">
        <v>7896</v>
      </c>
      <c r="B2870" s="10">
        <v>652.88253376588898</v>
      </c>
      <c r="C2870" s="10">
        <v>1.5981185418974699</v>
      </c>
      <c r="D2870" s="10">
        <v>0.33496797725898297</v>
      </c>
      <c r="E2870" s="10">
        <v>4.77095916742475</v>
      </c>
      <c r="F2870" s="4">
        <v>1.8335071010707799E-6</v>
      </c>
      <c r="G2870" s="4">
        <v>2.1706098936078299E-5</v>
      </c>
      <c r="H2870" s="10" t="s">
        <v>7897</v>
      </c>
      <c r="I2870" s="10" t="s">
        <v>18</v>
      </c>
    </row>
    <row r="2871" spans="1:9" x14ac:dyDescent="0.2">
      <c r="A2871" s="10" t="s">
        <v>7898</v>
      </c>
      <c r="B2871" s="10">
        <v>231.06677497593901</v>
      </c>
      <c r="C2871" s="10">
        <v>2.9838225234636599</v>
      </c>
      <c r="D2871" s="10">
        <v>0.37378733565149702</v>
      </c>
      <c r="E2871" s="10">
        <v>7.9826742076827299</v>
      </c>
      <c r="F2871" s="4">
        <v>1.4319649817617999E-15</v>
      </c>
      <c r="G2871" s="4">
        <v>5.5078102624186701E-14</v>
      </c>
      <c r="H2871" s="10" t="s">
        <v>7899</v>
      </c>
      <c r="I2871" s="10" t="s">
        <v>18</v>
      </c>
    </row>
    <row r="2872" spans="1:9" x14ac:dyDescent="0.2">
      <c r="A2872" s="10" t="s">
        <v>7900</v>
      </c>
      <c r="B2872" s="10">
        <v>2331.1385561601101</v>
      </c>
      <c r="C2872" s="10">
        <v>2.60922444851359</v>
      </c>
      <c r="D2872" s="10">
        <v>0.28896395306711098</v>
      </c>
      <c r="E2872" s="10">
        <v>9.0295845582774099</v>
      </c>
      <c r="F2872" s="4">
        <v>1.7232475262921701E-19</v>
      </c>
      <c r="G2872" s="4">
        <v>8.9562585793139398E-18</v>
      </c>
      <c r="H2872" s="10" t="s">
        <v>7901</v>
      </c>
      <c r="I2872" s="10" t="s">
        <v>18</v>
      </c>
    </row>
    <row r="2873" spans="1:9" x14ac:dyDescent="0.2">
      <c r="A2873" s="10" t="s">
        <v>11421</v>
      </c>
      <c r="B2873" s="10">
        <v>102.96592113288899</v>
      </c>
      <c r="C2873" s="10">
        <v>-1.23061699782325</v>
      </c>
      <c r="D2873" s="10">
        <v>0.46793963640672298</v>
      </c>
      <c r="E2873" s="10">
        <v>-2.6298627046707899</v>
      </c>
      <c r="F2873" s="10">
        <v>8.5419357807654302E-3</v>
      </c>
      <c r="G2873" s="10">
        <v>3.7059743802199799E-2</v>
      </c>
      <c r="H2873" s="10" t="s">
        <v>11422</v>
      </c>
      <c r="I2873" s="10" t="s">
        <v>18</v>
      </c>
    </row>
    <row r="2874" spans="1:9" x14ac:dyDescent="0.2">
      <c r="A2874" s="10" t="s">
        <v>7906</v>
      </c>
      <c r="B2874" s="10">
        <v>752.18588060811499</v>
      </c>
      <c r="C2874" s="10">
        <v>1.7468025121995101</v>
      </c>
      <c r="D2874" s="10">
        <v>0.27897759180689502</v>
      </c>
      <c r="E2874" s="10">
        <v>6.2614437987142404</v>
      </c>
      <c r="F2874" s="4">
        <v>3.8142928783029598E-10</v>
      </c>
      <c r="G2874" s="4">
        <v>8.2288625517762401E-9</v>
      </c>
      <c r="H2874" s="10" t="s">
        <v>7907</v>
      </c>
      <c r="I2874" s="10" t="s">
        <v>18</v>
      </c>
    </row>
    <row r="2875" spans="1:9" x14ac:dyDescent="0.2">
      <c r="A2875" s="10" t="s">
        <v>11423</v>
      </c>
      <c r="B2875" s="10">
        <v>470.31637003812</v>
      </c>
      <c r="C2875" s="10">
        <v>-1.27748534787382</v>
      </c>
      <c r="D2875" s="10">
        <v>0.321067125333101</v>
      </c>
      <c r="E2875" s="10">
        <v>-3.9788730987280601</v>
      </c>
      <c r="F2875" s="4">
        <v>6.9242685035608804E-5</v>
      </c>
      <c r="G2875" s="10">
        <v>5.8646455961977703E-4</v>
      </c>
      <c r="H2875" s="10" t="s">
        <v>11424</v>
      </c>
      <c r="I2875" s="10" t="s">
        <v>18</v>
      </c>
    </row>
    <row r="2876" spans="1:9" x14ac:dyDescent="0.2">
      <c r="A2876" s="10" t="s">
        <v>11425</v>
      </c>
      <c r="B2876" s="10">
        <v>467.338583103801</v>
      </c>
      <c r="C2876" s="10">
        <v>-1.48452348787392</v>
      </c>
      <c r="D2876" s="10">
        <v>0.31943428938677199</v>
      </c>
      <c r="E2876" s="10">
        <v>-4.6473517001690903</v>
      </c>
      <c r="F2876" s="4">
        <v>3.3622364635952998E-6</v>
      </c>
      <c r="G2876" s="4">
        <v>3.8114942875953002E-5</v>
      </c>
      <c r="H2876" s="10" t="s">
        <v>11426</v>
      </c>
      <c r="I2876" s="10" t="s">
        <v>18</v>
      </c>
    </row>
    <row r="2877" spans="1:9" x14ac:dyDescent="0.2">
      <c r="A2877" s="10" t="s">
        <v>7910</v>
      </c>
      <c r="B2877" s="10">
        <v>100.565674069103</v>
      </c>
      <c r="C2877" s="10">
        <v>1.06914706765787</v>
      </c>
      <c r="D2877" s="10">
        <v>0.39975383015375998</v>
      </c>
      <c r="E2877" s="10">
        <v>2.6745136306677502</v>
      </c>
      <c r="F2877" s="10">
        <v>7.48377339012551E-3</v>
      </c>
      <c r="G2877" s="10">
        <v>3.30967509895582E-2</v>
      </c>
      <c r="H2877" s="10" t="s">
        <v>7911</v>
      </c>
      <c r="I2877" s="10" t="s">
        <v>18</v>
      </c>
    </row>
    <row r="2878" spans="1:9" x14ac:dyDescent="0.2">
      <c r="A2878" s="10" t="s">
        <v>11427</v>
      </c>
      <c r="B2878" s="10">
        <v>2276.78925697556</v>
      </c>
      <c r="C2878" s="10">
        <v>1.15882738346193</v>
      </c>
      <c r="D2878" s="10">
        <v>0.30255448377801197</v>
      </c>
      <c r="E2878" s="10">
        <v>3.8301444718042101</v>
      </c>
      <c r="F2878" s="10">
        <v>1.28068046162343E-4</v>
      </c>
      <c r="G2878" s="10">
        <v>1.0098908154275101E-3</v>
      </c>
      <c r="H2878" s="10" t="s">
        <v>11428</v>
      </c>
      <c r="I2878" s="10" t="s">
        <v>18</v>
      </c>
    </row>
    <row r="2879" spans="1:9" x14ac:dyDescent="0.2">
      <c r="A2879" s="10" t="s">
        <v>7912</v>
      </c>
      <c r="B2879" s="10">
        <v>97.091495974286502</v>
      </c>
      <c r="C2879" s="10">
        <v>-1.11187678346514</v>
      </c>
      <c r="D2879" s="10">
        <v>0.41494318759139398</v>
      </c>
      <c r="E2879" s="10">
        <v>-2.6795879935256002</v>
      </c>
      <c r="F2879" s="10">
        <v>7.3712826409316704E-3</v>
      </c>
      <c r="G2879" s="10">
        <v>3.2668184431401702E-2</v>
      </c>
      <c r="H2879" s="10" t="s">
        <v>7913</v>
      </c>
      <c r="I2879" s="10" t="s">
        <v>18</v>
      </c>
    </row>
    <row r="2880" spans="1:9" x14ac:dyDescent="0.2">
      <c r="A2880" s="10" t="s">
        <v>7916</v>
      </c>
      <c r="B2880" s="10">
        <v>8084.4280846698302</v>
      </c>
      <c r="C2880" s="10">
        <v>-1.66501326399133</v>
      </c>
      <c r="D2880" s="10">
        <v>0.31219033802811502</v>
      </c>
      <c r="E2880" s="10">
        <v>-5.33332733648336</v>
      </c>
      <c r="F2880" s="4">
        <v>9.6429253242036304E-8</v>
      </c>
      <c r="G2880" s="4">
        <v>1.44471582209852E-6</v>
      </c>
      <c r="H2880" s="10" t="s">
        <v>7917</v>
      </c>
      <c r="I2880" s="10" t="s">
        <v>18</v>
      </c>
    </row>
    <row r="2881" spans="1:9" x14ac:dyDescent="0.2">
      <c r="A2881" s="10" t="s">
        <v>7922</v>
      </c>
      <c r="B2881" s="10">
        <v>1162.8507103536799</v>
      </c>
      <c r="C2881" s="10">
        <v>-1.6765944648818201</v>
      </c>
      <c r="D2881" s="10">
        <v>0.33302975721150402</v>
      </c>
      <c r="E2881" s="10">
        <v>-5.03436833669201</v>
      </c>
      <c r="F2881" s="4">
        <v>4.7942705470297001E-7</v>
      </c>
      <c r="G2881" s="4">
        <v>6.3944790885754004E-6</v>
      </c>
      <c r="H2881" s="10" t="s">
        <v>7923</v>
      </c>
      <c r="I2881" s="10" t="s">
        <v>18</v>
      </c>
    </row>
    <row r="2882" spans="1:9" x14ac:dyDescent="0.2">
      <c r="A2882" s="10" t="s">
        <v>7928</v>
      </c>
      <c r="B2882" s="10">
        <v>2176.9261706156899</v>
      </c>
      <c r="C2882" s="10">
        <v>2.0900120881787401</v>
      </c>
      <c r="D2882" s="10">
        <v>0.28608083878902202</v>
      </c>
      <c r="E2882" s="10">
        <v>7.3056696038285498</v>
      </c>
      <c r="F2882" s="4">
        <v>2.7588933476692E-13</v>
      </c>
      <c r="G2882" s="4">
        <v>8.61041714151598E-12</v>
      </c>
      <c r="H2882" s="10" t="s">
        <v>7929</v>
      </c>
      <c r="I2882" s="10" t="s">
        <v>18</v>
      </c>
    </row>
    <row r="2883" spans="1:9" x14ac:dyDescent="0.2">
      <c r="A2883" s="10" t="s">
        <v>7934</v>
      </c>
      <c r="B2883" s="10">
        <v>78.314181441654199</v>
      </c>
      <c r="C2883" s="10">
        <v>-2.3684896317977402</v>
      </c>
      <c r="D2883" s="10">
        <v>0.50663759707641398</v>
      </c>
      <c r="E2883" s="10">
        <v>-4.6749188087604701</v>
      </c>
      <c r="F2883" s="4">
        <v>2.9406993647412702E-6</v>
      </c>
      <c r="G2883" s="4">
        <v>3.36089470786309E-5</v>
      </c>
      <c r="H2883" s="10" t="s">
        <v>7935</v>
      </c>
      <c r="I2883" s="10" t="s">
        <v>18</v>
      </c>
    </row>
    <row r="2884" spans="1:9" x14ac:dyDescent="0.2">
      <c r="A2884" s="10" t="s">
        <v>7936</v>
      </c>
      <c r="B2884" s="10">
        <v>15.971123840100599</v>
      </c>
      <c r="C2884" s="10">
        <v>2.9261295701761401</v>
      </c>
      <c r="D2884" s="10">
        <v>0.95077460434078898</v>
      </c>
      <c r="E2884" s="10">
        <v>3.0776269757488302</v>
      </c>
      <c r="F2884" s="10">
        <v>2.08655923948465E-3</v>
      </c>
      <c r="G2884" s="10">
        <v>1.13542163649459E-2</v>
      </c>
      <c r="H2884" s="10" t="s">
        <v>7937</v>
      </c>
      <c r="I2884" s="10" t="s">
        <v>18</v>
      </c>
    </row>
    <row r="2885" spans="1:9" x14ac:dyDescent="0.2">
      <c r="A2885" s="10" t="s">
        <v>7940</v>
      </c>
      <c r="B2885" s="10">
        <v>1358.46745983186</v>
      </c>
      <c r="C2885" s="10">
        <v>-1.0430295803688501</v>
      </c>
      <c r="D2885" s="10">
        <v>0.29853624328790301</v>
      </c>
      <c r="E2885" s="10">
        <v>-3.49381223827812</v>
      </c>
      <c r="F2885" s="10">
        <v>4.7617578968732E-4</v>
      </c>
      <c r="G2885" s="10">
        <v>3.2044414097336898E-3</v>
      </c>
      <c r="H2885" s="10" t="s">
        <v>7941</v>
      </c>
      <c r="I2885" s="10" t="s">
        <v>18</v>
      </c>
    </row>
    <row r="2886" spans="1:9" x14ac:dyDescent="0.2">
      <c r="A2886" s="10" t="s">
        <v>7942</v>
      </c>
      <c r="B2886" s="10">
        <v>4286.5640838260697</v>
      </c>
      <c r="C2886" s="10">
        <v>1.02369516469092</v>
      </c>
      <c r="D2886" s="10">
        <v>0.270891162494867</v>
      </c>
      <c r="E2886" s="10">
        <v>3.7789906295311999</v>
      </c>
      <c r="F2886" s="10">
        <v>1.5746534891593E-4</v>
      </c>
      <c r="G2886" s="10">
        <v>1.2113274776697899E-3</v>
      </c>
      <c r="H2886" s="10" t="s">
        <v>7943</v>
      </c>
      <c r="I2886" s="10" t="s">
        <v>18</v>
      </c>
    </row>
    <row r="2887" spans="1:9" x14ac:dyDescent="0.2">
      <c r="A2887" s="10" t="s">
        <v>11429</v>
      </c>
      <c r="B2887" s="10">
        <v>1500.0861478650399</v>
      </c>
      <c r="C2887" s="10">
        <v>-1.3249760584482799</v>
      </c>
      <c r="D2887" s="10">
        <v>0.30179894051925399</v>
      </c>
      <c r="E2887" s="10">
        <v>-4.39026080134217</v>
      </c>
      <c r="F2887" s="4">
        <v>1.13214792598235E-5</v>
      </c>
      <c r="G2887" s="10">
        <v>1.14236586755258E-4</v>
      </c>
      <c r="H2887" s="10" t="s">
        <v>11430</v>
      </c>
      <c r="I2887" s="10" t="s">
        <v>18</v>
      </c>
    </row>
    <row r="2888" spans="1:9" x14ac:dyDescent="0.2">
      <c r="A2888" s="10" t="s">
        <v>11431</v>
      </c>
      <c r="B2888" s="10">
        <v>547.22923256051797</v>
      </c>
      <c r="C2888" s="10">
        <v>-1.0317768506200999</v>
      </c>
      <c r="D2888" s="10">
        <v>0.31063198836078698</v>
      </c>
      <c r="E2888" s="10">
        <v>-3.32154088851187</v>
      </c>
      <c r="F2888" s="10">
        <v>8.9521864478559496E-4</v>
      </c>
      <c r="G2888" s="10">
        <v>5.5575579984160003E-3</v>
      </c>
      <c r="H2888" s="10" t="s">
        <v>11432</v>
      </c>
      <c r="I2888" s="10" t="s">
        <v>18</v>
      </c>
    </row>
    <row r="2889" spans="1:9" x14ac:dyDescent="0.2">
      <c r="A2889" s="10" t="s">
        <v>11433</v>
      </c>
      <c r="B2889" s="10">
        <v>372.34034673108198</v>
      </c>
      <c r="C2889" s="10">
        <v>-1.10934776342996</v>
      </c>
      <c r="D2889" s="10">
        <v>0.33561605156917301</v>
      </c>
      <c r="E2889" s="10">
        <v>-3.3054073493898901</v>
      </c>
      <c r="F2889" s="10">
        <v>9.4838453676709402E-4</v>
      </c>
      <c r="G2889" s="10">
        <v>5.8371942800039796E-3</v>
      </c>
      <c r="H2889" s="10" t="s">
        <v>11434</v>
      </c>
      <c r="I2889" s="10" t="s">
        <v>18</v>
      </c>
    </row>
    <row r="2890" spans="1:9" x14ac:dyDescent="0.2">
      <c r="A2890" s="10" t="s">
        <v>7944</v>
      </c>
      <c r="B2890" s="10">
        <v>2938.0787870261502</v>
      </c>
      <c r="C2890" s="10">
        <v>-1.22689031190146</v>
      </c>
      <c r="D2890" s="10">
        <v>0.29681344803706999</v>
      </c>
      <c r="E2890" s="10">
        <v>-4.1335401748650904</v>
      </c>
      <c r="F2890" s="4">
        <v>3.5721781910293402E-5</v>
      </c>
      <c r="G2890" s="10">
        <v>3.2404667290062398E-4</v>
      </c>
      <c r="H2890" s="10" t="s">
        <v>7945</v>
      </c>
      <c r="I2890" s="10" t="s">
        <v>18</v>
      </c>
    </row>
    <row r="2891" spans="1:9" x14ac:dyDescent="0.2">
      <c r="A2891" s="10" t="s">
        <v>7946</v>
      </c>
      <c r="B2891" s="10">
        <v>440.54238233683901</v>
      </c>
      <c r="C2891" s="10">
        <v>-2.24679996954371</v>
      </c>
      <c r="D2891" s="10">
        <v>0.33727167480671699</v>
      </c>
      <c r="E2891" s="10">
        <v>-6.6616918566651098</v>
      </c>
      <c r="F2891" s="4">
        <v>2.7069312455727301E-11</v>
      </c>
      <c r="G2891" s="4">
        <v>6.6173814851683203E-10</v>
      </c>
      <c r="H2891" s="10" t="s">
        <v>7947</v>
      </c>
      <c r="I2891" s="10" t="s">
        <v>18</v>
      </c>
    </row>
    <row r="2892" spans="1:9" x14ac:dyDescent="0.2">
      <c r="A2892" s="10" t="s">
        <v>7950</v>
      </c>
      <c r="B2892" s="10">
        <v>323.98105591810798</v>
      </c>
      <c r="C2892" s="10">
        <v>3.5721304133737899</v>
      </c>
      <c r="D2892" s="10">
        <v>0.34699420262165098</v>
      </c>
      <c r="E2892" s="10">
        <v>10.294495949457399</v>
      </c>
      <c r="F2892" s="4">
        <v>7.4609295065701698E-25</v>
      </c>
      <c r="G2892" s="4">
        <v>5.6872630829628106E-23</v>
      </c>
      <c r="H2892" s="10" t="s">
        <v>7951</v>
      </c>
      <c r="I2892" s="10" t="s">
        <v>18</v>
      </c>
    </row>
    <row r="2893" spans="1:9" x14ac:dyDescent="0.2">
      <c r="A2893" s="10" t="s">
        <v>7952</v>
      </c>
      <c r="B2893" s="10">
        <v>777.49914649578898</v>
      </c>
      <c r="C2893" s="10">
        <v>3.3542652843446898</v>
      </c>
      <c r="D2893" s="10">
        <v>0.275534541515496</v>
      </c>
      <c r="E2893" s="10">
        <v>12.173665290368101</v>
      </c>
      <c r="F2893" s="4">
        <v>4.2936018004552898E-34</v>
      </c>
      <c r="G2893" s="4">
        <v>5.1677298225096997E-32</v>
      </c>
      <c r="H2893" s="10" t="s">
        <v>7953</v>
      </c>
      <c r="I2893" s="10" t="s">
        <v>18</v>
      </c>
    </row>
    <row r="2894" spans="1:9" x14ac:dyDescent="0.2">
      <c r="A2894" s="10" t="s">
        <v>7954</v>
      </c>
      <c r="B2894" s="10">
        <v>1027.1516450060601</v>
      </c>
      <c r="C2894" s="10">
        <v>1.6356125727936199</v>
      </c>
      <c r="D2894" s="10">
        <v>0.29232406032826502</v>
      </c>
      <c r="E2894" s="10">
        <v>5.5952033881744399</v>
      </c>
      <c r="F2894" s="4">
        <v>2.20363284195574E-8</v>
      </c>
      <c r="G2894" s="4">
        <v>3.6758875424002998E-7</v>
      </c>
      <c r="H2894" s="10" t="s">
        <v>7955</v>
      </c>
      <c r="I2894" s="10" t="s">
        <v>18</v>
      </c>
    </row>
    <row r="2895" spans="1:9" x14ac:dyDescent="0.2">
      <c r="A2895" s="10" t="s">
        <v>7956</v>
      </c>
      <c r="B2895" s="10">
        <v>1775.62939556775</v>
      </c>
      <c r="C2895" s="10">
        <v>6.2254496341223504</v>
      </c>
      <c r="D2895" s="10">
        <v>0.28559238554702998</v>
      </c>
      <c r="E2895" s="10">
        <v>21.7983740084596</v>
      </c>
      <c r="F2895" s="4">
        <v>2.40406191280463E-105</v>
      </c>
      <c r="G2895" s="4">
        <v>4.6518598012769502E-102</v>
      </c>
      <c r="H2895" s="10" t="s">
        <v>7957</v>
      </c>
      <c r="I2895" s="10" t="s">
        <v>18</v>
      </c>
    </row>
    <row r="2896" spans="1:9" x14ac:dyDescent="0.2">
      <c r="A2896" s="10" t="s">
        <v>7958</v>
      </c>
      <c r="B2896" s="10">
        <v>1267.44640132627</v>
      </c>
      <c r="C2896" s="10">
        <v>2.2251116996265501</v>
      </c>
      <c r="D2896" s="10">
        <v>0.28410442656990398</v>
      </c>
      <c r="E2896" s="10">
        <v>7.8320205231968103</v>
      </c>
      <c r="F2896" s="4">
        <v>4.8009113802101304E-15</v>
      </c>
      <c r="G2896" s="4">
        <v>1.7502453010026899E-13</v>
      </c>
      <c r="H2896" s="10" t="s">
        <v>7959</v>
      </c>
      <c r="I2896" s="10" t="s">
        <v>18</v>
      </c>
    </row>
    <row r="2897" spans="1:9" x14ac:dyDescent="0.2">
      <c r="A2897" s="10" t="s">
        <v>7960</v>
      </c>
      <c r="B2897" s="10">
        <v>11780.508637835201</v>
      </c>
      <c r="C2897" s="10">
        <v>-1.49194179508091</v>
      </c>
      <c r="D2897" s="10">
        <v>0.25725211421532601</v>
      </c>
      <c r="E2897" s="10">
        <v>-5.7995317147602501</v>
      </c>
      <c r="F2897" s="4">
        <v>6.6500361200929201E-9</v>
      </c>
      <c r="G2897" s="4">
        <v>1.20693837374414E-7</v>
      </c>
      <c r="H2897" s="10" t="s">
        <v>7961</v>
      </c>
      <c r="I2897" s="10" t="s">
        <v>18</v>
      </c>
    </row>
    <row r="2898" spans="1:9" x14ac:dyDescent="0.2">
      <c r="A2898" s="10" t="s">
        <v>11435</v>
      </c>
      <c r="B2898" s="10">
        <v>223.17071493668601</v>
      </c>
      <c r="C2898" s="10">
        <v>-1.3096630236631801</v>
      </c>
      <c r="D2898" s="10">
        <v>0.33222435616055401</v>
      </c>
      <c r="E2898" s="10">
        <v>-3.94210418164</v>
      </c>
      <c r="F2898" s="4">
        <v>8.0769876205510205E-5</v>
      </c>
      <c r="G2898" s="10">
        <v>6.7208174520471298E-4</v>
      </c>
      <c r="H2898" s="10" t="s">
        <v>11436</v>
      </c>
      <c r="I2898" s="10" t="s">
        <v>18</v>
      </c>
    </row>
    <row r="2899" spans="1:9" x14ac:dyDescent="0.2">
      <c r="A2899" s="10" t="s">
        <v>7962</v>
      </c>
      <c r="B2899" s="10">
        <v>629.26363716464698</v>
      </c>
      <c r="C2899" s="10">
        <v>4.04295478532653</v>
      </c>
      <c r="D2899" s="10">
        <v>0.29679973028612999</v>
      </c>
      <c r="E2899" s="10">
        <v>13.6218276931347</v>
      </c>
      <c r="F2899" s="4">
        <v>2.9703972805580601E-42</v>
      </c>
      <c r="G2899" s="4">
        <v>5.6606320903361996E-40</v>
      </c>
      <c r="H2899" s="10" t="s">
        <v>7963</v>
      </c>
      <c r="I2899" s="10" t="s">
        <v>18</v>
      </c>
    </row>
    <row r="2900" spans="1:9" x14ac:dyDescent="0.2">
      <c r="A2900" s="10" t="s">
        <v>11437</v>
      </c>
      <c r="B2900" s="10">
        <v>5240.3885634762501</v>
      </c>
      <c r="C2900" s="10">
        <v>1.1761335168143301</v>
      </c>
      <c r="D2900" s="10">
        <v>0.28980040293638698</v>
      </c>
      <c r="E2900" s="10">
        <v>4.0584260922249404</v>
      </c>
      <c r="F2900" s="4">
        <v>4.9404563948999997E-5</v>
      </c>
      <c r="G2900" s="10">
        <v>4.34535596551432E-4</v>
      </c>
      <c r="H2900" s="10" t="s">
        <v>11438</v>
      </c>
      <c r="I2900" s="10" t="s">
        <v>18</v>
      </c>
    </row>
    <row r="2901" spans="1:9" x14ac:dyDescent="0.2">
      <c r="A2901" s="10" t="s">
        <v>11439</v>
      </c>
      <c r="B2901" s="10">
        <v>473.714660926188</v>
      </c>
      <c r="C2901" s="10">
        <v>-1.0201558340999901</v>
      </c>
      <c r="D2901" s="10">
        <v>0.29978096593750497</v>
      </c>
      <c r="E2901" s="10">
        <v>-3.4030040263218502</v>
      </c>
      <c r="F2901" s="10">
        <v>6.6649298356698098E-4</v>
      </c>
      <c r="G2901" s="10">
        <v>4.3032933782411204E-3</v>
      </c>
      <c r="H2901" s="10" t="s">
        <v>11440</v>
      </c>
      <c r="I2901" s="10" t="s">
        <v>18</v>
      </c>
    </row>
    <row r="2902" spans="1:9" x14ac:dyDescent="0.2">
      <c r="A2902" s="10" t="s">
        <v>7968</v>
      </c>
      <c r="B2902" s="10">
        <v>82.106840637595894</v>
      </c>
      <c r="C2902" s="10">
        <v>1.2355636738351801</v>
      </c>
      <c r="D2902" s="10">
        <v>0.44775983820621501</v>
      </c>
      <c r="E2902" s="10">
        <v>2.7594338938146299</v>
      </c>
      <c r="F2902" s="10">
        <v>5.7901600459163696E-3</v>
      </c>
      <c r="G2902" s="10">
        <v>2.67054411358684E-2</v>
      </c>
      <c r="H2902" s="10" t="s">
        <v>7969</v>
      </c>
      <c r="I2902" s="10" t="s">
        <v>18</v>
      </c>
    </row>
    <row r="2903" spans="1:9" x14ac:dyDescent="0.2">
      <c r="A2903" s="10" t="s">
        <v>7970</v>
      </c>
      <c r="B2903" s="10">
        <v>4735.2894595950102</v>
      </c>
      <c r="C2903" s="10">
        <v>-1.5346852224379199</v>
      </c>
      <c r="D2903" s="10">
        <v>0.27353806031903399</v>
      </c>
      <c r="E2903" s="10">
        <v>-5.6104997624388497</v>
      </c>
      <c r="F2903" s="4">
        <v>2.01743149441737E-8</v>
      </c>
      <c r="G2903" s="4">
        <v>3.3809786303843499E-7</v>
      </c>
      <c r="H2903" s="10" t="s">
        <v>7971</v>
      </c>
      <c r="I2903" s="10" t="s">
        <v>18</v>
      </c>
    </row>
    <row r="2904" spans="1:9" x14ac:dyDescent="0.2">
      <c r="A2904" s="10" t="s">
        <v>7972</v>
      </c>
      <c r="B2904" s="10">
        <v>440.690706481022</v>
      </c>
      <c r="C2904" s="10">
        <v>3.8428472720753599</v>
      </c>
      <c r="D2904" s="10">
        <v>0.30574620593741503</v>
      </c>
      <c r="E2904" s="10">
        <v>12.5687488428294</v>
      </c>
      <c r="F2904" s="4">
        <v>3.1364819736532501E-36</v>
      </c>
      <c r="G2904" s="4">
        <v>4.2418389272713696E-34</v>
      </c>
      <c r="H2904" s="10" t="s">
        <v>7973</v>
      </c>
      <c r="I2904" s="10" t="s">
        <v>18</v>
      </c>
    </row>
    <row r="2905" spans="1:9" x14ac:dyDescent="0.2">
      <c r="A2905" s="10" t="s">
        <v>7974</v>
      </c>
      <c r="B2905" s="10">
        <v>136.73425930718</v>
      </c>
      <c r="C2905" s="10">
        <v>-1.49248427578562</v>
      </c>
      <c r="D2905" s="10">
        <v>0.41803505902103999</v>
      </c>
      <c r="E2905" s="10">
        <v>-3.5702370975313502</v>
      </c>
      <c r="F2905" s="10">
        <v>3.5665825688301902E-4</v>
      </c>
      <c r="G2905" s="10">
        <v>2.4942280933812401E-3</v>
      </c>
      <c r="H2905" s="10" t="s">
        <v>7975</v>
      </c>
      <c r="I2905" s="10" t="s">
        <v>18</v>
      </c>
    </row>
    <row r="2906" spans="1:9" x14ac:dyDescent="0.2">
      <c r="A2906" s="10" t="s">
        <v>11441</v>
      </c>
      <c r="B2906" s="10">
        <v>742.61513126179898</v>
      </c>
      <c r="C2906" s="10">
        <v>-1.11832011773103</v>
      </c>
      <c r="D2906" s="10">
        <v>0.31309732833708798</v>
      </c>
      <c r="E2906" s="10">
        <v>-3.5717970628194502</v>
      </c>
      <c r="F2906" s="10">
        <v>3.5454009813906901E-4</v>
      </c>
      <c r="G2906" s="10">
        <v>2.4821753878898601E-3</v>
      </c>
      <c r="H2906" s="10" t="s">
        <v>11442</v>
      </c>
      <c r="I2906" s="10" t="s">
        <v>18</v>
      </c>
    </row>
    <row r="2907" spans="1:9" x14ac:dyDescent="0.2">
      <c r="A2907" s="10" t="s">
        <v>7976</v>
      </c>
      <c r="B2907" s="10">
        <v>19.3797165625495</v>
      </c>
      <c r="C2907" s="10">
        <v>3.0379142143328601</v>
      </c>
      <c r="D2907" s="10">
        <v>0.86466404254168805</v>
      </c>
      <c r="E2907" s="10">
        <v>3.5134041256103199</v>
      </c>
      <c r="F2907" s="10">
        <v>4.4240403918828399E-4</v>
      </c>
      <c r="G2907" s="10">
        <v>3.0093763130831E-3</v>
      </c>
      <c r="H2907" s="10" t="s">
        <v>7977</v>
      </c>
      <c r="I2907" s="10" t="s">
        <v>18</v>
      </c>
    </row>
    <row r="2908" spans="1:9" x14ac:dyDescent="0.2">
      <c r="A2908" s="10" t="s">
        <v>7978</v>
      </c>
      <c r="B2908" s="10">
        <v>10.137697553048801</v>
      </c>
      <c r="C2908" s="10">
        <v>3.2732903443851402</v>
      </c>
      <c r="D2908" s="10">
        <v>1.2015755939153501</v>
      </c>
      <c r="E2908" s="10">
        <v>2.7241651386402501</v>
      </c>
      <c r="F2908" s="10">
        <v>6.4464264612732998E-3</v>
      </c>
      <c r="G2908" s="10">
        <v>2.92193137851211E-2</v>
      </c>
      <c r="H2908" s="10" t="s">
        <v>7979</v>
      </c>
      <c r="I2908" s="10" t="s">
        <v>18</v>
      </c>
    </row>
    <row r="2909" spans="1:9" x14ac:dyDescent="0.2">
      <c r="A2909" s="10" t="s">
        <v>7980</v>
      </c>
      <c r="B2909" s="10">
        <v>208.79144283219699</v>
      </c>
      <c r="C2909" s="10">
        <v>7.7899795098625804</v>
      </c>
      <c r="D2909" s="10">
        <v>0.79463532940342996</v>
      </c>
      <c r="E2909" s="10">
        <v>9.8032131489936098</v>
      </c>
      <c r="F2909" s="4">
        <v>1.0906007586439501E-22</v>
      </c>
      <c r="G2909" s="4">
        <v>6.9806773749843807E-21</v>
      </c>
      <c r="H2909" s="10" t="s">
        <v>7981</v>
      </c>
      <c r="I2909" s="10" t="s">
        <v>18</v>
      </c>
    </row>
    <row r="2910" spans="1:9" x14ac:dyDescent="0.2">
      <c r="A2910" s="10" t="s">
        <v>7982</v>
      </c>
      <c r="B2910" s="10">
        <v>1087.4575972381799</v>
      </c>
      <c r="C2910" s="10">
        <v>8.3605466642260104</v>
      </c>
      <c r="D2910" s="10">
        <v>0.47811939569991502</v>
      </c>
      <c r="E2910" s="10">
        <v>17.486315634585502</v>
      </c>
      <c r="F2910" s="4">
        <v>1.82159961086525E-68</v>
      </c>
      <c r="G2910" s="4">
        <v>9.1644676422630697E-66</v>
      </c>
      <c r="H2910" s="10" t="s">
        <v>7983</v>
      </c>
      <c r="I2910" s="10" t="s">
        <v>18</v>
      </c>
    </row>
    <row r="2911" spans="1:9" x14ac:dyDescent="0.2">
      <c r="A2911" s="10" t="s">
        <v>7984</v>
      </c>
      <c r="B2911" s="10">
        <v>61.304236280804297</v>
      </c>
      <c r="C2911" s="10">
        <v>1.89536991030322</v>
      </c>
      <c r="D2911" s="10">
        <v>0.48755036565437099</v>
      </c>
      <c r="E2911" s="10">
        <v>3.8875366399517102</v>
      </c>
      <c r="F2911" s="10">
        <v>1.01266705280957E-4</v>
      </c>
      <c r="G2911" s="10">
        <v>8.2120050655785904E-4</v>
      </c>
      <c r="H2911" s="10" t="s">
        <v>7985</v>
      </c>
      <c r="I2911" s="10" t="s">
        <v>18</v>
      </c>
    </row>
    <row r="2912" spans="1:9" x14ac:dyDescent="0.2">
      <c r="A2912" s="10" t="s">
        <v>11443</v>
      </c>
      <c r="B2912" s="10">
        <v>23592.0324139431</v>
      </c>
      <c r="C2912" s="10">
        <v>2.6919426438406902</v>
      </c>
      <c r="D2912" s="10">
        <v>0.29161410696985601</v>
      </c>
      <c r="E2912" s="10">
        <v>9.2311811380200393</v>
      </c>
      <c r="F2912" s="4">
        <v>2.6766384436764599E-20</v>
      </c>
      <c r="G2912" s="4">
        <v>1.4733225394022201E-18</v>
      </c>
      <c r="H2912" s="10" t="s">
        <v>11444</v>
      </c>
      <c r="I2912" s="10" t="s">
        <v>18</v>
      </c>
    </row>
    <row r="2913" spans="1:9" x14ac:dyDescent="0.2">
      <c r="A2913" s="10" t="s">
        <v>7988</v>
      </c>
      <c r="B2913" s="10">
        <v>3398.0443293252802</v>
      </c>
      <c r="C2913" s="10">
        <v>2.4973099352691199</v>
      </c>
      <c r="D2913" s="10">
        <v>0.29678589375893899</v>
      </c>
      <c r="E2913" s="10">
        <v>8.4145169557739692</v>
      </c>
      <c r="F2913" s="4">
        <v>3.9451721018009902E-17</v>
      </c>
      <c r="G2913" s="4">
        <v>1.7502787340529799E-15</v>
      </c>
      <c r="H2913" s="10" t="s">
        <v>7989</v>
      </c>
      <c r="I2913" s="10" t="s">
        <v>18</v>
      </c>
    </row>
    <row r="2914" spans="1:9" x14ac:dyDescent="0.2">
      <c r="A2914" s="10" t="s">
        <v>7994</v>
      </c>
      <c r="B2914" s="10">
        <v>101.843060386327</v>
      </c>
      <c r="C2914" s="10">
        <v>-1.11676839011792</v>
      </c>
      <c r="D2914" s="10">
        <v>0.44329976791589198</v>
      </c>
      <c r="E2914" s="10">
        <v>-2.5192171775055101</v>
      </c>
      <c r="F2914" s="10">
        <v>1.17616086481417E-2</v>
      </c>
      <c r="G2914" s="10">
        <v>4.8272681602872403E-2</v>
      </c>
      <c r="H2914" s="10" t="s">
        <v>7995</v>
      </c>
      <c r="I2914" s="10" t="s">
        <v>18</v>
      </c>
    </row>
    <row r="2915" spans="1:9" x14ac:dyDescent="0.2">
      <c r="A2915" s="10" t="s">
        <v>7996</v>
      </c>
      <c r="B2915" s="10">
        <v>1202.4581281043199</v>
      </c>
      <c r="C2915" s="10">
        <v>-1.02114865567725</v>
      </c>
      <c r="D2915" s="10">
        <v>0.28144256094382503</v>
      </c>
      <c r="E2915" s="10">
        <v>-3.6282666425887999</v>
      </c>
      <c r="F2915" s="10">
        <v>2.8533049046941501E-4</v>
      </c>
      <c r="G2915" s="10">
        <v>2.04953983088468E-3</v>
      </c>
      <c r="H2915" s="10" t="s">
        <v>7997</v>
      </c>
      <c r="I2915" s="10" t="s">
        <v>18</v>
      </c>
    </row>
    <row r="2916" spans="1:9" x14ac:dyDescent="0.2">
      <c r="A2916" s="10" t="s">
        <v>8004</v>
      </c>
      <c r="B2916" s="10">
        <v>82.9455313310403</v>
      </c>
      <c r="C2916" s="10">
        <v>1.3862224360486299</v>
      </c>
      <c r="D2916" s="10">
        <v>0.51971599038322502</v>
      </c>
      <c r="E2916" s="10">
        <v>2.66726916565809</v>
      </c>
      <c r="F2916" s="10">
        <v>7.6470400213999997E-3</v>
      </c>
      <c r="G2916" s="10">
        <v>3.3718017833184399E-2</v>
      </c>
      <c r="H2916" s="10" t="s">
        <v>8005</v>
      </c>
      <c r="I2916" s="10" t="s">
        <v>18</v>
      </c>
    </row>
    <row r="2917" spans="1:9" x14ac:dyDescent="0.2">
      <c r="A2917" s="10" t="s">
        <v>8008</v>
      </c>
      <c r="B2917" s="10">
        <v>694.21304976820602</v>
      </c>
      <c r="C2917" s="10">
        <v>2.6468465673969201</v>
      </c>
      <c r="D2917" s="10">
        <v>0.29050670485834801</v>
      </c>
      <c r="E2917" s="10">
        <v>9.1111376196550307</v>
      </c>
      <c r="F2917" s="4">
        <v>8.1522595635483001E-20</v>
      </c>
      <c r="G2917" s="4">
        <v>4.3172650383380502E-18</v>
      </c>
      <c r="H2917" s="10" t="s">
        <v>8009</v>
      </c>
      <c r="I2917" s="10" t="s">
        <v>18</v>
      </c>
    </row>
    <row r="2918" spans="1:9" x14ac:dyDescent="0.2">
      <c r="A2918" s="10" t="s">
        <v>8020</v>
      </c>
      <c r="B2918" s="10">
        <v>389.770275562194</v>
      </c>
      <c r="C2918" s="10">
        <v>3.0327662796474901</v>
      </c>
      <c r="D2918" s="10">
        <v>0.372178936404302</v>
      </c>
      <c r="E2918" s="10">
        <v>8.1486779153803592</v>
      </c>
      <c r="F2918" s="4">
        <v>3.6792444258718502E-16</v>
      </c>
      <c r="G2918" s="4">
        <v>1.49759536460852E-14</v>
      </c>
      <c r="H2918" s="10" t="s">
        <v>8021</v>
      </c>
      <c r="I2918" s="10" t="s">
        <v>18</v>
      </c>
    </row>
    <row r="2919" spans="1:9" x14ac:dyDescent="0.2">
      <c r="A2919" s="10" t="s">
        <v>11445</v>
      </c>
      <c r="B2919" s="10">
        <v>1232.9724080348101</v>
      </c>
      <c r="C2919" s="10">
        <v>-1.9177674807785901</v>
      </c>
      <c r="D2919" s="10">
        <v>0.277242497000803</v>
      </c>
      <c r="E2919" s="10">
        <v>-6.9172926283846099</v>
      </c>
      <c r="F2919" s="4">
        <v>4.6035653823536604E-12</v>
      </c>
      <c r="G2919" s="4">
        <v>1.2414187209821699E-10</v>
      </c>
      <c r="H2919" s="10" t="s">
        <v>11446</v>
      </c>
      <c r="I2919" s="10" t="s">
        <v>18</v>
      </c>
    </row>
    <row r="2920" spans="1:9" x14ac:dyDescent="0.2">
      <c r="A2920" s="10" t="s">
        <v>11447</v>
      </c>
      <c r="B2920" s="10">
        <v>2183.0989585406701</v>
      </c>
      <c r="C2920" s="10">
        <v>-1.3223558687244199</v>
      </c>
      <c r="D2920" s="10">
        <v>0.24160370161907699</v>
      </c>
      <c r="E2920" s="10">
        <v>-5.47324341416466</v>
      </c>
      <c r="F2920" s="4">
        <v>4.4187249969350799E-8</v>
      </c>
      <c r="G2920" s="4">
        <v>6.9995609129661202E-7</v>
      </c>
      <c r="H2920" s="10" t="s">
        <v>11448</v>
      </c>
      <c r="I2920" s="10" t="s">
        <v>18</v>
      </c>
    </row>
    <row r="2921" spans="1:9" x14ac:dyDescent="0.2">
      <c r="A2921" s="10" t="s">
        <v>8024</v>
      </c>
      <c r="B2921" s="10">
        <v>1118.21375096666</v>
      </c>
      <c r="C2921" s="10">
        <v>-1.5741799363360001</v>
      </c>
      <c r="D2921" s="10">
        <v>0.26642247931266899</v>
      </c>
      <c r="E2921" s="10">
        <v>-5.9085852680192401</v>
      </c>
      <c r="F2921" s="4">
        <v>3.45058195576581E-9</v>
      </c>
      <c r="G2921" s="4">
        <v>6.5262698569390301E-8</v>
      </c>
      <c r="H2921" s="10" t="s">
        <v>8025</v>
      </c>
      <c r="I2921" s="10" t="s">
        <v>18</v>
      </c>
    </row>
    <row r="2922" spans="1:9" x14ac:dyDescent="0.2">
      <c r="A2922" s="10" t="s">
        <v>8026</v>
      </c>
      <c r="B2922" s="10">
        <v>133.70856736947201</v>
      </c>
      <c r="C2922" s="10">
        <v>-2.7942381412281398</v>
      </c>
      <c r="D2922" s="10">
        <v>0.42183886847160101</v>
      </c>
      <c r="E2922" s="10">
        <v>-6.6239466063243002</v>
      </c>
      <c r="F2922" s="4">
        <v>3.4973313596264197E-11</v>
      </c>
      <c r="G2922" s="4">
        <v>8.4510442220367496E-10</v>
      </c>
      <c r="H2922" s="10" t="s">
        <v>8027</v>
      </c>
      <c r="I2922" s="10" t="s">
        <v>18</v>
      </c>
    </row>
    <row r="2923" spans="1:9" x14ac:dyDescent="0.2">
      <c r="A2923" s="10" t="s">
        <v>11449</v>
      </c>
      <c r="B2923" s="10">
        <v>1655.3703018091101</v>
      </c>
      <c r="C2923" s="10">
        <v>2.7866274836696201</v>
      </c>
      <c r="D2923" s="10">
        <v>0.265551531928997</v>
      </c>
      <c r="E2923" s="10">
        <v>10.4937352966004</v>
      </c>
      <c r="F2923" s="4">
        <v>9.23055100900587E-26</v>
      </c>
      <c r="G2923" s="4">
        <v>7.5633391085192998E-24</v>
      </c>
      <c r="H2923" s="10" t="s">
        <v>11450</v>
      </c>
      <c r="I2923" s="10" t="s">
        <v>18</v>
      </c>
    </row>
    <row r="2924" spans="1:9" x14ac:dyDescent="0.2">
      <c r="A2924" s="10" t="s">
        <v>11451</v>
      </c>
      <c r="B2924" s="10">
        <v>1335.91059690008</v>
      </c>
      <c r="C2924" s="10">
        <v>1.2813593889653301</v>
      </c>
      <c r="D2924" s="10">
        <v>0.29050606685991998</v>
      </c>
      <c r="E2924" s="10">
        <v>4.4107835778286697</v>
      </c>
      <c r="F2924" s="4">
        <v>1.0299722221162101E-5</v>
      </c>
      <c r="G2924" s="10">
        <v>1.05173305171508E-4</v>
      </c>
      <c r="H2924" s="10" t="s">
        <v>11452</v>
      </c>
      <c r="I2924" s="10" t="s">
        <v>18</v>
      </c>
    </row>
    <row r="2925" spans="1:9" x14ac:dyDescent="0.2">
      <c r="A2925" s="10" t="s">
        <v>8036</v>
      </c>
      <c r="B2925" s="10">
        <v>553.17326989545597</v>
      </c>
      <c r="C2925" s="10">
        <v>-1.40471650773459</v>
      </c>
      <c r="D2925" s="10">
        <v>0.31695416474357502</v>
      </c>
      <c r="E2925" s="10">
        <v>-4.4319231737214997</v>
      </c>
      <c r="F2925" s="4">
        <v>9.3396297789322696E-6</v>
      </c>
      <c r="G2925" s="4">
        <v>9.6325701963526596E-5</v>
      </c>
      <c r="H2925" s="10" t="s">
        <v>8037</v>
      </c>
      <c r="I2925" s="10" t="s">
        <v>18</v>
      </c>
    </row>
    <row r="2926" spans="1:9" x14ac:dyDescent="0.2">
      <c r="A2926" s="10" t="s">
        <v>8038</v>
      </c>
      <c r="B2926" s="10">
        <v>6857.2276848138999</v>
      </c>
      <c r="C2926" s="10">
        <v>-1.2485746375998401</v>
      </c>
      <c r="D2926" s="10">
        <v>0.28286498679983002</v>
      </c>
      <c r="E2926" s="10">
        <v>-4.4140303532278402</v>
      </c>
      <c r="F2926" s="4">
        <v>1.0146372354383E-5</v>
      </c>
      <c r="G2926" s="10">
        <v>1.03710685320807E-4</v>
      </c>
      <c r="H2926" s="10" t="s">
        <v>8039</v>
      </c>
      <c r="I2926" s="10" t="s">
        <v>18</v>
      </c>
    </row>
    <row r="2927" spans="1:9" x14ac:dyDescent="0.2">
      <c r="A2927" s="10" t="s">
        <v>8040</v>
      </c>
      <c r="B2927" s="10">
        <v>301.15199010399903</v>
      </c>
      <c r="C2927" s="10">
        <v>2.57444921699916</v>
      </c>
      <c r="D2927" s="10">
        <v>0.35977959346689597</v>
      </c>
      <c r="E2927" s="10">
        <v>7.1556287898136297</v>
      </c>
      <c r="F2927" s="4">
        <v>8.3290249441849203E-13</v>
      </c>
      <c r="G2927" s="4">
        <v>2.41657004003427E-11</v>
      </c>
      <c r="H2927" s="10" t="s">
        <v>8041</v>
      </c>
      <c r="I2927" s="10" t="s">
        <v>18</v>
      </c>
    </row>
    <row r="2928" spans="1:9" x14ac:dyDescent="0.2">
      <c r="A2928" s="10" t="s">
        <v>8050</v>
      </c>
      <c r="B2928" s="10">
        <v>1390.24277412077</v>
      </c>
      <c r="C2928" s="10">
        <v>-1.12536268250255</v>
      </c>
      <c r="D2928" s="10">
        <v>0.29157034620424299</v>
      </c>
      <c r="E2928" s="10">
        <v>-3.8596609605636898</v>
      </c>
      <c r="F2928" s="10">
        <v>1.13544447801953E-4</v>
      </c>
      <c r="G2928" s="10">
        <v>9.0908452804644197E-4</v>
      </c>
      <c r="H2928" s="10" t="s">
        <v>8051</v>
      </c>
      <c r="I2928" s="10" t="s">
        <v>18</v>
      </c>
    </row>
    <row r="2929" spans="1:9" x14ac:dyDescent="0.2">
      <c r="A2929" s="10" t="s">
        <v>8052</v>
      </c>
      <c r="B2929" s="10">
        <v>22.964751131681599</v>
      </c>
      <c r="C2929" s="10">
        <v>-1.9525222148799699</v>
      </c>
      <c r="D2929" s="10">
        <v>0.775727994290488</v>
      </c>
      <c r="E2929" s="10">
        <v>-2.5170191474987602</v>
      </c>
      <c r="F2929" s="10">
        <v>1.1835239709723199E-2</v>
      </c>
      <c r="G2929" s="10">
        <v>4.8487859103922899E-2</v>
      </c>
      <c r="H2929" s="10" t="s">
        <v>8053</v>
      </c>
      <c r="I2929" s="10" t="s">
        <v>18</v>
      </c>
    </row>
    <row r="2930" spans="1:9" x14ac:dyDescent="0.2">
      <c r="A2930" s="10" t="s">
        <v>8056</v>
      </c>
      <c r="B2930" s="10">
        <v>240.89333411074199</v>
      </c>
      <c r="C2930" s="10">
        <v>-3.1588596455567202</v>
      </c>
      <c r="D2930" s="10">
        <v>0.41793433526051599</v>
      </c>
      <c r="E2930" s="10">
        <v>-7.5582678403000099</v>
      </c>
      <c r="F2930" s="4">
        <v>4.0847227255438101E-14</v>
      </c>
      <c r="G2930" s="4">
        <v>1.3591428592732101E-12</v>
      </c>
      <c r="H2930" s="10" t="s">
        <v>8057</v>
      </c>
      <c r="I2930" s="10" t="s">
        <v>18</v>
      </c>
    </row>
    <row r="2931" spans="1:9" x14ac:dyDescent="0.2">
      <c r="A2931" s="10" t="s">
        <v>11453</v>
      </c>
      <c r="B2931" s="10">
        <v>30.4927104953968</v>
      </c>
      <c r="C2931" s="10">
        <v>-2.5866912823701602</v>
      </c>
      <c r="D2931" s="10">
        <v>0.69329111690552503</v>
      </c>
      <c r="E2931" s="10">
        <v>-3.7310319132830401</v>
      </c>
      <c r="F2931" s="10">
        <v>1.9069706249030501E-4</v>
      </c>
      <c r="G2931" s="10">
        <v>1.43364752150138E-3</v>
      </c>
      <c r="H2931" s="10" t="s">
        <v>11454</v>
      </c>
      <c r="I2931" s="10" t="s">
        <v>18</v>
      </c>
    </row>
    <row r="2932" spans="1:9" x14ac:dyDescent="0.2">
      <c r="A2932" s="10" t="s">
        <v>8058</v>
      </c>
      <c r="B2932" s="10">
        <v>1757.0844945614799</v>
      </c>
      <c r="C2932" s="10">
        <v>6.3933446414228801</v>
      </c>
      <c r="D2932" s="10">
        <v>0.30348123958090401</v>
      </c>
      <c r="E2932" s="10">
        <v>21.066688175690398</v>
      </c>
      <c r="F2932" s="4">
        <v>1.6079156215113601E-98</v>
      </c>
      <c r="G2932" s="4">
        <v>2.5279448411948899E-95</v>
      </c>
      <c r="H2932" s="10" t="s">
        <v>8059</v>
      </c>
      <c r="I2932" s="10" t="s">
        <v>18</v>
      </c>
    </row>
    <row r="2933" spans="1:9" x14ac:dyDescent="0.2">
      <c r="A2933" s="10" t="s">
        <v>8060</v>
      </c>
      <c r="B2933" s="10">
        <v>157.91310280265799</v>
      </c>
      <c r="C2933" s="10">
        <v>-2.8242371226489298</v>
      </c>
      <c r="D2933" s="10">
        <v>0.39786401393134901</v>
      </c>
      <c r="E2933" s="10">
        <v>-7.0984985416053599</v>
      </c>
      <c r="F2933" s="4">
        <v>1.26119518515823E-12</v>
      </c>
      <c r="G2933" s="4">
        <v>3.5969801454257602E-11</v>
      </c>
      <c r="H2933" s="10" t="s">
        <v>8061</v>
      </c>
      <c r="I2933" s="10" t="s">
        <v>18</v>
      </c>
    </row>
    <row r="2934" spans="1:9" x14ac:dyDescent="0.2">
      <c r="A2934" s="10" t="s">
        <v>11455</v>
      </c>
      <c r="B2934" s="10">
        <v>12.0046756001968</v>
      </c>
      <c r="C2934" s="10">
        <v>-3.0821978291024301</v>
      </c>
      <c r="D2934" s="10">
        <v>1.1152495178508599</v>
      </c>
      <c r="E2934" s="10">
        <v>-2.7636845206102101</v>
      </c>
      <c r="F2934" s="10">
        <v>5.7152767579795203E-3</v>
      </c>
      <c r="G2934" s="10">
        <v>2.64279019939292E-2</v>
      </c>
      <c r="H2934" s="10" t="s">
        <v>11456</v>
      </c>
      <c r="I2934" s="10" t="s">
        <v>18</v>
      </c>
    </row>
    <row r="2935" spans="1:9" x14ac:dyDescent="0.2">
      <c r="A2935" s="10" t="s">
        <v>8064</v>
      </c>
      <c r="B2935" s="10">
        <v>1491.5280319732501</v>
      </c>
      <c r="C2935" s="10">
        <v>-1.1965221914356601</v>
      </c>
      <c r="D2935" s="10">
        <v>0.311546018838459</v>
      </c>
      <c r="E2935" s="10">
        <v>-3.8405953505574</v>
      </c>
      <c r="F2935" s="10">
        <v>1.2273628714257201E-4</v>
      </c>
      <c r="G2935" s="10">
        <v>9.73032241749574E-4</v>
      </c>
      <c r="H2935" s="10" t="s">
        <v>8065</v>
      </c>
      <c r="I2935" s="10" t="s">
        <v>18</v>
      </c>
    </row>
    <row r="2936" spans="1:9" x14ac:dyDescent="0.2">
      <c r="A2936" s="10" t="s">
        <v>8068</v>
      </c>
      <c r="B2936" s="10">
        <v>1309.15422062892</v>
      </c>
      <c r="C2936" s="10">
        <v>-1.22029255299877</v>
      </c>
      <c r="D2936" s="10">
        <v>0.30719325520164598</v>
      </c>
      <c r="E2936" s="10">
        <v>-3.97239370440523</v>
      </c>
      <c r="F2936" s="4">
        <v>7.1153990295419901E-5</v>
      </c>
      <c r="G2936" s="10">
        <v>6.0063041136956005E-4</v>
      </c>
      <c r="H2936" s="10" t="s">
        <v>8069</v>
      </c>
      <c r="I2936" s="10" t="s">
        <v>18</v>
      </c>
    </row>
    <row r="2937" spans="1:9" x14ac:dyDescent="0.2">
      <c r="A2937" s="10" t="s">
        <v>11457</v>
      </c>
      <c r="B2937" s="10">
        <v>699.37757675867101</v>
      </c>
      <c r="C2937" s="10">
        <v>-1.0605285762200301</v>
      </c>
      <c r="D2937" s="10">
        <v>0.26228491587649</v>
      </c>
      <c r="E2937" s="10">
        <v>-4.0434219126784798</v>
      </c>
      <c r="F2937" s="4">
        <v>5.2676705344241397E-5</v>
      </c>
      <c r="G2937" s="10">
        <v>4.60098098241108E-4</v>
      </c>
      <c r="H2937" s="10" t="s">
        <v>11458</v>
      </c>
      <c r="I2937" s="10" t="s">
        <v>18</v>
      </c>
    </row>
    <row r="2938" spans="1:9" x14ac:dyDescent="0.2">
      <c r="A2938" s="10" t="s">
        <v>11459</v>
      </c>
      <c r="B2938" s="10">
        <v>57.250216889502198</v>
      </c>
      <c r="C2938" s="10">
        <v>-1.7348470148667501</v>
      </c>
      <c r="D2938" s="10">
        <v>0.54760536170873397</v>
      </c>
      <c r="E2938" s="10">
        <v>-3.1680606805115699</v>
      </c>
      <c r="F2938" s="10">
        <v>1.5345948663003899E-3</v>
      </c>
      <c r="G2938" s="10">
        <v>8.7873284456604708E-3</v>
      </c>
      <c r="H2938" s="10" t="s">
        <v>11460</v>
      </c>
      <c r="I2938" s="10" t="s">
        <v>18</v>
      </c>
    </row>
    <row r="2939" spans="1:9" x14ac:dyDescent="0.2">
      <c r="A2939" s="10" t="s">
        <v>8074</v>
      </c>
      <c r="B2939" s="10">
        <v>394.63362809846399</v>
      </c>
      <c r="C2939" s="10">
        <v>1.44379222577191</v>
      </c>
      <c r="D2939" s="10">
        <v>0.31707671661243902</v>
      </c>
      <c r="E2939" s="10">
        <v>4.5534476362597402</v>
      </c>
      <c r="F2939" s="4">
        <v>5.27738121361958E-6</v>
      </c>
      <c r="G2939" s="4">
        <v>5.7593286086160799E-5</v>
      </c>
      <c r="H2939" s="10" t="s">
        <v>8075</v>
      </c>
      <c r="I2939" s="10" t="s">
        <v>18</v>
      </c>
    </row>
    <row r="2940" spans="1:9" x14ac:dyDescent="0.2">
      <c r="A2940" s="10" t="s">
        <v>8076</v>
      </c>
      <c r="B2940" s="10">
        <v>103.94979031182601</v>
      </c>
      <c r="C2940" s="10">
        <v>4.14791493200799</v>
      </c>
      <c r="D2940" s="10">
        <v>0.52579969677938698</v>
      </c>
      <c r="E2940" s="10">
        <v>7.8887739141248598</v>
      </c>
      <c r="F2940" s="4">
        <v>3.0516979843785001E-15</v>
      </c>
      <c r="G2940" s="4">
        <v>1.135583769187E-13</v>
      </c>
      <c r="H2940" s="10" t="s">
        <v>8077</v>
      </c>
      <c r="I2940" s="10" t="s">
        <v>18</v>
      </c>
    </row>
    <row r="2941" spans="1:9" x14ac:dyDescent="0.2">
      <c r="A2941" s="10" t="s">
        <v>8082</v>
      </c>
      <c r="B2941" s="10">
        <v>28.245378270765901</v>
      </c>
      <c r="C2941" s="10">
        <v>5.3042675536395603</v>
      </c>
      <c r="D2941" s="10">
        <v>1.0510600560899599</v>
      </c>
      <c r="E2941" s="10">
        <v>5.0465884636239702</v>
      </c>
      <c r="F2941" s="4">
        <v>4.4976869150855001E-7</v>
      </c>
      <c r="G2941" s="4">
        <v>6.01804863558381E-6</v>
      </c>
      <c r="H2941" s="10" t="s">
        <v>8083</v>
      </c>
      <c r="I2941" s="10" t="s">
        <v>18</v>
      </c>
    </row>
    <row r="2942" spans="1:9" x14ac:dyDescent="0.2">
      <c r="A2942" s="10" t="s">
        <v>8088</v>
      </c>
      <c r="B2942" s="10">
        <v>135.12194893794401</v>
      </c>
      <c r="C2942" s="10">
        <v>3.1571491102648102</v>
      </c>
      <c r="D2942" s="10">
        <v>0.399239361115936</v>
      </c>
      <c r="E2942" s="10">
        <v>7.9079104360854702</v>
      </c>
      <c r="F2942" s="4">
        <v>2.6174500809799099E-15</v>
      </c>
      <c r="G2942" s="4">
        <v>9.8271577294103799E-14</v>
      </c>
      <c r="H2942" s="10" t="s">
        <v>8089</v>
      </c>
      <c r="I2942" s="10" t="s">
        <v>18</v>
      </c>
    </row>
    <row r="2943" spans="1:9" x14ac:dyDescent="0.2">
      <c r="A2943" s="10" t="s">
        <v>8090</v>
      </c>
      <c r="B2943" s="10">
        <v>358.87584473074702</v>
      </c>
      <c r="C2943" s="10">
        <v>2.71229889879395</v>
      </c>
      <c r="D2943" s="10">
        <v>0.37830151588303101</v>
      </c>
      <c r="E2943" s="10">
        <v>7.1696749415949403</v>
      </c>
      <c r="F2943" s="4">
        <v>7.5176048359588199E-13</v>
      </c>
      <c r="G2943" s="4">
        <v>2.1937975597278901E-11</v>
      </c>
      <c r="H2943" s="10" t="s">
        <v>8091</v>
      </c>
      <c r="I2943" s="10" t="s">
        <v>18</v>
      </c>
    </row>
    <row r="2944" spans="1:9" x14ac:dyDescent="0.2">
      <c r="A2944" s="10" t="s">
        <v>8094</v>
      </c>
      <c r="B2944" s="10">
        <v>44.8133504141976</v>
      </c>
      <c r="C2944" s="10">
        <v>1.6033435557733799</v>
      </c>
      <c r="D2944" s="10">
        <v>0.54084538998447296</v>
      </c>
      <c r="E2944" s="10">
        <v>2.9645136770407001</v>
      </c>
      <c r="F2944" s="10">
        <v>3.0316176657766299E-3</v>
      </c>
      <c r="G2944" s="10">
        <v>1.55569853901696E-2</v>
      </c>
      <c r="H2944" s="10" t="s">
        <v>8095</v>
      </c>
      <c r="I2944" s="10" t="s">
        <v>18</v>
      </c>
    </row>
    <row r="2945" spans="1:9" x14ac:dyDescent="0.2">
      <c r="A2945" s="10" t="s">
        <v>11461</v>
      </c>
      <c r="B2945" s="10">
        <v>85.025625535577404</v>
      </c>
      <c r="C2945" s="10">
        <v>-1.16976970667179</v>
      </c>
      <c r="D2945" s="10">
        <v>0.45541391108949097</v>
      </c>
      <c r="E2945" s="10">
        <v>-2.5685858033483</v>
      </c>
      <c r="F2945" s="10">
        <v>1.0211442881479999E-2</v>
      </c>
      <c r="G2945" s="10">
        <v>4.3026607317190997E-2</v>
      </c>
      <c r="H2945" s="10" t="s">
        <v>11462</v>
      </c>
      <c r="I2945" s="10" t="s">
        <v>18</v>
      </c>
    </row>
    <row r="2946" spans="1:9" x14ac:dyDescent="0.2">
      <c r="A2946" s="10" t="s">
        <v>8096</v>
      </c>
      <c r="B2946" s="10">
        <v>35.750788636970299</v>
      </c>
      <c r="C2946" s="10">
        <v>5.1854850378222803</v>
      </c>
      <c r="D2946" s="10">
        <v>0.91438838546918799</v>
      </c>
      <c r="E2946" s="10">
        <v>5.6709874274720997</v>
      </c>
      <c r="F2946" s="4">
        <v>1.4197681835438899E-8</v>
      </c>
      <c r="G2946" s="4">
        <v>2.44953831666987E-7</v>
      </c>
      <c r="H2946" s="10" t="s">
        <v>8097</v>
      </c>
      <c r="I2946" s="10" t="s">
        <v>18</v>
      </c>
    </row>
    <row r="2947" spans="1:9" x14ac:dyDescent="0.2">
      <c r="A2947" s="10" t="s">
        <v>8098</v>
      </c>
      <c r="B2947" s="10">
        <v>333.06415100832498</v>
      </c>
      <c r="C2947" s="10">
        <v>5.2069223748978599</v>
      </c>
      <c r="D2947" s="10">
        <v>0.38631335028660102</v>
      </c>
      <c r="E2947" s="10">
        <v>13.4784945201477</v>
      </c>
      <c r="F2947" s="4">
        <v>2.0933466546133099E-41</v>
      </c>
      <c r="G2947" s="4">
        <v>3.7883550429351002E-39</v>
      </c>
      <c r="H2947" s="10" t="s">
        <v>8099</v>
      </c>
      <c r="I2947" s="10" t="s">
        <v>18</v>
      </c>
    </row>
    <row r="2948" spans="1:9" x14ac:dyDescent="0.2">
      <c r="A2948" s="10" t="s">
        <v>8100</v>
      </c>
      <c r="B2948" s="10">
        <v>1105.9349673978099</v>
      </c>
      <c r="C2948" s="10">
        <v>2.7105276944845298</v>
      </c>
      <c r="D2948" s="10">
        <v>0.30996499583141901</v>
      </c>
      <c r="E2948" s="10">
        <v>8.7446251381195097</v>
      </c>
      <c r="F2948" s="4">
        <v>2.2375726839409301E-18</v>
      </c>
      <c r="G2948" s="4">
        <v>1.07621684253411E-16</v>
      </c>
      <c r="H2948" s="10" t="s">
        <v>8101</v>
      </c>
      <c r="I2948" s="10" t="s">
        <v>18</v>
      </c>
    </row>
    <row r="2949" spans="1:9" x14ac:dyDescent="0.2">
      <c r="A2949" s="10" t="s">
        <v>8106</v>
      </c>
      <c r="B2949" s="10">
        <v>497.96485220252799</v>
      </c>
      <c r="C2949" s="10">
        <v>-1.0683246159786699</v>
      </c>
      <c r="D2949" s="10">
        <v>0.33379351003371899</v>
      </c>
      <c r="E2949" s="10">
        <v>-3.2005553848867501</v>
      </c>
      <c r="F2949" s="10">
        <v>1.3716300546711699E-3</v>
      </c>
      <c r="G2949" s="10">
        <v>7.9776541098851503E-3</v>
      </c>
      <c r="H2949" s="10" t="s">
        <v>8107</v>
      </c>
      <c r="I2949" s="10" t="s">
        <v>18</v>
      </c>
    </row>
    <row r="2950" spans="1:9" x14ac:dyDescent="0.2">
      <c r="A2950" s="10" t="s">
        <v>8110</v>
      </c>
      <c r="B2950" s="10">
        <v>37.730765630762797</v>
      </c>
      <c r="C2950" s="10">
        <v>-1.7148247329795101</v>
      </c>
      <c r="D2950" s="10">
        <v>0.63742098790134005</v>
      </c>
      <c r="E2950" s="10">
        <v>-2.69025458139595</v>
      </c>
      <c r="F2950" s="10">
        <v>7.1397528789150502E-3</v>
      </c>
      <c r="G2950" s="10">
        <v>3.1793323361499003E-2</v>
      </c>
      <c r="H2950" s="10" t="s">
        <v>8111</v>
      </c>
      <c r="I2950" s="10" t="s">
        <v>18</v>
      </c>
    </row>
    <row r="2951" spans="1:9" x14ac:dyDescent="0.2">
      <c r="A2951" s="10" t="s">
        <v>11463</v>
      </c>
      <c r="B2951" s="10">
        <v>1411.2848527537899</v>
      </c>
      <c r="C2951" s="10">
        <v>-1.32452263804406</v>
      </c>
      <c r="D2951" s="10">
        <v>0.29738982875227599</v>
      </c>
      <c r="E2951" s="10">
        <v>-4.45382629123936</v>
      </c>
      <c r="F2951" s="4">
        <v>8.4353355447575707E-6</v>
      </c>
      <c r="G2951" s="4">
        <v>8.8119130244342493E-5</v>
      </c>
      <c r="H2951" s="10" t="s">
        <v>11464</v>
      </c>
      <c r="I2951" s="10" t="s">
        <v>18</v>
      </c>
    </row>
    <row r="2952" spans="1:9" x14ac:dyDescent="0.2">
      <c r="A2952" s="10" t="s">
        <v>8118</v>
      </c>
      <c r="B2952" s="10">
        <v>202.83720785147099</v>
      </c>
      <c r="C2952" s="10">
        <v>1.1600335266017201</v>
      </c>
      <c r="D2952" s="10">
        <v>0.33461662345605298</v>
      </c>
      <c r="E2952" s="10">
        <v>3.4667540262059799</v>
      </c>
      <c r="F2952" s="10">
        <v>5.2678371006464495E-4</v>
      </c>
      <c r="G2952" s="10">
        <v>3.4982165329134501E-3</v>
      </c>
      <c r="H2952" s="10" t="s">
        <v>8119</v>
      </c>
      <c r="I2952" s="10" t="s">
        <v>18</v>
      </c>
    </row>
    <row r="2953" spans="1:9" x14ac:dyDescent="0.2">
      <c r="A2953" s="10" t="s">
        <v>8120</v>
      </c>
      <c r="B2953" s="10">
        <v>3513.42618359479</v>
      </c>
      <c r="C2953" s="10">
        <v>-1.14321124601346</v>
      </c>
      <c r="D2953" s="10">
        <v>0.28344425478203</v>
      </c>
      <c r="E2953" s="10">
        <v>-4.0332842409968501</v>
      </c>
      <c r="F2953" s="4">
        <v>5.5002682065638303E-5</v>
      </c>
      <c r="G2953" s="10">
        <v>4.7825526006260998E-4</v>
      </c>
      <c r="H2953" s="10" t="s">
        <v>8121</v>
      </c>
      <c r="I2953" s="10" t="s">
        <v>18</v>
      </c>
    </row>
    <row r="2954" spans="1:9" x14ac:dyDescent="0.2">
      <c r="A2954" s="10" t="s">
        <v>11465</v>
      </c>
      <c r="B2954" s="10">
        <v>874.79689470116796</v>
      </c>
      <c r="C2954" s="10">
        <v>1.1618762427932401</v>
      </c>
      <c r="D2954" s="10">
        <v>0.281043670197544</v>
      </c>
      <c r="E2954" s="10">
        <v>4.1341484117986598</v>
      </c>
      <c r="F2954" s="4">
        <v>3.5627320220527398E-5</v>
      </c>
      <c r="G2954" s="10">
        <v>3.2353979788713599E-4</v>
      </c>
      <c r="H2954" s="10" t="s">
        <v>11466</v>
      </c>
      <c r="I2954" s="10" t="s">
        <v>18</v>
      </c>
    </row>
    <row r="2955" spans="1:9" x14ac:dyDescent="0.2">
      <c r="A2955" s="10" t="s">
        <v>8128</v>
      </c>
      <c r="B2955" s="10">
        <v>427.39135815742998</v>
      </c>
      <c r="C2955" s="10">
        <v>1.3773997345733699</v>
      </c>
      <c r="D2955" s="10">
        <v>0.305268884515977</v>
      </c>
      <c r="E2955" s="10">
        <v>4.51208689925057</v>
      </c>
      <c r="F2955" s="4">
        <v>6.4192876103201398E-6</v>
      </c>
      <c r="G2955" s="4">
        <v>6.8889581841980802E-5</v>
      </c>
      <c r="H2955" s="10" t="s">
        <v>8129</v>
      </c>
      <c r="I2955" s="10" t="s">
        <v>18</v>
      </c>
    </row>
    <row r="2956" spans="1:9" x14ac:dyDescent="0.2">
      <c r="A2956" s="10" t="s">
        <v>8130</v>
      </c>
      <c r="B2956" s="10">
        <v>948.41770747987903</v>
      </c>
      <c r="C2956" s="10">
        <v>2.38890735371983</v>
      </c>
      <c r="D2956" s="10">
        <v>0.32851569963002097</v>
      </c>
      <c r="E2956" s="10">
        <v>7.2718209705358099</v>
      </c>
      <c r="F2956" s="4">
        <v>3.5467345806620299E-13</v>
      </c>
      <c r="G2956" s="4">
        <v>1.08405964005533E-11</v>
      </c>
      <c r="H2956" s="10" t="s">
        <v>8131</v>
      </c>
      <c r="I2956" s="10" t="s">
        <v>18</v>
      </c>
    </row>
    <row r="2957" spans="1:9" x14ac:dyDescent="0.2">
      <c r="A2957" s="10" t="s">
        <v>8132</v>
      </c>
      <c r="B2957" s="10">
        <v>53.945686994436997</v>
      </c>
      <c r="C2957" s="10">
        <v>2.1343088860512598</v>
      </c>
      <c r="D2957" s="10">
        <v>0.51903960114972103</v>
      </c>
      <c r="E2957" s="10">
        <v>4.1120347682981704</v>
      </c>
      <c r="F2957" s="4">
        <v>3.9218721821358303E-5</v>
      </c>
      <c r="G2957" s="10">
        <v>3.5233819550581E-4</v>
      </c>
      <c r="H2957" s="10" t="s">
        <v>8133</v>
      </c>
      <c r="I2957" s="10" t="s">
        <v>18</v>
      </c>
    </row>
    <row r="2958" spans="1:9" x14ac:dyDescent="0.2">
      <c r="A2958" s="10" t="s">
        <v>8136</v>
      </c>
      <c r="B2958" s="10">
        <v>928.94035689656596</v>
      </c>
      <c r="C2958" s="10">
        <v>1.8535328380734599</v>
      </c>
      <c r="D2958" s="10">
        <v>0.31974433971357302</v>
      </c>
      <c r="E2958" s="10">
        <v>5.7969215021409104</v>
      </c>
      <c r="F2958" s="4">
        <v>6.7543286276893203E-9</v>
      </c>
      <c r="G2958" s="4">
        <v>1.2241004079936999E-7</v>
      </c>
      <c r="H2958" s="10" t="s">
        <v>8137</v>
      </c>
      <c r="I2958" s="10" t="s">
        <v>18</v>
      </c>
    </row>
    <row r="2959" spans="1:9" x14ac:dyDescent="0.2">
      <c r="A2959" s="10" t="s">
        <v>11467</v>
      </c>
      <c r="B2959" s="10">
        <v>66.270341384720894</v>
      </c>
      <c r="C2959" s="10">
        <v>-4.0242136027338802</v>
      </c>
      <c r="D2959" s="10">
        <v>0.59550357698947198</v>
      </c>
      <c r="E2959" s="10">
        <v>-6.7576648709282603</v>
      </c>
      <c r="F2959" s="4">
        <v>1.40233427855785E-11</v>
      </c>
      <c r="G2959" s="4">
        <v>3.5488650681209898E-10</v>
      </c>
      <c r="H2959" s="10" t="s">
        <v>11468</v>
      </c>
      <c r="I2959" s="10" t="s">
        <v>18</v>
      </c>
    </row>
    <row r="2960" spans="1:9" x14ac:dyDescent="0.2">
      <c r="A2960" s="10" t="s">
        <v>8138</v>
      </c>
      <c r="B2960" s="10">
        <v>2317.7520144581299</v>
      </c>
      <c r="C2960" s="10">
        <v>3.7172732039551302</v>
      </c>
      <c r="D2960" s="10">
        <v>0.31233208198495799</v>
      </c>
      <c r="E2960" s="10">
        <v>11.901669467737101</v>
      </c>
      <c r="F2960" s="4">
        <v>1.1600297813586399E-32</v>
      </c>
      <c r="G2960" s="4">
        <v>1.32638859773076E-30</v>
      </c>
      <c r="H2960" s="10" t="s">
        <v>8139</v>
      </c>
      <c r="I2960" s="10" t="s">
        <v>18</v>
      </c>
    </row>
    <row r="2961" spans="1:9" x14ac:dyDescent="0.2">
      <c r="A2961" s="10" t="s">
        <v>8140</v>
      </c>
      <c r="B2961" s="10">
        <v>182.97193128158099</v>
      </c>
      <c r="C2961" s="10">
        <v>1.4414826668037299</v>
      </c>
      <c r="D2961" s="10">
        <v>0.384942979945046</v>
      </c>
      <c r="E2961" s="10">
        <v>3.74466542294007</v>
      </c>
      <c r="F2961" s="10">
        <v>1.8063432988601899E-4</v>
      </c>
      <c r="G2961" s="10">
        <v>1.3632797493764201E-3</v>
      </c>
      <c r="H2961" s="10" t="s">
        <v>8141</v>
      </c>
      <c r="I2961" s="10" t="s">
        <v>18</v>
      </c>
    </row>
    <row r="2962" spans="1:9" x14ac:dyDescent="0.2">
      <c r="A2962" s="10" t="s">
        <v>8150</v>
      </c>
      <c r="B2962" s="10">
        <v>51.447490331356498</v>
      </c>
      <c r="C2962" s="10">
        <v>2.2872508081884102</v>
      </c>
      <c r="D2962" s="10">
        <v>0.528487912072795</v>
      </c>
      <c r="E2962" s="10">
        <v>4.32791508743792</v>
      </c>
      <c r="F2962" s="4">
        <v>1.50527476563795E-5</v>
      </c>
      <c r="G2962" s="10">
        <v>1.4808442209473101E-4</v>
      </c>
      <c r="H2962" s="10" t="s">
        <v>8151</v>
      </c>
      <c r="I2962" s="10" t="s">
        <v>18</v>
      </c>
    </row>
    <row r="2963" spans="1:9" x14ac:dyDescent="0.2">
      <c r="A2963" s="10" t="s">
        <v>8152</v>
      </c>
      <c r="B2963" s="10">
        <v>3012.2569051013502</v>
      </c>
      <c r="C2963" s="10">
        <v>-1.2053253028430699</v>
      </c>
      <c r="D2963" s="10">
        <v>0.29220256620375601</v>
      </c>
      <c r="E2963" s="10">
        <v>-4.1249648095239104</v>
      </c>
      <c r="F2963" s="4">
        <v>3.7079144617304299E-5</v>
      </c>
      <c r="G2963" s="10">
        <v>3.3479033842365001E-4</v>
      </c>
      <c r="H2963" s="10" t="s">
        <v>8153</v>
      </c>
      <c r="I2963" s="10" t="s">
        <v>18</v>
      </c>
    </row>
    <row r="2964" spans="1:9" x14ac:dyDescent="0.2">
      <c r="A2964" s="10" t="s">
        <v>8154</v>
      </c>
      <c r="B2964" s="10">
        <v>614.32468763480097</v>
      </c>
      <c r="C2964" s="10">
        <v>-1.37844627378421</v>
      </c>
      <c r="D2964" s="10">
        <v>0.33240363183063698</v>
      </c>
      <c r="E2964" s="10">
        <v>-4.1469049727066203</v>
      </c>
      <c r="F2964" s="4">
        <v>3.3699984754754903E-5</v>
      </c>
      <c r="G2964" s="10">
        <v>3.0812461819400099E-4</v>
      </c>
      <c r="H2964" s="10" t="s">
        <v>8155</v>
      </c>
      <c r="I2964" s="10" t="s">
        <v>18</v>
      </c>
    </row>
    <row r="2965" spans="1:9" x14ac:dyDescent="0.2">
      <c r="A2965" s="10" t="s">
        <v>11469</v>
      </c>
      <c r="B2965" s="10">
        <v>29.812943536453499</v>
      </c>
      <c r="C2965" s="10">
        <v>-1.78881337158877</v>
      </c>
      <c r="D2965" s="10">
        <v>0.65903487060280797</v>
      </c>
      <c r="E2965" s="10">
        <v>-2.7142924470029501</v>
      </c>
      <c r="F2965" s="10">
        <v>6.6417504784038496E-3</v>
      </c>
      <c r="G2965" s="10">
        <v>2.9936074768724098E-2</v>
      </c>
      <c r="H2965" s="10" t="s">
        <v>11470</v>
      </c>
      <c r="I2965" s="10" t="s">
        <v>18</v>
      </c>
    </row>
    <row r="2966" spans="1:9" x14ac:dyDescent="0.2">
      <c r="A2966" s="10" t="s">
        <v>8156</v>
      </c>
      <c r="B2966" s="10">
        <v>1606.93877305814</v>
      </c>
      <c r="C2966" s="10">
        <v>1.90388338705643</v>
      </c>
      <c r="D2966" s="10">
        <v>0.29369512415363602</v>
      </c>
      <c r="E2966" s="10">
        <v>6.4825161552919699</v>
      </c>
      <c r="F2966" s="4">
        <v>9.0205421850726804E-11</v>
      </c>
      <c r="G2966" s="4">
        <v>2.08558583332264E-9</v>
      </c>
      <c r="H2966" s="10" t="s">
        <v>8157</v>
      </c>
      <c r="I2966" s="10" t="s">
        <v>18</v>
      </c>
    </row>
    <row r="2967" spans="1:9" x14ac:dyDescent="0.2">
      <c r="A2967" s="10" t="s">
        <v>11471</v>
      </c>
      <c r="B2967" s="10">
        <v>552.51842310109498</v>
      </c>
      <c r="C2967" s="10">
        <v>1.10613274735889</v>
      </c>
      <c r="D2967" s="10">
        <v>0.287077874298032</v>
      </c>
      <c r="E2967" s="10">
        <v>3.8530755811942301</v>
      </c>
      <c r="F2967" s="10">
        <v>1.1664336517506501E-4</v>
      </c>
      <c r="G2967" s="10">
        <v>9.3000439016759095E-4</v>
      </c>
      <c r="H2967" s="10" t="s">
        <v>11472</v>
      </c>
      <c r="I2967" s="10" t="s">
        <v>18</v>
      </c>
    </row>
    <row r="2968" spans="1:9" x14ac:dyDescent="0.2">
      <c r="A2968" s="10" t="s">
        <v>11473</v>
      </c>
      <c r="B2968" s="10">
        <v>744.02493334730502</v>
      </c>
      <c r="C2968" s="10">
        <v>1.0283901505824899</v>
      </c>
      <c r="D2968" s="10">
        <v>0.31520830303347203</v>
      </c>
      <c r="E2968" s="10">
        <v>3.2625731641126201</v>
      </c>
      <c r="F2968" s="10">
        <v>1.10405669765204E-3</v>
      </c>
      <c r="G2968" s="10">
        <v>6.6362117633063699E-3</v>
      </c>
      <c r="H2968" s="10" t="s">
        <v>11474</v>
      </c>
      <c r="I2968" s="10" t="s">
        <v>18</v>
      </c>
    </row>
    <row r="2969" spans="1:9" x14ac:dyDescent="0.2">
      <c r="A2969" s="10" t="s">
        <v>8160</v>
      </c>
      <c r="B2969" s="10">
        <v>59.749446446901402</v>
      </c>
      <c r="C2969" s="10">
        <v>-2.3671410175226799</v>
      </c>
      <c r="D2969" s="10">
        <v>0.54179458586171303</v>
      </c>
      <c r="E2969" s="10">
        <v>-4.3690746996996896</v>
      </c>
      <c r="F2969" s="4">
        <v>1.24774084441095E-5</v>
      </c>
      <c r="G2969" s="10">
        <v>1.24600718305508E-4</v>
      </c>
      <c r="H2969" s="10" t="s">
        <v>8161</v>
      </c>
      <c r="I2969" s="10" t="s">
        <v>18</v>
      </c>
    </row>
    <row r="2970" spans="1:9" x14ac:dyDescent="0.2">
      <c r="A2970" s="10" t="s">
        <v>8162</v>
      </c>
      <c r="B2970" s="10">
        <v>25.680946176345699</v>
      </c>
      <c r="C2970" s="10">
        <v>4.1264420916719002</v>
      </c>
      <c r="D2970" s="10">
        <v>0.88940576788038705</v>
      </c>
      <c r="E2970" s="10">
        <v>4.63954950675208</v>
      </c>
      <c r="F2970" s="4">
        <v>3.4916948521701201E-6</v>
      </c>
      <c r="G2970" s="4">
        <v>3.9475768092736797E-5</v>
      </c>
      <c r="H2970" s="10" t="s">
        <v>8163</v>
      </c>
      <c r="I2970" s="10" t="s">
        <v>18</v>
      </c>
    </row>
    <row r="2971" spans="1:9" x14ac:dyDescent="0.2">
      <c r="A2971" s="10" t="s">
        <v>11475</v>
      </c>
      <c r="B2971" s="10">
        <v>357.07360621002101</v>
      </c>
      <c r="C2971" s="10">
        <v>-1.1917692973910601</v>
      </c>
      <c r="D2971" s="10">
        <v>0.29999468349014702</v>
      </c>
      <c r="E2971" s="10">
        <v>-3.97263472647577</v>
      </c>
      <c r="F2971" s="4">
        <v>7.1082008166808695E-5</v>
      </c>
      <c r="G2971" s="10">
        <v>6.0036031079870403E-4</v>
      </c>
      <c r="H2971" s="10" t="s">
        <v>11476</v>
      </c>
      <c r="I2971" s="10" t="s">
        <v>18</v>
      </c>
    </row>
    <row r="2972" spans="1:9" x14ac:dyDescent="0.2">
      <c r="A2972" s="10" t="s">
        <v>11477</v>
      </c>
      <c r="B2972" s="10">
        <v>184.48477252986601</v>
      </c>
      <c r="C2972" s="10">
        <v>-1.5986474596574201</v>
      </c>
      <c r="D2972" s="10">
        <v>0.37727546433053599</v>
      </c>
      <c r="E2972" s="10">
        <v>-4.2373480673973098</v>
      </c>
      <c r="F2972" s="4">
        <v>2.2617536871555402E-5</v>
      </c>
      <c r="G2972" s="10">
        <v>2.1429157815592301E-4</v>
      </c>
      <c r="H2972" s="10" t="s">
        <v>11478</v>
      </c>
      <c r="I2972" s="10" t="s">
        <v>18</v>
      </c>
    </row>
    <row r="2973" spans="1:9" x14ac:dyDescent="0.2">
      <c r="A2973" s="10" t="s">
        <v>11479</v>
      </c>
      <c r="B2973" s="10">
        <v>126.962818408331</v>
      </c>
      <c r="C2973" s="10">
        <v>-1.3564111116747599</v>
      </c>
      <c r="D2973" s="10">
        <v>0.41979644064558003</v>
      </c>
      <c r="E2973" s="10">
        <v>-3.2311162752804998</v>
      </c>
      <c r="F2973" s="10">
        <v>1.2330776717320001E-3</v>
      </c>
      <c r="G2973" s="10">
        <v>7.3069655671185799E-3</v>
      </c>
      <c r="H2973" s="10" t="s">
        <v>11480</v>
      </c>
      <c r="I2973" s="10" t="s">
        <v>18</v>
      </c>
    </row>
    <row r="2974" spans="1:9" x14ac:dyDescent="0.2">
      <c r="A2974" s="10" t="s">
        <v>8164</v>
      </c>
      <c r="B2974" s="10">
        <v>39.471929368270601</v>
      </c>
      <c r="C2974" s="10">
        <v>-3.6876073787974102</v>
      </c>
      <c r="D2974" s="10">
        <v>0.68616218670179896</v>
      </c>
      <c r="E2974" s="10">
        <v>-5.37425035984971</v>
      </c>
      <c r="F2974" s="4">
        <v>7.6901945129894694E-8</v>
      </c>
      <c r="G2974" s="4">
        <v>1.17169499075863E-6</v>
      </c>
      <c r="H2974" s="10" t="s">
        <v>8165</v>
      </c>
      <c r="I2974" s="10" t="s">
        <v>18</v>
      </c>
    </row>
    <row r="2975" spans="1:9" x14ac:dyDescent="0.2">
      <c r="A2975" s="10" t="s">
        <v>8172</v>
      </c>
      <c r="B2975" s="10">
        <v>2989.5609357986</v>
      </c>
      <c r="C2975" s="10">
        <v>-1.13638306243555</v>
      </c>
      <c r="D2975" s="10">
        <v>0.28806992475796001</v>
      </c>
      <c r="E2975" s="10">
        <v>-3.9448167433318599</v>
      </c>
      <c r="F2975" s="4">
        <v>7.9861029063963096E-5</v>
      </c>
      <c r="G2975" s="10">
        <v>6.6497986961403205E-4</v>
      </c>
      <c r="H2975" s="10" t="s">
        <v>8173</v>
      </c>
      <c r="I2975" s="10" t="s">
        <v>18</v>
      </c>
    </row>
    <row r="2976" spans="1:9" x14ac:dyDescent="0.2">
      <c r="A2976" s="10" t="s">
        <v>11481</v>
      </c>
      <c r="B2976" s="10">
        <v>588.56281357945704</v>
      </c>
      <c r="C2976" s="10">
        <v>-1.15206254504691</v>
      </c>
      <c r="D2976" s="10">
        <v>0.32070869762736198</v>
      </c>
      <c r="E2976" s="10">
        <v>-3.5922397913433302</v>
      </c>
      <c r="F2976" s="10">
        <v>3.2784795759145099E-4</v>
      </c>
      <c r="G2976" s="10">
        <v>2.3178795315382098E-3</v>
      </c>
      <c r="H2976" s="10" t="s">
        <v>11482</v>
      </c>
      <c r="I2976" s="10" t="s">
        <v>18</v>
      </c>
    </row>
    <row r="2977" spans="1:9" x14ac:dyDescent="0.2">
      <c r="A2977" s="10" t="s">
        <v>8174</v>
      </c>
      <c r="B2977" s="10">
        <v>253.198781975164</v>
      </c>
      <c r="C2977" s="10">
        <v>1.2064564915642499</v>
      </c>
      <c r="D2977" s="10">
        <v>0.32526908659003201</v>
      </c>
      <c r="E2977" s="10">
        <v>3.7091028360923399</v>
      </c>
      <c r="F2977" s="10">
        <v>2.0799494340464E-4</v>
      </c>
      <c r="G2977" s="10">
        <v>1.5456758645033099E-3</v>
      </c>
      <c r="H2977" s="10" t="s">
        <v>8175</v>
      </c>
      <c r="I2977" s="10" t="s">
        <v>18</v>
      </c>
    </row>
    <row r="2978" spans="1:9" x14ac:dyDescent="0.2">
      <c r="A2978" s="10" t="s">
        <v>8178</v>
      </c>
      <c r="B2978" s="10">
        <v>95.925282455154303</v>
      </c>
      <c r="C2978" s="10">
        <v>2.1517148894326401</v>
      </c>
      <c r="D2978" s="10">
        <v>0.42437187147689798</v>
      </c>
      <c r="E2978" s="10">
        <v>5.0703522878277498</v>
      </c>
      <c r="F2978" s="4">
        <v>3.9708000046018501E-7</v>
      </c>
      <c r="G2978" s="4">
        <v>5.3615391366484002E-6</v>
      </c>
      <c r="H2978" s="10" t="s">
        <v>8179</v>
      </c>
      <c r="I2978" s="10" t="s">
        <v>18</v>
      </c>
    </row>
    <row r="2979" spans="1:9" x14ac:dyDescent="0.2">
      <c r="A2979" s="10" t="s">
        <v>8184</v>
      </c>
      <c r="B2979" s="10">
        <v>716.94555223794305</v>
      </c>
      <c r="C2979" s="10">
        <v>-1.1648661851395801</v>
      </c>
      <c r="D2979" s="10">
        <v>0.29465521088804902</v>
      </c>
      <c r="E2979" s="10">
        <v>-3.9533194801776599</v>
      </c>
      <c r="F2979" s="4">
        <v>7.7074417096246702E-5</v>
      </c>
      <c r="G2979" s="10">
        <v>6.4497902929344197E-4</v>
      </c>
      <c r="H2979" s="10" t="s">
        <v>8185</v>
      </c>
      <c r="I2979" s="10" t="s">
        <v>18</v>
      </c>
    </row>
    <row r="2980" spans="1:9" x14ac:dyDescent="0.2">
      <c r="A2980" s="10" t="s">
        <v>8188</v>
      </c>
      <c r="B2980" s="10">
        <v>4185.7517683206097</v>
      </c>
      <c r="C2980" s="10">
        <v>-1.43464578109076</v>
      </c>
      <c r="D2980" s="10">
        <v>0.25982089181961099</v>
      </c>
      <c r="E2980" s="10">
        <v>-5.5216721451591502</v>
      </c>
      <c r="F2980" s="4">
        <v>3.35788607578124E-8</v>
      </c>
      <c r="G2980" s="4">
        <v>5.4285105550306603E-7</v>
      </c>
      <c r="H2980" s="10" t="s">
        <v>8189</v>
      </c>
      <c r="I2980" s="10" t="s">
        <v>18</v>
      </c>
    </row>
    <row r="2981" spans="1:9" x14ac:dyDescent="0.2">
      <c r="A2981" s="10" t="s">
        <v>8192</v>
      </c>
      <c r="B2981" s="10">
        <v>755.51461776666997</v>
      </c>
      <c r="C2981" s="10">
        <v>2.56548964571805</v>
      </c>
      <c r="D2981" s="10">
        <v>0.29652948396061501</v>
      </c>
      <c r="E2981" s="10">
        <v>8.6517185793868592</v>
      </c>
      <c r="F2981" s="4">
        <v>5.0729616482876103E-18</v>
      </c>
      <c r="G2981" s="4">
        <v>2.3807901168409502E-16</v>
      </c>
      <c r="H2981" s="10" t="s">
        <v>8193</v>
      </c>
      <c r="I2981" s="10" t="s">
        <v>18</v>
      </c>
    </row>
    <row r="2982" spans="1:9" x14ac:dyDescent="0.2">
      <c r="A2982" s="10" t="s">
        <v>8198</v>
      </c>
      <c r="B2982" s="10">
        <v>422.54309015217598</v>
      </c>
      <c r="C2982" s="10">
        <v>-1.93862600354693</v>
      </c>
      <c r="D2982" s="10">
        <v>0.335597450979155</v>
      </c>
      <c r="E2982" s="10">
        <v>-5.7766410259991696</v>
      </c>
      <c r="F2982" s="4">
        <v>7.62066314144417E-9</v>
      </c>
      <c r="G2982" s="4">
        <v>1.36731655722559E-7</v>
      </c>
      <c r="H2982" s="10" t="s">
        <v>8199</v>
      </c>
      <c r="I2982" s="10" t="s">
        <v>18</v>
      </c>
    </row>
    <row r="2983" spans="1:9" x14ac:dyDescent="0.2">
      <c r="A2983" s="10" t="s">
        <v>8200</v>
      </c>
      <c r="B2983" s="10">
        <v>471.906727087614</v>
      </c>
      <c r="C2983" s="10">
        <v>-1.0854287169403001</v>
      </c>
      <c r="D2983" s="10">
        <v>0.3176549844355</v>
      </c>
      <c r="E2983" s="10">
        <v>-3.4170051474847698</v>
      </c>
      <c r="F2983" s="10">
        <v>6.3314082475131696E-4</v>
      </c>
      <c r="G2983" s="10">
        <v>4.1207393134849602E-3</v>
      </c>
      <c r="H2983" s="10" t="s">
        <v>8201</v>
      </c>
      <c r="I2983" s="10" t="s">
        <v>18</v>
      </c>
    </row>
    <row r="2984" spans="1:9" x14ac:dyDescent="0.2">
      <c r="A2984" s="10" t="s">
        <v>8206</v>
      </c>
      <c r="B2984" s="10">
        <v>8.0553611849589206</v>
      </c>
      <c r="C2984" s="10">
        <v>5.02622386486967</v>
      </c>
      <c r="D2984" s="10">
        <v>1.7843378490066799</v>
      </c>
      <c r="E2984" s="10">
        <v>2.8168566102365098</v>
      </c>
      <c r="F2984" s="10">
        <v>4.8496171614160997E-3</v>
      </c>
      <c r="G2984" s="10">
        <v>2.31220848550838E-2</v>
      </c>
      <c r="H2984" s="10" t="s">
        <v>8207</v>
      </c>
      <c r="I2984" s="10" t="s">
        <v>18</v>
      </c>
    </row>
    <row r="2985" spans="1:9" x14ac:dyDescent="0.2">
      <c r="A2985" s="10" t="s">
        <v>8208</v>
      </c>
      <c r="B2985" s="10">
        <v>14.1103292034714</v>
      </c>
      <c r="C2985" s="10">
        <v>4.2480768035324399</v>
      </c>
      <c r="D2985" s="10">
        <v>1.1863841274751501</v>
      </c>
      <c r="E2985" s="10">
        <v>3.5806925473397602</v>
      </c>
      <c r="F2985" s="10">
        <v>3.4268470199731298E-4</v>
      </c>
      <c r="G2985" s="10">
        <v>2.4092324423539398E-3</v>
      </c>
      <c r="H2985" s="10" t="s">
        <v>8209</v>
      </c>
      <c r="I2985" s="10" t="s">
        <v>18</v>
      </c>
    </row>
    <row r="2986" spans="1:9" x14ac:dyDescent="0.2">
      <c r="A2986" s="10" t="s">
        <v>11483</v>
      </c>
      <c r="B2986" s="10">
        <v>1586.79356956725</v>
      </c>
      <c r="C2986" s="10">
        <v>1.00089183805952</v>
      </c>
      <c r="D2986" s="10">
        <v>0.30700668903832101</v>
      </c>
      <c r="E2986" s="10">
        <v>3.2601629664641698</v>
      </c>
      <c r="F2986" s="10">
        <v>1.11348215433042E-3</v>
      </c>
      <c r="G2986" s="10">
        <v>6.6848791389455299E-3</v>
      </c>
      <c r="H2986" s="10" t="s">
        <v>11484</v>
      </c>
      <c r="I2986" s="10" t="s">
        <v>18</v>
      </c>
    </row>
    <row r="2987" spans="1:9" x14ac:dyDescent="0.2">
      <c r="A2987" s="10" t="s">
        <v>8210</v>
      </c>
      <c r="B2987" s="10">
        <v>6754.9984705850802</v>
      </c>
      <c r="C2987" s="10">
        <v>-1.01588566144454</v>
      </c>
      <c r="D2987" s="10">
        <v>0.270169039832793</v>
      </c>
      <c r="E2987" s="10">
        <v>-3.7601853346085599</v>
      </c>
      <c r="F2987" s="10">
        <v>1.6978752113111601E-4</v>
      </c>
      <c r="G2987" s="10">
        <v>1.29066965631016E-3</v>
      </c>
      <c r="H2987" s="10" t="s">
        <v>8211</v>
      </c>
      <c r="I2987" s="10" t="s">
        <v>18</v>
      </c>
    </row>
    <row r="2988" spans="1:9" x14ac:dyDescent="0.2">
      <c r="A2988" s="10" t="s">
        <v>11485</v>
      </c>
      <c r="B2988" s="10">
        <v>411.25501004337701</v>
      </c>
      <c r="C2988" s="10">
        <v>-1.56522862732893</v>
      </c>
      <c r="D2988" s="10">
        <v>0.315443290714088</v>
      </c>
      <c r="E2988" s="10">
        <v>-4.9619968894745803</v>
      </c>
      <c r="F2988" s="4">
        <v>6.9772113228221995E-7</v>
      </c>
      <c r="G2988" s="4">
        <v>9.0098434715396595E-6</v>
      </c>
      <c r="H2988" s="10" t="s">
        <v>11486</v>
      </c>
      <c r="I2988" s="10" t="s">
        <v>18</v>
      </c>
    </row>
    <row r="2989" spans="1:9" x14ac:dyDescent="0.2">
      <c r="A2989" s="10" t="s">
        <v>8214</v>
      </c>
      <c r="B2989" s="10">
        <v>965.11388485238001</v>
      </c>
      <c r="C2989" s="10">
        <v>3.9158165108885901</v>
      </c>
      <c r="D2989" s="10">
        <v>0.32085830468429699</v>
      </c>
      <c r="E2989" s="10">
        <v>12.204192485344899</v>
      </c>
      <c r="F2989" s="4">
        <v>2.9522284227074498E-34</v>
      </c>
      <c r="G2989" s="4">
        <v>3.6582909346406897E-32</v>
      </c>
      <c r="H2989" s="10" t="s">
        <v>8215</v>
      </c>
      <c r="I2989" s="10" t="s">
        <v>18</v>
      </c>
    </row>
    <row r="2990" spans="1:9" x14ac:dyDescent="0.2">
      <c r="A2990" s="10" t="s">
        <v>11487</v>
      </c>
      <c r="B2990" s="10">
        <v>20.7639410666789</v>
      </c>
      <c r="C2990" s="10">
        <v>-2.26253613237831</v>
      </c>
      <c r="D2990" s="10">
        <v>0.80471323778081305</v>
      </c>
      <c r="E2990" s="10">
        <v>-2.8116054591294999</v>
      </c>
      <c r="F2990" s="10">
        <v>4.9294928097585698E-3</v>
      </c>
      <c r="G2990" s="10">
        <v>2.34141600508831E-2</v>
      </c>
      <c r="H2990" s="10" t="s">
        <v>11488</v>
      </c>
      <c r="I2990" s="10" t="s">
        <v>18</v>
      </c>
    </row>
    <row r="2991" spans="1:9" x14ac:dyDescent="0.2">
      <c r="A2991" s="10" t="s">
        <v>11489</v>
      </c>
      <c r="B2991" s="10">
        <v>184.975407734822</v>
      </c>
      <c r="C2991" s="10">
        <v>-3.7447633037902701</v>
      </c>
      <c r="D2991" s="10">
        <v>0.39909234133890797</v>
      </c>
      <c r="E2991" s="10">
        <v>-9.3832001166121906</v>
      </c>
      <c r="F2991" s="4">
        <v>6.4000153124133399E-21</v>
      </c>
      <c r="G2991" s="4">
        <v>3.6924858987100298E-19</v>
      </c>
      <c r="H2991" s="10" t="s">
        <v>11490</v>
      </c>
      <c r="I2991" s="10" t="s">
        <v>18</v>
      </c>
    </row>
    <row r="2992" spans="1:9" x14ac:dyDescent="0.2">
      <c r="A2992" s="10" t="s">
        <v>8220</v>
      </c>
      <c r="B2992" s="10">
        <v>306.945134395195</v>
      </c>
      <c r="C2992" s="10">
        <v>-2.4103649293268798</v>
      </c>
      <c r="D2992" s="10">
        <v>0.33859897188242599</v>
      </c>
      <c r="E2992" s="10">
        <v>-7.1186421976610399</v>
      </c>
      <c r="F2992" s="4">
        <v>1.08995449867792E-12</v>
      </c>
      <c r="G2992" s="4">
        <v>3.1263176070972602E-11</v>
      </c>
      <c r="H2992" s="10" t="s">
        <v>8221</v>
      </c>
      <c r="I2992" s="10" t="s">
        <v>18</v>
      </c>
    </row>
    <row r="2993" spans="1:9" x14ac:dyDescent="0.2">
      <c r="A2993" s="10" t="s">
        <v>11491</v>
      </c>
      <c r="B2993" s="10">
        <v>1776.4574594225901</v>
      </c>
      <c r="C2993" s="10">
        <v>1.5384191353268299</v>
      </c>
      <c r="D2993" s="10">
        <v>0.30605150721272101</v>
      </c>
      <c r="E2993" s="10">
        <v>5.0266674042469397</v>
      </c>
      <c r="F2993" s="4">
        <v>4.9907682524334104E-7</v>
      </c>
      <c r="G2993" s="4">
        <v>6.6284464303042398E-6</v>
      </c>
      <c r="H2993" s="10" t="s">
        <v>11492</v>
      </c>
      <c r="I2993" s="10" t="s">
        <v>18</v>
      </c>
    </row>
    <row r="2994" spans="1:9" x14ac:dyDescent="0.2">
      <c r="A2994" s="10" t="s">
        <v>8222</v>
      </c>
      <c r="B2994" s="10">
        <v>238.71186900528801</v>
      </c>
      <c r="C2994" s="10">
        <v>-2.8953920829786699</v>
      </c>
      <c r="D2994" s="10">
        <v>0.37240658460202802</v>
      </c>
      <c r="E2994" s="10">
        <v>-7.7748144170781197</v>
      </c>
      <c r="F2994" s="4">
        <v>7.5558094984104801E-15</v>
      </c>
      <c r="G2994" s="4">
        <v>2.7074984035970902E-13</v>
      </c>
      <c r="H2994" s="10" t="s">
        <v>8223</v>
      </c>
      <c r="I2994" s="10" t="s">
        <v>18</v>
      </c>
    </row>
    <row r="2995" spans="1:9" x14ac:dyDescent="0.2">
      <c r="A2995" s="10" t="s">
        <v>8224</v>
      </c>
      <c r="B2995" s="10">
        <v>297.53083733292101</v>
      </c>
      <c r="C2995" s="10">
        <v>-1.1016382782093901</v>
      </c>
      <c r="D2995" s="10">
        <v>0.35368617244705097</v>
      </c>
      <c r="E2995" s="10">
        <v>-3.1147338064914298</v>
      </c>
      <c r="F2995" s="10">
        <v>1.84110979049646E-3</v>
      </c>
      <c r="G2995" s="10">
        <v>1.0221389710867E-2</v>
      </c>
      <c r="H2995" s="10" t="s">
        <v>8225</v>
      </c>
      <c r="I2995" s="10" t="s">
        <v>18</v>
      </c>
    </row>
    <row r="2996" spans="1:9" x14ac:dyDescent="0.2">
      <c r="A2996" s="10" t="s">
        <v>11493</v>
      </c>
      <c r="B2996" s="10">
        <v>9.78047009863608</v>
      </c>
      <c r="C2996" s="10">
        <v>-4.1586866907501596</v>
      </c>
      <c r="D2996" s="10">
        <v>1.40996385532086</v>
      </c>
      <c r="E2996" s="10">
        <v>-2.9494987939274502</v>
      </c>
      <c r="F2996" s="10">
        <v>3.18289815312863E-3</v>
      </c>
      <c r="G2996" s="10">
        <v>1.6207652437641801E-2</v>
      </c>
      <c r="H2996" s="10" t="s">
        <v>11494</v>
      </c>
      <c r="I2996" s="10" t="s">
        <v>18</v>
      </c>
    </row>
    <row r="2997" spans="1:9" x14ac:dyDescent="0.2">
      <c r="A2997" s="10" t="s">
        <v>11495</v>
      </c>
      <c r="B2997" s="10">
        <v>174.168036345606</v>
      </c>
      <c r="C2997" s="10">
        <v>-1.2680629546591</v>
      </c>
      <c r="D2997" s="10">
        <v>0.35866869054995798</v>
      </c>
      <c r="E2997" s="10">
        <v>-3.5354715593232799</v>
      </c>
      <c r="F2997" s="10">
        <v>4.0704805923728302E-4</v>
      </c>
      <c r="G2997" s="10">
        <v>2.7945671206642598E-3</v>
      </c>
      <c r="H2997" s="10" t="s">
        <v>11496</v>
      </c>
      <c r="I2997" s="10" t="s">
        <v>18</v>
      </c>
    </row>
    <row r="2998" spans="1:9" x14ac:dyDescent="0.2">
      <c r="A2998" s="10" t="s">
        <v>8236</v>
      </c>
      <c r="B2998" s="10">
        <v>61.699203559747801</v>
      </c>
      <c r="C2998" s="10">
        <v>-1.5249749507013901</v>
      </c>
      <c r="D2998" s="10">
        <v>0.48548151603203499</v>
      </c>
      <c r="E2998" s="10">
        <v>-3.14115965354438</v>
      </c>
      <c r="F2998" s="10">
        <v>1.6828027081800001E-3</v>
      </c>
      <c r="G2998" s="10">
        <v>9.4954917281892901E-3</v>
      </c>
      <c r="H2998" s="10" t="s">
        <v>8237</v>
      </c>
      <c r="I2998" s="10" t="s">
        <v>18</v>
      </c>
    </row>
    <row r="2999" spans="1:9" x14ac:dyDescent="0.2">
      <c r="A2999" s="10" t="s">
        <v>8238</v>
      </c>
      <c r="B2999" s="10">
        <v>356.154025714532</v>
      </c>
      <c r="C2999" s="10">
        <v>1.0849096588151701</v>
      </c>
      <c r="D2999" s="10">
        <v>0.315691406188009</v>
      </c>
      <c r="E2999" s="10">
        <v>3.4366144834777499</v>
      </c>
      <c r="F2999" s="10">
        <v>5.89033358798881E-4</v>
      </c>
      <c r="G2999" s="10">
        <v>3.8636594890706301E-3</v>
      </c>
      <c r="H2999" s="10" t="s">
        <v>8239</v>
      </c>
      <c r="I2999" s="10" t="s">
        <v>18</v>
      </c>
    </row>
    <row r="3000" spans="1:9" x14ac:dyDescent="0.2">
      <c r="A3000" s="10" t="s">
        <v>11497</v>
      </c>
      <c r="B3000" s="10">
        <v>48.919791132816798</v>
      </c>
      <c r="C3000" s="10">
        <v>-2.3808327177444499</v>
      </c>
      <c r="D3000" s="10">
        <v>0.58040893945121896</v>
      </c>
      <c r="E3000" s="10">
        <v>-4.1019918128682598</v>
      </c>
      <c r="F3000" s="4">
        <v>4.0960877010293402E-5</v>
      </c>
      <c r="G3000" s="10">
        <v>3.6576885381396201E-4</v>
      </c>
      <c r="H3000" s="10" t="s">
        <v>11498</v>
      </c>
      <c r="I3000" s="10" t="s">
        <v>18</v>
      </c>
    </row>
    <row r="3001" spans="1:9" x14ac:dyDescent="0.2">
      <c r="A3001" s="10" t="s">
        <v>11499</v>
      </c>
      <c r="B3001" s="10">
        <v>18.9699419991715</v>
      </c>
      <c r="C3001" s="10">
        <v>-3.28046221434886</v>
      </c>
      <c r="D3001" s="10">
        <v>0.93374223992077598</v>
      </c>
      <c r="E3001" s="10">
        <v>-3.5132417428467102</v>
      </c>
      <c r="F3001" s="10">
        <v>4.4267452001243399E-4</v>
      </c>
      <c r="G3001" s="10">
        <v>3.01040214947628E-3</v>
      </c>
      <c r="H3001" s="10" t="s">
        <v>11500</v>
      </c>
      <c r="I3001" s="10" t="s">
        <v>18</v>
      </c>
    </row>
    <row r="3002" spans="1:9" x14ac:dyDescent="0.2">
      <c r="A3002" s="10" t="s">
        <v>11501</v>
      </c>
      <c r="B3002" s="10">
        <v>457.04647466805</v>
      </c>
      <c r="C3002" s="10">
        <v>-1.0062342943562901</v>
      </c>
      <c r="D3002" s="10">
        <v>0.32328463195782697</v>
      </c>
      <c r="E3002" s="10">
        <v>-3.1125336464727198</v>
      </c>
      <c r="F3002" s="10">
        <v>1.85488868836921E-3</v>
      </c>
      <c r="G3002" s="10">
        <v>1.02729469299708E-2</v>
      </c>
      <c r="H3002" s="10" t="s">
        <v>11502</v>
      </c>
      <c r="I3002" s="10" t="s">
        <v>18</v>
      </c>
    </row>
    <row r="3003" spans="1:9" x14ac:dyDescent="0.2">
      <c r="A3003" s="10" t="s">
        <v>11503</v>
      </c>
      <c r="B3003" s="10">
        <v>3248.0293436331899</v>
      </c>
      <c r="C3003" s="10">
        <v>1.9006459035602701</v>
      </c>
      <c r="D3003" s="10">
        <v>0.27806479912719601</v>
      </c>
      <c r="E3003" s="10">
        <v>6.8352625342226396</v>
      </c>
      <c r="F3003" s="4">
        <v>8.1854984372054794E-12</v>
      </c>
      <c r="G3003" s="4">
        <v>2.1271303015279299E-10</v>
      </c>
      <c r="H3003" s="10" t="s">
        <v>11504</v>
      </c>
      <c r="I3003" s="10" t="s">
        <v>18</v>
      </c>
    </row>
    <row r="3004" spans="1:9" x14ac:dyDescent="0.2">
      <c r="A3004" s="10" t="s">
        <v>8246</v>
      </c>
      <c r="B3004" s="10">
        <v>310.61923909836298</v>
      </c>
      <c r="C3004" s="10">
        <v>11.7980589531116</v>
      </c>
      <c r="D3004" s="10">
        <v>1.4773083507937099</v>
      </c>
      <c r="E3004" s="10">
        <v>7.98618578631394</v>
      </c>
      <c r="F3004" s="4">
        <v>1.39177885687844E-15</v>
      </c>
      <c r="G3004" s="4">
        <v>5.3696621387695199E-14</v>
      </c>
      <c r="H3004" s="10" t="s">
        <v>8247</v>
      </c>
      <c r="I3004" s="10" t="s">
        <v>18</v>
      </c>
    </row>
    <row r="3005" spans="1:9" x14ac:dyDescent="0.2">
      <c r="A3005" s="10" t="s">
        <v>8248</v>
      </c>
      <c r="B3005" s="10">
        <v>471.32428163486799</v>
      </c>
      <c r="C3005" s="10">
        <v>-1.3548801697522399</v>
      </c>
      <c r="D3005" s="10">
        <v>0.30909022192687202</v>
      </c>
      <c r="E3005" s="10">
        <v>-4.3834455884948298</v>
      </c>
      <c r="F3005" s="4">
        <v>1.16816835464792E-5</v>
      </c>
      <c r="G3005" s="10">
        <v>1.17541099844674E-4</v>
      </c>
      <c r="H3005" s="10" t="s">
        <v>8249</v>
      </c>
      <c r="I3005" s="10" t="s">
        <v>18</v>
      </c>
    </row>
    <row r="3006" spans="1:9" x14ac:dyDescent="0.2">
      <c r="A3006" s="10" t="s">
        <v>8250</v>
      </c>
      <c r="B3006" s="10">
        <v>285.99928246085898</v>
      </c>
      <c r="C3006" s="10">
        <v>-2.0480341174248098</v>
      </c>
      <c r="D3006" s="10">
        <v>0.33580748211924</v>
      </c>
      <c r="E3006" s="10">
        <v>-6.0988340834454302</v>
      </c>
      <c r="F3006" s="4">
        <v>1.06844898074152E-9</v>
      </c>
      <c r="G3006" s="4">
        <v>2.1657400572564899E-8</v>
      </c>
      <c r="H3006" s="10" t="s">
        <v>8251</v>
      </c>
      <c r="I3006" s="10" t="s">
        <v>18</v>
      </c>
    </row>
    <row r="3007" spans="1:9" x14ac:dyDescent="0.2">
      <c r="A3007" s="10" t="s">
        <v>11505</v>
      </c>
      <c r="B3007" s="10">
        <v>36.618015374473003</v>
      </c>
      <c r="C3007" s="10">
        <v>-1.6980727732244001</v>
      </c>
      <c r="D3007" s="10">
        <v>0.61447628154416301</v>
      </c>
      <c r="E3007" s="10">
        <v>-2.7634472220102402</v>
      </c>
      <c r="F3007" s="10">
        <v>5.7194341159281801E-3</v>
      </c>
      <c r="G3007" s="10">
        <v>2.6442265242818098E-2</v>
      </c>
      <c r="H3007" s="10" t="s">
        <v>11506</v>
      </c>
      <c r="I3007" s="10" t="s">
        <v>18</v>
      </c>
    </row>
    <row r="3008" spans="1:9" x14ac:dyDescent="0.2">
      <c r="A3008" s="10" t="s">
        <v>8252</v>
      </c>
      <c r="B3008" s="10">
        <v>813.22696320451996</v>
      </c>
      <c r="C3008" s="10">
        <v>-1.7967510730196301</v>
      </c>
      <c r="D3008" s="10">
        <v>0.34527543438618902</v>
      </c>
      <c r="E3008" s="10">
        <v>-5.2038196004699797</v>
      </c>
      <c r="F3008" s="4">
        <v>1.9523353687169701E-7</v>
      </c>
      <c r="G3008" s="4">
        <v>2.7924198883078701E-6</v>
      </c>
      <c r="H3008" s="10" t="s">
        <v>8253</v>
      </c>
      <c r="I3008" s="10" t="s">
        <v>18</v>
      </c>
    </row>
    <row r="3009" spans="1:9" x14ac:dyDescent="0.2">
      <c r="A3009" s="10" t="s">
        <v>11507</v>
      </c>
      <c r="B3009" s="10">
        <v>1956.70551282924</v>
      </c>
      <c r="C3009" s="10">
        <v>-1.01165682328837</v>
      </c>
      <c r="D3009" s="10">
        <v>0.29627647752085001</v>
      </c>
      <c r="E3009" s="10">
        <v>-3.4145701736216201</v>
      </c>
      <c r="F3009" s="10">
        <v>6.3882735300613595E-4</v>
      </c>
      <c r="G3009" s="10">
        <v>4.1545248357986904E-3</v>
      </c>
      <c r="H3009" s="10" t="s">
        <v>11508</v>
      </c>
      <c r="I3009" s="10" t="s">
        <v>18</v>
      </c>
    </row>
    <row r="3010" spans="1:9" x14ac:dyDescent="0.2">
      <c r="A3010" s="10" t="s">
        <v>8254</v>
      </c>
      <c r="B3010" s="10">
        <v>1073.1657363386701</v>
      </c>
      <c r="C3010" s="10">
        <v>-1.57157425508787</v>
      </c>
      <c r="D3010" s="10">
        <v>0.30196752874791</v>
      </c>
      <c r="E3010" s="10">
        <v>-5.2044478477679403</v>
      </c>
      <c r="F3010" s="4">
        <v>1.94574256034355E-7</v>
      </c>
      <c r="G3010" s="4">
        <v>2.7857230566557802E-6</v>
      </c>
      <c r="H3010" s="10" t="s">
        <v>8255</v>
      </c>
      <c r="I3010" s="10" t="s">
        <v>18</v>
      </c>
    </row>
    <row r="3011" spans="1:9" x14ac:dyDescent="0.2">
      <c r="A3011" s="10" t="s">
        <v>11509</v>
      </c>
      <c r="B3011" s="10">
        <v>1513.9294216068699</v>
      </c>
      <c r="C3011" s="10">
        <v>-1.00788576262828</v>
      </c>
      <c r="D3011" s="10">
        <v>0.27954899916569298</v>
      </c>
      <c r="E3011" s="10">
        <v>-3.6053992882689201</v>
      </c>
      <c r="F3011" s="10">
        <v>3.11673346150557E-4</v>
      </c>
      <c r="G3011" s="10">
        <v>2.21786224113643E-3</v>
      </c>
      <c r="H3011" s="10" t="s">
        <v>11510</v>
      </c>
      <c r="I3011" s="10" t="s">
        <v>18</v>
      </c>
    </row>
    <row r="3012" spans="1:9" x14ac:dyDescent="0.2">
      <c r="A3012" s="10" t="s">
        <v>8258</v>
      </c>
      <c r="B3012" s="10">
        <v>745.99565185123504</v>
      </c>
      <c r="C3012" s="10">
        <v>-1.5660280757906999</v>
      </c>
      <c r="D3012" s="10">
        <v>0.32009485434086299</v>
      </c>
      <c r="E3012" s="10">
        <v>-4.8923875362365701</v>
      </c>
      <c r="F3012" s="4">
        <v>9.9620042718806297E-7</v>
      </c>
      <c r="G3012" s="4">
        <v>1.2486009838523E-5</v>
      </c>
      <c r="H3012" s="10" t="s">
        <v>8259</v>
      </c>
      <c r="I3012" s="10" t="s">
        <v>18</v>
      </c>
    </row>
    <row r="3013" spans="1:9" x14ac:dyDescent="0.2">
      <c r="A3013" s="10" t="s">
        <v>8260</v>
      </c>
      <c r="B3013" s="10">
        <v>5739.1904307877003</v>
      </c>
      <c r="C3013" s="10">
        <v>-1.1408013423821901</v>
      </c>
      <c r="D3013" s="10">
        <v>0.28949406881517997</v>
      </c>
      <c r="E3013" s="10">
        <v>-3.9406725915013698</v>
      </c>
      <c r="F3013" s="4">
        <v>8.1253465050131396E-5</v>
      </c>
      <c r="G3013" s="10">
        <v>6.7523320559499699E-4</v>
      </c>
      <c r="H3013" s="10" t="s">
        <v>8261</v>
      </c>
      <c r="I3013" s="10" t="s">
        <v>18</v>
      </c>
    </row>
    <row r="3014" spans="1:9" x14ac:dyDescent="0.2">
      <c r="A3014" s="10" t="s">
        <v>8266</v>
      </c>
      <c r="B3014" s="10">
        <v>1821.1007760237901</v>
      </c>
      <c r="C3014" s="10">
        <v>-1.4257053197835201</v>
      </c>
      <c r="D3014" s="10">
        <v>0.29370349236242699</v>
      </c>
      <c r="E3014" s="10">
        <v>-4.8542334594517396</v>
      </c>
      <c r="F3014" s="4">
        <v>1.20853295958908E-6</v>
      </c>
      <c r="G3014" s="4">
        <v>1.4814093631954301E-5</v>
      </c>
      <c r="H3014" s="10" t="s">
        <v>8267</v>
      </c>
      <c r="I3014" s="10" t="s">
        <v>18</v>
      </c>
    </row>
    <row r="3015" spans="1:9" x14ac:dyDescent="0.2">
      <c r="A3015" s="10" t="s">
        <v>11511</v>
      </c>
      <c r="B3015" s="10">
        <v>2384.9179140558299</v>
      </c>
      <c r="C3015" s="10">
        <v>-1.65408808796742</v>
      </c>
      <c r="D3015" s="10">
        <v>0.27046794920016398</v>
      </c>
      <c r="E3015" s="10">
        <v>-6.1156528633390304</v>
      </c>
      <c r="F3015" s="4">
        <v>9.6162451746963704E-10</v>
      </c>
      <c r="G3015" s="4">
        <v>1.96026456539293E-8</v>
      </c>
      <c r="H3015" s="10" t="s">
        <v>11512</v>
      </c>
      <c r="I3015" s="10" t="s">
        <v>18</v>
      </c>
    </row>
    <row r="3016" spans="1:9" x14ac:dyDescent="0.2">
      <c r="A3016" s="10" t="s">
        <v>11513</v>
      </c>
      <c r="B3016" s="10">
        <v>455.41790271860998</v>
      </c>
      <c r="C3016" s="10">
        <v>-1.5685667919059301</v>
      </c>
      <c r="D3016" s="10">
        <v>0.31021195051773398</v>
      </c>
      <c r="E3016" s="10">
        <v>-5.0564357346260804</v>
      </c>
      <c r="F3016" s="4">
        <v>4.2716472543231398E-7</v>
      </c>
      <c r="G3016" s="4">
        <v>5.7430938900319998E-6</v>
      </c>
      <c r="H3016" s="10" t="s">
        <v>11514</v>
      </c>
      <c r="I3016" s="10" t="s">
        <v>18</v>
      </c>
    </row>
    <row r="3017" spans="1:9" x14ac:dyDescent="0.2">
      <c r="A3017" s="10" t="s">
        <v>8270</v>
      </c>
      <c r="B3017" s="10">
        <v>1324.7354141420601</v>
      </c>
      <c r="C3017" s="10">
        <v>-1.3824250272194101</v>
      </c>
      <c r="D3017" s="10">
        <v>0.30870034470796698</v>
      </c>
      <c r="E3017" s="10">
        <v>-4.4782101831703303</v>
      </c>
      <c r="F3017" s="4">
        <v>7.5271471894480401E-6</v>
      </c>
      <c r="G3017" s="4">
        <v>7.96572938790767E-5</v>
      </c>
      <c r="H3017" s="10" t="s">
        <v>8271</v>
      </c>
      <c r="I3017" s="10" t="s">
        <v>18</v>
      </c>
    </row>
    <row r="3018" spans="1:9" x14ac:dyDescent="0.2">
      <c r="A3018" s="10" t="s">
        <v>8272</v>
      </c>
      <c r="B3018" s="10">
        <v>12.5972533294778</v>
      </c>
      <c r="C3018" s="10">
        <v>3.6184469928068799</v>
      </c>
      <c r="D3018" s="10">
        <v>1.1258300555290699</v>
      </c>
      <c r="E3018" s="10">
        <v>3.2140259313884001</v>
      </c>
      <c r="F3018" s="10">
        <v>1.3088785211214701E-3</v>
      </c>
      <c r="G3018" s="10">
        <v>7.6729991141483503E-3</v>
      </c>
      <c r="H3018" s="10" t="s">
        <v>8273</v>
      </c>
      <c r="I3018" s="10" t="s">
        <v>18</v>
      </c>
    </row>
    <row r="3019" spans="1:9" x14ac:dyDescent="0.2">
      <c r="A3019" s="10" t="s">
        <v>11515</v>
      </c>
      <c r="B3019" s="10">
        <v>98.6708893205317</v>
      </c>
      <c r="C3019" s="10">
        <v>-4.3540276288816697</v>
      </c>
      <c r="D3019" s="10">
        <v>0.54367184773861899</v>
      </c>
      <c r="E3019" s="10">
        <v>-8.0085581900038907</v>
      </c>
      <c r="F3019" s="4">
        <v>1.1606104388662001E-15</v>
      </c>
      <c r="G3019" s="4">
        <v>4.5123888082966598E-14</v>
      </c>
      <c r="H3019" s="10" t="s">
        <v>11516</v>
      </c>
      <c r="I3019" s="10" t="s">
        <v>18</v>
      </c>
    </row>
    <row r="3020" spans="1:9" x14ac:dyDescent="0.2">
      <c r="A3020" s="10" t="s">
        <v>11517</v>
      </c>
      <c r="B3020" s="10">
        <v>24.620074528688601</v>
      </c>
      <c r="C3020" s="10">
        <v>-3.2994346970352901</v>
      </c>
      <c r="D3020" s="10">
        <v>0.84896175259625395</v>
      </c>
      <c r="E3020" s="10">
        <v>-3.8864350330802599</v>
      </c>
      <c r="F3020" s="10">
        <v>1.01727135070418E-4</v>
      </c>
      <c r="G3020" s="10">
        <v>8.2413722470091896E-4</v>
      </c>
      <c r="H3020" s="10" t="s">
        <v>11518</v>
      </c>
      <c r="I3020" s="10" t="s">
        <v>18</v>
      </c>
    </row>
    <row r="3021" spans="1:9" x14ac:dyDescent="0.2">
      <c r="A3021" s="10" t="s">
        <v>8284</v>
      </c>
      <c r="B3021" s="10">
        <v>8.0061422831803295</v>
      </c>
      <c r="C3021" s="10">
        <v>6.5199450130535004</v>
      </c>
      <c r="D3021" s="10">
        <v>1.8253533491460801</v>
      </c>
      <c r="E3021" s="10">
        <v>3.5718810366790699</v>
      </c>
      <c r="F3021" s="10">
        <v>3.5442641076068601E-4</v>
      </c>
      <c r="G3021" s="10">
        <v>2.4820702568722299E-3</v>
      </c>
      <c r="H3021" s="10" t="s">
        <v>8285</v>
      </c>
      <c r="I3021" s="10" t="s">
        <v>18</v>
      </c>
    </row>
    <row r="3022" spans="1:9" x14ac:dyDescent="0.2">
      <c r="A3022" s="10" t="s">
        <v>8286</v>
      </c>
      <c r="B3022" s="10">
        <v>812.00267133071895</v>
      </c>
      <c r="C3022" s="10">
        <v>11.7442010192878</v>
      </c>
      <c r="D3022" s="10">
        <v>1.4429326091227399</v>
      </c>
      <c r="E3022" s="10">
        <v>8.1391195576541708</v>
      </c>
      <c r="F3022" s="4">
        <v>3.9816265115234899E-16</v>
      </c>
      <c r="G3022" s="4">
        <v>1.6076695810172299E-14</v>
      </c>
      <c r="H3022" s="10" t="s">
        <v>8287</v>
      </c>
      <c r="I3022" s="10" t="s">
        <v>18</v>
      </c>
    </row>
    <row r="3023" spans="1:9" x14ac:dyDescent="0.2">
      <c r="A3023" s="10" t="s">
        <v>11519</v>
      </c>
      <c r="B3023" s="10">
        <v>124.548011207616</v>
      </c>
      <c r="C3023" s="10">
        <v>1.30993234940067</v>
      </c>
      <c r="D3023" s="10">
        <v>0.37559242587068697</v>
      </c>
      <c r="E3023" s="10">
        <v>3.4876431449969401</v>
      </c>
      <c r="F3023" s="10">
        <v>4.8729799540980702E-4</v>
      </c>
      <c r="G3023" s="10">
        <v>3.2687949532089898E-3</v>
      </c>
      <c r="H3023" s="10" t="s">
        <v>11520</v>
      </c>
      <c r="I3023" s="10" t="s">
        <v>18</v>
      </c>
    </row>
    <row r="3024" spans="1:9" x14ac:dyDescent="0.2">
      <c r="A3024" s="10" t="s">
        <v>8288</v>
      </c>
      <c r="B3024" s="10">
        <v>1437.61659843806</v>
      </c>
      <c r="C3024" s="10">
        <v>-1.20648185477974</v>
      </c>
      <c r="D3024" s="10">
        <v>0.32026191690143102</v>
      </c>
      <c r="E3024" s="10">
        <v>-3.76717240205324</v>
      </c>
      <c r="F3024" s="10">
        <v>1.6510698656725699E-4</v>
      </c>
      <c r="G3024" s="10">
        <v>1.2585655294240501E-3</v>
      </c>
      <c r="H3024" s="10" t="s">
        <v>8289</v>
      </c>
      <c r="I3024" s="10" t="s">
        <v>18</v>
      </c>
    </row>
    <row r="3025" spans="1:9" x14ac:dyDescent="0.2">
      <c r="A3025" s="10" t="s">
        <v>11521</v>
      </c>
      <c r="B3025" s="10">
        <v>208.14641069691899</v>
      </c>
      <c r="C3025" s="10">
        <v>-1.23325211013536</v>
      </c>
      <c r="D3025" s="10">
        <v>0.36731482616018601</v>
      </c>
      <c r="E3025" s="10">
        <v>-3.3574798028913202</v>
      </c>
      <c r="F3025" s="10">
        <v>7.8656489741300601E-4</v>
      </c>
      <c r="G3025" s="10">
        <v>4.9626817325170601E-3</v>
      </c>
      <c r="H3025" s="10" t="s">
        <v>11522</v>
      </c>
      <c r="I3025" s="10" t="s">
        <v>18</v>
      </c>
    </row>
    <row r="3026" spans="1:9" x14ac:dyDescent="0.2">
      <c r="A3026" s="10" t="s">
        <v>8294</v>
      </c>
      <c r="B3026" s="10">
        <v>863.53964791220506</v>
      </c>
      <c r="C3026" s="10">
        <v>1.29684385018911</v>
      </c>
      <c r="D3026" s="10">
        <v>0.28207567068442002</v>
      </c>
      <c r="E3026" s="10">
        <v>4.5975033828422198</v>
      </c>
      <c r="F3026" s="4">
        <v>4.2758368797669801E-6</v>
      </c>
      <c r="G3026" s="4">
        <v>4.7697861068974899E-5</v>
      </c>
      <c r="H3026" s="10" t="s">
        <v>8295</v>
      </c>
      <c r="I3026" s="10" t="s">
        <v>18</v>
      </c>
    </row>
    <row r="3027" spans="1:9" x14ac:dyDescent="0.2">
      <c r="A3027" s="10" t="s">
        <v>8296</v>
      </c>
      <c r="B3027" s="10">
        <v>1302.94051034995</v>
      </c>
      <c r="C3027" s="10">
        <v>1.0455307977057999</v>
      </c>
      <c r="D3027" s="10">
        <v>0.278454972680026</v>
      </c>
      <c r="E3027" s="10">
        <v>3.7547571431134998</v>
      </c>
      <c r="F3027" s="10">
        <v>1.73509632193614E-4</v>
      </c>
      <c r="G3027" s="10">
        <v>1.3142531761006801E-3</v>
      </c>
      <c r="H3027" s="10" t="s">
        <v>8297</v>
      </c>
      <c r="I3027" s="10" t="s">
        <v>18</v>
      </c>
    </row>
    <row r="3028" spans="1:9" x14ac:dyDescent="0.2">
      <c r="A3028" s="10" t="s">
        <v>11523</v>
      </c>
      <c r="B3028" s="10">
        <v>70.768015229050206</v>
      </c>
      <c r="C3028" s="10">
        <v>-2.1804101854451501</v>
      </c>
      <c r="D3028" s="10">
        <v>0.47539884418934097</v>
      </c>
      <c r="E3028" s="10">
        <v>-4.5864860886719798</v>
      </c>
      <c r="F3028" s="4">
        <v>4.5076842339915503E-6</v>
      </c>
      <c r="G3028" s="4">
        <v>4.9995942198438002E-5</v>
      </c>
      <c r="H3028" s="10" t="s">
        <v>11524</v>
      </c>
      <c r="I3028" s="10" t="s">
        <v>18</v>
      </c>
    </row>
    <row r="3029" spans="1:9" x14ac:dyDescent="0.2">
      <c r="A3029" s="10" t="s">
        <v>11525</v>
      </c>
      <c r="B3029" s="10">
        <v>1330.6262730518099</v>
      </c>
      <c r="C3029" s="10">
        <v>-1.05505696141281</v>
      </c>
      <c r="D3029" s="10">
        <v>0.24642106383277401</v>
      </c>
      <c r="E3029" s="10">
        <v>-4.2815210071846499</v>
      </c>
      <c r="F3029" s="4">
        <v>1.8562019645807201E-5</v>
      </c>
      <c r="G3029" s="10">
        <v>1.79174061469793E-4</v>
      </c>
      <c r="H3029" s="10" t="s">
        <v>11526</v>
      </c>
      <c r="I3029" s="10" t="s">
        <v>18</v>
      </c>
    </row>
    <row r="3030" spans="1:9" x14ac:dyDescent="0.2">
      <c r="A3030" s="10" t="s">
        <v>8300</v>
      </c>
      <c r="B3030" s="10">
        <v>3681.5616438292</v>
      </c>
      <c r="C3030" s="10">
        <v>-2.1547582792800801</v>
      </c>
      <c r="D3030" s="10">
        <v>0.25494099172021001</v>
      </c>
      <c r="E3030" s="10">
        <v>-8.4519883002764207</v>
      </c>
      <c r="F3030" s="4">
        <v>2.8638330326316498E-17</v>
      </c>
      <c r="G3030" s="4">
        <v>1.28276007158258E-15</v>
      </c>
      <c r="H3030" s="10" t="s">
        <v>8301</v>
      </c>
      <c r="I3030" s="10" t="s">
        <v>18</v>
      </c>
    </row>
    <row r="3031" spans="1:9" x14ac:dyDescent="0.2">
      <c r="A3031" s="10" t="s">
        <v>8302</v>
      </c>
      <c r="B3031" s="10">
        <v>217.93453663115699</v>
      </c>
      <c r="C3031" s="10">
        <v>-3.02579066716324</v>
      </c>
      <c r="D3031" s="10">
        <v>0.37553718499706401</v>
      </c>
      <c r="E3031" s="10">
        <v>-8.0572331796833705</v>
      </c>
      <c r="F3031" s="4">
        <v>7.8040695035982998E-16</v>
      </c>
      <c r="G3031" s="4">
        <v>3.0721653890925698E-14</v>
      </c>
      <c r="H3031" s="10" t="s">
        <v>8303</v>
      </c>
      <c r="I3031" s="10" t="s">
        <v>18</v>
      </c>
    </row>
    <row r="3032" spans="1:9" x14ac:dyDescent="0.2">
      <c r="A3032" s="10" t="s">
        <v>11527</v>
      </c>
      <c r="B3032" s="10">
        <v>13.7496825984193</v>
      </c>
      <c r="C3032" s="10">
        <v>-3.0107724594032401</v>
      </c>
      <c r="D3032" s="10">
        <v>1.04438741313629</v>
      </c>
      <c r="E3032" s="10">
        <v>-2.88281189674808</v>
      </c>
      <c r="F3032" s="10">
        <v>3.9414272559494803E-3</v>
      </c>
      <c r="G3032" s="10">
        <v>1.9455769745566901E-2</v>
      </c>
      <c r="H3032" s="10" t="s">
        <v>11528</v>
      </c>
      <c r="I3032" s="10" t="s">
        <v>18</v>
      </c>
    </row>
    <row r="3033" spans="1:9" x14ac:dyDescent="0.2">
      <c r="A3033" s="10" t="s">
        <v>11529</v>
      </c>
      <c r="B3033" s="10">
        <v>87.7466971512724</v>
      </c>
      <c r="C3033" s="10">
        <v>-1.5251145647858699</v>
      </c>
      <c r="D3033" s="10">
        <v>0.45286041253752202</v>
      </c>
      <c r="E3033" s="10">
        <v>-3.3677365531691401</v>
      </c>
      <c r="F3033" s="10">
        <v>7.5787978437480397E-4</v>
      </c>
      <c r="G3033" s="10">
        <v>4.8203453795064898E-3</v>
      </c>
      <c r="H3033" s="10" t="s">
        <v>11530</v>
      </c>
      <c r="I3033" s="10" t="s">
        <v>18</v>
      </c>
    </row>
    <row r="3034" spans="1:9" x14ac:dyDescent="0.2">
      <c r="A3034" s="10" t="s">
        <v>8306</v>
      </c>
      <c r="B3034" s="10">
        <v>92.632795008392804</v>
      </c>
      <c r="C3034" s="10">
        <v>2.42471964060113</v>
      </c>
      <c r="D3034" s="10">
        <v>0.47291047175765299</v>
      </c>
      <c r="E3034" s="10">
        <v>5.1272276369547196</v>
      </c>
      <c r="F3034" s="4">
        <v>2.9403991085737299E-7</v>
      </c>
      <c r="G3034" s="4">
        <v>4.06405162506441E-6</v>
      </c>
      <c r="H3034" s="10" t="s">
        <v>8307</v>
      </c>
      <c r="I3034" s="10" t="s">
        <v>18</v>
      </c>
    </row>
    <row r="3035" spans="1:9" x14ac:dyDescent="0.2">
      <c r="A3035" s="10" t="s">
        <v>8316</v>
      </c>
      <c r="B3035" s="10">
        <v>66.629190112642206</v>
      </c>
      <c r="C3035" s="10">
        <v>2.5688050917776302</v>
      </c>
      <c r="D3035" s="10">
        <v>0.50240423550556501</v>
      </c>
      <c r="E3035" s="10">
        <v>5.1130243541690401</v>
      </c>
      <c r="F3035" s="4">
        <v>3.1704140463581898E-7</v>
      </c>
      <c r="G3035" s="4">
        <v>4.3485150128756997E-6</v>
      </c>
      <c r="H3035" s="10" t="s">
        <v>8317</v>
      </c>
      <c r="I3035" s="10" t="s">
        <v>18</v>
      </c>
    </row>
    <row r="3036" spans="1:9" x14ac:dyDescent="0.2">
      <c r="A3036" s="10" t="s">
        <v>11531</v>
      </c>
      <c r="B3036" s="10">
        <v>1336.47345016964</v>
      </c>
      <c r="C3036" s="10">
        <v>1.3022075688499399</v>
      </c>
      <c r="D3036" s="10">
        <v>0.29221565124682902</v>
      </c>
      <c r="E3036" s="10">
        <v>4.4563238255503101</v>
      </c>
      <c r="F3036" s="4">
        <v>8.3377058999104208E-6</v>
      </c>
      <c r="G3036" s="4">
        <v>8.7280479364230796E-5</v>
      </c>
      <c r="H3036" s="10" t="s">
        <v>11532</v>
      </c>
      <c r="I3036" s="10" t="s">
        <v>18</v>
      </c>
    </row>
    <row r="3037" spans="1:9" x14ac:dyDescent="0.2">
      <c r="A3037" s="10" t="s">
        <v>11533</v>
      </c>
      <c r="B3037" s="10">
        <v>50.388951820718503</v>
      </c>
      <c r="C3037" s="10">
        <v>-1.81087207929688</v>
      </c>
      <c r="D3037" s="10">
        <v>0.55352717757398295</v>
      </c>
      <c r="E3037" s="10">
        <v>-3.2715143043809101</v>
      </c>
      <c r="F3037" s="10">
        <v>1.06973176822026E-3</v>
      </c>
      <c r="G3037" s="10">
        <v>6.4654259081164201E-3</v>
      </c>
      <c r="H3037" s="10" t="s">
        <v>11534</v>
      </c>
      <c r="I3037" s="10" t="s">
        <v>18</v>
      </c>
    </row>
    <row r="3038" spans="1:9" x14ac:dyDescent="0.2">
      <c r="A3038" s="10" t="s">
        <v>8332</v>
      </c>
      <c r="B3038" s="10">
        <v>447.192400917241</v>
      </c>
      <c r="C3038" s="10">
        <v>-1.14272123035428</v>
      </c>
      <c r="D3038" s="10">
        <v>0.27598713849009299</v>
      </c>
      <c r="E3038" s="10">
        <v>-4.1404872582325201</v>
      </c>
      <c r="F3038" s="4">
        <v>3.4656886063025802E-5</v>
      </c>
      <c r="G3038" s="10">
        <v>3.1609643542981002E-4</v>
      </c>
      <c r="H3038" s="10" t="s">
        <v>8333</v>
      </c>
      <c r="I3038" s="10" t="s">
        <v>18</v>
      </c>
    </row>
    <row r="3039" spans="1:9" x14ac:dyDescent="0.2">
      <c r="A3039" s="10" t="s">
        <v>8334</v>
      </c>
      <c r="B3039" s="10">
        <v>1133.1048316470101</v>
      </c>
      <c r="C3039" s="10">
        <v>1.3084340242594501</v>
      </c>
      <c r="D3039" s="10">
        <v>0.25739925447536999</v>
      </c>
      <c r="E3039" s="10">
        <v>5.0832859905763996</v>
      </c>
      <c r="F3039" s="4">
        <v>3.70960501852362E-7</v>
      </c>
      <c r="G3039" s="4">
        <v>5.02775400005181E-6</v>
      </c>
      <c r="H3039" s="10" t="s">
        <v>8335</v>
      </c>
      <c r="I3039" s="10" t="s">
        <v>18</v>
      </c>
    </row>
    <row r="3040" spans="1:9" x14ac:dyDescent="0.2">
      <c r="A3040" s="10" t="s">
        <v>11535</v>
      </c>
      <c r="B3040" s="10">
        <v>435.14804503183501</v>
      </c>
      <c r="C3040" s="10">
        <v>-1.21914693002494</v>
      </c>
      <c r="D3040" s="10">
        <v>0.30334286149420697</v>
      </c>
      <c r="E3040" s="10">
        <v>-4.0190394592431096</v>
      </c>
      <c r="F3040" s="4">
        <v>5.8435884717854999E-5</v>
      </c>
      <c r="G3040" s="10">
        <v>5.0513906531877799E-4</v>
      </c>
      <c r="H3040" s="10" t="s">
        <v>11536</v>
      </c>
      <c r="I3040" s="10" t="s">
        <v>18</v>
      </c>
    </row>
    <row r="3041" spans="1:9" x14ac:dyDescent="0.2">
      <c r="A3041" s="10" t="s">
        <v>11537</v>
      </c>
      <c r="B3041" s="10">
        <v>390.62809593677099</v>
      </c>
      <c r="C3041" s="10">
        <v>-1.0431170896590201</v>
      </c>
      <c r="D3041" s="10">
        <v>0.302139558791853</v>
      </c>
      <c r="E3041" s="10">
        <v>-3.4524346756514501</v>
      </c>
      <c r="F3041" s="10">
        <v>5.5555197613413397E-4</v>
      </c>
      <c r="G3041" s="10">
        <v>3.66795536998797E-3</v>
      </c>
      <c r="H3041" s="10" t="s">
        <v>11538</v>
      </c>
      <c r="I3041" s="10" t="s">
        <v>18</v>
      </c>
    </row>
    <row r="3042" spans="1:9" x14ac:dyDescent="0.2">
      <c r="A3042" s="10" t="s">
        <v>8338</v>
      </c>
      <c r="B3042" s="10">
        <v>336.26870479914299</v>
      </c>
      <c r="C3042" s="10">
        <v>7.6440630329414399</v>
      </c>
      <c r="D3042" s="10">
        <v>0.63837388431967701</v>
      </c>
      <c r="E3042" s="10">
        <v>11.9742727901343</v>
      </c>
      <c r="F3042" s="4">
        <v>4.8466860053985998E-33</v>
      </c>
      <c r="G3042" s="4">
        <v>5.5670496103105803E-31</v>
      </c>
      <c r="H3042" s="10" t="s">
        <v>8339</v>
      </c>
      <c r="I3042" s="10" t="s">
        <v>18</v>
      </c>
    </row>
    <row r="3043" spans="1:9" x14ac:dyDescent="0.2">
      <c r="A3043" s="10" t="s">
        <v>8354</v>
      </c>
      <c r="B3043" s="10">
        <v>43.799990873306797</v>
      </c>
      <c r="C3043" s="10">
        <v>3.7273601059174499</v>
      </c>
      <c r="D3043" s="10">
        <v>0.64634011345740805</v>
      </c>
      <c r="E3043" s="10">
        <v>5.7668710765590898</v>
      </c>
      <c r="F3043" s="4">
        <v>8.0756781154887193E-9</v>
      </c>
      <c r="G3043" s="4">
        <v>1.44278183945397E-7</v>
      </c>
      <c r="H3043" s="10" t="s">
        <v>8355</v>
      </c>
      <c r="I3043" s="10" t="s">
        <v>18</v>
      </c>
    </row>
    <row r="3044" spans="1:9" x14ac:dyDescent="0.2">
      <c r="A3044" s="10" t="s">
        <v>8356</v>
      </c>
      <c r="B3044" s="10">
        <v>251.48727144406001</v>
      </c>
      <c r="C3044" s="10">
        <v>-1.9126760294796901</v>
      </c>
      <c r="D3044" s="10">
        <v>0.363673114834066</v>
      </c>
      <c r="E3044" s="10">
        <v>-5.2593275429567701</v>
      </c>
      <c r="F3044" s="4">
        <v>1.4458315360349601E-7</v>
      </c>
      <c r="G3044" s="4">
        <v>2.12440959631772E-6</v>
      </c>
      <c r="H3044" s="10" t="s">
        <v>8357</v>
      </c>
      <c r="I3044" s="10" t="s">
        <v>18</v>
      </c>
    </row>
    <row r="3045" spans="1:9" x14ac:dyDescent="0.2">
      <c r="A3045" s="10" t="s">
        <v>8362</v>
      </c>
      <c r="B3045" s="10">
        <v>1256.5669445344499</v>
      </c>
      <c r="C3045" s="10">
        <v>1.0958310757946499</v>
      </c>
      <c r="D3045" s="10">
        <v>0.29915612431510102</v>
      </c>
      <c r="E3045" s="10">
        <v>3.6630741834334399</v>
      </c>
      <c r="F3045" s="10">
        <v>2.4920632833613798E-4</v>
      </c>
      <c r="G3045" s="10">
        <v>1.81388460338413E-3</v>
      </c>
      <c r="H3045" s="10" t="s">
        <v>8363</v>
      </c>
      <c r="I3045" s="10" t="s">
        <v>18</v>
      </c>
    </row>
    <row r="3046" spans="1:9" x14ac:dyDescent="0.2">
      <c r="A3046" s="10" t="s">
        <v>8364</v>
      </c>
      <c r="B3046" s="10">
        <v>14.4021325200509</v>
      </c>
      <c r="C3046" s="10">
        <v>2.94872813455844</v>
      </c>
      <c r="D3046" s="10">
        <v>0.97864024385923598</v>
      </c>
      <c r="E3046" s="10">
        <v>3.01308693675852</v>
      </c>
      <c r="F3046" s="10">
        <v>2.58604822879465E-3</v>
      </c>
      <c r="G3046" s="10">
        <v>1.3583638169832799E-2</v>
      </c>
      <c r="H3046" s="10" t="s">
        <v>8365</v>
      </c>
      <c r="I3046" s="10" t="s">
        <v>18</v>
      </c>
    </row>
    <row r="3047" spans="1:9" x14ac:dyDescent="0.2">
      <c r="A3047" s="10" t="s">
        <v>11539</v>
      </c>
      <c r="B3047" s="10">
        <v>1008.2043953825701</v>
      </c>
      <c r="C3047" s="10">
        <v>1.1243281664232401</v>
      </c>
      <c r="D3047" s="10">
        <v>0.27400238697394202</v>
      </c>
      <c r="E3047" s="10">
        <v>4.1033517220058604</v>
      </c>
      <c r="F3047" s="4">
        <v>4.0720746997524597E-5</v>
      </c>
      <c r="G3047" s="10">
        <v>3.64012221294503E-4</v>
      </c>
      <c r="H3047" s="10" t="s">
        <v>11540</v>
      </c>
      <c r="I3047" s="10" t="s">
        <v>18</v>
      </c>
    </row>
    <row r="3048" spans="1:9" x14ac:dyDescent="0.2">
      <c r="A3048" s="10" t="s">
        <v>8372</v>
      </c>
      <c r="B3048" s="10">
        <v>10622.4993907355</v>
      </c>
      <c r="C3048" s="10">
        <v>-1.1510594039553099</v>
      </c>
      <c r="D3048" s="10">
        <v>0.24956634392532501</v>
      </c>
      <c r="E3048" s="10">
        <v>-4.6122381161288697</v>
      </c>
      <c r="F3048" s="4">
        <v>3.9835627442239003E-6</v>
      </c>
      <c r="G3048" s="4">
        <v>4.4595692403628E-5</v>
      </c>
      <c r="H3048" s="10" t="s">
        <v>8373</v>
      </c>
      <c r="I3048" s="10" t="s">
        <v>18</v>
      </c>
    </row>
    <row r="3049" spans="1:9" x14ac:dyDescent="0.2">
      <c r="A3049" s="10" t="s">
        <v>8378</v>
      </c>
      <c r="B3049" s="10">
        <v>5419.74539657892</v>
      </c>
      <c r="C3049" s="10">
        <v>2.4275676044251302</v>
      </c>
      <c r="D3049" s="10">
        <v>0.29693051699184903</v>
      </c>
      <c r="E3049" s="10">
        <v>8.1755409616310093</v>
      </c>
      <c r="F3049" s="4">
        <v>2.9454134833579E-16</v>
      </c>
      <c r="G3049" s="4">
        <v>1.2126329979356401E-14</v>
      </c>
      <c r="H3049" s="10" t="s">
        <v>8379</v>
      </c>
      <c r="I3049" s="10" t="s">
        <v>18</v>
      </c>
    </row>
    <row r="3050" spans="1:9" x14ac:dyDescent="0.2">
      <c r="A3050" s="10" t="s">
        <v>11541</v>
      </c>
      <c r="B3050" s="10">
        <v>7727.0412957626704</v>
      </c>
      <c r="C3050" s="10">
        <v>1.34499327760777</v>
      </c>
      <c r="D3050" s="10">
        <v>0.23781448171642999</v>
      </c>
      <c r="E3050" s="10">
        <v>5.6556407662824304</v>
      </c>
      <c r="F3050" s="4">
        <v>1.55265914567615E-8</v>
      </c>
      <c r="G3050" s="4">
        <v>2.66056817503295E-7</v>
      </c>
      <c r="H3050" s="10" t="s">
        <v>11542</v>
      </c>
      <c r="I3050" s="10" t="s">
        <v>18</v>
      </c>
    </row>
    <row r="3051" spans="1:9" x14ac:dyDescent="0.2">
      <c r="A3051" s="10" t="s">
        <v>8380</v>
      </c>
      <c r="B3051" s="10">
        <v>1184.1543856129299</v>
      </c>
      <c r="C3051" s="10">
        <v>-1.2854943845567901</v>
      </c>
      <c r="D3051" s="10">
        <v>0.31152046039076497</v>
      </c>
      <c r="E3051" s="10">
        <v>-4.1265167075841003</v>
      </c>
      <c r="F3051" s="4">
        <v>3.6829925837003501E-5</v>
      </c>
      <c r="G3051" s="10">
        <v>3.3273179105467598E-4</v>
      </c>
      <c r="H3051" s="10" t="s">
        <v>8381</v>
      </c>
      <c r="I3051" s="10" t="s">
        <v>18</v>
      </c>
    </row>
    <row r="3052" spans="1:9" x14ac:dyDescent="0.2">
      <c r="A3052" s="10" t="s">
        <v>11543</v>
      </c>
      <c r="B3052" s="10">
        <v>11800.696747334599</v>
      </c>
      <c r="C3052" s="10">
        <v>1.8115968516532699</v>
      </c>
      <c r="D3052" s="10">
        <v>0.25578213233119901</v>
      </c>
      <c r="E3052" s="10">
        <v>7.0825777983097398</v>
      </c>
      <c r="F3052" s="4">
        <v>1.41497275626213E-12</v>
      </c>
      <c r="G3052" s="4">
        <v>4.0128116892642503E-11</v>
      </c>
      <c r="H3052" s="10" t="s">
        <v>11544</v>
      </c>
      <c r="I3052" s="10" t="s">
        <v>18</v>
      </c>
    </row>
    <row r="3053" spans="1:9" x14ac:dyDescent="0.2">
      <c r="A3053" s="10" t="s">
        <v>8388</v>
      </c>
      <c r="B3053" s="10">
        <v>23214.6954397679</v>
      </c>
      <c r="C3053" s="10">
        <v>1.08524977753481</v>
      </c>
      <c r="D3053" s="10">
        <v>0.23747109336526501</v>
      </c>
      <c r="E3053" s="10">
        <v>4.5700289755500298</v>
      </c>
      <c r="F3053" s="4">
        <v>4.8765678608741701E-6</v>
      </c>
      <c r="G3053" s="4">
        <v>5.3544331968699099E-5</v>
      </c>
      <c r="H3053" s="10" t="s">
        <v>8389</v>
      </c>
      <c r="I3053" s="10" t="s">
        <v>18</v>
      </c>
    </row>
    <row r="3054" spans="1:9" x14ac:dyDescent="0.2">
      <c r="A3054" s="10" t="s">
        <v>8390</v>
      </c>
      <c r="B3054" s="10">
        <v>1895.58920367678</v>
      </c>
      <c r="C3054" s="10">
        <v>1.36323416795742</v>
      </c>
      <c r="D3054" s="10">
        <v>0.25714931107836903</v>
      </c>
      <c r="E3054" s="10">
        <v>5.3013331524810603</v>
      </c>
      <c r="F3054" s="4">
        <v>1.1496008291488001E-7</v>
      </c>
      <c r="G3054" s="4">
        <v>1.71113661877148E-6</v>
      </c>
      <c r="H3054" s="10" t="s">
        <v>8391</v>
      </c>
      <c r="I3054" s="10" t="s">
        <v>18</v>
      </c>
    </row>
    <row r="3055" spans="1:9" x14ac:dyDescent="0.2">
      <c r="A3055" s="10" t="s">
        <v>11545</v>
      </c>
      <c r="B3055" s="10">
        <v>1915.8709168094899</v>
      </c>
      <c r="C3055" s="10">
        <v>-1.18593229255635</v>
      </c>
      <c r="D3055" s="10">
        <v>0.26843703312148198</v>
      </c>
      <c r="E3055" s="10">
        <v>-4.4179161077959304</v>
      </c>
      <c r="F3055" s="4">
        <v>9.9657084814178302E-6</v>
      </c>
      <c r="G3055" s="10">
        <v>1.02071510424966E-4</v>
      </c>
      <c r="H3055" s="10" t="s">
        <v>11546</v>
      </c>
      <c r="I3055" s="10" t="s">
        <v>18</v>
      </c>
    </row>
    <row r="3056" spans="1:9" x14ac:dyDescent="0.2">
      <c r="A3056" s="10" t="s">
        <v>11547</v>
      </c>
      <c r="B3056" s="10">
        <v>35.272729916742897</v>
      </c>
      <c r="C3056" s="10">
        <v>-2.49643132829237</v>
      </c>
      <c r="D3056" s="10">
        <v>0.68168194205983801</v>
      </c>
      <c r="E3056" s="10">
        <v>-3.6621643823348302</v>
      </c>
      <c r="F3056" s="10">
        <v>2.5009328874948998E-4</v>
      </c>
      <c r="G3056" s="10">
        <v>1.8187616879136799E-3</v>
      </c>
      <c r="H3056" s="10" t="s">
        <v>11548</v>
      </c>
      <c r="I3056" s="10" t="s">
        <v>18</v>
      </c>
    </row>
    <row r="3057" spans="1:9" x14ac:dyDescent="0.2">
      <c r="A3057" s="10" t="s">
        <v>11549</v>
      </c>
      <c r="B3057" s="10">
        <v>4287.1381242008902</v>
      </c>
      <c r="C3057" s="10">
        <v>1.1112762953280999</v>
      </c>
      <c r="D3057" s="10">
        <v>0.25115848857231898</v>
      </c>
      <c r="E3057" s="10">
        <v>4.4246017789206196</v>
      </c>
      <c r="F3057" s="4">
        <v>9.6620344003899192E-6</v>
      </c>
      <c r="G3057" s="4">
        <v>9.9243967064846305E-5</v>
      </c>
      <c r="H3057" s="10" t="s">
        <v>11550</v>
      </c>
      <c r="I3057" s="10" t="s">
        <v>18</v>
      </c>
    </row>
    <row r="3058" spans="1:9" x14ac:dyDescent="0.2">
      <c r="A3058" s="10" t="s">
        <v>11551</v>
      </c>
      <c r="B3058" s="10">
        <v>13991.374968439301</v>
      </c>
      <c r="C3058" s="10">
        <v>1.21832768409378</v>
      </c>
      <c r="D3058" s="10">
        <v>0.28117095286990001</v>
      </c>
      <c r="E3058" s="10">
        <v>4.3330495972587704</v>
      </c>
      <c r="F3058" s="4">
        <v>1.4705796355069699E-5</v>
      </c>
      <c r="G3058" s="10">
        <v>1.4489788770535801E-4</v>
      </c>
      <c r="H3058" s="10" t="s">
        <v>11552</v>
      </c>
      <c r="I3058" s="10" t="s">
        <v>18</v>
      </c>
    </row>
    <row r="3059" spans="1:9" x14ac:dyDescent="0.2">
      <c r="A3059" s="10" t="s">
        <v>8402</v>
      </c>
      <c r="B3059" s="10">
        <v>879.49585407545396</v>
      </c>
      <c r="C3059" s="10">
        <v>-3.4577051104998802</v>
      </c>
      <c r="D3059" s="10">
        <v>0.27311510250497401</v>
      </c>
      <c r="E3059" s="10">
        <v>-12.660248659946999</v>
      </c>
      <c r="F3059" s="4">
        <v>9.8187851305470797E-37</v>
      </c>
      <c r="G3059" s="4">
        <v>1.34968054622356E-34</v>
      </c>
      <c r="H3059" s="10" t="s">
        <v>8403</v>
      </c>
      <c r="I3059" s="10" t="s">
        <v>18</v>
      </c>
    </row>
    <row r="3060" spans="1:9" x14ac:dyDescent="0.2">
      <c r="A3060" s="10" t="s">
        <v>11553</v>
      </c>
      <c r="B3060" s="10">
        <v>740.699696152451</v>
      </c>
      <c r="C3060" s="10">
        <v>-1.9579368895040099</v>
      </c>
      <c r="D3060" s="10">
        <v>0.293886628792629</v>
      </c>
      <c r="E3060" s="10">
        <v>-6.6622183443587701</v>
      </c>
      <c r="F3060" s="4">
        <v>2.6972489892127901E-11</v>
      </c>
      <c r="G3060" s="4">
        <v>6.60012629607469E-10</v>
      </c>
      <c r="H3060" s="10" t="s">
        <v>11554</v>
      </c>
      <c r="I3060" s="10" t="s">
        <v>18</v>
      </c>
    </row>
    <row r="3061" spans="1:9" x14ac:dyDescent="0.2">
      <c r="A3061" s="10" t="s">
        <v>11555</v>
      </c>
      <c r="B3061" s="10">
        <v>53.753637144804998</v>
      </c>
      <c r="C3061" s="10">
        <v>-1.95361042654364</v>
      </c>
      <c r="D3061" s="10">
        <v>0.546339320977557</v>
      </c>
      <c r="E3061" s="10">
        <v>-3.5758188208896899</v>
      </c>
      <c r="F3061" s="10">
        <v>3.4913339559751699E-4</v>
      </c>
      <c r="G3061" s="10">
        <v>2.4496115113432902E-3</v>
      </c>
      <c r="H3061" s="10" t="s">
        <v>11556</v>
      </c>
      <c r="I3061" s="10" t="s">
        <v>18</v>
      </c>
    </row>
    <row r="3062" spans="1:9" x14ac:dyDescent="0.2">
      <c r="A3062" s="10" t="s">
        <v>11557</v>
      </c>
      <c r="B3062" s="10">
        <v>502.669034827019</v>
      </c>
      <c r="C3062" s="10">
        <v>1.40368569056885</v>
      </c>
      <c r="D3062" s="10">
        <v>0.29561095624121603</v>
      </c>
      <c r="E3062" s="10">
        <v>4.7484224144366598</v>
      </c>
      <c r="F3062" s="4">
        <v>2.0500950407508099E-6</v>
      </c>
      <c r="G3062" s="4">
        <v>2.41320265559601E-5</v>
      </c>
      <c r="H3062" s="10" t="s">
        <v>11558</v>
      </c>
      <c r="I3062" s="10" t="s">
        <v>18</v>
      </c>
    </row>
    <row r="3063" spans="1:9" x14ac:dyDescent="0.2">
      <c r="A3063" s="10" t="s">
        <v>8420</v>
      </c>
      <c r="B3063" s="10">
        <v>880.27196855493503</v>
      </c>
      <c r="C3063" s="10">
        <v>-1.48251868759035</v>
      </c>
      <c r="D3063" s="10">
        <v>0.290354480252486</v>
      </c>
      <c r="E3063" s="10">
        <v>-5.1058922400686999</v>
      </c>
      <c r="F3063" s="4">
        <v>3.2923728317767601E-7</v>
      </c>
      <c r="G3063" s="4">
        <v>4.4937405633936202E-6</v>
      </c>
      <c r="H3063" s="10" t="s">
        <v>8421</v>
      </c>
      <c r="I3063" s="10" t="s">
        <v>18</v>
      </c>
    </row>
    <row r="3064" spans="1:9" x14ac:dyDescent="0.2">
      <c r="A3064" s="10" t="s">
        <v>11559</v>
      </c>
      <c r="B3064" s="10">
        <v>22499.703719284102</v>
      </c>
      <c r="C3064" s="10">
        <v>1.1792000487602301</v>
      </c>
      <c r="D3064" s="10">
        <v>0.301214356649744</v>
      </c>
      <c r="E3064" s="10">
        <v>3.9148202027150401</v>
      </c>
      <c r="F3064" s="4">
        <v>9.0471600342995797E-5</v>
      </c>
      <c r="G3064" s="10">
        <v>7.4348680386411602E-4</v>
      </c>
      <c r="H3064" s="10" t="s">
        <v>11560</v>
      </c>
      <c r="I3064" s="10" t="s">
        <v>18</v>
      </c>
    </row>
    <row r="3065" spans="1:9" x14ac:dyDescent="0.2">
      <c r="A3065" s="10" t="s">
        <v>8422</v>
      </c>
      <c r="B3065" s="10">
        <v>61.758152862767901</v>
      </c>
      <c r="C3065" s="10">
        <v>5.6724241722472799</v>
      </c>
      <c r="D3065" s="10">
        <v>0.78778841076154305</v>
      </c>
      <c r="E3065" s="10">
        <v>7.2004412539705198</v>
      </c>
      <c r="F3065" s="4">
        <v>6.0018011966419799E-13</v>
      </c>
      <c r="G3065" s="4">
        <v>1.7761801070768101E-11</v>
      </c>
      <c r="H3065" s="10" t="s">
        <v>8423</v>
      </c>
      <c r="I3065" s="10" t="s">
        <v>18</v>
      </c>
    </row>
    <row r="3066" spans="1:9" x14ac:dyDescent="0.2">
      <c r="A3066" s="10" t="s">
        <v>8424</v>
      </c>
      <c r="B3066" s="10">
        <v>19.2939671655014</v>
      </c>
      <c r="C3066" s="10">
        <v>2.83289812317742</v>
      </c>
      <c r="D3066" s="10">
        <v>0.84592462400136104</v>
      </c>
      <c r="E3066" s="10">
        <v>3.3488777165243699</v>
      </c>
      <c r="F3066" s="10">
        <v>8.11395984672519E-4</v>
      </c>
      <c r="G3066" s="10">
        <v>5.1001164403891098E-3</v>
      </c>
      <c r="H3066" s="10" t="s">
        <v>8425</v>
      </c>
      <c r="I3066" s="10" t="s">
        <v>18</v>
      </c>
    </row>
    <row r="3067" spans="1:9" x14ac:dyDescent="0.2">
      <c r="A3067" s="10" t="s">
        <v>8426</v>
      </c>
      <c r="B3067" s="10">
        <v>114.559840140539</v>
      </c>
      <c r="C3067" s="10">
        <v>8.9168895666801298</v>
      </c>
      <c r="D3067" s="10">
        <v>1.4636021052585899</v>
      </c>
      <c r="E3067" s="10">
        <v>6.0924273985686197</v>
      </c>
      <c r="F3067" s="4">
        <v>1.11211286056817E-9</v>
      </c>
      <c r="G3067" s="4">
        <v>2.2506193891868299E-8</v>
      </c>
      <c r="H3067" s="10" t="s">
        <v>8427</v>
      </c>
      <c r="I3067" s="10" t="s">
        <v>18</v>
      </c>
    </row>
    <row r="3068" spans="1:9" x14ac:dyDescent="0.2">
      <c r="A3068" s="10" t="s">
        <v>8432</v>
      </c>
      <c r="B3068" s="10">
        <v>2426.2866751585998</v>
      </c>
      <c r="C3068" s="10">
        <v>2.6351573778103901</v>
      </c>
      <c r="D3068" s="10">
        <v>0.242909747780158</v>
      </c>
      <c r="E3068" s="10">
        <v>10.848298192608199</v>
      </c>
      <c r="F3068" s="4">
        <v>2.0317291938262702E-27</v>
      </c>
      <c r="G3068" s="4">
        <v>1.8187952978896699E-25</v>
      </c>
      <c r="H3068" s="10" t="s">
        <v>8433</v>
      </c>
      <c r="I3068" s="10" t="s">
        <v>18</v>
      </c>
    </row>
    <row r="3069" spans="1:9" x14ac:dyDescent="0.2">
      <c r="A3069" s="10" t="s">
        <v>8434</v>
      </c>
      <c r="B3069" s="10">
        <v>37.179719106992501</v>
      </c>
      <c r="C3069" s="10">
        <v>6.2919354171739101</v>
      </c>
      <c r="D3069" s="10">
        <v>1.16847359307453</v>
      </c>
      <c r="E3069" s="10">
        <v>5.38474763526178</v>
      </c>
      <c r="F3069" s="4">
        <v>7.2546362061729296E-8</v>
      </c>
      <c r="G3069" s="4">
        <v>1.1093639742631E-6</v>
      </c>
      <c r="H3069" s="10" t="s">
        <v>8435</v>
      </c>
      <c r="I3069" s="10" t="s">
        <v>18</v>
      </c>
    </row>
    <row r="3070" spans="1:9" x14ac:dyDescent="0.2">
      <c r="A3070" s="10" t="s">
        <v>11561</v>
      </c>
      <c r="B3070" s="10">
        <v>95.375500949905202</v>
      </c>
      <c r="C3070" s="10">
        <v>-2.5887193330248</v>
      </c>
      <c r="D3070" s="10">
        <v>0.440152578373881</v>
      </c>
      <c r="E3070" s="10">
        <v>-5.8814135375252699</v>
      </c>
      <c r="F3070" s="4">
        <v>4.0677742486304697E-9</v>
      </c>
      <c r="G3070" s="4">
        <v>7.6134569363318105E-8</v>
      </c>
      <c r="H3070" s="10" t="s">
        <v>11562</v>
      </c>
      <c r="I3070" s="10" t="s">
        <v>18</v>
      </c>
    </row>
    <row r="3071" spans="1:9" x14ac:dyDescent="0.2">
      <c r="A3071" s="10" t="s">
        <v>8442</v>
      </c>
      <c r="B3071" s="10">
        <v>8214.5170373358706</v>
      </c>
      <c r="C3071" s="10">
        <v>1.9241667535728399</v>
      </c>
      <c r="D3071" s="10">
        <v>0.24407434399538</v>
      </c>
      <c r="E3071" s="10">
        <v>7.8835272977698096</v>
      </c>
      <c r="F3071" s="4">
        <v>3.1826659688877902E-15</v>
      </c>
      <c r="G3071" s="4">
        <v>1.18256960778984E-13</v>
      </c>
      <c r="H3071" s="10" t="s">
        <v>8443</v>
      </c>
      <c r="I3071" s="10" t="s">
        <v>18</v>
      </c>
    </row>
    <row r="3072" spans="1:9" x14ac:dyDescent="0.2">
      <c r="A3072" s="10" t="s">
        <v>8444</v>
      </c>
      <c r="B3072" s="10">
        <v>45.588331522536798</v>
      </c>
      <c r="C3072" s="10">
        <v>1.4992008304183699</v>
      </c>
      <c r="D3072" s="10">
        <v>0.53794883093801205</v>
      </c>
      <c r="E3072" s="10">
        <v>2.78688370379807</v>
      </c>
      <c r="F3072" s="10">
        <v>5.3217573713361102E-3</v>
      </c>
      <c r="G3072" s="10">
        <v>2.4966207884363999E-2</v>
      </c>
      <c r="H3072" s="10" t="s">
        <v>8445</v>
      </c>
      <c r="I3072" s="10" t="s">
        <v>18</v>
      </c>
    </row>
    <row r="3073" spans="1:9" x14ac:dyDescent="0.2">
      <c r="A3073" s="10" t="s">
        <v>8450</v>
      </c>
      <c r="B3073" s="10">
        <v>456.42306791760899</v>
      </c>
      <c r="C3073" s="10">
        <v>-1.41910633139838</v>
      </c>
      <c r="D3073" s="10">
        <v>0.33826703618119802</v>
      </c>
      <c r="E3073" s="10">
        <v>-4.1952250134069002</v>
      </c>
      <c r="F3073" s="4">
        <v>2.7260083011484198E-5</v>
      </c>
      <c r="G3073" s="10">
        <v>2.5369122758190401E-4</v>
      </c>
      <c r="H3073" s="10" t="s">
        <v>8451</v>
      </c>
      <c r="I3073" s="10" t="s">
        <v>18</v>
      </c>
    </row>
    <row r="3074" spans="1:9" x14ac:dyDescent="0.2">
      <c r="A3074" s="10" t="s">
        <v>11563</v>
      </c>
      <c r="B3074" s="10">
        <v>1677.5134369359</v>
      </c>
      <c r="C3074" s="10">
        <v>1.06072613975432</v>
      </c>
      <c r="D3074" s="10">
        <v>0.27763118164621498</v>
      </c>
      <c r="E3074" s="10">
        <v>3.82063042582155</v>
      </c>
      <c r="F3074" s="10">
        <v>1.3311099001667601E-4</v>
      </c>
      <c r="G3074" s="10">
        <v>1.0434424910780601E-3</v>
      </c>
      <c r="H3074" s="10" t="s">
        <v>11564</v>
      </c>
      <c r="I3074" s="10" t="s">
        <v>18</v>
      </c>
    </row>
    <row r="3075" spans="1:9" x14ac:dyDescent="0.2">
      <c r="A3075" s="10" t="s">
        <v>8452</v>
      </c>
      <c r="B3075" s="10">
        <v>4391.20862919511</v>
      </c>
      <c r="C3075" s="10">
        <v>-3.98369052745536</v>
      </c>
      <c r="D3075" s="10">
        <v>0.302077203101557</v>
      </c>
      <c r="E3075" s="10">
        <v>-13.1876569517762</v>
      </c>
      <c r="F3075" s="4">
        <v>1.03347660789752E-39</v>
      </c>
      <c r="G3075" s="4">
        <v>1.68812364101702E-37</v>
      </c>
      <c r="H3075" s="10" t="s">
        <v>8453</v>
      </c>
      <c r="I3075" s="10" t="s">
        <v>18</v>
      </c>
    </row>
    <row r="3076" spans="1:9" x14ac:dyDescent="0.2">
      <c r="A3076" s="10" t="s">
        <v>8460</v>
      </c>
      <c r="B3076" s="10">
        <v>6545.6490504886297</v>
      </c>
      <c r="C3076" s="10">
        <v>2.0717360510018499</v>
      </c>
      <c r="D3076" s="10">
        <v>0.240428444649083</v>
      </c>
      <c r="E3076" s="10">
        <v>8.6168508639884198</v>
      </c>
      <c r="F3076" s="4">
        <v>6.88206781035375E-18</v>
      </c>
      <c r="G3076" s="4">
        <v>3.1940667116134402E-16</v>
      </c>
      <c r="H3076" s="10" t="s">
        <v>8461</v>
      </c>
      <c r="I3076" s="10" t="s">
        <v>18</v>
      </c>
    </row>
    <row r="3077" spans="1:9" x14ac:dyDescent="0.2">
      <c r="A3077" s="10" t="s">
        <v>8464</v>
      </c>
      <c r="B3077" s="10">
        <v>576.14585202359399</v>
      </c>
      <c r="C3077" s="10">
        <v>4.1613795484256304</v>
      </c>
      <c r="D3077" s="10">
        <v>0.32220467522105101</v>
      </c>
      <c r="E3077" s="10">
        <v>12.915329504671799</v>
      </c>
      <c r="F3077" s="4">
        <v>3.68861643360759E-38</v>
      </c>
      <c r="G3077" s="4">
        <v>5.6234634174181103E-36</v>
      </c>
      <c r="H3077" s="10" t="s">
        <v>8465</v>
      </c>
      <c r="I3077" s="10" t="s">
        <v>18</v>
      </c>
    </row>
    <row r="3078" spans="1:9" x14ac:dyDescent="0.2">
      <c r="A3078" s="10" t="s">
        <v>8466</v>
      </c>
      <c r="B3078" s="10">
        <v>562.52663493473096</v>
      </c>
      <c r="C3078" s="10">
        <v>-1.3036776607137099</v>
      </c>
      <c r="D3078" s="10">
        <v>0.31989482388199902</v>
      </c>
      <c r="E3078" s="10">
        <v>-4.0753321510278804</v>
      </c>
      <c r="F3078" s="4">
        <v>4.5948714983958799E-5</v>
      </c>
      <c r="G3078" s="10">
        <v>4.0612787260066203E-4</v>
      </c>
      <c r="H3078" s="10" t="s">
        <v>8467</v>
      </c>
      <c r="I3078" s="10" t="s">
        <v>18</v>
      </c>
    </row>
    <row r="3079" spans="1:9" x14ac:dyDescent="0.2">
      <c r="A3079" s="10" t="s">
        <v>11565</v>
      </c>
      <c r="B3079" s="10">
        <v>5019.7530435274502</v>
      </c>
      <c r="C3079" s="10">
        <v>1.31513456793331</v>
      </c>
      <c r="D3079" s="10">
        <v>0.2805111286791</v>
      </c>
      <c r="E3079" s="10">
        <v>4.6883507764064802</v>
      </c>
      <c r="F3079" s="4">
        <v>2.75415636179768E-6</v>
      </c>
      <c r="G3079" s="4">
        <v>3.1620631346882901E-5</v>
      </c>
      <c r="H3079" s="10" t="s">
        <v>11566</v>
      </c>
      <c r="I3079" s="10" t="s">
        <v>18</v>
      </c>
    </row>
    <row r="3080" spans="1:9" x14ac:dyDescent="0.2">
      <c r="A3080" s="10" t="s">
        <v>8468</v>
      </c>
      <c r="B3080" s="10">
        <v>1334.08759897658</v>
      </c>
      <c r="C3080" s="10">
        <v>-1.03667023482402</v>
      </c>
      <c r="D3080" s="10">
        <v>0.25558570054638602</v>
      </c>
      <c r="E3080" s="10">
        <v>-4.0560572544076301</v>
      </c>
      <c r="F3080" s="4">
        <v>4.9908030503963603E-5</v>
      </c>
      <c r="G3080" s="10">
        <v>4.38503844682922E-4</v>
      </c>
      <c r="H3080" s="10" t="s">
        <v>8469</v>
      </c>
      <c r="I3080" s="10" t="s">
        <v>18</v>
      </c>
    </row>
    <row r="3081" spans="1:9" x14ac:dyDescent="0.2">
      <c r="A3081" s="10" t="s">
        <v>8470</v>
      </c>
      <c r="B3081" s="10">
        <v>9185.2437532962704</v>
      </c>
      <c r="C3081" s="10">
        <v>2.1574888494886899</v>
      </c>
      <c r="D3081" s="10">
        <v>0.24110205828026501</v>
      </c>
      <c r="E3081" s="10">
        <v>8.9484464167483697</v>
      </c>
      <c r="F3081" s="4">
        <v>3.6052038261635401E-19</v>
      </c>
      <c r="G3081" s="4">
        <v>1.83209903529584E-17</v>
      </c>
      <c r="H3081" s="10" t="s">
        <v>8471</v>
      </c>
      <c r="I3081" s="10" t="s">
        <v>18</v>
      </c>
    </row>
    <row r="3082" spans="1:9" x14ac:dyDescent="0.2">
      <c r="A3082" s="10" t="s">
        <v>11567</v>
      </c>
      <c r="B3082" s="10">
        <v>1675.76715276046</v>
      </c>
      <c r="C3082" s="10">
        <v>-1.22862001316869</v>
      </c>
      <c r="D3082" s="10">
        <v>0.27662556202424299</v>
      </c>
      <c r="E3082" s="10">
        <v>-4.4414550997315896</v>
      </c>
      <c r="F3082" s="4">
        <v>8.9352592993542695E-6</v>
      </c>
      <c r="G3082" s="4">
        <v>9.2648989148910401E-5</v>
      </c>
      <c r="H3082" s="10" t="s">
        <v>11568</v>
      </c>
      <c r="I3082" s="10" t="s">
        <v>18</v>
      </c>
    </row>
    <row r="3083" spans="1:9" x14ac:dyDescent="0.2">
      <c r="A3083" s="10" t="s">
        <v>8472</v>
      </c>
      <c r="B3083" s="10">
        <v>20.4516531461061</v>
      </c>
      <c r="C3083" s="10">
        <v>4.7863555836170004</v>
      </c>
      <c r="D3083" s="10">
        <v>1.09454858084606</v>
      </c>
      <c r="E3083" s="10">
        <v>4.3729037407524096</v>
      </c>
      <c r="F3083" s="4">
        <v>1.2260479190916899E-5</v>
      </c>
      <c r="G3083" s="10">
        <v>1.2277561864948799E-4</v>
      </c>
      <c r="H3083" s="10" t="s">
        <v>8473</v>
      </c>
      <c r="I3083" s="10" t="s">
        <v>18</v>
      </c>
    </row>
    <row r="3084" spans="1:9" x14ac:dyDescent="0.2">
      <c r="A3084" s="10" t="s">
        <v>8476</v>
      </c>
      <c r="B3084" s="10">
        <v>8949.7941215963601</v>
      </c>
      <c r="C3084" s="10">
        <v>1.7696216654444099</v>
      </c>
      <c r="D3084" s="10">
        <v>0.28017498579460898</v>
      </c>
      <c r="E3084" s="10">
        <v>6.3161301157044996</v>
      </c>
      <c r="F3084" s="4">
        <v>2.6819426762633299E-10</v>
      </c>
      <c r="G3084" s="4">
        <v>5.8920758097296103E-9</v>
      </c>
      <c r="H3084" s="10" t="s">
        <v>8477</v>
      </c>
      <c r="I3084" s="10" t="s">
        <v>18</v>
      </c>
    </row>
    <row r="3085" spans="1:9" x14ac:dyDescent="0.2">
      <c r="A3085" s="10" t="s">
        <v>8482</v>
      </c>
      <c r="B3085" s="10">
        <v>293.25211956988102</v>
      </c>
      <c r="C3085" s="10">
        <v>3.4001762701913401</v>
      </c>
      <c r="D3085" s="10">
        <v>0.32264553440320798</v>
      </c>
      <c r="E3085" s="10">
        <v>10.5384265630101</v>
      </c>
      <c r="F3085" s="4">
        <v>5.7452048019397799E-26</v>
      </c>
      <c r="G3085" s="4">
        <v>4.8013497273353899E-24</v>
      </c>
      <c r="H3085" s="10" t="s">
        <v>8483</v>
      </c>
      <c r="I3085" s="10" t="s">
        <v>18</v>
      </c>
    </row>
    <row r="3086" spans="1:9" x14ac:dyDescent="0.2">
      <c r="A3086" s="10" t="s">
        <v>8484</v>
      </c>
      <c r="B3086" s="10">
        <v>1689.31799083292</v>
      </c>
      <c r="C3086" s="10">
        <v>1.9229275879824399</v>
      </c>
      <c r="D3086" s="10">
        <v>0.31094233757602002</v>
      </c>
      <c r="E3086" s="10">
        <v>6.1841935163053101</v>
      </c>
      <c r="F3086" s="4">
        <v>6.2420757550017503E-10</v>
      </c>
      <c r="G3086" s="4">
        <v>1.30849513014224E-8</v>
      </c>
      <c r="H3086" s="10" t="s">
        <v>8485</v>
      </c>
      <c r="I3086" s="10" t="s">
        <v>18</v>
      </c>
    </row>
    <row r="3087" spans="1:9" x14ac:dyDescent="0.2">
      <c r="A3087" s="10" t="s">
        <v>11569</v>
      </c>
      <c r="B3087" s="10">
        <v>118.018600927111</v>
      </c>
      <c r="C3087" s="10">
        <v>-2.21725933930494</v>
      </c>
      <c r="D3087" s="10">
        <v>0.43214994264005901</v>
      </c>
      <c r="E3087" s="10">
        <v>-5.1307639329058397</v>
      </c>
      <c r="F3087" s="4">
        <v>2.88568626722712E-7</v>
      </c>
      <c r="G3087" s="4">
        <v>3.9906233123748301E-6</v>
      </c>
      <c r="H3087" s="10" t="s">
        <v>11570</v>
      </c>
      <c r="I3087" s="10" t="s">
        <v>18</v>
      </c>
    </row>
    <row r="3088" spans="1:9" x14ac:dyDescent="0.2">
      <c r="A3088" s="10" t="s">
        <v>8488</v>
      </c>
      <c r="B3088" s="10">
        <v>1081.3970141448499</v>
      </c>
      <c r="C3088" s="10">
        <v>2.5727022785231002</v>
      </c>
      <c r="D3088" s="10">
        <v>0.256665574010914</v>
      </c>
      <c r="E3088" s="10">
        <v>10.0235580421615</v>
      </c>
      <c r="F3088" s="4">
        <v>1.20099813376616E-23</v>
      </c>
      <c r="G3088" s="4">
        <v>8.2997549601340001E-22</v>
      </c>
      <c r="H3088" s="10" t="s">
        <v>8489</v>
      </c>
      <c r="I3088" s="10" t="s">
        <v>18</v>
      </c>
    </row>
    <row r="3089" spans="1:9" x14ac:dyDescent="0.2">
      <c r="A3089" s="10" t="s">
        <v>8490</v>
      </c>
      <c r="B3089" s="10">
        <v>9915.0616514729409</v>
      </c>
      <c r="C3089" s="10">
        <v>-2.40989510939586</v>
      </c>
      <c r="D3089" s="10">
        <v>0.30293018527661097</v>
      </c>
      <c r="E3089" s="10">
        <v>-7.9552821954515602</v>
      </c>
      <c r="F3089" s="4">
        <v>1.78723672548228E-15</v>
      </c>
      <c r="G3089" s="4">
        <v>6.7809863996239294E-14</v>
      </c>
      <c r="H3089" s="10" t="s">
        <v>8491</v>
      </c>
      <c r="I3089" s="10" t="s">
        <v>18</v>
      </c>
    </row>
    <row r="3090" spans="1:9" x14ac:dyDescent="0.2">
      <c r="A3090" s="10" t="s">
        <v>8498</v>
      </c>
      <c r="B3090" s="10">
        <v>572.22063629242496</v>
      </c>
      <c r="C3090" s="10">
        <v>-1.31745660033152</v>
      </c>
      <c r="D3090" s="10">
        <v>0.31459625488342902</v>
      </c>
      <c r="E3090" s="10">
        <v>-4.1877694978272704</v>
      </c>
      <c r="F3090" s="4">
        <v>2.8170941055899601E-5</v>
      </c>
      <c r="G3090" s="10">
        <v>2.6100921630245E-4</v>
      </c>
      <c r="H3090" s="10" t="s">
        <v>8499</v>
      </c>
      <c r="I3090" s="10" t="s">
        <v>18</v>
      </c>
    </row>
    <row r="3091" spans="1:9" x14ac:dyDescent="0.2">
      <c r="A3091" s="10" t="s">
        <v>8500</v>
      </c>
      <c r="B3091" s="10">
        <v>1188.33045721396</v>
      </c>
      <c r="C3091" s="10">
        <v>2.8919535193755501</v>
      </c>
      <c r="D3091" s="10">
        <v>0.281254771506049</v>
      </c>
      <c r="E3091" s="10">
        <v>10.2823269588987</v>
      </c>
      <c r="F3091" s="4">
        <v>8.4658549871884204E-25</v>
      </c>
      <c r="G3091" s="4">
        <v>6.43379402425151E-23</v>
      </c>
      <c r="H3091" s="10" t="s">
        <v>8501</v>
      </c>
      <c r="I3091" s="10" t="s">
        <v>18</v>
      </c>
    </row>
    <row r="3092" spans="1:9" x14ac:dyDescent="0.2">
      <c r="A3092" s="10" t="s">
        <v>8502</v>
      </c>
      <c r="B3092" s="10">
        <v>751.78509259955501</v>
      </c>
      <c r="C3092" s="10">
        <v>5.1116451348534397</v>
      </c>
      <c r="D3092" s="10">
        <v>0.30684932830848299</v>
      </c>
      <c r="E3092" s="10">
        <v>16.658485658194401</v>
      </c>
      <c r="F3092" s="4">
        <v>2.6258924764510401E-62</v>
      </c>
      <c r="G3092" s="4">
        <v>1.0162203883865501E-59</v>
      </c>
      <c r="H3092" s="10" t="s">
        <v>8503</v>
      </c>
      <c r="I3092" s="10" t="s">
        <v>18</v>
      </c>
    </row>
    <row r="3093" spans="1:9" x14ac:dyDescent="0.2">
      <c r="A3093" s="10" t="s">
        <v>11571</v>
      </c>
      <c r="B3093" s="10">
        <v>247.19376585801501</v>
      </c>
      <c r="C3093" s="10">
        <v>1.1152236355273799</v>
      </c>
      <c r="D3093" s="10">
        <v>0.35216253531637398</v>
      </c>
      <c r="E3093" s="10">
        <v>3.1667867069547602</v>
      </c>
      <c r="F3093" s="10">
        <v>1.5413332420572299E-3</v>
      </c>
      <c r="G3093" s="10">
        <v>8.8178843993517598E-3</v>
      </c>
      <c r="H3093" s="10" t="s">
        <v>11572</v>
      </c>
      <c r="I3093" s="10" t="s">
        <v>18</v>
      </c>
    </row>
    <row r="3094" spans="1:9" x14ac:dyDescent="0.2">
      <c r="A3094" s="10" t="s">
        <v>8510</v>
      </c>
      <c r="B3094" s="10">
        <v>1786.0053519342</v>
      </c>
      <c r="C3094" s="10">
        <v>3.1715933736136299</v>
      </c>
      <c r="D3094" s="10">
        <v>0.29941166597624203</v>
      </c>
      <c r="E3094" s="10">
        <v>10.5927514990858</v>
      </c>
      <c r="F3094" s="4">
        <v>3.21985768049568E-26</v>
      </c>
      <c r="G3094" s="4">
        <v>2.7363351335428699E-24</v>
      </c>
      <c r="H3094" s="10" t="s">
        <v>8511</v>
      </c>
      <c r="I3094" s="10" t="s">
        <v>18</v>
      </c>
    </row>
    <row r="3095" spans="1:9" x14ac:dyDescent="0.2">
      <c r="A3095" s="10" t="s">
        <v>8512</v>
      </c>
      <c r="B3095" s="10">
        <v>22804.494150903301</v>
      </c>
      <c r="C3095" s="10">
        <v>4.6252406816687603</v>
      </c>
      <c r="D3095" s="10">
        <v>0.26912009242822899</v>
      </c>
      <c r="E3095" s="10">
        <v>17.1865305185352</v>
      </c>
      <c r="F3095" s="4">
        <v>3.34988449440201E-66</v>
      </c>
      <c r="G3095" s="4">
        <v>1.5604878603089399E-63</v>
      </c>
      <c r="H3095" s="10" t="s">
        <v>8513</v>
      </c>
      <c r="I3095" s="10" t="s">
        <v>18</v>
      </c>
    </row>
    <row r="3096" spans="1:9" x14ac:dyDescent="0.2">
      <c r="A3096" s="10" t="s">
        <v>8516</v>
      </c>
      <c r="B3096" s="10">
        <v>91.309215918651304</v>
      </c>
      <c r="C3096" s="10">
        <v>3.1838876465603301</v>
      </c>
      <c r="D3096" s="10">
        <v>0.479338013528119</v>
      </c>
      <c r="E3096" s="10">
        <v>6.6422598598547404</v>
      </c>
      <c r="F3096" s="4">
        <v>3.0890970795880402E-11</v>
      </c>
      <c r="G3096" s="4">
        <v>7.5023165474157599E-10</v>
      </c>
      <c r="H3096" s="10" t="s">
        <v>8517</v>
      </c>
      <c r="I3096" s="10" t="s">
        <v>18</v>
      </c>
    </row>
    <row r="3097" spans="1:9" x14ac:dyDescent="0.2">
      <c r="A3097" s="10" t="s">
        <v>8518</v>
      </c>
      <c r="B3097" s="10">
        <v>102.08700070307501</v>
      </c>
      <c r="C3097" s="10">
        <v>-2.3181296826787898</v>
      </c>
      <c r="D3097" s="10">
        <v>0.44991387907029001</v>
      </c>
      <c r="E3097" s="10">
        <v>-5.1523853575466898</v>
      </c>
      <c r="F3097" s="4">
        <v>2.5719384670657801E-7</v>
      </c>
      <c r="G3097" s="4">
        <v>3.5942840077244302E-6</v>
      </c>
      <c r="H3097" s="10" t="s">
        <v>8519</v>
      </c>
      <c r="I3097" s="10" t="s">
        <v>18</v>
      </c>
    </row>
    <row r="3098" spans="1:9" x14ac:dyDescent="0.2">
      <c r="A3098" s="10" t="s">
        <v>8526</v>
      </c>
      <c r="B3098" s="10">
        <v>13790.746207165101</v>
      </c>
      <c r="C3098" s="10">
        <v>7.7948296113031201</v>
      </c>
      <c r="D3098" s="10">
        <v>0.26566837221124101</v>
      </c>
      <c r="E3098" s="10">
        <v>29.340450074746698</v>
      </c>
      <c r="F3098" s="4">
        <v>3.1634415852996999E-189</v>
      </c>
      <c r="G3098" s="4">
        <v>3.9788186539106897E-185</v>
      </c>
      <c r="H3098" s="10" t="s">
        <v>8527</v>
      </c>
      <c r="I3098" s="10" t="s">
        <v>18</v>
      </c>
    </row>
    <row r="3099" spans="1:9" x14ac:dyDescent="0.2">
      <c r="A3099" s="10" t="s">
        <v>11573</v>
      </c>
      <c r="B3099" s="10">
        <v>14394.870155132799</v>
      </c>
      <c r="C3099" s="10">
        <v>1.28213112528923</v>
      </c>
      <c r="D3099" s="10">
        <v>0.231611711348085</v>
      </c>
      <c r="E3099" s="10">
        <v>5.5356921194815403</v>
      </c>
      <c r="F3099" s="4">
        <v>3.1000171245361302E-8</v>
      </c>
      <c r="G3099" s="4">
        <v>5.04078414788017E-7</v>
      </c>
      <c r="H3099" s="10" t="s">
        <v>11574</v>
      </c>
      <c r="I3099" s="10" t="s">
        <v>18</v>
      </c>
    </row>
    <row r="3100" spans="1:9" x14ac:dyDescent="0.2">
      <c r="A3100" s="10" t="s">
        <v>8530</v>
      </c>
      <c r="B3100" s="10">
        <v>3420.0640943488602</v>
      </c>
      <c r="C3100" s="10">
        <v>1.08168299995908</v>
      </c>
      <c r="D3100" s="10">
        <v>0.24490927032910401</v>
      </c>
      <c r="E3100" s="10">
        <v>4.4166682563936197</v>
      </c>
      <c r="F3100" s="4">
        <v>1.00233883658639E-5</v>
      </c>
      <c r="G3100" s="10">
        <v>1.02536939545875E-4</v>
      </c>
      <c r="H3100" s="10" t="s">
        <v>8531</v>
      </c>
      <c r="I3100" s="10" t="s">
        <v>18</v>
      </c>
    </row>
    <row r="3101" spans="1:9" x14ac:dyDescent="0.2">
      <c r="A3101" s="10" t="s">
        <v>11575</v>
      </c>
      <c r="B3101" s="10">
        <v>238.50220218972899</v>
      </c>
      <c r="C3101" s="10">
        <v>-1.5799556917997299</v>
      </c>
      <c r="D3101" s="10">
        <v>0.37319938093131</v>
      </c>
      <c r="E3101" s="10">
        <v>-4.2335431743134002</v>
      </c>
      <c r="F3101" s="4">
        <v>2.3003799495740902E-5</v>
      </c>
      <c r="G3101" s="10">
        <v>2.1754157004337001E-4</v>
      </c>
      <c r="H3101" s="10" t="s">
        <v>11576</v>
      </c>
      <c r="I3101" s="10" t="s">
        <v>18</v>
      </c>
    </row>
    <row r="3102" spans="1:9" x14ac:dyDescent="0.2">
      <c r="A3102" s="10" t="s">
        <v>8538</v>
      </c>
      <c r="B3102" s="10">
        <v>38.139758316880602</v>
      </c>
      <c r="C3102" s="10">
        <v>2.7607265569921502</v>
      </c>
      <c r="D3102" s="10">
        <v>0.63008309518757699</v>
      </c>
      <c r="E3102" s="10">
        <v>4.3815277351160802</v>
      </c>
      <c r="F3102" s="4">
        <v>1.1785003844613301E-5</v>
      </c>
      <c r="G3102" s="10">
        <v>1.1853329536635199E-4</v>
      </c>
      <c r="H3102" s="10" t="s">
        <v>8539</v>
      </c>
      <c r="I3102" s="10" t="s">
        <v>18</v>
      </c>
    </row>
    <row r="3103" spans="1:9" x14ac:dyDescent="0.2">
      <c r="A3103" s="10" t="s">
        <v>11577</v>
      </c>
      <c r="B3103" s="10">
        <v>2969.4127950206698</v>
      </c>
      <c r="C3103" s="10">
        <v>1.0465152980815</v>
      </c>
      <c r="D3103" s="10">
        <v>0.242937382318095</v>
      </c>
      <c r="E3103" s="10">
        <v>4.3077573656870198</v>
      </c>
      <c r="F3103" s="4">
        <v>1.64918149760723E-5</v>
      </c>
      <c r="G3103" s="10">
        <v>1.6098238483628201E-4</v>
      </c>
      <c r="H3103" s="10" t="s">
        <v>11578</v>
      </c>
      <c r="I3103" s="10" t="s">
        <v>18</v>
      </c>
    </row>
    <row r="3104" spans="1:9" x14ac:dyDescent="0.2">
      <c r="A3104" s="10" t="s">
        <v>8540</v>
      </c>
      <c r="B3104" s="10">
        <v>16.561093712248699</v>
      </c>
      <c r="C3104" s="10">
        <v>2.4444469186486399</v>
      </c>
      <c r="D3104" s="10">
        <v>0.89301670802940702</v>
      </c>
      <c r="E3104" s="10">
        <v>2.73729135935511</v>
      </c>
      <c r="F3104" s="10">
        <v>6.19474010209577E-3</v>
      </c>
      <c r="G3104" s="10">
        <v>2.83221896161794E-2</v>
      </c>
      <c r="H3104" s="10" t="s">
        <v>8541</v>
      </c>
      <c r="I3104" s="10" t="s">
        <v>18</v>
      </c>
    </row>
    <row r="3105" spans="1:9" x14ac:dyDescent="0.2">
      <c r="A3105" s="10" t="s">
        <v>8542</v>
      </c>
      <c r="B3105" s="10">
        <v>3645.1885174756599</v>
      </c>
      <c r="C3105" s="10">
        <v>-1.0766664533614401</v>
      </c>
      <c r="D3105" s="10">
        <v>0.26029099089082902</v>
      </c>
      <c r="E3105" s="10">
        <v>-4.1363953845525598</v>
      </c>
      <c r="F3105" s="4">
        <v>3.52804087483314E-5</v>
      </c>
      <c r="G3105" s="10">
        <v>3.2095276735995401E-4</v>
      </c>
      <c r="H3105" s="10" t="s">
        <v>8543</v>
      </c>
      <c r="I3105" s="10" t="s">
        <v>18</v>
      </c>
    </row>
    <row r="3106" spans="1:9" x14ac:dyDescent="0.2">
      <c r="A3106" s="10" t="s">
        <v>11579</v>
      </c>
      <c r="B3106" s="10">
        <v>407.59325542955997</v>
      </c>
      <c r="C3106" s="10">
        <v>-3.1886227365369799</v>
      </c>
      <c r="D3106" s="10">
        <v>0.304804344328716</v>
      </c>
      <c r="E3106" s="10">
        <v>-10.4612115800364</v>
      </c>
      <c r="F3106" s="4">
        <v>1.3018027683284801E-25</v>
      </c>
      <c r="G3106" s="4">
        <v>1.0563499560420299E-23</v>
      </c>
      <c r="H3106" s="10" t="s">
        <v>11580</v>
      </c>
      <c r="I3106" s="10" t="s">
        <v>18</v>
      </c>
    </row>
    <row r="3107" spans="1:9" x14ac:dyDescent="0.2">
      <c r="A3107" s="10" t="s">
        <v>8548</v>
      </c>
      <c r="B3107" s="10">
        <v>182.460710849186</v>
      </c>
      <c r="C3107" s="10">
        <v>-2.2785429926587799</v>
      </c>
      <c r="D3107" s="10">
        <v>0.36530237468764398</v>
      </c>
      <c r="E3107" s="10">
        <v>-6.2374163173920598</v>
      </c>
      <c r="F3107" s="4">
        <v>4.4485693977879E-10</v>
      </c>
      <c r="G3107" s="4">
        <v>9.5156261225641708E-9</v>
      </c>
      <c r="H3107" s="10" t="s">
        <v>8549</v>
      </c>
      <c r="I3107" s="10" t="s">
        <v>18</v>
      </c>
    </row>
    <row r="3108" spans="1:9" x14ac:dyDescent="0.2">
      <c r="A3108" s="10" t="s">
        <v>8550</v>
      </c>
      <c r="B3108" s="10">
        <v>9915.8791607066305</v>
      </c>
      <c r="C3108" s="10">
        <v>3.0902742345954599</v>
      </c>
      <c r="D3108" s="10">
        <v>0.26291935943224998</v>
      </c>
      <c r="E3108" s="10">
        <v>11.7536960430324</v>
      </c>
      <c r="F3108" s="4">
        <v>6.7596190716449196E-32</v>
      </c>
      <c r="G3108" s="4">
        <v>7.5909918637155297E-30</v>
      </c>
      <c r="H3108" s="10" t="s">
        <v>8551</v>
      </c>
      <c r="I3108" s="10" t="s">
        <v>18</v>
      </c>
    </row>
    <row r="3109" spans="1:9" x14ac:dyDescent="0.2">
      <c r="A3109" s="10" t="s">
        <v>8552</v>
      </c>
      <c r="B3109" s="10">
        <v>9560.7098351767399</v>
      </c>
      <c r="C3109" s="10">
        <v>2.0418069236162899</v>
      </c>
      <c r="D3109" s="10">
        <v>0.24646899640943001</v>
      </c>
      <c r="E3109" s="10">
        <v>8.28423433925329</v>
      </c>
      <c r="F3109" s="4">
        <v>1.18871343108138E-16</v>
      </c>
      <c r="G3109" s="4">
        <v>5.0940521906051498E-15</v>
      </c>
      <c r="H3109" s="10" t="s">
        <v>8553</v>
      </c>
      <c r="I3109" s="10" t="s">
        <v>18</v>
      </c>
    </row>
    <row r="3110" spans="1:9" x14ac:dyDescent="0.2">
      <c r="A3110" s="10" t="s">
        <v>8554</v>
      </c>
      <c r="B3110" s="10">
        <v>251.408307511022</v>
      </c>
      <c r="C3110" s="10">
        <v>6.4463972781824896</v>
      </c>
      <c r="D3110" s="10">
        <v>0.51906142827200097</v>
      </c>
      <c r="E3110" s="10">
        <v>12.4193340654171</v>
      </c>
      <c r="F3110" s="4">
        <v>2.0526293783041099E-35</v>
      </c>
      <c r="G3110" s="4">
        <v>2.66154082532164E-33</v>
      </c>
      <c r="H3110" s="10" t="s">
        <v>8555</v>
      </c>
      <c r="I3110" s="10" t="s">
        <v>18</v>
      </c>
    </row>
    <row r="3111" spans="1:9" x14ac:dyDescent="0.2">
      <c r="A3111" s="10" t="s">
        <v>8556</v>
      </c>
      <c r="B3111" s="10">
        <v>4233.4356843088799</v>
      </c>
      <c r="C3111" s="10">
        <v>1.23508820702754</v>
      </c>
      <c r="D3111" s="10">
        <v>0.28088453478159903</v>
      </c>
      <c r="E3111" s="10">
        <v>4.3971385181027696</v>
      </c>
      <c r="F3111" s="4">
        <v>1.09687348781774E-5</v>
      </c>
      <c r="G3111" s="10">
        <v>1.1112304706425799E-4</v>
      </c>
      <c r="H3111" s="10" t="s">
        <v>8557</v>
      </c>
      <c r="I3111" s="10" t="s">
        <v>18</v>
      </c>
    </row>
    <row r="3112" spans="1:9" x14ac:dyDescent="0.2">
      <c r="A3112" s="10" t="s">
        <v>11581</v>
      </c>
      <c r="B3112" s="10">
        <v>18.0324361187864</v>
      </c>
      <c r="C3112" s="10">
        <v>-3.4391669980103798</v>
      </c>
      <c r="D3112" s="10">
        <v>0.96540930720958995</v>
      </c>
      <c r="E3112" s="10">
        <v>-3.5623926269686699</v>
      </c>
      <c r="F3112" s="10">
        <v>3.67490227686183E-4</v>
      </c>
      <c r="G3112" s="10">
        <v>2.5585985821881901E-3</v>
      </c>
      <c r="H3112" s="10" t="s">
        <v>11582</v>
      </c>
      <c r="I3112" s="10" t="s">
        <v>18</v>
      </c>
    </row>
    <row r="3113" spans="1:9" x14ac:dyDescent="0.2">
      <c r="A3113" s="10" t="s">
        <v>8558</v>
      </c>
      <c r="B3113" s="10">
        <v>68.591168218771898</v>
      </c>
      <c r="C3113" s="10">
        <v>2.9019609178549701</v>
      </c>
      <c r="D3113" s="10">
        <v>0.52720305486368402</v>
      </c>
      <c r="E3113" s="10">
        <v>5.5044463249654596</v>
      </c>
      <c r="F3113" s="4">
        <v>3.7033026477051702E-8</v>
      </c>
      <c r="G3113" s="4">
        <v>5.9411082973867102E-7</v>
      </c>
      <c r="H3113" s="10" t="s">
        <v>8559</v>
      </c>
      <c r="I3113" s="10" t="s">
        <v>18</v>
      </c>
    </row>
    <row r="3114" spans="1:9" x14ac:dyDescent="0.2">
      <c r="A3114" s="10" t="s">
        <v>8560</v>
      </c>
      <c r="B3114" s="10">
        <v>460.42611100196598</v>
      </c>
      <c r="C3114" s="10">
        <v>1.06606637628996</v>
      </c>
      <c r="D3114" s="10">
        <v>0.31534769588418399</v>
      </c>
      <c r="E3114" s="10">
        <v>3.3806062013577902</v>
      </c>
      <c r="F3114" s="10">
        <v>7.23261186885474E-4</v>
      </c>
      <c r="G3114" s="10">
        <v>4.63296031477059E-3</v>
      </c>
      <c r="H3114" s="10" t="s">
        <v>8561</v>
      </c>
      <c r="I3114" s="10" t="s">
        <v>18</v>
      </c>
    </row>
    <row r="3115" spans="1:9" x14ac:dyDescent="0.2">
      <c r="A3115" s="10" t="s">
        <v>8562</v>
      </c>
      <c r="B3115" s="10">
        <v>25.176870384175299</v>
      </c>
      <c r="C3115" s="10">
        <v>2.0430740884546998</v>
      </c>
      <c r="D3115" s="10">
        <v>0.71379307428900096</v>
      </c>
      <c r="E3115" s="10">
        <v>2.8622778253904699</v>
      </c>
      <c r="F3115" s="10">
        <v>4.2060803407048698E-3</v>
      </c>
      <c r="G3115" s="10">
        <v>2.0532495821935001E-2</v>
      </c>
      <c r="H3115" s="10" t="s">
        <v>8563</v>
      </c>
      <c r="I3115" s="10" t="s">
        <v>18</v>
      </c>
    </row>
    <row r="3116" spans="1:9" x14ac:dyDescent="0.2">
      <c r="A3116" s="10" t="s">
        <v>11583</v>
      </c>
      <c r="B3116" s="10">
        <v>221.35317748687001</v>
      </c>
      <c r="C3116" s="10">
        <v>1.91762959921869</v>
      </c>
      <c r="D3116" s="10">
        <v>0.357207693746593</v>
      </c>
      <c r="E3116" s="10">
        <v>5.3683882872329098</v>
      </c>
      <c r="F3116" s="4">
        <v>7.9443374520899202E-8</v>
      </c>
      <c r="G3116" s="4">
        <v>1.2074912906786799E-6</v>
      </c>
      <c r="H3116" s="10" t="s">
        <v>11584</v>
      </c>
      <c r="I3116" s="10" t="s">
        <v>18</v>
      </c>
    </row>
    <row r="3117" spans="1:9" x14ac:dyDescent="0.2">
      <c r="A3117" s="10" t="s">
        <v>11585</v>
      </c>
      <c r="B3117" s="10">
        <v>10169.068796940201</v>
      </c>
      <c r="C3117" s="10">
        <v>1.2279788240112</v>
      </c>
      <c r="D3117" s="10">
        <v>0.333338799970543</v>
      </c>
      <c r="E3117" s="10">
        <v>3.6838760567917999</v>
      </c>
      <c r="F3117" s="10">
        <v>2.2971397010182801E-4</v>
      </c>
      <c r="G3117" s="10">
        <v>1.68912873809316E-3</v>
      </c>
      <c r="H3117" s="10" t="s">
        <v>11586</v>
      </c>
      <c r="I3117" s="10" t="s">
        <v>18</v>
      </c>
    </row>
    <row r="3118" spans="1:9" x14ac:dyDescent="0.2">
      <c r="A3118" s="10" t="s">
        <v>8578</v>
      </c>
      <c r="B3118" s="10">
        <v>204.55063205401601</v>
      </c>
      <c r="C3118" s="10">
        <v>4.0150844552930103</v>
      </c>
      <c r="D3118" s="10">
        <v>0.38843525382959698</v>
      </c>
      <c r="E3118" s="10">
        <v>10.3365603809339</v>
      </c>
      <c r="F3118" s="4">
        <v>4.8151089212247504E-25</v>
      </c>
      <c r="G3118" s="4">
        <v>3.7499710499507301E-23</v>
      </c>
      <c r="H3118" s="10" t="s">
        <v>8579</v>
      </c>
      <c r="I3118" s="10" t="s">
        <v>18</v>
      </c>
    </row>
    <row r="3119" spans="1:9" x14ac:dyDescent="0.2">
      <c r="A3119" s="10" t="s">
        <v>8580</v>
      </c>
      <c r="B3119" s="10">
        <v>59.998740118045603</v>
      </c>
      <c r="C3119" s="10">
        <v>4.4482692907521004</v>
      </c>
      <c r="D3119" s="10">
        <v>0.63313830490979095</v>
      </c>
      <c r="E3119" s="10">
        <v>7.0257465963710599</v>
      </c>
      <c r="F3119" s="4">
        <v>2.1292459172341199E-12</v>
      </c>
      <c r="G3119" s="4">
        <v>5.9053121331890095E-11</v>
      </c>
      <c r="H3119" s="10" t="s">
        <v>8581</v>
      </c>
      <c r="I3119" s="10" t="s">
        <v>18</v>
      </c>
    </row>
    <row r="3120" spans="1:9" x14ac:dyDescent="0.2">
      <c r="A3120" s="10" t="s">
        <v>8582</v>
      </c>
      <c r="B3120" s="10">
        <v>30.131663067327299</v>
      </c>
      <c r="C3120" s="10">
        <v>6.98387457606625</v>
      </c>
      <c r="D3120" s="10">
        <v>1.53971063164697</v>
      </c>
      <c r="E3120" s="10">
        <v>4.5358357814259298</v>
      </c>
      <c r="F3120" s="4">
        <v>5.7375812742615803E-6</v>
      </c>
      <c r="G3120" s="4">
        <v>6.2256991980554497E-5</v>
      </c>
      <c r="H3120" s="10" t="s">
        <v>8583</v>
      </c>
      <c r="I3120" s="10" t="s">
        <v>18</v>
      </c>
    </row>
    <row r="3121" spans="1:9" x14ac:dyDescent="0.2">
      <c r="A3121" s="10" t="s">
        <v>11587</v>
      </c>
      <c r="B3121" s="10">
        <v>17.134873010191001</v>
      </c>
      <c r="C3121" s="10">
        <v>-2.6597524522310798</v>
      </c>
      <c r="D3121" s="10">
        <v>0.910466667616322</v>
      </c>
      <c r="E3121" s="10">
        <v>-2.92130678347021</v>
      </c>
      <c r="F3121" s="10">
        <v>3.4856640806024699E-3</v>
      </c>
      <c r="G3121" s="10">
        <v>1.75574449234191E-2</v>
      </c>
      <c r="H3121" s="10" t="s">
        <v>11588</v>
      </c>
      <c r="I3121" s="10" t="s">
        <v>18</v>
      </c>
    </row>
    <row r="3122" spans="1:9" x14ac:dyDescent="0.2">
      <c r="A3122" s="10" t="s">
        <v>11589</v>
      </c>
      <c r="B3122" s="10">
        <v>1297.2803266068199</v>
      </c>
      <c r="C3122" s="10">
        <v>1.6421861530524799</v>
      </c>
      <c r="D3122" s="10">
        <v>0.30460025385850498</v>
      </c>
      <c r="E3122" s="10">
        <v>5.3912829429725804</v>
      </c>
      <c r="F3122" s="4">
        <v>6.9956423529624894E-8</v>
      </c>
      <c r="G3122" s="4">
        <v>1.07302063041934E-6</v>
      </c>
      <c r="H3122" s="10" t="s">
        <v>11590</v>
      </c>
      <c r="I3122" s="10" t="s">
        <v>18</v>
      </c>
    </row>
    <row r="3123" spans="1:9" x14ac:dyDescent="0.2">
      <c r="A3123" s="10" t="s">
        <v>11591</v>
      </c>
      <c r="B3123" s="10">
        <v>6559.9044467437197</v>
      </c>
      <c r="C3123" s="10">
        <v>1.1868582475229299</v>
      </c>
      <c r="D3123" s="10">
        <v>0.29561528943341298</v>
      </c>
      <c r="E3123" s="10">
        <v>4.0148743652525898</v>
      </c>
      <c r="F3123" s="4">
        <v>5.9477468364121202E-5</v>
      </c>
      <c r="G3123" s="10">
        <v>5.1290905611911801E-4</v>
      </c>
      <c r="H3123" s="10" t="s">
        <v>11592</v>
      </c>
      <c r="I3123" s="10" t="s">
        <v>18</v>
      </c>
    </row>
    <row r="3124" spans="1:9" x14ac:dyDescent="0.2">
      <c r="A3124" s="10" t="s">
        <v>8592</v>
      </c>
      <c r="B3124" s="10">
        <v>708.31151288547699</v>
      </c>
      <c r="C3124" s="10">
        <v>3.8189277287034198</v>
      </c>
      <c r="D3124" s="10">
        <v>0.29052344246040601</v>
      </c>
      <c r="E3124" s="10">
        <v>13.1449899407821</v>
      </c>
      <c r="F3124" s="4">
        <v>1.8182970929774499E-39</v>
      </c>
      <c r="G3124" s="4">
        <v>2.9133288773151499E-37</v>
      </c>
      <c r="H3124" s="10" t="s">
        <v>8593</v>
      </c>
      <c r="I3124" s="10" t="s">
        <v>18</v>
      </c>
    </row>
    <row r="3125" spans="1:9" x14ac:dyDescent="0.2">
      <c r="A3125" s="10" t="s">
        <v>8594</v>
      </c>
      <c r="B3125" s="10">
        <v>139.72142012903299</v>
      </c>
      <c r="C3125" s="10">
        <v>3.6440635970220101</v>
      </c>
      <c r="D3125" s="10">
        <v>0.46826818289000299</v>
      </c>
      <c r="E3125" s="10">
        <v>7.7820012765591002</v>
      </c>
      <c r="F3125" s="4">
        <v>7.1386147778828695E-15</v>
      </c>
      <c r="G3125" s="4">
        <v>2.5726626753244102E-13</v>
      </c>
      <c r="H3125" s="10" t="s">
        <v>8595</v>
      </c>
      <c r="I3125" s="10" t="s">
        <v>18</v>
      </c>
    </row>
    <row r="3126" spans="1:9" x14ac:dyDescent="0.2">
      <c r="A3126" s="10" t="s">
        <v>11593</v>
      </c>
      <c r="B3126" s="10">
        <v>151.50344571935301</v>
      </c>
      <c r="C3126" s="10">
        <v>1.04911542722319</v>
      </c>
      <c r="D3126" s="10">
        <v>0.35122964070187501</v>
      </c>
      <c r="E3126" s="10">
        <v>2.9869786192495198</v>
      </c>
      <c r="F3126" s="10">
        <v>2.8174942636641702E-3</v>
      </c>
      <c r="G3126" s="10">
        <v>1.4610197526792899E-2</v>
      </c>
      <c r="H3126" s="10" t="s">
        <v>11594</v>
      </c>
      <c r="I3126" s="10" t="s">
        <v>18</v>
      </c>
    </row>
    <row r="3127" spans="1:9" x14ac:dyDescent="0.2">
      <c r="A3127" s="10" t="s">
        <v>11595</v>
      </c>
      <c r="B3127" s="10">
        <v>10121.466016422301</v>
      </c>
      <c r="C3127" s="10">
        <v>-1.03364701793266</v>
      </c>
      <c r="D3127" s="10">
        <v>0.241255827312013</v>
      </c>
      <c r="E3127" s="10">
        <v>-4.2844437353045004</v>
      </c>
      <c r="F3127" s="4">
        <v>1.8319696087709499E-5</v>
      </c>
      <c r="G3127" s="10">
        <v>1.7724305964858899E-4</v>
      </c>
      <c r="H3127" s="10" t="s">
        <v>11596</v>
      </c>
      <c r="I3127" s="10" t="s">
        <v>18</v>
      </c>
    </row>
    <row r="3128" spans="1:9" x14ac:dyDescent="0.2">
      <c r="A3128" s="10" t="s">
        <v>11597</v>
      </c>
      <c r="B3128" s="10">
        <v>1158.3631315074599</v>
      </c>
      <c r="C3128" s="10">
        <v>-1.2408913228407701</v>
      </c>
      <c r="D3128" s="10">
        <v>0.263812860118049</v>
      </c>
      <c r="E3128" s="10">
        <v>-4.7036801855887598</v>
      </c>
      <c r="F3128" s="4">
        <v>2.55513388258512E-6</v>
      </c>
      <c r="G3128" s="4">
        <v>2.95650380940334E-5</v>
      </c>
      <c r="H3128" s="10" t="s">
        <v>11598</v>
      </c>
      <c r="I3128" s="10" t="s">
        <v>18</v>
      </c>
    </row>
    <row r="3129" spans="1:9" x14ac:dyDescent="0.2">
      <c r="A3129" s="10" t="s">
        <v>8602</v>
      </c>
      <c r="B3129" s="10">
        <v>207.27539446819199</v>
      </c>
      <c r="C3129" s="10">
        <v>-2.0487751561510499</v>
      </c>
      <c r="D3129" s="10">
        <v>0.35742073352904902</v>
      </c>
      <c r="E3129" s="10">
        <v>-5.7321105463640798</v>
      </c>
      <c r="F3129" s="4">
        <v>9.9188588782871101E-9</v>
      </c>
      <c r="G3129" s="4">
        <v>1.74726117005121E-7</v>
      </c>
      <c r="H3129" s="10" t="s">
        <v>8603</v>
      </c>
      <c r="I3129" s="10" t="s">
        <v>18</v>
      </c>
    </row>
    <row r="3130" spans="1:9" x14ac:dyDescent="0.2">
      <c r="A3130" s="10" t="s">
        <v>8610</v>
      </c>
      <c r="B3130" s="10">
        <v>683.73697094037595</v>
      </c>
      <c r="C3130" s="10">
        <v>-3.5259761018261</v>
      </c>
      <c r="D3130" s="10">
        <v>0.301210050422967</v>
      </c>
      <c r="E3130" s="10">
        <v>-11.706037354579699</v>
      </c>
      <c r="F3130" s="4">
        <v>1.18698622609282E-31</v>
      </c>
      <c r="G3130" s="4">
        <v>1.30958940865635E-29</v>
      </c>
      <c r="H3130" s="10" t="s">
        <v>8611</v>
      </c>
      <c r="I3130" s="10" t="s">
        <v>18</v>
      </c>
    </row>
    <row r="3131" spans="1:9" x14ac:dyDescent="0.2">
      <c r="A3131" s="10" t="s">
        <v>8612</v>
      </c>
      <c r="B3131" s="10">
        <v>522.89862089670805</v>
      </c>
      <c r="C3131" s="10">
        <v>-1.7994572671351801</v>
      </c>
      <c r="D3131" s="10">
        <v>0.27737807493410699</v>
      </c>
      <c r="E3131" s="10">
        <v>-6.4873810504404696</v>
      </c>
      <c r="F3131" s="4">
        <v>8.7341245158268002E-11</v>
      </c>
      <c r="G3131" s="4">
        <v>2.02308381395602E-9</v>
      </c>
      <c r="H3131" s="10" t="s">
        <v>8613</v>
      </c>
      <c r="I3131" s="10" t="s">
        <v>18</v>
      </c>
    </row>
    <row r="3132" spans="1:9" x14ac:dyDescent="0.2">
      <c r="A3132" s="10" t="s">
        <v>11599</v>
      </c>
      <c r="B3132" s="10">
        <v>19.4095906434456</v>
      </c>
      <c r="C3132" s="10">
        <v>-2.1073347894723402</v>
      </c>
      <c r="D3132" s="10">
        <v>0.809638438473396</v>
      </c>
      <c r="E3132" s="10">
        <v>-2.6028097102773402</v>
      </c>
      <c r="F3132" s="10">
        <v>9.2463258521089092E-3</v>
      </c>
      <c r="G3132" s="10">
        <v>3.95496219707192E-2</v>
      </c>
      <c r="H3132" s="10" t="s">
        <v>11600</v>
      </c>
      <c r="I3132" s="10" t="s">
        <v>18</v>
      </c>
    </row>
    <row r="3133" spans="1:9" x14ac:dyDescent="0.2">
      <c r="A3133" s="10" t="s">
        <v>8616</v>
      </c>
      <c r="B3133" s="10">
        <v>179.54218489465799</v>
      </c>
      <c r="C3133" s="10">
        <v>-1.2263674367369899</v>
      </c>
      <c r="D3133" s="10">
        <v>0.33436024725339802</v>
      </c>
      <c r="E3133" s="10">
        <v>-3.6678027570890501</v>
      </c>
      <c r="F3133" s="10">
        <v>2.4464378815205101E-4</v>
      </c>
      <c r="G3133" s="10">
        <v>1.78325543058963E-3</v>
      </c>
      <c r="H3133" s="10" t="s">
        <v>8617</v>
      </c>
      <c r="I3133" s="10" t="s">
        <v>18</v>
      </c>
    </row>
    <row r="3134" spans="1:9" x14ac:dyDescent="0.2">
      <c r="A3134" s="10" t="s">
        <v>11601</v>
      </c>
      <c r="B3134" s="10">
        <v>51.547261356067501</v>
      </c>
      <c r="C3134" s="10">
        <v>1.3251268552262001</v>
      </c>
      <c r="D3134" s="10">
        <v>0.517732090811305</v>
      </c>
      <c r="E3134" s="10">
        <v>2.5594837151192902</v>
      </c>
      <c r="F3134" s="10">
        <v>1.04827767115904E-2</v>
      </c>
      <c r="G3134" s="10">
        <v>4.3934396564487901E-2</v>
      </c>
      <c r="H3134" s="10" t="s">
        <v>11602</v>
      </c>
      <c r="I3134" s="10" t="s">
        <v>18</v>
      </c>
    </row>
    <row r="3135" spans="1:9" x14ac:dyDescent="0.2">
      <c r="A3135" s="10" t="s">
        <v>8618</v>
      </c>
      <c r="B3135" s="10">
        <v>1582.6798675989101</v>
      </c>
      <c r="C3135" s="10">
        <v>-1.08331617991268</v>
      </c>
      <c r="D3135" s="10">
        <v>0.25839077806812599</v>
      </c>
      <c r="E3135" s="10">
        <v>-4.1925497032524301</v>
      </c>
      <c r="F3135" s="4">
        <v>2.75836622044325E-5</v>
      </c>
      <c r="G3135" s="10">
        <v>2.5613400618401601E-4</v>
      </c>
      <c r="H3135" s="10" t="s">
        <v>8619</v>
      </c>
      <c r="I3135" s="10" t="s">
        <v>18</v>
      </c>
    </row>
    <row r="3136" spans="1:9" x14ac:dyDescent="0.2">
      <c r="A3136" s="10" t="s">
        <v>8624</v>
      </c>
      <c r="B3136" s="10">
        <v>1050.99211355586</v>
      </c>
      <c r="C3136" s="10">
        <v>-1.6760056685559199</v>
      </c>
      <c r="D3136" s="10">
        <v>0.27796775721749101</v>
      </c>
      <c r="E3136" s="10">
        <v>-6.0294966773594396</v>
      </c>
      <c r="F3136" s="4">
        <v>1.6447109783882101E-9</v>
      </c>
      <c r="G3136" s="4">
        <v>3.23983591709909E-8</v>
      </c>
      <c r="H3136" s="10" t="s">
        <v>8625</v>
      </c>
      <c r="I3136" s="10" t="s">
        <v>18</v>
      </c>
    </row>
    <row r="3137" spans="1:9" x14ac:dyDescent="0.2">
      <c r="A3137" s="10" t="s">
        <v>8626</v>
      </c>
      <c r="B3137" s="10">
        <v>1151.01602812496</v>
      </c>
      <c r="C3137" s="10">
        <v>-1.42416751523886</v>
      </c>
      <c r="D3137" s="10">
        <v>0.28012574472565899</v>
      </c>
      <c r="E3137" s="10">
        <v>-5.0840293762846498</v>
      </c>
      <c r="F3137" s="4">
        <v>3.6951075086320699E-7</v>
      </c>
      <c r="G3137" s="4">
        <v>5.0108048183094303E-6</v>
      </c>
      <c r="H3137" s="10" t="s">
        <v>8627</v>
      </c>
      <c r="I3137" s="10" t="s">
        <v>18</v>
      </c>
    </row>
    <row r="3138" spans="1:9" x14ac:dyDescent="0.2">
      <c r="A3138" s="10" t="s">
        <v>11603</v>
      </c>
      <c r="B3138" s="10">
        <v>248.93052918298201</v>
      </c>
      <c r="C3138" s="10">
        <v>-1.43884950567706</v>
      </c>
      <c r="D3138" s="10">
        <v>0.33637256384035202</v>
      </c>
      <c r="E3138" s="10">
        <v>-4.2775471615454403</v>
      </c>
      <c r="F3138" s="4">
        <v>1.8896393238492601E-5</v>
      </c>
      <c r="G3138" s="10">
        <v>1.82052382962192E-4</v>
      </c>
      <c r="H3138" s="10" t="s">
        <v>11604</v>
      </c>
      <c r="I3138" s="10" t="s">
        <v>18</v>
      </c>
    </row>
    <row r="3139" spans="1:9" x14ac:dyDescent="0.2">
      <c r="A3139" s="10" t="s">
        <v>11605</v>
      </c>
      <c r="B3139" s="10">
        <v>339.51199926990898</v>
      </c>
      <c r="C3139" s="10">
        <v>-1.3916265246392101</v>
      </c>
      <c r="D3139" s="10">
        <v>0.29533590496277601</v>
      </c>
      <c r="E3139" s="10">
        <v>-4.7120126650859104</v>
      </c>
      <c r="F3139" s="4">
        <v>2.4528213147621502E-6</v>
      </c>
      <c r="G3139" s="4">
        <v>2.84860203937405E-5</v>
      </c>
      <c r="H3139" s="10" t="s">
        <v>11606</v>
      </c>
      <c r="I3139" s="10" t="s">
        <v>18</v>
      </c>
    </row>
    <row r="3140" spans="1:9" x14ac:dyDescent="0.2">
      <c r="A3140" s="10" t="s">
        <v>11607</v>
      </c>
      <c r="B3140" s="10">
        <v>1393.19724604573</v>
      </c>
      <c r="C3140" s="10">
        <v>-1.14986728219834</v>
      </c>
      <c r="D3140" s="10">
        <v>0.318272389001654</v>
      </c>
      <c r="E3140" s="10">
        <v>-3.6128402020835302</v>
      </c>
      <c r="F3140" s="10">
        <v>3.0286136167294699E-4</v>
      </c>
      <c r="G3140" s="10">
        <v>2.1635773982905801E-3</v>
      </c>
      <c r="H3140" s="10" t="s">
        <v>11608</v>
      </c>
      <c r="I3140" s="10" t="s">
        <v>18</v>
      </c>
    </row>
    <row r="3141" spans="1:9" x14ac:dyDescent="0.2">
      <c r="A3141" s="10" t="s">
        <v>8630</v>
      </c>
      <c r="B3141" s="10">
        <v>69.189633257259104</v>
      </c>
      <c r="C3141" s="10">
        <v>2.80162574312111</v>
      </c>
      <c r="D3141" s="10">
        <v>0.49924061237457301</v>
      </c>
      <c r="E3141" s="10">
        <v>5.6117745104821104</v>
      </c>
      <c r="F3141" s="4">
        <v>2.0026228658939001E-8</v>
      </c>
      <c r="G3141" s="4">
        <v>3.35839854610406E-7</v>
      </c>
      <c r="H3141" s="10" t="s">
        <v>8631</v>
      </c>
      <c r="I3141" s="10" t="s">
        <v>18</v>
      </c>
    </row>
    <row r="3142" spans="1:9" x14ac:dyDescent="0.2">
      <c r="A3142" s="10" t="s">
        <v>11609</v>
      </c>
      <c r="B3142" s="10">
        <v>1618.82512264312</v>
      </c>
      <c r="C3142" s="10">
        <v>1.51023671871515</v>
      </c>
      <c r="D3142" s="10">
        <v>0.25561214736729498</v>
      </c>
      <c r="E3142" s="10">
        <v>5.9083135690928597</v>
      </c>
      <c r="F3142" s="4">
        <v>3.4562766027542001E-9</v>
      </c>
      <c r="G3142" s="4">
        <v>6.5321290715463504E-8</v>
      </c>
      <c r="H3142" s="10" t="s">
        <v>11610</v>
      </c>
      <c r="I3142" s="10" t="s">
        <v>18</v>
      </c>
    </row>
    <row r="3143" spans="1:9" x14ac:dyDescent="0.2">
      <c r="A3143" s="10" t="s">
        <v>8634</v>
      </c>
      <c r="B3143" s="10">
        <v>21.555322907550799</v>
      </c>
      <c r="C3143" s="10">
        <v>2.87938404371023</v>
      </c>
      <c r="D3143" s="10">
        <v>0.81082306601881105</v>
      </c>
      <c r="E3143" s="10">
        <v>3.5511866452544001</v>
      </c>
      <c r="F3143" s="10">
        <v>3.8349835170324202E-4</v>
      </c>
      <c r="G3143" s="10">
        <v>2.6531631015112899E-3</v>
      </c>
      <c r="H3143" s="10" t="s">
        <v>8635</v>
      </c>
      <c r="I3143" s="10" t="s">
        <v>18</v>
      </c>
    </row>
    <row r="3144" spans="1:9" x14ac:dyDescent="0.2">
      <c r="A3144" s="10" t="s">
        <v>11611</v>
      </c>
      <c r="B3144" s="10">
        <v>443.78307696788602</v>
      </c>
      <c r="C3144" s="10">
        <v>1.0745007630657</v>
      </c>
      <c r="D3144" s="10">
        <v>0.31941623343679199</v>
      </c>
      <c r="E3144" s="10">
        <v>3.3639516423586202</v>
      </c>
      <c r="F3144" s="10">
        <v>7.6835004763787097E-4</v>
      </c>
      <c r="G3144" s="10">
        <v>4.8783052620723502E-3</v>
      </c>
      <c r="H3144" s="10" t="s">
        <v>11612</v>
      </c>
      <c r="I3144" s="10" t="s">
        <v>18</v>
      </c>
    </row>
    <row r="3145" spans="1:9" x14ac:dyDescent="0.2">
      <c r="A3145" s="10" t="s">
        <v>8646</v>
      </c>
      <c r="B3145" s="10">
        <v>66.561878483833297</v>
      </c>
      <c r="C3145" s="10">
        <v>3.40621541641391</v>
      </c>
      <c r="D3145" s="10">
        <v>0.58089113183646601</v>
      </c>
      <c r="E3145" s="10">
        <v>5.86377589488289</v>
      </c>
      <c r="F3145" s="4">
        <v>4.5245805967001403E-9</v>
      </c>
      <c r="G3145" s="4">
        <v>8.4183302448219002E-8</v>
      </c>
      <c r="H3145" s="10" t="s">
        <v>8647</v>
      </c>
      <c r="I3145" s="10" t="s">
        <v>18</v>
      </c>
    </row>
    <row r="3146" spans="1:9" x14ac:dyDescent="0.2">
      <c r="A3146" s="10" t="s">
        <v>11613</v>
      </c>
      <c r="B3146" s="10">
        <v>3456.3671805434201</v>
      </c>
      <c r="C3146" s="10">
        <v>2.1499633785777501</v>
      </c>
      <c r="D3146" s="10">
        <v>0.30735374214927902</v>
      </c>
      <c r="E3146" s="10">
        <v>6.9950779305414503</v>
      </c>
      <c r="F3146" s="4">
        <v>2.65111525092677E-12</v>
      </c>
      <c r="G3146" s="4">
        <v>7.2963680675123494E-11</v>
      </c>
      <c r="H3146" s="10" t="s">
        <v>11614</v>
      </c>
      <c r="I3146" s="10" t="s">
        <v>18</v>
      </c>
    </row>
    <row r="3147" spans="1:9" x14ac:dyDescent="0.2">
      <c r="A3147" s="10" t="s">
        <v>8648</v>
      </c>
      <c r="B3147" s="10">
        <v>104.701852810898</v>
      </c>
      <c r="C3147" s="10">
        <v>1.37524697840229</v>
      </c>
      <c r="D3147" s="10">
        <v>0.43406720793355302</v>
      </c>
      <c r="E3147" s="10">
        <v>3.1682812091458699</v>
      </c>
      <c r="F3147" s="10">
        <v>1.5334311918305699E-3</v>
      </c>
      <c r="G3147" s="10">
        <v>8.7846644569569803E-3</v>
      </c>
      <c r="H3147" s="10" t="s">
        <v>8649</v>
      </c>
      <c r="I3147" s="10" t="s">
        <v>18</v>
      </c>
    </row>
    <row r="3148" spans="1:9" x14ac:dyDescent="0.2">
      <c r="A3148" s="10" t="s">
        <v>8650</v>
      </c>
      <c r="B3148" s="10">
        <v>149.15171018058601</v>
      </c>
      <c r="C3148" s="10">
        <v>6.4791216994998599</v>
      </c>
      <c r="D3148" s="10">
        <v>0.64665613917576403</v>
      </c>
      <c r="E3148" s="10">
        <v>10.0194234725092</v>
      </c>
      <c r="F3148" s="4">
        <v>1.25231304391316E-23</v>
      </c>
      <c r="G3148" s="4">
        <v>8.5836334113448197E-22</v>
      </c>
      <c r="H3148" s="10" t="s">
        <v>8651</v>
      </c>
      <c r="I3148" s="10" t="s">
        <v>18</v>
      </c>
    </row>
    <row r="3149" spans="1:9" x14ac:dyDescent="0.2">
      <c r="A3149" s="10" t="s">
        <v>11615</v>
      </c>
      <c r="B3149" s="10">
        <v>236.119039499189</v>
      </c>
      <c r="C3149" s="10">
        <v>1.10834669063122</v>
      </c>
      <c r="D3149" s="10">
        <v>0.32921883600208302</v>
      </c>
      <c r="E3149" s="10">
        <v>3.3665956179500101</v>
      </c>
      <c r="F3149" s="10">
        <v>7.61021939961347E-4</v>
      </c>
      <c r="G3149" s="10">
        <v>4.83910690084117E-3</v>
      </c>
      <c r="H3149" s="10" t="s">
        <v>11616</v>
      </c>
      <c r="I3149" s="10" t="s">
        <v>18</v>
      </c>
    </row>
    <row r="3150" spans="1:9" x14ac:dyDescent="0.2">
      <c r="A3150" s="10" t="s">
        <v>11617</v>
      </c>
      <c r="B3150" s="10">
        <v>1620.52226235596</v>
      </c>
      <c r="C3150" s="10">
        <v>1.84711214191789</v>
      </c>
      <c r="D3150" s="10">
        <v>0.25478213623283602</v>
      </c>
      <c r="E3150" s="10">
        <v>7.2497709974057196</v>
      </c>
      <c r="F3150" s="4">
        <v>4.1747687537741299E-13</v>
      </c>
      <c r="G3150" s="4">
        <v>1.26525672290588E-11</v>
      </c>
      <c r="H3150" s="10" t="s">
        <v>11618</v>
      </c>
      <c r="I3150" s="10" t="s">
        <v>18</v>
      </c>
    </row>
    <row r="3151" spans="1:9" x14ac:dyDescent="0.2">
      <c r="A3151" s="10" t="s">
        <v>11619</v>
      </c>
      <c r="B3151" s="10">
        <v>6694.0340044008399</v>
      </c>
      <c r="C3151" s="10">
        <v>1.07271475593618</v>
      </c>
      <c r="D3151" s="10">
        <v>0.31145799213859199</v>
      </c>
      <c r="E3151" s="10">
        <v>3.4441715512596001</v>
      </c>
      <c r="F3151" s="10">
        <v>5.7281212827977202E-4</v>
      </c>
      <c r="G3151" s="10">
        <v>3.7670721780731701E-3</v>
      </c>
      <c r="H3151" s="10" t="s">
        <v>11620</v>
      </c>
      <c r="I3151" s="10" t="s">
        <v>18</v>
      </c>
    </row>
    <row r="3152" spans="1:9" x14ac:dyDescent="0.2">
      <c r="A3152" s="10" t="s">
        <v>8656</v>
      </c>
      <c r="B3152" s="10">
        <v>1393.25009102747</v>
      </c>
      <c r="C3152" s="10">
        <v>-1.2250078596630001</v>
      </c>
      <c r="D3152" s="10">
        <v>0.31028269516636298</v>
      </c>
      <c r="E3152" s="10">
        <v>-3.94803796262691</v>
      </c>
      <c r="F3152" s="4">
        <v>7.8794312016306501E-5</v>
      </c>
      <c r="G3152" s="10">
        <v>6.5718531789462503E-4</v>
      </c>
      <c r="H3152" s="10" t="s">
        <v>8657</v>
      </c>
      <c r="I3152" s="10" t="s">
        <v>18</v>
      </c>
    </row>
    <row r="3153" spans="1:9" x14ac:dyDescent="0.2">
      <c r="A3153" s="10" t="s">
        <v>8668</v>
      </c>
      <c r="B3153" s="10">
        <v>252.26407684371799</v>
      </c>
      <c r="C3153" s="10">
        <v>-1.1346110255423101</v>
      </c>
      <c r="D3153" s="10">
        <v>0.36004672124300402</v>
      </c>
      <c r="E3153" s="10">
        <v>-3.1512883150976898</v>
      </c>
      <c r="F3153" s="10">
        <v>1.6255194463229599E-3</v>
      </c>
      <c r="G3153" s="10">
        <v>9.2135965913145608E-3</v>
      </c>
      <c r="H3153" s="10" t="s">
        <v>8669</v>
      </c>
      <c r="I3153" s="10" t="s">
        <v>18</v>
      </c>
    </row>
    <row r="3154" spans="1:9" x14ac:dyDescent="0.2">
      <c r="A3154" s="10" t="s">
        <v>8672</v>
      </c>
      <c r="B3154" s="10">
        <v>15.6115944460186</v>
      </c>
      <c r="C3154" s="10">
        <v>6.0095524113146803</v>
      </c>
      <c r="D3154" s="10">
        <v>1.6266158918695</v>
      </c>
      <c r="E3154" s="10">
        <v>3.6945122947297699</v>
      </c>
      <c r="F3154" s="10">
        <v>2.20309234244074E-4</v>
      </c>
      <c r="G3154" s="10">
        <v>1.6280489974764001E-3</v>
      </c>
      <c r="H3154" s="10" t="s">
        <v>8673</v>
      </c>
      <c r="I3154" s="10" t="s">
        <v>18</v>
      </c>
    </row>
    <row r="3155" spans="1:9" x14ac:dyDescent="0.2">
      <c r="A3155" s="10" t="s">
        <v>8674</v>
      </c>
      <c r="B3155" s="10">
        <v>405.33957445319197</v>
      </c>
      <c r="C3155" s="10">
        <v>6.9184526488815603</v>
      </c>
      <c r="D3155" s="10">
        <v>0.491133332953684</v>
      </c>
      <c r="E3155" s="10">
        <v>14.086709625823801</v>
      </c>
      <c r="F3155" s="4">
        <v>4.5842868763328602E-45</v>
      </c>
      <c r="G3155" s="4">
        <v>9.6905660818616005E-43</v>
      </c>
      <c r="H3155" s="10" t="s">
        <v>8675</v>
      </c>
      <c r="I3155" s="10" t="s">
        <v>18</v>
      </c>
    </row>
    <row r="3156" spans="1:9" x14ac:dyDescent="0.2">
      <c r="A3156" s="10" t="s">
        <v>8678</v>
      </c>
      <c r="B3156" s="10">
        <v>1050.17343193703</v>
      </c>
      <c r="C3156" s="10">
        <v>-1.7733047594049001</v>
      </c>
      <c r="D3156" s="10">
        <v>0.30351023363875201</v>
      </c>
      <c r="E3156" s="10">
        <v>-5.8426522827416401</v>
      </c>
      <c r="F3156" s="4">
        <v>5.1376184306733396E-9</v>
      </c>
      <c r="G3156" s="4">
        <v>9.48178955418839E-8</v>
      </c>
      <c r="H3156" s="10" t="s">
        <v>8679</v>
      </c>
      <c r="I3156" s="10" t="s">
        <v>18</v>
      </c>
    </row>
    <row r="3157" spans="1:9" x14ac:dyDescent="0.2">
      <c r="A3157" s="10" t="s">
        <v>8680</v>
      </c>
      <c r="B3157" s="10">
        <v>51.615545512916903</v>
      </c>
      <c r="C3157" s="10">
        <v>5.7544192165441297</v>
      </c>
      <c r="D3157" s="10">
        <v>0.87793816564927696</v>
      </c>
      <c r="E3157" s="10">
        <v>6.5544698267997799</v>
      </c>
      <c r="F3157" s="4">
        <v>5.5839903775254001E-11</v>
      </c>
      <c r="G3157" s="4">
        <v>1.32514413157218E-9</v>
      </c>
      <c r="H3157" s="10" t="s">
        <v>8681</v>
      </c>
      <c r="I3157" s="10" t="s">
        <v>18</v>
      </c>
    </row>
    <row r="3158" spans="1:9" x14ac:dyDescent="0.2">
      <c r="A3158" s="10" t="s">
        <v>11621</v>
      </c>
      <c r="B3158" s="10">
        <v>496.417821320717</v>
      </c>
      <c r="C3158" s="10">
        <v>1.2250228412183199</v>
      </c>
      <c r="D3158" s="10">
        <v>0.31702832009988002</v>
      </c>
      <c r="E3158" s="10">
        <v>3.8640801579883401</v>
      </c>
      <c r="F3158" s="10">
        <v>1.11508602241091E-4</v>
      </c>
      <c r="G3158" s="10">
        <v>8.9502198129376095E-4</v>
      </c>
      <c r="H3158" s="10" t="s">
        <v>11622</v>
      </c>
      <c r="I3158" s="10" t="s">
        <v>18</v>
      </c>
    </row>
    <row r="3159" spans="1:9" x14ac:dyDescent="0.2">
      <c r="A3159" s="10" t="s">
        <v>8684</v>
      </c>
      <c r="B3159" s="10">
        <v>5277.6993398163804</v>
      </c>
      <c r="C3159" s="10">
        <v>4.2316564667094401</v>
      </c>
      <c r="D3159" s="10">
        <v>0.31213513385260699</v>
      </c>
      <c r="E3159" s="10">
        <v>13.5571296139564</v>
      </c>
      <c r="F3159" s="4">
        <v>7.1894851325642904E-42</v>
      </c>
      <c r="G3159" s="4">
        <v>1.31051810514243E-39</v>
      </c>
      <c r="H3159" s="10" t="s">
        <v>8685</v>
      </c>
      <c r="I3159" s="10" t="s">
        <v>18</v>
      </c>
    </row>
    <row r="3160" spans="1:9" x14ac:dyDescent="0.2">
      <c r="A3160" s="10" t="s">
        <v>8686</v>
      </c>
      <c r="B3160" s="10">
        <v>1869.05592541646</v>
      </c>
      <c r="C3160" s="10">
        <v>3.1619670104300099</v>
      </c>
      <c r="D3160" s="10">
        <v>0.30589651272742002</v>
      </c>
      <c r="E3160" s="10">
        <v>10.3367213383292</v>
      </c>
      <c r="F3160" s="4">
        <v>4.8070308883927804E-25</v>
      </c>
      <c r="G3160" s="4">
        <v>3.7499710499507301E-23</v>
      </c>
      <c r="H3160" s="10" t="s">
        <v>8687</v>
      </c>
      <c r="I3160" s="10" t="s">
        <v>18</v>
      </c>
    </row>
    <row r="3161" spans="1:9" x14ac:dyDescent="0.2">
      <c r="A3161" s="10" t="s">
        <v>8688</v>
      </c>
      <c r="B3161" s="10">
        <v>4983.2958742976098</v>
      </c>
      <c r="C3161" s="10">
        <v>-1.52016693594068</v>
      </c>
      <c r="D3161" s="10">
        <v>0.27604368237394</v>
      </c>
      <c r="E3161" s="10">
        <v>-5.5069796304245902</v>
      </c>
      <c r="F3161" s="4">
        <v>3.6504248002334502E-8</v>
      </c>
      <c r="G3161" s="4">
        <v>5.8637570785359203E-7</v>
      </c>
      <c r="H3161" s="10" t="s">
        <v>8689</v>
      </c>
      <c r="I3161" s="10" t="s">
        <v>18</v>
      </c>
    </row>
    <row r="3162" spans="1:9" x14ac:dyDescent="0.2">
      <c r="A3162" s="10" t="s">
        <v>11623</v>
      </c>
      <c r="B3162" s="10">
        <v>6322.2152053339296</v>
      </c>
      <c r="C3162" s="10">
        <v>-1.1996324930398401</v>
      </c>
      <c r="D3162" s="10">
        <v>0.25524216316312798</v>
      </c>
      <c r="E3162" s="10">
        <v>-4.6999777708087302</v>
      </c>
      <c r="F3162" s="4">
        <v>2.6018981147531501E-6</v>
      </c>
      <c r="G3162" s="4">
        <v>3.0001092168975E-5</v>
      </c>
      <c r="H3162" s="10" t="s">
        <v>11624</v>
      </c>
      <c r="I3162" s="10" t="s">
        <v>18</v>
      </c>
    </row>
    <row r="3163" spans="1:9" x14ac:dyDescent="0.2">
      <c r="A3163" s="10" t="s">
        <v>11625</v>
      </c>
      <c r="B3163" s="10">
        <v>581.82769783527601</v>
      </c>
      <c r="C3163" s="10">
        <v>1.8278373054424299</v>
      </c>
      <c r="D3163" s="10">
        <v>0.34285227451206501</v>
      </c>
      <c r="E3163" s="10">
        <v>5.3312678413574499</v>
      </c>
      <c r="F3163" s="4">
        <v>9.75294468080947E-8</v>
      </c>
      <c r="G3163" s="4">
        <v>1.45772622368248E-6</v>
      </c>
      <c r="H3163" s="10" t="s">
        <v>11626</v>
      </c>
      <c r="I3163" s="10" t="s">
        <v>18</v>
      </c>
    </row>
    <row r="3164" spans="1:9" x14ac:dyDescent="0.2">
      <c r="A3164" s="10" t="s">
        <v>11627</v>
      </c>
      <c r="B3164" s="10">
        <v>3762.1491888345499</v>
      </c>
      <c r="C3164" s="10">
        <v>1.0949251372743201</v>
      </c>
      <c r="D3164" s="10">
        <v>0.301774445256767</v>
      </c>
      <c r="E3164" s="10">
        <v>3.6282897855804199</v>
      </c>
      <c r="F3164" s="10">
        <v>2.8530491958123598E-4</v>
      </c>
      <c r="G3164" s="10">
        <v>2.04953983088468E-3</v>
      </c>
      <c r="H3164" s="10" t="s">
        <v>11628</v>
      </c>
      <c r="I3164" s="10" t="s">
        <v>18</v>
      </c>
    </row>
    <row r="3165" spans="1:9" x14ac:dyDescent="0.2">
      <c r="A3165" s="10" t="s">
        <v>8694</v>
      </c>
      <c r="B3165" s="10">
        <v>34.114284323673402</v>
      </c>
      <c r="C3165" s="10">
        <v>1.8318305695105099</v>
      </c>
      <c r="D3165" s="10">
        <v>0.62403598142832195</v>
      </c>
      <c r="E3165" s="10">
        <v>2.9354566467749699</v>
      </c>
      <c r="F3165" s="10">
        <v>3.3305714816341601E-3</v>
      </c>
      <c r="G3165" s="10">
        <v>1.6881024706932798E-2</v>
      </c>
      <c r="H3165" s="10" t="s">
        <v>8695</v>
      </c>
      <c r="I3165" s="10" t="s">
        <v>18</v>
      </c>
    </row>
    <row r="3166" spans="1:9" x14ac:dyDescent="0.2">
      <c r="A3166" s="10" t="s">
        <v>8700</v>
      </c>
      <c r="B3166" s="10">
        <v>139.91761110020801</v>
      </c>
      <c r="C3166" s="10">
        <v>-1.0420954417900701</v>
      </c>
      <c r="D3166" s="10">
        <v>0.382207441861455</v>
      </c>
      <c r="E3166" s="10">
        <v>-2.7265179262726398</v>
      </c>
      <c r="F3166" s="10">
        <v>6.4006475731762501E-3</v>
      </c>
      <c r="G3166" s="10">
        <v>2.90471386800015E-2</v>
      </c>
      <c r="H3166" s="10" t="s">
        <v>8701</v>
      </c>
      <c r="I3166" s="10" t="s">
        <v>18</v>
      </c>
    </row>
    <row r="3167" spans="1:9" x14ac:dyDescent="0.2">
      <c r="A3167" s="10" t="s">
        <v>11629</v>
      </c>
      <c r="B3167" s="10">
        <v>24.3506824008096</v>
      </c>
      <c r="C3167" s="10">
        <v>-3.0649458215449501</v>
      </c>
      <c r="D3167" s="10">
        <v>0.80632374445893995</v>
      </c>
      <c r="E3167" s="10">
        <v>-3.8011355148688999</v>
      </c>
      <c r="F3167" s="10">
        <v>1.4403449623825399E-4</v>
      </c>
      <c r="G3167" s="10">
        <v>1.11930421775511E-3</v>
      </c>
      <c r="H3167" s="10" t="s">
        <v>11630</v>
      </c>
      <c r="I3167" s="10" t="s">
        <v>18</v>
      </c>
    </row>
    <row r="3168" spans="1:9" x14ac:dyDescent="0.2">
      <c r="A3168" s="10" t="s">
        <v>11631</v>
      </c>
      <c r="B3168" s="10">
        <v>116.429369423339</v>
      </c>
      <c r="C3168" s="10">
        <v>-2.2704184791445301</v>
      </c>
      <c r="D3168" s="10">
        <v>0.43276524946584299</v>
      </c>
      <c r="E3168" s="10">
        <v>-5.2463049700660598</v>
      </c>
      <c r="F3168" s="4">
        <v>1.55179953040412E-7</v>
      </c>
      <c r="G3168" s="4">
        <v>2.26292853259801E-6</v>
      </c>
      <c r="H3168" s="10" t="s">
        <v>11632</v>
      </c>
      <c r="I3168" s="10" t="s">
        <v>18</v>
      </c>
    </row>
    <row r="3169" spans="1:9" x14ac:dyDescent="0.2">
      <c r="A3169" s="10" t="s">
        <v>8706</v>
      </c>
      <c r="B3169" s="10">
        <v>509.94470759999598</v>
      </c>
      <c r="C3169" s="10">
        <v>1.0698810518810999</v>
      </c>
      <c r="D3169" s="10">
        <v>0.272921549027211</v>
      </c>
      <c r="E3169" s="10">
        <v>3.92010471761771</v>
      </c>
      <c r="F3169" s="4">
        <v>8.8510500649902697E-5</v>
      </c>
      <c r="G3169" s="10">
        <v>7.2869154009080797E-4</v>
      </c>
      <c r="H3169" s="10" t="s">
        <v>8707</v>
      </c>
      <c r="I3169" s="10" t="s">
        <v>18</v>
      </c>
    </row>
    <row r="3170" spans="1:9" x14ac:dyDescent="0.2">
      <c r="A3170" s="10" t="s">
        <v>8712</v>
      </c>
      <c r="B3170" s="10">
        <v>66.321974289592006</v>
      </c>
      <c r="C3170" s="10">
        <v>-1.75625961777842</v>
      </c>
      <c r="D3170" s="10">
        <v>0.50177376915248495</v>
      </c>
      <c r="E3170" s="10">
        <v>-3.50010248790967</v>
      </c>
      <c r="F3170" s="10">
        <v>4.6507931129969698E-4</v>
      </c>
      <c r="G3170" s="10">
        <v>3.1415333178689301E-3</v>
      </c>
      <c r="H3170" s="10" t="s">
        <v>8713</v>
      </c>
      <c r="I3170" s="10" t="s">
        <v>18</v>
      </c>
    </row>
    <row r="3171" spans="1:9" x14ac:dyDescent="0.2">
      <c r="A3171" s="10" t="s">
        <v>11633</v>
      </c>
      <c r="B3171" s="10">
        <v>200.57579909877199</v>
      </c>
      <c r="C3171" s="10">
        <v>1.691760244815</v>
      </c>
      <c r="D3171" s="10">
        <v>0.400274380390089</v>
      </c>
      <c r="E3171" s="10">
        <v>4.2265014392534601</v>
      </c>
      <c r="F3171" s="4">
        <v>2.37352754490375E-5</v>
      </c>
      <c r="G3171" s="10">
        <v>2.2403784387262299E-4</v>
      </c>
      <c r="H3171" s="10" t="s">
        <v>11634</v>
      </c>
      <c r="I3171" s="10" t="s">
        <v>18</v>
      </c>
    </row>
    <row r="3172" spans="1:9" x14ac:dyDescent="0.2">
      <c r="A3172" s="10" t="s">
        <v>11635</v>
      </c>
      <c r="B3172" s="10">
        <v>66.068047401501502</v>
      </c>
      <c r="C3172" s="10">
        <v>3.0999427752407298</v>
      </c>
      <c r="D3172" s="10">
        <v>0.55891467120730398</v>
      </c>
      <c r="E3172" s="10">
        <v>5.54636143034962</v>
      </c>
      <c r="F3172" s="4">
        <v>2.91675584573377E-8</v>
      </c>
      <c r="G3172" s="4">
        <v>4.7643502142488998E-7</v>
      </c>
      <c r="H3172" s="10" t="s">
        <v>11636</v>
      </c>
      <c r="I3172" s="10" t="s">
        <v>18</v>
      </c>
    </row>
    <row r="3173" spans="1:9" x14ac:dyDescent="0.2">
      <c r="A3173" s="10" t="s">
        <v>8716</v>
      </c>
      <c r="B3173" s="10">
        <v>53.774535145215602</v>
      </c>
      <c r="C3173" s="10">
        <v>-1.4340801723965899</v>
      </c>
      <c r="D3173" s="10">
        <v>0.52473667961347403</v>
      </c>
      <c r="E3173" s="10">
        <v>-2.7329520273919998</v>
      </c>
      <c r="F3173" s="10">
        <v>6.2769474002132503E-3</v>
      </c>
      <c r="G3173" s="10">
        <v>2.8588921211726299E-2</v>
      </c>
      <c r="H3173" s="10" t="s">
        <v>8717</v>
      </c>
      <c r="I3173" s="10" t="s">
        <v>18</v>
      </c>
    </row>
    <row r="3174" spans="1:9" x14ac:dyDescent="0.2">
      <c r="A3174" s="10" t="s">
        <v>8718</v>
      </c>
      <c r="B3174" s="10">
        <v>63.303949088435402</v>
      </c>
      <c r="C3174" s="10">
        <v>1.6055031713530601</v>
      </c>
      <c r="D3174" s="10">
        <v>0.52085827216245295</v>
      </c>
      <c r="E3174" s="10">
        <v>3.0824184949342799</v>
      </c>
      <c r="F3174" s="10">
        <v>2.0532595011755399E-3</v>
      </c>
      <c r="G3174" s="10">
        <v>1.11989901890873E-2</v>
      </c>
      <c r="H3174" s="10" t="s">
        <v>8719</v>
      </c>
      <c r="I3174" s="10" t="s">
        <v>18</v>
      </c>
    </row>
    <row r="3175" spans="1:9" x14ac:dyDescent="0.2">
      <c r="A3175" s="10" t="s">
        <v>11637</v>
      </c>
      <c r="B3175" s="10">
        <v>558.75238038693305</v>
      </c>
      <c r="C3175" s="10">
        <v>-1.2881862817573699</v>
      </c>
      <c r="D3175" s="10">
        <v>0.26839394174243097</v>
      </c>
      <c r="E3175" s="10">
        <v>-4.7996101305207501</v>
      </c>
      <c r="F3175" s="4">
        <v>1.5897479750338401E-6</v>
      </c>
      <c r="G3175" s="4">
        <v>1.90157443233363E-5</v>
      </c>
      <c r="H3175" s="10" t="s">
        <v>11638</v>
      </c>
      <c r="I3175" s="10" t="s">
        <v>18</v>
      </c>
    </row>
    <row r="3176" spans="1:9" x14ac:dyDescent="0.2">
      <c r="A3176" s="10" t="s">
        <v>8726</v>
      </c>
      <c r="B3176" s="10">
        <v>7182.2577153106604</v>
      </c>
      <c r="C3176" s="10">
        <v>-1.5153424642902</v>
      </c>
      <c r="D3176" s="10">
        <v>0.26579682782122399</v>
      </c>
      <c r="E3176" s="10">
        <v>-5.7011307347483804</v>
      </c>
      <c r="F3176" s="4">
        <v>1.1901531337035899E-8</v>
      </c>
      <c r="G3176" s="4">
        <v>2.07760597351241E-7</v>
      </c>
      <c r="H3176" s="10" t="s">
        <v>8727</v>
      </c>
      <c r="I3176" s="10" t="s">
        <v>18</v>
      </c>
    </row>
    <row r="3177" spans="1:9" x14ac:dyDescent="0.2">
      <c r="A3177" s="10" t="s">
        <v>11639</v>
      </c>
      <c r="B3177" s="10">
        <v>1028.6694747732599</v>
      </c>
      <c r="C3177" s="10">
        <v>-1.0426911374969301</v>
      </c>
      <c r="D3177" s="10">
        <v>0.310742474010063</v>
      </c>
      <c r="E3177" s="10">
        <v>-3.35548315632952</v>
      </c>
      <c r="F3177" s="10">
        <v>7.9226480934564702E-4</v>
      </c>
      <c r="G3177" s="10">
        <v>4.9935908992958496E-3</v>
      </c>
      <c r="H3177" s="10" t="s">
        <v>11640</v>
      </c>
      <c r="I3177" s="10" t="s">
        <v>18</v>
      </c>
    </row>
    <row r="3178" spans="1:9" x14ac:dyDescent="0.2">
      <c r="A3178" s="10" t="s">
        <v>11641</v>
      </c>
      <c r="B3178" s="10">
        <v>1959.1380821960099</v>
      </c>
      <c r="C3178" s="10">
        <v>1.0143993956624699</v>
      </c>
      <c r="D3178" s="10">
        <v>0.26263505264163001</v>
      </c>
      <c r="E3178" s="10">
        <v>3.8623915028076499</v>
      </c>
      <c r="F3178" s="10">
        <v>1.12282436550554E-4</v>
      </c>
      <c r="G3178" s="10">
        <v>9.0065838374655302E-4</v>
      </c>
      <c r="H3178" s="10" t="s">
        <v>11642</v>
      </c>
      <c r="I3178" s="10" t="s">
        <v>18</v>
      </c>
    </row>
    <row r="3179" spans="1:9" x14ac:dyDescent="0.2">
      <c r="A3179" s="10" t="s">
        <v>11643</v>
      </c>
      <c r="B3179" s="10">
        <v>730.778704647361</v>
      </c>
      <c r="C3179" s="10">
        <v>2.8396487700079001</v>
      </c>
      <c r="D3179" s="10">
        <v>0.339446962677388</v>
      </c>
      <c r="E3179" s="10">
        <v>8.3655153300243494</v>
      </c>
      <c r="F3179" s="4">
        <v>5.9852747509944097E-17</v>
      </c>
      <c r="G3179" s="4">
        <v>2.62563999335551E-15</v>
      </c>
      <c r="H3179" s="10" t="s">
        <v>11644</v>
      </c>
      <c r="I3179" s="10" t="s">
        <v>18</v>
      </c>
    </row>
    <row r="3180" spans="1:9" x14ac:dyDescent="0.2">
      <c r="A3180" s="10" t="s">
        <v>11645</v>
      </c>
      <c r="B3180" s="10">
        <v>186.88434281863201</v>
      </c>
      <c r="C3180" s="10">
        <v>1.07284260369619</v>
      </c>
      <c r="D3180" s="10">
        <v>0.36228045354245902</v>
      </c>
      <c r="E3180" s="10">
        <v>2.9613593369603399</v>
      </c>
      <c r="F3180" s="10">
        <v>3.0628436347310902E-3</v>
      </c>
      <c r="G3180" s="10">
        <v>1.5691615403596901E-2</v>
      </c>
      <c r="H3180" s="10" t="s">
        <v>11646</v>
      </c>
      <c r="I3180" s="10" t="s">
        <v>18</v>
      </c>
    </row>
    <row r="3181" spans="1:9" x14ac:dyDescent="0.2">
      <c r="A3181" s="10" t="s">
        <v>8732</v>
      </c>
      <c r="B3181" s="10">
        <v>275.10110009203697</v>
      </c>
      <c r="C3181" s="10">
        <v>2.1849568149084502</v>
      </c>
      <c r="D3181" s="10">
        <v>0.374017927047396</v>
      </c>
      <c r="E3181" s="10">
        <v>5.8418505020792004</v>
      </c>
      <c r="F3181" s="4">
        <v>5.1624125006054202E-9</v>
      </c>
      <c r="G3181" s="4">
        <v>9.5205635229273699E-8</v>
      </c>
      <c r="H3181" s="10" t="s">
        <v>8733</v>
      </c>
      <c r="I3181" s="10" t="s">
        <v>18</v>
      </c>
    </row>
    <row r="3182" spans="1:9" x14ac:dyDescent="0.2">
      <c r="A3182" s="10" t="s">
        <v>8734</v>
      </c>
      <c r="B3182" s="10">
        <v>81.447220999152805</v>
      </c>
      <c r="C3182" s="10">
        <v>3.0654481931515298</v>
      </c>
      <c r="D3182" s="10">
        <v>0.48689140343391701</v>
      </c>
      <c r="E3182" s="10">
        <v>6.2959587528794598</v>
      </c>
      <c r="F3182" s="4">
        <v>3.0550560829806002E-10</v>
      </c>
      <c r="G3182" s="4">
        <v>6.6536740924135799E-9</v>
      </c>
      <c r="H3182" s="10" t="s">
        <v>8735</v>
      </c>
      <c r="I3182" s="10" t="s">
        <v>18</v>
      </c>
    </row>
    <row r="3183" spans="1:9" x14ac:dyDescent="0.2">
      <c r="A3183" s="10" t="s">
        <v>11647</v>
      </c>
      <c r="B3183" s="10">
        <v>194.99890964539199</v>
      </c>
      <c r="C3183" s="10">
        <v>-1.3013636485283699</v>
      </c>
      <c r="D3183" s="10">
        <v>0.37052756912830198</v>
      </c>
      <c r="E3183" s="10">
        <v>-3.5121911483939998</v>
      </c>
      <c r="F3183" s="10">
        <v>4.4442822762677802E-4</v>
      </c>
      <c r="G3183" s="10">
        <v>3.0198790021479199E-3</v>
      </c>
      <c r="H3183" s="10" t="s">
        <v>11648</v>
      </c>
      <c r="I3183" s="10" t="s">
        <v>18</v>
      </c>
    </row>
    <row r="3184" spans="1:9" x14ac:dyDescent="0.2">
      <c r="A3184" s="10" t="s">
        <v>8736</v>
      </c>
      <c r="B3184" s="10">
        <v>2051.0646514650398</v>
      </c>
      <c r="C3184" s="10">
        <v>1.4287881781519201</v>
      </c>
      <c r="D3184" s="10">
        <v>0.28762436672236102</v>
      </c>
      <c r="E3184" s="10">
        <v>4.96754914902988</v>
      </c>
      <c r="F3184" s="4">
        <v>6.7804376734050095E-7</v>
      </c>
      <c r="G3184" s="4">
        <v>8.7692498547302403E-6</v>
      </c>
      <c r="H3184" s="10" t="s">
        <v>8737</v>
      </c>
      <c r="I3184" s="10" t="s">
        <v>18</v>
      </c>
    </row>
    <row r="3185" spans="1:9" x14ac:dyDescent="0.2">
      <c r="A3185" s="10" t="s">
        <v>8738</v>
      </c>
      <c r="B3185" s="10">
        <v>46.472492640036499</v>
      </c>
      <c r="C3185" s="10">
        <v>-2.49294806552177</v>
      </c>
      <c r="D3185" s="10">
        <v>0.586098655337283</v>
      </c>
      <c r="E3185" s="10">
        <v>-4.2534614997319</v>
      </c>
      <c r="F3185" s="4">
        <v>2.1049114230679401E-5</v>
      </c>
      <c r="G3185" s="10">
        <v>2.00185432314836E-4</v>
      </c>
      <c r="H3185" s="10" t="s">
        <v>8739</v>
      </c>
      <c r="I3185" s="10" t="s">
        <v>18</v>
      </c>
    </row>
    <row r="3186" spans="1:9" x14ac:dyDescent="0.2">
      <c r="A3186" s="10" t="s">
        <v>8744</v>
      </c>
      <c r="B3186" s="10">
        <v>1145.2046527234299</v>
      </c>
      <c r="C3186" s="10">
        <v>2.0776716104996402</v>
      </c>
      <c r="D3186" s="10">
        <v>0.25692228159806901</v>
      </c>
      <c r="E3186" s="10">
        <v>8.0867708225866206</v>
      </c>
      <c r="F3186" s="4">
        <v>6.1267394045545696E-16</v>
      </c>
      <c r="G3186" s="4">
        <v>2.4308853268386501E-14</v>
      </c>
      <c r="H3186" s="10" t="s">
        <v>8745</v>
      </c>
      <c r="I3186" s="10" t="s">
        <v>18</v>
      </c>
    </row>
    <row r="3187" spans="1:9" x14ac:dyDescent="0.2">
      <c r="A3187" s="10" t="s">
        <v>11649</v>
      </c>
      <c r="B3187" s="10">
        <v>2556.8298986426898</v>
      </c>
      <c r="C3187" s="10">
        <v>-1.05118111475784</v>
      </c>
      <c r="D3187" s="10">
        <v>0.24994845445913899</v>
      </c>
      <c r="E3187" s="10">
        <v>-4.2055915770012797</v>
      </c>
      <c r="F3187" s="4">
        <v>2.6040011937665501E-5</v>
      </c>
      <c r="G3187" s="10">
        <v>2.4396145262270999E-4</v>
      </c>
      <c r="H3187" s="10" t="s">
        <v>11650</v>
      </c>
      <c r="I3187" s="10" t="s">
        <v>18</v>
      </c>
    </row>
    <row r="3188" spans="1:9" x14ac:dyDescent="0.2">
      <c r="A3188" s="10" t="s">
        <v>11651</v>
      </c>
      <c r="B3188" s="10">
        <v>3268.7698488846399</v>
      </c>
      <c r="C3188" s="10">
        <v>1.4407461820562499</v>
      </c>
      <c r="D3188" s="10">
        <v>0.23909749519586601</v>
      </c>
      <c r="E3188" s="10">
        <v>6.0257686132429296</v>
      </c>
      <c r="F3188" s="4">
        <v>1.6830783111121401E-9</v>
      </c>
      <c r="G3188" s="4">
        <v>3.30324957021369E-8</v>
      </c>
      <c r="H3188" s="10" t="s">
        <v>11652</v>
      </c>
      <c r="I3188" s="10" t="s">
        <v>18</v>
      </c>
    </row>
    <row r="3189" spans="1:9" x14ac:dyDescent="0.2">
      <c r="A3189" s="10" t="s">
        <v>8750</v>
      </c>
      <c r="B3189" s="10">
        <v>104.631543506838</v>
      </c>
      <c r="C3189" s="10">
        <v>-4.0010534636199901</v>
      </c>
      <c r="D3189" s="10">
        <v>0.49610499534549002</v>
      </c>
      <c r="E3189" s="10">
        <v>-8.0649328290549391</v>
      </c>
      <c r="F3189" s="4">
        <v>7.3276144629797796E-16</v>
      </c>
      <c r="G3189" s="4">
        <v>2.8936599971154797E-14</v>
      </c>
      <c r="H3189" s="10" t="s">
        <v>8751</v>
      </c>
      <c r="I3189" s="10" t="s">
        <v>18</v>
      </c>
    </row>
    <row r="3190" spans="1:9" x14ac:dyDescent="0.2">
      <c r="A3190" s="10" t="s">
        <v>11653</v>
      </c>
      <c r="B3190" s="10">
        <v>794.55308781306996</v>
      </c>
      <c r="C3190" s="10">
        <v>1.03764343101895</v>
      </c>
      <c r="D3190" s="10">
        <v>0.30486401289492798</v>
      </c>
      <c r="E3190" s="10">
        <v>3.4036271489235199</v>
      </c>
      <c r="F3190" s="10">
        <v>6.6497455856321904E-4</v>
      </c>
      <c r="G3190" s="10">
        <v>4.2979021121936703E-3</v>
      </c>
      <c r="H3190" s="10" t="s">
        <v>11654</v>
      </c>
      <c r="I3190" s="10" t="s">
        <v>18</v>
      </c>
    </row>
    <row r="3191" spans="1:9" x14ac:dyDescent="0.2">
      <c r="A3191" s="10" t="s">
        <v>8752</v>
      </c>
      <c r="B3191" s="10">
        <v>2629.74304700631</v>
      </c>
      <c r="C3191" s="10">
        <v>-1.1601500321254401</v>
      </c>
      <c r="D3191" s="10">
        <v>0.29063988406283298</v>
      </c>
      <c r="E3191" s="10">
        <v>-3.9917096576966098</v>
      </c>
      <c r="F3191" s="4">
        <v>6.5598656947624993E-5</v>
      </c>
      <c r="G3191" s="10">
        <v>5.5917797882667098E-4</v>
      </c>
      <c r="H3191" s="10" t="s">
        <v>8753</v>
      </c>
      <c r="I3191" s="10" t="s">
        <v>18</v>
      </c>
    </row>
    <row r="3192" spans="1:9" x14ac:dyDescent="0.2">
      <c r="A3192" s="10" t="s">
        <v>8756</v>
      </c>
      <c r="B3192" s="10">
        <v>456.79465987082898</v>
      </c>
      <c r="C3192" s="10">
        <v>-1.01259757921245</v>
      </c>
      <c r="D3192" s="10">
        <v>0.27545284924201602</v>
      </c>
      <c r="E3192" s="10">
        <v>-3.6761194592791</v>
      </c>
      <c r="F3192" s="10">
        <v>2.3680866559894301E-4</v>
      </c>
      <c r="G3192" s="10">
        <v>1.73367927332404E-3</v>
      </c>
      <c r="H3192" s="10" t="s">
        <v>8757</v>
      </c>
      <c r="I3192" s="10" t="s">
        <v>18</v>
      </c>
    </row>
    <row r="3193" spans="1:9" x14ac:dyDescent="0.2">
      <c r="A3193" s="10" t="s">
        <v>8764</v>
      </c>
      <c r="B3193" s="10">
        <v>3137.4895487308399</v>
      </c>
      <c r="C3193" s="10">
        <v>-1.29180554071778</v>
      </c>
      <c r="D3193" s="10">
        <v>0.26828487411306601</v>
      </c>
      <c r="E3193" s="10">
        <v>-4.8150517057229303</v>
      </c>
      <c r="F3193" s="4">
        <v>1.47161780595176E-6</v>
      </c>
      <c r="G3193" s="4">
        <v>1.77122229228309E-5</v>
      </c>
      <c r="H3193" s="10" t="s">
        <v>8765</v>
      </c>
      <c r="I3193" s="10" t="s">
        <v>18</v>
      </c>
    </row>
    <row r="3194" spans="1:9" x14ac:dyDescent="0.2">
      <c r="A3194" s="10" t="s">
        <v>11655</v>
      </c>
      <c r="B3194" s="10">
        <v>28.147867166064302</v>
      </c>
      <c r="C3194" s="10">
        <v>-1.7664872208023801</v>
      </c>
      <c r="D3194" s="10">
        <v>0.67908730494300495</v>
      </c>
      <c r="E3194" s="10">
        <v>-2.6012667413222301</v>
      </c>
      <c r="F3194" s="10">
        <v>9.2880204464321596E-3</v>
      </c>
      <c r="G3194" s="10">
        <v>3.9706254291500903E-2</v>
      </c>
      <c r="H3194" s="10" t="s">
        <v>11656</v>
      </c>
      <c r="I3194" s="10" t="s">
        <v>18</v>
      </c>
    </row>
    <row r="3195" spans="1:9" x14ac:dyDescent="0.2">
      <c r="A3195" s="10" t="s">
        <v>11657</v>
      </c>
      <c r="B3195" s="10">
        <v>323.709474572597</v>
      </c>
      <c r="C3195" s="10">
        <v>-1.0139862421024499</v>
      </c>
      <c r="D3195" s="10">
        <v>0.32127090003980502</v>
      </c>
      <c r="E3195" s="10">
        <v>-3.1561720715347001</v>
      </c>
      <c r="F3195" s="10">
        <v>1.5985452575842699E-3</v>
      </c>
      <c r="G3195" s="10">
        <v>9.0893774761601001E-3</v>
      </c>
      <c r="H3195" s="10" t="s">
        <v>11658</v>
      </c>
      <c r="I3195" s="10" t="s">
        <v>18</v>
      </c>
    </row>
    <row r="3196" spans="1:9" x14ac:dyDescent="0.2">
      <c r="A3196" s="10" t="s">
        <v>8772</v>
      </c>
      <c r="B3196" s="10">
        <v>207.60452990374</v>
      </c>
      <c r="C3196" s="10">
        <v>4.3193053334014602</v>
      </c>
      <c r="D3196" s="10">
        <v>0.38714328914325802</v>
      </c>
      <c r="E3196" s="10">
        <v>11.156864795357899</v>
      </c>
      <c r="F3196" s="4">
        <v>6.6288207707107905E-29</v>
      </c>
      <c r="G3196" s="4">
        <v>6.3162116093647697E-27</v>
      </c>
      <c r="H3196" s="10" t="s">
        <v>8773</v>
      </c>
      <c r="I3196" s="10" t="s">
        <v>18</v>
      </c>
    </row>
    <row r="3197" spans="1:9" x14ac:dyDescent="0.2">
      <c r="A3197" s="10" t="s">
        <v>11659</v>
      </c>
      <c r="B3197" s="10">
        <v>283.01096846362702</v>
      </c>
      <c r="C3197" s="10">
        <v>-2.49227029208802</v>
      </c>
      <c r="D3197" s="10">
        <v>0.32061776177191398</v>
      </c>
      <c r="E3197" s="10">
        <v>-7.7733381903558101</v>
      </c>
      <c r="F3197" s="4">
        <v>7.64442870133877E-15</v>
      </c>
      <c r="G3197" s="4">
        <v>2.73148502338881E-13</v>
      </c>
      <c r="H3197" s="10" t="s">
        <v>11660</v>
      </c>
      <c r="I3197" s="10" t="s">
        <v>18</v>
      </c>
    </row>
    <row r="3198" spans="1:9" x14ac:dyDescent="0.2">
      <c r="A3198" s="10" t="s">
        <v>8776</v>
      </c>
      <c r="B3198" s="10">
        <v>4057.6432456907601</v>
      </c>
      <c r="C3198" s="10">
        <v>-1.2828423115532901</v>
      </c>
      <c r="D3198" s="10">
        <v>0.30081169360293802</v>
      </c>
      <c r="E3198" s="10">
        <v>-4.2646025365177298</v>
      </c>
      <c r="F3198" s="4">
        <v>2.0025836436814599E-5</v>
      </c>
      <c r="G3198" s="10">
        <v>1.9161274840930899E-4</v>
      </c>
      <c r="H3198" s="10" t="s">
        <v>8777</v>
      </c>
      <c r="I3198" s="10" t="s">
        <v>18</v>
      </c>
    </row>
    <row r="3199" spans="1:9" x14ac:dyDescent="0.2">
      <c r="A3199" s="10" t="s">
        <v>11661</v>
      </c>
      <c r="B3199" s="10">
        <v>52.732713084621601</v>
      </c>
      <c r="C3199" s="10">
        <v>-2.0229112434474898</v>
      </c>
      <c r="D3199" s="10">
        <v>0.55327552980824202</v>
      </c>
      <c r="E3199" s="10">
        <v>-3.6562456397603702</v>
      </c>
      <c r="F3199" s="10">
        <v>2.5593611938850902E-4</v>
      </c>
      <c r="G3199" s="10">
        <v>1.8569579126674199E-3</v>
      </c>
      <c r="H3199" s="10" t="s">
        <v>11662</v>
      </c>
      <c r="I3199" s="10" t="s">
        <v>18</v>
      </c>
    </row>
    <row r="3200" spans="1:9" x14ac:dyDescent="0.2">
      <c r="A3200" s="10" t="s">
        <v>8780</v>
      </c>
      <c r="B3200" s="10">
        <v>3147.4377286161598</v>
      </c>
      <c r="C3200" s="10">
        <v>1.52788482364809</v>
      </c>
      <c r="D3200" s="10">
        <v>0.29846214537287002</v>
      </c>
      <c r="E3200" s="10">
        <v>5.1191913190173404</v>
      </c>
      <c r="F3200" s="4">
        <v>3.06848557675931E-7</v>
      </c>
      <c r="G3200" s="4">
        <v>4.2156064818886096E-6</v>
      </c>
      <c r="H3200" s="10" t="s">
        <v>8781</v>
      </c>
      <c r="I3200" s="10" t="s">
        <v>18</v>
      </c>
    </row>
    <row r="3201" spans="1:9" x14ac:dyDescent="0.2">
      <c r="A3201" s="10" t="s">
        <v>8784</v>
      </c>
      <c r="B3201" s="10">
        <v>5122.8834823064199</v>
      </c>
      <c r="C3201" s="10">
        <v>2.6792279797186098</v>
      </c>
      <c r="D3201" s="10">
        <v>0.283134841530708</v>
      </c>
      <c r="E3201" s="10">
        <v>9.4627279540516298</v>
      </c>
      <c r="F3201" s="4">
        <v>3.0001215395149599E-21</v>
      </c>
      <c r="G3201" s="4">
        <v>1.75099900989556E-19</v>
      </c>
      <c r="H3201" s="10" t="s">
        <v>8785</v>
      </c>
      <c r="I3201" s="10" t="s">
        <v>18</v>
      </c>
    </row>
    <row r="3202" spans="1:9" x14ac:dyDescent="0.2">
      <c r="A3202" s="10" t="s">
        <v>8786</v>
      </c>
      <c r="B3202" s="10">
        <v>1278.84092498719</v>
      </c>
      <c r="C3202" s="10">
        <v>-1.3765915943593501</v>
      </c>
      <c r="D3202" s="10">
        <v>0.30332298847824601</v>
      </c>
      <c r="E3202" s="10">
        <v>-4.5383688234961399</v>
      </c>
      <c r="F3202" s="4">
        <v>5.6691043532066401E-6</v>
      </c>
      <c r="G3202" s="4">
        <v>6.1585280486145405E-5</v>
      </c>
      <c r="H3202" s="10" t="s">
        <v>8787</v>
      </c>
      <c r="I3202" s="10" t="s">
        <v>18</v>
      </c>
    </row>
    <row r="3203" spans="1:9" x14ac:dyDescent="0.2">
      <c r="A3203" s="10" t="s">
        <v>8790</v>
      </c>
      <c r="B3203" s="10">
        <v>348.46187009797899</v>
      </c>
      <c r="C3203" s="10">
        <v>1.08420980483106</v>
      </c>
      <c r="D3203" s="10">
        <v>0.32834521336078298</v>
      </c>
      <c r="E3203" s="10">
        <v>3.3020423649049602</v>
      </c>
      <c r="F3203" s="10">
        <v>9.5983571916092604E-4</v>
      </c>
      <c r="G3203" s="10">
        <v>5.8894984055934303E-3</v>
      </c>
      <c r="H3203" s="10" t="s">
        <v>8791</v>
      </c>
      <c r="I3203" s="10" t="s">
        <v>18</v>
      </c>
    </row>
    <row r="3204" spans="1:9" x14ac:dyDescent="0.2">
      <c r="A3204" s="10" t="s">
        <v>8792</v>
      </c>
      <c r="B3204" s="10">
        <v>9.1277063492489106</v>
      </c>
      <c r="C3204" s="10">
        <v>5.2404500024592098</v>
      </c>
      <c r="D3204" s="10">
        <v>1.75404064718679</v>
      </c>
      <c r="E3204" s="10">
        <v>2.98764456277799</v>
      </c>
      <c r="F3204" s="10">
        <v>2.8113630151761098E-3</v>
      </c>
      <c r="G3204" s="10">
        <v>1.45904346289984E-2</v>
      </c>
      <c r="H3204" s="10" t="s">
        <v>8793</v>
      </c>
      <c r="I3204" s="10" t="s">
        <v>18</v>
      </c>
    </row>
    <row r="3205" spans="1:9" x14ac:dyDescent="0.2">
      <c r="A3205" s="10" t="s">
        <v>11663</v>
      </c>
      <c r="B3205" s="10">
        <v>2792.7006033643102</v>
      </c>
      <c r="C3205" s="10">
        <v>1.16831844698155</v>
      </c>
      <c r="D3205" s="10">
        <v>0.29404974458476502</v>
      </c>
      <c r="E3205" s="10">
        <v>3.9732000061124402</v>
      </c>
      <c r="F3205" s="4">
        <v>7.0913455466168501E-5</v>
      </c>
      <c r="G3205" s="10">
        <v>5.9940456056837004E-4</v>
      </c>
      <c r="H3205" s="10" t="s">
        <v>11664</v>
      </c>
      <c r="I3205" s="10" t="s">
        <v>18</v>
      </c>
    </row>
    <row r="3206" spans="1:9" x14ac:dyDescent="0.2">
      <c r="A3206" s="10" t="s">
        <v>8796</v>
      </c>
      <c r="B3206" s="10">
        <v>771.02270049579101</v>
      </c>
      <c r="C3206" s="10">
        <v>1.21410222732468</v>
      </c>
      <c r="D3206" s="10">
        <v>0.31198015821184999</v>
      </c>
      <c r="E3206" s="10">
        <v>3.8916007809068698</v>
      </c>
      <c r="F3206" s="4">
        <v>9.9585007836510794E-5</v>
      </c>
      <c r="G3206" s="10">
        <v>8.0912818867165002E-4</v>
      </c>
      <c r="H3206" s="10" t="s">
        <v>8797</v>
      </c>
      <c r="I3206" s="10" t="s">
        <v>18</v>
      </c>
    </row>
    <row r="3207" spans="1:9" x14ac:dyDescent="0.2">
      <c r="A3207" s="10" t="s">
        <v>8798</v>
      </c>
      <c r="B3207" s="10">
        <v>3891.9547021816402</v>
      </c>
      <c r="C3207" s="10">
        <v>3.6922531897821802</v>
      </c>
      <c r="D3207" s="10">
        <v>0.26436209378398101</v>
      </c>
      <c r="E3207" s="10">
        <v>13.966651333905901</v>
      </c>
      <c r="F3207" s="4">
        <v>2.4906487534411599E-44</v>
      </c>
      <c r="G3207" s="4">
        <v>5.0936804384400298E-42</v>
      </c>
      <c r="H3207" s="10" t="s">
        <v>8799</v>
      </c>
      <c r="I3207" s="10" t="s">
        <v>18</v>
      </c>
    </row>
    <row r="3208" spans="1:9" x14ac:dyDescent="0.2">
      <c r="A3208" s="10" t="s">
        <v>8800</v>
      </c>
      <c r="B3208" s="10">
        <v>25.242901525148302</v>
      </c>
      <c r="C3208" s="10">
        <v>3.31271380898401</v>
      </c>
      <c r="D3208" s="10">
        <v>0.81817318524183003</v>
      </c>
      <c r="E3208" s="10">
        <v>4.0489151548090101</v>
      </c>
      <c r="F3208" s="4">
        <v>5.1455593264134997E-5</v>
      </c>
      <c r="G3208" s="10">
        <v>4.5099841413216599E-4</v>
      </c>
      <c r="H3208" s="10" t="s">
        <v>8801</v>
      </c>
      <c r="I3208" s="10" t="s">
        <v>18</v>
      </c>
    </row>
    <row r="3209" spans="1:9" x14ac:dyDescent="0.2">
      <c r="A3209" s="10" t="s">
        <v>8802</v>
      </c>
      <c r="B3209" s="10">
        <v>129.41208787674401</v>
      </c>
      <c r="C3209" s="10">
        <v>1.2079085717425999</v>
      </c>
      <c r="D3209" s="10">
        <v>0.425554454308402</v>
      </c>
      <c r="E3209" s="10">
        <v>2.83843479844584</v>
      </c>
      <c r="F3209" s="10">
        <v>4.53353805356371E-3</v>
      </c>
      <c r="G3209" s="10">
        <v>2.18679098250039E-2</v>
      </c>
      <c r="H3209" s="10" t="s">
        <v>8803</v>
      </c>
      <c r="I3209" s="10" t="s">
        <v>18</v>
      </c>
    </row>
    <row r="3210" spans="1:9" x14ac:dyDescent="0.2">
      <c r="A3210" s="10" t="s">
        <v>8804</v>
      </c>
      <c r="B3210" s="10">
        <v>40.798171944377501</v>
      </c>
      <c r="C3210" s="10">
        <v>5.7979175117350401</v>
      </c>
      <c r="D3210" s="10">
        <v>0.99504649242384502</v>
      </c>
      <c r="E3210" s="10">
        <v>5.8267805131515296</v>
      </c>
      <c r="F3210" s="4">
        <v>5.6506850036762902E-9</v>
      </c>
      <c r="G3210" s="4">
        <v>1.0367832331690499E-7</v>
      </c>
      <c r="H3210" s="10" t="s">
        <v>8805</v>
      </c>
      <c r="I3210" s="10" t="s">
        <v>18</v>
      </c>
    </row>
    <row r="3211" spans="1:9" x14ac:dyDescent="0.2">
      <c r="A3211" s="10" t="s">
        <v>11665</v>
      </c>
      <c r="B3211" s="10">
        <v>114.13400093718001</v>
      </c>
      <c r="C3211" s="10">
        <v>1.1562700493721201</v>
      </c>
      <c r="D3211" s="10">
        <v>0.44941080200254901</v>
      </c>
      <c r="E3211" s="10">
        <v>2.5728577155240702</v>
      </c>
      <c r="F3211" s="10">
        <v>1.0086266405165301E-2</v>
      </c>
      <c r="G3211" s="10">
        <v>4.2591913953656697E-2</v>
      </c>
      <c r="H3211" s="10" t="s">
        <v>11666</v>
      </c>
      <c r="I3211" s="10" t="s">
        <v>18</v>
      </c>
    </row>
    <row r="3212" spans="1:9" x14ac:dyDescent="0.2">
      <c r="A3212" s="10" t="s">
        <v>8806</v>
      </c>
      <c r="B3212" s="10">
        <v>337.30456684535898</v>
      </c>
      <c r="C3212" s="10">
        <v>3.7102220126494898</v>
      </c>
      <c r="D3212" s="10">
        <v>0.365026053187819</v>
      </c>
      <c r="E3212" s="10">
        <v>10.1642663044121</v>
      </c>
      <c r="F3212" s="4">
        <v>2.86269138173717E-24</v>
      </c>
      <c r="G3212" s="4">
        <v>2.1117595808679899E-22</v>
      </c>
      <c r="H3212" s="10" t="s">
        <v>8807</v>
      </c>
      <c r="I3212" s="10" t="s">
        <v>18</v>
      </c>
    </row>
    <row r="3213" spans="1:9" x14ac:dyDescent="0.2">
      <c r="A3213" s="10" t="s">
        <v>11667</v>
      </c>
      <c r="B3213" s="10">
        <v>38.393522934264404</v>
      </c>
      <c r="C3213" s="10">
        <v>-2.1743097946893899</v>
      </c>
      <c r="D3213" s="10">
        <v>0.61027143891080304</v>
      </c>
      <c r="E3213" s="10">
        <v>-3.5628568798337299</v>
      </c>
      <c r="F3213" s="10">
        <v>3.6684069975705298E-4</v>
      </c>
      <c r="G3213" s="10">
        <v>2.5547834447366201E-3</v>
      </c>
      <c r="H3213" s="10" t="s">
        <v>11668</v>
      </c>
      <c r="I3213" s="10" t="s">
        <v>18</v>
      </c>
    </row>
    <row r="3214" spans="1:9" x14ac:dyDescent="0.2">
      <c r="A3214" s="10" t="s">
        <v>8808</v>
      </c>
      <c r="B3214" s="10">
        <v>75.725993187549093</v>
      </c>
      <c r="C3214" s="10">
        <v>5.2917111708331896</v>
      </c>
      <c r="D3214" s="10">
        <v>0.66231788348328202</v>
      </c>
      <c r="E3214" s="10">
        <v>7.9896848670352396</v>
      </c>
      <c r="F3214" s="4">
        <v>1.3528411942041E-15</v>
      </c>
      <c r="G3214" s="4">
        <v>5.2274531858992501E-14</v>
      </c>
      <c r="H3214" s="10" t="s">
        <v>8809</v>
      </c>
      <c r="I3214" s="10" t="s">
        <v>18</v>
      </c>
    </row>
    <row r="3215" spans="1:9" x14ac:dyDescent="0.2">
      <c r="A3215" s="10" t="s">
        <v>8814</v>
      </c>
      <c r="B3215" s="10">
        <v>38.853961047719302</v>
      </c>
      <c r="C3215" s="10">
        <v>1.6398383488786099</v>
      </c>
      <c r="D3215" s="10">
        <v>0.63473237239069602</v>
      </c>
      <c r="E3215" s="10">
        <v>2.5835114454651502</v>
      </c>
      <c r="F3215" s="10">
        <v>9.7800222039834198E-3</v>
      </c>
      <c r="G3215" s="10">
        <v>4.1479760334042E-2</v>
      </c>
      <c r="H3215" s="10" t="s">
        <v>8815</v>
      </c>
      <c r="I3215" s="10" t="s">
        <v>18</v>
      </c>
    </row>
    <row r="3216" spans="1:9" x14ac:dyDescent="0.2">
      <c r="A3216" s="10" t="s">
        <v>11669</v>
      </c>
      <c r="B3216" s="10">
        <v>119.628719687622</v>
      </c>
      <c r="C3216" s="10">
        <v>1.1294511402848899</v>
      </c>
      <c r="D3216" s="10">
        <v>0.415066700967474</v>
      </c>
      <c r="E3216" s="10">
        <v>2.72113165824257</v>
      </c>
      <c r="F3216" s="10">
        <v>6.5058844410476897E-3</v>
      </c>
      <c r="G3216" s="10">
        <v>2.9420376029081499E-2</v>
      </c>
      <c r="H3216" s="10" t="s">
        <v>11670</v>
      </c>
      <c r="I3216" s="10" t="s">
        <v>18</v>
      </c>
    </row>
    <row r="3217" spans="1:9" x14ac:dyDescent="0.2">
      <c r="A3217" s="10" t="s">
        <v>8818</v>
      </c>
      <c r="B3217" s="10">
        <v>45.913985143839803</v>
      </c>
      <c r="C3217" s="10">
        <v>2.4684455727521502</v>
      </c>
      <c r="D3217" s="10">
        <v>0.57366249594611296</v>
      </c>
      <c r="E3217" s="10">
        <v>4.3029579067759496</v>
      </c>
      <c r="F3217" s="4">
        <v>1.68532878614369E-5</v>
      </c>
      <c r="G3217" s="10">
        <v>1.6412870931259999E-4</v>
      </c>
      <c r="H3217" s="10" t="s">
        <v>8819</v>
      </c>
      <c r="I3217" s="10" t="s">
        <v>18</v>
      </c>
    </row>
    <row r="3218" spans="1:9" x14ac:dyDescent="0.2">
      <c r="A3218" s="10" t="s">
        <v>11671</v>
      </c>
      <c r="B3218" s="10">
        <v>137.70094132186901</v>
      </c>
      <c r="C3218" s="10">
        <v>-1.66979344654635</v>
      </c>
      <c r="D3218" s="10">
        <v>0.40885767725482203</v>
      </c>
      <c r="E3218" s="10">
        <v>-4.0840457191797999</v>
      </c>
      <c r="F3218" s="4">
        <v>4.4258317191498899E-5</v>
      </c>
      <c r="G3218" s="10">
        <v>3.9243057478234301E-4</v>
      </c>
      <c r="H3218" s="10" t="s">
        <v>11672</v>
      </c>
      <c r="I3218" s="10" t="s">
        <v>18</v>
      </c>
    </row>
    <row r="3219" spans="1:9" x14ac:dyDescent="0.2">
      <c r="A3219" s="10" t="s">
        <v>8822</v>
      </c>
      <c r="B3219" s="10">
        <v>578.56594642761399</v>
      </c>
      <c r="C3219" s="10">
        <v>-1.75622473187156</v>
      </c>
      <c r="D3219" s="10">
        <v>0.32458667508708</v>
      </c>
      <c r="E3219" s="10">
        <v>-5.4106495018638698</v>
      </c>
      <c r="F3219" s="4">
        <v>6.2796572762224103E-8</v>
      </c>
      <c r="G3219" s="4">
        <v>9.6732871269672209E-7</v>
      </c>
      <c r="H3219" s="10" t="s">
        <v>8823</v>
      </c>
      <c r="I3219" s="10" t="s">
        <v>18</v>
      </c>
    </row>
    <row r="3220" spans="1:9" x14ac:dyDescent="0.2">
      <c r="A3220" s="10" t="s">
        <v>8830</v>
      </c>
      <c r="B3220" s="10">
        <v>271.56724908085999</v>
      </c>
      <c r="C3220" s="10">
        <v>4.0615381430303499</v>
      </c>
      <c r="D3220" s="10">
        <v>0.383194019732018</v>
      </c>
      <c r="E3220" s="10">
        <v>10.5991689167559</v>
      </c>
      <c r="F3220" s="4">
        <v>3.0063993924044601E-26</v>
      </c>
      <c r="G3220" s="4">
        <v>2.5723121331950399E-24</v>
      </c>
      <c r="H3220" s="10" t="s">
        <v>8831</v>
      </c>
      <c r="I3220" s="10" t="s">
        <v>18</v>
      </c>
    </row>
    <row r="3221" spans="1:9" x14ac:dyDescent="0.2">
      <c r="A3221" s="10" t="s">
        <v>8838</v>
      </c>
      <c r="B3221" s="10">
        <v>474.60590476523703</v>
      </c>
      <c r="C3221" s="10">
        <v>-1.542455800668</v>
      </c>
      <c r="D3221" s="10">
        <v>0.29987177487775102</v>
      </c>
      <c r="E3221" s="10">
        <v>-5.1437178483930799</v>
      </c>
      <c r="F3221" s="4">
        <v>2.6935397994609397E-7</v>
      </c>
      <c r="G3221" s="4">
        <v>3.75171614924917E-6</v>
      </c>
      <c r="H3221" s="10" t="s">
        <v>8839</v>
      </c>
      <c r="I3221" s="10" t="s">
        <v>18</v>
      </c>
    </row>
    <row r="3222" spans="1:9" x14ac:dyDescent="0.2">
      <c r="A3222" s="10" t="s">
        <v>11673</v>
      </c>
      <c r="B3222" s="10">
        <v>782.49664778863405</v>
      </c>
      <c r="C3222" s="10">
        <v>1.7722654427559199</v>
      </c>
      <c r="D3222" s="10">
        <v>0.31315606467970403</v>
      </c>
      <c r="E3222" s="10">
        <v>5.6593680999555103</v>
      </c>
      <c r="F3222" s="4">
        <v>1.5193136640289602E-8</v>
      </c>
      <c r="G3222" s="4">
        <v>2.6105420231317198E-7</v>
      </c>
      <c r="H3222" s="10" t="s">
        <v>11674</v>
      </c>
      <c r="I3222" s="10" t="s">
        <v>18</v>
      </c>
    </row>
    <row r="3223" spans="1:9" x14ac:dyDescent="0.2">
      <c r="A3223" s="10" t="s">
        <v>11675</v>
      </c>
      <c r="B3223" s="10">
        <v>20.369989510274301</v>
      </c>
      <c r="C3223" s="10">
        <v>5.3932114926745198</v>
      </c>
      <c r="D3223" s="10">
        <v>1.2405993112059699</v>
      </c>
      <c r="E3223" s="10">
        <v>4.3472630074507004</v>
      </c>
      <c r="F3223" s="4">
        <v>1.37846887386039E-5</v>
      </c>
      <c r="G3223" s="10">
        <v>1.36571030019527E-4</v>
      </c>
      <c r="H3223" s="10" t="s">
        <v>11676</v>
      </c>
      <c r="I3223" s="10" t="s">
        <v>18</v>
      </c>
    </row>
    <row r="3224" spans="1:9" x14ac:dyDescent="0.2">
      <c r="A3224" s="10" t="s">
        <v>11677</v>
      </c>
      <c r="B3224" s="10">
        <v>6060.1885595635604</v>
      </c>
      <c r="C3224" s="10">
        <v>-1.0014961072663</v>
      </c>
      <c r="D3224" s="10">
        <v>0.278865742359724</v>
      </c>
      <c r="E3224" s="10">
        <v>-3.5913199620426002</v>
      </c>
      <c r="F3224" s="10">
        <v>3.2900741927991599E-4</v>
      </c>
      <c r="G3224" s="10">
        <v>2.3241172794120401E-3</v>
      </c>
      <c r="H3224" s="10" t="s">
        <v>11678</v>
      </c>
      <c r="I3224" s="10" t="s">
        <v>18</v>
      </c>
    </row>
    <row r="3225" spans="1:9" x14ac:dyDescent="0.2">
      <c r="A3225" s="10" t="s">
        <v>11679</v>
      </c>
      <c r="B3225" s="10">
        <v>891.54821213059995</v>
      </c>
      <c r="C3225" s="10">
        <v>1.94951008634046</v>
      </c>
      <c r="D3225" s="10">
        <v>0.29361826349875098</v>
      </c>
      <c r="E3225" s="10">
        <v>6.63960771074023</v>
      </c>
      <c r="F3225" s="4">
        <v>3.1451909660081497E-11</v>
      </c>
      <c r="G3225" s="4">
        <v>7.6294386451239099E-10</v>
      </c>
      <c r="H3225" s="10" t="s">
        <v>11680</v>
      </c>
      <c r="I3225" s="10" t="s">
        <v>18</v>
      </c>
    </row>
    <row r="3226" spans="1:9" x14ac:dyDescent="0.2">
      <c r="A3226" s="10" t="s">
        <v>11681</v>
      </c>
      <c r="B3226" s="10">
        <v>510.95764125519298</v>
      </c>
      <c r="C3226" s="10">
        <v>2.4672096334206901</v>
      </c>
      <c r="D3226" s="10">
        <v>0.33506955561045698</v>
      </c>
      <c r="E3226" s="10">
        <v>7.3632760485378199</v>
      </c>
      <c r="F3226" s="4">
        <v>1.79450739142742E-13</v>
      </c>
      <c r="G3226" s="4">
        <v>5.6638435923910502E-12</v>
      </c>
      <c r="H3226" s="10" t="s">
        <v>11682</v>
      </c>
      <c r="I3226" s="10" t="s">
        <v>18</v>
      </c>
    </row>
    <row r="3227" spans="1:9" x14ac:dyDescent="0.2">
      <c r="A3227" s="10" t="s">
        <v>11683</v>
      </c>
      <c r="B3227" s="10">
        <v>1076.2675662085101</v>
      </c>
      <c r="C3227" s="10">
        <v>1.42697904683711</v>
      </c>
      <c r="D3227" s="10">
        <v>0.33809403208417499</v>
      </c>
      <c r="E3227" s="10">
        <v>4.2206573066094002</v>
      </c>
      <c r="F3227" s="4">
        <v>2.43591005232166E-5</v>
      </c>
      <c r="G3227" s="10">
        <v>2.2958155626133899E-4</v>
      </c>
      <c r="H3227" s="10" t="s">
        <v>11684</v>
      </c>
      <c r="I3227" s="10" t="s">
        <v>18</v>
      </c>
    </row>
    <row r="3228" spans="1:9" x14ac:dyDescent="0.2">
      <c r="A3228" s="10" t="s">
        <v>11685</v>
      </c>
      <c r="B3228" s="10">
        <v>1173.1839397793301</v>
      </c>
      <c r="C3228" s="10">
        <v>1.6783258763111499</v>
      </c>
      <c r="D3228" s="10">
        <v>0.31962322100975199</v>
      </c>
      <c r="E3228" s="10">
        <v>5.2509510135371</v>
      </c>
      <c r="F3228" s="4">
        <v>1.5131592112703999E-7</v>
      </c>
      <c r="G3228" s="4">
        <v>2.2117094688847699E-6</v>
      </c>
      <c r="H3228" s="10" t="s">
        <v>11686</v>
      </c>
      <c r="I3228" s="10" t="s">
        <v>18</v>
      </c>
    </row>
    <row r="3229" spans="1:9" x14ac:dyDescent="0.2">
      <c r="A3229" s="10" t="s">
        <v>8854</v>
      </c>
      <c r="B3229" s="10">
        <v>149.55015502666399</v>
      </c>
      <c r="C3229" s="10">
        <v>5.3689446297752799</v>
      </c>
      <c r="D3229" s="10">
        <v>0.52012838056350397</v>
      </c>
      <c r="E3229" s="10">
        <v>10.3223450794179</v>
      </c>
      <c r="F3229" s="4">
        <v>5.5842295788461799E-25</v>
      </c>
      <c r="G3229" s="4">
        <v>4.30893543116183E-23</v>
      </c>
      <c r="H3229" s="10" t="s">
        <v>8855</v>
      </c>
      <c r="I3229" s="10" t="s">
        <v>18</v>
      </c>
    </row>
    <row r="3230" spans="1:9" x14ac:dyDescent="0.2">
      <c r="A3230" s="10" t="s">
        <v>8856</v>
      </c>
      <c r="B3230" s="10">
        <v>14662.682400379301</v>
      </c>
      <c r="C3230" s="10">
        <v>3.7978293625132298</v>
      </c>
      <c r="D3230" s="10">
        <v>0.31009656606890601</v>
      </c>
      <c r="E3230" s="10">
        <v>12.2472473999255</v>
      </c>
      <c r="F3230" s="4">
        <v>1.7379511235412401E-34</v>
      </c>
      <c r="G3230" s="4">
        <v>2.16426537191485E-32</v>
      </c>
      <c r="H3230" s="10" t="s">
        <v>8857</v>
      </c>
      <c r="I3230" s="10" t="s">
        <v>18</v>
      </c>
    </row>
    <row r="3231" spans="1:9" x14ac:dyDescent="0.2">
      <c r="A3231" s="10" t="s">
        <v>8858</v>
      </c>
      <c r="B3231" s="10">
        <v>148.064690417642</v>
      </c>
      <c r="C3231" s="10">
        <v>2.66846121122272</v>
      </c>
      <c r="D3231" s="10">
        <v>0.41633452760337403</v>
      </c>
      <c r="E3231" s="10">
        <v>6.4094160688129698</v>
      </c>
      <c r="F3231" s="4">
        <v>1.4607803874384399E-10</v>
      </c>
      <c r="G3231" s="4">
        <v>3.2896983568499598E-9</v>
      </c>
      <c r="H3231" s="10" t="s">
        <v>8859</v>
      </c>
      <c r="I3231" s="10" t="s">
        <v>18</v>
      </c>
    </row>
    <row r="3232" spans="1:9" x14ac:dyDescent="0.2">
      <c r="A3232" s="10" t="s">
        <v>8862</v>
      </c>
      <c r="B3232" s="10">
        <v>172.906238336493</v>
      </c>
      <c r="C3232" s="10">
        <v>-1.2221917156636399</v>
      </c>
      <c r="D3232" s="10">
        <v>0.37762635260965199</v>
      </c>
      <c r="E3232" s="10">
        <v>-3.2365106598559099</v>
      </c>
      <c r="F3232" s="10">
        <v>1.21000707031937E-3</v>
      </c>
      <c r="G3232" s="10">
        <v>7.1885411504705203E-3</v>
      </c>
      <c r="H3232" s="10" t="s">
        <v>8863</v>
      </c>
      <c r="I3232" s="10" t="s">
        <v>18</v>
      </c>
    </row>
    <row r="3233" spans="1:9" x14ac:dyDescent="0.2">
      <c r="A3233" s="10" t="s">
        <v>8866</v>
      </c>
      <c r="B3233" s="10">
        <v>1475.1143151545</v>
      </c>
      <c r="C3233" s="10">
        <v>1.3458233048110699</v>
      </c>
      <c r="D3233" s="10">
        <v>0.30617551654588199</v>
      </c>
      <c r="E3233" s="10">
        <v>4.3955941350045702</v>
      </c>
      <c r="F3233" s="4">
        <v>1.10470176170094E-5</v>
      </c>
      <c r="G3233" s="10">
        <v>1.11729680087556E-4</v>
      </c>
      <c r="H3233" s="10" t="s">
        <v>8867</v>
      </c>
      <c r="I3233" s="10" t="s">
        <v>18</v>
      </c>
    </row>
    <row r="3234" spans="1:9" x14ac:dyDescent="0.2">
      <c r="A3234" s="10" t="s">
        <v>8870</v>
      </c>
      <c r="B3234" s="10">
        <v>1209.4942534289501</v>
      </c>
      <c r="C3234" s="10">
        <v>1.57636084084151</v>
      </c>
      <c r="D3234" s="10">
        <v>0.26183196562053601</v>
      </c>
      <c r="E3234" s="10">
        <v>6.0205056976353797</v>
      </c>
      <c r="F3234" s="4">
        <v>1.7387298523683701E-9</v>
      </c>
      <c r="G3234" s="4">
        <v>3.4063667785300898E-8</v>
      </c>
      <c r="H3234" s="10" t="s">
        <v>8871</v>
      </c>
      <c r="I3234" s="10" t="s">
        <v>18</v>
      </c>
    </row>
    <row r="3235" spans="1:9" x14ac:dyDescent="0.2">
      <c r="A3235" s="10" t="s">
        <v>8874</v>
      </c>
      <c r="B3235" s="10">
        <v>643.91353689906396</v>
      </c>
      <c r="C3235" s="10">
        <v>-1.6212494375111901</v>
      </c>
      <c r="D3235" s="10">
        <v>0.28713862852731198</v>
      </c>
      <c r="E3235" s="10">
        <v>-5.6462254689531601</v>
      </c>
      <c r="F3235" s="4">
        <v>1.64008725399255E-8</v>
      </c>
      <c r="G3235" s="4">
        <v>2.8008414714312698E-7</v>
      </c>
      <c r="H3235" s="10" t="s">
        <v>8875</v>
      </c>
      <c r="I3235" s="10" t="s">
        <v>18</v>
      </c>
    </row>
    <row r="3236" spans="1:9" x14ac:dyDescent="0.2">
      <c r="A3236" s="10" t="s">
        <v>8876</v>
      </c>
      <c r="B3236" s="10">
        <v>994.73280135398204</v>
      </c>
      <c r="C3236" s="10">
        <v>-1.16562224995796</v>
      </c>
      <c r="D3236" s="10">
        <v>0.27696367931604898</v>
      </c>
      <c r="E3236" s="10">
        <v>-4.2085743980453296</v>
      </c>
      <c r="F3236" s="4">
        <v>2.5698691656998999E-5</v>
      </c>
      <c r="G3236" s="10">
        <v>2.40853423484281E-4</v>
      </c>
      <c r="H3236" s="10" t="s">
        <v>8877</v>
      </c>
      <c r="I3236" s="10" t="s">
        <v>18</v>
      </c>
    </row>
    <row r="3237" spans="1:9" x14ac:dyDescent="0.2">
      <c r="A3237" s="10" t="s">
        <v>8878</v>
      </c>
      <c r="B3237" s="10">
        <v>338.79464448326303</v>
      </c>
      <c r="C3237" s="10">
        <v>5.1281886557917797</v>
      </c>
      <c r="D3237" s="10">
        <v>0.37733605971078799</v>
      </c>
      <c r="E3237" s="10">
        <v>13.5905077816372</v>
      </c>
      <c r="F3237" s="4">
        <v>4.5590640368973401E-42</v>
      </c>
      <c r="G3237" s="4">
        <v>8.4950559887520493E-40</v>
      </c>
      <c r="H3237" s="10" t="s">
        <v>8879</v>
      </c>
      <c r="I3237" s="10" t="s">
        <v>18</v>
      </c>
    </row>
    <row r="3238" spans="1:9" x14ac:dyDescent="0.2">
      <c r="A3238" s="10" t="s">
        <v>11687</v>
      </c>
      <c r="B3238" s="10">
        <v>372.93537275243602</v>
      </c>
      <c r="C3238" s="10">
        <v>-1.2200013299488901</v>
      </c>
      <c r="D3238" s="10">
        <v>0.29398125794549601</v>
      </c>
      <c r="E3238" s="10">
        <v>-4.1499289392627796</v>
      </c>
      <c r="F3238" s="4">
        <v>3.3257850685688298E-5</v>
      </c>
      <c r="G3238" s="10">
        <v>3.04550867855293E-4</v>
      </c>
      <c r="H3238" s="10" t="s">
        <v>11688</v>
      </c>
      <c r="I3238" s="10" t="s">
        <v>18</v>
      </c>
    </row>
    <row r="3239" spans="1:9" x14ac:dyDescent="0.2">
      <c r="A3239" s="10" t="s">
        <v>8882</v>
      </c>
      <c r="B3239" s="10">
        <v>1324.76042199273</v>
      </c>
      <c r="C3239" s="10">
        <v>-1.19073260275591</v>
      </c>
      <c r="D3239" s="10">
        <v>0.27798638411926502</v>
      </c>
      <c r="E3239" s="10">
        <v>-4.2834205946038404</v>
      </c>
      <c r="F3239" s="4">
        <v>1.84041798691241E-5</v>
      </c>
      <c r="G3239" s="10">
        <v>1.7799198177924499E-4</v>
      </c>
      <c r="H3239" s="10" t="s">
        <v>8883</v>
      </c>
      <c r="I3239" s="10" t="s">
        <v>18</v>
      </c>
    </row>
    <row r="3240" spans="1:9" x14ac:dyDescent="0.2">
      <c r="A3240" s="10" t="s">
        <v>8886</v>
      </c>
      <c r="B3240" s="10">
        <v>710.38752530480997</v>
      </c>
      <c r="C3240" s="10">
        <v>1.2967465358974899</v>
      </c>
      <c r="D3240" s="10">
        <v>0.29196078073685999</v>
      </c>
      <c r="E3240" s="10">
        <v>4.4415093445932099</v>
      </c>
      <c r="F3240" s="4">
        <v>8.9330066882481294E-6</v>
      </c>
      <c r="G3240" s="4">
        <v>9.2648989148910401E-5</v>
      </c>
      <c r="H3240" s="10" t="s">
        <v>8887</v>
      </c>
      <c r="I3240" s="10" t="s">
        <v>18</v>
      </c>
    </row>
    <row r="3241" spans="1:9" x14ac:dyDescent="0.2">
      <c r="A3241" s="10" t="s">
        <v>8888</v>
      </c>
      <c r="B3241" s="10">
        <v>1123.4397340747701</v>
      </c>
      <c r="C3241" s="10">
        <v>1.3297076070120799</v>
      </c>
      <c r="D3241" s="10">
        <v>0.25283777888702302</v>
      </c>
      <c r="E3241" s="10">
        <v>5.2591333971741703</v>
      </c>
      <c r="F3241" s="4">
        <v>1.4473586899641399E-7</v>
      </c>
      <c r="G3241" s="4">
        <v>2.1254120166986599E-6</v>
      </c>
      <c r="H3241" s="10" t="s">
        <v>8889</v>
      </c>
      <c r="I3241" s="10" t="s">
        <v>18</v>
      </c>
    </row>
    <row r="3242" spans="1:9" x14ac:dyDescent="0.2">
      <c r="A3242" s="10" t="s">
        <v>11689</v>
      </c>
      <c r="B3242" s="10">
        <v>25.952095912785499</v>
      </c>
      <c r="C3242" s="10">
        <v>-2.0081422358643901</v>
      </c>
      <c r="D3242" s="10">
        <v>0.70009202487393396</v>
      </c>
      <c r="E3242" s="10">
        <v>-2.86839753134739</v>
      </c>
      <c r="F3242" s="10">
        <v>4.1255681008333803E-3</v>
      </c>
      <c r="G3242" s="10">
        <v>2.0213997969704699E-2</v>
      </c>
      <c r="H3242" s="10" t="s">
        <v>11690</v>
      </c>
      <c r="I3242" s="10" t="s">
        <v>18</v>
      </c>
    </row>
    <row r="3243" spans="1:9" x14ac:dyDescent="0.2">
      <c r="A3243" s="10" t="s">
        <v>8890</v>
      </c>
      <c r="B3243" s="10">
        <v>1317.2229264161899</v>
      </c>
      <c r="C3243" s="10">
        <v>-1.81260578130651</v>
      </c>
      <c r="D3243" s="10">
        <v>0.24898582507967501</v>
      </c>
      <c r="E3243" s="10">
        <v>-7.2799557192722899</v>
      </c>
      <c r="F3243" s="4">
        <v>3.3392976573794801E-13</v>
      </c>
      <c r="G3243" s="4">
        <v>1.0281521734563101E-11</v>
      </c>
      <c r="H3243" s="10" t="s">
        <v>8891</v>
      </c>
      <c r="I3243" s="10" t="s">
        <v>18</v>
      </c>
    </row>
    <row r="3244" spans="1:9" x14ac:dyDescent="0.2">
      <c r="A3244" s="10" t="s">
        <v>11691</v>
      </c>
      <c r="B3244" s="10">
        <v>467.129916576965</v>
      </c>
      <c r="C3244" s="10">
        <v>-1.73607830127253</v>
      </c>
      <c r="D3244" s="10">
        <v>0.324806423749116</v>
      </c>
      <c r="E3244" s="10">
        <v>-5.3449629512669201</v>
      </c>
      <c r="F3244" s="4">
        <v>9.0435549341801295E-8</v>
      </c>
      <c r="G3244" s="4">
        <v>1.36303549652068E-6</v>
      </c>
      <c r="H3244" s="10" t="s">
        <v>11692</v>
      </c>
      <c r="I3244" s="10" t="s">
        <v>18</v>
      </c>
    </row>
    <row r="3245" spans="1:9" x14ac:dyDescent="0.2">
      <c r="A3245" s="10" t="s">
        <v>8900</v>
      </c>
      <c r="B3245" s="10">
        <v>58.888662172023501</v>
      </c>
      <c r="C3245" s="10">
        <v>2.67958880273786</v>
      </c>
      <c r="D3245" s="10">
        <v>0.52547620676537699</v>
      </c>
      <c r="E3245" s="10">
        <v>5.0993532499451097</v>
      </c>
      <c r="F3245" s="4">
        <v>3.4081598209212202E-7</v>
      </c>
      <c r="G3245" s="4">
        <v>4.6442177841426502E-6</v>
      </c>
      <c r="H3245" s="10" t="s">
        <v>8901</v>
      </c>
      <c r="I3245" s="10" t="s">
        <v>18</v>
      </c>
    </row>
    <row r="3246" spans="1:9" x14ac:dyDescent="0.2">
      <c r="A3246" s="10" t="s">
        <v>8902</v>
      </c>
      <c r="B3246" s="10">
        <v>57.063143010883302</v>
      </c>
      <c r="C3246" s="10">
        <v>1.90207690337336</v>
      </c>
      <c r="D3246" s="10">
        <v>0.496928942043662</v>
      </c>
      <c r="E3246" s="10">
        <v>3.82766376124302</v>
      </c>
      <c r="F3246" s="10">
        <v>1.2936531232460701E-4</v>
      </c>
      <c r="G3246" s="10">
        <v>1.0178337812312499E-3</v>
      </c>
      <c r="H3246" s="10" t="s">
        <v>8903</v>
      </c>
      <c r="I3246" s="10" t="s">
        <v>18</v>
      </c>
    </row>
    <row r="3247" spans="1:9" x14ac:dyDescent="0.2">
      <c r="A3247" s="10" t="s">
        <v>11693</v>
      </c>
      <c r="B3247" s="10">
        <v>455.727011696418</v>
      </c>
      <c r="C3247" s="10">
        <v>-1.14620262434234</v>
      </c>
      <c r="D3247" s="10">
        <v>0.28151489548981901</v>
      </c>
      <c r="E3247" s="10">
        <v>-4.0715523146582404</v>
      </c>
      <c r="F3247" s="4">
        <v>4.67008707181354E-5</v>
      </c>
      <c r="G3247" s="10">
        <v>4.1248609652903601E-4</v>
      </c>
      <c r="H3247" s="10" t="s">
        <v>11694</v>
      </c>
      <c r="I3247" s="10" t="s">
        <v>18</v>
      </c>
    </row>
    <row r="3248" spans="1:9" x14ac:dyDescent="0.2">
      <c r="A3248" s="10" t="s">
        <v>11695</v>
      </c>
      <c r="B3248" s="10">
        <v>533.66530005443201</v>
      </c>
      <c r="C3248" s="10">
        <v>1.27441827331367</v>
      </c>
      <c r="D3248" s="10">
        <v>0.28846368457475702</v>
      </c>
      <c r="E3248" s="10">
        <v>4.4179504785580601</v>
      </c>
      <c r="F3248" s="4">
        <v>9.9641242444221895E-6</v>
      </c>
      <c r="G3248" s="10">
        <v>1.02071510424966E-4</v>
      </c>
      <c r="H3248" s="10" t="s">
        <v>11696</v>
      </c>
      <c r="I3248" s="10" t="s">
        <v>18</v>
      </c>
    </row>
    <row r="3249" spans="1:9" x14ac:dyDescent="0.2">
      <c r="A3249" s="10" t="s">
        <v>8908</v>
      </c>
      <c r="B3249" s="10">
        <v>869.70806673091704</v>
      </c>
      <c r="C3249" s="10">
        <v>1.20671196955599</v>
      </c>
      <c r="D3249" s="10">
        <v>0.30127704971115499</v>
      </c>
      <c r="E3249" s="10">
        <v>4.0053232422214204</v>
      </c>
      <c r="F3249" s="4">
        <v>6.1932731115237202E-5</v>
      </c>
      <c r="G3249" s="10">
        <v>5.3207576885375401E-4</v>
      </c>
      <c r="H3249" s="10" t="s">
        <v>8909</v>
      </c>
      <c r="I3249" s="10" t="s">
        <v>18</v>
      </c>
    </row>
    <row r="3250" spans="1:9" x14ac:dyDescent="0.2">
      <c r="A3250" s="10" t="s">
        <v>11697</v>
      </c>
      <c r="B3250" s="10">
        <v>813.32837927597097</v>
      </c>
      <c r="C3250" s="10">
        <v>-1.20779362765433</v>
      </c>
      <c r="D3250" s="10">
        <v>0.26391572573109501</v>
      </c>
      <c r="E3250" s="10">
        <v>-4.57643675574284</v>
      </c>
      <c r="F3250" s="4">
        <v>4.7296260358213298E-6</v>
      </c>
      <c r="G3250" s="4">
        <v>5.2135733098635198E-5</v>
      </c>
      <c r="H3250" s="10" t="s">
        <v>11698</v>
      </c>
      <c r="I3250" s="10" t="s">
        <v>18</v>
      </c>
    </row>
    <row r="3251" spans="1:9" x14ac:dyDescent="0.2">
      <c r="A3251" s="10" t="s">
        <v>11699</v>
      </c>
      <c r="B3251" s="10">
        <v>4939.3506772648398</v>
      </c>
      <c r="C3251" s="10">
        <v>-1.0641970211890399</v>
      </c>
      <c r="D3251" s="10">
        <v>0.24180271955475999</v>
      </c>
      <c r="E3251" s="10">
        <v>-4.4010961628081802</v>
      </c>
      <c r="F3251" s="4">
        <v>1.0770537464692799E-5</v>
      </c>
      <c r="G3251" s="10">
        <v>1.09335298597396E-4</v>
      </c>
      <c r="H3251" s="10" t="s">
        <v>11700</v>
      </c>
      <c r="I3251" s="10" t="s">
        <v>18</v>
      </c>
    </row>
    <row r="3252" spans="1:9" x14ac:dyDescent="0.2">
      <c r="A3252" s="10" t="s">
        <v>11701</v>
      </c>
      <c r="B3252" s="10">
        <v>3143.5382096959402</v>
      </c>
      <c r="C3252" s="10">
        <v>-1.2305965987346299</v>
      </c>
      <c r="D3252" s="10">
        <v>0.23781756280434499</v>
      </c>
      <c r="E3252" s="10">
        <v>-5.1745404511905697</v>
      </c>
      <c r="F3252" s="4">
        <v>2.2847260976578501E-7</v>
      </c>
      <c r="G3252" s="4">
        <v>3.2251562843200398E-6</v>
      </c>
      <c r="H3252" s="10" t="s">
        <v>11702</v>
      </c>
      <c r="I3252" s="10" t="s">
        <v>18</v>
      </c>
    </row>
    <row r="3253" spans="1:9" x14ac:dyDescent="0.2">
      <c r="A3253" s="10" t="s">
        <v>8916</v>
      </c>
      <c r="B3253" s="10">
        <v>399.90672790612803</v>
      </c>
      <c r="C3253" s="10">
        <v>1.11170030262372</v>
      </c>
      <c r="D3253" s="10">
        <v>0.309698204363965</v>
      </c>
      <c r="E3253" s="10">
        <v>3.58962463120135</v>
      </c>
      <c r="F3253" s="10">
        <v>3.31154475281873E-4</v>
      </c>
      <c r="G3253" s="10">
        <v>2.3360041575197698E-3</v>
      </c>
      <c r="H3253" s="10" t="s">
        <v>8917</v>
      </c>
      <c r="I3253" s="10" t="s">
        <v>18</v>
      </c>
    </row>
    <row r="3254" spans="1:9" x14ac:dyDescent="0.2">
      <c r="A3254" s="10" t="s">
        <v>8920</v>
      </c>
      <c r="B3254" s="10">
        <v>1646.48128625303</v>
      </c>
      <c r="C3254" s="10">
        <v>-1.2916287067249199</v>
      </c>
      <c r="D3254" s="10">
        <v>0.266156524017306</v>
      </c>
      <c r="E3254" s="10">
        <v>-4.8528914010048503</v>
      </c>
      <c r="F3254" s="4">
        <v>1.2167432751243799E-6</v>
      </c>
      <c r="G3254" s="4">
        <v>1.48795221612803E-5</v>
      </c>
      <c r="H3254" s="10" t="s">
        <v>8921</v>
      </c>
      <c r="I3254" s="10" t="s">
        <v>18</v>
      </c>
    </row>
    <row r="3255" spans="1:9" x14ac:dyDescent="0.2">
      <c r="A3255" s="10" t="s">
        <v>8924</v>
      </c>
      <c r="B3255" s="10">
        <v>14.472265090247999</v>
      </c>
      <c r="C3255" s="10">
        <v>2.3676951872547098</v>
      </c>
      <c r="D3255" s="10">
        <v>0.92849895624455603</v>
      </c>
      <c r="E3255" s="10">
        <v>2.5500246083540898</v>
      </c>
      <c r="F3255" s="10">
        <v>1.0771531565980401E-2</v>
      </c>
      <c r="G3255" s="10">
        <v>4.4920072371060403E-2</v>
      </c>
      <c r="H3255" s="10" t="s">
        <v>8925</v>
      </c>
      <c r="I3255" s="10" t="s">
        <v>18</v>
      </c>
    </row>
    <row r="3256" spans="1:9" x14ac:dyDescent="0.2">
      <c r="A3256" s="10" t="s">
        <v>11703</v>
      </c>
      <c r="B3256" s="10">
        <v>5696.0048993484697</v>
      </c>
      <c r="C3256" s="10">
        <v>1.52480480550644</v>
      </c>
      <c r="D3256" s="10">
        <v>0.24531580383290499</v>
      </c>
      <c r="E3256" s="10">
        <v>6.2156811003707402</v>
      </c>
      <c r="F3256" s="4">
        <v>5.1102495959506203E-10</v>
      </c>
      <c r="G3256" s="4">
        <v>1.0847960218239501E-8</v>
      </c>
      <c r="H3256" s="10" t="s">
        <v>11704</v>
      </c>
      <c r="I3256" s="10" t="s">
        <v>18</v>
      </c>
    </row>
    <row r="3257" spans="1:9" x14ac:dyDescent="0.2">
      <c r="A3257" s="10" t="s">
        <v>11705</v>
      </c>
      <c r="B3257" s="10">
        <v>1874.3885806866499</v>
      </c>
      <c r="C3257" s="10">
        <v>1.0591102887933801</v>
      </c>
      <c r="D3257" s="10">
        <v>0.24951795892918299</v>
      </c>
      <c r="E3257" s="10">
        <v>4.24462549044003</v>
      </c>
      <c r="F3257" s="4">
        <v>2.1895880504023001E-5</v>
      </c>
      <c r="G3257" s="10">
        <v>2.0776721013907899E-4</v>
      </c>
      <c r="H3257" s="10" t="s">
        <v>11706</v>
      </c>
      <c r="I3257" s="10" t="s">
        <v>18</v>
      </c>
    </row>
    <row r="3258" spans="1:9" x14ac:dyDescent="0.2">
      <c r="A3258" s="10" t="s">
        <v>11707</v>
      </c>
      <c r="B3258" s="10">
        <v>744.36444390488998</v>
      </c>
      <c r="C3258" s="10">
        <v>1.10054780997431</v>
      </c>
      <c r="D3258" s="10">
        <v>0.27918284770179402</v>
      </c>
      <c r="E3258" s="10">
        <v>3.9420323240983901</v>
      </c>
      <c r="F3258" s="4">
        <v>8.0794084575593395E-5</v>
      </c>
      <c r="G3258" s="10">
        <v>6.7208174520471298E-4</v>
      </c>
      <c r="H3258" s="10" t="s">
        <v>11708</v>
      </c>
      <c r="I3258" s="10" t="s">
        <v>18</v>
      </c>
    </row>
    <row r="3259" spans="1:9" x14ac:dyDescent="0.2">
      <c r="A3259" s="10" t="s">
        <v>8934</v>
      </c>
      <c r="B3259" s="10">
        <v>3858.51828698486</v>
      </c>
      <c r="C3259" s="10">
        <v>1.14745122168876</v>
      </c>
      <c r="D3259" s="10">
        <v>0.249717230978695</v>
      </c>
      <c r="E3259" s="10">
        <v>4.5950021838367201</v>
      </c>
      <c r="F3259" s="4">
        <v>4.3274473646002403E-6</v>
      </c>
      <c r="G3259" s="4">
        <v>4.8230810126946901E-5</v>
      </c>
      <c r="H3259" s="10" t="s">
        <v>8935</v>
      </c>
      <c r="I3259" s="10" t="s">
        <v>18</v>
      </c>
    </row>
    <row r="3260" spans="1:9" x14ac:dyDescent="0.2">
      <c r="A3260" s="10" t="s">
        <v>11709</v>
      </c>
      <c r="B3260" s="10">
        <v>1789.87060301823</v>
      </c>
      <c r="C3260" s="10">
        <v>1.68158956485924</v>
      </c>
      <c r="D3260" s="10">
        <v>0.25705305402137801</v>
      </c>
      <c r="E3260" s="10">
        <v>6.5417995956561699</v>
      </c>
      <c r="F3260" s="4">
        <v>6.0782920045613105E-11</v>
      </c>
      <c r="G3260" s="4">
        <v>1.43298439901349E-9</v>
      </c>
      <c r="H3260" s="10" t="s">
        <v>11710</v>
      </c>
      <c r="I3260" s="10" t="s">
        <v>18</v>
      </c>
    </row>
    <row r="3261" spans="1:9" x14ac:dyDescent="0.2">
      <c r="A3261" s="10" t="s">
        <v>8942</v>
      </c>
      <c r="B3261" s="10">
        <v>30.626780505455201</v>
      </c>
      <c r="C3261" s="10">
        <v>4.9509830124230696</v>
      </c>
      <c r="D3261" s="10">
        <v>0.94478804438247099</v>
      </c>
      <c r="E3261" s="10">
        <v>5.2403108208880003</v>
      </c>
      <c r="F3261" s="4">
        <v>1.6030635417094501E-7</v>
      </c>
      <c r="G3261" s="4">
        <v>2.3295819405951002E-6</v>
      </c>
      <c r="H3261" s="10" t="s">
        <v>8943</v>
      </c>
      <c r="I3261" s="10" t="s">
        <v>18</v>
      </c>
    </row>
    <row r="3262" spans="1:9" x14ac:dyDescent="0.2">
      <c r="A3262" s="10" t="s">
        <v>11711</v>
      </c>
      <c r="B3262" s="10">
        <v>270.49007849644698</v>
      </c>
      <c r="C3262" s="10">
        <v>1.25807013149284</v>
      </c>
      <c r="D3262" s="10">
        <v>0.31487585980974703</v>
      </c>
      <c r="E3262" s="10">
        <v>3.9954480227636</v>
      </c>
      <c r="F3262" s="4">
        <v>6.4572023427243101E-5</v>
      </c>
      <c r="G3262" s="10">
        <v>5.5154813219433004E-4</v>
      </c>
      <c r="H3262" s="10" t="s">
        <v>11712</v>
      </c>
      <c r="I3262" s="10" t="s">
        <v>18</v>
      </c>
    </row>
    <row r="3263" spans="1:9" x14ac:dyDescent="0.2">
      <c r="A3263" s="10" t="s">
        <v>8952</v>
      </c>
      <c r="B3263" s="10">
        <v>284.40463349710001</v>
      </c>
      <c r="C3263" s="10">
        <v>2.0822755545139802</v>
      </c>
      <c r="D3263" s="10">
        <v>0.34683636248293698</v>
      </c>
      <c r="E3263" s="10">
        <v>6.00362528198416</v>
      </c>
      <c r="F3263" s="4">
        <v>1.9295974725841599E-9</v>
      </c>
      <c r="G3263" s="4">
        <v>3.7510838039300303E-8</v>
      </c>
      <c r="H3263" s="10" t="s">
        <v>8953</v>
      </c>
      <c r="I3263" s="10" t="s">
        <v>18</v>
      </c>
    </row>
    <row r="3264" spans="1:9" x14ac:dyDescent="0.2">
      <c r="A3264" s="10" t="s">
        <v>8954</v>
      </c>
      <c r="B3264" s="10">
        <v>659.45493582552206</v>
      </c>
      <c r="C3264" s="10">
        <v>-1.14043529780285</v>
      </c>
      <c r="D3264" s="10">
        <v>0.29597342160343998</v>
      </c>
      <c r="E3264" s="10">
        <v>-3.8531679352305499</v>
      </c>
      <c r="F3264" s="10">
        <v>1.1659935945169801E-4</v>
      </c>
      <c r="G3264" s="10">
        <v>9.2994828376901501E-4</v>
      </c>
      <c r="H3264" s="10" t="s">
        <v>8955</v>
      </c>
      <c r="I3264" s="10" t="s">
        <v>18</v>
      </c>
    </row>
    <row r="3265" spans="1:9" x14ac:dyDescent="0.2">
      <c r="A3265" s="10" t="s">
        <v>8956</v>
      </c>
      <c r="B3265" s="10">
        <v>477.67290514671498</v>
      </c>
      <c r="C3265" s="10">
        <v>-1.0041036668735901</v>
      </c>
      <c r="D3265" s="10">
        <v>0.33773426725703098</v>
      </c>
      <c r="E3265" s="10">
        <v>-2.9730583012159202</v>
      </c>
      <c r="F3265" s="10">
        <v>2.9484844022095299E-3</v>
      </c>
      <c r="G3265" s="10">
        <v>1.51985912167174E-2</v>
      </c>
      <c r="H3265" s="10" t="s">
        <v>8957</v>
      </c>
      <c r="I3265" s="10" t="s">
        <v>18</v>
      </c>
    </row>
    <row r="3266" spans="1:9" x14ac:dyDescent="0.2">
      <c r="A3266" s="10" t="s">
        <v>11713</v>
      </c>
      <c r="B3266" s="10">
        <v>8.6985067051800904</v>
      </c>
      <c r="C3266" s="10">
        <v>6.6409846725721904</v>
      </c>
      <c r="D3266" s="10">
        <v>1.8024575719572999</v>
      </c>
      <c r="E3266" s="10">
        <v>3.6844055449031798</v>
      </c>
      <c r="F3266" s="10">
        <v>2.29237012279008E-4</v>
      </c>
      <c r="G3266" s="10">
        <v>1.68659170631133E-3</v>
      </c>
      <c r="H3266" s="10" t="s">
        <v>11714</v>
      </c>
      <c r="I3266" s="10" t="s">
        <v>18</v>
      </c>
    </row>
    <row r="3267" spans="1:9" x14ac:dyDescent="0.2">
      <c r="A3267" s="10" t="s">
        <v>8960</v>
      </c>
      <c r="B3267" s="10">
        <v>2254.73909892952</v>
      </c>
      <c r="C3267" s="10">
        <v>-1.7143356004427399</v>
      </c>
      <c r="D3267" s="10">
        <v>0.248783911889703</v>
      </c>
      <c r="E3267" s="10">
        <v>-6.8908619830802502</v>
      </c>
      <c r="F3267" s="4">
        <v>5.5455322537805601E-12</v>
      </c>
      <c r="G3267" s="4">
        <v>1.47305030458131E-10</v>
      </c>
      <c r="H3267" s="10" t="s">
        <v>8961</v>
      </c>
      <c r="I3267" s="10" t="s">
        <v>18</v>
      </c>
    </row>
    <row r="3268" spans="1:9" x14ac:dyDescent="0.2">
      <c r="A3268" s="10" t="s">
        <v>11715</v>
      </c>
      <c r="B3268" s="10">
        <v>1233.7926809621999</v>
      </c>
      <c r="C3268" s="10">
        <v>-1.7507147505851399</v>
      </c>
      <c r="D3268" s="10">
        <v>0.26836335100059</v>
      </c>
      <c r="E3268" s="10">
        <v>-6.52367301294165</v>
      </c>
      <c r="F3268" s="4">
        <v>6.8606190579039102E-11</v>
      </c>
      <c r="G3268" s="4">
        <v>1.6038928661856201E-9</v>
      </c>
      <c r="H3268" s="10" t="s">
        <v>11716</v>
      </c>
      <c r="I3268" s="10" t="s">
        <v>18</v>
      </c>
    </row>
    <row r="3269" spans="1:9" x14ac:dyDescent="0.2">
      <c r="A3269" s="10" t="s">
        <v>11717</v>
      </c>
      <c r="B3269" s="10">
        <v>89.613797725206695</v>
      </c>
      <c r="C3269" s="10">
        <v>-1.1682570407533299</v>
      </c>
      <c r="D3269" s="10">
        <v>0.45177462669424401</v>
      </c>
      <c r="E3269" s="10">
        <v>-2.5859288497492101</v>
      </c>
      <c r="F3269" s="10">
        <v>9.7116975584764492E-3</v>
      </c>
      <c r="G3269" s="10">
        <v>4.1231688115354499E-2</v>
      </c>
      <c r="H3269" s="10" t="s">
        <v>11718</v>
      </c>
      <c r="I3269" s="10" t="s">
        <v>18</v>
      </c>
    </row>
    <row r="3270" spans="1:9" x14ac:dyDescent="0.2">
      <c r="A3270" s="10" t="s">
        <v>11719</v>
      </c>
      <c r="B3270" s="10">
        <v>582.01609966316801</v>
      </c>
      <c r="C3270" s="10">
        <v>-1.6252650844412999</v>
      </c>
      <c r="D3270" s="10">
        <v>0.32672636339345301</v>
      </c>
      <c r="E3270" s="10">
        <v>-4.9743922331853998</v>
      </c>
      <c r="F3270" s="4">
        <v>6.5452663498747005E-7</v>
      </c>
      <c r="G3270" s="4">
        <v>8.5088462548371108E-6</v>
      </c>
      <c r="H3270" s="10" t="s">
        <v>11720</v>
      </c>
      <c r="I3270" s="10" t="s">
        <v>18</v>
      </c>
    </row>
    <row r="3271" spans="1:9" x14ac:dyDescent="0.2">
      <c r="A3271" s="10" t="s">
        <v>11721</v>
      </c>
      <c r="B3271" s="10">
        <v>48.523275797374403</v>
      </c>
      <c r="C3271" s="10">
        <v>-1.41506659907416</v>
      </c>
      <c r="D3271" s="10">
        <v>0.52255839943567195</v>
      </c>
      <c r="E3271" s="10">
        <v>-2.7079587671011298</v>
      </c>
      <c r="F3271" s="10">
        <v>6.7698432682876397E-3</v>
      </c>
      <c r="G3271" s="10">
        <v>3.04261939277784E-2</v>
      </c>
      <c r="H3271" s="10" t="s">
        <v>11722</v>
      </c>
      <c r="I3271" s="10" t="s">
        <v>18</v>
      </c>
    </row>
    <row r="3272" spans="1:9" x14ac:dyDescent="0.2">
      <c r="A3272" s="10" t="s">
        <v>8976</v>
      </c>
      <c r="B3272" s="10">
        <v>1476.8975381331099</v>
      </c>
      <c r="C3272" s="10">
        <v>10.6141331631183</v>
      </c>
      <c r="D3272" s="10">
        <v>0.76804484985069998</v>
      </c>
      <c r="E3272" s="10">
        <v>13.8196788445122</v>
      </c>
      <c r="F3272" s="4">
        <v>1.9393311846103798E-43</v>
      </c>
      <c r="G3272" s="4">
        <v>3.81124030850579E-41</v>
      </c>
      <c r="H3272" s="10" t="s">
        <v>8977</v>
      </c>
      <c r="I3272" s="10" t="s">
        <v>18</v>
      </c>
    </row>
    <row r="3273" spans="1:9" x14ac:dyDescent="0.2">
      <c r="A3273" s="10" t="s">
        <v>8978</v>
      </c>
      <c r="B3273" s="10">
        <v>116.476057771851</v>
      </c>
      <c r="C3273" s="10">
        <v>-1.3640221392013201</v>
      </c>
      <c r="D3273" s="10">
        <v>0.392543722288348</v>
      </c>
      <c r="E3273" s="10">
        <v>-3.4748285649550099</v>
      </c>
      <c r="F3273" s="10">
        <v>5.1117992413738495E-4</v>
      </c>
      <c r="G3273" s="10">
        <v>3.4068932727412899E-3</v>
      </c>
      <c r="H3273" s="10" t="s">
        <v>8979</v>
      </c>
      <c r="I3273" s="10" t="s">
        <v>18</v>
      </c>
    </row>
    <row r="3274" spans="1:9" x14ac:dyDescent="0.2">
      <c r="A3274" s="10" t="s">
        <v>8982</v>
      </c>
      <c r="B3274" s="10">
        <v>1863.3116639623099</v>
      </c>
      <c r="C3274" s="10">
        <v>4.0700481431486999</v>
      </c>
      <c r="D3274" s="10">
        <v>0.27452995514337503</v>
      </c>
      <c r="E3274" s="10">
        <v>14.825515638259199</v>
      </c>
      <c r="F3274" s="4">
        <v>1.00207460553961E-49</v>
      </c>
      <c r="G3274" s="4">
        <v>2.6257486148280201E-47</v>
      </c>
      <c r="H3274" s="10" t="s">
        <v>8983</v>
      </c>
      <c r="I3274" s="10" t="s">
        <v>18</v>
      </c>
    </row>
    <row r="3275" spans="1:9" x14ac:dyDescent="0.2">
      <c r="A3275" s="10" t="s">
        <v>8984</v>
      </c>
      <c r="B3275" s="10">
        <v>347.05351651892101</v>
      </c>
      <c r="C3275" s="10">
        <v>-1.0031331621719299</v>
      </c>
      <c r="D3275" s="10">
        <v>0.30668778405959302</v>
      </c>
      <c r="E3275" s="10">
        <v>-3.2708611634071798</v>
      </c>
      <c r="F3275" s="10">
        <v>1.0722053500082499E-3</v>
      </c>
      <c r="G3275" s="10">
        <v>6.4757084224387803E-3</v>
      </c>
      <c r="H3275" s="10" t="s">
        <v>8985</v>
      </c>
      <c r="I3275" s="10" t="s">
        <v>18</v>
      </c>
    </row>
    <row r="3276" spans="1:9" x14ac:dyDescent="0.2">
      <c r="A3276" s="10" t="s">
        <v>11723</v>
      </c>
      <c r="B3276" s="10">
        <v>1052.2923255829201</v>
      </c>
      <c r="C3276" s="10">
        <v>1.5130853430233999</v>
      </c>
      <c r="D3276" s="10">
        <v>0.25601352743807299</v>
      </c>
      <c r="E3276" s="10">
        <v>5.9101773182255002</v>
      </c>
      <c r="F3276" s="4">
        <v>3.41739665411883E-9</v>
      </c>
      <c r="G3276" s="4">
        <v>6.46836815909399E-8</v>
      </c>
      <c r="H3276" s="10" t="s">
        <v>11724</v>
      </c>
      <c r="I3276" s="10" t="s">
        <v>18</v>
      </c>
    </row>
    <row r="3277" spans="1:9" x14ac:dyDescent="0.2">
      <c r="A3277" s="10" t="s">
        <v>11725</v>
      </c>
      <c r="B3277" s="10">
        <v>4.9403204550958897</v>
      </c>
      <c r="C3277" s="10">
        <v>-5.6949136281225998</v>
      </c>
      <c r="D3277" s="10">
        <v>2.0186067257992701</v>
      </c>
      <c r="E3277" s="10">
        <v>-2.82121007293666</v>
      </c>
      <c r="F3277" s="10">
        <v>4.7842861733309698E-3</v>
      </c>
      <c r="G3277" s="10">
        <v>2.2871288234538299E-2</v>
      </c>
      <c r="H3277" s="10" t="s">
        <v>11726</v>
      </c>
      <c r="I3277" s="10" t="s">
        <v>18</v>
      </c>
    </row>
    <row r="3278" spans="1:9" x14ac:dyDescent="0.2">
      <c r="A3278" s="10" t="s">
        <v>8996</v>
      </c>
      <c r="B3278" s="10">
        <v>320.12903176560002</v>
      </c>
      <c r="C3278" s="10">
        <v>3.7368576922600898</v>
      </c>
      <c r="D3278" s="10">
        <v>0.33137776980133898</v>
      </c>
      <c r="E3278" s="10">
        <v>11.2767301635844</v>
      </c>
      <c r="F3278" s="4">
        <v>1.7098378192907499E-29</v>
      </c>
      <c r="G3278" s="4">
        <v>1.68011602907261E-27</v>
      </c>
      <c r="H3278" s="10" t="s">
        <v>8997</v>
      </c>
      <c r="I3278" s="10" t="s">
        <v>18</v>
      </c>
    </row>
    <row r="3279" spans="1:9" x14ac:dyDescent="0.2">
      <c r="A3279" s="10" t="s">
        <v>11727</v>
      </c>
      <c r="B3279" s="10">
        <v>23.021308865083999</v>
      </c>
      <c r="C3279" s="10">
        <v>-2.26912107269361</v>
      </c>
      <c r="D3279" s="10">
        <v>0.77334303088447598</v>
      </c>
      <c r="E3279" s="10">
        <v>-2.9341714893304198</v>
      </c>
      <c r="F3279" s="10">
        <v>3.3443937214941801E-3</v>
      </c>
      <c r="G3279" s="10">
        <v>1.6940842542123601E-2</v>
      </c>
      <c r="H3279" s="10" t="s">
        <v>11728</v>
      </c>
      <c r="I3279" s="10" t="s">
        <v>18</v>
      </c>
    </row>
    <row r="3280" spans="1:9" x14ac:dyDescent="0.2">
      <c r="A3280" s="10" t="s">
        <v>11729</v>
      </c>
      <c r="B3280" s="10">
        <v>22.0454642059861</v>
      </c>
      <c r="C3280" s="10">
        <v>-2.5641599864339999</v>
      </c>
      <c r="D3280" s="10">
        <v>0.83566560876421603</v>
      </c>
      <c r="E3280" s="10">
        <v>-3.0684043468366302</v>
      </c>
      <c r="F3280" s="10">
        <v>2.1520521140171302E-3</v>
      </c>
      <c r="G3280" s="10">
        <v>1.16544393817225E-2</v>
      </c>
      <c r="H3280" s="10" t="s">
        <v>11730</v>
      </c>
      <c r="I3280" s="10" t="s">
        <v>18</v>
      </c>
    </row>
    <row r="3281" spans="1:9" x14ac:dyDescent="0.2">
      <c r="A3281" s="10" t="s">
        <v>11731</v>
      </c>
      <c r="B3281" s="10">
        <v>137.258086997194</v>
      </c>
      <c r="C3281" s="10">
        <v>-1.4515659305051101</v>
      </c>
      <c r="D3281" s="10">
        <v>0.37220587030973101</v>
      </c>
      <c r="E3281" s="10">
        <v>-3.8999006901669402</v>
      </c>
      <c r="F3281" s="4">
        <v>9.6232152560517302E-5</v>
      </c>
      <c r="G3281" s="10">
        <v>7.8467416455747601E-4</v>
      </c>
      <c r="H3281" s="10" t="s">
        <v>11732</v>
      </c>
      <c r="I3281" s="10" t="s">
        <v>18</v>
      </c>
    </row>
    <row r="3282" spans="1:9" x14ac:dyDescent="0.2">
      <c r="A3282" s="10" t="s">
        <v>11733</v>
      </c>
      <c r="B3282" s="10">
        <v>86.5184907807607</v>
      </c>
      <c r="C3282" s="10">
        <v>-1.56995593981118</v>
      </c>
      <c r="D3282" s="10">
        <v>0.42570073198099001</v>
      </c>
      <c r="E3282" s="10">
        <v>-3.6879333810525101</v>
      </c>
      <c r="F3282" s="10">
        <v>2.26082819864405E-4</v>
      </c>
      <c r="G3282" s="10">
        <v>1.66533333343751E-3</v>
      </c>
      <c r="H3282" s="10" t="s">
        <v>11734</v>
      </c>
      <c r="I3282" s="10" t="s">
        <v>18</v>
      </c>
    </row>
    <row r="3283" spans="1:9" x14ac:dyDescent="0.2">
      <c r="A3283" s="10" t="s">
        <v>11735</v>
      </c>
      <c r="B3283" s="10">
        <v>1016.06581862657</v>
      </c>
      <c r="C3283" s="10">
        <v>-1.0106566935318799</v>
      </c>
      <c r="D3283" s="10">
        <v>0.25885364522285798</v>
      </c>
      <c r="E3283" s="10">
        <v>-3.9043556549561398</v>
      </c>
      <c r="F3283" s="4">
        <v>9.4476759653297496E-5</v>
      </c>
      <c r="G3283" s="10">
        <v>7.7211269950575002E-4</v>
      </c>
      <c r="H3283" s="10" t="s">
        <v>11736</v>
      </c>
      <c r="I3283" s="10" t="s">
        <v>18</v>
      </c>
    </row>
    <row r="3284" spans="1:9" x14ac:dyDescent="0.2">
      <c r="A3284" s="10" t="s">
        <v>11737</v>
      </c>
      <c r="B3284" s="10">
        <v>1113.25739923007</v>
      </c>
      <c r="C3284" s="10">
        <v>-1.18048707472805</v>
      </c>
      <c r="D3284" s="10">
        <v>0.27053348245771203</v>
      </c>
      <c r="E3284" s="10">
        <v>-4.36355257768352</v>
      </c>
      <c r="F3284" s="4">
        <v>1.2796716705131401E-5</v>
      </c>
      <c r="G3284" s="10">
        <v>1.27485706422804E-4</v>
      </c>
      <c r="H3284" s="10" t="s">
        <v>11738</v>
      </c>
      <c r="I3284" s="10" t="s">
        <v>18</v>
      </c>
    </row>
    <row r="3285" spans="1:9" x14ac:dyDescent="0.2">
      <c r="A3285" s="10" t="s">
        <v>11739</v>
      </c>
      <c r="B3285" s="10">
        <v>512.088376281774</v>
      </c>
      <c r="C3285" s="10">
        <v>-3.1074071269472299</v>
      </c>
      <c r="D3285" s="10">
        <v>0.30820371575921601</v>
      </c>
      <c r="E3285" s="10">
        <v>-10.0823155856268</v>
      </c>
      <c r="F3285" s="4">
        <v>6.6148538987110997E-24</v>
      </c>
      <c r="G3285" s="4">
        <v>4.7004703339570001E-22</v>
      </c>
      <c r="H3285" s="10" t="s">
        <v>11740</v>
      </c>
      <c r="I3285" s="10" t="s">
        <v>18</v>
      </c>
    </row>
    <row r="3286" spans="1:9" x14ac:dyDescent="0.2">
      <c r="A3286" s="10" t="s">
        <v>11741</v>
      </c>
      <c r="B3286" s="10">
        <v>14.9568895887412</v>
      </c>
      <c r="C3286" s="10">
        <v>-2.43780508462492</v>
      </c>
      <c r="D3286" s="10">
        <v>0.95196814982713396</v>
      </c>
      <c r="E3286" s="10">
        <v>-2.5608053011727301</v>
      </c>
      <c r="F3286" s="10">
        <v>1.04429862609357E-2</v>
      </c>
      <c r="G3286" s="10">
        <v>4.3811427517317897E-2</v>
      </c>
      <c r="H3286" s="10" t="s">
        <v>11742</v>
      </c>
      <c r="I3286" s="10" t="s">
        <v>18</v>
      </c>
    </row>
    <row r="3287" spans="1:9" x14ac:dyDescent="0.2">
      <c r="A3287" s="10" t="s">
        <v>9012</v>
      </c>
      <c r="B3287" s="10">
        <v>59.905825121056303</v>
      </c>
      <c r="C3287" s="10">
        <v>2.0627982567790402</v>
      </c>
      <c r="D3287" s="10">
        <v>0.60557698042043995</v>
      </c>
      <c r="E3287" s="10">
        <v>3.4063353189992198</v>
      </c>
      <c r="F3287" s="10">
        <v>6.58412582938577E-4</v>
      </c>
      <c r="G3287" s="10">
        <v>4.2598684474845503E-3</v>
      </c>
      <c r="H3287" s="10" t="s">
        <v>9013</v>
      </c>
      <c r="I3287" s="10" t="s">
        <v>18</v>
      </c>
    </row>
    <row r="3288" spans="1:9" x14ac:dyDescent="0.2">
      <c r="A3288" s="10" t="s">
        <v>11743</v>
      </c>
      <c r="B3288" s="10">
        <v>79.511995254200301</v>
      </c>
      <c r="C3288" s="10">
        <v>-1.3700027218933</v>
      </c>
      <c r="D3288" s="10">
        <v>0.44223254482124003</v>
      </c>
      <c r="E3288" s="10">
        <v>-3.0979237913100302</v>
      </c>
      <c r="F3288" s="10">
        <v>1.9488153611541101E-3</v>
      </c>
      <c r="G3288" s="10">
        <v>1.07106074742914E-2</v>
      </c>
      <c r="H3288" s="10" t="s">
        <v>11744</v>
      </c>
      <c r="I3288" s="10" t="s">
        <v>18</v>
      </c>
    </row>
    <row r="3289" spans="1:9" x14ac:dyDescent="0.2">
      <c r="A3289" s="10" t="s">
        <v>11745</v>
      </c>
      <c r="B3289" s="10">
        <v>72.384650874048006</v>
      </c>
      <c r="C3289" s="10">
        <v>-1.9324230127409201</v>
      </c>
      <c r="D3289" s="10">
        <v>0.48276158762073301</v>
      </c>
      <c r="E3289" s="10">
        <v>-4.0028516400088296</v>
      </c>
      <c r="F3289" s="4">
        <v>6.2583550084817995E-5</v>
      </c>
      <c r="G3289" s="10">
        <v>5.3656755364130701E-4</v>
      </c>
      <c r="H3289" s="10" t="s">
        <v>11746</v>
      </c>
      <c r="I3289" s="10" t="s">
        <v>18</v>
      </c>
    </row>
    <row r="3290" spans="1:9" x14ac:dyDescent="0.2">
      <c r="A3290" s="10" t="s">
        <v>11747</v>
      </c>
      <c r="B3290" s="10">
        <v>13.8673010623965</v>
      </c>
      <c r="C3290" s="10">
        <v>-4.0844514710244502</v>
      </c>
      <c r="D3290" s="10">
        <v>1.1805393071715899</v>
      </c>
      <c r="E3290" s="10">
        <v>-3.4598182764538699</v>
      </c>
      <c r="F3290" s="10">
        <v>5.4054004773054299E-4</v>
      </c>
      <c r="G3290" s="10">
        <v>3.5801171407745698E-3</v>
      </c>
      <c r="H3290" s="10" t="s">
        <v>11748</v>
      </c>
      <c r="I3290" s="10" t="s">
        <v>18</v>
      </c>
    </row>
    <row r="3291" spans="1:9" x14ac:dyDescent="0.2">
      <c r="A3291" s="10" t="s">
        <v>9016</v>
      </c>
      <c r="B3291" s="10">
        <v>4084.5268807441498</v>
      </c>
      <c r="C3291" s="10">
        <v>1.78086364001855</v>
      </c>
      <c r="D3291" s="10">
        <v>0.32516405846490798</v>
      </c>
      <c r="E3291" s="10">
        <v>5.4768157600996004</v>
      </c>
      <c r="F3291" s="4">
        <v>4.33047683978707E-8</v>
      </c>
      <c r="G3291" s="4">
        <v>6.8770924813663995E-7</v>
      </c>
      <c r="H3291" s="10" t="s">
        <v>9017</v>
      </c>
      <c r="I3291" s="10" t="s">
        <v>18</v>
      </c>
    </row>
    <row r="3292" spans="1:9" x14ac:dyDescent="0.2">
      <c r="A3292" s="10" t="s">
        <v>11749</v>
      </c>
      <c r="B3292" s="10">
        <v>99.710639447196598</v>
      </c>
      <c r="C3292" s="10">
        <v>-1.2101136724013</v>
      </c>
      <c r="D3292" s="10">
        <v>0.40380077501487399</v>
      </c>
      <c r="E3292" s="10">
        <v>-2.99680869200097</v>
      </c>
      <c r="F3292" s="10">
        <v>2.7282186424115299E-3</v>
      </c>
      <c r="G3292" s="10">
        <v>1.4237366633239001E-2</v>
      </c>
      <c r="H3292" s="10" t="s">
        <v>11750</v>
      </c>
      <c r="I3292" s="10" t="s">
        <v>18</v>
      </c>
    </row>
    <row r="3293" spans="1:9" x14ac:dyDescent="0.2">
      <c r="A3293" s="10" t="s">
        <v>9020</v>
      </c>
      <c r="B3293" s="10">
        <v>2728.54826356476</v>
      </c>
      <c r="C3293" s="10">
        <v>1.04256207578724</v>
      </c>
      <c r="D3293" s="10">
        <v>0.31017538691250002</v>
      </c>
      <c r="E3293" s="10">
        <v>3.3612018225074198</v>
      </c>
      <c r="F3293" s="10">
        <v>7.7604097549445797E-4</v>
      </c>
      <c r="G3293" s="10">
        <v>4.9147308002424703E-3</v>
      </c>
      <c r="H3293" s="10" t="s">
        <v>9021</v>
      </c>
      <c r="I3293" s="10" t="s">
        <v>18</v>
      </c>
    </row>
    <row r="3294" spans="1:9" x14ac:dyDescent="0.2">
      <c r="A3294" s="10" t="s">
        <v>11751</v>
      </c>
      <c r="B3294" s="10">
        <v>13.4587570569026</v>
      </c>
      <c r="C3294" s="10">
        <v>-2.9534640018926401</v>
      </c>
      <c r="D3294" s="10">
        <v>1.0295988014408699</v>
      </c>
      <c r="E3294" s="10">
        <v>-2.8685581196864498</v>
      </c>
      <c r="F3294" s="10">
        <v>4.12347432233504E-3</v>
      </c>
      <c r="G3294" s="10">
        <v>2.0207675156504502E-2</v>
      </c>
      <c r="H3294" s="10" t="s">
        <v>11752</v>
      </c>
      <c r="I3294" s="10" t="s">
        <v>18</v>
      </c>
    </row>
    <row r="3295" spans="1:9" x14ac:dyDescent="0.2">
      <c r="A3295" s="10" t="s">
        <v>9022</v>
      </c>
      <c r="B3295" s="10">
        <v>36.942687673846898</v>
      </c>
      <c r="C3295" s="10">
        <v>-3.58512938210758</v>
      </c>
      <c r="D3295" s="10">
        <v>0.70172494039084099</v>
      </c>
      <c r="E3295" s="10">
        <v>-5.1090237438486401</v>
      </c>
      <c r="F3295" s="4">
        <v>3.2382766120023101E-7</v>
      </c>
      <c r="G3295" s="4">
        <v>4.4247065820161899E-6</v>
      </c>
      <c r="H3295" s="10" t="s">
        <v>9023</v>
      </c>
      <c r="I3295" s="10" t="s">
        <v>18</v>
      </c>
    </row>
    <row r="3296" spans="1:9" x14ac:dyDescent="0.2">
      <c r="A3296" s="10" t="s">
        <v>9024</v>
      </c>
      <c r="B3296" s="10">
        <v>1444.80303431992</v>
      </c>
      <c r="C3296" s="10">
        <v>1.0681035470832601</v>
      </c>
      <c r="D3296" s="10">
        <v>0.30171605296641901</v>
      </c>
      <c r="E3296" s="10">
        <v>3.5400951874514202</v>
      </c>
      <c r="F3296" s="10">
        <v>3.9998273935899098E-4</v>
      </c>
      <c r="G3296" s="10">
        <v>2.7543295397140502E-3</v>
      </c>
      <c r="H3296" s="10" t="s">
        <v>9025</v>
      </c>
      <c r="I3296" s="10" t="s">
        <v>18</v>
      </c>
    </row>
    <row r="3297" spans="1:9" x14ac:dyDescent="0.2">
      <c r="A3297" s="10" t="s">
        <v>9026</v>
      </c>
      <c r="B3297" s="10">
        <v>436.71624971273502</v>
      </c>
      <c r="C3297" s="10">
        <v>1.1106855405633</v>
      </c>
      <c r="D3297" s="10">
        <v>0.30423015668521802</v>
      </c>
      <c r="E3297" s="10">
        <v>3.6508068518418102</v>
      </c>
      <c r="F3297" s="10">
        <v>2.61417781490629E-4</v>
      </c>
      <c r="G3297" s="10">
        <v>1.8939989324299499E-3</v>
      </c>
      <c r="H3297" s="10" t="s">
        <v>9027</v>
      </c>
      <c r="I3297" s="10" t="s">
        <v>18</v>
      </c>
    </row>
    <row r="3298" spans="1:9" x14ac:dyDescent="0.2">
      <c r="A3298" s="10" t="s">
        <v>9030</v>
      </c>
      <c r="B3298" s="10">
        <v>1373.46146888769</v>
      </c>
      <c r="C3298" s="10">
        <v>-1.18984923421721</v>
      </c>
      <c r="D3298" s="10">
        <v>0.25831528117321001</v>
      </c>
      <c r="E3298" s="10">
        <v>-4.6061898808819199</v>
      </c>
      <c r="F3298" s="4">
        <v>4.1011393112157397E-6</v>
      </c>
      <c r="G3298" s="4">
        <v>4.5810017483850803E-5</v>
      </c>
      <c r="H3298" s="10" t="s">
        <v>9031</v>
      </c>
      <c r="I3298" s="10" t="s">
        <v>18</v>
      </c>
    </row>
    <row r="3299" spans="1:9" x14ac:dyDescent="0.2">
      <c r="A3299" s="10" t="s">
        <v>9038</v>
      </c>
      <c r="B3299" s="10">
        <v>312.554851045117</v>
      </c>
      <c r="C3299" s="10">
        <v>1.15887674963376</v>
      </c>
      <c r="D3299" s="10">
        <v>0.31087081630317698</v>
      </c>
      <c r="E3299" s="10">
        <v>3.7278402759542502</v>
      </c>
      <c r="F3299" s="10">
        <v>1.9312770752304099E-4</v>
      </c>
      <c r="G3299" s="10">
        <v>1.4490187194368699E-3</v>
      </c>
      <c r="H3299" s="10" t="s">
        <v>9039</v>
      </c>
      <c r="I3299" s="10" t="s">
        <v>18</v>
      </c>
    </row>
    <row r="3300" spans="1:9" x14ac:dyDescent="0.2">
      <c r="A3300" s="10" t="s">
        <v>11753</v>
      </c>
      <c r="B3300" s="10">
        <v>1168.1281218935501</v>
      </c>
      <c r="C3300" s="10">
        <v>4.5996749899389702</v>
      </c>
      <c r="D3300" s="10">
        <v>0.31421065335083898</v>
      </c>
      <c r="E3300" s="10">
        <v>14.6388257078066</v>
      </c>
      <c r="F3300" s="4">
        <v>1.58787005792842E-48</v>
      </c>
      <c r="G3300" s="4">
        <v>3.9942871307189401E-46</v>
      </c>
      <c r="H3300" s="10" t="s">
        <v>11754</v>
      </c>
      <c r="I3300" s="10" t="s">
        <v>18</v>
      </c>
    </row>
    <row r="3301" spans="1:9" x14ac:dyDescent="0.2">
      <c r="A3301" s="10" t="s">
        <v>11755</v>
      </c>
      <c r="B3301" s="10">
        <v>4250.0582817464001</v>
      </c>
      <c r="C3301" s="10">
        <v>3.8979401989800002</v>
      </c>
      <c r="D3301" s="10">
        <v>0.30254062193807302</v>
      </c>
      <c r="E3301" s="10">
        <v>12.884022562027599</v>
      </c>
      <c r="F3301" s="4">
        <v>5.5372582735853303E-38</v>
      </c>
      <c r="G3301" s="4">
        <v>8.3407025073077194E-36</v>
      </c>
      <c r="H3301" s="10" t="s">
        <v>11756</v>
      </c>
      <c r="I3301" s="10" t="s">
        <v>18</v>
      </c>
    </row>
    <row r="3302" spans="1:9" x14ac:dyDescent="0.2">
      <c r="A3302" s="10" t="s">
        <v>11757</v>
      </c>
      <c r="B3302" s="10">
        <v>674.62633033744601</v>
      </c>
      <c r="C3302" s="10">
        <v>-1.26799734430599</v>
      </c>
      <c r="D3302" s="10">
        <v>0.287772158576167</v>
      </c>
      <c r="E3302" s="10">
        <v>-4.4062544152282301</v>
      </c>
      <c r="F3302" s="4">
        <v>1.05173425985524E-5</v>
      </c>
      <c r="G3302" s="10">
        <v>1.0689444568346801E-4</v>
      </c>
      <c r="H3302" s="10" t="s">
        <v>11758</v>
      </c>
      <c r="I3302" s="10" t="s">
        <v>18</v>
      </c>
    </row>
    <row r="3303" spans="1:9" x14ac:dyDescent="0.2">
      <c r="A3303" s="10" t="s">
        <v>11759</v>
      </c>
      <c r="B3303" s="10">
        <v>519.84447277485594</v>
      </c>
      <c r="C3303" s="10">
        <v>-1.312457147088</v>
      </c>
      <c r="D3303" s="10">
        <v>0.29217041555955697</v>
      </c>
      <c r="E3303" s="10">
        <v>-4.4920946036730598</v>
      </c>
      <c r="F3303" s="4">
        <v>7.0526080315858902E-6</v>
      </c>
      <c r="G3303" s="4">
        <v>7.5204898276618501E-5</v>
      </c>
      <c r="H3303" s="10" t="s">
        <v>11760</v>
      </c>
      <c r="I3303" s="10" t="s">
        <v>18</v>
      </c>
    </row>
    <row r="3304" spans="1:9" x14ac:dyDescent="0.2">
      <c r="A3304" s="10" t="s">
        <v>11761</v>
      </c>
      <c r="B3304" s="10">
        <v>3036.3840296621102</v>
      </c>
      <c r="C3304" s="10">
        <v>-1.0406512263532699</v>
      </c>
      <c r="D3304" s="10">
        <v>0.28841781795340199</v>
      </c>
      <c r="E3304" s="10">
        <v>-3.6081377833646799</v>
      </c>
      <c r="F3304" s="10">
        <v>3.0840270322904601E-4</v>
      </c>
      <c r="G3304" s="10">
        <v>2.1995662034949401E-3</v>
      </c>
      <c r="H3304" s="10" t="s">
        <v>11762</v>
      </c>
      <c r="I3304" s="10" t="s">
        <v>18</v>
      </c>
    </row>
    <row r="3305" spans="1:9" x14ac:dyDescent="0.2">
      <c r="A3305" s="10" t="s">
        <v>11763</v>
      </c>
      <c r="B3305" s="10">
        <v>3196.9468281847799</v>
      </c>
      <c r="C3305" s="10">
        <v>1.11495572049194</v>
      </c>
      <c r="D3305" s="10">
        <v>0.27392821785549598</v>
      </c>
      <c r="E3305" s="10">
        <v>4.0702477795847498</v>
      </c>
      <c r="F3305" s="4">
        <v>4.6963161416511401E-5</v>
      </c>
      <c r="G3305" s="10">
        <v>4.1436630144943702E-4</v>
      </c>
      <c r="H3305" s="10" t="s">
        <v>11764</v>
      </c>
      <c r="I3305" s="10" t="s">
        <v>18</v>
      </c>
    </row>
    <row r="3306" spans="1:9" x14ac:dyDescent="0.2">
      <c r="A3306" s="10" t="s">
        <v>11765</v>
      </c>
      <c r="B3306" s="10">
        <v>2800.73355145801</v>
      </c>
      <c r="C3306" s="10">
        <v>-1.3838330052885299</v>
      </c>
      <c r="D3306" s="10">
        <v>0.24629153895529399</v>
      </c>
      <c r="E3306" s="10">
        <v>-5.6186786243587798</v>
      </c>
      <c r="F3306" s="4">
        <v>1.9242339315128E-8</v>
      </c>
      <c r="G3306" s="4">
        <v>3.2507793517262899E-7</v>
      </c>
      <c r="H3306" s="10" t="s">
        <v>11766</v>
      </c>
      <c r="I3306" s="10" t="s">
        <v>18</v>
      </c>
    </row>
    <row r="3307" spans="1:9" x14ac:dyDescent="0.2">
      <c r="A3307" s="10" t="s">
        <v>11767</v>
      </c>
      <c r="B3307" s="10">
        <v>993.952632721182</v>
      </c>
      <c r="C3307" s="10">
        <v>-1.52894027321988</v>
      </c>
      <c r="D3307" s="10">
        <v>0.27053048824149301</v>
      </c>
      <c r="E3307" s="10">
        <v>-5.6516375775548404</v>
      </c>
      <c r="F3307" s="4">
        <v>1.5892640909798201E-8</v>
      </c>
      <c r="G3307" s="4">
        <v>2.7195876332379202E-7</v>
      </c>
      <c r="H3307" s="10" t="s">
        <v>11768</v>
      </c>
      <c r="I3307" s="10" t="s">
        <v>18</v>
      </c>
    </row>
    <row r="3308" spans="1:9" x14ac:dyDescent="0.2">
      <c r="A3308" s="10" t="s">
        <v>11769</v>
      </c>
      <c r="B3308" s="10">
        <v>46.899693597199501</v>
      </c>
      <c r="C3308" s="10">
        <v>-2.9913207382441702</v>
      </c>
      <c r="D3308" s="10">
        <v>0.61144272036585501</v>
      </c>
      <c r="E3308" s="10">
        <v>-4.8922337916695202</v>
      </c>
      <c r="F3308" s="4">
        <v>9.9697915375683095E-7</v>
      </c>
      <c r="G3308" s="4">
        <v>1.2489547117904901E-5</v>
      </c>
      <c r="H3308" s="10" t="s">
        <v>11770</v>
      </c>
      <c r="I3308" s="10" t="s">
        <v>18</v>
      </c>
    </row>
    <row r="3309" spans="1:9" x14ac:dyDescent="0.2">
      <c r="A3309" s="10" t="s">
        <v>9058</v>
      </c>
      <c r="B3309" s="10">
        <v>5346.3944384720098</v>
      </c>
      <c r="C3309" s="10">
        <v>-1.37136964970616</v>
      </c>
      <c r="D3309" s="10">
        <v>0.246204609437605</v>
      </c>
      <c r="E3309" s="10">
        <v>-5.5700405156455899</v>
      </c>
      <c r="F3309" s="4">
        <v>2.5468010533690201E-8</v>
      </c>
      <c r="G3309" s="4">
        <v>4.2120171267256899E-7</v>
      </c>
      <c r="H3309" s="10" t="s">
        <v>9059</v>
      </c>
      <c r="I3309" s="10" t="s">
        <v>18</v>
      </c>
    </row>
    <row r="3310" spans="1:9" x14ac:dyDescent="0.2">
      <c r="A3310" s="10" t="s">
        <v>11771</v>
      </c>
      <c r="B3310" s="10">
        <v>2520.4515457013999</v>
      </c>
      <c r="C3310" s="10">
        <v>-1.0511397351321199</v>
      </c>
      <c r="D3310" s="10">
        <v>0.26398554729531798</v>
      </c>
      <c r="E3310" s="10">
        <v>-3.9818078902487102</v>
      </c>
      <c r="F3310" s="4">
        <v>6.8393050987863895E-5</v>
      </c>
      <c r="G3310" s="10">
        <v>5.8068198831812395E-4</v>
      </c>
      <c r="H3310" s="10" t="s">
        <v>11772</v>
      </c>
      <c r="I3310" s="10" t="s">
        <v>18</v>
      </c>
    </row>
    <row r="3311" spans="1:9" x14ac:dyDescent="0.2">
      <c r="A3311" s="10" t="s">
        <v>9060</v>
      </c>
      <c r="B3311" s="10">
        <v>32.831181791851698</v>
      </c>
      <c r="C3311" s="10">
        <v>-1.69880212310038</v>
      </c>
      <c r="D3311" s="10">
        <v>0.62519440281279604</v>
      </c>
      <c r="E3311" s="10">
        <v>-2.7172382149573799</v>
      </c>
      <c r="F3311" s="10">
        <v>6.5829208793458703E-3</v>
      </c>
      <c r="G3311" s="10">
        <v>2.9724174245188601E-2</v>
      </c>
      <c r="H3311" s="10" t="s">
        <v>9061</v>
      </c>
      <c r="I3311" s="10" t="s">
        <v>18</v>
      </c>
    </row>
    <row r="3312" spans="1:9" x14ac:dyDescent="0.2">
      <c r="A3312" s="10" t="s">
        <v>11773</v>
      </c>
      <c r="B3312" s="10">
        <v>27.2620619555973</v>
      </c>
      <c r="C3312" s="10">
        <v>-1.85503510764443</v>
      </c>
      <c r="D3312" s="10">
        <v>0.68479844236207599</v>
      </c>
      <c r="E3312" s="10">
        <v>-2.70887752204262</v>
      </c>
      <c r="F3312" s="10">
        <v>6.7511256754270704E-3</v>
      </c>
      <c r="G3312" s="10">
        <v>3.0363770135055899E-2</v>
      </c>
      <c r="H3312" s="10" t="s">
        <v>11774</v>
      </c>
      <c r="I3312" s="10" t="s">
        <v>18</v>
      </c>
    </row>
    <row r="3313" spans="1:9" x14ac:dyDescent="0.2">
      <c r="A3313" s="10" t="s">
        <v>9072</v>
      </c>
      <c r="B3313" s="10">
        <v>242.534468581092</v>
      </c>
      <c r="C3313" s="10">
        <v>1.6323520895337</v>
      </c>
      <c r="D3313" s="10">
        <v>0.31415255197591302</v>
      </c>
      <c r="E3313" s="10">
        <v>5.19604911456792</v>
      </c>
      <c r="F3313" s="4">
        <v>2.0356849716349601E-7</v>
      </c>
      <c r="G3313" s="4">
        <v>2.9012835955511402E-6</v>
      </c>
      <c r="H3313" s="10" t="s">
        <v>9073</v>
      </c>
      <c r="I3313" s="10" t="s">
        <v>18</v>
      </c>
    </row>
    <row r="3314" spans="1:9" x14ac:dyDescent="0.2">
      <c r="A3314" s="10" t="s">
        <v>9096</v>
      </c>
      <c r="B3314" s="10">
        <v>4118.3314861811104</v>
      </c>
      <c r="C3314" s="10">
        <v>1.3267651867297101</v>
      </c>
      <c r="D3314" s="10">
        <v>0.25375035959797199</v>
      </c>
      <c r="E3314" s="10">
        <v>5.2286238680873804</v>
      </c>
      <c r="F3314" s="4">
        <v>1.70776399195128E-7</v>
      </c>
      <c r="G3314" s="4">
        <v>2.4658370948542902E-6</v>
      </c>
      <c r="H3314" s="10" t="s">
        <v>9097</v>
      </c>
      <c r="I3314" s="10" t="s">
        <v>18</v>
      </c>
    </row>
    <row r="3315" spans="1:9" x14ac:dyDescent="0.2">
      <c r="A3315" s="10" t="s">
        <v>9098</v>
      </c>
      <c r="B3315" s="10">
        <v>141.669173323292</v>
      </c>
      <c r="C3315" s="10">
        <v>5.2677008407008898</v>
      </c>
      <c r="D3315" s="10">
        <v>0.51855457870856403</v>
      </c>
      <c r="E3315" s="10">
        <v>10.1584308710953</v>
      </c>
      <c r="F3315" s="4">
        <v>3.0392833698389598E-24</v>
      </c>
      <c r="G3315" s="4">
        <v>2.2289554859562401E-22</v>
      </c>
      <c r="H3315" s="10" t="s">
        <v>9099</v>
      </c>
      <c r="I3315" s="10" t="s">
        <v>18</v>
      </c>
    </row>
    <row r="3316" spans="1:9" x14ac:dyDescent="0.2">
      <c r="A3316" s="10" t="s">
        <v>9102</v>
      </c>
      <c r="B3316" s="10">
        <v>5494.3419010460302</v>
      </c>
      <c r="C3316" s="10">
        <v>1.78833445838893</v>
      </c>
      <c r="D3316" s="10">
        <v>0.234604557312626</v>
      </c>
      <c r="E3316" s="10">
        <v>7.6227609509130598</v>
      </c>
      <c r="F3316" s="4">
        <v>2.4830646836422901E-14</v>
      </c>
      <c r="G3316" s="4">
        <v>8.39536184368574E-13</v>
      </c>
      <c r="H3316" s="10" t="s">
        <v>9103</v>
      </c>
      <c r="I3316" s="10" t="s">
        <v>18</v>
      </c>
    </row>
    <row r="3317" spans="1:9" x14ac:dyDescent="0.2">
      <c r="A3317" s="10" t="s">
        <v>9108</v>
      </c>
      <c r="B3317" s="10">
        <v>106.884651246158</v>
      </c>
      <c r="C3317" s="10">
        <v>3.6108137023188802</v>
      </c>
      <c r="D3317" s="10">
        <v>0.48678869544024</v>
      </c>
      <c r="E3317" s="10">
        <v>7.4176202860531699</v>
      </c>
      <c r="F3317" s="4">
        <v>1.19243377976514E-13</v>
      </c>
      <c r="G3317" s="4">
        <v>3.80655732614114E-12</v>
      </c>
      <c r="H3317" s="10" t="s">
        <v>9109</v>
      </c>
      <c r="I3317" s="10" t="s">
        <v>18</v>
      </c>
    </row>
    <row r="3318" spans="1:9" x14ac:dyDescent="0.2">
      <c r="A3318" s="10" t="s">
        <v>11775</v>
      </c>
      <c r="B3318" s="10">
        <v>68.886853006200994</v>
      </c>
      <c r="C3318" s="10">
        <v>2.9607098219329</v>
      </c>
      <c r="D3318" s="10">
        <v>0.53932418215717204</v>
      </c>
      <c r="E3318" s="10">
        <v>5.4896663637271903</v>
      </c>
      <c r="F3318" s="4">
        <v>4.0269366900962197E-8</v>
      </c>
      <c r="G3318" s="4">
        <v>6.4275122106199401E-7</v>
      </c>
      <c r="H3318" s="10" t="s">
        <v>11776</v>
      </c>
      <c r="I3318" s="10" t="s">
        <v>18</v>
      </c>
    </row>
    <row r="3319" spans="1:9" x14ac:dyDescent="0.2">
      <c r="A3319" s="10" t="s">
        <v>11777</v>
      </c>
      <c r="B3319" s="10">
        <v>3444.8044531292899</v>
      </c>
      <c r="C3319" s="10">
        <v>1.2204634174333999</v>
      </c>
      <c r="D3319" s="10">
        <v>0.28685053074936001</v>
      </c>
      <c r="E3319" s="10">
        <v>4.2547016184529802</v>
      </c>
      <c r="F3319" s="4">
        <v>2.0932796853753499E-5</v>
      </c>
      <c r="G3319" s="10">
        <v>1.9922985427777901E-4</v>
      </c>
      <c r="H3319" s="10" t="s">
        <v>11778</v>
      </c>
      <c r="I3319" s="10" t="s">
        <v>18</v>
      </c>
    </row>
    <row r="3320" spans="1:9" x14ac:dyDescent="0.2">
      <c r="A3320" s="10" t="s">
        <v>11779</v>
      </c>
      <c r="B3320" s="10">
        <v>1829.7337500388701</v>
      </c>
      <c r="C3320" s="10">
        <v>1.64693444527536</v>
      </c>
      <c r="D3320" s="10">
        <v>0.30162138686255502</v>
      </c>
      <c r="E3320" s="10">
        <v>5.4602707798895098</v>
      </c>
      <c r="F3320" s="4">
        <v>4.7540893062848003E-8</v>
      </c>
      <c r="G3320" s="4">
        <v>7.4836743741923805E-7</v>
      </c>
      <c r="H3320" s="10" t="s">
        <v>11780</v>
      </c>
      <c r="I3320" s="10" t="s">
        <v>18</v>
      </c>
    </row>
    <row r="3321" spans="1:9" x14ac:dyDescent="0.2">
      <c r="A3321" s="10" t="s">
        <v>9110</v>
      </c>
      <c r="B3321" s="10">
        <v>1002.37098652229</v>
      </c>
      <c r="C3321" s="10">
        <v>3.3582784417277298</v>
      </c>
      <c r="D3321" s="10">
        <v>0.30623584829749001</v>
      </c>
      <c r="E3321" s="10">
        <v>10.966313906089001</v>
      </c>
      <c r="F3321" s="4">
        <v>5.5488658413505301E-28</v>
      </c>
      <c r="G3321" s="4">
        <v>5.0756989177880999E-26</v>
      </c>
      <c r="H3321" s="10" t="s">
        <v>9111</v>
      </c>
      <c r="I3321" s="10" t="s">
        <v>18</v>
      </c>
    </row>
    <row r="3322" spans="1:9" x14ac:dyDescent="0.2">
      <c r="A3322" s="10" t="s">
        <v>9114</v>
      </c>
      <c r="B3322" s="10">
        <v>459.49895354226499</v>
      </c>
      <c r="C3322" s="10">
        <v>-2.9352384104151001</v>
      </c>
      <c r="D3322" s="10">
        <v>0.37311750658030801</v>
      </c>
      <c r="E3322" s="10">
        <v>-7.86679359357084</v>
      </c>
      <c r="F3322" s="4">
        <v>3.6384621465243404E-15</v>
      </c>
      <c r="G3322" s="4">
        <v>1.3420163533111399E-13</v>
      </c>
      <c r="H3322" s="10" t="s">
        <v>9115</v>
      </c>
      <c r="I3322" s="10" t="s">
        <v>18</v>
      </c>
    </row>
    <row r="3323" spans="1:9" x14ac:dyDescent="0.2">
      <c r="A3323" s="10" t="s">
        <v>9118</v>
      </c>
      <c r="B3323" s="10">
        <v>138.324196485247</v>
      </c>
      <c r="C3323" s="10">
        <v>1.55822261672495</v>
      </c>
      <c r="D3323" s="10">
        <v>0.391528670225399</v>
      </c>
      <c r="E3323" s="10">
        <v>3.9798429469491801</v>
      </c>
      <c r="F3323" s="4">
        <v>6.8960811375437002E-5</v>
      </c>
      <c r="G3323" s="10">
        <v>5.8466774861783502E-4</v>
      </c>
      <c r="H3323" s="10" t="s">
        <v>9119</v>
      </c>
      <c r="I3323" s="10" t="s">
        <v>18</v>
      </c>
    </row>
    <row r="3324" spans="1:9" x14ac:dyDescent="0.2">
      <c r="A3324" s="10" t="s">
        <v>9120</v>
      </c>
      <c r="B3324" s="10">
        <v>10250.612622504599</v>
      </c>
      <c r="C3324" s="10">
        <v>-1.08419452610676</v>
      </c>
      <c r="D3324" s="10">
        <v>0.30088942797594898</v>
      </c>
      <c r="E3324" s="10">
        <v>-3.6032988377159501</v>
      </c>
      <c r="F3324" s="10">
        <v>3.1420393473433099E-4</v>
      </c>
      <c r="G3324" s="10">
        <v>2.2346055918128602E-3</v>
      </c>
      <c r="H3324" s="10" t="s">
        <v>9121</v>
      </c>
      <c r="I3324" s="10" t="s">
        <v>18</v>
      </c>
    </row>
    <row r="3325" spans="1:9" x14ac:dyDescent="0.2">
      <c r="A3325" s="10" t="s">
        <v>9122</v>
      </c>
      <c r="B3325" s="10">
        <v>342.42365865941503</v>
      </c>
      <c r="C3325" s="10">
        <v>1.31334616627675</v>
      </c>
      <c r="D3325" s="10">
        <v>0.32075211029363898</v>
      </c>
      <c r="E3325" s="10">
        <v>4.0945830880876199</v>
      </c>
      <c r="F3325" s="4">
        <v>4.2292872743574303E-5</v>
      </c>
      <c r="G3325" s="10">
        <v>3.7712769013279401E-4</v>
      </c>
      <c r="H3325" s="10" t="s">
        <v>9123</v>
      </c>
      <c r="I3325" s="10" t="s">
        <v>18</v>
      </c>
    </row>
    <row r="3326" spans="1:9" x14ac:dyDescent="0.2">
      <c r="A3326" s="10" t="s">
        <v>11781</v>
      </c>
      <c r="B3326" s="10">
        <v>456.74140994504501</v>
      </c>
      <c r="C3326" s="10">
        <v>1.11738856416374</v>
      </c>
      <c r="D3326" s="10">
        <v>0.31416415156828797</v>
      </c>
      <c r="E3326" s="10">
        <v>3.5567029483975401</v>
      </c>
      <c r="F3326" s="10">
        <v>3.7553838530397901E-4</v>
      </c>
      <c r="G3326" s="10">
        <v>2.6059774020197502E-3</v>
      </c>
      <c r="H3326" s="10" t="s">
        <v>11782</v>
      </c>
      <c r="I3326" s="10" t="s">
        <v>18</v>
      </c>
    </row>
    <row r="3327" spans="1:9" x14ac:dyDescent="0.2">
      <c r="A3327" s="10" t="s">
        <v>9126</v>
      </c>
      <c r="B3327" s="10">
        <v>3057.6156509156299</v>
      </c>
      <c r="C3327" s="10">
        <v>-1.38648264768725</v>
      </c>
      <c r="D3327" s="10">
        <v>0.25583245603628701</v>
      </c>
      <c r="E3327" s="10">
        <v>-5.4194947317028204</v>
      </c>
      <c r="F3327" s="4">
        <v>5.9767711186107704E-8</v>
      </c>
      <c r="G3327" s="4">
        <v>9.2463516290685102E-7</v>
      </c>
      <c r="H3327" s="10" t="s">
        <v>9127</v>
      </c>
      <c r="I3327" s="10" t="s">
        <v>18</v>
      </c>
    </row>
    <row r="3328" spans="1:9" x14ac:dyDescent="0.2">
      <c r="A3328" s="10" t="s">
        <v>11783</v>
      </c>
      <c r="B3328" s="10">
        <v>326.88433073168699</v>
      </c>
      <c r="C3328" s="10">
        <v>-2.1789937230151901</v>
      </c>
      <c r="D3328" s="10">
        <v>0.30192621036968698</v>
      </c>
      <c r="E3328" s="10">
        <v>-7.2169743737953898</v>
      </c>
      <c r="F3328" s="4">
        <v>5.3156989241315402E-13</v>
      </c>
      <c r="G3328" s="4">
        <v>1.5805721801008101E-11</v>
      </c>
      <c r="H3328" s="10" t="s">
        <v>11784</v>
      </c>
      <c r="I3328" s="10" t="s">
        <v>18</v>
      </c>
    </row>
    <row r="3329" spans="1:9" x14ac:dyDescent="0.2">
      <c r="A3329" s="10" t="s">
        <v>11785</v>
      </c>
      <c r="B3329" s="10">
        <v>155.815314575645</v>
      </c>
      <c r="C3329" s="10">
        <v>1.68594833123571</v>
      </c>
      <c r="D3329" s="10">
        <v>0.391883963003964</v>
      </c>
      <c r="E3329" s="10">
        <v>4.3021620949021901</v>
      </c>
      <c r="F3329" s="4">
        <v>1.6913949767658301E-5</v>
      </c>
      <c r="G3329" s="10">
        <v>1.64655730033066E-4</v>
      </c>
      <c r="H3329" s="10" t="s">
        <v>11786</v>
      </c>
      <c r="I3329" s="10" t="s">
        <v>18</v>
      </c>
    </row>
    <row r="3330" spans="1:9" x14ac:dyDescent="0.2">
      <c r="A3330" s="10" t="s">
        <v>11787</v>
      </c>
      <c r="B3330" s="10">
        <v>17.351269457133</v>
      </c>
      <c r="C3330" s="10">
        <v>-2.5064272774146001</v>
      </c>
      <c r="D3330" s="10">
        <v>0.87220377150553796</v>
      </c>
      <c r="E3330" s="10">
        <v>-2.8736716800572601</v>
      </c>
      <c r="F3330" s="10">
        <v>4.0573049738919197E-3</v>
      </c>
      <c r="G3330" s="10">
        <v>1.9933888011377202E-2</v>
      </c>
      <c r="H3330" s="10" t="s">
        <v>11788</v>
      </c>
      <c r="I3330" s="10" t="s">
        <v>18</v>
      </c>
    </row>
    <row r="3331" spans="1:9" x14ac:dyDescent="0.2">
      <c r="A3331" s="10" t="s">
        <v>9140</v>
      </c>
      <c r="B3331" s="10">
        <v>1338.6222444223699</v>
      </c>
      <c r="C3331" s="10">
        <v>2.40066383001502</v>
      </c>
      <c r="D3331" s="10">
        <v>0.24950630575785901</v>
      </c>
      <c r="E3331" s="10">
        <v>9.6216559446189596</v>
      </c>
      <c r="F3331" s="4">
        <v>6.4779758769298699E-22</v>
      </c>
      <c r="G3331" s="4">
        <v>3.9265899562450798E-20</v>
      </c>
      <c r="H3331" s="10" t="s">
        <v>9141</v>
      </c>
      <c r="I3331" s="10" t="s">
        <v>18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3"/>
  <sheetViews>
    <sheetView workbookViewId="0">
      <selection activeCell="A3" sqref="A3"/>
    </sheetView>
  </sheetViews>
  <sheetFormatPr defaultColWidth="9" defaultRowHeight="14.25" x14ac:dyDescent="0.2"/>
  <cols>
    <col min="1" max="1" width="23.5" style="12" bestFit="1" customWidth="1"/>
    <col min="2" max="2" width="16.875" style="12" bestFit="1" customWidth="1"/>
    <col min="3" max="3" width="15.25" style="12" bestFit="1" customWidth="1"/>
    <col min="4" max="4" width="33.75" style="12" bestFit="1" customWidth="1"/>
    <col min="5" max="5" width="24.625" style="12" bestFit="1" customWidth="1"/>
    <col min="6" max="6" width="34" style="12" bestFit="1" customWidth="1"/>
    <col min="7" max="7" width="24.25" style="12" bestFit="1" customWidth="1"/>
    <col min="8" max="16384" width="9" style="12"/>
  </cols>
  <sheetData>
    <row r="1" spans="1:7" ht="15" x14ac:dyDescent="0.2">
      <c r="A1" s="11" t="s">
        <v>11789</v>
      </c>
      <c r="B1" s="11" t="s">
        <v>11790</v>
      </c>
      <c r="C1" s="11" t="s">
        <v>11791</v>
      </c>
      <c r="D1" s="2" t="s">
        <v>11792</v>
      </c>
      <c r="E1" s="2" t="s">
        <v>11793</v>
      </c>
      <c r="F1" s="2" t="s">
        <v>11794</v>
      </c>
      <c r="G1" s="2" t="s">
        <v>11795</v>
      </c>
    </row>
    <row r="2" spans="1:7" x14ac:dyDescent="0.2">
      <c r="A2" s="10" t="s">
        <v>4548</v>
      </c>
      <c r="B2" s="10" t="s">
        <v>4549</v>
      </c>
      <c r="C2" s="10" t="s">
        <v>18</v>
      </c>
      <c r="D2" s="10">
        <v>-1.8805687638183499</v>
      </c>
      <c r="E2" s="4">
        <v>1.5846383931058101E-26</v>
      </c>
      <c r="F2" s="10">
        <v>-1.2051724261296699</v>
      </c>
      <c r="G2" s="4">
        <v>5.4821529737311103E-7</v>
      </c>
    </row>
    <row r="3" spans="1:7" x14ac:dyDescent="0.2">
      <c r="A3" s="10" t="s">
        <v>8830</v>
      </c>
      <c r="B3" s="10" t="s">
        <v>8831</v>
      </c>
      <c r="C3" s="10" t="s">
        <v>18</v>
      </c>
      <c r="D3" s="10">
        <v>3.34096503200412</v>
      </c>
      <c r="E3" s="4">
        <v>4.8876720755228101E-26</v>
      </c>
      <c r="F3" s="10">
        <v>4.0615381430303499</v>
      </c>
      <c r="G3" s="4">
        <v>3.0063993924044601E-26</v>
      </c>
    </row>
    <row r="4" spans="1:7" x14ac:dyDescent="0.2">
      <c r="A4" s="10" t="s">
        <v>1461</v>
      </c>
      <c r="B4" s="10" t="s">
        <v>1462</v>
      </c>
      <c r="C4" s="10" t="s">
        <v>18</v>
      </c>
      <c r="D4" s="10">
        <v>10.7536242055556</v>
      </c>
      <c r="E4" s="4">
        <v>3.1637787150901797E-20</v>
      </c>
      <c r="F4" s="10">
        <v>7.1047878062911201</v>
      </c>
      <c r="G4" s="4">
        <v>4.2942397446635603E-93</v>
      </c>
    </row>
    <row r="5" spans="1:7" x14ac:dyDescent="0.2">
      <c r="A5" s="10" t="s">
        <v>6588</v>
      </c>
      <c r="B5" s="10" t="s">
        <v>6589</v>
      </c>
      <c r="C5" s="10" t="s">
        <v>18</v>
      </c>
      <c r="D5" s="10">
        <v>2.7591485255111401</v>
      </c>
      <c r="E5" s="4">
        <v>1.7791442100094699E-10</v>
      </c>
      <c r="F5" s="10">
        <v>1.1915567137693299</v>
      </c>
      <c r="G5" s="10">
        <v>8.3768067332411697E-3</v>
      </c>
    </row>
    <row r="6" spans="1:7" x14ac:dyDescent="0.2">
      <c r="A6" s="10" t="s">
        <v>7404</v>
      </c>
      <c r="B6" s="10" t="s">
        <v>7405</v>
      </c>
      <c r="C6" s="10" t="s">
        <v>18</v>
      </c>
      <c r="D6" s="10">
        <v>3.3980727979481098</v>
      </c>
      <c r="E6" s="4">
        <v>8.1117742407451705E-55</v>
      </c>
      <c r="F6" s="10">
        <v>1.86810049129322</v>
      </c>
      <c r="G6" s="4">
        <v>4.7565234070260901E-13</v>
      </c>
    </row>
    <row r="7" spans="1:7" x14ac:dyDescent="0.2">
      <c r="A7" s="10" t="s">
        <v>3539</v>
      </c>
      <c r="B7" s="10" t="s">
        <v>3540</v>
      </c>
      <c r="C7" s="10" t="s">
        <v>18</v>
      </c>
      <c r="D7" s="10">
        <v>-1.0572138644118201</v>
      </c>
      <c r="E7" s="4">
        <v>4.0381639743801701E-5</v>
      </c>
      <c r="F7" s="10">
        <v>-1.0506975888388199</v>
      </c>
      <c r="G7" s="10">
        <v>6.3778649636462496E-4</v>
      </c>
    </row>
    <row r="8" spans="1:7" x14ac:dyDescent="0.2">
      <c r="A8" s="10" t="s">
        <v>6784</v>
      </c>
      <c r="B8" s="10" t="s">
        <v>6785</v>
      </c>
      <c r="C8" s="10" t="s">
        <v>18</v>
      </c>
      <c r="D8" s="10">
        <v>3.9063394731668799</v>
      </c>
      <c r="E8" s="4">
        <v>2.25261299664456E-25</v>
      </c>
      <c r="F8" s="10">
        <v>1.88315996318896</v>
      </c>
      <c r="G8" s="4">
        <v>3.0094955372786997E-8</v>
      </c>
    </row>
    <row r="9" spans="1:7" x14ac:dyDescent="0.2">
      <c r="A9" s="10" t="s">
        <v>5920</v>
      </c>
      <c r="B9" s="10" t="s">
        <v>5921</v>
      </c>
      <c r="C9" s="10" t="s">
        <v>18</v>
      </c>
      <c r="D9" s="10">
        <v>-1.90722678176275</v>
      </c>
      <c r="E9" s="4">
        <v>1.9754913077379701E-20</v>
      </c>
      <c r="F9" s="10">
        <v>-1.28190351019222</v>
      </c>
      <c r="G9" s="4">
        <v>1.15446160353729E-6</v>
      </c>
    </row>
    <row r="10" spans="1:7" x14ac:dyDescent="0.2">
      <c r="A10" s="10" t="s">
        <v>8634</v>
      </c>
      <c r="B10" s="10" t="s">
        <v>8635</v>
      </c>
      <c r="C10" s="10" t="s">
        <v>18</v>
      </c>
      <c r="D10" s="10">
        <v>7.5191500160593803</v>
      </c>
      <c r="E10" s="4">
        <v>4.3976609290345499E-6</v>
      </c>
      <c r="F10" s="10">
        <v>2.87938404371023</v>
      </c>
      <c r="G10" s="10">
        <v>3.8349835170324202E-4</v>
      </c>
    </row>
    <row r="11" spans="1:7" x14ac:dyDescent="0.2">
      <c r="A11" s="10" t="s">
        <v>2295</v>
      </c>
      <c r="B11" s="10" t="s">
        <v>2296</v>
      </c>
      <c r="C11" s="10" t="s">
        <v>18</v>
      </c>
      <c r="D11" s="10">
        <v>-1.1051232898077099</v>
      </c>
      <c r="E11" s="4">
        <v>3.0124230462885099E-5</v>
      </c>
      <c r="F11" s="10">
        <v>-1.8769829962958899</v>
      </c>
      <c r="G11" s="4">
        <v>5.1934712083843095E-10</v>
      </c>
    </row>
    <row r="12" spans="1:7" x14ac:dyDescent="0.2">
      <c r="A12" s="10" t="s">
        <v>5280</v>
      </c>
      <c r="B12" s="10" t="s">
        <v>5281</v>
      </c>
      <c r="C12" s="10" t="s">
        <v>18</v>
      </c>
      <c r="D12" s="10">
        <v>6.7936703544413</v>
      </c>
      <c r="E12" s="4">
        <v>1.34147924111466E-5</v>
      </c>
      <c r="F12" s="10">
        <v>2.0954010443684199</v>
      </c>
      <c r="G12" s="10">
        <v>4.3518540420903998E-4</v>
      </c>
    </row>
    <row r="13" spans="1:7" x14ac:dyDescent="0.2">
      <c r="A13" s="10" t="s">
        <v>1009</v>
      </c>
      <c r="B13" s="10" t="s">
        <v>1010</v>
      </c>
      <c r="C13" s="10" t="s">
        <v>18</v>
      </c>
      <c r="D13" s="10">
        <v>3.2790879045848298</v>
      </c>
      <c r="E13" s="4">
        <v>3.5750505208840401E-5</v>
      </c>
      <c r="F13" s="10">
        <v>1.5911261969908199</v>
      </c>
      <c r="G13" s="10">
        <v>1.14042861871215E-2</v>
      </c>
    </row>
    <row r="14" spans="1:7" x14ac:dyDescent="0.2">
      <c r="A14" s="10" t="s">
        <v>5988</v>
      </c>
      <c r="B14" s="10" t="s">
        <v>5989</v>
      </c>
      <c r="C14" s="10" t="s">
        <v>18</v>
      </c>
      <c r="D14" s="10">
        <v>2.1954494445036201</v>
      </c>
      <c r="E14" s="4">
        <v>1.23943922558055E-26</v>
      </c>
      <c r="F14" s="10">
        <v>2.4482888749818401</v>
      </c>
      <c r="G14" s="4">
        <v>4.9933139213934598E-22</v>
      </c>
    </row>
    <row r="15" spans="1:7" x14ac:dyDescent="0.2">
      <c r="A15" s="10" t="s">
        <v>6796</v>
      </c>
      <c r="B15" s="10" t="s">
        <v>6797</v>
      </c>
      <c r="C15" s="10" t="s">
        <v>18</v>
      </c>
      <c r="D15" s="10">
        <v>6.9318316988190603</v>
      </c>
      <c r="E15" s="4">
        <v>1.5614871041343799E-5</v>
      </c>
      <c r="F15" s="10">
        <v>7.7487929987998303</v>
      </c>
      <c r="G15" s="4">
        <v>1.02231200945407E-22</v>
      </c>
    </row>
    <row r="16" spans="1:7" x14ac:dyDescent="0.2">
      <c r="A16" s="10" t="s">
        <v>7980</v>
      </c>
      <c r="B16" s="10" t="s">
        <v>7981</v>
      </c>
      <c r="C16" s="10" t="s">
        <v>18</v>
      </c>
      <c r="D16" s="10">
        <v>8.5285618233016898</v>
      </c>
      <c r="E16" s="4">
        <v>8.2617989971685501E-16</v>
      </c>
      <c r="F16" s="10">
        <v>7.7899795098625804</v>
      </c>
      <c r="G16" s="4">
        <v>1.0906007586439501E-22</v>
      </c>
    </row>
    <row r="17" spans="1:7" x14ac:dyDescent="0.2">
      <c r="A17" s="10" t="s">
        <v>6930</v>
      </c>
      <c r="B17" s="10" t="s">
        <v>6931</v>
      </c>
      <c r="C17" s="10" t="s">
        <v>18</v>
      </c>
      <c r="D17" s="10">
        <v>2.82751372806979</v>
      </c>
      <c r="E17" s="4">
        <v>6.2591915739078694E-5</v>
      </c>
      <c r="F17" s="10">
        <v>1.9299360779279799</v>
      </c>
      <c r="G17" s="10">
        <v>4.4762691620842598E-3</v>
      </c>
    </row>
    <row r="18" spans="1:7" x14ac:dyDescent="0.2">
      <c r="A18" s="10" t="s">
        <v>7912</v>
      </c>
      <c r="B18" s="10" t="s">
        <v>7913</v>
      </c>
      <c r="C18" s="10" t="s">
        <v>18</v>
      </c>
      <c r="D18" s="10">
        <v>-1.1334184000171601</v>
      </c>
      <c r="E18" s="10">
        <v>4.65445808094417E-3</v>
      </c>
      <c r="F18" s="10">
        <v>-1.11187678346514</v>
      </c>
      <c r="G18" s="10">
        <v>7.3712826409316704E-3</v>
      </c>
    </row>
    <row r="19" spans="1:7" x14ac:dyDescent="0.2">
      <c r="A19" s="10" t="s">
        <v>8172</v>
      </c>
      <c r="B19" s="10" t="s">
        <v>8173</v>
      </c>
      <c r="C19" s="10" t="s">
        <v>18</v>
      </c>
      <c r="D19" s="10">
        <v>-1.4357955327096501</v>
      </c>
      <c r="E19" s="4">
        <v>4.3098156621697698E-12</v>
      </c>
      <c r="F19" s="10">
        <v>-1.13638306243555</v>
      </c>
      <c r="G19" s="4">
        <v>7.9861029063963096E-5</v>
      </c>
    </row>
    <row r="20" spans="1:7" x14ac:dyDescent="0.2">
      <c r="A20" s="10" t="s">
        <v>7462</v>
      </c>
      <c r="B20" s="10" t="s">
        <v>7463</v>
      </c>
      <c r="C20" s="10" t="s">
        <v>18</v>
      </c>
      <c r="D20" s="10">
        <v>2.55131741220863</v>
      </c>
      <c r="E20" s="10">
        <v>3.2856005803352001E-3</v>
      </c>
      <c r="F20" s="10">
        <v>2.9730002967899898</v>
      </c>
      <c r="G20" s="10">
        <v>6.7876832333435295E-4</v>
      </c>
    </row>
    <row r="21" spans="1:7" x14ac:dyDescent="0.2">
      <c r="A21" s="10" t="s">
        <v>2465</v>
      </c>
      <c r="B21" s="10" t="s">
        <v>2466</v>
      </c>
      <c r="C21" s="10" t="s">
        <v>18</v>
      </c>
      <c r="D21" s="10">
        <v>1.42449522435191</v>
      </c>
      <c r="E21" s="10">
        <v>1.07609047512871E-2</v>
      </c>
      <c r="F21" s="10">
        <v>2.3229796752751</v>
      </c>
      <c r="G21" s="10">
        <v>1.3789238598348999E-3</v>
      </c>
    </row>
    <row r="22" spans="1:7" x14ac:dyDescent="0.2">
      <c r="A22" s="10" t="s">
        <v>7358</v>
      </c>
      <c r="B22" s="10" t="s">
        <v>7359</v>
      </c>
      <c r="C22" s="10" t="s">
        <v>18</v>
      </c>
      <c r="D22" s="10">
        <v>6.5457449889214496</v>
      </c>
      <c r="E22" s="4">
        <v>2.3758827600876001E-32</v>
      </c>
      <c r="F22" s="10">
        <v>4.54294880966901</v>
      </c>
      <c r="G22" s="4">
        <v>1.09892367368451E-33</v>
      </c>
    </row>
    <row r="23" spans="1:7" x14ac:dyDescent="0.2">
      <c r="A23" s="10" t="s">
        <v>6376</v>
      </c>
      <c r="B23" s="10" t="s">
        <v>6377</v>
      </c>
      <c r="C23" s="10" t="s">
        <v>18</v>
      </c>
      <c r="D23" s="10">
        <v>2.00985760701675</v>
      </c>
      <c r="E23" s="4">
        <v>1.6099831254602101E-7</v>
      </c>
      <c r="F23" s="10">
        <v>2.0236572249945901</v>
      </c>
      <c r="G23" s="4">
        <v>5.9465698776378595E-7</v>
      </c>
    </row>
    <row r="24" spans="1:7" x14ac:dyDescent="0.2">
      <c r="A24" s="10" t="s">
        <v>6740</v>
      </c>
      <c r="B24" s="10" t="s">
        <v>6741</v>
      </c>
      <c r="C24" s="10" t="s">
        <v>18</v>
      </c>
      <c r="D24" s="10">
        <v>-2.02119889874644</v>
      </c>
      <c r="E24" s="10">
        <v>3.1391669795247301E-3</v>
      </c>
      <c r="F24" s="10">
        <v>-2.0407571605578601</v>
      </c>
      <c r="G24" s="10">
        <v>4.5573718085216699E-3</v>
      </c>
    </row>
    <row r="25" spans="1:7" x14ac:dyDescent="0.2">
      <c r="A25" s="10" t="s">
        <v>3473</v>
      </c>
      <c r="B25" s="10" t="s">
        <v>3474</v>
      </c>
      <c r="C25" s="10" t="s">
        <v>18</v>
      </c>
      <c r="D25" s="10">
        <v>4.7908694827861202</v>
      </c>
      <c r="E25" s="4">
        <v>5.3045889081430899E-7</v>
      </c>
      <c r="F25" s="10">
        <v>2.9457660965766799</v>
      </c>
      <c r="G25" s="4">
        <v>7.2173716987701098E-6</v>
      </c>
    </row>
    <row r="26" spans="1:7" x14ac:dyDescent="0.2">
      <c r="A26" s="10" t="s">
        <v>6638</v>
      </c>
      <c r="B26" s="10" t="s">
        <v>6639</v>
      </c>
      <c r="C26" s="10" t="s">
        <v>18</v>
      </c>
      <c r="D26" s="10">
        <v>2.63222584849921</v>
      </c>
      <c r="E26" s="4">
        <v>1.3844341273813899E-9</v>
      </c>
      <c r="F26" s="10">
        <v>1.65825723224137</v>
      </c>
      <c r="G26" s="4">
        <v>5.9857751628389099E-5</v>
      </c>
    </row>
    <row r="27" spans="1:7" x14ac:dyDescent="0.2">
      <c r="A27" s="10" t="s">
        <v>6998</v>
      </c>
      <c r="B27" s="10" t="s">
        <v>6999</v>
      </c>
      <c r="C27" s="10" t="s">
        <v>18</v>
      </c>
      <c r="D27" s="10">
        <v>4.2643138251981503</v>
      </c>
      <c r="E27" s="4">
        <v>2.9401276351422599E-8</v>
      </c>
      <c r="F27" s="10">
        <v>4.7240318535769097</v>
      </c>
      <c r="G27" s="4">
        <v>3.9509329794099296E-9</v>
      </c>
    </row>
    <row r="28" spans="1:7" x14ac:dyDescent="0.2">
      <c r="A28" s="10" t="s">
        <v>7494</v>
      </c>
      <c r="B28" s="10" t="s">
        <v>7495</v>
      </c>
      <c r="C28" s="10" t="s">
        <v>18</v>
      </c>
      <c r="D28" s="10">
        <v>1.5825887803413199</v>
      </c>
      <c r="E28" s="4">
        <v>3.2247151916089402E-19</v>
      </c>
      <c r="F28" s="10">
        <v>1.44559610582714</v>
      </c>
      <c r="G28" s="4">
        <v>3.2309571350537301E-8</v>
      </c>
    </row>
    <row r="29" spans="1:7" x14ac:dyDescent="0.2">
      <c r="A29" s="10" t="s">
        <v>7502</v>
      </c>
      <c r="B29" s="10" t="s">
        <v>7503</v>
      </c>
      <c r="C29" s="10" t="s">
        <v>18</v>
      </c>
      <c r="D29" s="10">
        <v>1.2063331899990599</v>
      </c>
      <c r="E29" s="10">
        <v>2.6400259198872999E-3</v>
      </c>
      <c r="F29" s="10">
        <v>-1.4259754567335701</v>
      </c>
      <c r="G29" s="4">
        <v>2.97430338390873E-5</v>
      </c>
    </row>
    <row r="30" spans="1:7" x14ac:dyDescent="0.2">
      <c r="A30" s="10" t="s">
        <v>3335</v>
      </c>
      <c r="B30" s="10" t="s">
        <v>3336</v>
      </c>
      <c r="C30" s="10" t="s">
        <v>18</v>
      </c>
      <c r="D30" s="10">
        <v>-1.6469195477021501</v>
      </c>
      <c r="E30" s="4">
        <v>5.1602284034143501E-16</v>
      </c>
      <c r="F30" s="10">
        <v>-1.27898154036192</v>
      </c>
      <c r="G30" s="4">
        <v>4.1165617832774699E-7</v>
      </c>
    </row>
    <row r="31" spans="1:7" x14ac:dyDescent="0.2">
      <c r="A31" s="10" t="s">
        <v>4097</v>
      </c>
      <c r="B31" s="10" t="s">
        <v>4098</v>
      </c>
      <c r="C31" s="10" t="s">
        <v>18</v>
      </c>
      <c r="D31" s="10">
        <v>4.2665456077895998</v>
      </c>
      <c r="E31" s="4">
        <v>2.6741768642003199E-92</v>
      </c>
      <c r="F31" s="10">
        <v>4.8438405675756098</v>
      </c>
      <c r="G31" s="4">
        <v>2.09856864288389E-74</v>
      </c>
    </row>
    <row r="32" spans="1:7" x14ac:dyDescent="0.2">
      <c r="A32" s="10" t="s">
        <v>3607</v>
      </c>
      <c r="B32" s="10" t="s">
        <v>3608</v>
      </c>
      <c r="C32" s="10" t="s">
        <v>18</v>
      </c>
      <c r="D32" s="10">
        <v>5.5760929202004998</v>
      </c>
      <c r="E32" s="4">
        <v>3.4685392279374599E-71</v>
      </c>
      <c r="F32" s="10">
        <v>4.0842401697125998</v>
      </c>
      <c r="G32" s="4">
        <v>4.1234600620202701E-34</v>
      </c>
    </row>
    <row r="33" spans="1:7" x14ac:dyDescent="0.2">
      <c r="A33" s="10" t="s">
        <v>7232</v>
      </c>
      <c r="B33" s="10" t="s">
        <v>7233</v>
      </c>
      <c r="C33" s="10" t="s">
        <v>18</v>
      </c>
      <c r="D33" s="10">
        <v>-1.05205423645455</v>
      </c>
      <c r="E33" s="4">
        <v>1.10707130247859E-7</v>
      </c>
      <c r="F33" s="10">
        <v>-1.0941259825382199</v>
      </c>
      <c r="G33" s="4">
        <v>3.6692366307972501E-5</v>
      </c>
    </row>
    <row r="34" spans="1:7" x14ac:dyDescent="0.2">
      <c r="A34" s="10" t="s">
        <v>1811</v>
      </c>
      <c r="B34" s="10" t="s">
        <v>1812</v>
      </c>
      <c r="C34" s="10" t="s">
        <v>18</v>
      </c>
      <c r="D34" s="10">
        <v>-1.8102936536885299</v>
      </c>
      <c r="E34" s="4">
        <v>5.2242001102470396E-15</v>
      </c>
      <c r="F34" s="10">
        <v>-1.31356658434712</v>
      </c>
      <c r="G34" s="4">
        <v>6.8063701387145998E-6</v>
      </c>
    </row>
    <row r="35" spans="1:7" x14ac:dyDescent="0.2">
      <c r="A35" s="10" t="s">
        <v>6678</v>
      </c>
      <c r="B35" s="10" t="s">
        <v>6679</v>
      </c>
      <c r="C35" s="10" t="s">
        <v>18</v>
      </c>
      <c r="D35" s="10">
        <v>-1.4451600309325801</v>
      </c>
      <c r="E35" s="10">
        <v>8.2144751083052994E-3</v>
      </c>
      <c r="F35" s="10">
        <v>-1.7524428930139899</v>
      </c>
      <c r="G35" s="10">
        <v>5.3546726132189801E-4</v>
      </c>
    </row>
    <row r="36" spans="1:7" x14ac:dyDescent="0.2">
      <c r="A36" s="10" t="s">
        <v>4638</v>
      </c>
      <c r="B36" s="10" t="s">
        <v>4639</v>
      </c>
      <c r="C36" s="10" t="s">
        <v>18</v>
      </c>
      <c r="D36" s="10">
        <v>3.1701397706378498</v>
      </c>
      <c r="E36" s="4">
        <v>1.67786261461984E-54</v>
      </c>
      <c r="F36" s="10">
        <v>9.4306063143145806</v>
      </c>
      <c r="G36" s="4">
        <v>4.47702838674909E-121</v>
      </c>
    </row>
    <row r="37" spans="1:7" x14ac:dyDescent="0.2">
      <c r="A37" s="10" t="s">
        <v>3385</v>
      </c>
      <c r="B37" s="10" t="s">
        <v>3386</v>
      </c>
      <c r="C37" s="10" t="s">
        <v>18</v>
      </c>
      <c r="D37" s="10">
        <v>-1.6653572087144399</v>
      </c>
      <c r="E37" s="4">
        <v>2.48381768711225E-16</v>
      </c>
      <c r="F37" s="10">
        <v>-1.2204736483252701</v>
      </c>
      <c r="G37" s="4">
        <v>3.0414946510064902E-6</v>
      </c>
    </row>
    <row r="38" spans="1:7" x14ac:dyDescent="0.2">
      <c r="A38" s="10" t="s">
        <v>5084</v>
      </c>
      <c r="B38" s="10" t="s">
        <v>5085</v>
      </c>
      <c r="C38" s="10" t="s">
        <v>18</v>
      </c>
      <c r="D38" s="10">
        <v>-1.13167796273918</v>
      </c>
      <c r="E38" s="10">
        <v>1.18535513077123E-2</v>
      </c>
      <c r="F38" s="10">
        <v>-2.1144191736166502</v>
      </c>
      <c r="G38" s="4">
        <v>2.0024872308725499E-7</v>
      </c>
    </row>
    <row r="39" spans="1:7" x14ac:dyDescent="0.2">
      <c r="A39" s="10" t="s">
        <v>8060</v>
      </c>
      <c r="B39" s="10" t="s">
        <v>8061</v>
      </c>
      <c r="C39" s="10" t="s">
        <v>18</v>
      </c>
      <c r="D39" s="10">
        <v>-2.04166153527316</v>
      </c>
      <c r="E39" s="4">
        <v>8.5202075146960602E-7</v>
      </c>
      <c r="F39" s="10">
        <v>-2.8242371226489298</v>
      </c>
      <c r="G39" s="4">
        <v>1.26119518515823E-12</v>
      </c>
    </row>
    <row r="40" spans="1:7" x14ac:dyDescent="0.2">
      <c r="A40" s="10" t="s">
        <v>8500</v>
      </c>
      <c r="B40" s="10" t="s">
        <v>8501</v>
      </c>
      <c r="C40" s="10" t="s">
        <v>18</v>
      </c>
      <c r="D40" s="10">
        <v>1.94563557499037</v>
      </c>
      <c r="E40" s="4">
        <v>1.02035051341061E-20</v>
      </c>
      <c r="F40" s="10">
        <v>2.8919535193755501</v>
      </c>
      <c r="G40" s="4">
        <v>8.4658549871884204E-25</v>
      </c>
    </row>
    <row r="41" spans="1:7" x14ac:dyDescent="0.2">
      <c r="A41" s="10" t="s">
        <v>3545</v>
      </c>
      <c r="B41" s="10" t="s">
        <v>3546</v>
      </c>
      <c r="C41" s="10" t="s">
        <v>18</v>
      </c>
      <c r="D41" s="10">
        <v>-1.06888828806297</v>
      </c>
      <c r="E41" s="10">
        <v>2.3017324633088201E-4</v>
      </c>
      <c r="F41" s="10">
        <v>-1.4982950530606201</v>
      </c>
      <c r="G41" s="4">
        <v>1.3696438791190501E-6</v>
      </c>
    </row>
    <row r="42" spans="1:7" x14ac:dyDescent="0.2">
      <c r="A42" s="10" t="s">
        <v>1441</v>
      </c>
      <c r="B42" s="10" t="s">
        <v>1442</v>
      </c>
      <c r="C42" s="10" t="s">
        <v>18</v>
      </c>
      <c r="D42" s="10">
        <v>7.0140980092605796</v>
      </c>
      <c r="E42" s="4">
        <v>6.7627484871824395E-23</v>
      </c>
      <c r="F42" s="10">
        <v>2.4494203533500198</v>
      </c>
      <c r="G42" s="4">
        <v>2.7123897272735602E-12</v>
      </c>
    </row>
    <row r="43" spans="1:7" x14ac:dyDescent="0.2">
      <c r="A43" s="10" t="s">
        <v>8602</v>
      </c>
      <c r="B43" s="10" t="s">
        <v>8603</v>
      </c>
      <c r="C43" s="10" t="s">
        <v>18</v>
      </c>
      <c r="D43" s="10">
        <v>2.4049910583563499</v>
      </c>
      <c r="E43" s="4">
        <v>6.7815268705710094E-5</v>
      </c>
      <c r="F43" s="10">
        <v>-2.0487751561510499</v>
      </c>
      <c r="G43" s="4">
        <v>9.9188588782871101E-9</v>
      </c>
    </row>
    <row r="44" spans="1:7" x14ac:dyDescent="0.2">
      <c r="A44" s="10" t="s">
        <v>4370</v>
      </c>
      <c r="B44" s="10" t="s">
        <v>4371</v>
      </c>
      <c r="C44" s="10" t="s">
        <v>18</v>
      </c>
      <c r="D44" s="10">
        <v>1.57104313199947</v>
      </c>
      <c r="E44" s="4">
        <v>4.3880097197471697E-5</v>
      </c>
      <c r="F44" s="10">
        <v>1.5899634802034099</v>
      </c>
      <c r="G44" s="10">
        <v>2.99735109123112E-4</v>
      </c>
    </row>
    <row r="45" spans="1:7" x14ac:dyDescent="0.2">
      <c r="A45" s="10" t="s">
        <v>2811</v>
      </c>
      <c r="B45" s="10" t="s">
        <v>2812</v>
      </c>
      <c r="C45" s="10" t="s">
        <v>18</v>
      </c>
      <c r="D45" s="10">
        <v>1.23686307823848</v>
      </c>
      <c r="E45" s="4">
        <v>8.8293242894916398E-9</v>
      </c>
      <c r="F45" s="10">
        <v>4.6922185672082</v>
      </c>
      <c r="G45" s="4">
        <v>1.34108525257756E-47</v>
      </c>
    </row>
    <row r="46" spans="1:7" x14ac:dyDescent="0.2">
      <c r="A46" s="10" t="s">
        <v>695</v>
      </c>
      <c r="B46" s="10" t="s">
        <v>696</v>
      </c>
      <c r="C46" s="10" t="s">
        <v>18</v>
      </c>
      <c r="D46" s="10">
        <v>-1.02038901523659</v>
      </c>
      <c r="E46" s="10">
        <v>7.1120709420561504E-4</v>
      </c>
      <c r="F46" s="10">
        <v>-2.1522976105346099</v>
      </c>
      <c r="G46" s="4">
        <v>1.29153243362052E-10</v>
      </c>
    </row>
    <row r="47" spans="1:7" x14ac:dyDescent="0.2">
      <c r="A47" s="10" t="s">
        <v>6454</v>
      </c>
      <c r="B47" s="10" t="s">
        <v>6455</v>
      </c>
      <c r="C47" s="10" t="s">
        <v>18</v>
      </c>
      <c r="D47" s="10">
        <v>7.1543799434602402</v>
      </c>
      <c r="E47" s="4">
        <v>9.9285121362280505E-120</v>
      </c>
      <c r="F47" s="10">
        <v>5.5976565110023397</v>
      </c>
      <c r="G47" s="4">
        <v>2.65783743529306E-78</v>
      </c>
    </row>
    <row r="48" spans="1:7" x14ac:dyDescent="0.2">
      <c r="A48" s="10" t="s">
        <v>4372</v>
      </c>
      <c r="B48" s="10" t="s">
        <v>4373</v>
      </c>
      <c r="C48" s="10" t="s">
        <v>18</v>
      </c>
      <c r="D48" s="10">
        <v>-1.93213156493159</v>
      </c>
      <c r="E48" s="4">
        <v>2.5715217821870902E-13</v>
      </c>
      <c r="F48" s="10">
        <v>-1.83313203149821</v>
      </c>
      <c r="G48" s="4">
        <v>1.89579854247289E-7</v>
      </c>
    </row>
    <row r="49" spans="1:7" x14ac:dyDescent="0.2">
      <c r="A49" s="10" t="s">
        <v>591</v>
      </c>
      <c r="B49" s="10" t="s">
        <v>592</v>
      </c>
      <c r="C49" s="10" t="s">
        <v>18</v>
      </c>
      <c r="D49" s="10">
        <v>1.3551174793101799</v>
      </c>
      <c r="E49" s="4">
        <v>7.6191550488654705E-12</v>
      </c>
      <c r="F49" s="10">
        <v>2.6464727513978401</v>
      </c>
      <c r="G49" s="4">
        <v>5.7682429925841603E-15</v>
      </c>
    </row>
    <row r="50" spans="1:7" x14ac:dyDescent="0.2">
      <c r="A50" s="10" t="s">
        <v>3471</v>
      </c>
      <c r="B50" s="10" t="s">
        <v>3472</v>
      </c>
      <c r="C50" s="10" t="s">
        <v>18</v>
      </c>
      <c r="D50" s="10">
        <v>2.8465663401974801</v>
      </c>
      <c r="E50" s="4">
        <v>6.1161562468601999E-28</v>
      </c>
      <c r="F50" s="10">
        <v>1.1336470918311099</v>
      </c>
      <c r="G50" s="10">
        <v>1.7591816318476199E-4</v>
      </c>
    </row>
    <row r="51" spans="1:7" x14ac:dyDescent="0.2">
      <c r="A51" s="10" t="s">
        <v>995</v>
      </c>
      <c r="B51" s="10" t="s">
        <v>996</v>
      </c>
      <c r="C51" s="10" t="s">
        <v>18</v>
      </c>
      <c r="D51" s="10">
        <v>1.9585728107884199</v>
      </c>
      <c r="E51" s="10">
        <v>4.0184714811346099E-4</v>
      </c>
      <c r="F51" s="10">
        <v>-1.27502415786625</v>
      </c>
      <c r="G51" s="10">
        <v>6.5545804949797E-4</v>
      </c>
    </row>
    <row r="52" spans="1:7" x14ac:dyDescent="0.2">
      <c r="A52" s="10" t="s">
        <v>3847</v>
      </c>
      <c r="B52" s="10" t="s">
        <v>3848</v>
      </c>
      <c r="C52" s="10" t="s">
        <v>18</v>
      </c>
      <c r="D52" s="10">
        <v>4.40208042552816</v>
      </c>
      <c r="E52" s="4">
        <v>3.8705917625789398E-41</v>
      </c>
      <c r="F52" s="10">
        <v>3.6274019034918599</v>
      </c>
      <c r="G52" s="4">
        <v>7.7297005796045901E-30</v>
      </c>
    </row>
    <row r="53" spans="1:7" x14ac:dyDescent="0.2">
      <c r="A53" s="10" t="s">
        <v>4023</v>
      </c>
      <c r="B53" s="10" t="s">
        <v>4024</v>
      </c>
      <c r="C53" s="10" t="s">
        <v>18</v>
      </c>
      <c r="D53" s="10">
        <v>3.16578398556284</v>
      </c>
      <c r="E53" s="10">
        <v>3.2926291126849001E-4</v>
      </c>
      <c r="F53" s="10">
        <v>4.00720916245269</v>
      </c>
      <c r="G53" s="4">
        <v>8.8294346470449195E-6</v>
      </c>
    </row>
    <row r="54" spans="1:7" x14ac:dyDescent="0.2">
      <c r="A54" s="10" t="s">
        <v>6826</v>
      </c>
      <c r="B54" s="10" t="s">
        <v>6827</v>
      </c>
      <c r="C54" s="10" t="s">
        <v>18</v>
      </c>
      <c r="D54" s="10">
        <v>5.1637487040764496</v>
      </c>
      <c r="E54" s="4">
        <v>6.8185555269306996E-129</v>
      </c>
      <c r="F54" s="10">
        <v>6.8627333763693397</v>
      </c>
      <c r="G54" s="4">
        <v>6.8531569069097404E-143</v>
      </c>
    </row>
    <row r="55" spans="1:7" x14ac:dyDescent="0.2">
      <c r="A55" s="10" t="s">
        <v>2313</v>
      </c>
      <c r="B55" s="10" t="s">
        <v>2314</v>
      </c>
      <c r="C55" s="10" t="s">
        <v>18</v>
      </c>
      <c r="D55" s="10">
        <v>-1.1501321141460901</v>
      </c>
      <c r="E55" s="4">
        <v>3.1299756294416599E-5</v>
      </c>
      <c r="F55" s="10">
        <v>-1.4034884201830999</v>
      </c>
      <c r="G55" s="4">
        <v>5.6438771022799999E-6</v>
      </c>
    </row>
    <row r="56" spans="1:7" x14ac:dyDescent="0.2">
      <c r="A56" s="10" t="s">
        <v>2093</v>
      </c>
      <c r="B56" s="10" t="s">
        <v>2094</v>
      </c>
      <c r="C56" s="10" t="s">
        <v>18</v>
      </c>
      <c r="D56" s="10">
        <v>8.2636408835306394</v>
      </c>
      <c r="E56" s="4">
        <v>1.3330095090838001E-7</v>
      </c>
      <c r="F56" s="10">
        <v>2.8077101677547902</v>
      </c>
      <c r="G56" s="4">
        <v>1.37958761163761E-5</v>
      </c>
    </row>
    <row r="57" spans="1:7" x14ac:dyDescent="0.2">
      <c r="A57" s="10" t="s">
        <v>5954</v>
      </c>
      <c r="B57" s="10" t="s">
        <v>5955</v>
      </c>
      <c r="C57" s="10" t="s">
        <v>18</v>
      </c>
      <c r="D57" s="10">
        <v>5.2776173533434196</v>
      </c>
      <c r="E57" s="4">
        <v>6.2755859042306397E-63</v>
      </c>
      <c r="F57" s="10">
        <v>3.20277417039153</v>
      </c>
      <c r="G57" s="4">
        <v>1.7838048876054201E-22</v>
      </c>
    </row>
    <row r="58" spans="1:7" x14ac:dyDescent="0.2">
      <c r="A58" s="10" t="s">
        <v>2705</v>
      </c>
      <c r="B58" s="10" t="s">
        <v>2706</v>
      </c>
      <c r="C58" s="10" t="s">
        <v>18</v>
      </c>
      <c r="D58" s="10">
        <v>5.1957532087069804</v>
      </c>
      <c r="E58" s="4">
        <v>3.8691760321899101E-7</v>
      </c>
      <c r="F58" s="10">
        <v>3.8759043229398298</v>
      </c>
      <c r="G58" s="4">
        <v>2.3640584508687E-7</v>
      </c>
    </row>
    <row r="59" spans="1:7" x14ac:dyDescent="0.2">
      <c r="A59" s="10" t="s">
        <v>6216</v>
      </c>
      <c r="B59" s="10" t="s">
        <v>6217</v>
      </c>
      <c r="C59" s="10" t="s">
        <v>18</v>
      </c>
      <c r="D59" s="10">
        <v>1.7605385200364601</v>
      </c>
      <c r="E59" s="4">
        <v>3.25005506885653E-6</v>
      </c>
      <c r="F59" s="10">
        <v>2.9936122918732102</v>
      </c>
      <c r="G59" s="4">
        <v>9.8229700527046995E-9</v>
      </c>
    </row>
    <row r="60" spans="1:7" x14ac:dyDescent="0.2">
      <c r="A60" s="10" t="s">
        <v>7756</v>
      </c>
      <c r="B60" s="10" t="s">
        <v>7757</v>
      </c>
      <c r="C60" s="10" t="s">
        <v>18</v>
      </c>
      <c r="D60" s="10">
        <v>-1.0875784490133</v>
      </c>
      <c r="E60" s="4">
        <v>5.3515384285717398E-8</v>
      </c>
      <c r="F60" s="10">
        <v>-1.0534535471294</v>
      </c>
      <c r="G60" s="4">
        <v>9.69893092566911E-5</v>
      </c>
    </row>
    <row r="61" spans="1:7" x14ac:dyDescent="0.2">
      <c r="A61" s="10" t="s">
        <v>135</v>
      </c>
      <c r="B61" s="10" t="s">
        <v>136</v>
      </c>
      <c r="C61" s="10" t="s">
        <v>18</v>
      </c>
      <c r="D61" s="10">
        <v>-1.6507602670153401</v>
      </c>
      <c r="E61" s="4">
        <v>3.9588132813541E-16</v>
      </c>
      <c r="F61" s="10">
        <v>-1.2824243904950099</v>
      </c>
      <c r="G61" s="4">
        <v>7.8494125218522898E-7</v>
      </c>
    </row>
    <row r="62" spans="1:7" x14ac:dyDescent="0.2">
      <c r="A62" s="10" t="s">
        <v>897</v>
      </c>
      <c r="B62" s="10" t="s">
        <v>898</v>
      </c>
      <c r="C62" s="10" t="s">
        <v>18</v>
      </c>
      <c r="D62" s="10">
        <v>-1.77153460543921</v>
      </c>
      <c r="E62" s="4">
        <v>5.6932036712943497E-14</v>
      </c>
      <c r="F62" s="10">
        <v>-1.6725044219629399</v>
      </c>
      <c r="G62" s="4">
        <v>7.6826395105464396E-9</v>
      </c>
    </row>
    <row r="63" spans="1:7" x14ac:dyDescent="0.2">
      <c r="A63" s="10" t="s">
        <v>115</v>
      </c>
      <c r="B63" s="10" t="s">
        <v>116</v>
      </c>
      <c r="C63" s="10" t="s">
        <v>18</v>
      </c>
      <c r="D63" s="10">
        <v>1.3932156845039601</v>
      </c>
      <c r="E63" s="4">
        <v>8.32807777516892E-9</v>
      </c>
      <c r="F63" s="10">
        <v>1.0519779241979299</v>
      </c>
      <c r="G63" s="10">
        <v>5.7186139707458904E-4</v>
      </c>
    </row>
    <row r="64" spans="1:7" x14ac:dyDescent="0.2">
      <c r="A64" s="10" t="s">
        <v>231</v>
      </c>
      <c r="B64" s="10" t="s">
        <v>232</v>
      </c>
      <c r="C64" s="10" t="s">
        <v>18</v>
      </c>
      <c r="D64" s="10">
        <v>1.4481398374211401</v>
      </c>
      <c r="E64" s="4">
        <v>1.39811434792771E-10</v>
      </c>
      <c r="F64" s="10">
        <v>2.02199402406836</v>
      </c>
      <c r="G64" s="4">
        <v>2.24261857121268E-10</v>
      </c>
    </row>
    <row r="65" spans="1:7" x14ac:dyDescent="0.2">
      <c r="A65" s="10" t="s">
        <v>3275</v>
      </c>
      <c r="B65" s="10" t="s">
        <v>3276</v>
      </c>
      <c r="C65" s="10" t="s">
        <v>18</v>
      </c>
      <c r="D65" s="10">
        <v>-1.5300969861364</v>
      </c>
      <c r="E65" s="4">
        <v>8.3247513516646805E-9</v>
      </c>
      <c r="F65" s="10">
        <v>-1.08172253344445</v>
      </c>
      <c r="G65" s="10">
        <v>1.0523020969994501E-3</v>
      </c>
    </row>
    <row r="66" spans="1:7" x14ac:dyDescent="0.2">
      <c r="A66" s="10" t="s">
        <v>6224</v>
      </c>
      <c r="B66" s="10" t="s">
        <v>6225</v>
      </c>
      <c r="C66" s="10" t="s">
        <v>18</v>
      </c>
      <c r="D66" s="10">
        <v>4.9126453897867801</v>
      </c>
      <c r="E66" s="4">
        <v>4.5071436668625197E-65</v>
      </c>
      <c r="F66" s="10">
        <v>3.54774506104315</v>
      </c>
      <c r="G66" s="4">
        <v>3.7509814224693501E-21</v>
      </c>
    </row>
    <row r="67" spans="1:7" x14ac:dyDescent="0.2">
      <c r="A67" s="10" t="s">
        <v>2091</v>
      </c>
      <c r="B67" s="10" t="s">
        <v>2092</v>
      </c>
      <c r="C67" s="10" t="s">
        <v>18</v>
      </c>
      <c r="D67" s="10">
        <v>-1.5245233756941501</v>
      </c>
      <c r="E67" s="4">
        <v>7.1444096370975499E-11</v>
      </c>
      <c r="F67" s="10">
        <v>-1.4722600483146699</v>
      </c>
      <c r="G67" s="4">
        <v>7.78318075271146E-7</v>
      </c>
    </row>
    <row r="68" spans="1:7" x14ac:dyDescent="0.2">
      <c r="A68" s="10" t="s">
        <v>4352</v>
      </c>
      <c r="B68" s="10" t="s">
        <v>4353</v>
      </c>
      <c r="C68" s="10" t="s">
        <v>18</v>
      </c>
      <c r="D68" s="10">
        <v>-1.0293927863540799</v>
      </c>
      <c r="E68" s="4">
        <v>3.00497508990117E-6</v>
      </c>
      <c r="F68" s="10">
        <v>-1.5835858042775901</v>
      </c>
      <c r="G68" s="4">
        <v>4.4814191032171802E-9</v>
      </c>
    </row>
    <row r="69" spans="1:7" x14ac:dyDescent="0.2">
      <c r="A69" s="10" t="s">
        <v>4410</v>
      </c>
      <c r="B69" s="10" t="s">
        <v>4411</v>
      </c>
      <c r="C69" s="10" t="s">
        <v>18</v>
      </c>
      <c r="D69" s="10">
        <v>-1.51831543486482</v>
      </c>
      <c r="E69" s="4">
        <v>2.1916035344395101E-7</v>
      </c>
      <c r="F69" s="10">
        <v>2.1590445932588902</v>
      </c>
      <c r="G69" s="4">
        <v>2.4842141296196501E-5</v>
      </c>
    </row>
    <row r="70" spans="1:7" x14ac:dyDescent="0.2">
      <c r="A70" s="10" t="s">
        <v>4318</v>
      </c>
      <c r="B70" s="10" t="s">
        <v>4319</v>
      </c>
      <c r="C70" s="10" t="s">
        <v>18</v>
      </c>
      <c r="D70" s="10">
        <v>3.07459795589955</v>
      </c>
      <c r="E70" s="4">
        <v>2.34024491640477E-29</v>
      </c>
      <c r="F70" s="10">
        <v>2.0357900171776202</v>
      </c>
      <c r="G70" s="4">
        <v>1.48264891200833E-11</v>
      </c>
    </row>
    <row r="71" spans="1:7" x14ac:dyDescent="0.2">
      <c r="A71" s="10" t="s">
        <v>413</v>
      </c>
      <c r="B71" s="10" t="s">
        <v>414</v>
      </c>
      <c r="C71" s="10" t="s">
        <v>18</v>
      </c>
      <c r="D71" s="10">
        <v>-1.5471926707313699</v>
      </c>
      <c r="E71" s="4">
        <v>1.04808483476661E-15</v>
      </c>
      <c r="F71" s="10">
        <v>-1.0916083229915901</v>
      </c>
      <c r="G71" s="4">
        <v>5.1714806129945999E-5</v>
      </c>
    </row>
    <row r="72" spans="1:7" x14ac:dyDescent="0.2">
      <c r="A72" s="10" t="s">
        <v>6090</v>
      </c>
      <c r="B72" s="10" t="s">
        <v>6091</v>
      </c>
      <c r="C72" s="10" t="s">
        <v>18</v>
      </c>
      <c r="D72" s="10">
        <v>-2.02836365293587</v>
      </c>
      <c r="E72" s="4">
        <v>5.8134259575744998E-7</v>
      </c>
      <c r="F72" s="10">
        <v>-1.81873824686581</v>
      </c>
      <c r="G72" s="4">
        <v>3.4827693212999099E-5</v>
      </c>
    </row>
    <row r="73" spans="1:7" x14ac:dyDescent="0.2">
      <c r="A73" s="10" t="s">
        <v>3553</v>
      </c>
      <c r="B73" s="10" t="s">
        <v>3554</v>
      </c>
      <c r="C73" s="10" t="s">
        <v>18</v>
      </c>
      <c r="D73" s="10">
        <v>1.06698266828816</v>
      </c>
      <c r="E73" s="4">
        <v>2.38553050339519E-7</v>
      </c>
      <c r="F73" s="10">
        <v>1.60347195403556</v>
      </c>
      <c r="G73" s="4">
        <v>8.3121622947096993E-9</v>
      </c>
    </row>
    <row r="74" spans="1:7" x14ac:dyDescent="0.2">
      <c r="A74" s="10" t="s">
        <v>3697</v>
      </c>
      <c r="B74" s="10" t="s">
        <v>3698</v>
      </c>
      <c r="C74" s="10" t="s">
        <v>18</v>
      </c>
      <c r="D74" s="10">
        <v>-1.9457362199894399</v>
      </c>
      <c r="E74" s="4">
        <v>1.5855771035528699E-12</v>
      </c>
      <c r="F74" s="10">
        <v>-2.07325046720872</v>
      </c>
      <c r="G74" s="4">
        <v>1.4445735336158601E-10</v>
      </c>
    </row>
    <row r="75" spans="1:7" x14ac:dyDescent="0.2">
      <c r="A75" s="10" t="s">
        <v>6220</v>
      </c>
      <c r="B75" s="10" t="s">
        <v>6221</v>
      </c>
      <c r="C75" s="10" t="s">
        <v>18</v>
      </c>
      <c r="D75" s="10">
        <v>-1.1556643348016999</v>
      </c>
      <c r="E75" s="4">
        <v>3.3855390228257802E-7</v>
      </c>
      <c r="F75" s="10">
        <v>1.41486655850909</v>
      </c>
      <c r="G75" s="4">
        <v>1.0927737602647399E-5</v>
      </c>
    </row>
    <row r="76" spans="1:7" x14ac:dyDescent="0.2">
      <c r="A76" s="10" t="s">
        <v>8266</v>
      </c>
      <c r="B76" s="10" t="s">
        <v>8267</v>
      </c>
      <c r="C76" s="10" t="s">
        <v>18</v>
      </c>
      <c r="D76" s="10">
        <v>-1.2314443850061301</v>
      </c>
      <c r="E76" s="4">
        <v>5.3984174902469902E-9</v>
      </c>
      <c r="F76" s="10">
        <v>-1.4257053197835201</v>
      </c>
      <c r="G76" s="4">
        <v>1.20853295958908E-6</v>
      </c>
    </row>
    <row r="77" spans="1:7" x14ac:dyDescent="0.2">
      <c r="A77" s="10" t="s">
        <v>4518</v>
      </c>
      <c r="B77" s="10" t="s">
        <v>4519</v>
      </c>
      <c r="C77" s="10" t="s">
        <v>18</v>
      </c>
      <c r="D77" s="10">
        <v>1.7085931222608799</v>
      </c>
      <c r="E77" s="4">
        <v>5.45323941561476E-8</v>
      </c>
      <c r="F77" s="10">
        <v>2.63446277698797</v>
      </c>
      <c r="G77" s="4">
        <v>8.4205746826318008E-12</v>
      </c>
    </row>
    <row r="78" spans="1:7" x14ac:dyDescent="0.2">
      <c r="A78" s="10" t="s">
        <v>5882</v>
      </c>
      <c r="B78" s="10" t="s">
        <v>5883</v>
      </c>
      <c r="C78" s="10" t="s">
        <v>18</v>
      </c>
      <c r="D78" s="10">
        <v>5.8419920411439801</v>
      </c>
      <c r="E78" s="10">
        <v>4.52770764851306E-4</v>
      </c>
      <c r="F78" s="10">
        <v>4.5362999068619096</v>
      </c>
      <c r="G78" s="10">
        <v>1.1615998434574499E-4</v>
      </c>
    </row>
    <row r="79" spans="1:7" x14ac:dyDescent="0.2">
      <c r="A79" s="10" t="s">
        <v>8254</v>
      </c>
      <c r="B79" s="10" t="s">
        <v>8255</v>
      </c>
      <c r="C79" s="10" t="s">
        <v>18</v>
      </c>
      <c r="D79" s="10">
        <v>-1.13784535630684</v>
      </c>
      <c r="E79" s="4">
        <v>6.8693227409372897E-7</v>
      </c>
      <c r="F79" s="10">
        <v>-1.57157425508787</v>
      </c>
      <c r="G79" s="4">
        <v>1.94574256034355E-7</v>
      </c>
    </row>
    <row r="80" spans="1:7" x14ac:dyDescent="0.2">
      <c r="A80" s="10" t="s">
        <v>4660</v>
      </c>
      <c r="B80" s="10" t="s">
        <v>4661</v>
      </c>
      <c r="C80" s="10" t="s">
        <v>18</v>
      </c>
      <c r="D80" s="10">
        <v>-1.7823941001878201</v>
      </c>
      <c r="E80" s="4">
        <v>6.5261926970209198E-20</v>
      </c>
      <c r="F80" s="10">
        <v>-1.0394976751348199</v>
      </c>
      <c r="G80" s="4">
        <v>3.3147423488026303E-5</v>
      </c>
    </row>
    <row r="81" spans="1:7" x14ac:dyDescent="0.2">
      <c r="A81" s="10" t="s">
        <v>6512</v>
      </c>
      <c r="B81" s="10" t="s">
        <v>6513</v>
      </c>
      <c r="C81" s="10" t="s">
        <v>18</v>
      </c>
      <c r="D81" s="10">
        <v>6.4301100582067203</v>
      </c>
      <c r="E81" s="4">
        <v>1.1645518307072599E-21</v>
      </c>
      <c r="F81" s="10">
        <v>5.9466220853004801</v>
      </c>
      <c r="G81" s="4">
        <v>5.6240219037803998E-25</v>
      </c>
    </row>
    <row r="82" spans="1:7" x14ac:dyDescent="0.2">
      <c r="A82" s="10" t="s">
        <v>7108</v>
      </c>
      <c r="B82" s="10" t="s">
        <v>7109</v>
      </c>
      <c r="C82" s="10" t="s">
        <v>18</v>
      </c>
      <c r="D82" s="10">
        <v>-1.01290185395601</v>
      </c>
      <c r="E82" s="4">
        <v>9.6513049498641392E-9</v>
      </c>
      <c r="F82" s="10">
        <v>-1.02382705226217</v>
      </c>
      <c r="G82" s="4">
        <v>3.9617787917680702E-5</v>
      </c>
    </row>
    <row r="83" spans="1:7" x14ac:dyDescent="0.2">
      <c r="A83" s="10" t="s">
        <v>2631</v>
      </c>
      <c r="B83" s="10" t="s">
        <v>2632</v>
      </c>
      <c r="C83" s="10" t="s">
        <v>18</v>
      </c>
      <c r="D83" s="10">
        <v>1.8452899667887299</v>
      </c>
      <c r="E83" s="4">
        <v>1.1286251659952E-26</v>
      </c>
      <c r="F83" s="10">
        <v>2.1071840097604499</v>
      </c>
      <c r="G83" s="4">
        <v>2.3345132693923998E-19</v>
      </c>
    </row>
    <row r="84" spans="1:7" x14ac:dyDescent="0.2">
      <c r="A84" s="10" t="s">
        <v>7128</v>
      </c>
      <c r="B84" s="10" t="s">
        <v>7129</v>
      </c>
      <c r="C84" s="10" t="s">
        <v>18</v>
      </c>
      <c r="D84" s="10">
        <v>-2.7749688590182502</v>
      </c>
      <c r="E84" s="4">
        <v>1.64847945230774E-26</v>
      </c>
      <c r="F84" s="10">
        <v>-1.8226952333169</v>
      </c>
      <c r="G84" s="4">
        <v>1.62064100531315E-8</v>
      </c>
    </row>
    <row r="85" spans="1:7" x14ac:dyDescent="0.2">
      <c r="A85" s="10" t="s">
        <v>1959</v>
      </c>
      <c r="B85" s="10" t="s">
        <v>1960</v>
      </c>
      <c r="C85" s="10" t="s">
        <v>18</v>
      </c>
      <c r="D85" s="10">
        <v>3.43520486094146</v>
      </c>
      <c r="E85" s="4">
        <v>4.2723708885426097E-8</v>
      </c>
      <c r="F85" s="10">
        <v>3.8896055725820302</v>
      </c>
      <c r="G85" s="4">
        <v>4.0052035394459799E-9</v>
      </c>
    </row>
    <row r="86" spans="1:7" x14ac:dyDescent="0.2">
      <c r="A86" s="10" t="s">
        <v>7048</v>
      </c>
      <c r="B86" s="10" t="s">
        <v>7049</v>
      </c>
      <c r="C86" s="10" t="s">
        <v>18</v>
      </c>
      <c r="D86" s="10">
        <v>6.0791786382708803</v>
      </c>
      <c r="E86" s="10">
        <v>2.02196687160838E-4</v>
      </c>
      <c r="F86" s="10">
        <v>2.6646439548822398</v>
      </c>
      <c r="G86" s="10">
        <v>1.3383593069992801E-3</v>
      </c>
    </row>
    <row r="87" spans="1:7" x14ac:dyDescent="0.2">
      <c r="A87" s="10" t="s">
        <v>4530</v>
      </c>
      <c r="B87" s="10" t="s">
        <v>4531</v>
      </c>
      <c r="C87" s="10" t="s">
        <v>18</v>
      </c>
      <c r="D87" s="10">
        <v>7.8094370613531696</v>
      </c>
      <c r="E87" s="4">
        <v>2.1650543689688301E-18</v>
      </c>
      <c r="F87" s="10">
        <v>5.94955619120047</v>
      </c>
      <c r="G87" s="4">
        <v>3.21591274101709E-29</v>
      </c>
    </row>
    <row r="88" spans="1:7" x14ac:dyDescent="0.2">
      <c r="A88" s="10" t="s">
        <v>177</v>
      </c>
      <c r="B88" s="10" t="s">
        <v>178</v>
      </c>
      <c r="C88" s="10" t="s">
        <v>18</v>
      </c>
      <c r="D88" s="10">
        <v>3.3491115165791401</v>
      </c>
      <c r="E88" s="4">
        <v>2.2778763589136299E-53</v>
      </c>
      <c r="F88" s="10">
        <v>6.5232123831814199</v>
      </c>
      <c r="G88" s="4">
        <v>1.12174480536602E-97</v>
      </c>
    </row>
    <row r="89" spans="1:7" x14ac:dyDescent="0.2">
      <c r="A89" s="10" t="s">
        <v>2499</v>
      </c>
      <c r="B89" s="10" t="s">
        <v>2500</v>
      </c>
      <c r="C89" s="10" t="s">
        <v>18</v>
      </c>
      <c r="D89" s="10">
        <v>-1.0962027072071101</v>
      </c>
      <c r="E89" s="10">
        <v>7.75765843621896E-3</v>
      </c>
      <c r="F89" s="10">
        <v>-1.2420201528549699</v>
      </c>
      <c r="G89" s="10">
        <v>2.533522285057E-3</v>
      </c>
    </row>
    <row r="90" spans="1:7" x14ac:dyDescent="0.2">
      <c r="A90" s="10" t="s">
        <v>5698</v>
      </c>
      <c r="B90" s="10" t="s">
        <v>5699</v>
      </c>
      <c r="C90" s="10" t="s">
        <v>18</v>
      </c>
      <c r="D90" s="10">
        <v>-1.3699855056900201</v>
      </c>
      <c r="E90" s="4">
        <v>1.2454893177973901E-7</v>
      </c>
      <c r="F90" s="10">
        <v>-2.6471740461960001</v>
      </c>
      <c r="G90" s="4">
        <v>2.9590356673642199E-21</v>
      </c>
    </row>
    <row r="91" spans="1:7" x14ac:dyDescent="0.2">
      <c r="A91" s="10" t="s">
        <v>5546</v>
      </c>
      <c r="B91" s="10" t="s">
        <v>5547</v>
      </c>
      <c r="C91" s="10" t="s">
        <v>18</v>
      </c>
      <c r="D91" s="10">
        <v>-4.1367519121924303</v>
      </c>
      <c r="E91" s="10">
        <v>1.0024257374539401E-3</v>
      </c>
      <c r="F91" s="10">
        <v>-4.5060619391212899</v>
      </c>
      <c r="G91" s="10">
        <v>1.0748882390436501E-4</v>
      </c>
    </row>
    <row r="92" spans="1:7" x14ac:dyDescent="0.2">
      <c r="A92" s="10" t="s">
        <v>5174</v>
      </c>
      <c r="B92" s="10" t="s">
        <v>5175</v>
      </c>
      <c r="C92" s="10" t="s">
        <v>18</v>
      </c>
      <c r="D92" s="10">
        <v>6.3643621547774201</v>
      </c>
      <c r="E92" s="4">
        <v>5.79471156110695E-125</v>
      </c>
      <c r="F92" s="10">
        <v>5.2416610406286797</v>
      </c>
      <c r="G92" s="4">
        <v>1.38011427549053E-83</v>
      </c>
    </row>
    <row r="93" spans="1:7" x14ac:dyDescent="0.2">
      <c r="A93" s="10" t="s">
        <v>499</v>
      </c>
      <c r="B93" s="10" t="s">
        <v>500</v>
      </c>
      <c r="C93" s="10" t="s">
        <v>18</v>
      </c>
      <c r="D93" s="10">
        <v>-1.28555648892053</v>
      </c>
      <c r="E93" s="4">
        <v>3.2788480495522E-8</v>
      </c>
      <c r="F93" s="10">
        <v>-1.13583874152301</v>
      </c>
      <c r="G93" s="10">
        <v>4.4558066492471799E-4</v>
      </c>
    </row>
    <row r="94" spans="1:7" x14ac:dyDescent="0.2">
      <c r="A94" s="10" t="s">
        <v>7394</v>
      </c>
      <c r="B94" s="10" t="s">
        <v>7395</v>
      </c>
      <c r="C94" s="10" t="s">
        <v>18</v>
      </c>
      <c r="D94" s="10">
        <v>1.47048307707605</v>
      </c>
      <c r="E94" s="4">
        <v>3.3210381780617399E-12</v>
      </c>
      <c r="F94" s="10">
        <v>1.6704305050693899</v>
      </c>
      <c r="G94" s="4">
        <v>1.4823047056763699E-8</v>
      </c>
    </row>
    <row r="95" spans="1:7" x14ac:dyDescent="0.2">
      <c r="A95" s="10" t="s">
        <v>5104</v>
      </c>
      <c r="B95" s="10" t="s">
        <v>5105</v>
      </c>
      <c r="C95" s="10" t="s">
        <v>18</v>
      </c>
      <c r="D95" s="10">
        <v>-1.52899533635019</v>
      </c>
      <c r="E95" s="4">
        <v>2.6815519752695502E-10</v>
      </c>
      <c r="F95" s="10">
        <v>-1.40953928050476</v>
      </c>
      <c r="G95" s="4">
        <v>3.2750296944362202E-6</v>
      </c>
    </row>
    <row r="96" spans="1:7" x14ac:dyDescent="0.2">
      <c r="A96" s="10" t="s">
        <v>8354</v>
      </c>
      <c r="B96" s="10" t="s">
        <v>8355</v>
      </c>
      <c r="C96" s="10" t="s">
        <v>18</v>
      </c>
      <c r="D96" s="10">
        <v>8.61942229486983</v>
      </c>
      <c r="E96" s="4">
        <v>2.2332652871544199E-8</v>
      </c>
      <c r="F96" s="10">
        <v>3.7273601059174499</v>
      </c>
      <c r="G96" s="4">
        <v>8.0756781154887193E-9</v>
      </c>
    </row>
    <row r="97" spans="1:7" x14ac:dyDescent="0.2">
      <c r="A97" s="10" t="s">
        <v>741</v>
      </c>
      <c r="B97" s="10" t="s">
        <v>742</v>
      </c>
      <c r="C97" s="10" t="s">
        <v>18</v>
      </c>
      <c r="D97" s="10">
        <v>-2.2824535630523699</v>
      </c>
      <c r="E97" s="4">
        <v>1.7763768053875401E-9</v>
      </c>
      <c r="F97" s="10">
        <v>-3.4834739650209401</v>
      </c>
      <c r="G97" s="4">
        <v>3.3294607362706902E-15</v>
      </c>
    </row>
    <row r="98" spans="1:7" x14ac:dyDescent="0.2">
      <c r="A98" s="10" t="s">
        <v>3861</v>
      </c>
      <c r="B98" s="10" t="s">
        <v>3862</v>
      </c>
      <c r="C98" s="10" t="s">
        <v>18</v>
      </c>
      <c r="D98" s="10">
        <v>2.9131369439066499</v>
      </c>
      <c r="E98" s="4">
        <v>3.0474799939377001E-35</v>
      </c>
      <c r="F98" s="10">
        <v>5.5989580742953304</v>
      </c>
      <c r="G98" s="4">
        <v>1.2028662474760601E-59</v>
      </c>
    </row>
    <row r="99" spans="1:7" x14ac:dyDescent="0.2">
      <c r="A99" s="10" t="s">
        <v>2555</v>
      </c>
      <c r="B99" s="10" t="s">
        <v>2556</v>
      </c>
      <c r="C99" s="10" t="s">
        <v>18</v>
      </c>
      <c r="D99" s="10">
        <v>3.4056757448169601</v>
      </c>
      <c r="E99" s="4">
        <v>7.1939999959750099E-62</v>
      </c>
      <c r="F99" s="10">
        <v>2.94737577994337</v>
      </c>
      <c r="G99" s="4">
        <v>8.9137882529551802E-30</v>
      </c>
    </row>
    <row r="100" spans="1:7" x14ac:dyDescent="0.2">
      <c r="A100" s="10" t="s">
        <v>7774</v>
      </c>
      <c r="B100" s="10" t="s">
        <v>7775</v>
      </c>
      <c r="C100" s="10" t="s">
        <v>18</v>
      </c>
      <c r="D100" s="10">
        <v>3.7111458584457502</v>
      </c>
      <c r="E100" s="4">
        <v>3.3934362101011302E-5</v>
      </c>
      <c r="F100" s="10">
        <v>4.1982254195645901</v>
      </c>
      <c r="G100" s="4">
        <v>1.54024212600663E-6</v>
      </c>
    </row>
    <row r="101" spans="1:7" x14ac:dyDescent="0.2">
      <c r="A101" s="10" t="s">
        <v>8024</v>
      </c>
      <c r="B101" s="10" t="s">
        <v>8025</v>
      </c>
      <c r="C101" s="10" t="s">
        <v>18</v>
      </c>
      <c r="D101" s="10">
        <v>-1.88553781570584</v>
      </c>
      <c r="E101" s="4">
        <v>1.58234600583896E-20</v>
      </c>
      <c r="F101" s="10">
        <v>-1.5741799363360001</v>
      </c>
      <c r="G101" s="4">
        <v>3.45058195576581E-9</v>
      </c>
    </row>
    <row r="102" spans="1:7" x14ac:dyDescent="0.2">
      <c r="A102" s="10" t="s">
        <v>7560</v>
      </c>
      <c r="B102" s="10" t="s">
        <v>7561</v>
      </c>
      <c r="C102" s="10" t="s">
        <v>18</v>
      </c>
      <c r="D102" s="10">
        <v>9.2868043392921198</v>
      </c>
      <c r="E102" s="4">
        <v>3.5310994642468E-10</v>
      </c>
      <c r="F102" s="10">
        <v>5.6055328781135296</v>
      </c>
      <c r="G102" s="4">
        <v>5.5785781714693103E-25</v>
      </c>
    </row>
    <row r="103" spans="1:7" x14ac:dyDescent="0.2">
      <c r="A103" s="10" t="s">
        <v>37</v>
      </c>
      <c r="B103" s="10" t="s">
        <v>38</v>
      </c>
      <c r="C103" s="10" t="s">
        <v>18</v>
      </c>
      <c r="D103" s="10">
        <v>2.0473622268118601</v>
      </c>
      <c r="E103" s="4">
        <v>3.8661627469001303E-17</v>
      </c>
      <c r="F103" s="10">
        <v>6.6327796727130197</v>
      </c>
      <c r="G103" s="4">
        <v>8.2705257978430904E-65</v>
      </c>
    </row>
    <row r="104" spans="1:7" x14ac:dyDescent="0.2">
      <c r="A104" s="10" t="s">
        <v>6684</v>
      </c>
      <c r="B104" s="10" t="s">
        <v>6685</v>
      </c>
      <c r="C104" s="10" t="s">
        <v>18</v>
      </c>
      <c r="D104" s="10">
        <v>-2.2912476187526201</v>
      </c>
      <c r="E104" s="4">
        <v>1.01399629932218E-25</v>
      </c>
      <c r="F104" s="10">
        <v>-2.21230928209815</v>
      </c>
      <c r="G104" s="4">
        <v>1.82830710503021E-12</v>
      </c>
    </row>
    <row r="105" spans="1:7" x14ac:dyDescent="0.2">
      <c r="A105" s="10" t="s">
        <v>2011</v>
      </c>
      <c r="B105" s="10" t="s">
        <v>2012</v>
      </c>
      <c r="C105" s="10" t="s">
        <v>18</v>
      </c>
      <c r="D105" s="10">
        <v>9.5649958467563607</v>
      </c>
      <c r="E105" s="4">
        <v>1.95165121731533E-10</v>
      </c>
      <c r="F105" s="10">
        <v>3.09618739919601</v>
      </c>
      <c r="G105" s="4">
        <v>4.04609472675789E-10</v>
      </c>
    </row>
    <row r="106" spans="1:7" x14ac:dyDescent="0.2">
      <c r="A106" s="10" t="s">
        <v>5714</v>
      </c>
      <c r="B106" s="10" t="s">
        <v>5715</v>
      </c>
      <c r="C106" s="10" t="s">
        <v>18</v>
      </c>
      <c r="D106" s="10">
        <v>7.61714475486992</v>
      </c>
      <c r="E106" s="4">
        <v>5.0211947028481105E-7</v>
      </c>
      <c r="F106" s="10">
        <v>1.9781486203107499</v>
      </c>
      <c r="G106" s="4">
        <v>3.20677970727906E-5</v>
      </c>
    </row>
    <row r="107" spans="1:7" x14ac:dyDescent="0.2">
      <c r="A107" s="10" t="s">
        <v>585</v>
      </c>
      <c r="B107" s="10" t="s">
        <v>586</v>
      </c>
      <c r="C107" s="10" t="s">
        <v>18</v>
      </c>
      <c r="D107" s="10">
        <v>-1.9130324196459301</v>
      </c>
      <c r="E107" s="4">
        <v>1.7178557814357999E-25</v>
      </c>
      <c r="F107" s="10">
        <v>-1.62769583909809</v>
      </c>
      <c r="G107" s="4">
        <v>5.2269056129122198E-11</v>
      </c>
    </row>
    <row r="108" spans="1:7" x14ac:dyDescent="0.2">
      <c r="A108" s="10" t="s">
        <v>6484</v>
      </c>
      <c r="B108" s="10" t="s">
        <v>6485</v>
      </c>
      <c r="C108" s="10" t="s">
        <v>18</v>
      </c>
      <c r="D108" s="10">
        <v>-1.31648840784479</v>
      </c>
      <c r="E108" s="4">
        <v>1.0006196201166E-9</v>
      </c>
      <c r="F108" s="10">
        <v>-1.29274083153473</v>
      </c>
      <c r="G108" s="4">
        <v>1.14930348821614E-5</v>
      </c>
    </row>
    <row r="109" spans="1:7" x14ac:dyDescent="0.2">
      <c r="A109" s="10" t="s">
        <v>2731</v>
      </c>
      <c r="B109" s="10" t="s">
        <v>2732</v>
      </c>
      <c r="C109" s="10" t="s">
        <v>18</v>
      </c>
      <c r="D109" s="10">
        <v>-1.9068683702782101</v>
      </c>
      <c r="E109" s="4">
        <v>1.5340410499743799E-19</v>
      </c>
      <c r="F109" s="10">
        <v>-1.0161457843924699</v>
      </c>
      <c r="G109" s="10">
        <v>4.6171796139170702E-4</v>
      </c>
    </row>
    <row r="110" spans="1:7" x14ac:dyDescent="0.2">
      <c r="A110" s="10" t="s">
        <v>4536</v>
      </c>
      <c r="B110" s="10" t="s">
        <v>4537</v>
      </c>
      <c r="C110" s="10" t="s">
        <v>18</v>
      </c>
      <c r="D110" s="10">
        <v>6.1075969908292898</v>
      </c>
      <c r="E110" s="4">
        <v>1.23607956750596E-7</v>
      </c>
      <c r="F110" s="10">
        <v>5.0404560907639002</v>
      </c>
      <c r="G110" s="4">
        <v>1.68478203084244E-9</v>
      </c>
    </row>
    <row r="111" spans="1:7" x14ac:dyDescent="0.2">
      <c r="A111" s="10" t="s">
        <v>4532</v>
      </c>
      <c r="B111" s="10" t="s">
        <v>4533</v>
      </c>
      <c r="C111" s="10" t="s">
        <v>18</v>
      </c>
      <c r="D111" s="10">
        <v>5.4444419213328796</v>
      </c>
      <c r="E111" s="10">
        <v>1.1203166618934E-2</v>
      </c>
      <c r="F111" s="10">
        <v>5.6871354612422396</v>
      </c>
      <c r="G111" s="10">
        <v>6.30550873117635E-3</v>
      </c>
    </row>
    <row r="112" spans="1:7" x14ac:dyDescent="0.2">
      <c r="A112" s="10" t="s">
        <v>1417</v>
      </c>
      <c r="B112" s="10" t="s">
        <v>1418</v>
      </c>
      <c r="C112" s="10" t="s">
        <v>18</v>
      </c>
      <c r="D112" s="10">
        <v>1.77224880894243</v>
      </c>
      <c r="E112" s="4">
        <v>5.0227445309227897E-20</v>
      </c>
      <c r="F112" s="10">
        <v>2.0172254410741002</v>
      </c>
      <c r="G112" s="4">
        <v>1.5804521307522799E-15</v>
      </c>
    </row>
    <row r="113" spans="1:7" x14ac:dyDescent="0.2">
      <c r="A113" s="10" t="s">
        <v>7870</v>
      </c>
      <c r="B113" s="10" t="s">
        <v>7871</v>
      </c>
      <c r="C113" s="10" t="s">
        <v>18</v>
      </c>
      <c r="D113" s="10">
        <v>-4.3104818087512804</v>
      </c>
      <c r="E113" s="4">
        <v>8.3661176711538505E-41</v>
      </c>
      <c r="F113" s="10">
        <v>-2.31684971836092</v>
      </c>
      <c r="G113" s="4">
        <v>1.3588353528231799E-8</v>
      </c>
    </row>
    <row r="114" spans="1:7" x14ac:dyDescent="0.2">
      <c r="A114" s="10" t="s">
        <v>1523</v>
      </c>
      <c r="B114" s="10" t="s">
        <v>1524</v>
      </c>
      <c r="C114" s="10" t="s">
        <v>18</v>
      </c>
      <c r="D114" s="10">
        <v>1.17944877452326</v>
      </c>
      <c r="E114" s="4">
        <v>6.2072695597660304E-7</v>
      </c>
      <c r="F114" s="10">
        <v>2.1860868071658799</v>
      </c>
      <c r="G114" s="4">
        <v>2.2509654850749699E-14</v>
      </c>
    </row>
    <row r="115" spans="1:7" x14ac:dyDescent="0.2">
      <c r="A115" s="10" t="s">
        <v>6332</v>
      </c>
      <c r="B115" s="10" t="s">
        <v>6333</v>
      </c>
      <c r="C115" s="10" t="s">
        <v>18</v>
      </c>
      <c r="D115" s="10">
        <v>1.32958873284889</v>
      </c>
      <c r="E115" s="4">
        <v>2.91239635529801E-11</v>
      </c>
      <c r="F115" s="10">
        <v>1.1085357318823701</v>
      </c>
      <c r="G115" s="4">
        <v>2.0637575748954001E-5</v>
      </c>
    </row>
    <row r="116" spans="1:7" x14ac:dyDescent="0.2">
      <c r="A116" s="10" t="s">
        <v>5708</v>
      </c>
      <c r="B116" s="10" t="s">
        <v>5709</v>
      </c>
      <c r="C116" s="10" t="s">
        <v>18</v>
      </c>
      <c r="D116" s="10">
        <v>2.0924622576842999</v>
      </c>
      <c r="E116" s="4">
        <v>8.4785186855016197E-32</v>
      </c>
      <c r="F116" s="10">
        <v>1.8924408004887801</v>
      </c>
      <c r="G116" s="4">
        <v>1.5070453142275E-15</v>
      </c>
    </row>
    <row r="117" spans="1:7" x14ac:dyDescent="0.2">
      <c r="A117" s="10" t="s">
        <v>2683</v>
      </c>
      <c r="B117" s="10" t="s">
        <v>2684</v>
      </c>
      <c r="C117" s="10" t="s">
        <v>18</v>
      </c>
      <c r="D117" s="10">
        <v>2.2043877219355301</v>
      </c>
      <c r="E117" s="10">
        <v>2.51491751058425E-3</v>
      </c>
      <c r="F117" s="10">
        <v>4.7250470548937997</v>
      </c>
      <c r="G117" s="4">
        <v>2.4100219481811098E-6</v>
      </c>
    </row>
    <row r="118" spans="1:7" x14ac:dyDescent="0.2">
      <c r="A118" s="10" t="s">
        <v>8058</v>
      </c>
      <c r="B118" s="10" t="s">
        <v>8059</v>
      </c>
      <c r="C118" s="10" t="s">
        <v>18</v>
      </c>
      <c r="D118" s="10">
        <v>4.8597026183974297</v>
      </c>
      <c r="E118" s="4">
        <v>9.9039005374431904E-101</v>
      </c>
      <c r="F118" s="10">
        <v>6.3933446414228801</v>
      </c>
      <c r="G118" s="4">
        <v>1.6079156215113601E-98</v>
      </c>
    </row>
    <row r="119" spans="1:7" x14ac:dyDescent="0.2">
      <c r="A119" s="10" t="s">
        <v>697</v>
      </c>
      <c r="B119" s="10" t="s">
        <v>698</v>
      </c>
      <c r="C119" s="10" t="s">
        <v>18</v>
      </c>
      <c r="D119" s="10">
        <v>-2.04709193525514</v>
      </c>
      <c r="E119" s="4">
        <v>3.1774810751293398E-19</v>
      </c>
      <c r="F119" s="10">
        <v>-1.8491343610520401</v>
      </c>
      <c r="G119" s="4">
        <v>6.2200054895973703E-11</v>
      </c>
    </row>
    <row r="120" spans="1:7" x14ac:dyDescent="0.2">
      <c r="A120" s="10" t="s">
        <v>5246</v>
      </c>
      <c r="B120" s="10" t="s">
        <v>5247</v>
      </c>
      <c r="C120" s="10" t="s">
        <v>18</v>
      </c>
      <c r="D120" s="10">
        <v>-3.5153604526153699</v>
      </c>
      <c r="E120" s="4">
        <v>9.8759197953987999E-10</v>
      </c>
      <c r="F120" s="10">
        <v>-4.7029496853695996</v>
      </c>
      <c r="G120" s="4">
        <v>8.4811121533316491E-22</v>
      </c>
    </row>
    <row r="121" spans="1:7" x14ac:dyDescent="0.2">
      <c r="A121" s="10" t="s">
        <v>5244</v>
      </c>
      <c r="B121" s="10" t="s">
        <v>5245</v>
      </c>
      <c r="C121" s="10" t="s">
        <v>18</v>
      </c>
      <c r="D121" s="10">
        <v>-1.40948935579595</v>
      </c>
      <c r="E121" s="4">
        <v>7.5582640914242405E-8</v>
      </c>
      <c r="F121" s="10">
        <v>-2.0148163609837302</v>
      </c>
      <c r="G121" s="4">
        <v>1.06372587556263E-10</v>
      </c>
    </row>
    <row r="122" spans="1:7" x14ac:dyDescent="0.2">
      <c r="A122" s="10" t="s">
        <v>8796</v>
      </c>
      <c r="B122" s="10" t="s">
        <v>8797</v>
      </c>
      <c r="C122" s="10" t="s">
        <v>18</v>
      </c>
      <c r="D122" s="10">
        <v>2.28325119994481</v>
      </c>
      <c r="E122" s="4">
        <v>3.3676043779147899E-18</v>
      </c>
      <c r="F122" s="10">
        <v>1.21410222732468</v>
      </c>
      <c r="G122" s="4">
        <v>9.9585007836510794E-5</v>
      </c>
    </row>
    <row r="123" spans="1:7" x14ac:dyDescent="0.2">
      <c r="A123" s="10" t="s">
        <v>8798</v>
      </c>
      <c r="B123" s="10" t="s">
        <v>8799</v>
      </c>
      <c r="C123" s="10" t="s">
        <v>18</v>
      </c>
      <c r="D123" s="10">
        <v>2.3561301331569799</v>
      </c>
      <c r="E123" s="4">
        <v>2.01789149037566E-36</v>
      </c>
      <c r="F123" s="10">
        <v>3.6922531897821802</v>
      </c>
      <c r="G123" s="4">
        <v>2.4906487534411599E-44</v>
      </c>
    </row>
    <row r="124" spans="1:7" x14ac:dyDescent="0.2">
      <c r="A124" s="10" t="s">
        <v>8800</v>
      </c>
      <c r="B124" s="10" t="s">
        <v>8801</v>
      </c>
      <c r="C124" s="10" t="s">
        <v>18</v>
      </c>
      <c r="D124" s="10">
        <v>3.18192679062166</v>
      </c>
      <c r="E124" s="4">
        <v>9.8252072941193796E-5</v>
      </c>
      <c r="F124" s="10">
        <v>3.31271380898401</v>
      </c>
      <c r="G124" s="4">
        <v>5.1455593264134997E-5</v>
      </c>
    </row>
    <row r="125" spans="1:7" x14ac:dyDescent="0.2">
      <c r="A125" s="10" t="s">
        <v>8802</v>
      </c>
      <c r="B125" s="10" t="s">
        <v>8803</v>
      </c>
      <c r="C125" s="10" t="s">
        <v>18</v>
      </c>
      <c r="D125" s="10">
        <v>2.0744559495696899</v>
      </c>
      <c r="E125" s="4">
        <v>1.07669811794625E-6</v>
      </c>
      <c r="F125" s="10">
        <v>1.2079085717425999</v>
      </c>
      <c r="G125" s="10">
        <v>4.53353805356371E-3</v>
      </c>
    </row>
    <row r="126" spans="1:7" x14ac:dyDescent="0.2">
      <c r="A126" s="10" t="s">
        <v>8804</v>
      </c>
      <c r="B126" s="10" t="s">
        <v>8805</v>
      </c>
      <c r="C126" s="10" t="s">
        <v>18</v>
      </c>
      <c r="D126" s="10">
        <v>7.1521672971911396</v>
      </c>
      <c r="E126" s="4">
        <v>3.2623020145534801E-6</v>
      </c>
      <c r="F126" s="10">
        <v>5.7979175117350401</v>
      </c>
      <c r="G126" s="4">
        <v>5.6506850036762902E-9</v>
      </c>
    </row>
    <row r="127" spans="1:7" x14ac:dyDescent="0.2">
      <c r="A127" s="10" t="s">
        <v>6714</v>
      </c>
      <c r="B127" s="10" t="s">
        <v>6715</v>
      </c>
      <c r="C127" s="10" t="s">
        <v>18</v>
      </c>
      <c r="D127" s="10">
        <v>2.2681755918805102</v>
      </c>
      <c r="E127" s="10">
        <v>2.3908268178781701E-4</v>
      </c>
      <c r="F127" s="10">
        <v>1.64695505984923</v>
      </c>
      <c r="G127" s="10">
        <v>4.0920052616888504E-3</v>
      </c>
    </row>
    <row r="128" spans="1:7" x14ac:dyDescent="0.2">
      <c r="A128" s="10" t="s">
        <v>5248</v>
      </c>
      <c r="B128" s="10" t="s">
        <v>5249</v>
      </c>
      <c r="C128" s="10" t="s">
        <v>18</v>
      </c>
      <c r="D128" s="10">
        <v>-1.79313247773908</v>
      </c>
      <c r="E128" s="4">
        <v>4.0157016258603702E-9</v>
      </c>
      <c r="F128" s="10">
        <v>-2.9015537966616498</v>
      </c>
      <c r="G128" s="4">
        <v>1.8813226516305001E-19</v>
      </c>
    </row>
    <row r="129" spans="1:7" x14ac:dyDescent="0.2">
      <c r="A129" s="10" t="s">
        <v>5586</v>
      </c>
      <c r="B129" s="10" t="s">
        <v>5587</v>
      </c>
      <c r="C129" s="10" t="s">
        <v>18</v>
      </c>
      <c r="D129" s="10">
        <v>-2.1939974165369902</v>
      </c>
      <c r="E129" s="4">
        <v>4.1595754357474299E-7</v>
      </c>
      <c r="F129" s="10">
        <v>-3.0565229544948802</v>
      </c>
      <c r="G129" s="4">
        <v>4.3912363948424201E-15</v>
      </c>
    </row>
    <row r="130" spans="1:7" x14ac:dyDescent="0.2">
      <c r="A130" s="10" t="s">
        <v>7384</v>
      </c>
      <c r="B130" s="10" t="s">
        <v>7385</v>
      </c>
      <c r="C130" s="10" t="s">
        <v>18</v>
      </c>
      <c r="D130" s="10">
        <v>-1.8679876249229601</v>
      </c>
      <c r="E130" s="4">
        <v>1.3696657011314701E-20</v>
      </c>
      <c r="F130" s="10">
        <v>-2.0399492419133098</v>
      </c>
      <c r="G130" s="4">
        <v>8.9517926061870503E-13</v>
      </c>
    </row>
    <row r="131" spans="1:7" x14ac:dyDescent="0.2">
      <c r="A131" s="10" t="s">
        <v>8756</v>
      </c>
      <c r="B131" s="10" t="s">
        <v>8757</v>
      </c>
      <c r="C131" s="10" t="s">
        <v>18</v>
      </c>
      <c r="D131" s="10">
        <v>-1.40072235107751</v>
      </c>
      <c r="E131" s="4">
        <v>4.0973529543372001E-10</v>
      </c>
      <c r="F131" s="10">
        <v>-1.01259757921245</v>
      </c>
      <c r="G131" s="10">
        <v>2.3680866559894301E-4</v>
      </c>
    </row>
    <row r="132" spans="1:7" x14ac:dyDescent="0.2">
      <c r="A132" s="10" t="s">
        <v>8916</v>
      </c>
      <c r="B132" s="10" t="s">
        <v>8917</v>
      </c>
      <c r="C132" s="10" t="s">
        <v>18</v>
      </c>
      <c r="D132" s="10">
        <v>1.2839050251600601</v>
      </c>
      <c r="E132" s="4">
        <v>1.8260524290107801E-7</v>
      </c>
      <c r="F132" s="10">
        <v>1.11170030262372</v>
      </c>
      <c r="G132" s="10">
        <v>3.31154475281873E-4</v>
      </c>
    </row>
    <row r="133" spans="1:7" x14ac:dyDescent="0.2">
      <c r="A133" s="10" t="s">
        <v>4117</v>
      </c>
      <c r="B133" s="10" t="s">
        <v>4118</v>
      </c>
      <c r="C133" s="10" t="s">
        <v>18</v>
      </c>
      <c r="D133" s="10">
        <v>3.3920387250872102</v>
      </c>
      <c r="E133" s="4">
        <v>3.04856532393017E-46</v>
      </c>
      <c r="F133" s="10">
        <v>1.9550899856683099</v>
      </c>
      <c r="G133" s="4">
        <v>5.8352123555643999E-11</v>
      </c>
    </row>
    <row r="134" spans="1:7" x14ac:dyDescent="0.2">
      <c r="A134" s="10" t="s">
        <v>4115</v>
      </c>
      <c r="B134" s="10" t="s">
        <v>4116</v>
      </c>
      <c r="C134" s="10" t="s">
        <v>18</v>
      </c>
      <c r="D134" s="10">
        <v>3.9340461643679001</v>
      </c>
      <c r="E134" s="4">
        <v>1.47718385066532E-49</v>
      </c>
      <c r="F134" s="10">
        <v>3.8019699419851598</v>
      </c>
      <c r="G134" s="4">
        <v>2.4752311704009902E-27</v>
      </c>
    </row>
    <row r="135" spans="1:7" x14ac:dyDescent="0.2">
      <c r="A135" s="10" t="s">
        <v>6704</v>
      </c>
      <c r="B135" s="10" t="s">
        <v>6705</v>
      </c>
      <c r="C135" s="10" t="s">
        <v>18</v>
      </c>
      <c r="D135" s="10">
        <v>4.1865523642957703</v>
      </c>
      <c r="E135" s="10">
        <v>3.3487598386226802E-4</v>
      </c>
      <c r="F135" s="10">
        <v>2.8411854858111099</v>
      </c>
      <c r="G135" s="10">
        <v>1.44636846778627E-3</v>
      </c>
    </row>
    <row r="136" spans="1:7" x14ac:dyDescent="0.2">
      <c r="A136" s="10" t="s">
        <v>4025</v>
      </c>
      <c r="B136" s="10" t="s">
        <v>4026</v>
      </c>
      <c r="C136" s="10" t="s">
        <v>18</v>
      </c>
      <c r="D136" s="10">
        <v>6.7160651016903703</v>
      </c>
      <c r="E136" s="4">
        <v>4.31085783535329E-13</v>
      </c>
      <c r="F136" s="10">
        <v>4.6782332015509498</v>
      </c>
      <c r="G136" s="4">
        <v>2.6479149838821699E-15</v>
      </c>
    </row>
    <row r="137" spans="1:7" x14ac:dyDescent="0.2">
      <c r="A137" s="10" t="s">
        <v>6106</v>
      </c>
      <c r="B137" s="10" t="s">
        <v>6107</v>
      </c>
      <c r="C137" s="10" t="s">
        <v>18</v>
      </c>
      <c r="D137" s="10">
        <v>1.6676031155759601</v>
      </c>
      <c r="E137" s="4">
        <v>2.2965586030366499E-17</v>
      </c>
      <c r="F137" s="10">
        <v>1.7991568701395599</v>
      </c>
      <c r="G137" s="4">
        <v>9.1880247658506495E-11</v>
      </c>
    </row>
    <row r="138" spans="1:7" x14ac:dyDescent="0.2">
      <c r="A138" s="10" t="s">
        <v>2393</v>
      </c>
      <c r="B138" s="10" t="s">
        <v>2394</v>
      </c>
      <c r="C138" s="10" t="s">
        <v>18</v>
      </c>
      <c r="D138" s="10">
        <v>3.7719343891525798</v>
      </c>
      <c r="E138" s="4">
        <v>4.1751887307417198E-21</v>
      </c>
      <c r="F138" s="10">
        <v>2.44472128841808</v>
      </c>
      <c r="G138" s="4">
        <v>4.7220551547503098E-12</v>
      </c>
    </row>
    <row r="139" spans="1:7" x14ac:dyDescent="0.2">
      <c r="A139" s="10" t="s">
        <v>4540</v>
      </c>
      <c r="B139" s="10" t="s">
        <v>4541</v>
      </c>
      <c r="C139" s="10" t="s">
        <v>18</v>
      </c>
      <c r="D139" s="10">
        <v>6.8508547862124498</v>
      </c>
      <c r="E139" s="4">
        <v>7.8289530292413101E-14</v>
      </c>
      <c r="F139" s="10">
        <v>2.4626653825616001</v>
      </c>
      <c r="G139" s="4">
        <v>1.00725152840429E-8</v>
      </c>
    </row>
    <row r="140" spans="1:7" x14ac:dyDescent="0.2">
      <c r="A140" s="10" t="s">
        <v>7186</v>
      </c>
      <c r="B140" s="10" t="s">
        <v>7187</v>
      </c>
      <c r="C140" s="10" t="s">
        <v>18</v>
      </c>
      <c r="D140" s="10">
        <v>2.11195888778831</v>
      </c>
      <c r="E140" s="4">
        <v>1.04817968375025E-10</v>
      </c>
      <c r="F140" s="10">
        <v>3.5523594460549899</v>
      </c>
      <c r="G140" s="4">
        <v>1.04964641881284E-23</v>
      </c>
    </row>
    <row r="141" spans="1:7" x14ac:dyDescent="0.2">
      <c r="A141" s="10" t="s">
        <v>689</v>
      </c>
      <c r="B141" s="10" t="s">
        <v>690</v>
      </c>
      <c r="C141" s="10" t="s">
        <v>18</v>
      </c>
      <c r="D141" s="10">
        <v>2.6194420498333</v>
      </c>
      <c r="E141" s="4">
        <v>1.2701226692947801E-8</v>
      </c>
      <c r="F141" s="10">
        <v>5.8147191802707203</v>
      </c>
      <c r="G141" s="10">
        <v>3.1664717567720101E-4</v>
      </c>
    </row>
    <row r="142" spans="1:7" x14ac:dyDescent="0.2">
      <c r="A142" s="10" t="s">
        <v>5606</v>
      </c>
      <c r="B142" s="10" t="s">
        <v>5607</v>
      </c>
      <c r="C142" s="10" t="s">
        <v>18</v>
      </c>
      <c r="D142" s="10">
        <v>-1.86275559949391</v>
      </c>
      <c r="E142" s="4">
        <v>1.1814472573741E-17</v>
      </c>
      <c r="F142" s="10">
        <v>-1.51986131898125</v>
      </c>
      <c r="G142" s="4">
        <v>5.3319936340242604E-7</v>
      </c>
    </row>
    <row r="143" spans="1:7" x14ac:dyDescent="0.2">
      <c r="A143" s="10" t="s">
        <v>1805</v>
      </c>
      <c r="B143" s="10" t="s">
        <v>1806</v>
      </c>
      <c r="C143" s="10" t="s">
        <v>18</v>
      </c>
      <c r="D143" s="10">
        <v>1.0642916497628601</v>
      </c>
      <c r="E143" s="4">
        <v>1.25939652526809E-9</v>
      </c>
      <c r="F143" s="10">
        <v>1.8834246565114801</v>
      </c>
      <c r="G143" s="4">
        <v>1.6673387083037501E-15</v>
      </c>
    </row>
    <row r="144" spans="1:7" x14ac:dyDescent="0.2">
      <c r="A144" s="10" t="s">
        <v>2711</v>
      </c>
      <c r="B144" s="10" t="s">
        <v>2712</v>
      </c>
      <c r="C144" s="10" t="s">
        <v>18</v>
      </c>
      <c r="D144" s="10">
        <v>3.5731371040351698</v>
      </c>
      <c r="E144" s="4">
        <v>1.31791761289614E-11</v>
      </c>
      <c r="F144" s="10">
        <v>2.2765589987141301</v>
      </c>
      <c r="G144" s="4">
        <v>4.4757928480111199E-7</v>
      </c>
    </row>
    <row r="145" spans="1:7" x14ac:dyDescent="0.2">
      <c r="A145" s="10" t="s">
        <v>1265</v>
      </c>
      <c r="B145" s="10" t="s">
        <v>1266</v>
      </c>
      <c r="C145" s="10" t="s">
        <v>18</v>
      </c>
      <c r="D145" s="10">
        <v>4.7969885722575096</v>
      </c>
      <c r="E145" s="4">
        <v>7.5677922829781501E-18</v>
      </c>
      <c r="F145" s="10">
        <v>1.38764253746129</v>
      </c>
      <c r="G145" s="10">
        <v>7.2915653113861801E-4</v>
      </c>
    </row>
    <row r="146" spans="1:7" x14ac:dyDescent="0.2">
      <c r="A146" s="10" t="s">
        <v>5978</v>
      </c>
      <c r="B146" s="10" t="s">
        <v>5979</v>
      </c>
      <c r="C146" s="10" t="s">
        <v>18</v>
      </c>
      <c r="D146" s="10">
        <v>-1.28430409144323</v>
      </c>
      <c r="E146" s="4">
        <v>1.09528695240514E-9</v>
      </c>
      <c r="F146" s="10">
        <v>-1.7431177649723899</v>
      </c>
      <c r="G146" s="4">
        <v>1.44967997714788E-9</v>
      </c>
    </row>
    <row r="147" spans="1:7" x14ac:dyDescent="0.2">
      <c r="A147" s="10" t="s">
        <v>5896</v>
      </c>
      <c r="B147" s="10" t="s">
        <v>5897</v>
      </c>
      <c r="C147" s="10" t="s">
        <v>18</v>
      </c>
      <c r="D147" s="10">
        <v>4.0055938583462396</v>
      </c>
      <c r="E147" s="4">
        <v>7.7145060645445097E-10</v>
      </c>
      <c r="F147" s="10">
        <v>2.5658982164006199</v>
      </c>
      <c r="G147" s="4">
        <v>2.0759342571073301E-6</v>
      </c>
    </row>
    <row r="148" spans="1:7" x14ac:dyDescent="0.2">
      <c r="A148" s="10" t="s">
        <v>1841</v>
      </c>
      <c r="B148" s="10" t="s">
        <v>1842</v>
      </c>
      <c r="C148" s="10" t="s">
        <v>18</v>
      </c>
      <c r="D148" s="10">
        <v>-1.36648985760669</v>
      </c>
      <c r="E148" s="4">
        <v>2.2699783102504299E-9</v>
      </c>
      <c r="F148" s="10">
        <v>-1.2269405807561</v>
      </c>
      <c r="G148" s="4">
        <v>1.20411011073799E-5</v>
      </c>
    </row>
    <row r="149" spans="1:7" x14ac:dyDescent="0.2">
      <c r="A149" s="10" t="s">
        <v>1297</v>
      </c>
      <c r="B149" s="10" t="s">
        <v>1298</v>
      </c>
      <c r="C149" s="10" t="s">
        <v>18</v>
      </c>
      <c r="D149" s="10">
        <v>-1.3916932267566</v>
      </c>
      <c r="E149" s="4">
        <v>4.1325674715559901E-12</v>
      </c>
      <c r="F149" s="10">
        <v>-1.28449474700592</v>
      </c>
      <c r="G149" s="4">
        <v>4.14608586707051E-7</v>
      </c>
    </row>
    <row r="150" spans="1:7" x14ac:dyDescent="0.2">
      <c r="A150" s="10" t="s">
        <v>797</v>
      </c>
      <c r="B150" s="10" t="s">
        <v>798</v>
      </c>
      <c r="C150" s="10" t="s">
        <v>18</v>
      </c>
      <c r="D150" s="10">
        <v>1.5613192793130599</v>
      </c>
      <c r="E150" s="4">
        <v>4.2659349492048798E-11</v>
      </c>
      <c r="F150" s="10">
        <v>1.93606661995423</v>
      </c>
      <c r="G150" s="4">
        <v>1.10726104471613E-9</v>
      </c>
    </row>
    <row r="151" spans="1:7" x14ac:dyDescent="0.2">
      <c r="A151" s="10" t="s">
        <v>6776</v>
      </c>
      <c r="B151" s="10" t="s">
        <v>6777</v>
      </c>
      <c r="C151" s="10" t="s">
        <v>18</v>
      </c>
      <c r="D151" s="10">
        <v>-1.88814024353208</v>
      </c>
      <c r="E151" s="4">
        <v>6.2029790345900095E-17</v>
      </c>
      <c r="F151" s="10">
        <v>-1.09356595209281</v>
      </c>
      <c r="G151" s="10">
        <v>3.2213192148214799E-4</v>
      </c>
    </row>
    <row r="152" spans="1:7" x14ac:dyDescent="0.2">
      <c r="A152" s="10" t="s">
        <v>7996</v>
      </c>
      <c r="B152" s="10" t="s">
        <v>7997</v>
      </c>
      <c r="C152" s="10" t="s">
        <v>18</v>
      </c>
      <c r="D152" s="10">
        <v>-1.58139264296008</v>
      </c>
      <c r="E152" s="4">
        <v>4.0195053693931002E-14</v>
      </c>
      <c r="F152" s="10">
        <v>-1.02114865567725</v>
      </c>
      <c r="G152" s="10">
        <v>2.8533049046941501E-4</v>
      </c>
    </row>
    <row r="153" spans="1:7" x14ac:dyDescent="0.2">
      <c r="A153" s="10" t="s">
        <v>6464</v>
      </c>
      <c r="B153" s="10" t="s">
        <v>6465</v>
      </c>
      <c r="C153" s="10" t="s">
        <v>18</v>
      </c>
      <c r="D153" s="10">
        <v>3.1486077069807199</v>
      </c>
      <c r="E153" s="4">
        <v>6.5854662469521002E-13</v>
      </c>
      <c r="F153" s="10">
        <v>1.0863457272632999</v>
      </c>
      <c r="G153" s="10">
        <v>2.5620257784113002E-3</v>
      </c>
    </row>
    <row r="154" spans="1:7" x14ac:dyDescent="0.2">
      <c r="A154" s="10" t="s">
        <v>5454</v>
      </c>
      <c r="B154" s="10" t="s">
        <v>5455</v>
      </c>
      <c r="C154" s="10" t="s">
        <v>18</v>
      </c>
      <c r="D154" s="10">
        <v>-2.12239015913008</v>
      </c>
      <c r="E154" s="4">
        <v>4.2565556277373198E-21</v>
      </c>
      <c r="F154" s="10">
        <v>-1.4448732290681701</v>
      </c>
      <c r="G154" s="4">
        <v>5.1645271193176995E-7</v>
      </c>
    </row>
    <row r="155" spans="1:7" x14ac:dyDescent="0.2">
      <c r="A155" s="10" t="s">
        <v>5122</v>
      </c>
      <c r="B155" s="10" t="s">
        <v>5123</v>
      </c>
      <c r="C155" s="10" t="s">
        <v>18</v>
      </c>
      <c r="D155" s="10">
        <v>-1.1778525667733799</v>
      </c>
      <c r="E155" s="4">
        <v>7.41105830411555E-10</v>
      </c>
      <c r="F155" s="10">
        <v>-1.1162960356505101</v>
      </c>
      <c r="G155" s="4">
        <v>3.0618298366337602E-5</v>
      </c>
    </row>
    <row r="156" spans="1:7" x14ac:dyDescent="0.2">
      <c r="A156" s="10" t="s">
        <v>8866</v>
      </c>
      <c r="B156" s="10" t="s">
        <v>8867</v>
      </c>
      <c r="C156" s="10" t="s">
        <v>18</v>
      </c>
      <c r="D156" s="10">
        <v>1.6493805392898899</v>
      </c>
      <c r="E156" s="4">
        <v>2.20582783460293E-12</v>
      </c>
      <c r="F156" s="10">
        <v>1.3458233048110699</v>
      </c>
      <c r="G156" s="4">
        <v>1.10470176170094E-5</v>
      </c>
    </row>
    <row r="157" spans="1:7" x14ac:dyDescent="0.2">
      <c r="A157" s="10" t="s">
        <v>2575</v>
      </c>
      <c r="B157" s="10" t="s">
        <v>2576</v>
      </c>
      <c r="C157" s="10" t="s">
        <v>18</v>
      </c>
      <c r="D157" s="10">
        <v>-1.65640823260534</v>
      </c>
      <c r="E157" s="4">
        <v>9.8839312459234396E-19</v>
      </c>
      <c r="F157" s="10">
        <v>-1.1219802505940799</v>
      </c>
      <c r="G157" s="4">
        <v>7.6190400799186899E-6</v>
      </c>
    </row>
    <row r="158" spans="1:7" x14ac:dyDescent="0.2">
      <c r="A158" s="10" t="s">
        <v>8876</v>
      </c>
      <c r="B158" s="10" t="s">
        <v>8877</v>
      </c>
      <c r="C158" s="10" t="s">
        <v>18</v>
      </c>
      <c r="D158" s="10">
        <v>-1.87972978091745</v>
      </c>
      <c r="E158" s="4">
        <v>7.6238031643700606E-18</v>
      </c>
      <c r="F158" s="10">
        <v>-1.16562224995796</v>
      </c>
      <c r="G158" s="4">
        <v>2.5698691656998999E-5</v>
      </c>
    </row>
    <row r="159" spans="1:7" x14ac:dyDescent="0.2">
      <c r="A159" s="10" t="s">
        <v>5426</v>
      </c>
      <c r="B159" s="10" t="s">
        <v>5427</v>
      </c>
      <c r="C159" s="10" t="s">
        <v>18</v>
      </c>
      <c r="D159" s="10">
        <v>-1.91815937606303</v>
      </c>
      <c r="E159" s="4">
        <v>1.80361414421589E-10</v>
      </c>
      <c r="F159" s="10">
        <v>-1.3228192855395899</v>
      </c>
      <c r="G159" s="10">
        <v>2.1283635774966799E-4</v>
      </c>
    </row>
    <row r="160" spans="1:7" x14ac:dyDescent="0.2">
      <c r="A160" s="10" t="s">
        <v>8684</v>
      </c>
      <c r="B160" s="10" t="s">
        <v>8685</v>
      </c>
      <c r="C160" s="10" t="s">
        <v>18</v>
      </c>
      <c r="D160" s="10">
        <v>3.1955105719512198</v>
      </c>
      <c r="E160" s="4">
        <v>7.5916873856350105E-54</v>
      </c>
      <c r="F160" s="10">
        <v>4.2316564667094401</v>
      </c>
      <c r="G160" s="4">
        <v>7.1894851325642904E-42</v>
      </c>
    </row>
    <row r="161" spans="1:7" x14ac:dyDescent="0.2">
      <c r="A161" s="10" t="s">
        <v>4546</v>
      </c>
      <c r="B161" s="10" t="s">
        <v>4547</v>
      </c>
      <c r="C161" s="10" t="s">
        <v>18</v>
      </c>
      <c r="D161" s="10">
        <v>-1.6937076997902201</v>
      </c>
      <c r="E161" s="4">
        <v>2.1264258998587699E-10</v>
      </c>
      <c r="F161" s="10">
        <v>-2.9378938644822701</v>
      </c>
      <c r="G161" s="4">
        <v>6.0571240836361595E-22</v>
      </c>
    </row>
    <row r="162" spans="1:7" x14ac:dyDescent="0.2">
      <c r="A162" s="10" t="s">
        <v>3565</v>
      </c>
      <c r="B162" s="10" t="s">
        <v>3566</v>
      </c>
      <c r="C162" s="10" t="s">
        <v>18</v>
      </c>
      <c r="D162" s="10">
        <v>1.8798282664957899</v>
      </c>
      <c r="E162" s="4">
        <v>1.6580721929991899E-5</v>
      </c>
      <c r="F162" s="10">
        <v>-1.12269848835136</v>
      </c>
      <c r="G162" s="10">
        <v>9.4106162844387201E-4</v>
      </c>
    </row>
    <row r="163" spans="1:7" x14ac:dyDescent="0.2">
      <c r="A163" s="10" t="s">
        <v>5514</v>
      </c>
      <c r="B163" s="10" t="s">
        <v>5515</v>
      </c>
      <c r="C163" s="10" t="s">
        <v>18</v>
      </c>
      <c r="D163" s="10">
        <v>-1.3890845202495901</v>
      </c>
      <c r="E163" s="4">
        <v>6.9422948894947096E-6</v>
      </c>
      <c r="F163" s="10">
        <v>-1.2388716291033599</v>
      </c>
      <c r="G163" s="10">
        <v>1.03102003803628E-3</v>
      </c>
    </row>
    <row r="164" spans="1:7" x14ac:dyDescent="0.2">
      <c r="A164" s="10" t="s">
        <v>1507</v>
      </c>
      <c r="B164" s="10" t="s">
        <v>1508</v>
      </c>
      <c r="C164" s="10" t="s">
        <v>18</v>
      </c>
      <c r="D164" s="10">
        <v>3.4429838481494799</v>
      </c>
      <c r="E164" s="10">
        <v>3.66716368977685E-3</v>
      </c>
      <c r="F164" s="10">
        <v>3.4123135274587399</v>
      </c>
      <c r="G164" s="10">
        <v>2.29233818238414E-3</v>
      </c>
    </row>
    <row r="165" spans="1:7" x14ac:dyDescent="0.2">
      <c r="A165" s="10" t="s">
        <v>6212</v>
      </c>
      <c r="B165" s="10" t="s">
        <v>6213</v>
      </c>
      <c r="C165" s="10" t="s">
        <v>18</v>
      </c>
      <c r="D165" s="10">
        <v>9.6115427761358294</v>
      </c>
      <c r="E165" s="4">
        <v>4.15738499613294E-20</v>
      </c>
      <c r="F165" s="10">
        <v>12.3019986961089</v>
      </c>
      <c r="G165" s="4">
        <v>5.9913232207754404E-17</v>
      </c>
    </row>
    <row r="166" spans="1:7" x14ac:dyDescent="0.2">
      <c r="A166" s="10" t="s">
        <v>6736</v>
      </c>
      <c r="B166" s="10" t="s">
        <v>6737</v>
      </c>
      <c r="C166" s="10" t="s">
        <v>18</v>
      </c>
      <c r="D166" s="10">
        <v>-1.76278159769764</v>
      </c>
      <c r="E166" s="4">
        <v>4.7567904401420699E-14</v>
      </c>
      <c r="F166" s="10">
        <v>-1.9071920366748401</v>
      </c>
      <c r="G166" s="4">
        <v>1.6567378841590499E-11</v>
      </c>
    </row>
    <row r="167" spans="1:7" x14ac:dyDescent="0.2">
      <c r="A167" s="10" t="s">
        <v>7516</v>
      </c>
      <c r="B167" s="10" t="s">
        <v>7517</v>
      </c>
      <c r="C167" s="10" t="s">
        <v>18</v>
      </c>
      <c r="D167" s="10">
        <v>-1.79737365820268</v>
      </c>
      <c r="E167" s="4">
        <v>5.0376199982524098E-17</v>
      </c>
      <c r="F167" s="10">
        <v>2.6107863425151501</v>
      </c>
      <c r="G167" s="4">
        <v>5.6413427820944004E-17</v>
      </c>
    </row>
    <row r="168" spans="1:7" x14ac:dyDescent="0.2">
      <c r="A168" s="10" t="s">
        <v>4278</v>
      </c>
      <c r="B168" s="10" t="s">
        <v>4279</v>
      </c>
      <c r="C168" s="10" t="s">
        <v>18</v>
      </c>
      <c r="D168" s="10">
        <v>2.36317063332609</v>
      </c>
      <c r="E168" s="4">
        <v>2.3892651956660501E-31</v>
      </c>
      <c r="F168" s="10">
        <v>4.1768948211022003</v>
      </c>
      <c r="G168" s="4">
        <v>2.41268228418257E-57</v>
      </c>
    </row>
    <row r="169" spans="1:7" x14ac:dyDescent="0.2">
      <c r="A169" s="10" t="s">
        <v>3989</v>
      </c>
      <c r="B169" s="10" t="s">
        <v>3990</v>
      </c>
      <c r="C169" s="10" t="s">
        <v>18</v>
      </c>
      <c r="D169" s="10">
        <v>-1.77061964168803</v>
      </c>
      <c r="E169" s="4">
        <v>6.5168944997925899E-25</v>
      </c>
      <c r="F169" s="10">
        <v>-1.85918886324836</v>
      </c>
      <c r="G169" s="4">
        <v>1.9758336175106499E-14</v>
      </c>
    </row>
    <row r="170" spans="1:7" x14ac:dyDescent="0.2">
      <c r="A170" s="10" t="s">
        <v>41</v>
      </c>
      <c r="B170" s="10" t="s">
        <v>42</v>
      </c>
      <c r="C170" s="10" t="s">
        <v>18</v>
      </c>
      <c r="D170" s="10">
        <v>1.30109108482039</v>
      </c>
      <c r="E170" s="10">
        <v>1.18455242758137E-4</v>
      </c>
      <c r="F170" s="10">
        <v>2.9556063096958498</v>
      </c>
      <c r="G170" s="4">
        <v>2.50657800769062E-11</v>
      </c>
    </row>
    <row r="171" spans="1:7" x14ac:dyDescent="0.2">
      <c r="A171" s="10" t="s">
        <v>5110</v>
      </c>
      <c r="B171" s="10" t="s">
        <v>5111</v>
      </c>
      <c r="C171" s="10" t="s">
        <v>18</v>
      </c>
      <c r="D171" s="10">
        <v>3.15182362722281</v>
      </c>
      <c r="E171" s="4">
        <v>3.0953326481672001E-65</v>
      </c>
      <c r="F171" s="10">
        <v>3.0453730167080399</v>
      </c>
      <c r="G171" s="4">
        <v>2.9583051242131099E-29</v>
      </c>
    </row>
    <row r="172" spans="1:7" x14ac:dyDescent="0.2">
      <c r="A172" s="10" t="s">
        <v>9038</v>
      </c>
      <c r="B172" s="10" t="s">
        <v>9039</v>
      </c>
      <c r="C172" s="10" t="s">
        <v>18</v>
      </c>
      <c r="D172" s="10">
        <v>2.3176252445642</v>
      </c>
      <c r="E172" s="4">
        <v>8.5121974152815601E-16</v>
      </c>
      <c r="F172" s="10">
        <v>1.15887674963376</v>
      </c>
      <c r="G172" s="10">
        <v>1.9312770752304099E-4</v>
      </c>
    </row>
    <row r="173" spans="1:7" x14ac:dyDescent="0.2">
      <c r="A173" s="10" t="s">
        <v>685</v>
      </c>
      <c r="B173" s="10" t="s">
        <v>686</v>
      </c>
      <c r="C173" s="10" t="s">
        <v>18</v>
      </c>
      <c r="D173" s="10">
        <v>-4.80541012992175</v>
      </c>
      <c r="E173" s="4">
        <v>1.41292324313206E-27</v>
      </c>
      <c r="F173" s="10">
        <v>-3.6856821587435098</v>
      </c>
      <c r="G173" s="4">
        <v>3.4367207850662601E-12</v>
      </c>
    </row>
    <row r="174" spans="1:7" x14ac:dyDescent="0.2">
      <c r="A174" s="10" t="s">
        <v>6994</v>
      </c>
      <c r="B174" s="10" t="s">
        <v>6995</v>
      </c>
      <c r="C174" s="10" t="s">
        <v>18</v>
      </c>
      <c r="D174" s="10">
        <v>1.5635804023761699</v>
      </c>
      <c r="E174" s="10">
        <v>9.2750003420819203E-3</v>
      </c>
      <c r="F174" s="10">
        <v>3.3439753239151599</v>
      </c>
      <c r="G174" s="4">
        <v>5.32939121269279E-6</v>
      </c>
    </row>
    <row r="175" spans="1:7" x14ac:dyDescent="0.2">
      <c r="A175" s="10" t="s">
        <v>5684</v>
      </c>
      <c r="B175" s="10" t="s">
        <v>5685</v>
      </c>
      <c r="C175" s="10" t="s">
        <v>18</v>
      </c>
      <c r="D175" s="10">
        <v>-1.3897867969264199</v>
      </c>
      <c r="E175" s="4">
        <v>2.5799533975964099E-13</v>
      </c>
      <c r="F175" s="10">
        <v>-1.2596846728392299</v>
      </c>
      <c r="G175" s="4">
        <v>1.38470776520776E-6</v>
      </c>
    </row>
    <row r="176" spans="1:7" x14ac:dyDescent="0.2">
      <c r="A176" s="10" t="s">
        <v>1635</v>
      </c>
      <c r="B176" s="10" t="s">
        <v>1636</v>
      </c>
      <c r="C176" s="10" t="s">
        <v>18</v>
      </c>
      <c r="D176" s="10">
        <v>4.5505804915726999</v>
      </c>
      <c r="E176" s="4">
        <v>6.65884758068535E-70</v>
      </c>
      <c r="F176" s="10">
        <v>4.6348219904627497</v>
      </c>
      <c r="G176" s="4">
        <v>5.5559584584532304E-55</v>
      </c>
    </row>
    <row r="177" spans="1:7" x14ac:dyDescent="0.2">
      <c r="A177" s="10" t="s">
        <v>8934</v>
      </c>
      <c r="B177" s="10" t="s">
        <v>8935</v>
      </c>
      <c r="C177" s="10" t="s">
        <v>18</v>
      </c>
      <c r="D177" s="10">
        <v>1.5346496205659499</v>
      </c>
      <c r="E177" s="4">
        <v>9.2109575631067003E-17</v>
      </c>
      <c r="F177" s="10">
        <v>1.14745122168876</v>
      </c>
      <c r="G177" s="4">
        <v>4.3274473646002403E-6</v>
      </c>
    </row>
    <row r="178" spans="1:7" x14ac:dyDescent="0.2">
      <c r="A178" s="10" t="s">
        <v>8542</v>
      </c>
      <c r="B178" s="10" t="s">
        <v>8543</v>
      </c>
      <c r="C178" s="10" t="s">
        <v>18</v>
      </c>
      <c r="D178" s="10">
        <v>-1.2988050925125201</v>
      </c>
      <c r="E178" s="4">
        <v>2.87477070286557E-12</v>
      </c>
      <c r="F178" s="10">
        <v>-1.0766664533614401</v>
      </c>
      <c r="G178" s="4">
        <v>3.52804087483314E-5</v>
      </c>
    </row>
    <row r="179" spans="1:7" x14ac:dyDescent="0.2">
      <c r="A179" s="10" t="s">
        <v>6168</v>
      </c>
      <c r="B179" s="10" t="s">
        <v>6169</v>
      </c>
      <c r="C179" s="10" t="s">
        <v>18</v>
      </c>
      <c r="D179" s="10">
        <v>1.3974836192890201</v>
      </c>
      <c r="E179" s="4">
        <v>1.30396474868256E-10</v>
      </c>
      <c r="F179" s="10">
        <v>1.9528347827416099</v>
      </c>
      <c r="G179" s="4">
        <v>1.61547194612125E-12</v>
      </c>
    </row>
    <row r="180" spans="1:7" x14ac:dyDescent="0.2">
      <c r="A180" s="10" t="s">
        <v>497</v>
      </c>
      <c r="B180" s="10" t="s">
        <v>498</v>
      </c>
      <c r="C180" s="10" t="s">
        <v>18</v>
      </c>
      <c r="D180" s="10">
        <v>-1.0202564118506301</v>
      </c>
      <c r="E180" s="10">
        <v>7.7759842642248099E-4</v>
      </c>
      <c r="F180" s="10">
        <v>-1.1519989649536699</v>
      </c>
      <c r="G180" s="10">
        <v>1.64297345745336E-3</v>
      </c>
    </row>
    <row r="181" spans="1:7" x14ac:dyDescent="0.2">
      <c r="A181" s="10" t="s">
        <v>207</v>
      </c>
      <c r="B181" s="10" t="s">
        <v>208</v>
      </c>
      <c r="C181" s="10" t="s">
        <v>18</v>
      </c>
      <c r="D181" s="10">
        <v>-1.0454843235006399</v>
      </c>
      <c r="E181" s="4">
        <v>5.9624899223740097E-5</v>
      </c>
      <c r="F181" s="10">
        <v>-2.1537007658711498</v>
      </c>
      <c r="G181" s="4">
        <v>7.7201220657649301E-13</v>
      </c>
    </row>
    <row r="182" spans="1:7" x14ac:dyDescent="0.2">
      <c r="A182" s="10" t="s">
        <v>7052</v>
      </c>
      <c r="B182" s="10" t="s">
        <v>7053</v>
      </c>
      <c r="C182" s="10" t="s">
        <v>18</v>
      </c>
      <c r="D182" s="10">
        <v>-1.3916150782427099</v>
      </c>
      <c r="E182" s="4">
        <v>3.4807766598811101E-8</v>
      </c>
      <c r="F182" s="10">
        <v>-1.4411011574572099</v>
      </c>
      <c r="G182" s="4">
        <v>2.9588928429143401E-6</v>
      </c>
    </row>
    <row r="183" spans="1:7" x14ac:dyDescent="0.2">
      <c r="A183" s="10" t="s">
        <v>8138</v>
      </c>
      <c r="B183" s="10" t="s">
        <v>8139</v>
      </c>
      <c r="C183" s="10" t="s">
        <v>18</v>
      </c>
      <c r="D183" s="10">
        <v>3.1294603672110601</v>
      </c>
      <c r="E183" s="4">
        <v>2.1992600512351599E-40</v>
      </c>
      <c r="F183" s="10">
        <v>3.7172732039551302</v>
      </c>
      <c r="G183" s="4">
        <v>1.1600297813586399E-32</v>
      </c>
    </row>
    <row r="184" spans="1:7" x14ac:dyDescent="0.2">
      <c r="A184" s="10" t="s">
        <v>7974</v>
      </c>
      <c r="B184" s="10" t="s">
        <v>7975</v>
      </c>
      <c r="C184" s="10" t="s">
        <v>18</v>
      </c>
      <c r="D184" s="10">
        <v>-1.7735710240192399</v>
      </c>
      <c r="E184" s="4">
        <v>7.2138092332867105E-7</v>
      </c>
      <c r="F184" s="10">
        <v>-1.49248427578562</v>
      </c>
      <c r="G184" s="10">
        <v>3.5665825688301902E-4</v>
      </c>
    </row>
    <row r="185" spans="1:7" x14ac:dyDescent="0.2">
      <c r="A185" s="10" t="s">
        <v>1551</v>
      </c>
      <c r="B185" s="10" t="s">
        <v>1552</v>
      </c>
      <c r="C185" s="10" t="s">
        <v>18</v>
      </c>
      <c r="D185" s="10">
        <v>2.7976971646019702</v>
      </c>
      <c r="E185" s="4">
        <v>9.6404557329459496E-11</v>
      </c>
      <c r="F185" s="10">
        <v>2.5944830408572002</v>
      </c>
      <c r="G185" s="4">
        <v>5.3202591553661902E-10</v>
      </c>
    </row>
    <row r="186" spans="1:7" x14ac:dyDescent="0.2">
      <c r="A186" s="10" t="s">
        <v>4802</v>
      </c>
      <c r="B186" s="10" t="s">
        <v>4803</v>
      </c>
      <c r="C186" s="10" t="s">
        <v>18</v>
      </c>
      <c r="D186" s="10">
        <v>-2.83610079867936</v>
      </c>
      <c r="E186" s="4">
        <v>5.0929754891887699E-40</v>
      </c>
      <c r="F186" s="10">
        <v>-1.63049449074149</v>
      </c>
      <c r="G186" s="4">
        <v>8.3639184477263805E-7</v>
      </c>
    </row>
    <row r="187" spans="1:7" x14ac:dyDescent="0.2">
      <c r="A187" s="10" t="s">
        <v>4113</v>
      </c>
      <c r="B187" s="10" t="s">
        <v>4114</v>
      </c>
      <c r="C187" s="10" t="s">
        <v>18</v>
      </c>
      <c r="D187" s="10">
        <v>-1.71817224591914</v>
      </c>
      <c r="E187" s="4">
        <v>4.5624598157700999E-20</v>
      </c>
      <c r="F187" s="10">
        <v>-1.45110337010222</v>
      </c>
      <c r="G187" s="4">
        <v>8.45337995093963E-9</v>
      </c>
    </row>
    <row r="188" spans="1:7" x14ac:dyDescent="0.2">
      <c r="A188" s="10" t="s">
        <v>5254</v>
      </c>
      <c r="B188" s="10" t="s">
        <v>5255</v>
      </c>
      <c r="C188" s="10" t="s">
        <v>18</v>
      </c>
      <c r="D188" s="10">
        <v>2.1812087946933798</v>
      </c>
      <c r="E188" s="4">
        <v>1.36864046764186E-28</v>
      </c>
      <c r="F188" s="10">
        <v>1.5319623076436499</v>
      </c>
      <c r="G188" s="4">
        <v>5.5749116002951598E-10</v>
      </c>
    </row>
    <row r="189" spans="1:7" x14ac:dyDescent="0.2">
      <c r="A189" s="10" t="s">
        <v>8630</v>
      </c>
      <c r="B189" s="10" t="s">
        <v>8631</v>
      </c>
      <c r="C189" s="10" t="s">
        <v>18</v>
      </c>
      <c r="D189" s="10">
        <v>6.7495633450729002</v>
      </c>
      <c r="E189" s="4">
        <v>1.55246401949931E-9</v>
      </c>
      <c r="F189" s="10">
        <v>2.80162574312111</v>
      </c>
      <c r="G189" s="4">
        <v>2.0026228658939001E-8</v>
      </c>
    </row>
    <row r="190" spans="1:7" x14ac:dyDescent="0.2">
      <c r="A190" s="10" t="s">
        <v>3141</v>
      </c>
      <c r="B190" s="10" t="s">
        <v>3142</v>
      </c>
      <c r="C190" s="10" t="s">
        <v>18</v>
      </c>
      <c r="D190" s="10">
        <v>-1.5672037778301899</v>
      </c>
      <c r="E190" s="4">
        <v>3.2947276776229297E-17</v>
      </c>
      <c r="F190" s="10">
        <v>-1.63433607557058</v>
      </c>
      <c r="G190" s="4">
        <v>2.6585957672544601E-11</v>
      </c>
    </row>
    <row r="191" spans="1:7" x14ac:dyDescent="0.2">
      <c r="A191" s="10" t="s">
        <v>7498</v>
      </c>
      <c r="B191" s="10" t="s">
        <v>7499</v>
      </c>
      <c r="C191" s="10" t="s">
        <v>18</v>
      </c>
      <c r="D191" s="10">
        <v>-2.4524722535783301</v>
      </c>
      <c r="E191" s="4">
        <v>4.5969910691445899E-27</v>
      </c>
      <c r="F191" s="10">
        <v>2.9505087720104299</v>
      </c>
      <c r="G191" s="4">
        <v>7.7482918622010903E-16</v>
      </c>
    </row>
    <row r="192" spans="1:7" x14ac:dyDescent="0.2">
      <c r="A192" s="10" t="s">
        <v>3027</v>
      </c>
      <c r="B192" s="10" t="s">
        <v>3028</v>
      </c>
      <c r="C192" s="10" t="s">
        <v>18</v>
      </c>
      <c r="D192" s="10">
        <v>1.3128618754777599</v>
      </c>
      <c r="E192" s="4">
        <v>9.3362479246862405E-9</v>
      </c>
      <c r="F192" s="10">
        <v>1.83578828125014</v>
      </c>
      <c r="G192" s="4">
        <v>1.7141880622841699E-11</v>
      </c>
    </row>
    <row r="193" spans="1:7" x14ac:dyDescent="0.2">
      <c r="A193" s="10" t="s">
        <v>1459</v>
      </c>
      <c r="B193" s="10" t="s">
        <v>1460</v>
      </c>
      <c r="C193" s="10" t="s">
        <v>18</v>
      </c>
      <c r="D193" s="10">
        <v>-1.25381067441853</v>
      </c>
      <c r="E193" s="4">
        <v>9.9877547494394501E-10</v>
      </c>
      <c r="F193" s="10">
        <v>-1.4261845789290899</v>
      </c>
      <c r="G193" s="4">
        <v>1.9924169380077799E-7</v>
      </c>
    </row>
    <row r="194" spans="1:7" x14ac:dyDescent="0.2">
      <c r="A194" s="10" t="s">
        <v>8214</v>
      </c>
      <c r="B194" s="10" t="s">
        <v>8215</v>
      </c>
      <c r="C194" s="10" t="s">
        <v>18</v>
      </c>
      <c r="D194" s="10">
        <v>1.2152739425736501</v>
      </c>
      <c r="E194" s="4">
        <v>1.35055940009728E-7</v>
      </c>
      <c r="F194" s="10">
        <v>3.9158165108885901</v>
      </c>
      <c r="G194" s="4">
        <v>2.9522284227074498E-34</v>
      </c>
    </row>
    <row r="195" spans="1:7" x14ac:dyDescent="0.2">
      <c r="A195" s="10" t="s">
        <v>5072</v>
      </c>
      <c r="B195" s="10" t="s">
        <v>5073</v>
      </c>
      <c r="C195" s="10" t="s">
        <v>18</v>
      </c>
      <c r="D195" s="10">
        <v>1.2750331283548499</v>
      </c>
      <c r="E195" s="4">
        <v>5.2359046073367497E-5</v>
      </c>
      <c r="F195" s="10">
        <v>1.6223870592560501</v>
      </c>
      <c r="G195" s="4">
        <v>5.8509069512419902E-6</v>
      </c>
    </row>
    <row r="196" spans="1:7" x14ac:dyDescent="0.2">
      <c r="A196" s="10" t="s">
        <v>6416</v>
      </c>
      <c r="B196" s="10" t="s">
        <v>6417</v>
      </c>
      <c r="C196" s="10" t="s">
        <v>18</v>
      </c>
      <c r="D196" s="10">
        <v>2.6210384287413402</v>
      </c>
      <c r="E196" s="4">
        <v>3.1898059253379098E-33</v>
      </c>
      <c r="F196" s="10">
        <v>1.85130554647297</v>
      </c>
      <c r="G196" s="4">
        <v>1.49437724289898E-11</v>
      </c>
    </row>
    <row r="197" spans="1:7" x14ac:dyDescent="0.2">
      <c r="A197" s="10" t="s">
        <v>469</v>
      </c>
      <c r="B197" s="10" t="s">
        <v>470</v>
      </c>
      <c r="C197" s="10" t="s">
        <v>18</v>
      </c>
      <c r="D197" s="10">
        <v>-1.26853836340869</v>
      </c>
      <c r="E197" s="4">
        <v>4.6828849387765902E-7</v>
      </c>
      <c r="F197" s="10">
        <v>-1.0434675247587799</v>
      </c>
      <c r="G197" s="10">
        <v>5.5168389970529895E-4</v>
      </c>
    </row>
    <row r="198" spans="1:7" x14ac:dyDescent="0.2">
      <c r="A198" s="10" t="s">
        <v>8548</v>
      </c>
      <c r="B198" s="10" t="s">
        <v>8549</v>
      </c>
      <c r="C198" s="10" t="s">
        <v>18</v>
      </c>
      <c r="D198" s="10">
        <v>-2.6141385890651798</v>
      </c>
      <c r="E198" s="4">
        <v>2.94088606293622E-16</v>
      </c>
      <c r="F198" s="10">
        <v>-2.2785429926587799</v>
      </c>
      <c r="G198" s="4">
        <v>4.4485693977879E-10</v>
      </c>
    </row>
    <row r="199" spans="1:7" x14ac:dyDescent="0.2">
      <c r="A199" s="10" t="s">
        <v>5444</v>
      </c>
      <c r="B199" s="10" t="s">
        <v>5445</v>
      </c>
      <c r="C199" s="10" t="s">
        <v>18</v>
      </c>
      <c r="D199" s="10">
        <v>-3.8813274645394098</v>
      </c>
      <c r="E199" s="4">
        <v>3.63744279906583E-87</v>
      </c>
      <c r="F199" s="10">
        <v>-2.5401326254775198</v>
      </c>
      <c r="G199" s="4">
        <v>5.8437829518127798E-23</v>
      </c>
    </row>
    <row r="200" spans="1:7" x14ac:dyDescent="0.2">
      <c r="A200" s="10" t="s">
        <v>7660</v>
      </c>
      <c r="B200" s="10" t="s">
        <v>7661</v>
      </c>
      <c r="C200" s="10" t="s">
        <v>18</v>
      </c>
      <c r="D200" s="10">
        <v>-1.66774103284002</v>
      </c>
      <c r="E200" s="10">
        <v>8.2870597708732696E-4</v>
      </c>
      <c r="F200" s="10">
        <v>-1.7615437587254801</v>
      </c>
      <c r="G200" s="10">
        <v>3.6914882820470699E-4</v>
      </c>
    </row>
    <row r="201" spans="1:7" x14ac:dyDescent="0.2">
      <c r="A201" s="10" t="s">
        <v>8258</v>
      </c>
      <c r="B201" s="10" t="s">
        <v>8259</v>
      </c>
      <c r="C201" s="10" t="s">
        <v>18</v>
      </c>
      <c r="D201" s="10">
        <v>-1.3427011935147499</v>
      </c>
      <c r="E201" s="4">
        <v>8.5062643577047104E-7</v>
      </c>
      <c r="F201" s="10">
        <v>-1.5660280757906999</v>
      </c>
      <c r="G201" s="4">
        <v>9.9620042718806297E-7</v>
      </c>
    </row>
    <row r="202" spans="1:7" x14ac:dyDescent="0.2">
      <c r="A202" s="10" t="s">
        <v>559</v>
      </c>
      <c r="B202" s="10" t="s">
        <v>560</v>
      </c>
      <c r="C202" s="10" t="s">
        <v>18</v>
      </c>
      <c r="D202" s="10">
        <v>-1.97009513043455</v>
      </c>
      <c r="E202" s="4">
        <v>1.2894472714788301E-17</v>
      </c>
      <c r="F202" s="10">
        <v>-1.5922316456588701</v>
      </c>
      <c r="G202" s="4">
        <v>5.2451661018859202E-8</v>
      </c>
    </row>
    <row r="203" spans="1:7" x14ac:dyDescent="0.2">
      <c r="A203" s="10" t="s">
        <v>8908</v>
      </c>
      <c r="B203" s="10" t="s">
        <v>8909</v>
      </c>
      <c r="C203" s="10" t="s">
        <v>18</v>
      </c>
      <c r="D203" s="10">
        <v>1.50792449560965</v>
      </c>
      <c r="E203" s="4">
        <v>3.9901597558155704E-9</v>
      </c>
      <c r="F203" s="10">
        <v>1.20671196955599</v>
      </c>
      <c r="G203" s="4">
        <v>6.1932731115237202E-5</v>
      </c>
    </row>
    <row r="204" spans="1:7" x14ac:dyDescent="0.2">
      <c r="A204" s="10" t="s">
        <v>5230</v>
      </c>
      <c r="B204" s="10" t="s">
        <v>5231</v>
      </c>
      <c r="C204" s="10" t="s">
        <v>18</v>
      </c>
      <c r="D204" s="10">
        <v>1.5063307828102399</v>
      </c>
      <c r="E204" s="10">
        <v>4.10737888889978E-4</v>
      </c>
      <c r="F204" s="10">
        <v>1.6122249800638</v>
      </c>
      <c r="G204" s="10">
        <v>2.65106170380556E-4</v>
      </c>
    </row>
    <row r="205" spans="1:7" x14ac:dyDescent="0.2">
      <c r="A205" s="10" t="s">
        <v>2119</v>
      </c>
      <c r="B205" s="10" t="s">
        <v>2120</v>
      </c>
      <c r="C205" s="10" t="s">
        <v>18</v>
      </c>
      <c r="D205" s="10">
        <v>1.58680153522922</v>
      </c>
      <c r="E205" s="4">
        <v>1.74773977358264E-13</v>
      </c>
      <c r="F205" s="10">
        <v>2.2218573123519998</v>
      </c>
      <c r="G205" s="4">
        <v>1.2682880238075301E-14</v>
      </c>
    </row>
    <row r="206" spans="1:7" x14ac:dyDescent="0.2">
      <c r="A206" s="10" t="s">
        <v>6198</v>
      </c>
      <c r="B206" s="10" t="s">
        <v>6199</v>
      </c>
      <c r="C206" s="10" t="s">
        <v>18</v>
      </c>
      <c r="D206" s="10">
        <v>3.5720611944581999</v>
      </c>
      <c r="E206" s="10">
        <v>4.2590727856393098E-4</v>
      </c>
      <c r="F206" s="10">
        <v>3.5629512428656001</v>
      </c>
      <c r="G206" s="10">
        <v>1.4881652026035199E-4</v>
      </c>
    </row>
    <row r="207" spans="1:7" x14ac:dyDescent="0.2">
      <c r="A207" s="10" t="s">
        <v>3209</v>
      </c>
      <c r="B207" s="10" t="s">
        <v>3210</v>
      </c>
      <c r="C207" s="10" t="s">
        <v>18</v>
      </c>
      <c r="D207" s="10">
        <v>-2.1751001361718001</v>
      </c>
      <c r="E207" s="4">
        <v>1.2421941678798601E-25</v>
      </c>
      <c r="F207" s="10">
        <v>-1.57380610527288</v>
      </c>
      <c r="G207" s="4">
        <v>7.3088915303281301E-9</v>
      </c>
    </row>
    <row r="208" spans="1:7" x14ac:dyDescent="0.2">
      <c r="A208" s="10" t="s">
        <v>9108</v>
      </c>
      <c r="B208" s="10" t="s">
        <v>9109</v>
      </c>
      <c r="C208" s="10" t="s">
        <v>18</v>
      </c>
      <c r="D208" s="10">
        <v>2.8752032035671502</v>
      </c>
      <c r="E208" s="4">
        <v>3.72877760510893E-12</v>
      </c>
      <c r="F208" s="10">
        <v>3.6108137023188802</v>
      </c>
      <c r="G208" s="4">
        <v>1.19243377976514E-13</v>
      </c>
    </row>
    <row r="209" spans="1:7" x14ac:dyDescent="0.2">
      <c r="A209" s="10" t="s">
        <v>3571</v>
      </c>
      <c r="B209" s="10" t="s">
        <v>3572</v>
      </c>
      <c r="C209" s="10" t="s">
        <v>18</v>
      </c>
      <c r="D209" s="10">
        <v>-2.6445431782669302</v>
      </c>
      <c r="E209" s="10">
        <v>1.06374175854005E-4</v>
      </c>
      <c r="F209" s="10">
        <v>-2.7543039711018902</v>
      </c>
      <c r="G209" s="4">
        <v>7.41343303879779E-5</v>
      </c>
    </row>
    <row r="210" spans="1:7" x14ac:dyDescent="0.2">
      <c r="A210" s="10" t="s">
        <v>5466</v>
      </c>
      <c r="B210" s="10" t="s">
        <v>5467</v>
      </c>
      <c r="C210" s="10" t="s">
        <v>18</v>
      </c>
      <c r="D210" s="10">
        <v>-1.7478296807706999</v>
      </c>
      <c r="E210" s="4">
        <v>2.17997446353468E-9</v>
      </c>
      <c r="F210" s="10">
        <v>-2.3455909574352098</v>
      </c>
      <c r="G210" s="4">
        <v>3.3860974480125702E-14</v>
      </c>
    </row>
    <row r="211" spans="1:7" x14ac:dyDescent="0.2">
      <c r="A211" s="10" t="s">
        <v>1251</v>
      </c>
      <c r="B211" s="10" t="s">
        <v>1252</v>
      </c>
      <c r="C211" s="10" t="s">
        <v>18</v>
      </c>
      <c r="D211" s="10">
        <v>-1.0397134114378499</v>
      </c>
      <c r="E211" s="4">
        <v>6.5906166999393794E-5</v>
      </c>
      <c r="F211" s="10">
        <v>-2.0832212367268301</v>
      </c>
      <c r="G211" s="4">
        <v>6.2556676183619598E-10</v>
      </c>
    </row>
    <row r="212" spans="1:7" x14ac:dyDescent="0.2">
      <c r="A212" s="10" t="s">
        <v>8578</v>
      </c>
      <c r="B212" s="10" t="s">
        <v>8579</v>
      </c>
      <c r="C212" s="10" t="s">
        <v>18</v>
      </c>
      <c r="D212" s="10">
        <v>4.2508008148672998</v>
      </c>
      <c r="E212" s="4">
        <v>4.7663908885350597E-30</v>
      </c>
      <c r="F212" s="10">
        <v>4.0150844552930103</v>
      </c>
      <c r="G212" s="4">
        <v>4.8151089212247504E-25</v>
      </c>
    </row>
    <row r="213" spans="1:7" x14ac:dyDescent="0.2">
      <c r="A213" s="10" t="s">
        <v>8470</v>
      </c>
      <c r="B213" s="10" t="s">
        <v>8471</v>
      </c>
      <c r="C213" s="10" t="s">
        <v>18</v>
      </c>
      <c r="D213" s="10">
        <v>2.4676457910834499</v>
      </c>
      <c r="E213" s="4">
        <v>8.9934641678817704E-42</v>
      </c>
      <c r="F213" s="10">
        <v>2.1574888494886899</v>
      </c>
      <c r="G213" s="4">
        <v>3.6052038261635401E-19</v>
      </c>
    </row>
    <row r="214" spans="1:7" x14ac:dyDescent="0.2">
      <c r="A214" s="10" t="s">
        <v>4666</v>
      </c>
      <c r="B214" s="10" t="s">
        <v>4667</v>
      </c>
      <c r="C214" s="10" t="s">
        <v>18</v>
      </c>
      <c r="D214" s="10">
        <v>6.2697446519912896</v>
      </c>
      <c r="E214" s="4">
        <v>4.6449834684433203E-8</v>
      </c>
      <c r="F214" s="10">
        <v>4.7233243624496799</v>
      </c>
      <c r="G214" s="4">
        <v>2.9846954568219503E-10</v>
      </c>
    </row>
    <row r="215" spans="1:7" x14ac:dyDescent="0.2">
      <c r="A215" s="10" t="s">
        <v>4690</v>
      </c>
      <c r="B215" s="10" t="s">
        <v>4691</v>
      </c>
      <c r="C215" s="10" t="s">
        <v>18</v>
      </c>
      <c r="D215" s="10">
        <v>2.42140592722658</v>
      </c>
      <c r="E215" s="4">
        <v>2.0920577638167798E-30</v>
      </c>
      <c r="F215" s="10">
        <v>2.44334603525812</v>
      </c>
      <c r="G215" s="4">
        <v>4.99945958504541E-19</v>
      </c>
    </row>
    <row r="216" spans="1:7" x14ac:dyDescent="0.2">
      <c r="A216" s="10" t="s">
        <v>8130</v>
      </c>
      <c r="B216" s="10" t="s">
        <v>8131</v>
      </c>
      <c r="C216" s="10" t="s">
        <v>18</v>
      </c>
      <c r="D216" s="10">
        <v>1.7114538533988</v>
      </c>
      <c r="E216" s="4">
        <v>1.2721819779452801E-10</v>
      </c>
      <c r="F216" s="10">
        <v>2.38890735371983</v>
      </c>
      <c r="G216" s="4">
        <v>3.5467345806620299E-13</v>
      </c>
    </row>
    <row r="217" spans="1:7" x14ac:dyDescent="0.2">
      <c r="A217" s="10" t="s">
        <v>3783</v>
      </c>
      <c r="B217" s="10" t="s">
        <v>3784</v>
      </c>
      <c r="C217" s="10" t="s">
        <v>18</v>
      </c>
      <c r="D217" s="10">
        <v>1.5793518445063099</v>
      </c>
      <c r="E217" s="4">
        <v>1.05877369235324E-12</v>
      </c>
      <c r="F217" s="10">
        <v>1.8071797736191</v>
      </c>
      <c r="G217" s="4">
        <v>7.6104381655376794E-9</v>
      </c>
    </row>
    <row r="218" spans="1:7" x14ac:dyDescent="0.2">
      <c r="A218" s="10" t="s">
        <v>8554</v>
      </c>
      <c r="B218" s="10" t="s">
        <v>8555</v>
      </c>
      <c r="C218" s="10" t="s">
        <v>18</v>
      </c>
      <c r="D218" s="10">
        <v>8.7856865956867196</v>
      </c>
      <c r="E218" s="4">
        <v>8.8186405741717595E-17</v>
      </c>
      <c r="F218" s="10">
        <v>6.4463972781824896</v>
      </c>
      <c r="G218" s="4">
        <v>2.0526293783041099E-35</v>
      </c>
    </row>
    <row r="219" spans="1:7" x14ac:dyDescent="0.2">
      <c r="A219" s="10" t="s">
        <v>289</v>
      </c>
      <c r="B219" s="10" t="s">
        <v>290</v>
      </c>
      <c r="C219" s="10" t="s">
        <v>18</v>
      </c>
      <c r="D219" s="10">
        <v>5.1987722225451396</v>
      </c>
      <c r="E219" s="4">
        <v>7.1980104186969796E-16</v>
      </c>
      <c r="F219" s="10">
        <v>4.6583340508931101</v>
      </c>
      <c r="G219" s="4">
        <v>2.6910656772303398E-16</v>
      </c>
    </row>
    <row r="220" spans="1:7" x14ac:dyDescent="0.2">
      <c r="A220" s="10" t="s">
        <v>291</v>
      </c>
      <c r="B220" s="10" t="s">
        <v>292</v>
      </c>
      <c r="C220" s="10" t="s">
        <v>18</v>
      </c>
      <c r="D220" s="10">
        <v>1.6852691843658101</v>
      </c>
      <c r="E220" s="4">
        <v>8.4225465573692207E-8</v>
      </c>
      <c r="F220" s="10">
        <v>1.4519651891155101</v>
      </c>
      <c r="G220" s="4">
        <v>2.2631743022175898E-5</v>
      </c>
    </row>
    <row r="221" spans="1:7" x14ac:dyDescent="0.2">
      <c r="A221" s="10" t="s">
        <v>8472</v>
      </c>
      <c r="B221" s="10" t="s">
        <v>8473</v>
      </c>
      <c r="C221" s="10" t="s">
        <v>18</v>
      </c>
      <c r="D221" s="10">
        <v>7.5725468822487896</v>
      </c>
      <c r="E221" s="4">
        <v>3.5494810096293998E-6</v>
      </c>
      <c r="F221" s="10">
        <v>4.7863555836170004</v>
      </c>
      <c r="G221" s="4">
        <v>1.2260479190916899E-5</v>
      </c>
    </row>
    <row r="222" spans="1:7" x14ac:dyDescent="0.2">
      <c r="A222" s="10" t="s">
        <v>6042</v>
      </c>
      <c r="B222" s="10" t="s">
        <v>6043</v>
      </c>
      <c r="C222" s="10" t="s">
        <v>18</v>
      </c>
      <c r="D222" s="10">
        <v>1.8624072877320801</v>
      </c>
      <c r="E222" s="4">
        <v>5.3593559595852997E-22</v>
      </c>
      <c r="F222" s="10">
        <v>1.6428619261399999</v>
      </c>
      <c r="G222" s="4">
        <v>8.18046698691978E-11</v>
      </c>
    </row>
    <row r="223" spans="1:7" x14ac:dyDescent="0.2">
      <c r="A223" s="10" t="s">
        <v>4874</v>
      </c>
      <c r="B223" s="10" t="s">
        <v>4875</v>
      </c>
      <c r="C223" s="10" t="s">
        <v>18</v>
      </c>
      <c r="D223" s="10">
        <v>2.1761300541847501</v>
      </c>
      <c r="E223" s="4">
        <v>1.1182722797060799E-27</v>
      </c>
      <c r="F223" s="10">
        <v>1.8914402293768899</v>
      </c>
      <c r="G223" s="4">
        <v>2.1575573742349601E-13</v>
      </c>
    </row>
    <row r="224" spans="1:7" x14ac:dyDescent="0.2">
      <c r="A224" s="10" t="s">
        <v>327</v>
      </c>
      <c r="B224" s="10" t="s">
        <v>328</v>
      </c>
      <c r="C224" s="10" t="s">
        <v>18</v>
      </c>
      <c r="D224" s="10">
        <v>3.1644300329083901</v>
      </c>
      <c r="E224" s="4">
        <v>9.4436972419947299E-49</v>
      </c>
      <c r="F224" s="10">
        <v>1.8487752275443401</v>
      </c>
      <c r="G224" s="4">
        <v>3.27212272572953E-12</v>
      </c>
    </row>
    <row r="225" spans="1:7" x14ac:dyDescent="0.2">
      <c r="A225" s="10" t="s">
        <v>461</v>
      </c>
      <c r="B225" s="10" t="s">
        <v>462</v>
      </c>
      <c r="C225" s="10" t="s">
        <v>18</v>
      </c>
      <c r="D225" s="10">
        <v>2.6472496861946602</v>
      </c>
      <c r="E225" s="4">
        <v>1.5046747394036601E-12</v>
      </c>
      <c r="F225" s="10">
        <v>1.8023804519853099</v>
      </c>
      <c r="G225" s="4">
        <v>6.5033556550989996E-7</v>
      </c>
    </row>
    <row r="226" spans="1:7" x14ac:dyDescent="0.2">
      <c r="A226" s="10" t="s">
        <v>1661</v>
      </c>
      <c r="B226" s="10" t="s">
        <v>1662</v>
      </c>
      <c r="C226" s="10" t="s">
        <v>18</v>
      </c>
      <c r="D226" s="10">
        <v>-1.3205778359154301</v>
      </c>
      <c r="E226" s="4">
        <v>5.9236212664294496E-9</v>
      </c>
      <c r="F226" s="10">
        <v>-1.1026213125201201</v>
      </c>
      <c r="G226" s="4">
        <v>5.2437154340843301E-5</v>
      </c>
    </row>
    <row r="227" spans="1:7" x14ac:dyDescent="0.2">
      <c r="A227" s="10" t="s">
        <v>805</v>
      </c>
      <c r="B227" s="10" t="s">
        <v>806</v>
      </c>
      <c r="C227" s="10" t="s">
        <v>18</v>
      </c>
      <c r="D227" s="10">
        <v>3.2930710223923398</v>
      </c>
      <c r="E227" s="4">
        <v>1.3069221277325901E-60</v>
      </c>
      <c r="F227" s="10">
        <v>4.7203729799518799</v>
      </c>
      <c r="G227" s="4">
        <v>1.8473592388977799E-83</v>
      </c>
    </row>
    <row r="228" spans="1:7" x14ac:dyDescent="0.2">
      <c r="A228" s="10" t="s">
        <v>4764</v>
      </c>
      <c r="B228" s="10" t="s">
        <v>4765</v>
      </c>
      <c r="C228" s="10" t="s">
        <v>18</v>
      </c>
      <c r="D228" s="10">
        <v>1.57242930179329</v>
      </c>
      <c r="E228" s="4">
        <v>3.7338713912106802E-12</v>
      </c>
      <c r="F228" s="10">
        <v>1.1039554294954701</v>
      </c>
      <c r="G228" s="10">
        <v>1.65063031682749E-4</v>
      </c>
    </row>
    <row r="229" spans="1:7" x14ac:dyDescent="0.2">
      <c r="A229" s="10" t="s">
        <v>5732</v>
      </c>
      <c r="B229" s="10" t="s">
        <v>5733</v>
      </c>
      <c r="C229" s="10" t="s">
        <v>18</v>
      </c>
      <c r="D229" s="10">
        <v>2.0718898220501201</v>
      </c>
      <c r="E229" s="4">
        <v>1.0835617741636399E-26</v>
      </c>
      <c r="F229" s="10">
        <v>2.1858544578833499</v>
      </c>
      <c r="G229" s="4">
        <v>3.0888382123608099E-18</v>
      </c>
    </row>
    <row r="230" spans="1:7" x14ac:dyDescent="0.2">
      <c r="A230" s="10" t="s">
        <v>6048</v>
      </c>
      <c r="B230" s="10" t="s">
        <v>6049</v>
      </c>
      <c r="C230" s="10" t="s">
        <v>18</v>
      </c>
      <c r="D230" s="10">
        <v>1.0845734735635699</v>
      </c>
      <c r="E230" s="10">
        <v>1.19624585266642E-4</v>
      </c>
      <c r="F230" s="10">
        <v>1.2144083721654</v>
      </c>
      <c r="G230" s="10">
        <v>2.36219935063525E-4</v>
      </c>
    </row>
    <row r="231" spans="1:7" x14ac:dyDescent="0.2">
      <c r="A231" s="10" t="s">
        <v>7118</v>
      </c>
      <c r="B231" s="10" t="s">
        <v>7119</v>
      </c>
      <c r="C231" s="10" t="s">
        <v>18</v>
      </c>
      <c r="D231" s="10">
        <v>-1.37183743205606</v>
      </c>
      <c r="E231" s="4">
        <v>9.6024929606609408E-10</v>
      </c>
      <c r="F231" s="10">
        <v>-1.2832178141872701</v>
      </c>
      <c r="G231" s="4">
        <v>5.8172681792193198E-6</v>
      </c>
    </row>
    <row r="232" spans="1:7" x14ac:dyDescent="0.2">
      <c r="A232" s="10" t="s">
        <v>7412</v>
      </c>
      <c r="B232" s="10" t="s">
        <v>7413</v>
      </c>
      <c r="C232" s="10" t="s">
        <v>18</v>
      </c>
      <c r="D232" s="10">
        <v>2.3050518088777601</v>
      </c>
      <c r="E232" s="4">
        <v>6.3750198883705098E-34</v>
      </c>
      <c r="F232" s="10">
        <v>1.49864047011757</v>
      </c>
      <c r="G232" s="4">
        <v>1.4932812504362799E-8</v>
      </c>
    </row>
    <row r="233" spans="1:7" x14ac:dyDescent="0.2">
      <c r="A233" s="10" t="s">
        <v>7724</v>
      </c>
      <c r="B233" s="10" t="s">
        <v>7725</v>
      </c>
      <c r="C233" s="10" t="s">
        <v>18</v>
      </c>
      <c r="D233" s="10">
        <v>-1.3678063044854201</v>
      </c>
      <c r="E233" s="4">
        <v>1.3765242693177499E-8</v>
      </c>
      <c r="F233" s="10">
        <v>-1.0878351075194801</v>
      </c>
      <c r="G233" s="10">
        <v>2.7235347155602402E-4</v>
      </c>
    </row>
    <row r="234" spans="1:7" x14ac:dyDescent="0.2">
      <c r="A234" s="10" t="s">
        <v>7934</v>
      </c>
      <c r="B234" s="10" t="s">
        <v>7935</v>
      </c>
      <c r="C234" s="10" t="s">
        <v>18</v>
      </c>
      <c r="D234" s="10">
        <v>-1.46078225282949</v>
      </c>
      <c r="E234" s="10">
        <v>8.8993648486568998E-3</v>
      </c>
      <c r="F234" s="10">
        <v>-2.3684896317977402</v>
      </c>
      <c r="G234" s="4">
        <v>2.9406993647412702E-6</v>
      </c>
    </row>
    <row r="235" spans="1:7" x14ac:dyDescent="0.2">
      <c r="A235" s="10" t="s">
        <v>3391</v>
      </c>
      <c r="B235" s="10" t="s">
        <v>3392</v>
      </c>
      <c r="C235" s="10" t="s">
        <v>18</v>
      </c>
      <c r="D235" s="10">
        <v>-1.0206109223726301</v>
      </c>
      <c r="E235" s="4">
        <v>5.7650741759574398E-8</v>
      </c>
      <c r="F235" s="10">
        <v>-1.10154301426479</v>
      </c>
      <c r="G235" s="4">
        <v>9.3300373603702098E-6</v>
      </c>
    </row>
    <row r="236" spans="1:7" x14ac:dyDescent="0.2">
      <c r="A236" s="10" t="s">
        <v>315</v>
      </c>
      <c r="B236" s="10" t="s">
        <v>316</v>
      </c>
      <c r="C236" s="10" t="s">
        <v>18</v>
      </c>
      <c r="D236" s="10">
        <v>3.7462938676892499</v>
      </c>
      <c r="E236" s="4">
        <v>1.1769729156120901E-9</v>
      </c>
      <c r="F236" s="10">
        <v>3.6813392218197798</v>
      </c>
      <c r="G236" s="4">
        <v>1.31707379077296E-11</v>
      </c>
    </row>
    <row r="237" spans="1:7" x14ac:dyDescent="0.2">
      <c r="A237" s="10" t="s">
        <v>4486</v>
      </c>
      <c r="B237" s="10" t="s">
        <v>4487</v>
      </c>
      <c r="C237" s="10" t="s">
        <v>18</v>
      </c>
      <c r="D237" s="10">
        <v>9.7169997097365002</v>
      </c>
      <c r="E237" s="4">
        <v>8.2288623316302797E-11</v>
      </c>
      <c r="F237" s="10">
        <v>6.20531212321709</v>
      </c>
      <c r="G237" s="4">
        <v>3.9041900878265502E-16</v>
      </c>
    </row>
    <row r="238" spans="1:7" x14ac:dyDescent="0.2">
      <c r="A238" s="10" t="s">
        <v>5396</v>
      </c>
      <c r="B238" s="10" t="s">
        <v>5397</v>
      </c>
      <c r="C238" s="10" t="s">
        <v>18</v>
      </c>
      <c r="D238" s="10">
        <v>2.1893199792731601</v>
      </c>
      <c r="E238" s="4">
        <v>5.0909601087099501E-24</v>
      </c>
      <c r="F238" s="10">
        <v>2.5823614260901802</v>
      </c>
      <c r="G238" s="4">
        <v>6.2676100529002805E-20</v>
      </c>
    </row>
    <row r="239" spans="1:7" x14ac:dyDescent="0.2">
      <c r="A239" s="10" t="s">
        <v>8380</v>
      </c>
      <c r="B239" s="10" t="s">
        <v>8381</v>
      </c>
      <c r="C239" s="10" t="s">
        <v>18</v>
      </c>
      <c r="D239" s="10">
        <v>-2.2179630308092801</v>
      </c>
      <c r="E239" s="4">
        <v>1.6432524670047099E-20</v>
      </c>
      <c r="F239" s="10">
        <v>-1.2854943845567901</v>
      </c>
      <c r="G239" s="4">
        <v>3.6829925837003501E-5</v>
      </c>
    </row>
    <row r="240" spans="1:7" x14ac:dyDescent="0.2">
      <c r="A240" s="10" t="s">
        <v>965</v>
      </c>
      <c r="B240" s="10" t="s">
        <v>966</v>
      </c>
      <c r="C240" s="10" t="s">
        <v>18</v>
      </c>
      <c r="D240" s="10">
        <v>4.2311678693854899</v>
      </c>
      <c r="E240" s="4">
        <v>3.0462145918990701E-5</v>
      </c>
      <c r="F240" s="10">
        <v>-1.3700311035906001</v>
      </c>
      <c r="G240" s="10">
        <v>2.3707696514479E-3</v>
      </c>
    </row>
    <row r="241" spans="1:7" x14ac:dyDescent="0.2">
      <c r="A241" s="10" t="s">
        <v>1879</v>
      </c>
      <c r="B241" s="10" t="s">
        <v>1880</v>
      </c>
      <c r="C241" s="10" t="s">
        <v>18</v>
      </c>
      <c r="D241" s="10">
        <v>1.6492934331264799</v>
      </c>
      <c r="E241" s="4">
        <v>1.65293578793651E-9</v>
      </c>
      <c r="F241" s="10">
        <v>2.9336133151455499</v>
      </c>
      <c r="G241" s="4">
        <v>1.5849895659037399E-17</v>
      </c>
    </row>
    <row r="242" spans="1:7" x14ac:dyDescent="0.2">
      <c r="A242" s="10" t="s">
        <v>2083</v>
      </c>
      <c r="B242" s="10" t="s">
        <v>2084</v>
      </c>
      <c r="C242" s="10" t="s">
        <v>18</v>
      </c>
      <c r="D242" s="10">
        <v>-2.4142656909554501</v>
      </c>
      <c r="E242" s="4">
        <v>6.6063029438190103E-20</v>
      </c>
      <c r="F242" s="10">
        <v>-1.4822157205133499</v>
      </c>
      <c r="G242" s="4">
        <v>6.0805651166744203E-6</v>
      </c>
    </row>
    <row r="243" spans="1:7" x14ac:dyDescent="0.2">
      <c r="A243" s="10" t="s">
        <v>2419</v>
      </c>
      <c r="B243" s="10" t="s">
        <v>2420</v>
      </c>
      <c r="C243" s="10" t="s">
        <v>18</v>
      </c>
      <c r="D243" s="10">
        <v>-1.1105157418053699</v>
      </c>
      <c r="E243" s="4">
        <v>2.25193333473634E-7</v>
      </c>
      <c r="F243" s="10">
        <v>-1.8016247324438299</v>
      </c>
      <c r="G243" s="4">
        <v>1.7847956140489201E-12</v>
      </c>
    </row>
    <row r="244" spans="1:7" x14ac:dyDescent="0.2">
      <c r="A244" s="10" t="s">
        <v>2601</v>
      </c>
      <c r="B244" s="10" t="s">
        <v>2602</v>
      </c>
      <c r="C244" s="10" t="s">
        <v>18</v>
      </c>
      <c r="D244" s="10">
        <v>-2.3079210595763202</v>
      </c>
      <c r="E244" s="4">
        <v>2.90782568413739E-11</v>
      </c>
      <c r="F244" s="10">
        <v>-2.5469411555956598</v>
      </c>
      <c r="G244" s="4">
        <v>2.3804660948170499E-12</v>
      </c>
    </row>
    <row r="245" spans="1:7" x14ac:dyDescent="0.2">
      <c r="A245" s="10" t="s">
        <v>2813</v>
      </c>
      <c r="B245" s="10" t="s">
        <v>2814</v>
      </c>
      <c r="C245" s="10" t="s">
        <v>18</v>
      </c>
      <c r="D245" s="10">
        <v>4.1331666218384404</v>
      </c>
      <c r="E245" s="10">
        <v>3.6894682749526201E-3</v>
      </c>
      <c r="F245" s="10">
        <v>3.0686000140459799</v>
      </c>
      <c r="G245" s="10">
        <v>6.2178550180484599E-3</v>
      </c>
    </row>
    <row r="246" spans="1:7" x14ac:dyDescent="0.2">
      <c r="A246" s="10" t="s">
        <v>391</v>
      </c>
      <c r="B246" s="10" t="s">
        <v>392</v>
      </c>
      <c r="C246" s="10" t="s">
        <v>18</v>
      </c>
      <c r="D246" s="10">
        <v>-3.12687719902911</v>
      </c>
      <c r="E246" s="4">
        <v>2.74539464608196E-17</v>
      </c>
      <c r="F246" s="10">
        <v>-2.8593685564262299</v>
      </c>
      <c r="G246" s="4">
        <v>3.08839661164882E-12</v>
      </c>
    </row>
    <row r="247" spans="1:7" x14ac:dyDescent="0.2">
      <c r="A247" s="10" t="s">
        <v>4380</v>
      </c>
      <c r="B247" s="10" t="s">
        <v>4381</v>
      </c>
      <c r="C247" s="10" t="s">
        <v>18</v>
      </c>
      <c r="D247" s="10">
        <v>-2.4189185310703998</v>
      </c>
      <c r="E247" s="4">
        <v>3.33670181645216E-9</v>
      </c>
      <c r="F247" s="10">
        <v>-1.5077278208441001</v>
      </c>
      <c r="G247" s="10">
        <v>3.3153641413054698E-3</v>
      </c>
    </row>
    <row r="248" spans="1:7" x14ac:dyDescent="0.2">
      <c r="A248" s="10" t="s">
        <v>4248</v>
      </c>
      <c r="B248" s="10" t="s">
        <v>4249</v>
      </c>
      <c r="C248" s="10" t="s">
        <v>18</v>
      </c>
      <c r="D248" s="10">
        <v>-2.4466647982816299</v>
      </c>
      <c r="E248" s="4">
        <v>1.01315938438905E-5</v>
      </c>
      <c r="F248" s="10">
        <v>-2.2975943465940798</v>
      </c>
      <c r="G248" s="4">
        <v>5.3370822958983301E-5</v>
      </c>
    </row>
    <row r="249" spans="1:7" x14ac:dyDescent="0.2">
      <c r="A249" s="10" t="s">
        <v>8236</v>
      </c>
      <c r="B249" s="10" t="s">
        <v>8237</v>
      </c>
      <c r="C249" s="10" t="s">
        <v>18</v>
      </c>
      <c r="D249" s="10">
        <v>2.00539215261198</v>
      </c>
      <c r="E249" s="10">
        <v>1.65635927628579E-2</v>
      </c>
      <c r="F249" s="10">
        <v>-1.5249749507013901</v>
      </c>
      <c r="G249" s="10">
        <v>1.6828027081800001E-3</v>
      </c>
    </row>
    <row r="250" spans="1:7" x14ac:dyDescent="0.2">
      <c r="A250" s="10" t="s">
        <v>3927</v>
      </c>
      <c r="B250" s="10" t="s">
        <v>3928</v>
      </c>
      <c r="C250" s="10" t="s">
        <v>18</v>
      </c>
      <c r="D250" s="10">
        <v>-1.6790093220208999</v>
      </c>
      <c r="E250" s="4">
        <v>1.1595228704371799E-13</v>
      </c>
      <c r="F250" s="10">
        <v>-1.31626616005286</v>
      </c>
      <c r="G250" s="4">
        <v>2.1626895253092501E-6</v>
      </c>
    </row>
    <row r="251" spans="1:7" x14ac:dyDescent="0.2">
      <c r="A251" s="10" t="s">
        <v>587</v>
      </c>
      <c r="B251" s="10" t="s">
        <v>588</v>
      </c>
      <c r="C251" s="10" t="s">
        <v>18</v>
      </c>
      <c r="D251" s="10">
        <v>-2.7750967019727799</v>
      </c>
      <c r="E251" s="4">
        <v>5.24622208921425E-7</v>
      </c>
      <c r="F251" s="10">
        <v>-2.1460508257228099</v>
      </c>
      <c r="G251" s="10">
        <v>5.0875113393777905E-4</v>
      </c>
    </row>
    <row r="252" spans="1:7" x14ac:dyDescent="0.2">
      <c r="A252" s="10" t="s">
        <v>6950</v>
      </c>
      <c r="B252" s="10" t="s">
        <v>6951</v>
      </c>
      <c r="C252" s="10" t="s">
        <v>18</v>
      </c>
      <c r="D252" s="10">
        <v>-1.82460989171278</v>
      </c>
      <c r="E252" s="4">
        <v>1.79221396284848E-9</v>
      </c>
      <c r="F252" s="10">
        <v>-1.4602509840776301</v>
      </c>
      <c r="G252" s="4">
        <v>5.1482251298083199E-5</v>
      </c>
    </row>
    <row r="253" spans="1:7" x14ac:dyDescent="0.2">
      <c r="A253" s="10" t="s">
        <v>6838</v>
      </c>
      <c r="B253" s="10" t="s">
        <v>6839</v>
      </c>
      <c r="C253" s="10" t="s">
        <v>18</v>
      </c>
      <c r="D253" s="10">
        <v>9.71413334912247</v>
      </c>
      <c r="E253" s="4">
        <v>8.1361691093699405E-11</v>
      </c>
      <c r="F253" s="10">
        <v>3.6276324856637499</v>
      </c>
      <c r="G253" s="4">
        <v>1.8817050275123199E-14</v>
      </c>
    </row>
    <row r="254" spans="1:7" x14ac:dyDescent="0.2">
      <c r="A254" s="10" t="s">
        <v>5894</v>
      </c>
      <c r="B254" s="10" t="s">
        <v>5895</v>
      </c>
      <c r="C254" s="10" t="s">
        <v>18</v>
      </c>
      <c r="D254" s="10">
        <v>-1.0609304402724899</v>
      </c>
      <c r="E254" s="10">
        <v>9.6230774124289196E-4</v>
      </c>
      <c r="F254" s="10">
        <v>-1.3273164585310899</v>
      </c>
      <c r="G254" s="4">
        <v>8.83697724860965E-5</v>
      </c>
    </row>
    <row r="255" spans="1:7" x14ac:dyDescent="0.2">
      <c r="A255" s="10" t="s">
        <v>7572</v>
      </c>
      <c r="B255" s="10" t="s">
        <v>7573</v>
      </c>
      <c r="C255" s="10" t="s">
        <v>18</v>
      </c>
      <c r="D255" s="10">
        <v>-1.9183292781740999</v>
      </c>
      <c r="E255" s="4">
        <v>1.8818751286521299E-19</v>
      </c>
      <c r="F255" s="10">
        <v>-1.4372818073003799</v>
      </c>
      <c r="G255" s="4">
        <v>2.56106378237397E-7</v>
      </c>
    </row>
    <row r="256" spans="1:7" x14ac:dyDescent="0.2">
      <c r="A256" s="10" t="s">
        <v>7584</v>
      </c>
      <c r="B256" s="10" t="s">
        <v>7585</v>
      </c>
      <c r="C256" s="10" t="s">
        <v>18</v>
      </c>
      <c r="D256" s="10">
        <v>5.2978764723077703</v>
      </c>
      <c r="E256" s="4">
        <v>1.34249850634394E-67</v>
      </c>
      <c r="F256" s="10">
        <v>7.1325043007811004</v>
      </c>
      <c r="G256" s="4">
        <v>5.3643634637885498E-57</v>
      </c>
    </row>
    <row r="257" spans="1:7" x14ac:dyDescent="0.2">
      <c r="A257" s="10" t="s">
        <v>4442</v>
      </c>
      <c r="B257" s="10" t="s">
        <v>4443</v>
      </c>
      <c r="C257" s="10" t="s">
        <v>18</v>
      </c>
      <c r="D257" s="10">
        <v>2.9353812637323098</v>
      </c>
      <c r="E257" s="4">
        <v>3.9054514583943396E-6</v>
      </c>
      <c r="F257" s="10">
        <v>1.9528277609768201</v>
      </c>
      <c r="G257" s="10">
        <v>7.3497140967479101E-4</v>
      </c>
    </row>
    <row r="258" spans="1:7" x14ac:dyDescent="0.2">
      <c r="A258" s="10" t="s">
        <v>5366</v>
      </c>
      <c r="B258" s="10" t="s">
        <v>5367</v>
      </c>
      <c r="C258" s="10" t="s">
        <v>18</v>
      </c>
      <c r="D258" s="10">
        <v>6.5692292447980698</v>
      </c>
      <c r="E258" s="4">
        <v>6.5508133856818703E-9</v>
      </c>
      <c r="F258" s="10">
        <v>1.89670667282327</v>
      </c>
      <c r="G258" s="4">
        <v>7.9193099097353694E-5</v>
      </c>
    </row>
    <row r="259" spans="1:7" x14ac:dyDescent="0.2">
      <c r="A259" s="10" t="s">
        <v>6548</v>
      </c>
      <c r="B259" s="10" t="s">
        <v>6549</v>
      </c>
      <c r="C259" s="10" t="s">
        <v>18</v>
      </c>
      <c r="D259" s="10">
        <v>-1.5706493826485901</v>
      </c>
      <c r="E259" s="4">
        <v>4.9022111268429198E-13</v>
      </c>
      <c r="F259" s="10">
        <v>3.6169541996133501</v>
      </c>
      <c r="G259" s="4">
        <v>2.8913806418161398E-24</v>
      </c>
    </row>
    <row r="260" spans="1:7" x14ac:dyDescent="0.2">
      <c r="A260" s="10" t="s">
        <v>5362</v>
      </c>
      <c r="B260" s="10" t="s">
        <v>5363</v>
      </c>
      <c r="C260" s="10" t="s">
        <v>18</v>
      </c>
      <c r="D260" s="10">
        <v>1.88920385814873</v>
      </c>
      <c r="E260" s="4">
        <v>4.6697476867390996E-19</v>
      </c>
      <c r="F260" s="10">
        <v>1.73100721438188</v>
      </c>
      <c r="G260" s="4">
        <v>1.49304486343159E-9</v>
      </c>
    </row>
    <row r="261" spans="1:7" x14ac:dyDescent="0.2">
      <c r="A261" s="10" t="s">
        <v>7390</v>
      </c>
      <c r="B261" s="10" t="s">
        <v>7391</v>
      </c>
      <c r="C261" s="10" t="s">
        <v>18</v>
      </c>
      <c r="D261" s="10">
        <v>7.9461935006929201</v>
      </c>
      <c r="E261" s="4">
        <v>5.9365074939034305E-7</v>
      </c>
      <c r="F261" s="10">
        <v>4.4239182486458297</v>
      </c>
      <c r="G261" s="4">
        <v>8.53929058704408E-7</v>
      </c>
    </row>
    <row r="262" spans="1:7" x14ac:dyDescent="0.2">
      <c r="A262" s="10" t="s">
        <v>5552</v>
      </c>
      <c r="B262" s="10" t="s">
        <v>5553</v>
      </c>
      <c r="C262" s="10" t="s">
        <v>18</v>
      </c>
      <c r="D262" s="10">
        <v>2.1341556122863699</v>
      </c>
      <c r="E262" s="4">
        <v>1.6882916136509201E-20</v>
      </c>
      <c r="F262" s="10">
        <v>1.4151102432040901</v>
      </c>
      <c r="G262" s="4">
        <v>6.72723235606457E-7</v>
      </c>
    </row>
    <row r="263" spans="1:7" x14ac:dyDescent="0.2">
      <c r="A263" s="10" t="s">
        <v>4716</v>
      </c>
      <c r="B263" s="10" t="s">
        <v>4717</v>
      </c>
      <c r="C263" s="10" t="s">
        <v>18</v>
      </c>
      <c r="D263" s="10">
        <v>8.6849330519912193</v>
      </c>
      <c r="E263" s="4">
        <v>1.57967412283361E-6</v>
      </c>
      <c r="F263" s="10">
        <v>9.1831892527783801</v>
      </c>
      <c r="G263" s="4">
        <v>2.03382989516871E-45</v>
      </c>
    </row>
    <row r="264" spans="1:7" x14ac:dyDescent="0.2">
      <c r="A264" s="10" t="s">
        <v>4714</v>
      </c>
      <c r="B264" s="10" t="s">
        <v>4715</v>
      </c>
      <c r="C264" s="10" t="s">
        <v>18</v>
      </c>
      <c r="D264" s="10">
        <v>4.1838929822218303</v>
      </c>
      <c r="E264" s="4">
        <v>2.81305395050441E-10</v>
      </c>
      <c r="F264" s="10">
        <v>2.80540192244196</v>
      </c>
      <c r="G264" s="4">
        <v>4.2401165829461302E-7</v>
      </c>
    </row>
    <row r="265" spans="1:7" x14ac:dyDescent="0.2">
      <c r="A265" s="10" t="s">
        <v>49</v>
      </c>
      <c r="B265" s="10" t="s">
        <v>50</v>
      </c>
      <c r="C265" s="10" t="s">
        <v>18</v>
      </c>
      <c r="D265" s="10">
        <v>4.1859160475895898</v>
      </c>
      <c r="E265" s="4">
        <v>3.8331322013857097E-5</v>
      </c>
      <c r="F265" s="10">
        <v>4.8459366504379604</v>
      </c>
      <c r="G265" s="4">
        <v>7.8892294087007899E-6</v>
      </c>
    </row>
    <row r="266" spans="1:7" x14ac:dyDescent="0.2">
      <c r="A266" s="10" t="s">
        <v>833</v>
      </c>
      <c r="B266" s="10" t="s">
        <v>834</v>
      </c>
      <c r="C266" s="10" t="s">
        <v>18</v>
      </c>
      <c r="D266" s="10">
        <v>7.7050266985574796</v>
      </c>
      <c r="E266" s="4">
        <v>3.2464034144154599E-7</v>
      </c>
      <c r="F266" s="10">
        <v>9.3945398439111507</v>
      </c>
      <c r="G266" s="4">
        <v>5.9496786733396099E-10</v>
      </c>
    </row>
    <row r="267" spans="1:7" x14ac:dyDescent="0.2">
      <c r="A267" s="10" t="s">
        <v>3463</v>
      </c>
      <c r="B267" s="10" t="s">
        <v>3464</v>
      </c>
      <c r="C267" s="10" t="s">
        <v>18</v>
      </c>
      <c r="D267" s="10">
        <v>2.4636423037925699</v>
      </c>
      <c r="E267" s="4">
        <v>2.5077941505996301E-5</v>
      </c>
      <c r="F267" s="10">
        <v>1.4869499118613001</v>
      </c>
      <c r="G267" s="10">
        <v>7.8003878123504896E-3</v>
      </c>
    </row>
    <row r="268" spans="1:7" x14ac:dyDescent="0.2">
      <c r="A268" s="10" t="s">
        <v>169</v>
      </c>
      <c r="B268" s="10" t="s">
        <v>170</v>
      </c>
      <c r="C268" s="10" t="s">
        <v>18</v>
      </c>
      <c r="D268" s="10">
        <v>-1.7686461014631201</v>
      </c>
      <c r="E268" s="4">
        <v>7.23379664964626E-23</v>
      </c>
      <c r="F268" s="10">
        <v>-1.33901736443453</v>
      </c>
      <c r="G268" s="4">
        <v>2.4944325240363502E-8</v>
      </c>
    </row>
    <row r="269" spans="1:7" x14ac:dyDescent="0.2">
      <c r="A269" s="10" t="s">
        <v>7824</v>
      </c>
      <c r="B269" s="10" t="s">
        <v>7825</v>
      </c>
      <c r="C269" s="10" t="s">
        <v>18</v>
      </c>
      <c r="D269" s="10">
        <v>-1.5734681370325401</v>
      </c>
      <c r="E269" s="4">
        <v>1.5247643735074199E-11</v>
      </c>
      <c r="F269" s="10">
        <v>-1.4650651757756901</v>
      </c>
      <c r="G269" s="4">
        <v>4.9244251841527502E-6</v>
      </c>
    </row>
    <row r="270" spans="1:7" x14ac:dyDescent="0.2">
      <c r="A270" s="10" t="s">
        <v>6530</v>
      </c>
      <c r="B270" s="10" t="s">
        <v>6531</v>
      </c>
      <c r="C270" s="10" t="s">
        <v>18</v>
      </c>
      <c r="D270" s="10">
        <v>-1.4601171030106099</v>
      </c>
      <c r="E270" s="4">
        <v>5.9076374429204901E-12</v>
      </c>
      <c r="F270" s="10">
        <v>2.1084982072094398</v>
      </c>
      <c r="G270" s="4">
        <v>5.7275858640766499E-9</v>
      </c>
    </row>
    <row r="271" spans="1:7" x14ac:dyDescent="0.2">
      <c r="A271" s="10" t="s">
        <v>873</v>
      </c>
      <c r="B271" s="10" t="s">
        <v>874</v>
      </c>
      <c r="C271" s="10" t="s">
        <v>18</v>
      </c>
      <c r="D271" s="10">
        <v>2.2892664396894</v>
      </c>
      <c r="E271" s="4">
        <v>4.4929231469568901E-23</v>
      </c>
      <c r="F271" s="10">
        <v>2.3743139995076299</v>
      </c>
      <c r="G271" s="4">
        <v>8.5075140258955703E-12</v>
      </c>
    </row>
    <row r="272" spans="1:7" x14ac:dyDescent="0.2">
      <c r="A272" s="10" t="s">
        <v>899</v>
      </c>
      <c r="B272" s="10" t="s">
        <v>900</v>
      </c>
      <c r="C272" s="10" t="s">
        <v>18</v>
      </c>
      <c r="D272" s="10">
        <v>3.7562295967247299</v>
      </c>
      <c r="E272" s="4">
        <v>1.67044611793005E-14</v>
      </c>
      <c r="F272" s="10">
        <v>2.6516415015135602</v>
      </c>
      <c r="G272" s="4">
        <v>5.8403356960931803E-10</v>
      </c>
    </row>
    <row r="273" spans="1:7" x14ac:dyDescent="0.2">
      <c r="A273" s="10" t="s">
        <v>7810</v>
      </c>
      <c r="B273" s="10" t="s">
        <v>7811</v>
      </c>
      <c r="C273" s="10" t="s">
        <v>18</v>
      </c>
      <c r="D273" s="10">
        <v>2.3212812125639601</v>
      </c>
      <c r="E273" s="4">
        <v>4.7163388091733398E-20</v>
      </c>
      <c r="F273" s="10">
        <v>2.4424256460162699</v>
      </c>
      <c r="G273" s="4">
        <v>1.8832450191617E-14</v>
      </c>
    </row>
    <row r="274" spans="1:7" x14ac:dyDescent="0.2">
      <c r="A274" s="10" t="s">
        <v>7492</v>
      </c>
      <c r="B274" s="10" t="s">
        <v>7493</v>
      </c>
      <c r="C274" s="10" t="s">
        <v>18</v>
      </c>
      <c r="D274" s="10">
        <v>4.8401177777975599</v>
      </c>
      <c r="E274" s="4">
        <v>2.46225804777221E-7</v>
      </c>
      <c r="F274" s="10">
        <v>5.4967329504951303</v>
      </c>
      <c r="G274" s="4">
        <v>7.0560912479570603E-8</v>
      </c>
    </row>
    <row r="275" spans="1:7" x14ac:dyDescent="0.2">
      <c r="A275" s="10" t="s">
        <v>1431</v>
      </c>
      <c r="B275" s="10" t="s">
        <v>1432</v>
      </c>
      <c r="C275" s="10" t="s">
        <v>18</v>
      </c>
      <c r="D275" s="10">
        <v>2.1346085672286601</v>
      </c>
      <c r="E275" s="4">
        <v>3.2327128223472601E-10</v>
      </c>
      <c r="F275" s="10">
        <v>1.15571550582986</v>
      </c>
      <c r="G275" s="10">
        <v>1.1373164199619101E-3</v>
      </c>
    </row>
    <row r="276" spans="1:7" x14ac:dyDescent="0.2">
      <c r="A276" s="10" t="s">
        <v>2887</v>
      </c>
      <c r="B276" s="10" t="s">
        <v>2888</v>
      </c>
      <c r="C276" s="10" t="s">
        <v>18</v>
      </c>
      <c r="D276" s="10">
        <v>3.0801769629421898</v>
      </c>
      <c r="E276" s="4">
        <v>2.6996169556788901E-33</v>
      </c>
      <c r="F276" s="10">
        <v>2.0529215497764302</v>
      </c>
      <c r="G276" s="4">
        <v>1.9736131325171501E-11</v>
      </c>
    </row>
    <row r="277" spans="1:7" x14ac:dyDescent="0.2">
      <c r="A277" s="10" t="s">
        <v>6864</v>
      </c>
      <c r="B277" s="10" t="s">
        <v>6865</v>
      </c>
      <c r="C277" s="10" t="s">
        <v>18</v>
      </c>
      <c r="D277" s="10">
        <v>-1.7200617974499399</v>
      </c>
      <c r="E277" s="4">
        <v>9.2661268667362096E-6</v>
      </c>
      <c r="F277" s="10">
        <v>-2.1115246497635498</v>
      </c>
      <c r="G277" s="4">
        <v>1.2698773095570199E-6</v>
      </c>
    </row>
    <row r="278" spans="1:7" x14ac:dyDescent="0.2">
      <c r="A278" s="10" t="s">
        <v>6578</v>
      </c>
      <c r="B278" s="10" t="s">
        <v>6579</v>
      </c>
      <c r="C278" s="10" t="s">
        <v>18</v>
      </c>
      <c r="D278" s="10">
        <v>1.18948036914077</v>
      </c>
      <c r="E278" s="4">
        <v>4.37150934865611E-6</v>
      </c>
      <c r="F278" s="10">
        <v>2.6984194530065801</v>
      </c>
      <c r="G278" s="4">
        <v>2.0840495988701799E-13</v>
      </c>
    </row>
    <row r="279" spans="1:7" x14ac:dyDescent="0.2">
      <c r="A279" s="10" t="s">
        <v>1419</v>
      </c>
      <c r="B279" s="10" t="s">
        <v>1420</v>
      </c>
      <c r="C279" s="10" t="s">
        <v>18</v>
      </c>
      <c r="D279" s="10">
        <v>1.0793512612493601</v>
      </c>
      <c r="E279" s="4">
        <v>3.0731958437391899E-9</v>
      </c>
      <c r="F279" s="10">
        <v>1.3585238157942501</v>
      </c>
      <c r="G279" s="4">
        <v>1.39952730646328E-7</v>
      </c>
    </row>
    <row r="280" spans="1:7" x14ac:dyDescent="0.2">
      <c r="A280" s="10" t="s">
        <v>3591</v>
      </c>
      <c r="B280" s="10" t="s">
        <v>3592</v>
      </c>
      <c r="C280" s="10" t="s">
        <v>18</v>
      </c>
      <c r="D280" s="10">
        <v>1.05092561725151</v>
      </c>
      <c r="E280" s="4">
        <v>2.6269773286556299E-8</v>
      </c>
      <c r="F280" s="10">
        <v>1.72222800627441</v>
      </c>
      <c r="G280" s="4">
        <v>3.95068646133185E-11</v>
      </c>
    </row>
    <row r="281" spans="1:7" x14ac:dyDescent="0.2">
      <c r="A281" s="10" t="s">
        <v>1473</v>
      </c>
      <c r="B281" s="10" t="s">
        <v>1474</v>
      </c>
      <c r="C281" s="10" t="s">
        <v>18</v>
      </c>
      <c r="D281" s="10">
        <v>6.43268569902951</v>
      </c>
      <c r="E281" s="4">
        <v>3.7290568247579401E-10</v>
      </c>
      <c r="F281" s="10">
        <v>6.5309036987772799</v>
      </c>
      <c r="G281" s="4">
        <v>3.2634180954237599E-34</v>
      </c>
    </row>
    <row r="282" spans="1:7" x14ac:dyDescent="0.2">
      <c r="A282" s="10" t="s">
        <v>7800</v>
      </c>
      <c r="B282" s="10" t="s">
        <v>7801</v>
      </c>
      <c r="C282" s="10" t="s">
        <v>18</v>
      </c>
      <c r="D282" s="10">
        <v>3.6813528094258499</v>
      </c>
      <c r="E282" s="4">
        <v>3.35946861353315E-14</v>
      </c>
      <c r="F282" s="10">
        <v>3.3592127053762</v>
      </c>
      <c r="G282" s="4">
        <v>6.1933630028522696E-14</v>
      </c>
    </row>
    <row r="283" spans="1:7" x14ac:dyDescent="0.2">
      <c r="A283" s="10" t="s">
        <v>8088</v>
      </c>
      <c r="B283" s="10" t="s">
        <v>8089</v>
      </c>
      <c r="C283" s="10" t="s">
        <v>18</v>
      </c>
      <c r="D283" s="10">
        <v>3.0785625217720698</v>
      </c>
      <c r="E283" s="4">
        <v>2.6518665161353701E-15</v>
      </c>
      <c r="F283" s="10">
        <v>3.1571491102648102</v>
      </c>
      <c r="G283" s="4">
        <v>2.6174500809799099E-15</v>
      </c>
    </row>
    <row r="284" spans="1:7" x14ac:dyDescent="0.2">
      <c r="A284" s="10" t="s">
        <v>3641</v>
      </c>
      <c r="B284" s="10" t="s">
        <v>3642</v>
      </c>
      <c r="C284" s="10" t="s">
        <v>18</v>
      </c>
      <c r="D284" s="10">
        <v>3.5159199699620198</v>
      </c>
      <c r="E284" s="4">
        <v>4.6955902184896402E-8</v>
      </c>
      <c r="F284" s="10">
        <v>2.0387626492063999</v>
      </c>
      <c r="G284" s="10">
        <v>1.0868948380407801E-4</v>
      </c>
    </row>
    <row r="285" spans="1:7" x14ac:dyDescent="0.2">
      <c r="A285" s="10" t="s">
        <v>7246</v>
      </c>
      <c r="B285" s="10" t="s">
        <v>7247</v>
      </c>
      <c r="C285" s="10" t="s">
        <v>18</v>
      </c>
      <c r="D285" s="10">
        <v>-2.16529206022962</v>
      </c>
      <c r="E285" s="4">
        <v>1.12141678492466E-29</v>
      </c>
      <c r="F285" s="10">
        <v>-1.8261584606291501</v>
      </c>
      <c r="G285" s="4">
        <v>2.4308735353487903E-10</v>
      </c>
    </row>
    <row r="286" spans="1:7" x14ac:dyDescent="0.2">
      <c r="A286" s="10" t="s">
        <v>7482</v>
      </c>
      <c r="B286" s="10" t="s">
        <v>7483</v>
      </c>
      <c r="C286" s="10" t="s">
        <v>18</v>
      </c>
      <c r="D286" s="10">
        <v>-2.7104745767267899</v>
      </c>
      <c r="E286" s="4">
        <v>7.2890976531883195E-29</v>
      </c>
      <c r="F286" s="10">
        <v>-2.3717721635973699</v>
      </c>
      <c r="G286" s="4">
        <v>5.0643013240615805E-13</v>
      </c>
    </row>
    <row r="287" spans="1:7" x14ac:dyDescent="0.2">
      <c r="A287" s="10" t="s">
        <v>7484</v>
      </c>
      <c r="B287" s="10" t="s">
        <v>7485</v>
      </c>
      <c r="C287" s="10" t="s">
        <v>18</v>
      </c>
      <c r="D287" s="10">
        <v>-1.85488189770489</v>
      </c>
      <c r="E287" s="4">
        <v>3.4643448227631502E-14</v>
      </c>
      <c r="F287" s="10">
        <v>-1.48339723539968</v>
      </c>
      <c r="G287" s="4">
        <v>2.2678998117206901E-6</v>
      </c>
    </row>
    <row r="288" spans="1:7" x14ac:dyDescent="0.2">
      <c r="A288" s="10" t="s">
        <v>2615</v>
      </c>
      <c r="B288" s="10" t="s">
        <v>2616</v>
      </c>
      <c r="C288" s="10" t="s">
        <v>18</v>
      </c>
      <c r="D288" s="10">
        <v>-1.70545296391805</v>
      </c>
      <c r="E288" s="4">
        <v>3.5683109258337099E-6</v>
      </c>
      <c r="F288" s="10">
        <v>-1.2206197578417</v>
      </c>
      <c r="G288" s="10">
        <v>3.0960892507064298E-3</v>
      </c>
    </row>
    <row r="289" spans="1:7" x14ac:dyDescent="0.2">
      <c r="A289" s="10" t="s">
        <v>5878</v>
      </c>
      <c r="B289" s="10" t="s">
        <v>5879</v>
      </c>
      <c r="C289" s="10" t="s">
        <v>18</v>
      </c>
      <c r="D289" s="10">
        <v>2.38445886085539</v>
      </c>
      <c r="E289" s="4">
        <v>5.9256123802163694E-20</v>
      </c>
      <c r="F289" s="10">
        <v>2.0231688713303702</v>
      </c>
      <c r="G289" s="4">
        <v>5.9724673850993801E-12</v>
      </c>
    </row>
    <row r="290" spans="1:7" x14ac:dyDescent="0.2">
      <c r="A290" s="10" t="s">
        <v>1219</v>
      </c>
      <c r="B290" s="10" t="s">
        <v>1220</v>
      </c>
      <c r="C290" s="10" t="s">
        <v>18</v>
      </c>
      <c r="D290" s="10">
        <v>-1.20018134808318</v>
      </c>
      <c r="E290" s="4">
        <v>7.3029648913686603E-9</v>
      </c>
      <c r="F290" s="10">
        <v>-1.0998857943775999</v>
      </c>
      <c r="G290" s="4">
        <v>2.92995044707684E-5</v>
      </c>
    </row>
    <row r="291" spans="1:7" x14ac:dyDescent="0.2">
      <c r="A291" s="10" t="s">
        <v>7612</v>
      </c>
      <c r="B291" s="10" t="s">
        <v>7613</v>
      </c>
      <c r="C291" s="10" t="s">
        <v>18</v>
      </c>
      <c r="D291" s="10">
        <v>7.0625590937462297</v>
      </c>
      <c r="E291" s="4">
        <v>5.5124471617852399E-10</v>
      </c>
      <c r="F291" s="10">
        <v>3.8226954658149799</v>
      </c>
      <c r="G291" s="4">
        <v>2.1985279318751701E-10</v>
      </c>
    </row>
    <row r="292" spans="1:7" x14ac:dyDescent="0.2">
      <c r="A292" s="10" t="s">
        <v>4392</v>
      </c>
      <c r="B292" s="10" t="s">
        <v>4393</v>
      </c>
      <c r="C292" s="10" t="s">
        <v>18</v>
      </c>
      <c r="D292" s="10">
        <v>4.5171885774502698</v>
      </c>
      <c r="E292" s="4">
        <v>1.7264079184040199E-23</v>
      </c>
      <c r="F292" s="10">
        <v>3.5082992314122401</v>
      </c>
      <c r="G292" s="4">
        <v>4.7929532081970001E-13</v>
      </c>
    </row>
    <row r="293" spans="1:7" x14ac:dyDescent="0.2">
      <c r="A293" s="10" t="s">
        <v>4472</v>
      </c>
      <c r="B293" s="10" t="s">
        <v>4473</v>
      </c>
      <c r="C293" s="10" t="s">
        <v>18</v>
      </c>
      <c r="D293" s="10">
        <v>9.4527522380736695</v>
      </c>
      <c r="E293" s="4">
        <v>3.1904212558782398E-10</v>
      </c>
      <c r="F293" s="10">
        <v>3.3543875006419999</v>
      </c>
      <c r="G293" s="4">
        <v>4.5002118430746704E-12</v>
      </c>
    </row>
    <row r="294" spans="1:7" x14ac:dyDescent="0.2">
      <c r="A294" s="10" t="s">
        <v>2063</v>
      </c>
      <c r="B294" s="10" t="s">
        <v>2064</v>
      </c>
      <c r="C294" s="10" t="s">
        <v>18</v>
      </c>
      <c r="D294" s="10">
        <v>5.9719247391061296</v>
      </c>
      <c r="E294" s="10">
        <v>2.8742290387989499E-4</v>
      </c>
      <c r="F294" s="10">
        <v>3.6326218834925101</v>
      </c>
      <c r="G294" s="10">
        <v>1.2223170320795499E-4</v>
      </c>
    </row>
    <row r="295" spans="1:7" x14ac:dyDescent="0.2">
      <c r="A295" s="10" t="s">
        <v>5790</v>
      </c>
      <c r="B295" s="10" t="s">
        <v>5791</v>
      </c>
      <c r="C295" s="10" t="s">
        <v>18</v>
      </c>
      <c r="D295" s="10">
        <v>6.9334704767277602</v>
      </c>
      <c r="E295" s="4">
        <v>3.0405171214189499E-26</v>
      </c>
      <c r="F295" s="10">
        <v>7.4390469246063002</v>
      </c>
      <c r="G295" s="4">
        <v>6.0346760743994904E-25</v>
      </c>
    </row>
    <row r="296" spans="1:7" x14ac:dyDescent="0.2">
      <c r="A296" s="10" t="s">
        <v>5762</v>
      </c>
      <c r="B296" s="10" t="s">
        <v>5763</v>
      </c>
      <c r="C296" s="10" t="s">
        <v>18</v>
      </c>
      <c r="D296" s="10">
        <v>6.3736980928424503</v>
      </c>
      <c r="E296" s="10">
        <v>5.8981367703012902E-4</v>
      </c>
      <c r="F296" s="10">
        <v>6.6251372881083803</v>
      </c>
      <c r="G296" s="10">
        <v>2.69804760447921E-4</v>
      </c>
    </row>
    <row r="297" spans="1:7" x14ac:dyDescent="0.2">
      <c r="A297" s="10" t="s">
        <v>7646</v>
      </c>
      <c r="B297" s="10" t="s">
        <v>7647</v>
      </c>
      <c r="C297" s="10" t="s">
        <v>18</v>
      </c>
      <c r="D297" s="10">
        <v>-3.5918056020012399</v>
      </c>
      <c r="E297" s="4">
        <v>3.3708026605890401E-33</v>
      </c>
      <c r="F297" s="10">
        <v>-1.7864894392444199</v>
      </c>
      <c r="G297" s="4">
        <v>8.1753015414243295E-6</v>
      </c>
    </row>
    <row r="298" spans="1:7" x14ac:dyDescent="0.2">
      <c r="A298" s="10" t="s">
        <v>1269</v>
      </c>
      <c r="B298" s="10" t="s">
        <v>1270</v>
      </c>
      <c r="C298" s="10" t="s">
        <v>18</v>
      </c>
      <c r="D298" s="10">
        <v>3.5273338840598898</v>
      </c>
      <c r="E298" s="4">
        <v>1.2354583261251701E-11</v>
      </c>
      <c r="F298" s="10">
        <v>2.1529856545272699</v>
      </c>
      <c r="G298" s="4">
        <v>4.3397533739704801E-6</v>
      </c>
    </row>
    <row r="299" spans="1:7" x14ac:dyDescent="0.2">
      <c r="A299" s="10" t="s">
        <v>5060</v>
      </c>
      <c r="B299" s="10" t="s">
        <v>5061</v>
      </c>
      <c r="C299" s="10" t="s">
        <v>18</v>
      </c>
      <c r="D299" s="10">
        <v>-1.73867168182791</v>
      </c>
      <c r="E299" s="4">
        <v>7.7833081141763704E-13</v>
      </c>
      <c r="F299" s="10">
        <v>-1.54566150318197</v>
      </c>
      <c r="G299" s="4">
        <v>5.8656148229908803E-7</v>
      </c>
    </row>
    <row r="300" spans="1:7" x14ac:dyDescent="0.2">
      <c r="A300" s="10" t="s">
        <v>5142</v>
      </c>
      <c r="B300" s="10" t="s">
        <v>5143</v>
      </c>
      <c r="C300" s="10" t="s">
        <v>18</v>
      </c>
      <c r="D300" s="10">
        <v>2.25872072022021</v>
      </c>
      <c r="E300" s="4">
        <v>1.52065830235319E-28</v>
      </c>
      <c r="F300" s="10">
        <v>1.6467190871228401</v>
      </c>
      <c r="G300" s="4">
        <v>9.7044009074919299E-10</v>
      </c>
    </row>
    <row r="301" spans="1:7" x14ac:dyDescent="0.2">
      <c r="A301" s="10" t="s">
        <v>5372</v>
      </c>
      <c r="B301" s="10" t="s">
        <v>5373</v>
      </c>
      <c r="C301" s="10" t="s">
        <v>18</v>
      </c>
      <c r="D301" s="10">
        <v>4.5842825223925301</v>
      </c>
      <c r="E301" s="4">
        <v>1.00617990136799E-78</v>
      </c>
      <c r="F301" s="10">
        <v>2.8514616948081999</v>
      </c>
      <c r="G301" s="4">
        <v>5.4776271851307698E-30</v>
      </c>
    </row>
    <row r="302" spans="1:7" x14ac:dyDescent="0.2">
      <c r="A302" s="10" t="s">
        <v>3943</v>
      </c>
      <c r="B302" s="10" t="s">
        <v>3944</v>
      </c>
      <c r="C302" s="10" t="s">
        <v>18</v>
      </c>
      <c r="D302" s="10">
        <v>-1.2111050122168201</v>
      </c>
      <c r="E302" s="10">
        <v>5.2092918943071704E-4</v>
      </c>
      <c r="F302" s="10">
        <v>-3.09548404800036</v>
      </c>
      <c r="G302" s="4">
        <v>4.22530236054814E-23</v>
      </c>
    </row>
    <row r="303" spans="1:7" x14ac:dyDescent="0.2">
      <c r="A303" s="10" t="s">
        <v>6188</v>
      </c>
      <c r="B303" s="10" t="s">
        <v>6189</v>
      </c>
      <c r="C303" s="10" t="s">
        <v>18</v>
      </c>
      <c r="D303" s="10">
        <v>1.5243446839119901</v>
      </c>
      <c r="E303" s="4">
        <v>3.11432623322895E-18</v>
      </c>
      <c r="F303" s="10">
        <v>1.92489092707212</v>
      </c>
      <c r="G303" s="4">
        <v>6.1550549867172403E-16</v>
      </c>
    </row>
    <row r="304" spans="1:7" x14ac:dyDescent="0.2">
      <c r="A304" s="10" t="s">
        <v>3159</v>
      </c>
      <c r="B304" s="10" t="s">
        <v>3160</v>
      </c>
      <c r="C304" s="10" t="s">
        <v>18</v>
      </c>
      <c r="D304" s="10">
        <v>2.9539397239505298</v>
      </c>
      <c r="E304" s="4">
        <v>3.1134889209037599E-45</v>
      </c>
      <c r="F304" s="10">
        <v>4.2202842274852799</v>
      </c>
      <c r="G304" s="4">
        <v>4.8302192000511199E-56</v>
      </c>
    </row>
    <row r="305" spans="1:7" x14ac:dyDescent="0.2">
      <c r="A305" s="10" t="s">
        <v>6724</v>
      </c>
      <c r="B305" s="10" t="s">
        <v>6725</v>
      </c>
      <c r="C305" s="10" t="s">
        <v>18</v>
      </c>
      <c r="D305" s="10">
        <v>-2.2184433225569098</v>
      </c>
      <c r="E305" s="10">
        <v>6.9183767883850998E-4</v>
      </c>
      <c r="F305" s="10">
        <v>-2.5566145094524</v>
      </c>
      <c r="G305" s="4">
        <v>1.9726129800291199E-5</v>
      </c>
    </row>
    <row r="306" spans="1:7" x14ac:dyDescent="0.2">
      <c r="A306" s="10" t="s">
        <v>3205</v>
      </c>
      <c r="B306" s="10" t="s">
        <v>3206</v>
      </c>
      <c r="C306" s="10" t="s">
        <v>18</v>
      </c>
      <c r="D306" s="10">
        <v>-1.13057454531834</v>
      </c>
      <c r="E306" s="4">
        <v>6.3833649247158395E-11</v>
      </c>
      <c r="F306" s="10">
        <v>-1.1642779751726799</v>
      </c>
      <c r="G306" s="4">
        <v>2.6802022237116499E-6</v>
      </c>
    </row>
    <row r="307" spans="1:7" x14ac:dyDescent="0.2">
      <c r="A307" s="10" t="s">
        <v>5066</v>
      </c>
      <c r="B307" s="10" t="s">
        <v>5067</v>
      </c>
      <c r="C307" s="10" t="s">
        <v>18</v>
      </c>
      <c r="D307" s="10">
        <v>-2.6182681613024998</v>
      </c>
      <c r="E307" s="4">
        <v>1.10276116068226E-9</v>
      </c>
      <c r="F307" s="10">
        <v>-3.6473065375067599</v>
      </c>
      <c r="G307" s="4">
        <v>4.1284079044946797E-18</v>
      </c>
    </row>
    <row r="308" spans="1:7" x14ac:dyDescent="0.2">
      <c r="A308" s="10" t="s">
        <v>3527</v>
      </c>
      <c r="B308" s="10" t="s">
        <v>3528</v>
      </c>
      <c r="C308" s="10" t="s">
        <v>18</v>
      </c>
      <c r="D308" s="10">
        <v>-1.7449922127872599</v>
      </c>
      <c r="E308" s="4">
        <v>2.52745903914822E-10</v>
      </c>
      <c r="F308" s="10">
        <v>1.72971163118039</v>
      </c>
      <c r="G308" s="4">
        <v>4.1656485673658397E-5</v>
      </c>
    </row>
    <row r="309" spans="1:7" x14ac:dyDescent="0.2">
      <c r="A309" s="10" t="s">
        <v>5274</v>
      </c>
      <c r="B309" s="10" t="s">
        <v>5275</v>
      </c>
      <c r="C309" s="10" t="s">
        <v>18</v>
      </c>
      <c r="D309" s="10">
        <v>3.9224812108551199</v>
      </c>
      <c r="E309" s="4">
        <v>1.36401746717392E-21</v>
      </c>
      <c r="F309" s="10">
        <v>4.5316180104093302</v>
      </c>
      <c r="G309" s="4">
        <v>8.4371967948437203E-23</v>
      </c>
    </row>
    <row r="310" spans="1:7" x14ac:dyDescent="0.2">
      <c r="A310" s="10" t="s">
        <v>8184</v>
      </c>
      <c r="B310" s="10" t="s">
        <v>8185</v>
      </c>
      <c r="C310" s="10" t="s">
        <v>18</v>
      </c>
      <c r="D310" s="10">
        <v>-1.92666330369591</v>
      </c>
      <c r="E310" s="4">
        <v>1.2749371050309101E-18</v>
      </c>
      <c r="F310" s="10">
        <v>-1.1648661851395801</v>
      </c>
      <c r="G310" s="4">
        <v>7.7074417096246702E-5</v>
      </c>
    </row>
    <row r="311" spans="1:7" x14ac:dyDescent="0.2">
      <c r="A311" s="10" t="s">
        <v>7372</v>
      </c>
      <c r="B311" s="10" t="s">
        <v>7373</v>
      </c>
      <c r="C311" s="10" t="s">
        <v>18</v>
      </c>
      <c r="D311" s="10">
        <v>8.8940153316261608</v>
      </c>
      <c r="E311" s="4">
        <v>5.8446687180165602E-9</v>
      </c>
      <c r="F311" s="10">
        <v>3.5424205885356601</v>
      </c>
      <c r="G311" s="4">
        <v>1.61757854879807E-9</v>
      </c>
    </row>
    <row r="312" spans="1:7" x14ac:dyDescent="0.2">
      <c r="A312" s="10" t="s">
        <v>4934</v>
      </c>
      <c r="B312" s="10" t="s">
        <v>4935</v>
      </c>
      <c r="C312" s="10" t="s">
        <v>18</v>
      </c>
      <c r="D312" s="10">
        <v>8.0889837380799605</v>
      </c>
      <c r="E312" s="4">
        <v>6.12300313300393E-8</v>
      </c>
      <c r="F312" s="10">
        <v>3.37581907401808</v>
      </c>
      <c r="G312" s="4">
        <v>2.0864783596783101E-12</v>
      </c>
    </row>
    <row r="313" spans="1:7" x14ac:dyDescent="0.2">
      <c r="A313" s="10" t="s">
        <v>5380</v>
      </c>
      <c r="B313" s="10" t="s">
        <v>5381</v>
      </c>
      <c r="C313" s="10" t="s">
        <v>18</v>
      </c>
      <c r="D313" s="10">
        <v>1.56244058243844</v>
      </c>
      <c r="E313" s="4">
        <v>1.7257384812697701E-10</v>
      </c>
      <c r="F313" s="10">
        <v>2.1584222198368699</v>
      </c>
      <c r="G313" s="4">
        <v>2.64253661882668E-13</v>
      </c>
    </row>
    <row r="314" spans="1:7" x14ac:dyDescent="0.2">
      <c r="A314" s="10" t="s">
        <v>1745</v>
      </c>
      <c r="B314" s="10" t="s">
        <v>1746</v>
      </c>
      <c r="C314" s="10" t="s">
        <v>18</v>
      </c>
      <c r="D314" s="10">
        <v>-1.4732460133632701</v>
      </c>
      <c r="E314" s="4">
        <v>1.83744327845373E-13</v>
      </c>
      <c r="F314" s="10">
        <v>-2.3527142052773899</v>
      </c>
      <c r="G314" s="4">
        <v>1.35234096928068E-20</v>
      </c>
    </row>
    <row r="315" spans="1:7" x14ac:dyDescent="0.2">
      <c r="A315" s="10" t="s">
        <v>5028</v>
      </c>
      <c r="B315" s="10" t="s">
        <v>5029</v>
      </c>
      <c r="C315" s="10" t="s">
        <v>18</v>
      </c>
      <c r="D315" s="10">
        <v>4.6223035827777199</v>
      </c>
      <c r="E315" s="4">
        <v>3.4697532819319903E-92</v>
      </c>
      <c r="F315" s="10">
        <v>5.2763931197560696</v>
      </c>
      <c r="G315" s="4">
        <v>3.1839482700522299E-83</v>
      </c>
    </row>
    <row r="316" spans="1:7" x14ac:dyDescent="0.2">
      <c r="A316" s="10" t="s">
        <v>8776</v>
      </c>
      <c r="B316" s="10" t="s">
        <v>8777</v>
      </c>
      <c r="C316" s="10" t="s">
        <v>18</v>
      </c>
      <c r="D316" s="10">
        <v>-1.4463191278551399</v>
      </c>
      <c r="E316" s="4">
        <v>6.7493086712646395E-11</v>
      </c>
      <c r="F316" s="10">
        <v>-1.2828423115532901</v>
      </c>
      <c r="G316" s="4">
        <v>2.0025836436814599E-5</v>
      </c>
    </row>
    <row r="317" spans="1:7" x14ac:dyDescent="0.2">
      <c r="A317" s="10" t="s">
        <v>1055</v>
      </c>
      <c r="B317" s="10" t="s">
        <v>1056</v>
      </c>
      <c r="C317" s="10" t="s">
        <v>18</v>
      </c>
      <c r="D317" s="10">
        <v>5.4515848087961203</v>
      </c>
      <c r="E317" s="4">
        <v>4.4249163369088302E-14</v>
      </c>
      <c r="F317" s="10">
        <v>1.1586623301318699</v>
      </c>
      <c r="G317" s="10">
        <v>4.9891770475908497E-3</v>
      </c>
    </row>
    <row r="318" spans="1:7" x14ac:dyDescent="0.2">
      <c r="A318" s="10" t="s">
        <v>8678</v>
      </c>
      <c r="B318" s="10" t="s">
        <v>8679</v>
      </c>
      <c r="C318" s="10" t="s">
        <v>18</v>
      </c>
      <c r="D318" s="10">
        <v>-1.5066061698379201</v>
      </c>
      <c r="E318" s="4">
        <v>2.45863208580725E-10</v>
      </c>
      <c r="F318" s="10">
        <v>-1.7733047594049001</v>
      </c>
      <c r="G318" s="4">
        <v>5.1376184306733396E-9</v>
      </c>
    </row>
    <row r="319" spans="1:7" x14ac:dyDescent="0.2">
      <c r="A319" s="10" t="s">
        <v>7208</v>
      </c>
      <c r="B319" s="10" t="s">
        <v>7209</v>
      </c>
      <c r="C319" s="10" t="s">
        <v>18</v>
      </c>
      <c r="D319" s="10">
        <v>-1.2298920353640399</v>
      </c>
      <c r="E319" s="4">
        <v>4.2613631880879502E-11</v>
      </c>
      <c r="F319" s="10">
        <v>-2.4389654006195101</v>
      </c>
      <c r="G319" s="4">
        <v>2.9305829296335499E-22</v>
      </c>
    </row>
    <row r="320" spans="1:7" x14ac:dyDescent="0.2">
      <c r="A320" s="10" t="s">
        <v>5038</v>
      </c>
      <c r="B320" s="10" t="s">
        <v>5039</v>
      </c>
      <c r="C320" s="10" t="s">
        <v>18</v>
      </c>
      <c r="D320" s="10">
        <v>-1.10985726483389</v>
      </c>
      <c r="E320" s="4">
        <v>3.88706473141778E-6</v>
      </c>
      <c r="F320" s="10">
        <v>-1.6087693491927599</v>
      </c>
      <c r="G320" s="4">
        <v>2.5516316987930399E-8</v>
      </c>
    </row>
    <row r="321" spans="1:7" x14ac:dyDescent="0.2">
      <c r="A321" s="10" t="s">
        <v>3407</v>
      </c>
      <c r="B321" s="10" t="s">
        <v>3408</v>
      </c>
      <c r="C321" s="10" t="s">
        <v>18</v>
      </c>
      <c r="D321" s="10">
        <v>-2.1883750494538798</v>
      </c>
      <c r="E321" s="4">
        <v>5.5928025598931598E-18</v>
      </c>
      <c r="F321" s="10">
        <v>-2.5782208648832499</v>
      </c>
      <c r="G321" s="4">
        <v>1.9329772113860899E-20</v>
      </c>
    </row>
    <row r="322" spans="1:7" x14ac:dyDescent="0.2">
      <c r="A322" s="10" t="s">
        <v>6882</v>
      </c>
      <c r="B322" s="10" t="s">
        <v>6883</v>
      </c>
      <c r="C322" s="10" t="s">
        <v>18</v>
      </c>
      <c r="D322" s="10">
        <v>2.4948861010582801</v>
      </c>
      <c r="E322" s="4">
        <v>3.3537594530611398E-18</v>
      </c>
      <c r="F322" s="10">
        <v>2.4111662164505399</v>
      </c>
      <c r="G322" s="4">
        <v>5.5824625489661401E-15</v>
      </c>
    </row>
    <row r="323" spans="1:7" x14ac:dyDescent="0.2">
      <c r="A323" s="10" t="s">
        <v>2493</v>
      </c>
      <c r="B323" s="10" t="s">
        <v>2494</v>
      </c>
      <c r="C323" s="10" t="s">
        <v>18</v>
      </c>
      <c r="D323" s="10">
        <v>7.2995299165462804</v>
      </c>
      <c r="E323" s="4">
        <v>1.6741958096120399E-5</v>
      </c>
      <c r="F323" s="10">
        <v>3.2256159232285002</v>
      </c>
      <c r="G323" s="10">
        <v>2.2692045165141599E-3</v>
      </c>
    </row>
    <row r="324" spans="1:7" x14ac:dyDescent="0.2">
      <c r="A324" s="10" t="s">
        <v>7598</v>
      </c>
      <c r="B324" s="10" t="s">
        <v>7599</v>
      </c>
      <c r="C324" s="10" t="s">
        <v>18</v>
      </c>
      <c r="D324" s="10">
        <v>-1.0700725763246199</v>
      </c>
      <c r="E324" s="4">
        <v>4.4326287631163001E-9</v>
      </c>
      <c r="F324" s="10">
        <v>-1.3823117613901901</v>
      </c>
      <c r="G324" s="4">
        <v>5.3887119609599796E-9</v>
      </c>
    </row>
    <row r="325" spans="1:7" x14ac:dyDescent="0.2">
      <c r="A325" s="10" t="s">
        <v>6880</v>
      </c>
      <c r="B325" s="10" t="s">
        <v>6881</v>
      </c>
      <c r="C325" s="10" t="s">
        <v>18</v>
      </c>
      <c r="D325" s="10">
        <v>5.1679639886223203</v>
      </c>
      <c r="E325" s="4">
        <v>1.25787397419354E-10</v>
      </c>
      <c r="F325" s="10">
        <v>2.6352137098112398</v>
      </c>
      <c r="G325" s="4">
        <v>5.4408223994707501E-7</v>
      </c>
    </row>
    <row r="326" spans="1:7" x14ac:dyDescent="0.2">
      <c r="A326" s="10" t="s">
        <v>2789</v>
      </c>
      <c r="B326" s="10" t="s">
        <v>2790</v>
      </c>
      <c r="C326" s="10" t="s">
        <v>18</v>
      </c>
      <c r="D326" s="10">
        <v>-1.2025506619294299</v>
      </c>
      <c r="E326" s="4">
        <v>3.7135519913166598E-8</v>
      </c>
      <c r="F326" s="10">
        <v>1.2394233869012301</v>
      </c>
      <c r="G326" s="10">
        <v>2.01508005680164E-3</v>
      </c>
    </row>
    <row r="327" spans="1:7" x14ac:dyDescent="0.2">
      <c r="A327" s="10" t="s">
        <v>6618</v>
      </c>
      <c r="B327" s="10" t="s">
        <v>6619</v>
      </c>
      <c r="C327" s="10" t="s">
        <v>18</v>
      </c>
      <c r="D327" s="10">
        <v>2.09724084692825</v>
      </c>
      <c r="E327" s="4">
        <v>6.2728632521946104E-22</v>
      </c>
      <c r="F327" s="10">
        <v>2.6684488853108599</v>
      </c>
      <c r="G327" s="4">
        <v>6.7170209436949804E-21</v>
      </c>
    </row>
    <row r="328" spans="1:7" x14ac:dyDescent="0.2">
      <c r="A328" s="10" t="s">
        <v>5572</v>
      </c>
      <c r="B328" s="10" t="s">
        <v>5573</v>
      </c>
      <c r="C328" s="10" t="s">
        <v>18</v>
      </c>
      <c r="D328" s="10">
        <v>-1.0996553151811701</v>
      </c>
      <c r="E328" s="4">
        <v>3.45972988562868E-8</v>
      </c>
      <c r="F328" s="10">
        <v>-1.15780533561881</v>
      </c>
      <c r="G328" s="4">
        <v>2.9647341239828E-6</v>
      </c>
    </row>
    <row r="329" spans="1:7" x14ac:dyDescent="0.2">
      <c r="A329" s="10" t="s">
        <v>5614</v>
      </c>
      <c r="B329" s="10" t="s">
        <v>5615</v>
      </c>
      <c r="C329" s="10" t="s">
        <v>18</v>
      </c>
      <c r="D329" s="10">
        <v>-1.41618750983649</v>
      </c>
      <c r="E329" s="4">
        <v>1.1538462337947999E-10</v>
      </c>
      <c r="F329" s="10">
        <v>-1.5550935955312799</v>
      </c>
      <c r="G329" s="4">
        <v>1.73097928845423E-8</v>
      </c>
    </row>
    <row r="330" spans="1:7" x14ac:dyDescent="0.2">
      <c r="A330" s="10" t="s">
        <v>6058</v>
      </c>
      <c r="B330" s="10" t="s">
        <v>6059</v>
      </c>
      <c r="C330" s="10" t="s">
        <v>18</v>
      </c>
      <c r="D330" s="10">
        <v>1.6000712290433201</v>
      </c>
      <c r="E330" s="4">
        <v>4.4427856362938298E-8</v>
      </c>
      <c r="F330" s="10">
        <v>1.42650897575367</v>
      </c>
      <c r="G330" s="4">
        <v>9.3376987023693607E-6</v>
      </c>
    </row>
    <row r="331" spans="1:7" x14ac:dyDescent="0.2">
      <c r="A331" s="10" t="s">
        <v>3057</v>
      </c>
      <c r="B331" s="10" t="s">
        <v>3058</v>
      </c>
      <c r="C331" s="10" t="s">
        <v>18</v>
      </c>
      <c r="D331" s="10">
        <v>2.9114144949798999</v>
      </c>
      <c r="E331" s="4">
        <v>1.49870815490479E-43</v>
      </c>
      <c r="F331" s="10">
        <v>7.5546845062547101</v>
      </c>
      <c r="G331" s="4">
        <v>1.1210693486504501E-161</v>
      </c>
    </row>
    <row r="332" spans="1:7" x14ac:dyDescent="0.2">
      <c r="A332" s="10" t="s">
        <v>4103</v>
      </c>
      <c r="B332" s="10" t="s">
        <v>4104</v>
      </c>
      <c r="C332" s="10" t="s">
        <v>18</v>
      </c>
      <c r="D332" s="10">
        <v>-1.24432075609315</v>
      </c>
      <c r="E332" s="10">
        <v>9.0212309183476305E-3</v>
      </c>
      <c r="F332" s="10">
        <v>-4.0767367157907497</v>
      </c>
      <c r="G332" s="4">
        <v>9.85810819404388E-29</v>
      </c>
    </row>
    <row r="333" spans="1:7" x14ac:dyDescent="0.2">
      <c r="A333" s="10" t="s">
        <v>353</v>
      </c>
      <c r="B333" s="10" t="s">
        <v>354</v>
      </c>
      <c r="C333" s="10" t="s">
        <v>18</v>
      </c>
      <c r="D333" s="10">
        <v>-1.9043331310448901</v>
      </c>
      <c r="E333" s="4">
        <v>1.9883891748772399E-9</v>
      </c>
      <c r="F333" s="10">
        <v>-1.94949267611225</v>
      </c>
      <c r="G333" s="4">
        <v>2.0262674639696199E-8</v>
      </c>
    </row>
    <row r="334" spans="1:7" x14ac:dyDescent="0.2">
      <c r="A334" s="10" t="s">
        <v>5326</v>
      </c>
      <c r="B334" s="10" t="s">
        <v>5327</v>
      </c>
      <c r="C334" s="10" t="s">
        <v>18</v>
      </c>
      <c r="D334" s="10">
        <v>-1.5623716777943</v>
      </c>
      <c r="E334" s="4">
        <v>4.2042399837576702E-14</v>
      </c>
      <c r="F334" s="10">
        <v>-1.44803982541308</v>
      </c>
      <c r="G334" s="4">
        <v>2.2111523768468501E-8</v>
      </c>
    </row>
    <row r="335" spans="1:7" x14ac:dyDescent="0.2">
      <c r="A335" s="10" t="s">
        <v>3867</v>
      </c>
      <c r="B335" s="10" t="s">
        <v>3868</v>
      </c>
      <c r="C335" s="10" t="s">
        <v>18</v>
      </c>
      <c r="D335" s="10">
        <v>-2.3138730595231101</v>
      </c>
      <c r="E335" s="4">
        <v>7.8243199685380296E-13</v>
      </c>
      <c r="F335" s="10">
        <v>-2.24792249075186</v>
      </c>
      <c r="G335" s="4">
        <v>9.0756356655669299E-10</v>
      </c>
    </row>
    <row r="336" spans="1:7" x14ac:dyDescent="0.2">
      <c r="A336" s="10" t="s">
        <v>6000</v>
      </c>
      <c r="B336" s="10" t="s">
        <v>6001</v>
      </c>
      <c r="C336" s="10" t="s">
        <v>18</v>
      </c>
      <c r="D336" s="10">
        <v>4.0356163136164698</v>
      </c>
      <c r="E336" s="4">
        <v>3.5015863167713098E-10</v>
      </c>
      <c r="F336" s="10">
        <v>3.5200900242938098</v>
      </c>
      <c r="G336" s="4">
        <v>2.7175378429511798E-9</v>
      </c>
    </row>
    <row r="337" spans="1:7" x14ac:dyDescent="0.2">
      <c r="A337" s="10" t="s">
        <v>1051</v>
      </c>
      <c r="B337" s="10" t="s">
        <v>1052</v>
      </c>
      <c r="C337" s="10" t="s">
        <v>18</v>
      </c>
      <c r="D337" s="10">
        <v>1.5717749831063099</v>
      </c>
      <c r="E337" s="4">
        <v>1.1325370658529499E-13</v>
      </c>
      <c r="F337" s="10">
        <v>1.57168690863668</v>
      </c>
      <c r="G337" s="4">
        <v>7.6459082544975505E-9</v>
      </c>
    </row>
    <row r="338" spans="1:7" x14ac:dyDescent="0.2">
      <c r="A338" s="10" t="s">
        <v>4358</v>
      </c>
      <c r="B338" s="10" t="s">
        <v>4359</v>
      </c>
      <c r="C338" s="10" t="s">
        <v>18</v>
      </c>
      <c r="D338" s="10">
        <v>4.7548276744959503</v>
      </c>
      <c r="E338" s="4">
        <v>2.1748733622071801E-85</v>
      </c>
      <c r="F338" s="10">
        <v>5.2483096170841401</v>
      </c>
      <c r="G338" s="4">
        <v>4.3017986908144401E-69</v>
      </c>
    </row>
    <row r="339" spans="1:7" x14ac:dyDescent="0.2">
      <c r="A339" s="10" t="s">
        <v>4468</v>
      </c>
      <c r="B339" s="10" t="s">
        <v>4469</v>
      </c>
      <c r="C339" s="10" t="s">
        <v>18</v>
      </c>
      <c r="D339" s="10">
        <v>6.2420338934464903</v>
      </c>
      <c r="E339" s="4">
        <v>3.76921951981211E-11</v>
      </c>
      <c r="F339" s="10">
        <v>2.3265011844742101</v>
      </c>
      <c r="G339" s="4">
        <v>2.9851856584370102E-7</v>
      </c>
    </row>
    <row r="340" spans="1:7" x14ac:dyDescent="0.2">
      <c r="A340" s="10" t="s">
        <v>599</v>
      </c>
      <c r="B340" s="10" t="s">
        <v>600</v>
      </c>
      <c r="C340" s="10" t="s">
        <v>18</v>
      </c>
      <c r="D340" s="10">
        <v>8.9099346543221802</v>
      </c>
      <c r="E340" s="4">
        <v>1.6093080089210301E-9</v>
      </c>
      <c r="F340" s="10">
        <v>5.0797762003572</v>
      </c>
      <c r="G340" s="4">
        <v>7.5949638519545901E-24</v>
      </c>
    </row>
    <row r="341" spans="1:7" x14ac:dyDescent="0.2">
      <c r="A341" s="10" t="s">
        <v>1751</v>
      </c>
      <c r="B341" s="10" t="s">
        <v>1752</v>
      </c>
      <c r="C341" s="10" t="s">
        <v>18</v>
      </c>
      <c r="D341" s="10">
        <v>-1.70509147429293</v>
      </c>
      <c r="E341" s="4">
        <v>1.1713560602368299E-15</v>
      </c>
      <c r="F341" s="10">
        <v>-1.0075852387550699</v>
      </c>
      <c r="G341" s="10">
        <v>8.9066927290196803E-4</v>
      </c>
    </row>
    <row r="342" spans="1:7" x14ac:dyDescent="0.2">
      <c r="A342" s="10" t="s">
        <v>8822</v>
      </c>
      <c r="B342" s="10" t="s">
        <v>8823</v>
      </c>
      <c r="C342" s="10" t="s">
        <v>18</v>
      </c>
      <c r="D342" s="10">
        <v>-1.71693235651875</v>
      </c>
      <c r="E342" s="4">
        <v>2.7339348361572699E-11</v>
      </c>
      <c r="F342" s="10">
        <v>-1.75622473187156</v>
      </c>
      <c r="G342" s="4">
        <v>6.2796572762224103E-8</v>
      </c>
    </row>
    <row r="343" spans="1:7" x14ac:dyDescent="0.2">
      <c r="A343" s="10" t="s">
        <v>993</v>
      </c>
      <c r="B343" s="10" t="s">
        <v>994</v>
      </c>
      <c r="C343" s="10" t="s">
        <v>18</v>
      </c>
      <c r="D343" s="10">
        <v>-1.0592520427529299</v>
      </c>
      <c r="E343" s="4">
        <v>3.1130082878244602E-7</v>
      </c>
      <c r="F343" s="10">
        <v>-1.3792630047910099</v>
      </c>
      <c r="G343" s="4">
        <v>7.7788885173665804E-8</v>
      </c>
    </row>
    <row r="344" spans="1:7" x14ac:dyDescent="0.2">
      <c r="A344" s="10" t="s">
        <v>7078</v>
      </c>
      <c r="B344" s="10" t="s">
        <v>7079</v>
      </c>
      <c r="C344" s="10" t="s">
        <v>18</v>
      </c>
      <c r="D344" s="10">
        <v>-2.4339616140499598</v>
      </c>
      <c r="E344" s="4">
        <v>1.0384221974839101E-30</v>
      </c>
      <c r="F344" s="10">
        <v>-2.12492550390373</v>
      </c>
      <c r="G344" s="4">
        <v>5.8924231333948698E-15</v>
      </c>
    </row>
    <row r="345" spans="1:7" x14ac:dyDescent="0.2">
      <c r="A345" s="10" t="s">
        <v>5256</v>
      </c>
      <c r="B345" s="10" t="s">
        <v>5257</v>
      </c>
      <c r="C345" s="10" t="s">
        <v>18</v>
      </c>
      <c r="D345" s="10">
        <v>1.90162869391835</v>
      </c>
      <c r="E345" s="4">
        <v>3.3047675988583799E-23</v>
      </c>
      <c r="F345" s="10">
        <v>1.24484023749956</v>
      </c>
      <c r="G345" s="4">
        <v>6.4025274473396503E-6</v>
      </c>
    </row>
    <row r="346" spans="1:7" x14ac:dyDescent="0.2">
      <c r="A346" s="10" t="s">
        <v>6222</v>
      </c>
      <c r="B346" s="10" t="s">
        <v>6223</v>
      </c>
      <c r="C346" s="10" t="s">
        <v>18</v>
      </c>
      <c r="D346" s="10">
        <v>1.1639928045986101</v>
      </c>
      <c r="E346" s="4">
        <v>3.4318745196196302E-8</v>
      </c>
      <c r="F346" s="10">
        <v>2.6644715763332698</v>
      </c>
      <c r="G346" s="4">
        <v>3.7327251785776697E-18</v>
      </c>
    </row>
    <row r="347" spans="1:7" x14ac:dyDescent="0.2">
      <c r="A347" s="10" t="s">
        <v>7564</v>
      </c>
      <c r="B347" s="10" t="s">
        <v>7565</v>
      </c>
      <c r="C347" s="10" t="s">
        <v>18</v>
      </c>
      <c r="D347" s="10">
        <v>2.1040077518761602</v>
      </c>
      <c r="E347" s="4">
        <v>2.3491000087916198E-24</v>
      </c>
      <c r="F347" s="10">
        <v>1.43377402597339</v>
      </c>
      <c r="G347" s="4">
        <v>8.0366379931563095E-8</v>
      </c>
    </row>
    <row r="348" spans="1:7" x14ac:dyDescent="0.2">
      <c r="A348" s="10" t="s">
        <v>3235</v>
      </c>
      <c r="B348" s="10" t="s">
        <v>3236</v>
      </c>
      <c r="C348" s="10" t="s">
        <v>18</v>
      </c>
      <c r="D348" s="10">
        <v>2.80648411471606</v>
      </c>
      <c r="E348" s="4">
        <v>5.7960756786134299E-32</v>
      </c>
      <c r="F348" s="10">
        <v>2.5244058929828599</v>
      </c>
      <c r="G348" s="4">
        <v>2.13764960632322E-19</v>
      </c>
    </row>
    <row r="349" spans="1:7" x14ac:dyDescent="0.2">
      <c r="A349" s="10" t="s">
        <v>7380</v>
      </c>
      <c r="B349" s="10" t="s">
        <v>7381</v>
      </c>
      <c r="C349" s="10" t="s">
        <v>18</v>
      </c>
      <c r="D349" s="10">
        <v>1.09164054166596</v>
      </c>
      <c r="E349" s="4">
        <v>1.05404355516348E-7</v>
      </c>
      <c r="F349" s="10">
        <v>1.14384378561156</v>
      </c>
      <c r="G349" s="4">
        <v>3.3510869309969898E-5</v>
      </c>
    </row>
    <row r="350" spans="1:7" x14ac:dyDescent="0.2">
      <c r="A350" s="10" t="s">
        <v>7994</v>
      </c>
      <c r="B350" s="10" t="s">
        <v>7995</v>
      </c>
      <c r="C350" s="10" t="s">
        <v>18</v>
      </c>
      <c r="D350" s="10">
        <v>-1.95286111023808</v>
      </c>
      <c r="E350" s="4">
        <v>8.0958687406169699E-9</v>
      </c>
      <c r="F350" s="10">
        <v>-1.11676839011792</v>
      </c>
      <c r="G350" s="10">
        <v>1.17616086481417E-2</v>
      </c>
    </row>
    <row r="351" spans="1:7" x14ac:dyDescent="0.2">
      <c r="A351" s="10" t="s">
        <v>5518</v>
      </c>
      <c r="B351" s="10" t="s">
        <v>5519</v>
      </c>
      <c r="C351" s="10" t="s">
        <v>18</v>
      </c>
      <c r="D351" s="10">
        <v>1.2895725803214699</v>
      </c>
      <c r="E351" s="4">
        <v>3.8264922017912304E-12</v>
      </c>
      <c r="F351" s="10">
        <v>1.0289723394207499</v>
      </c>
      <c r="G351" s="4">
        <v>1.9916436366759699E-5</v>
      </c>
    </row>
    <row r="352" spans="1:7" x14ac:dyDescent="0.2">
      <c r="A352" s="10" t="s">
        <v>6802</v>
      </c>
      <c r="B352" s="10" t="s">
        <v>6803</v>
      </c>
      <c r="C352" s="10" t="s">
        <v>18</v>
      </c>
      <c r="D352" s="10">
        <v>1.87410399539087</v>
      </c>
      <c r="E352" s="4">
        <v>1.0386347817734E-17</v>
      </c>
      <c r="F352" s="10">
        <v>2.1765338356158699</v>
      </c>
      <c r="G352" s="4">
        <v>2.5579208342378901E-17</v>
      </c>
    </row>
    <row r="353" spans="1:7" x14ac:dyDescent="0.2">
      <c r="A353" s="10" t="s">
        <v>6844</v>
      </c>
      <c r="B353" s="10" t="s">
        <v>6845</v>
      </c>
      <c r="C353" s="10" t="s">
        <v>18</v>
      </c>
      <c r="D353" s="10">
        <v>2.0400206003341701</v>
      </c>
      <c r="E353" s="4">
        <v>2.8435059514826302E-20</v>
      </c>
      <c r="F353" s="10">
        <v>2.8387481966817201</v>
      </c>
      <c r="G353" s="4">
        <v>2.6956839518008298E-24</v>
      </c>
    </row>
    <row r="354" spans="1:7" x14ac:dyDescent="0.2">
      <c r="A354" s="10" t="s">
        <v>6846</v>
      </c>
      <c r="B354" s="10" t="s">
        <v>6847</v>
      </c>
      <c r="C354" s="10" t="s">
        <v>18</v>
      </c>
      <c r="D354" s="10">
        <v>6.3765305387548201</v>
      </c>
      <c r="E354" s="4">
        <v>6.7491245403266306E-5</v>
      </c>
      <c r="F354" s="10">
        <v>3.4212041492421799</v>
      </c>
      <c r="G354" s="4">
        <v>4.02248622685015E-5</v>
      </c>
    </row>
    <row r="355" spans="1:7" x14ac:dyDescent="0.2">
      <c r="A355" s="10" t="s">
        <v>8648</v>
      </c>
      <c r="B355" s="10" t="s">
        <v>8649</v>
      </c>
      <c r="C355" s="10" t="s">
        <v>18</v>
      </c>
      <c r="D355" s="10">
        <v>-1.6627359257309</v>
      </c>
      <c r="E355" s="4">
        <v>1.1699808297982899E-10</v>
      </c>
      <c r="F355" s="10">
        <v>1.37524697840229</v>
      </c>
      <c r="G355" s="10">
        <v>1.5334311918305699E-3</v>
      </c>
    </row>
    <row r="356" spans="1:7" x14ac:dyDescent="0.2">
      <c r="A356" s="10" t="s">
        <v>51</v>
      </c>
      <c r="B356" s="10" t="s">
        <v>52</v>
      </c>
      <c r="C356" s="10" t="s">
        <v>18</v>
      </c>
      <c r="D356" s="10">
        <v>1.85405819956364</v>
      </c>
      <c r="E356" s="4">
        <v>5.1815700003921701E-5</v>
      </c>
      <c r="F356" s="10">
        <v>3.5636712379889302</v>
      </c>
      <c r="G356" s="4">
        <v>1.09466229059207E-10</v>
      </c>
    </row>
    <row r="357" spans="1:7" x14ac:dyDescent="0.2">
      <c r="A357" s="10" t="s">
        <v>8246</v>
      </c>
      <c r="B357" s="10" t="s">
        <v>8247</v>
      </c>
      <c r="C357" s="10" t="s">
        <v>18</v>
      </c>
      <c r="D357" s="10">
        <v>8.1060257770656907</v>
      </c>
      <c r="E357" s="4">
        <v>7.4826293072725594E-26</v>
      </c>
      <c r="F357" s="10">
        <v>11.7980589531116</v>
      </c>
      <c r="G357" s="4">
        <v>1.39177885687844E-15</v>
      </c>
    </row>
    <row r="358" spans="1:7" x14ac:dyDescent="0.2">
      <c r="A358" s="10" t="s">
        <v>597</v>
      </c>
      <c r="B358" s="10" t="s">
        <v>598</v>
      </c>
      <c r="C358" s="10" t="s">
        <v>18</v>
      </c>
      <c r="D358" s="10">
        <v>1.1835632665539999</v>
      </c>
      <c r="E358" s="10">
        <v>6.0138321329058499E-4</v>
      </c>
      <c r="F358" s="10">
        <v>-1.6141878162340999</v>
      </c>
      <c r="G358" s="4">
        <v>2.29646518766494E-8</v>
      </c>
    </row>
    <row r="359" spans="1:7" x14ac:dyDescent="0.2">
      <c r="A359" s="10" t="s">
        <v>6356</v>
      </c>
      <c r="B359" s="10" t="s">
        <v>6357</v>
      </c>
      <c r="C359" s="10" t="s">
        <v>18</v>
      </c>
      <c r="D359" s="10">
        <v>-3.58948950290331</v>
      </c>
      <c r="E359" s="4">
        <v>7.4554570505417005E-60</v>
      </c>
      <c r="F359" s="10">
        <v>-2.8709012349904701</v>
      </c>
      <c r="G359" s="4">
        <v>4.0622591268887603E-24</v>
      </c>
    </row>
    <row r="360" spans="1:7" x14ac:dyDescent="0.2">
      <c r="A360" s="10" t="s">
        <v>8626</v>
      </c>
      <c r="B360" s="10" t="s">
        <v>8627</v>
      </c>
      <c r="C360" s="10" t="s">
        <v>18</v>
      </c>
      <c r="D360" s="10">
        <v>-1.13923355796904</v>
      </c>
      <c r="E360" s="4">
        <v>5.6144100600491504E-7</v>
      </c>
      <c r="F360" s="10">
        <v>-1.42416751523886</v>
      </c>
      <c r="G360" s="4">
        <v>3.6951075086320699E-7</v>
      </c>
    </row>
    <row r="361" spans="1:7" x14ac:dyDescent="0.2">
      <c r="A361" s="10" t="s">
        <v>71</v>
      </c>
      <c r="B361" s="10" t="s">
        <v>72</v>
      </c>
      <c r="C361" s="10" t="s">
        <v>18</v>
      </c>
      <c r="D361" s="10">
        <v>4.2728097420668298</v>
      </c>
      <c r="E361" s="4">
        <v>3.0134379170704399E-32</v>
      </c>
      <c r="F361" s="10">
        <v>2.9700638731085101</v>
      </c>
      <c r="G361" s="4">
        <v>3.1718256392025501E-19</v>
      </c>
    </row>
    <row r="362" spans="1:7" x14ac:dyDescent="0.2">
      <c r="A362" s="10" t="s">
        <v>5324</v>
      </c>
      <c r="B362" s="10" t="s">
        <v>5325</v>
      </c>
      <c r="C362" s="10" t="s">
        <v>18</v>
      </c>
      <c r="D362" s="10">
        <v>-1.88425120421626</v>
      </c>
      <c r="E362" s="4">
        <v>1.0910238432503701E-24</v>
      </c>
      <c r="F362" s="10">
        <v>-1.6993358706975199</v>
      </c>
      <c r="G362" s="4">
        <v>2.9923199499052801E-10</v>
      </c>
    </row>
    <row r="363" spans="1:7" x14ac:dyDescent="0.2">
      <c r="A363" s="10" t="s">
        <v>929</v>
      </c>
      <c r="B363" s="10" t="s">
        <v>930</v>
      </c>
      <c r="C363" s="10" t="s">
        <v>18</v>
      </c>
      <c r="D363" s="10">
        <v>-1.4849947622080399</v>
      </c>
      <c r="E363" s="4">
        <v>1.00628629028236E-14</v>
      </c>
      <c r="F363" s="10">
        <v>-1.75947889209807</v>
      </c>
      <c r="G363" s="4">
        <v>2.5415027997793399E-11</v>
      </c>
    </row>
    <row r="364" spans="1:7" x14ac:dyDescent="0.2">
      <c r="A364" s="10" t="s">
        <v>1155</v>
      </c>
      <c r="B364" s="10" t="s">
        <v>1156</v>
      </c>
      <c r="C364" s="10" t="s">
        <v>18</v>
      </c>
      <c r="D364" s="10">
        <v>1.2239624817696899</v>
      </c>
      <c r="E364" s="4">
        <v>6.4519204747442098E-10</v>
      </c>
      <c r="F364" s="10">
        <v>1.11440442574957</v>
      </c>
      <c r="G364" s="4">
        <v>4.1995055752612698E-5</v>
      </c>
    </row>
    <row r="365" spans="1:7" x14ac:dyDescent="0.2">
      <c r="A365" s="10" t="s">
        <v>4015</v>
      </c>
      <c r="B365" s="10" t="s">
        <v>4016</v>
      </c>
      <c r="C365" s="10" t="s">
        <v>18</v>
      </c>
      <c r="D365" s="10">
        <v>-1.6896370081816601</v>
      </c>
      <c r="E365" s="4">
        <v>4.4552911476220602E-19</v>
      </c>
      <c r="F365" s="10">
        <v>-1.46943932561701</v>
      </c>
      <c r="G365" s="4">
        <v>2.97871092408689E-9</v>
      </c>
    </row>
    <row r="366" spans="1:7" x14ac:dyDescent="0.2">
      <c r="A366" s="10" t="s">
        <v>6450</v>
      </c>
      <c r="B366" s="10" t="s">
        <v>6451</v>
      </c>
      <c r="C366" s="10" t="s">
        <v>18</v>
      </c>
      <c r="D366" s="10">
        <v>6.3056329290033997</v>
      </c>
      <c r="E366" s="4">
        <v>1.8246066419455801E-11</v>
      </c>
      <c r="F366" s="10">
        <v>4.15005655585772</v>
      </c>
      <c r="G366" s="4">
        <v>1.7489523816891701E-13</v>
      </c>
    </row>
    <row r="367" spans="1:7" x14ac:dyDescent="0.2">
      <c r="A367" s="10" t="s">
        <v>8582</v>
      </c>
      <c r="B367" s="10" t="s">
        <v>8583</v>
      </c>
      <c r="C367" s="10" t="s">
        <v>18</v>
      </c>
      <c r="D367" s="10">
        <v>8.1743386275130394</v>
      </c>
      <c r="E367" s="4">
        <v>2.01304899021153E-7</v>
      </c>
      <c r="F367" s="10">
        <v>6.98387457606625</v>
      </c>
      <c r="G367" s="4">
        <v>5.7375812742615803E-6</v>
      </c>
    </row>
    <row r="368" spans="1:7" x14ac:dyDescent="0.2">
      <c r="A368" s="10" t="s">
        <v>6916</v>
      </c>
      <c r="B368" s="10" t="s">
        <v>6917</v>
      </c>
      <c r="C368" s="10" t="s">
        <v>18</v>
      </c>
      <c r="D368" s="10">
        <v>1.90193509970359</v>
      </c>
      <c r="E368" s="4">
        <v>7.3550892899080097E-13</v>
      </c>
      <c r="F368" s="10">
        <v>2.6638938203409301</v>
      </c>
      <c r="G368" s="4">
        <v>7.7968089234926797E-18</v>
      </c>
    </row>
    <row r="369" spans="1:7" x14ac:dyDescent="0.2">
      <c r="A369" s="10" t="s">
        <v>7596</v>
      </c>
      <c r="B369" s="10" t="s">
        <v>7597</v>
      </c>
      <c r="C369" s="10" t="s">
        <v>18</v>
      </c>
      <c r="D369" s="10">
        <v>-3.13391672333448</v>
      </c>
      <c r="E369" s="4">
        <v>8.5186805800957198E-52</v>
      </c>
      <c r="F369" s="10">
        <v>-1.1324630226827599</v>
      </c>
      <c r="G369" s="10">
        <v>2.3218654201304399E-4</v>
      </c>
    </row>
    <row r="370" spans="1:7" x14ac:dyDescent="0.2">
      <c r="A370" s="10" t="s">
        <v>6096</v>
      </c>
      <c r="B370" s="10" t="s">
        <v>6097</v>
      </c>
      <c r="C370" s="10" t="s">
        <v>18</v>
      </c>
      <c r="D370" s="10">
        <v>1.21587666566638</v>
      </c>
      <c r="E370" s="4">
        <v>6.0740622727782204E-6</v>
      </c>
      <c r="F370" s="10">
        <v>1.4787025086785599</v>
      </c>
      <c r="G370" s="4">
        <v>2.0096845409882802E-6</v>
      </c>
    </row>
    <row r="371" spans="1:7" x14ac:dyDescent="0.2">
      <c r="A371" s="10" t="s">
        <v>6634</v>
      </c>
      <c r="B371" s="10" t="s">
        <v>6635</v>
      </c>
      <c r="C371" s="10" t="s">
        <v>18</v>
      </c>
      <c r="D371" s="10">
        <v>3.6077359895376402</v>
      </c>
      <c r="E371" s="4">
        <v>1.3437666707395101E-13</v>
      </c>
      <c r="F371" s="10">
        <v>1.4145397588758599</v>
      </c>
      <c r="G371" s="10">
        <v>3.7495475943613701E-4</v>
      </c>
    </row>
    <row r="372" spans="1:7" x14ac:dyDescent="0.2">
      <c r="A372" s="10" t="s">
        <v>7194</v>
      </c>
      <c r="B372" s="10" t="s">
        <v>7195</v>
      </c>
      <c r="C372" s="10" t="s">
        <v>18</v>
      </c>
      <c r="D372" s="10">
        <v>-2.3027340278777002</v>
      </c>
      <c r="E372" s="4">
        <v>3.6092189819655402E-22</v>
      </c>
      <c r="F372" s="10">
        <v>-1.08517128093063</v>
      </c>
      <c r="G372" s="10">
        <v>7.2070623055427001E-4</v>
      </c>
    </row>
    <row r="373" spans="1:7" x14ac:dyDescent="0.2">
      <c r="A373" s="10" t="s">
        <v>297</v>
      </c>
      <c r="B373" s="10" t="s">
        <v>298</v>
      </c>
      <c r="C373" s="10" t="s">
        <v>18</v>
      </c>
      <c r="D373" s="10">
        <v>1.27354661336132</v>
      </c>
      <c r="E373" s="4">
        <v>3.30926732336026E-6</v>
      </c>
      <c r="F373" s="10">
        <v>1.73345490663449</v>
      </c>
      <c r="G373" s="4">
        <v>7.1293781810209198E-8</v>
      </c>
    </row>
    <row r="374" spans="1:7" x14ac:dyDescent="0.2">
      <c r="A374" s="10" t="s">
        <v>6204</v>
      </c>
      <c r="B374" s="10" t="s">
        <v>6205</v>
      </c>
      <c r="C374" s="10" t="s">
        <v>18</v>
      </c>
      <c r="D374" s="10">
        <v>-1.6659459802490899</v>
      </c>
      <c r="E374" s="4">
        <v>7.8788547234892294E-15</v>
      </c>
      <c r="F374" s="10">
        <v>-1.0807167075347901</v>
      </c>
      <c r="G374" s="10">
        <v>1.12584109894084E-4</v>
      </c>
    </row>
    <row r="375" spans="1:7" x14ac:dyDescent="0.2">
      <c r="A375" s="10" t="s">
        <v>8178</v>
      </c>
      <c r="B375" s="10" t="s">
        <v>8179</v>
      </c>
      <c r="C375" s="10" t="s">
        <v>18</v>
      </c>
      <c r="D375" s="10">
        <v>2.0530438689653101</v>
      </c>
      <c r="E375" s="4">
        <v>4.8667936464912204E-7</v>
      </c>
      <c r="F375" s="10">
        <v>2.1517148894326401</v>
      </c>
      <c r="G375" s="4">
        <v>3.9708000046018501E-7</v>
      </c>
    </row>
    <row r="376" spans="1:7" x14ac:dyDescent="0.2">
      <c r="A376" s="10" t="s">
        <v>455</v>
      </c>
      <c r="B376" s="10" t="s">
        <v>456</v>
      </c>
      <c r="C376" s="10" t="s">
        <v>18</v>
      </c>
      <c r="D376" s="10">
        <v>6.1373555726082101</v>
      </c>
      <c r="E376" s="4">
        <v>1.40059144973285E-7</v>
      </c>
      <c r="F376" s="10">
        <v>2.6775900561044801</v>
      </c>
      <c r="G376" s="4">
        <v>5.8580007464189302E-6</v>
      </c>
    </row>
    <row r="377" spans="1:7" x14ac:dyDescent="0.2">
      <c r="A377" s="10" t="s">
        <v>2079</v>
      </c>
      <c r="B377" s="10" t="s">
        <v>2080</v>
      </c>
      <c r="C377" s="10" t="s">
        <v>18</v>
      </c>
      <c r="D377" s="10">
        <v>-1.8434486240229799</v>
      </c>
      <c r="E377" s="4">
        <v>2.5386426038788599E-14</v>
      </c>
      <c r="F377" s="10">
        <v>-1.3611025308137401</v>
      </c>
      <c r="G377" s="4">
        <v>1.9421696525425901E-5</v>
      </c>
    </row>
    <row r="378" spans="1:7" x14ac:dyDescent="0.2">
      <c r="A378" s="10" t="s">
        <v>8960</v>
      </c>
      <c r="B378" s="10" t="s">
        <v>8961</v>
      </c>
      <c r="C378" s="10" t="s">
        <v>18</v>
      </c>
      <c r="D378" s="10">
        <v>-1.7775299458115399</v>
      </c>
      <c r="E378" s="4">
        <v>1.2333920601213E-22</v>
      </c>
      <c r="F378" s="10">
        <v>-1.7143356004427399</v>
      </c>
      <c r="G378" s="4">
        <v>5.5455322537805601E-12</v>
      </c>
    </row>
    <row r="379" spans="1:7" x14ac:dyDescent="0.2">
      <c r="A379" s="10" t="s">
        <v>2037</v>
      </c>
      <c r="B379" s="10" t="s">
        <v>2038</v>
      </c>
      <c r="C379" s="10" t="s">
        <v>18</v>
      </c>
      <c r="D379" s="10">
        <v>-3.0039902112954899</v>
      </c>
      <c r="E379" s="4">
        <v>3.9499532389366497E-13</v>
      </c>
      <c r="F379" s="10">
        <v>-4.3839646426584302</v>
      </c>
      <c r="G379" s="4">
        <v>2.6496609127345498E-32</v>
      </c>
    </row>
    <row r="380" spans="1:7" x14ac:dyDescent="0.2">
      <c r="A380" s="10" t="s">
        <v>9022</v>
      </c>
      <c r="B380" s="10" t="s">
        <v>9023</v>
      </c>
      <c r="C380" s="10" t="s">
        <v>18</v>
      </c>
      <c r="D380" s="10">
        <v>-3.4479022178066998</v>
      </c>
      <c r="E380" s="4">
        <v>1.89148368502643E-6</v>
      </c>
      <c r="F380" s="10">
        <v>-3.58512938210758</v>
      </c>
      <c r="G380" s="4">
        <v>3.2382766120023101E-7</v>
      </c>
    </row>
    <row r="381" spans="1:7" x14ac:dyDescent="0.2">
      <c r="A381" s="10" t="s">
        <v>2383</v>
      </c>
      <c r="B381" s="10" t="s">
        <v>2384</v>
      </c>
      <c r="C381" s="10" t="s">
        <v>18</v>
      </c>
      <c r="D381" s="10">
        <v>-1.64930692796981</v>
      </c>
      <c r="E381" s="4">
        <v>6.6876041820981697E-6</v>
      </c>
      <c r="F381" s="10">
        <v>-2.9192473999423898</v>
      </c>
      <c r="G381" s="4">
        <v>5.9365122995949906E-17</v>
      </c>
    </row>
    <row r="382" spans="1:7" x14ac:dyDescent="0.2">
      <c r="A382" s="10" t="s">
        <v>199</v>
      </c>
      <c r="B382" s="10" t="s">
        <v>200</v>
      </c>
      <c r="C382" s="10" t="s">
        <v>18</v>
      </c>
      <c r="D382" s="10">
        <v>-1.31959191353366</v>
      </c>
      <c r="E382" s="4">
        <v>4.7529842212490003E-13</v>
      </c>
      <c r="F382" s="10">
        <v>-1.6000770569104601</v>
      </c>
      <c r="G382" s="4">
        <v>3.2966357243858801E-10</v>
      </c>
    </row>
    <row r="383" spans="1:7" x14ac:dyDescent="0.2">
      <c r="A383" s="10" t="s">
        <v>3757</v>
      </c>
      <c r="B383" s="10" t="s">
        <v>3758</v>
      </c>
      <c r="C383" s="10" t="s">
        <v>18</v>
      </c>
      <c r="D383" s="10">
        <v>1.19220705708732</v>
      </c>
      <c r="E383" s="4">
        <v>9.0019852509580695E-10</v>
      </c>
      <c r="F383" s="10">
        <v>2.2904629911208101</v>
      </c>
      <c r="G383" s="4">
        <v>1.2996754527848901E-17</v>
      </c>
    </row>
    <row r="384" spans="1:7" x14ac:dyDescent="0.2">
      <c r="A384" s="10" t="s">
        <v>4966</v>
      </c>
      <c r="B384" s="10" t="s">
        <v>4967</v>
      </c>
      <c r="C384" s="10" t="s">
        <v>18</v>
      </c>
      <c r="D384" s="10">
        <v>1.09987821523413</v>
      </c>
      <c r="E384" s="4">
        <v>6.3634384908248299E-7</v>
      </c>
      <c r="F384" s="10">
        <v>1.0193506452523799</v>
      </c>
      <c r="G384" s="10">
        <v>1.05913393170637E-4</v>
      </c>
    </row>
    <row r="385" spans="1:7" x14ac:dyDescent="0.2">
      <c r="A385" s="10" t="s">
        <v>8900</v>
      </c>
      <c r="B385" s="10" t="s">
        <v>8901</v>
      </c>
      <c r="C385" s="10" t="s">
        <v>18</v>
      </c>
      <c r="D385" s="10">
        <v>3.9176182280812801</v>
      </c>
      <c r="E385" s="4">
        <v>4.1759883197256602E-10</v>
      </c>
      <c r="F385" s="10">
        <v>2.67958880273786</v>
      </c>
      <c r="G385" s="4">
        <v>3.4081598209212202E-7</v>
      </c>
    </row>
    <row r="386" spans="1:7" x14ac:dyDescent="0.2">
      <c r="A386" s="10" t="s">
        <v>3817</v>
      </c>
      <c r="B386" s="10" t="s">
        <v>3818</v>
      </c>
      <c r="C386" s="10" t="s">
        <v>18</v>
      </c>
      <c r="D386" s="10">
        <v>-1.67946275464676</v>
      </c>
      <c r="E386" s="4">
        <v>4.3416566457996499E-12</v>
      </c>
      <c r="F386" s="10">
        <v>-3.00299229007656</v>
      </c>
      <c r="G386" s="4">
        <v>1.5944754652756901E-26</v>
      </c>
    </row>
    <row r="387" spans="1:7" x14ac:dyDescent="0.2">
      <c r="A387" s="10" t="s">
        <v>2481</v>
      </c>
      <c r="B387" s="10" t="s">
        <v>2482</v>
      </c>
      <c r="C387" s="10" t="s">
        <v>18</v>
      </c>
      <c r="D387" s="10">
        <v>2.3071464635625101</v>
      </c>
      <c r="E387" s="4">
        <v>5.8574415733560302E-40</v>
      </c>
      <c r="F387" s="10">
        <v>4.7568704873028702</v>
      </c>
      <c r="G387" s="4">
        <v>2.21956956598248E-78</v>
      </c>
    </row>
    <row r="388" spans="1:7" x14ac:dyDescent="0.2">
      <c r="A388" s="10" t="s">
        <v>1683</v>
      </c>
      <c r="B388" s="10" t="s">
        <v>1684</v>
      </c>
      <c r="C388" s="10" t="s">
        <v>18</v>
      </c>
      <c r="D388" s="10">
        <v>-1.3203040475186001</v>
      </c>
      <c r="E388" s="4">
        <v>2.1948353841657001E-9</v>
      </c>
      <c r="F388" s="10">
        <v>-1.1067634779179101</v>
      </c>
      <c r="G388" s="4">
        <v>4.5641317249670103E-5</v>
      </c>
    </row>
    <row r="389" spans="1:7" x14ac:dyDescent="0.2">
      <c r="A389" s="10" t="s">
        <v>1681</v>
      </c>
      <c r="B389" s="10" t="s">
        <v>1682</v>
      </c>
      <c r="C389" s="10" t="s">
        <v>18</v>
      </c>
      <c r="D389" s="10">
        <v>-1.9280782512866499</v>
      </c>
      <c r="E389" s="4">
        <v>5.5367494755772696E-13</v>
      </c>
      <c r="F389" s="10">
        <v>-1.0086665653754101</v>
      </c>
      <c r="G389" s="10">
        <v>2.4122464532368802E-3</v>
      </c>
    </row>
    <row r="390" spans="1:7" x14ac:dyDescent="0.2">
      <c r="A390" s="10" t="s">
        <v>6832</v>
      </c>
      <c r="B390" s="10" t="s">
        <v>6833</v>
      </c>
      <c r="C390" s="10" t="s">
        <v>18</v>
      </c>
      <c r="D390" s="10">
        <v>7.9374991884320902</v>
      </c>
      <c r="E390" s="4">
        <v>1.7942652876930101E-30</v>
      </c>
      <c r="F390" s="10">
        <v>4.4307662796042298</v>
      </c>
      <c r="G390" s="4">
        <v>2.4870482386537501E-39</v>
      </c>
    </row>
    <row r="391" spans="1:7" x14ac:dyDescent="0.2">
      <c r="A391" s="10" t="s">
        <v>4682</v>
      </c>
      <c r="B391" s="10" t="s">
        <v>4683</v>
      </c>
      <c r="C391" s="10" t="s">
        <v>18</v>
      </c>
      <c r="D391" s="10">
        <v>-1.4161769459895599</v>
      </c>
      <c r="E391" s="4">
        <v>1.91630187420664E-5</v>
      </c>
      <c r="F391" s="10">
        <v>-2.5082221311159301</v>
      </c>
      <c r="G391" s="4">
        <v>2.6946693088844199E-15</v>
      </c>
    </row>
    <row r="392" spans="1:7" x14ac:dyDescent="0.2">
      <c r="A392" s="10" t="s">
        <v>1481</v>
      </c>
      <c r="B392" s="10" t="s">
        <v>1482</v>
      </c>
      <c r="C392" s="10" t="s">
        <v>18</v>
      </c>
      <c r="D392" s="10">
        <v>-1.11280481919989</v>
      </c>
      <c r="E392" s="4">
        <v>4.75069840847013E-10</v>
      </c>
      <c r="F392" s="10">
        <v>-1.45687301726801</v>
      </c>
      <c r="G392" s="4">
        <v>1.5740066484760101E-9</v>
      </c>
    </row>
    <row r="393" spans="1:7" x14ac:dyDescent="0.2">
      <c r="A393" s="10" t="s">
        <v>7236</v>
      </c>
      <c r="B393" s="10" t="s">
        <v>7237</v>
      </c>
      <c r="C393" s="10" t="s">
        <v>18</v>
      </c>
      <c r="D393" s="10">
        <v>-1.5626902401179901</v>
      </c>
      <c r="E393" s="4">
        <v>3.2485400188334098E-13</v>
      </c>
      <c r="F393" s="10">
        <v>-1.7824780961820199</v>
      </c>
      <c r="G393" s="4">
        <v>1.17282171174447E-9</v>
      </c>
    </row>
    <row r="394" spans="1:7" x14ac:dyDescent="0.2">
      <c r="A394" s="10" t="s">
        <v>3587</v>
      </c>
      <c r="B394" s="10" t="s">
        <v>3588</v>
      </c>
      <c r="C394" s="10" t="s">
        <v>18</v>
      </c>
      <c r="D394" s="10">
        <v>-1.2671147970561401</v>
      </c>
      <c r="E394" s="10">
        <v>1.15559326899042E-4</v>
      </c>
      <c r="F394" s="10">
        <v>-1.2669615763019999</v>
      </c>
      <c r="G394" s="10">
        <v>4.6721322958287697E-4</v>
      </c>
    </row>
    <row r="395" spans="1:7" x14ac:dyDescent="0.2">
      <c r="A395" s="10" t="s">
        <v>3179</v>
      </c>
      <c r="B395" s="10" t="s">
        <v>3180</v>
      </c>
      <c r="C395" s="10" t="s">
        <v>18</v>
      </c>
      <c r="D395" s="10">
        <v>5.9211747952185396</v>
      </c>
      <c r="E395" s="10">
        <v>2.59627675744899E-3</v>
      </c>
      <c r="F395" s="10">
        <v>-2.3268087011729301</v>
      </c>
      <c r="G395" s="10">
        <v>1.4763738164409501E-4</v>
      </c>
    </row>
    <row r="396" spans="1:7" x14ac:dyDescent="0.2">
      <c r="A396" s="10" t="s">
        <v>5476</v>
      </c>
      <c r="B396" s="10" t="s">
        <v>5477</v>
      </c>
      <c r="C396" s="10" t="s">
        <v>18</v>
      </c>
      <c r="D396" s="10">
        <v>8.3545197512149496</v>
      </c>
      <c r="E396" s="4">
        <v>8.2235574227675904E-8</v>
      </c>
      <c r="F396" s="10">
        <v>2.1755843395813699</v>
      </c>
      <c r="G396" s="10">
        <v>3.59294160027187E-4</v>
      </c>
    </row>
    <row r="397" spans="1:7" x14ac:dyDescent="0.2">
      <c r="A397" s="10" t="s">
        <v>7250</v>
      </c>
      <c r="B397" s="10" t="s">
        <v>7251</v>
      </c>
      <c r="C397" s="10" t="s">
        <v>18</v>
      </c>
      <c r="D397" s="10">
        <v>-2.5171512539921301</v>
      </c>
      <c r="E397" s="4">
        <v>7.0616454150043299E-29</v>
      </c>
      <c r="F397" s="10">
        <v>-2.8353439000272398</v>
      </c>
      <c r="G397" s="4">
        <v>1.8865299422636101E-19</v>
      </c>
    </row>
    <row r="398" spans="1:7" x14ac:dyDescent="0.2">
      <c r="A398" s="10" t="s">
        <v>6024</v>
      </c>
      <c r="B398" s="10" t="s">
        <v>6025</v>
      </c>
      <c r="C398" s="10" t="s">
        <v>18</v>
      </c>
      <c r="D398" s="10">
        <v>-1.7008614747794699</v>
      </c>
      <c r="E398" s="4">
        <v>1.17320573088433E-20</v>
      </c>
      <c r="F398" s="10">
        <v>-1.3793029174640199</v>
      </c>
      <c r="G398" s="4">
        <v>3.9262056714952899E-8</v>
      </c>
    </row>
    <row r="399" spans="1:7" x14ac:dyDescent="0.2">
      <c r="A399" s="10" t="s">
        <v>4720</v>
      </c>
      <c r="B399" s="10" t="s">
        <v>4721</v>
      </c>
      <c r="C399" s="10" t="s">
        <v>18</v>
      </c>
      <c r="D399" s="10">
        <v>6.0992714028598796</v>
      </c>
      <c r="E399" s="4">
        <v>1.52008299784027E-7</v>
      </c>
      <c r="F399" s="10">
        <v>2.22214801437128</v>
      </c>
      <c r="G399" s="4">
        <v>5.4322381357561001E-5</v>
      </c>
    </row>
    <row r="400" spans="1:7" x14ac:dyDescent="0.2">
      <c r="A400" s="10" t="s">
        <v>3393</v>
      </c>
      <c r="B400" s="10" t="s">
        <v>3394</v>
      </c>
      <c r="C400" s="10" t="s">
        <v>18</v>
      </c>
      <c r="D400" s="10">
        <v>3.7297683688207401</v>
      </c>
      <c r="E400" s="4">
        <v>1.7323921623603199E-5</v>
      </c>
      <c r="F400" s="10">
        <v>-1.3105493592072199</v>
      </c>
      <c r="G400" s="10">
        <v>2.3618785502811401E-3</v>
      </c>
    </row>
    <row r="401" spans="1:7" x14ac:dyDescent="0.2">
      <c r="A401" s="10" t="s">
        <v>5940</v>
      </c>
      <c r="B401" s="10" t="s">
        <v>5941</v>
      </c>
      <c r="C401" s="10" t="s">
        <v>18</v>
      </c>
      <c r="D401" s="10">
        <v>1.7165879181371599</v>
      </c>
      <c r="E401" s="4">
        <v>1.1833536948384399E-6</v>
      </c>
      <c r="F401" s="10">
        <v>2.9533076992724001</v>
      </c>
      <c r="G401" s="4">
        <v>4.6360430285571295E-13</v>
      </c>
    </row>
    <row r="402" spans="1:7" x14ac:dyDescent="0.2">
      <c r="A402" s="10" t="s">
        <v>4376</v>
      </c>
      <c r="B402" s="10" t="s">
        <v>4377</v>
      </c>
      <c r="C402" s="10" t="s">
        <v>18</v>
      </c>
      <c r="D402" s="10">
        <v>6.2035207029904003</v>
      </c>
      <c r="E402" s="4">
        <v>4.2404479840034599E-51</v>
      </c>
      <c r="F402" s="10">
        <v>5.8804627335796802</v>
      </c>
      <c r="G402" s="4">
        <v>1.2657634696485299E-47</v>
      </c>
    </row>
    <row r="403" spans="1:7" x14ac:dyDescent="0.2">
      <c r="A403" s="10" t="s">
        <v>1381</v>
      </c>
      <c r="B403" s="10" t="s">
        <v>1382</v>
      </c>
      <c r="C403" s="10" t="s">
        <v>18</v>
      </c>
      <c r="D403" s="10">
        <v>2.92526953309289</v>
      </c>
      <c r="E403" s="4">
        <v>3.0785522920425301E-17</v>
      </c>
      <c r="F403" s="10">
        <v>1.58633859542276</v>
      </c>
      <c r="G403" s="4">
        <v>1.0218252505838399E-6</v>
      </c>
    </row>
    <row r="404" spans="1:7" x14ac:dyDescent="0.2">
      <c r="A404" s="10" t="s">
        <v>1749</v>
      </c>
      <c r="B404" s="10" t="s">
        <v>1750</v>
      </c>
      <c r="C404" s="10" t="s">
        <v>18</v>
      </c>
      <c r="D404" s="10">
        <v>4.1850089172992702</v>
      </c>
      <c r="E404" s="4">
        <v>6.1438607350076496E-101</v>
      </c>
      <c r="F404" s="10">
        <v>4.1508468099773497</v>
      </c>
      <c r="G404" s="4">
        <v>1.3034300616279499E-38</v>
      </c>
    </row>
    <row r="405" spans="1:7" x14ac:dyDescent="0.2">
      <c r="A405" s="10" t="s">
        <v>293</v>
      </c>
      <c r="B405" s="10" t="s">
        <v>294</v>
      </c>
      <c r="C405" s="10" t="s">
        <v>18</v>
      </c>
      <c r="D405" s="10">
        <v>1.3570338698440401</v>
      </c>
      <c r="E405" s="4">
        <v>6.1884852279096802E-12</v>
      </c>
      <c r="F405" s="10">
        <v>1.6249611776568</v>
      </c>
      <c r="G405" s="4">
        <v>5.1743976630104801E-8</v>
      </c>
    </row>
    <row r="406" spans="1:7" x14ac:dyDescent="0.2">
      <c r="A406" s="10" t="s">
        <v>7970</v>
      </c>
      <c r="B406" s="10" t="s">
        <v>7971</v>
      </c>
      <c r="C406" s="10" t="s">
        <v>18</v>
      </c>
      <c r="D406" s="10">
        <v>-1.67913727027832</v>
      </c>
      <c r="E406" s="4">
        <v>1.19054020620418E-16</v>
      </c>
      <c r="F406" s="10">
        <v>-1.5346852224379199</v>
      </c>
      <c r="G406" s="4">
        <v>2.01743149441737E-8</v>
      </c>
    </row>
    <row r="407" spans="1:7" x14ac:dyDescent="0.2">
      <c r="A407" s="10" t="s">
        <v>767</v>
      </c>
      <c r="B407" s="10" t="s">
        <v>768</v>
      </c>
      <c r="C407" s="10" t="s">
        <v>18</v>
      </c>
      <c r="D407" s="10">
        <v>-1.62231033715502</v>
      </c>
      <c r="E407" s="4">
        <v>1.15203262572753E-12</v>
      </c>
      <c r="F407" s="10">
        <v>-2.3801174798292299</v>
      </c>
      <c r="G407" s="4">
        <v>4.3297477260679399E-19</v>
      </c>
    </row>
    <row r="408" spans="1:7" x14ac:dyDescent="0.2">
      <c r="A408" s="10" t="s">
        <v>6934</v>
      </c>
      <c r="B408" s="10" t="s">
        <v>6935</v>
      </c>
      <c r="C408" s="10" t="s">
        <v>18</v>
      </c>
      <c r="D408" s="10">
        <v>-2.5215474186553499</v>
      </c>
      <c r="E408" s="4">
        <v>2.29175656116514E-21</v>
      </c>
      <c r="F408" s="10">
        <v>-3.2954810653213702</v>
      </c>
      <c r="G408" s="4">
        <v>8.0723237916774096E-24</v>
      </c>
    </row>
    <row r="409" spans="1:7" x14ac:dyDescent="0.2">
      <c r="A409" s="10" t="s">
        <v>3685</v>
      </c>
      <c r="B409" s="10" t="s">
        <v>3686</v>
      </c>
      <c r="C409" s="10" t="s">
        <v>18</v>
      </c>
      <c r="D409" s="10">
        <v>6.1522914930114698</v>
      </c>
      <c r="E409" s="4">
        <v>1.6540922297031499E-36</v>
      </c>
      <c r="F409" s="10">
        <v>5.9475054036378996</v>
      </c>
      <c r="G409" s="4">
        <v>2.1945197348334699E-36</v>
      </c>
    </row>
    <row r="410" spans="1:7" x14ac:dyDescent="0.2">
      <c r="A410" s="10" t="s">
        <v>3903</v>
      </c>
      <c r="B410" s="10" t="s">
        <v>3904</v>
      </c>
      <c r="C410" s="10" t="s">
        <v>18</v>
      </c>
      <c r="D410" s="10">
        <v>-1.77737854547251</v>
      </c>
      <c r="E410" s="4">
        <v>6.2439330062352302E-14</v>
      </c>
      <c r="F410" s="10">
        <v>2.2354121216834599</v>
      </c>
      <c r="G410" s="4">
        <v>6.2271743739058103E-9</v>
      </c>
    </row>
    <row r="411" spans="1:7" x14ac:dyDescent="0.2">
      <c r="A411" s="10" t="s">
        <v>7962</v>
      </c>
      <c r="B411" s="10" t="s">
        <v>7963</v>
      </c>
      <c r="C411" s="10" t="s">
        <v>18</v>
      </c>
      <c r="D411" s="10">
        <v>6.3412267500207502</v>
      </c>
      <c r="E411" s="4">
        <v>1.50266497981181E-68</v>
      </c>
      <c r="F411" s="10">
        <v>4.04295478532653</v>
      </c>
      <c r="G411" s="4">
        <v>2.9703972805580601E-42</v>
      </c>
    </row>
    <row r="412" spans="1:7" x14ac:dyDescent="0.2">
      <c r="A412" s="10" t="s">
        <v>5884</v>
      </c>
      <c r="B412" s="10" t="s">
        <v>5885</v>
      </c>
      <c r="C412" s="10" t="s">
        <v>18</v>
      </c>
      <c r="D412" s="10">
        <v>-2.6321791937067802</v>
      </c>
      <c r="E412" s="4">
        <v>1.4244788428551401E-35</v>
      </c>
      <c r="F412" s="10">
        <v>-1.1276193434025701</v>
      </c>
      <c r="G412" s="10">
        <v>4.4180691733937503E-4</v>
      </c>
    </row>
    <row r="413" spans="1:7" x14ac:dyDescent="0.2">
      <c r="A413" s="10" t="s">
        <v>2429</v>
      </c>
      <c r="B413" s="10" t="s">
        <v>2430</v>
      </c>
      <c r="C413" s="10" t="s">
        <v>18</v>
      </c>
      <c r="D413" s="10">
        <v>1.47664707877821</v>
      </c>
      <c r="E413" s="4">
        <v>2.43880428153417E-17</v>
      </c>
      <c r="F413" s="10">
        <v>1.27320629105878</v>
      </c>
      <c r="G413" s="4">
        <v>4.56426700359346E-8</v>
      </c>
    </row>
    <row r="414" spans="1:7" x14ac:dyDescent="0.2">
      <c r="A414" s="10" t="s">
        <v>2179</v>
      </c>
      <c r="B414" s="10" t="s">
        <v>2180</v>
      </c>
      <c r="C414" s="10" t="s">
        <v>18</v>
      </c>
      <c r="D414" s="10">
        <v>1.25465049100113</v>
      </c>
      <c r="E414" s="4">
        <v>3.51389909040968E-6</v>
      </c>
      <c r="F414" s="10">
        <v>1.3151047376124601</v>
      </c>
      <c r="G414" s="4">
        <v>1.0508194818027099E-5</v>
      </c>
    </row>
    <row r="415" spans="1:7" x14ac:dyDescent="0.2">
      <c r="A415" s="10" t="s">
        <v>2783</v>
      </c>
      <c r="B415" s="10" t="s">
        <v>2784</v>
      </c>
      <c r="C415" s="10" t="s">
        <v>18</v>
      </c>
      <c r="D415" s="10">
        <v>2.1707768377326802</v>
      </c>
      <c r="E415" s="4">
        <v>2.6126836333351899E-34</v>
      </c>
      <c r="F415" s="10">
        <v>1.76013493490997</v>
      </c>
      <c r="G415" s="4">
        <v>5.9450690145705604E-14</v>
      </c>
    </row>
    <row r="416" spans="1:7" x14ac:dyDescent="0.2">
      <c r="A416" s="10" t="s">
        <v>3651</v>
      </c>
      <c r="B416" s="10" t="s">
        <v>3652</v>
      </c>
      <c r="C416" s="10" t="s">
        <v>18</v>
      </c>
      <c r="D416" s="10">
        <v>-1.5560110698308001</v>
      </c>
      <c r="E416" s="4">
        <v>1.52221495445791E-15</v>
      </c>
      <c r="F416" s="10">
        <v>1.4699534637856799</v>
      </c>
      <c r="G416" s="4">
        <v>4.9845462287935401E-6</v>
      </c>
    </row>
    <row r="417" spans="1:7" x14ac:dyDescent="0.2">
      <c r="A417" s="10" t="s">
        <v>2785</v>
      </c>
      <c r="B417" s="10" t="s">
        <v>2786</v>
      </c>
      <c r="C417" s="10" t="s">
        <v>18</v>
      </c>
      <c r="D417" s="10">
        <v>-2.5227767876790801</v>
      </c>
      <c r="E417" s="4">
        <v>5.1657490404770097E-37</v>
      </c>
      <c r="F417" s="10">
        <v>1.6926011001927801</v>
      </c>
      <c r="G417" s="4">
        <v>1.10172899900108E-6</v>
      </c>
    </row>
    <row r="418" spans="1:7" x14ac:dyDescent="0.2">
      <c r="A418" s="10" t="s">
        <v>4686</v>
      </c>
      <c r="B418" s="10" t="s">
        <v>4687</v>
      </c>
      <c r="C418" s="10" t="s">
        <v>18</v>
      </c>
      <c r="D418" s="10">
        <v>-3.4807605383300801</v>
      </c>
      <c r="E418" s="4">
        <v>3.02723297577234E-25</v>
      </c>
      <c r="F418" s="10">
        <v>-3.1399976954460902</v>
      </c>
      <c r="G418" s="4">
        <v>3.07481684704434E-16</v>
      </c>
    </row>
    <row r="419" spans="1:7" x14ac:dyDescent="0.2">
      <c r="A419" s="10" t="s">
        <v>2105</v>
      </c>
      <c r="B419" s="10" t="s">
        <v>2106</v>
      </c>
      <c r="C419" s="10" t="s">
        <v>18</v>
      </c>
      <c r="D419" s="10">
        <v>-3.2048551663912401</v>
      </c>
      <c r="E419" s="4">
        <v>1.7827067637381301E-34</v>
      </c>
      <c r="F419" s="10">
        <v>-1.6403463343956499</v>
      </c>
      <c r="G419" s="4">
        <v>1.0752255723901401E-6</v>
      </c>
    </row>
    <row r="420" spans="1:7" x14ac:dyDescent="0.2">
      <c r="A420" s="10" t="s">
        <v>3573</v>
      </c>
      <c r="B420" s="10" t="s">
        <v>3574</v>
      </c>
      <c r="C420" s="10" t="s">
        <v>18</v>
      </c>
      <c r="D420" s="10">
        <v>1.6065174927886501</v>
      </c>
      <c r="E420" s="4">
        <v>8.4206191492469797E-16</v>
      </c>
      <c r="F420" s="10">
        <v>2.90504242536776</v>
      </c>
      <c r="G420" s="4">
        <v>2.3735296849577301E-23</v>
      </c>
    </row>
    <row r="421" spans="1:7" x14ac:dyDescent="0.2">
      <c r="A421" s="10" t="s">
        <v>5090</v>
      </c>
      <c r="B421" s="10" t="s">
        <v>5091</v>
      </c>
      <c r="C421" s="10" t="s">
        <v>18</v>
      </c>
      <c r="D421" s="10">
        <v>2.1643037786384398</v>
      </c>
      <c r="E421" s="4">
        <v>7.2226244405674102E-29</v>
      </c>
      <c r="F421" s="10">
        <v>3.3772030673353202</v>
      </c>
      <c r="G421" s="4">
        <v>1.26343389575416E-37</v>
      </c>
    </row>
    <row r="422" spans="1:7" x14ac:dyDescent="0.2">
      <c r="A422" s="10" t="s">
        <v>7772</v>
      </c>
      <c r="B422" s="10" t="s">
        <v>7773</v>
      </c>
      <c r="C422" s="10" t="s">
        <v>18</v>
      </c>
      <c r="D422" s="10">
        <v>-1.97344968289981</v>
      </c>
      <c r="E422" s="4">
        <v>3.3060101038115298E-5</v>
      </c>
      <c r="F422" s="10">
        <v>-2.8815782424879601</v>
      </c>
      <c r="G422" s="4">
        <v>4.6056484708668999E-11</v>
      </c>
    </row>
    <row r="423" spans="1:7" x14ac:dyDescent="0.2">
      <c r="A423" s="10" t="s">
        <v>2777</v>
      </c>
      <c r="B423" s="10" t="s">
        <v>2778</v>
      </c>
      <c r="C423" s="10" t="s">
        <v>18</v>
      </c>
      <c r="D423" s="10">
        <v>1.7544512523595801</v>
      </c>
      <c r="E423" s="4">
        <v>5.3102005196762E-17</v>
      </c>
      <c r="F423" s="10">
        <v>1.5851257552323299</v>
      </c>
      <c r="G423" s="4">
        <v>1.2824632848171201E-9</v>
      </c>
    </row>
    <row r="424" spans="1:7" x14ac:dyDescent="0.2">
      <c r="A424" s="10" t="s">
        <v>3091</v>
      </c>
      <c r="B424" s="10" t="s">
        <v>3092</v>
      </c>
      <c r="C424" s="10" t="s">
        <v>18</v>
      </c>
      <c r="D424" s="10">
        <v>-2.0664896052277402</v>
      </c>
      <c r="E424" s="10">
        <v>2.0655198208213701E-3</v>
      </c>
      <c r="F424" s="10">
        <v>-3.4148111774133501</v>
      </c>
      <c r="G424" s="4">
        <v>1.16869538355825E-9</v>
      </c>
    </row>
    <row r="425" spans="1:7" x14ac:dyDescent="0.2">
      <c r="A425" s="10" t="s">
        <v>6936</v>
      </c>
      <c r="B425" s="10" t="s">
        <v>6937</v>
      </c>
      <c r="C425" s="10" t="s">
        <v>18</v>
      </c>
      <c r="D425" s="10">
        <v>4.7317151574909904</v>
      </c>
      <c r="E425" s="4">
        <v>2.4745220801968502E-18</v>
      </c>
      <c r="F425" s="10">
        <v>1.60391551973427</v>
      </c>
      <c r="G425" s="4">
        <v>1.85289712825061E-5</v>
      </c>
    </row>
    <row r="426" spans="1:7" x14ac:dyDescent="0.2">
      <c r="A426" s="10" t="s">
        <v>147</v>
      </c>
      <c r="B426" s="10" t="s">
        <v>148</v>
      </c>
      <c r="C426" s="10" t="s">
        <v>18</v>
      </c>
      <c r="D426" s="10">
        <v>1.65789127270459</v>
      </c>
      <c r="E426" s="4">
        <v>7.6595133985932898E-13</v>
      </c>
      <c r="F426" s="10">
        <v>1.8405387331424701</v>
      </c>
      <c r="G426" s="4">
        <v>9.4546467909533399E-10</v>
      </c>
    </row>
    <row r="427" spans="1:7" x14ac:dyDescent="0.2">
      <c r="A427" s="10" t="s">
        <v>3537</v>
      </c>
      <c r="B427" s="10" t="s">
        <v>3538</v>
      </c>
      <c r="C427" s="10" t="s">
        <v>18</v>
      </c>
      <c r="D427" s="10">
        <v>1.6610533180465401</v>
      </c>
      <c r="E427" s="4">
        <v>1.58345318991774E-12</v>
      </c>
      <c r="F427" s="10">
        <v>2.1450732508873802</v>
      </c>
      <c r="G427" s="4">
        <v>2.2394876791938499E-11</v>
      </c>
    </row>
    <row r="428" spans="1:7" x14ac:dyDescent="0.2">
      <c r="A428" s="10" t="s">
        <v>4674</v>
      </c>
      <c r="B428" s="10" t="s">
        <v>4675</v>
      </c>
      <c r="C428" s="10" t="s">
        <v>18</v>
      </c>
      <c r="D428" s="10">
        <v>7.5778124834897298</v>
      </c>
      <c r="E428" s="4">
        <v>3.37975727072216E-6</v>
      </c>
      <c r="F428" s="10">
        <v>2.1229020903949301</v>
      </c>
      <c r="G428" s="10">
        <v>3.65240115947656E-3</v>
      </c>
    </row>
    <row r="429" spans="1:7" x14ac:dyDescent="0.2">
      <c r="A429" s="10" t="s">
        <v>8718</v>
      </c>
      <c r="B429" s="10" t="s">
        <v>8719</v>
      </c>
      <c r="C429" s="10" t="s">
        <v>18</v>
      </c>
      <c r="D429" s="10">
        <v>1.4725764987283401</v>
      </c>
      <c r="E429" s="10">
        <v>1.6762490947231699E-3</v>
      </c>
      <c r="F429" s="10">
        <v>1.6055031713530601</v>
      </c>
      <c r="G429" s="10">
        <v>2.0532595011755399E-3</v>
      </c>
    </row>
    <row r="430" spans="1:7" x14ac:dyDescent="0.2">
      <c r="A430" s="10" t="s">
        <v>8818</v>
      </c>
      <c r="B430" s="10" t="s">
        <v>8819</v>
      </c>
      <c r="C430" s="10" t="s">
        <v>18</v>
      </c>
      <c r="D430" s="10">
        <v>2.52659178587411</v>
      </c>
      <c r="E430" s="4">
        <v>1.51306295618193E-5</v>
      </c>
      <c r="F430" s="10">
        <v>2.4684455727521502</v>
      </c>
      <c r="G430" s="4">
        <v>1.68532878614369E-5</v>
      </c>
    </row>
    <row r="431" spans="1:7" x14ac:dyDescent="0.2">
      <c r="A431" s="10" t="s">
        <v>2717</v>
      </c>
      <c r="B431" s="10" t="s">
        <v>2718</v>
      </c>
      <c r="C431" s="10" t="s">
        <v>18</v>
      </c>
      <c r="D431" s="10">
        <v>6.7509046187837196</v>
      </c>
      <c r="E431" s="4">
        <v>3.1841597789418601E-17</v>
      </c>
      <c r="F431" s="10">
        <v>4.1504607002819496</v>
      </c>
      <c r="G431" s="4">
        <v>2.8906999668233498E-20</v>
      </c>
    </row>
    <row r="432" spans="1:7" x14ac:dyDescent="0.2">
      <c r="A432" s="10" t="s">
        <v>7206</v>
      </c>
      <c r="B432" s="10" t="s">
        <v>7207</v>
      </c>
      <c r="C432" s="10" t="s">
        <v>18</v>
      </c>
      <c r="D432" s="10">
        <v>8.2399061240606795</v>
      </c>
      <c r="E432" s="4">
        <v>3.1805423322750501E-8</v>
      </c>
      <c r="F432" s="10">
        <v>1.7445361772425301</v>
      </c>
      <c r="G432" s="4">
        <v>9.4712021634606694E-6</v>
      </c>
    </row>
    <row r="433" spans="1:7" x14ac:dyDescent="0.2">
      <c r="A433" s="10" t="s">
        <v>277</v>
      </c>
      <c r="B433" s="10" t="s">
        <v>278</v>
      </c>
      <c r="C433" s="10" t="s">
        <v>18</v>
      </c>
      <c r="D433" s="10">
        <v>1.07323700338198</v>
      </c>
      <c r="E433" s="4">
        <v>5.0875606588405898E-5</v>
      </c>
      <c r="F433" s="10">
        <v>1.2058844824136099</v>
      </c>
      <c r="G433" s="10">
        <v>1.6374146365081001E-4</v>
      </c>
    </row>
    <row r="434" spans="1:7" x14ac:dyDescent="0.2">
      <c r="A434" s="10" t="s">
        <v>3981</v>
      </c>
      <c r="B434" s="10" t="s">
        <v>3982</v>
      </c>
      <c r="C434" s="10" t="s">
        <v>18</v>
      </c>
      <c r="D434" s="10">
        <v>4.6057630927417303</v>
      </c>
      <c r="E434" s="4">
        <v>2.4354159802838299E-28</v>
      </c>
      <c r="F434" s="10">
        <v>3.6777889093193301</v>
      </c>
      <c r="G434" s="4">
        <v>6.9209641304562905E-21</v>
      </c>
    </row>
    <row r="435" spans="1:7" x14ac:dyDescent="0.2">
      <c r="A435" s="10" t="s">
        <v>6374</v>
      </c>
      <c r="B435" s="10" t="s">
        <v>6375</v>
      </c>
      <c r="C435" s="10" t="s">
        <v>18</v>
      </c>
      <c r="D435" s="10">
        <v>1.41023033647582</v>
      </c>
      <c r="E435" s="4">
        <v>1.6916259460296601E-13</v>
      </c>
      <c r="F435" s="10">
        <v>1.6318846992442599</v>
      </c>
      <c r="G435" s="4">
        <v>7.3088094093505402E-11</v>
      </c>
    </row>
    <row r="436" spans="1:7" x14ac:dyDescent="0.2">
      <c r="A436" s="10" t="s">
        <v>6438</v>
      </c>
      <c r="B436" s="10" t="s">
        <v>6439</v>
      </c>
      <c r="C436" s="10" t="s">
        <v>18</v>
      </c>
      <c r="D436" s="10">
        <v>6.1018686083006797</v>
      </c>
      <c r="E436" s="4">
        <v>1.2388427959644E-53</v>
      </c>
      <c r="F436" s="10">
        <v>6.7509282924806104</v>
      </c>
      <c r="G436" s="4">
        <v>4.0342767750747298E-48</v>
      </c>
    </row>
    <row r="437" spans="1:7" x14ac:dyDescent="0.2">
      <c r="A437" s="10" t="s">
        <v>8424</v>
      </c>
      <c r="B437" s="10" t="s">
        <v>8425</v>
      </c>
      <c r="C437" s="10" t="s">
        <v>18</v>
      </c>
      <c r="D437" s="10">
        <v>3.58522784908424</v>
      </c>
      <c r="E437" s="10">
        <v>3.2844426136722599E-4</v>
      </c>
      <c r="F437" s="10">
        <v>2.83289812317742</v>
      </c>
      <c r="G437" s="10">
        <v>8.11395984672519E-4</v>
      </c>
    </row>
    <row r="438" spans="1:7" x14ac:dyDescent="0.2">
      <c r="A438" s="10" t="s">
        <v>8422</v>
      </c>
      <c r="B438" s="10" t="s">
        <v>8423</v>
      </c>
      <c r="C438" s="10" t="s">
        <v>18</v>
      </c>
      <c r="D438" s="10">
        <v>7.7483462307095996</v>
      </c>
      <c r="E438" s="4">
        <v>2.6628253620921699E-7</v>
      </c>
      <c r="F438" s="10">
        <v>5.6724241722472799</v>
      </c>
      <c r="G438" s="4">
        <v>6.0018011966419799E-13</v>
      </c>
    </row>
    <row r="439" spans="1:7" x14ac:dyDescent="0.2">
      <c r="A439" s="10" t="s">
        <v>8426</v>
      </c>
      <c r="B439" s="10" t="s">
        <v>8427</v>
      </c>
      <c r="C439" s="10" t="s">
        <v>18</v>
      </c>
      <c r="D439" s="10">
        <v>8.6657005170441401</v>
      </c>
      <c r="E439" s="4">
        <v>4.6099884097232203E-9</v>
      </c>
      <c r="F439" s="10">
        <v>8.9168895666801298</v>
      </c>
      <c r="G439" s="4">
        <v>1.11211286056817E-9</v>
      </c>
    </row>
    <row r="440" spans="1:7" x14ac:dyDescent="0.2">
      <c r="A440" s="10" t="s">
        <v>1911</v>
      </c>
      <c r="B440" s="10" t="s">
        <v>1912</v>
      </c>
      <c r="C440" s="10" t="s">
        <v>18</v>
      </c>
      <c r="D440" s="10">
        <v>9.4473725423649295</v>
      </c>
      <c r="E440" s="4">
        <v>2.5364251344922299E-184</v>
      </c>
      <c r="F440" s="10">
        <v>10.5392833629487</v>
      </c>
      <c r="G440" s="4">
        <v>2.0834105937207101E-135</v>
      </c>
    </row>
    <row r="441" spans="1:7" x14ac:dyDescent="0.2">
      <c r="A441" s="10" t="s">
        <v>443</v>
      </c>
      <c r="B441" s="10" t="s">
        <v>444</v>
      </c>
      <c r="C441" s="10" t="s">
        <v>18</v>
      </c>
      <c r="D441" s="10">
        <v>1.13015595982606</v>
      </c>
      <c r="E441" s="4">
        <v>2.3068612538679599E-5</v>
      </c>
      <c r="F441" s="10">
        <v>1.1696239366246499</v>
      </c>
      <c r="G441" s="4">
        <v>9.9730215694851E-5</v>
      </c>
    </row>
    <row r="442" spans="1:7" x14ac:dyDescent="0.2">
      <c r="A442" s="10" t="s">
        <v>431</v>
      </c>
      <c r="B442" s="10" t="s">
        <v>432</v>
      </c>
      <c r="C442" s="10" t="s">
        <v>18</v>
      </c>
      <c r="D442" s="10">
        <v>-3.7285987288886</v>
      </c>
      <c r="E442" s="4">
        <v>2.00296535288522E-36</v>
      </c>
      <c r="F442" s="10">
        <v>-1.43800642739331</v>
      </c>
      <c r="G442" s="10">
        <v>5.1753218255933605E-4</v>
      </c>
    </row>
    <row r="443" spans="1:7" x14ac:dyDescent="0.2">
      <c r="A443" s="10" t="s">
        <v>5158</v>
      </c>
      <c r="B443" s="10" t="s">
        <v>5159</v>
      </c>
      <c r="C443" s="10" t="s">
        <v>18</v>
      </c>
      <c r="D443" s="10">
        <v>-1.63702079794304</v>
      </c>
      <c r="E443" s="4">
        <v>1.2277128645136899E-21</v>
      </c>
      <c r="F443" s="10">
        <v>-1.9571014732674801</v>
      </c>
      <c r="G443" s="4">
        <v>4.6173306421424803E-15</v>
      </c>
    </row>
    <row r="444" spans="1:7" x14ac:dyDescent="0.2">
      <c r="A444" s="10" t="s">
        <v>8562</v>
      </c>
      <c r="B444" s="10" t="s">
        <v>8563</v>
      </c>
      <c r="C444" s="10" t="s">
        <v>18</v>
      </c>
      <c r="D444" s="10">
        <v>2.2703176976060901</v>
      </c>
      <c r="E444" s="10">
        <v>3.8604492364524498E-3</v>
      </c>
      <c r="F444" s="10">
        <v>2.0430740884546998</v>
      </c>
      <c r="G444" s="10">
        <v>4.2060803407048698E-3</v>
      </c>
    </row>
    <row r="445" spans="1:7" x14ac:dyDescent="0.2">
      <c r="A445" s="10" t="s">
        <v>7830</v>
      </c>
      <c r="B445" s="10" t="s">
        <v>7831</v>
      </c>
      <c r="C445" s="10" t="s">
        <v>18</v>
      </c>
      <c r="D445" s="10">
        <v>1.1764618693453901</v>
      </c>
      <c r="E445" s="10">
        <v>6.6212975116404895E-4</v>
      </c>
      <c r="F445" s="10">
        <v>1.0698030765186799</v>
      </c>
      <c r="G445" s="10">
        <v>5.0663138943979804E-3</v>
      </c>
    </row>
    <row r="446" spans="1:7" x14ac:dyDescent="0.2">
      <c r="A446" s="10" t="s">
        <v>1467</v>
      </c>
      <c r="B446" s="10" t="s">
        <v>1468</v>
      </c>
      <c r="C446" s="10" t="s">
        <v>18</v>
      </c>
      <c r="D446" s="10">
        <v>10.091071353695099</v>
      </c>
      <c r="E446" s="4">
        <v>1.1341682310603601E-11</v>
      </c>
      <c r="F446" s="10">
        <v>4.4226022217457599</v>
      </c>
      <c r="G446" s="4">
        <v>1.4152947738969601E-19</v>
      </c>
    </row>
    <row r="447" spans="1:7" x14ac:dyDescent="0.2">
      <c r="A447" s="10" t="s">
        <v>7046</v>
      </c>
      <c r="B447" s="10" t="s">
        <v>7047</v>
      </c>
      <c r="C447" s="10" t="s">
        <v>18</v>
      </c>
      <c r="D447" s="10">
        <v>-1.65898187944688</v>
      </c>
      <c r="E447" s="4">
        <v>2.6216154103851199E-6</v>
      </c>
      <c r="F447" s="10">
        <v>-1.3608175650141601</v>
      </c>
      <c r="G447" s="10">
        <v>7.2652628216475805E-4</v>
      </c>
    </row>
    <row r="448" spans="1:7" x14ac:dyDescent="0.2">
      <c r="A448" s="10" t="s">
        <v>2749</v>
      </c>
      <c r="B448" s="10" t="s">
        <v>2750</v>
      </c>
      <c r="C448" s="10" t="s">
        <v>18</v>
      </c>
      <c r="D448" s="10">
        <v>1.5986667468889499</v>
      </c>
      <c r="E448" s="4">
        <v>9.4234773062207001E-17</v>
      </c>
      <c r="F448" s="10">
        <v>6.3737456411693598</v>
      </c>
      <c r="G448" s="4">
        <v>1.6726379181353899E-122</v>
      </c>
    </row>
    <row r="449" spans="1:7" x14ac:dyDescent="0.2">
      <c r="A449" s="10" t="s">
        <v>7458</v>
      </c>
      <c r="B449" s="10" t="s">
        <v>7459</v>
      </c>
      <c r="C449" s="10" t="s">
        <v>18</v>
      </c>
      <c r="D449" s="10">
        <v>5.1137017849592903</v>
      </c>
      <c r="E449" s="4">
        <v>8.4711683247182497E-115</v>
      </c>
      <c r="F449" s="10">
        <v>9.5053778969586702</v>
      </c>
      <c r="G449" s="4">
        <v>2.9299471304490101E-192</v>
      </c>
    </row>
    <row r="450" spans="1:7" x14ac:dyDescent="0.2">
      <c r="A450" s="10" t="s">
        <v>4035</v>
      </c>
      <c r="B450" s="10" t="s">
        <v>4036</v>
      </c>
      <c r="C450" s="10" t="s">
        <v>18</v>
      </c>
      <c r="D450" s="10">
        <v>8.1515560414010597</v>
      </c>
      <c r="E450" s="4">
        <v>2.3327755265759299E-7</v>
      </c>
      <c r="F450" s="10">
        <v>4.4000628898444498</v>
      </c>
      <c r="G450" s="4">
        <v>2.5755979825772099E-7</v>
      </c>
    </row>
    <row r="451" spans="1:7" x14ac:dyDescent="0.2">
      <c r="A451" s="10" t="s">
        <v>6432</v>
      </c>
      <c r="B451" s="10" t="s">
        <v>6433</v>
      </c>
      <c r="C451" s="10" t="s">
        <v>18</v>
      </c>
      <c r="D451" s="10">
        <v>1.423096990061</v>
      </c>
      <c r="E451" s="4">
        <v>7.19636276330935E-8</v>
      </c>
      <c r="F451" s="10">
        <v>2.4507242483171998</v>
      </c>
      <c r="G451" s="4">
        <v>5.3745807175175999E-10</v>
      </c>
    </row>
    <row r="452" spans="1:7" x14ac:dyDescent="0.2">
      <c r="A452" s="10" t="s">
        <v>8550</v>
      </c>
      <c r="B452" s="10" t="s">
        <v>8551</v>
      </c>
      <c r="C452" s="10" t="s">
        <v>18</v>
      </c>
      <c r="D452" s="10">
        <v>1.0102020593710901</v>
      </c>
      <c r="E452" s="4">
        <v>1.7508513318257901E-8</v>
      </c>
      <c r="F452" s="10">
        <v>3.0902742345954599</v>
      </c>
      <c r="G452" s="4">
        <v>6.7596190716449196E-32</v>
      </c>
    </row>
    <row r="453" spans="1:7" x14ac:dyDescent="0.2">
      <c r="A453" s="10" t="s">
        <v>4646</v>
      </c>
      <c r="B453" s="10" t="s">
        <v>4647</v>
      </c>
      <c r="C453" s="10" t="s">
        <v>18</v>
      </c>
      <c r="D453" s="10">
        <v>5.1253735923294403</v>
      </c>
      <c r="E453" s="10">
        <v>3.6976274919898102E-3</v>
      </c>
      <c r="F453" s="10">
        <v>3.4005708560408401</v>
      </c>
      <c r="G453" s="10">
        <v>4.2001379683200097E-3</v>
      </c>
    </row>
    <row r="454" spans="1:7" x14ac:dyDescent="0.2">
      <c r="A454" s="10" t="s">
        <v>5616</v>
      </c>
      <c r="B454" s="10" t="s">
        <v>5617</v>
      </c>
      <c r="C454" s="10" t="s">
        <v>18</v>
      </c>
      <c r="D454" s="10">
        <v>-2.1916658189415501</v>
      </c>
      <c r="E454" s="4">
        <v>1.9440213627042399E-7</v>
      </c>
      <c r="F454" s="10">
        <v>-1.58980772401463</v>
      </c>
      <c r="G454" s="10">
        <v>8.2732954054632604E-4</v>
      </c>
    </row>
    <row r="455" spans="1:7" x14ac:dyDescent="0.2">
      <c r="A455" s="10" t="s">
        <v>3367</v>
      </c>
      <c r="B455" s="10" t="s">
        <v>3368</v>
      </c>
      <c r="C455" s="10" t="s">
        <v>18</v>
      </c>
      <c r="D455" s="10">
        <v>-2.02322876611739</v>
      </c>
      <c r="E455" s="4">
        <v>3.4326601370300397E-20</v>
      </c>
      <c r="F455" s="10">
        <v>1.38127411443727</v>
      </c>
      <c r="G455" s="4">
        <v>1.30691443181237E-5</v>
      </c>
    </row>
    <row r="456" spans="1:7" x14ac:dyDescent="0.2">
      <c r="A456" s="10" t="s">
        <v>3581</v>
      </c>
      <c r="B456" s="10" t="s">
        <v>3582</v>
      </c>
      <c r="C456" s="10" t="s">
        <v>18</v>
      </c>
      <c r="D456" s="10">
        <v>5.3010515206243296</v>
      </c>
      <c r="E456" s="4">
        <v>2.0068975776782401E-24</v>
      </c>
      <c r="F456" s="10">
        <v>3.41513806548368</v>
      </c>
      <c r="G456" s="4">
        <v>2.3984131296025999E-16</v>
      </c>
    </row>
    <row r="457" spans="1:7" x14ac:dyDescent="0.2">
      <c r="A457" s="10" t="s">
        <v>3575</v>
      </c>
      <c r="B457" s="10" t="s">
        <v>3576</v>
      </c>
      <c r="C457" s="10" t="s">
        <v>18</v>
      </c>
      <c r="D457" s="10">
        <v>2.46877489198853</v>
      </c>
      <c r="E457" s="4">
        <v>1.166505676987E-13</v>
      </c>
      <c r="F457" s="10">
        <v>1.4556150451685701</v>
      </c>
      <c r="G457" s="4">
        <v>4.0887883877406497E-5</v>
      </c>
    </row>
    <row r="458" spans="1:7" x14ac:dyDescent="0.2">
      <c r="A458" s="10" t="s">
        <v>3577</v>
      </c>
      <c r="B458" s="10" t="s">
        <v>3578</v>
      </c>
      <c r="C458" s="10" t="s">
        <v>18</v>
      </c>
      <c r="D458" s="10">
        <v>3.7191966413914899</v>
      </c>
      <c r="E458" s="4">
        <v>7.8922219986393608E-9</v>
      </c>
      <c r="F458" s="10">
        <v>1.7044593753232899</v>
      </c>
      <c r="G458" s="10">
        <v>7.16758936901389E-4</v>
      </c>
    </row>
    <row r="459" spans="1:7" x14ac:dyDescent="0.2">
      <c r="A459" s="10" t="s">
        <v>7958</v>
      </c>
      <c r="B459" s="10" t="s">
        <v>7959</v>
      </c>
      <c r="C459" s="10" t="s">
        <v>18</v>
      </c>
      <c r="D459" s="10">
        <v>1.3108867914338</v>
      </c>
      <c r="E459" s="4">
        <v>1.33342633554178E-11</v>
      </c>
      <c r="F459" s="10">
        <v>2.2251116996265501</v>
      </c>
      <c r="G459" s="4">
        <v>4.8009113802101304E-15</v>
      </c>
    </row>
    <row r="460" spans="1:7" x14ac:dyDescent="0.2">
      <c r="A460" s="10" t="s">
        <v>7954</v>
      </c>
      <c r="B460" s="10" t="s">
        <v>7955</v>
      </c>
      <c r="C460" s="10" t="s">
        <v>18</v>
      </c>
      <c r="D460" s="10">
        <v>1.14858804342168</v>
      </c>
      <c r="E460" s="4">
        <v>4.0158884589025598E-8</v>
      </c>
      <c r="F460" s="10">
        <v>1.6356125727936199</v>
      </c>
      <c r="G460" s="4">
        <v>2.20363284195574E-8</v>
      </c>
    </row>
    <row r="461" spans="1:7" x14ac:dyDescent="0.2">
      <c r="A461" s="10" t="s">
        <v>7956</v>
      </c>
      <c r="B461" s="10" t="s">
        <v>7957</v>
      </c>
      <c r="C461" s="10" t="s">
        <v>18</v>
      </c>
      <c r="D461" s="10">
        <v>6.4911373122500899</v>
      </c>
      <c r="E461" s="4">
        <v>4.5219500708331803E-120</v>
      </c>
      <c r="F461" s="10">
        <v>6.2254496341223504</v>
      </c>
      <c r="G461" s="4">
        <v>2.40406191280463E-105</v>
      </c>
    </row>
    <row r="462" spans="1:7" x14ac:dyDescent="0.2">
      <c r="A462" s="10" t="s">
        <v>7952</v>
      </c>
      <c r="B462" s="10" t="s">
        <v>7953</v>
      </c>
      <c r="C462" s="10" t="s">
        <v>18</v>
      </c>
      <c r="D462" s="10">
        <v>1.4821193533886501</v>
      </c>
      <c r="E462" s="4">
        <v>5.9500084825900804E-13</v>
      </c>
      <c r="F462" s="10">
        <v>3.3542652843446898</v>
      </c>
      <c r="G462" s="4">
        <v>4.2936018004552898E-34</v>
      </c>
    </row>
    <row r="463" spans="1:7" x14ac:dyDescent="0.2">
      <c r="A463" s="10" t="s">
        <v>3555</v>
      </c>
      <c r="B463" s="10" t="s">
        <v>3556</v>
      </c>
      <c r="C463" s="10" t="s">
        <v>18</v>
      </c>
      <c r="D463" s="10">
        <v>-2.5827225658333601</v>
      </c>
      <c r="E463" s="4">
        <v>2.7923578586183501E-17</v>
      </c>
      <c r="F463" s="10">
        <v>-1.3406691934644199</v>
      </c>
      <c r="G463" s="10">
        <v>1.36065666500016E-4</v>
      </c>
    </row>
    <row r="464" spans="1:7" x14ac:dyDescent="0.2">
      <c r="A464" s="10" t="s">
        <v>3891</v>
      </c>
      <c r="B464" s="10" t="s">
        <v>3892</v>
      </c>
      <c r="C464" s="10" t="s">
        <v>18</v>
      </c>
      <c r="D464" s="10">
        <v>2.8165558038533098</v>
      </c>
      <c r="E464" s="10">
        <v>6.9867013464619098E-4</v>
      </c>
      <c r="F464" s="10">
        <v>-1.6081211584644399</v>
      </c>
      <c r="G464" s="10">
        <v>2.35978536111107E-4</v>
      </c>
    </row>
    <row r="465" spans="1:7" x14ac:dyDescent="0.2">
      <c r="A465" s="10" t="s">
        <v>4428</v>
      </c>
      <c r="B465" s="10" t="s">
        <v>4429</v>
      </c>
      <c r="C465" s="10" t="s">
        <v>18</v>
      </c>
      <c r="D465" s="10">
        <v>4.1257828819749198</v>
      </c>
      <c r="E465" s="4">
        <v>1.14797346950916E-45</v>
      </c>
      <c r="F465" s="10">
        <v>6.6277265620264396</v>
      </c>
      <c r="G465" s="4">
        <v>7.5314492362743502E-57</v>
      </c>
    </row>
    <row r="466" spans="1:7" x14ac:dyDescent="0.2">
      <c r="A466" s="10" t="s">
        <v>8208</v>
      </c>
      <c r="B466" s="10" t="s">
        <v>8209</v>
      </c>
      <c r="C466" s="10" t="s">
        <v>18</v>
      </c>
      <c r="D466" s="10">
        <v>5.5769336496655901</v>
      </c>
      <c r="E466" s="10">
        <v>1.0196954162702001E-3</v>
      </c>
      <c r="F466" s="10">
        <v>4.2480768035324399</v>
      </c>
      <c r="G466" s="10">
        <v>3.4268470199731298E-4</v>
      </c>
    </row>
    <row r="467" spans="1:7" x14ac:dyDescent="0.2">
      <c r="A467" s="10" t="s">
        <v>5742</v>
      </c>
      <c r="B467" s="10" t="s">
        <v>5743</v>
      </c>
      <c r="C467" s="10" t="s">
        <v>18</v>
      </c>
      <c r="D467" s="10">
        <v>4.2693886166900903</v>
      </c>
      <c r="E467" s="4">
        <v>2.9522627700509802E-19</v>
      </c>
      <c r="F467" s="10">
        <v>5.6820018002301698</v>
      </c>
      <c r="G467" s="4">
        <v>1.7809356463002501E-20</v>
      </c>
    </row>
    <row r="468" spans="1:7" x14ac:dyDescent="0.2">
      <c r="A468" s="10" t="s">
        <v>3025</v>
      </c>
      <c r="B468" s="10" t="s">
        <v>3026</v>
      </c>
      <c r="C468" s="10" t="s">
        <v>18</v>
      </c>
      <c r="D468" s="10">
        <v>-1.19847107598795</v>
      </c>
      <c r="E468" s="4">
        <v>2.2619568700929301E-7</v>
      </c>
      <c r="F468" s="10">
        <v>-1.53736213107236</v>
      </c>
      <c r="G468" s="4">
        <v>4.85763200983448E-8</v>
      </c>
    </row>
    <row r="469" spans="1:7" x14ac:dyDescent="0.2">
      <c r="A469" s="10" t="s">
        <v>1237</v>
      </c>
      <c r="B469" s="10" t="s">
        <v>1238</v>
      </c>
      <c r="C469" s="10" t="s">
        <v>18</v>
      </c>
      <c r="D469" s="10">
        <v>-1.5305969810861799</v>
      </c>
      <c r="E469" s="4">
        <v>9.9164760203512598E-13</v>
      </c>
      <c r="F469" s="10">
        <v>-1.54007554105169</v>
      </c>
      <c r="G469" s="4">
        <v>1.1585593403471999E-8</v>
      </c>
    </row>
    <row r="470" spans="1:7" x14ac:dyDescent="0.2">
      <c r="A470" s="10" t="s">
        <v>2877</v>
      </c>
      <c r="B470" s="10" t="s">
        <v>2878</v>
      </c>
      <c r="C470" s="10" t="s">
        <v>18</v>
      </c>
      <c r="D470" s="10">
        <v>-1.14980174209746</v>
      </c>
      <c r="E470" s="4">
        <v>1.15117423446465E-11</v>
      </c>
      <c r="F470" s="10">
        <v>-1.25487980256623</v>
      </c>
      <c r="G470" s="4">
        <v>2.3615153204418299E-7</v>
      </c>
    </row>
    <row r="471" spans="1:7" x14ac:dyDescent="0.2">
      <c r="A471" s="10" t="s">
        <v>4738</v>
      </c>
      <c r="B471" s="10" t="s">
        <v>4739</v>
      </c>
      <c r="C471" s="10" t="s">
        <v>18</v>
      </c>
      <c r="D471" s="10">
        <v>-1.06834033746895</v>
      </c>
      <c r="E471" s="4">
        <v>2.3839734436339701E-6</v>
      </c>
      <c r="F471" s="10">
        <v>-1.0742981846317601</v>
      </c>
      <c r="G471" s="10">
        <v>3.4287532630195998E-4</v>
      </c>
    </row>
    <row r="472" spans="1:7" x14ac:dyDescent="0.2">
      <c r="A472" s="10" t="s">
        <v>525</v>
      </c>
      <c r="B472" s="10" t="s">
        <v>526</v>
      </c>
      <c r="C472" s="10" t="s">
        <v>18</v>
      </c>
      <c r="D472" s="10">
        <v>-1.0507561113048001</v>
      </c>
      <c r="E472" s="4">
        <v>7.2311039506930104E-6</v>
      </c>
      <c r="F472" s="10">
        <v>-1.10855228181995</v>
      </c>
      <c r="G472" s="4">
        <v>7.2767142383170293E-5</v>
      </c>
    </row>
    <row r="473" spans="1:7" x14ac:dyDescent="0.2">
      <c r="A473" s="10" t="s">
        <v>5364</v>
      </c>
      <c r="B473" s="10" t="s">
        <v>5365</v>
      </c>
      <c r="C473" s="10" t="s">
        <v>18</v>
      </c>
      <c r="D473" s="10">
        <v>1.4728170119008801</v>
      </c>
      <c r="E473" s="4">
        <v>3.2658219643811698E-13</v>
      </c>
      <c r="F473" s="10">
        <v>2.4189651321168801</v>
      </c>
      <c r="G473" s="4">
        <v>1.2024834991338101E-21</v>
      </c>
    </row>
    <row r="474" spans="1:7" x14ac:dyDescent="0.2">
      <c r="A474" s="10" t="s">
        <v>5328</v>
      </c>
      <c r="B474" s="10" t="s">
        <v>5329</v>
      </c>
      <c r="C474" s="10" t="s">
        <v>18</v>
      </c>
      <c r="D474" s="10">
        <v>-2.3382564290234402</v>
      </c>
      <c r="E474" s="4">
        <v>1.9807041071133601E-23</v>
      </c>
      <c r="F474" s="10">
        <v>-1.0131590590400801</v>
      </c>
      <c r="G474" s="10">
        <v>1.4807144695914501E-3</v>
      </c>
    </row>
    <row r="475" spans="1:7" x14ac:dyDescent="0.2">
      <c r="A475" s="10" t="s">
        <v>637</v>
      </c>
      <c r="B475" s="10" t="s">
        <v>638</v>
      </c>
      <c r="C475" s="10" t="s">
        <v>18</v>
      </c>
      <c r="D475" s="10">
        <v>3.6332537502865199</v>
      </c>
      <c r="E475" s="4">
        <v>6.4827136022926004E-5</v>
      </c>
      <c r="F475" s="10">
        <v>1.67032078996238</v>
      </c>
      <c r="G475" s="10">
        <v>1.2143743750362101E-2</v>
      </c>
    </row>
    <row r="476" spans="1:7" x14ac:dyDescent="0.2">
      <c r="A476" s="10" t="s">
        <v>6752</v>
      </c>
      <c r="B476" s="10" t="s">
        <v>6753</v>
      </c>
      <c r="C476" s="10" t="s">
        <v>18</v>
      </c>
      <c r="D476" s="10">
        <v>-1.5693358092466601</v>
      </c>
      <c r="E476" s="4">
        <v>4.3192506243466302E-13</v>
      </c>
      <c r="F476" s="10">
        <v>-1.2615934340303701</v>
      </c>
      <c r="G476" s="4">
        <v>1.87459086118282E-6</v>
      </c>
    </row>
    <row r="477" spans="1:7" x14ac:dyDescent="0.2">
      <c r="A477" s="10" t="s">
        <v>2999</v>
      </c>
      <c r="B477" s="10" t="s">
        <v>3000</v>
      </c>
      <c r="C477" s="10" t="s">
        <v>18</v>
      </c>
      <c r="D477" s="10">
        <v>-2.1165581691999602</v>
      </c>
      <c r="E477" s="4">
        <v>1.02431526463002E-16</v>
      </c>
      <c r="F477" s="10">
        <v>-1.90444970128045</v>
      </c>
      <c r="G477" s="4">
        <v>1.4797368794206899E-9</v>
      </c>
    </row>
    <row r="478" spans="1:7" x14ac:dyDescent="0.2">
      <c r="A478" s="10" t="s">
        <v>4950</v>
      </c>
      <c r="B478" s="10" t="s">
        <v>4951</v>
      </c>
      <c r="C478" s="10" t="s">
        <v>18</v>
      </c>
      <c r="D478" s="10">
        <v>1.6872082650102</v>
      </c>
      <c r="E478" s="4">
        <v>2.3579358859294899E-18</v>
      </c>
      <c r="F478" s="10">
        <v>4.5476402371461297</v>
      </c>
      <c r="G478" s="4">
        <v>1.9225547977922499E-60</v>
      </c>
    </row>
    <row r="479" spans="1:7" x14ac:dyDescent="0.2">
      <c r="A479" s="10" t="s">
        <v>3485</v>
      </c>
      <c r="B479" s="10" t="s">
        <v>3486</v>
      </c>
      <c r="C479" s="10" t="s">
        <v>18</v>
      </c>
      <c r="D479" s="10">
        <v>-3.61164441842203</v>
      </c>
      <c r="E479" s="4">
        <v>3.7375324561479799E-28</v>
      </c>
      <c r="F479" s="10">
        <v>-3.5929191737200901</v>
      </c>
      <c r="G479" s="4">
        <v>4.9630408920141802E-24</v>
      </c>
    </row>
    <row r="480" spans="1:7" x14ac:dyDescent="0.2">
      <c r="A480" s="10" t="s">
        <v>5496</v>
      </c>
      <c r="B480" s="10" t="s">
        <v>5497</v>
      </c>
      <c r="C480" s="10" t="s">
        <v>18</v>
      </c>
      <c r="D480" s="10">
        <v>-2.9191815893866</v>
      </c>
      <c r="E480" s="4">
        <v>1.15316515485518E-9</v>
      </c>
      <c r="F480" s="10">
        <v>-1.87309837067799</v>
      </c>
      <c r="G480" s="10">
        <v>1.25277947790019E-3</v>
      </c>
    </row>
    <row r="481" spans="1:7" x14ac:dyDescent="0.2">
      <c r="A481" s="10" t="s">
        <v>2991</v>
      </c>
      <c r="B481" s="10" t="s">
        <v>2992</v>
      </c>
      <c r="C481" s="10" t="s">
        <v>18</v>
      </c>
      <c r="D481" s="10">
        <v>1.3787630368105801</v>
      </c>
      <c r="E481" s="4">
        <v>4.0268592357834698E-12</v>
      </c>
      <c r="F481" s="10">
        <v>1.3142920174300099</v>
      </c>
      <c r="G481" s="4">
        <v>9.8532727988577004E-6</v>
      </c>
    </row>
    <row r="482" spans="1:7" x14ac:dyDescent="0.2">
      <c r="A482" s="10" t="s">
        <v>4574</v>
      </c>
      <c r="B482" s="10" t="s">
        <v>4575</v>
      </c>
      <c r="C482" s="10" t="s">
        <v>18</v>
      </c>
      <c r="D482" s="10">
        <v>1.0720522769106</v>
      </c>
      <c r="E482" s="4">
        <v>9.2295902015716008E-9</v>
      </c>
      <c r="F482" s="10">
        <v>1.0801407390170901</v>
      </c>
      <c r="G482" s="4">
        <v>1.0302008504973E-5</v>
      </c>
    </row>
    <row r="483" spans="1:7" x14ac:dyDescent="0.2">
      <c r="A483" s="10" t="s">
        <v>3761</v>
      </c>
      <c r="B483" s="10" t="s">
        <v>3762</v>
      </c>
      <c r="C483" s="10" t="s">
        <v>18</v>
      </c>
      <c r="D483" s="10">
        <v>5.8555921612555402</v>
      </c>
      <c r="E483" s="4">
        <v>7.70144363344755E-34</v>
      </c>
      <c r="F483" s="10">
        <v>4.3365987140080202</v>
      </c>
      <c r="G483" s="4">
        <v>2.0673308265432E-29</v>
      </c>
    </row>
    <row r="484" spans="1:7" x14ac:dyDescent="0.2">
      <c r="A484" s="10" t="s">
        <v>6192</v>
      </c>
      <c r="B484" s="10" t="s">
        <v>6193</v>
      </c>
      <c r="C484" s="10" t="s">
        <v>18</v>
      </c>
      <c r="D484" s="10">
        <v>3.8840175908460099</v>
      </c>
      <c r="E484" s="4">
        <v>8.5401865525392905E-14</v>
      </c>
      <c r="F484" s="10">
        <v>4.6924512936714304</v>
      </c>
      <c r="G484" s="4">
        <v>7.8788539985941099E-16</v>
      </c>
    </row>
    <row r="485" spans="1:7" x14ac:dyDescent="0.2">
      <c r="A485" s="10" t="s">
        <v>7818</v>
      </c>
      <c r="B485" s="10" t="s">
        <v>7819</v>
      </c>
      <c r="C485" s="10" t="s">
        <v>18</v>
      </c>
      <c r="D485" s="10">
        <v>5.0706475281257104</v>
      </c>
      <c r="E485" s="4">
        <v>2.5173044209194401E-52</v>
      </c>
      <c r="F485" s="10">
        <v>4.0176737800689404</v>
      </c>
      <c r="G485" s="4">
        <v>5.0235401612951003E-28</v>
      </c>
    </row>
    <row r="486" spans="1:7" x14ac:dyDescent="0.2">
      <c r="A486" s="10" t="s">
        <v>4017</v>
      </c>
      <c r="B486" s="10" t="s">
        <v>4018</v>
      </c>
      <c r="C486" s="10" t="s">
        <v>18</v>
      </c>
      <c r="D486" s="10">
        <v>1.1162639061097499</v>
      </c>
      <c r="E486" s="4">
        <v>4.4401610978547497E-5</v>
      </c>
      <c r="F486" s="10">
        <v>1.66666718599829</v>
      </c>
      <c r="G486" s="4">
        <v>1.1856368384590399E-6</v>
      </c>
    </row>
    <row r="487" spans="1:7" x14ac:dyDescent="0.2">
      <c r="A487" s="10" t="s">
        <v>8858</v>
      </c>
      <c r="B487" s="10" t="s">
        <v>8859</v>
      </c>
      <c r="C487" s="10" t="s">
        <v>18</v>
      </c>
      <c r="D487" s="10">
        <v>2.5270513619409898</v>
      </c>
      <c r="E487" s="4">
        <v>1.01297182075901E-12</v>
      </c>
      <c r="F487" s="10">
        <v>2.66846121122272</v>
      </c>
      <c r="G487" s="4">
        <v>1.4607803874384399E-10</v>
      </c>
    </row>
    <row r="488" spans="1:7" x14ac:dyDescent="0.2">
      <c r="A488" s="10" t="s">
        <v>2537</v>
      </c>
      <c r="B488" s="10" t="s">
        <v>2538</v>
      </c>
      <c r="C488" s="10" t="s">
        <v>18</v>
      </c>
      <c r="D488" s="10">
        <v>-1.14553917838167</v>
      </c>
      <c r="E488" s="4">
        <v>3.3007303666271101E-9</v>
      </c>
      <c r="F488" s="10">
        <v>-1.03547062620691</v>
      </c>
      <c r="G488" s="4">
        <v>4.2743702013211303E-5</v>
      </c>
    </row>
    <row r="489" spans="1:7" x14ac:dyDescent="0.2">
      <c r="A489" s="10" t="s">
        <v>8744</v>
      </c>
      <c r="B489" s="10" t="s">
        <v>8745</v>
      </c>
      <c r="C489" s="10" t="s">
        <v>18</v>
      </c>
      <c r="D489" s="10">
        <v>1.72191732353613</v>
      </c>
      <c r="E489" s="4">
        <v>5.7321722034030798E-18</v>
      </c>
      <c r="F489" s="10">
        <v>2.0776716104996402</v>
      </c>
      <c r="G489" s="4">
        <v>6.1267394045545696E-16</v>
      </c>
    </row>
    <row r="490" spans="1:7" x14ac:dyDescent="0.2">
      <c r="A490" s="10" t="s">
        <v>5432</v>
      </c>
      <c r="B490" s="10" t="s">
        <v>5433</v>
      </c>
      <c r="C490" s="10" t="s">
        <v>18</v>
      </c>
      <c r="D490" s="10">
        <v>1.06322305537192</v>
      </c>
      <c r="E490" s="4">
        <v>8.2869493337332298E-9</v>
      </c>
      <c r="F490" s="10">
        <v>1.0093965938118701</v>
      </c>
      <c r="G490" s="4">
        <v>3.2621276149321297E-5</v>
      </c>
    </row>
    <row r="491" spans="1:7" x14ac:dyDescent="0.2">
      <c r="A491" s="10" t="s">
        <v>1503</v>
      </c>
      <c r="B491" s="10" t="s">
        <v>1504</v>
      </c>
      <c r="C491" s="10" t="s">
        <v>18</v>
      </c>
      <c r="D491" s="10">
        <v>5.1125607759611604</v>
      </c>
      <c r="E491" s="4">
        <v>5.60427941517319E-5</v>
      </c>
      <c r="F491" s="10">
        <v>3.4146303515188698</v>
      </c>
      <c r="G491" s="10">
        <v>2.8022302891768201E-4</v>
      </c>
    </row>
    <row r="492" spans="1:7" x14ac:dyDescent="0.2">
      <c r="A492" s="10" t="s">
        <v>8672</v>
      </c>
      <c r="B492" s="10" t="s">
        <v>8673</v>
      </c>
      <c r="C492" s="10" t="s">
        <v>18</v>
      </c>
      <c r="D492" s="10">
        <v>5.7678251611042501</v>
      </c>
      <c r="E492" s="10">
        <v>5.2181940297988598E-4</v>
      </c>
      <c r="F492" s="10">
        <v>6.0095524113146803</v>
      </c>
      <c r="G492" s="10">
        <v>2.20309234244074E-4</v>
      </c>
    </row>
    <row r="493" spans="1:7" x14ac:dyDescent="0.2">
      <c r="A493" s="10" t="s">
        <v>5568</v>
      </c>
      <c r="B493" s="10" t="s">
        <v>5569</v>
      </c>
      <c r="C493" s="10" t="s">
        <v>18</v>
      </c>
      <c r="D493" s="10">
        <v>4.0764141992851801</v>
      </c>
      <c r="E493" s="4">
        <v>1.7998096612273101E-85</v>
      </c>
      <c r="F493" s="10">
        <v>4.0502149444319597</v>
      </c>
      <c r="G493" s="4">
        <v>2.6810836628608001E-56</v>
      </c>
    </row>
    <row r="494" spans="1:7" x14ac:dyDescent="0.2">
      <c r="A494" s="10" t="s">
        <v>5874</v>
      </c>
      <c r="B494" s="10" t="s">
        <v>5875</v>
      </c>
      <c r="C494" s="10" t="s">
        <v>18</v>
      </c>
      <c r="D494" s="10">
        <v>3.0889879521110601</v>
      </c>
      <c r="E494" s="4">
        <v>1.7018655132866501E-9</v>
      </c>
      <c r="F494" s="10">
        <v>-1.2125444747591501</v>
      </c>
      <c r="G494" s="10">
        <v>3.4920719060532799E-4</v>
      </c>
    </row>
    <row r="495" spans="1:7" x14ac:dyDescent="0.2">
      <c r="A495" s="10" t="s">
        <v>4944</v>
      </c>
      <c r="B495" s="10" t="s">
        <v>4945</v>
      </c>
      <c r="C495" s="10" t="s">
        <v>18</v>
      </c>
      <c r="D495" s="10">
        <v>1.2531748916532699</v>
      </c>
      <c r="E495" s="4">
        <v>3.7157529437030101E-10</v>
      </c>
      <c r="F495" s="10">
        <v>1.3436146285030099</v>
      </c>
      <c r="G495" s="4">
        <v>3.5574301932828901E-6</v>
      </c>
    </row>
    <row r="496" spans="1:7" x14ac:dyDescent="0.2">
      <c r="A496" s="10" t="s">
        <v>5100</v>
      </c>
      <c r="B496" s="10" t="s">
        <v>5101</v>
      </c>
      <c r="C496" s="10" t="s">
        <v>18</v>
      </c>
      <c r="D496" s="10">
        <v>-3.05618746404325</v>
      </c>
      <c r="E496" s="4">
        <v>5.0791087310970598E-45</v>
      </c>
      <c r="F496" s="10">
        <v>-1.5130892978011099</v>
      </c>
      <c r="G496" s="4">
        <v>9.3199326036542303E-8</v>
      </c>
    </row>
    <row r="497" spans="1:7" x14ac:dyDescent="0.2">
      <c r="A497" s="10" t="s">
        <v>7134</v>
      </c>
      <c r="B497" s="10" t="s">
        <v>7135</v>
      </c>
      <c r="C497" s="10" t="s">
        <v>18</v>
      </c>
      <c r="D497" s="10">
        <v>1.3825682579221701</v>
      </c>
      <c r="E497" s="4">
        <v>3.18870754249629E-11</v>
      </c>
      <c r="F497" s="10">
        <v>2.0400432842662499</v>
      </c>
      <c r="G497" s="4">
        <v>1.33760099612153E-13</v>
      </c>
    </row>
    <row r="498" spans="1:7" x14ac:dyDescent="0.2">
      <c r="A498" s="10" t="s">
        <v>7016</v>
      </c>
      <c r="B498" s="10" t="s">
        <v>7017</v>
      </c>
      <c r="C498" s="10" t="s">
        <v>18</v>
      </c>
      <c r="D498" s="10">
        <v>-1.43657798427099</v>
      </c>
      <c r="E498" s="4">
        <v>6.3068371407379402E-15</v>
      </c>
      <c r="F498" s="10">
        <v>-1.3087449343495801</v>
      </c>
      <c r="G498" s="4">
        <v>1.03017611665954E-7</v>
      </c>
    </row>
    <row r="499" spans="1:7" x14ac:dyDescent="0.2">
      <c r="A499" s="10" t="s">
        <v>5908</v>
      </c>
      <c r="B499" s="10" t="s">
        <v>5909</v>
      </c>
      <c r="C499" s="10" t="s">
        <v>18</v>
      </c>
      <c r="D499" s="10">
        <v>-1.2452579474968699</v>
      </c>
      <c r="E499" s="4">
        <v>1.46113886441261E-10</v>
      </c>
      <c r="F499" s="10">
        <v>-1.2649527273060801</v>
      </c>
      <c r="G499" s="4">
        <v>3.2337822161889498E-7</v>
      </c>
    </row>
    <row r="500" spans="1:7" x14ac:dyDescent="0.2">
      <c r="A500" s="10" t="s">
        <v>4444</v>
      </c>
      <c r="B500" s="10" t="s">
        <v>4445</v>
      </c>
      <c r="C500" s="10" t="s">
        <v>18</v>
      </c>
      <c r="D500" s="10">
        <v>1.8064395899185299</v>
      </c>
      <c r="E500" s="4">
        <v>2.8563187983428902E-20</v>
      </c>
      <c r="F500" s="10">
        <v>1.8512870300980599</v>
      </c>
      <c r="G500" s="4">
        <v>1.6429131770274601E-10</v>
      </c>
    </row>
    <row r="501" spans="1:7" x14ac:dyDescent="0.2">
      <c r="A501" s="10" t="s">
        <v>4400</v>
      </c>
      <c r="B501" s="10" t="s">
        <v>4401</v>
      </c>
      <c r="C501" s="10" t="s">
        <v>18</v>
      </c>
      <c r="D501" s="10">
        <v>-1.57152916186085</v>
      </c>
      <c r="E501" s="10">
        <v>7.9383492656426096E-4</v>
      </c>
      <c r="F501" s="10">
        <v>2.3871588375099799</v>
      </c>
      <c r="G501" s="10">
        <v>3.5491271563720299E-3</v>
      </c>
    </row>
    <row r="502" spans="1:7" x14ac:dyDescent="0.2">
      <c r="A502" s="10" t="s">
        <v>7676</v>
      </c>
      <c r="B502" s="10" t="s">
        <v>7677</v>
      </c>
      <c r="C502" s="10" t="s">
        <v>18</v>
      </c>
      <c r="D502" s="10">
        <v>3.2609744984339102</v>
      </c>
      <c r="E502" s="10">
        <v>2.17713683108274E-3</v>
      </c>
      <c r="F502" s="10">
        <v>4.8073568576300598</v>
      </c>
      <c r="G502" s="10">
        <v>3.1090805679879401E-4</v>
      </c>
    </row>
    <row r="503" spans="1:7" x14ac:dyDescent="0.2">
      <c r="A503" s="10" t="s">
        <v>9126</v>
      </c>
      <c r="B503" s="10" t="s">
        <v>9127</v>
      </c>
      <c r="C503" s="10" t="s">
        <v>18</v>
      </c>
      <c r="D503" s="10">
        <v>-1.36694379189285</v>
      </c>
      <c r="E503" s="4">
        <v>2.9382252350147498E-13</v>
      </c>
      <c r="F503" s="10">
        <v>-1.38648264768725</v>
      </c>
      <c r="G503" s="4">
        <v>5.9767711186107704E-8</v>
      </c>
    </row>
    <row r="504" spans="1:7" x14ac:dyDescent="0.2">
      <c r="A504" s="10" t="s">
        <v>5224</v>
      </c>
      <c r="B504" s="10" t="s">
        <v>5225</v>
      </c>
      <c r="C504" s="10" t="s">
        <v>18</v>
      </c>
      <c r="D504" s="10">
        <v>-1.4244856508271799</v>
      </c>
      <c r="E504" s="4">
        <v>1.0008131383327099E-15</v>
      </c>
      <c r="F504" s="10">
        <v>-1.1752751851924701</v>
      </c>
      <c r="G504" s="4">
        <v>6.8147943845396997E-7</v>
      </c>
    </row>
    <row r="505" spans="1:7" x14ac:dyDescent="0.2">
      <c r="A505" s="10" t="s">
        <v>4762</v>
      </c>
      <c r="B505" s="10" t="s">
        <v>4763</v>
      </c>
      <c r="C505" s="10" t="s">
        <v>18</v>
      </c>
      <c r="D505" s="10">
        <v>4.4947528515789497</v>
      </c>
      <c r="E505" s="4">
        <v>6.9799605309540095E-5</v>
      </c>
      <c r="F505" s="10">
        <v>3.7498925665009102</v>
      </c>
      <c r="G505" s="4">
        <v>3.8573419830779799E-5</v>
      </c>
    </row>
    <row r="506" spans="1:7" x14ac:dyDescent="0.2">
      <c r="A506" s="10" t="s">
        <v>8306</v>
      </c>
      <c r="B506" s="10" t="s">
        <v>8307</v>
      </c>
      <c r="C506" s="10" t="s">
        <v>18</v>
      </c>
      <c r="D506" s="10">
        <v>5.1202662239383496</v>
      </c>
      <c r="E506" s="4">
        <v>4.9802883861061098E-15</v>
      </c>
      <c r="F506" s="10">
        <v>2.42471964060113</v>
      </c>
      <c r="G506" s="4">
        <v>2.9403991085737299E-7</v>
      </c>
    </row>
    <row r="507" spans="1:7" x14ac:dyDescent="0.2">
      <c r="A507" s="10" t="s">
        <v>5810</v>
      </c>
      <c r="B507" s="10" t="s">
        <v>5811</v>
      </c>
      <c r="C507" s="10" t="s">
        <v>18</v>
      </c>
      <c r="D507" s="10">
        <v>6.3683367077910704</v>
      </c>
      <c r="E507" s="4">
        <v>7.7442401422997904E-27</v>
      </c>
      <c r="F507" s="10">
        <v>2.8668320624364001</v>
      </c>
      <c r="G507" s="4">
        <v>2.0558450194104899E-16</v>
      </c>
    </row>
    <row r="508" spans="1:7" x14ac:dyDescent="0.2">
      <c r="A508" s="10" t="s">
        <v>7476</v>
      </c>
      <c r="B508" s="10" t="s">
        <v>7477</v>
      </c>
      <c r="C508" s="10" t="s">
        <v>18</v>
      </c>
      <c r="D508" s="10">
        <v>1.7744578636362001</v>
      </c>
      <c r="E508" s="4">
        <v>9.6974682241460104E-14</v>
      </c>
      <c r="F508" s="10">
        <v>1.1980891502917399</v>
      </c>
      <c r="G508" s="4">
        <v>5.04755679443081E-5</v>
      </c>
    </row>
    <row r="509" spans="1:7" x14ac:dyDescent="0.2">
      <c r="A509" s="10" t="s">
        <v>7044</v>
      </c>
      <c r="B509" s="10" t="s">
        <v>7045</v>
      </c>
      <c r="C509" s="10" t="s">
        <v>18</v>
      </c>
      <c r="D509" s="10">
        <v>6.3382079114006098</v>
      </c>
      <c r="E509" s="4">
        <v>1.25543848973131E-11</v>
      </c>
      <c r="F509" s="10">
        <v>2.41054081987247</v>
      </c>
      <c r="G509" s="4">
        <v>1.72125545760181E-7</v>
      </c>
    </row>
    <row r="510" spans="1:7" x14ac:dyDescent="0.2">
      <c r="A510" s="10" t="s">
        <v>6682</v>
      </c>
      <c r="B510" s="10" t="s">
        <v>6683</v>
      </c>
      <c r="C510" s="10" t="s">
        <v>18</v>
      </c>
      <c r="D510" s="10">
        <v>7.2552686781630804</v>
      </c>
      <c r="E510" s="4">
        <v>7.3635531816546604E-25</v>
      </c>
      <c r="F510" s="10">
        <v>2.5417517385064601</v>
      </c>
      <c r="G510" s="4">
        <v>1.68766732041568E-15</v>
      </c>
    </row>
    <row r="511" spans="1:7" x14ac:dyDescent="0.2">
      <c r="A511" s="10" t="s">
        <v>4131</v>
      </c>
      <c r="B511" s="10" t="s">
        <v>4132</v>
      </c>
      <c r="C511" s="10" t="s">
        <v>18</v>
      </c>
      <c r="D511" s="10">
        <v>2.7043026860518302</v>
      </c>
      <c r="E511" s="4">
        <v>5.8791214314375997E-18</v>
      </c>
      <c r="F511" s="10">
        <v>1.7378857064112401</v>
      </c>
      <c r="G511" s="4">
        <v>1.20371742211916E-7</v>
      </c>
    </row>
    <row r="512" spans="1:7" x14ac:dyDescent="0.2">
      <c r="A512" s="10" t="s">
        <v>2675</v>
      </c>
      <c r="B512" s="10" t="s">
        <v>2676</v>
      </c>
      <c r="C512" s="10" t="s">
        <v>18</v>
      </c>
      <c r="D512" s="10">
        <v>1.54059727317073</v>
      </c>
      <c r="E512" s="4">
        <v>2.03227080902271E-8</v>
      </c>
      <c r="F512" s="10">
        <v>1.01829730624869</v>
      </c>
      <c r="G512" s="10">
        <v>9.7799768054874689E-4</v>
      </c>
    </row>
    <row r="513" spans="1:7" x14ac:dyDescent="0.2">
      <c r="A513" s="10" t="s">
        <v>4608</v>
      </c>
      <c r="B513" s="10" t="s">
        <v>4609</v>
      </c>
      <c r="C513" s="10" t="s">
        <v>18</v>
      </c>
      <c r="D513" s="10">
        <v>-1.1756478468851199</v>
      </c>
      <c r="E513" s="4">
        <v>3.7910542404658799E-10</v>
      </c>
      <c r="F513" s="10">
        <v>-1.56300316019179</v>
      </c>
      <c r="G513" s="4">
        <v>4.6446485015464701E-10</v>
      </c>
    </row>
    <row r="514" spans="1:7" x14ac:dyDescent="0.2">
      <c r="A514" s="10" t="s">
        <v>279</v>
      </c>
      <c r="B514" s="10" t="s">
        <v>280</v>
      </c>
      <c r="C514" s="10" t="s">
        <v>18</v>
      </c>
      <c r="D514" s="10">
        <v>2.1697410195700599</v>
      </c>
      <c r="E514" s="10">
        <v>9.1507435504037202E-3</v>
      </c>
      <c r="F514" s="10">
        <v>-1.39822290358471</v>
      </c>
      <c r="G514" s="10">
        <v>5.1664537522425899E-3</v>
      </c>
    </row>
    <row r="515" spans="1:7" x14ac:dyDescent="0.2">
      <c r="A515" s="10" t="s">
        <v>9122</v>
      </c>
      <c r="B515" s="10" t="s">
        <v>9123</v>
      </c>
      <c r="C515" s="10" t="s">
        <v>18</v>
      </c>
      <c r="D515" s="10">
        <v>1.33445625240565</v>
      </c>
      <c r="E515" s="4">
        <v>1.6211106531836701E-7</v>
      </c>
      <c r="F515" s="10">
        <v>1.31334616627675</v>
      </c>
      <c r="G515" s="4">
        <v>4.2292872743574303E-5</v>
      </c>
    </row>
    <row r="516" spans="1:7" x14ac:dyDescent="0.2">
      <c r="A516" s="10" t="s">
        <v>1501</v>
      </c>
      <c r="B516" s="10" t="s">
        <v>1502</v>
      </c>
      <c r="C516" s="10" t="s">
        <v>18</v>
      </c>
      <c r="D516" s="10">
        <v>-1.9441171219976501</v>
      </c>
      <c r="E516" s="4">
        <v>2.06369686085929E-17</v>
      </c>
      <c r="F516" s="10">
        <v>-1.7658060722787801</v>
      </c>
      <c r="G516" s="4">
        <v>9.4156681334553793E-10</v>
      </c>
    </row>
    <row r="517" spans="1:7" x14ac:dyDescent="0.2">
      <c r="A517" s="10" t="s">
        <v>6974</v>
      </c>
      <c r="B517" s="10" t="s">
        <v>6975</v>
      </c>
      <c r="C517" s="10" t="s">
        <v>18</v>
      </c>
      <c r="D517" s="10">
        <v>1.9212336486280099</v>
      </c>
      <c r="E517" s="10">
        <v>1.5047600667199301E-3</v>
      </c>
      <c r="F517" s="10">
        <v>1.61591383534802</v>
      </c>
      <c r="G517" s="10">
        <v>5.1857096867426603E-3</v>
      </c>
    </row>
    <row r="518" spans="1:7" x14ac:dyDescent="0.2">
      <c r="A518" s="10" t="s">
        <v>1529</v>
      </c>
      <c r="B518" s="10" t="s">
        <v>1530</v>
      </c>
      <c r="C518" s="10" t="s">
        <v>18</v>
      </c>
      <c r="D518" s="10">
        <v>6.7601743016445797</v>
      </c>
      <c r="E518" s="4">
        <v>1.3973739251582499E-9</v>
      </c>
      <c r="F518" s="10">
        <v>1.8359516371089299</v>
      </c>
      <c r="G518" s="4">
        <v>3.9140023498704103E-5</v>
      </c>
    </row>
    <row r="519" spans="1:7" x14ac:dyDescent="0.2">
      <c r="A519" s="10" t="s">
        <v>4065</v>
      </c>
      <c r="B519" s="10" t="s">
        <v>4066</v>
      </c>
      <c r="C519" s="10" t="s">
        <v>18</v>
      </c>
      <c r="D519" s="10">
        <v>2.8077599419922099</v>
      </c>
      <c r="E519" s="4">
        <v>1.3162535319303899E-30</v>
      </c>
      <c r="F519" s="10">
        <v>2.2371892617356099</v>
      </c>
      <c r="G519" s="4">
        <v>8.5176123497197794E-17</v>
      </c>
    </row>
    <row r="520" spans="1:7" x14ac:dyDescent="0.2">
      <c r="A520" s="10" t="s">
        <v>6822</v>
      </c>
      <c r="B520" s="10" t="s">
        <v>6823</v>
      </c>
      <c r="C520" s="10" t="s">
        <v>18</v>
      </c>
      <c r="D520" s="10">
        <v>-1.6567922458939901</v>
      </c>
      <c r="E520" s="4">
        <v>9.5289175663968201E-14</v>
      </c>
      <c r="F520" s="10">
        <v>-1.05436866786828</v>
      </c>
      <c r="G520" s="10">
        <v>3.8168710936006199E-4</v>
      </c>
    </row>
    <row r="521" spans="1:7" x14ac:dyDescent="0.2">
      <c r="A521" s="10" t="s">
        <v>8624</v>
      </c>
      <c r="B521" s="10" t="s">
        <v>8625</v>
      </c>
      <c r="C521" s="10" t="s">
        <v>18</v>
      </c>
      <c r="D521" s="10">
        <v>-1.16488301821365</v>
      </c>
      <c r="E521" s="4">
        <v>2.2801155539258698E-8</v>
      </c>
      <c r="F521" s="10">
        <v>-1.6760056685559199</v>
      </c>
      <c r="G521" s="4">
        <v>1.6447109783882101E-9</v>
      </c>
    </row>
    <row r="522" spans="1:7" x14ac:dyDescent="0.2">
      <c r="A522" s="10" t="s">
        <v>6876</v>
      </c>
      <c r="B522" s="10" t="s">
        <v>6877</v>
      </c>
      <c r="C522" s="10" t="s">
        <v>18</v>
      </c>
      <c r="D522" s="10">
        <v>4.7756100337445799</v>
      </c>
      <c r="E522" s="10">
        <v>3.0733613582884103E-4</v>
      </c>
      <c r="F522" s="10">
        <v>2.5494894074175001</v>
      </c>
      <c r="G522" s="10">
        <v>2.8575120516471002E-3</v>
      </c>
    </row>
    <row r="523" spans="1:7" x14ac:dyDescent="0.2">
      <c r="A523" s="10" t="s">
        <v>317</v>
      </c>
      <c r="B523" s="10" t="s">
        <v>318</v>
      </c>
      <c r="C523" s="10" t="s">
        <v>18</v>
      </c>
      <c r="D523" s="10">
        <v>-1.11238236328514</v>
      </c>
      <c r="E523" s="4">
        <v>9.1581092297512905E-8</v>
      </c>
      <c r="F523" s="10">
        <v>-1.0735252832495601</v>
      </c>
      <c r="G523" s="4">
        <v>3.1064857410476297E-5</v>
      </c>
    </row>
    <row r="524" spans="1:7" x14ac:dyDescent="0.2">
      <c r="A524" s="10" t="s">
        <v>3809</v>
      </c>
      <c r="B524" s="10" t="s">
        <v>3810</v>
      </c>
      <c r="C524" s="10" t="s">
        <v>18</v>
      </c>
      <c r="D524" s="10">
        <v>-2.4478830026789402</v>
      </c>
      <c r="E524" s="4">
        <v>1.14680022262573E-37</v>
      </c>
      <c r="F524" s="10">
        <v>-2.5032381658807701</v>
      </c>
      <c r="G524" s="4">
        <v>2.6535056145780902E-24</v>
      </c>
    </row>
    <row r="525" spans="1:7" x14ac:dyDescent="0.2">
      <c r="A525" s="10" t="s">
        <v>4782</v>
      </c>
      <c r="B525" s="10" t="s">
        <v>4783</v>
      </c>
      <c r="C525" s="10" t="s">
        <v>18</v>
      </c>
      <c r="D525" s="10">
        <v>6.0627167246970499</v>
      </c>
      <c r="E525" s="4">
        <v>4.0328255859029799E-113</v>
      </c>
      <c r="F525" s="10">
        <v>7.4229460690134603</v>
      </c>
      <c r="G525" s="4">
        <v>2.3186761694585301E-96</v>
      </c>
    </row>
    <row r="526" spans="1:7" x14ac:dyDescent="0.2">
      <c r="A526" s="10" t="s">
        <v>1131</v>
      </c>
      <c r="B526" s="10" t="s">
        <v>1132</v>
      </c>
      <c r="C526" s="10" t="s">
        <v>18</v>
      </c>
      <c r="D526" s="10">
        <v>1.44379474559531</v>
      </c>
      <c r="E526" s="4">
        <v>2.68515848663891E-12</v>
      </c>
      <c r="F526" s="10">
        <v>3.8519051427708701</v>
      </c>
      <c r="G526" s="4">
        <v>1.22100867486534E-45</v>
      </c>
    </row>
    <row r="527" spans="1:7" x14ac:dyDescent="0.2">
      <c r="A527" s="10" t="s">
        <v>113</v>
      </c>
      <c r="B527" s="10" t="s">
        <v>114</v>
      </c>
      <c r="C527" s="10" t="s">
        <v>18</v>
      </c>
      <c r="D527" s="10">
        <v>8.1599816457640095</v>
      </c>
      <c r="E527" s="4">
        <v>2.1707109756761501E-32</v>
      </c>
      <c r="F527" s="10">
        <v>9.1534150860101295</v>
      </c>
      <c r="G527" s="4">
        <v>3.9054943571054798E-25</v>
      </c>
    </row>
    <row r="528" spans="1:7" x14ac:dyDescent="0.2">
      <c r="A528" s="10" t="s">
        <v>7094</v>
      </c>
      <c r="B528" s="10" t="s">
        <v>7095</v>
      </c>
      <c r="C528" s="10" t="s">
        <v>18</v>
      </c>
      <c r="D528" s="10">
        <v>2.3869434535957601</v>
      </c>
      <c r="E528" s="4">
        <v>3.7543177075498702E-7</v>
      </c>
      <c r="F528" s="10">
        <v>2.3222843252483898</v>
      </c>
      <c r="G528" s="4">
        <v>8.0086629343789099E-7</v>
      </c>
    </row>
    <row r="529" spans="1:7" x14ac:dyDescent="0.2">
      <c r="A529" s="10" t="s">
        <v>6828</v>
      </c>
      <c r="B529" s="10" t="s">
        <v>6829</v>
      </c>
      <c r="C529" s="10" t="s">
        <v>18</v>
      </c>
      <c r="D529" s="10">
        <v>-3.1568747259029202</v>
      </c>
      <c r="E529" s="4">
        <v>3.0204315901576599E-6</v>
      </c>
      <c r="F529" s="10">
        <v>-3.0266573420613199</v>
      </c>
      <c r="G529" s="4">
        <v>9.7804264808780105E-6</v>
      </c>
    </row>
    <row r="530" spans="1:7" x14ac:dyDescent="0.2">
      <c r="A530" s="10" t="s">
        <v>7600</v>
      </c>
      <c r="B530" s="10" t="s">
        <v>7601</v>
      </c>
      <c r="C530" s="10" t="s">
        <v>18</v>
      </c>
      <c r="D530" s="10">
        <v>7.5816918298245399</v>
      </c>
      <c r="E530" s="4">
        <v>2.4522365882663301E-138</v>
      </c>
      <c r="F530" s="10">
        <v>6.8176608260915801</v>
      </c>
      <c r="G530" s="4">
        <v>2.0051190340639199E-105</v>
      </c>
    </row>
    <row r="531" spans="1:7" x14ac:dyDescent="0.2">
      <c r="A531" s="10" t="s">
        <v>5258</v>
      </c>
      <c r="B531" s="10" t="s">
        <v>5259</v>
      </c>
      <c r="C531" s="10" t="s">
        <v>18</v>
      </c>
      <c r="D531" s="10">
        <v>2.89685604008063</v>
      </c>
      <c r="E531" s="4">
        <v>1.5679912776851E-17</v>
      </c>
      <c r="F531" s="10">
        <v>5.6846622560613902</v>
      </c>
      <c r="G531" s="4">
        <v>3.5678392445759202E-30</v>
      </c>
    </row>
    <row r="532" spans="1:7" x14ac:dyDescent="0.2">
      <c r="A532" s="10" t="s">
        <v>7666</v>
      </c>
      <c r="B532" s="10" t="s">
        <v>7667</v>
      </c>
      <c r="C532" s="10" t="s">
        <v>18</v>
      </c>
      <c r="D532" s="10">
        <v>5.7475821093111099</v>
      </c>
      <c r="E532" s="4">
        <v>1.53276999789086E-23</v>
      </c>
      <c r="F532" s="10">
        <v>2.2930631953203902</v>
      </c>
      <c r="G532" s="4">
        <v>2.0454772050784702E-9</v>
      </c>
    </row>
    <row r="533" spans="1:7" x14ac:dyDescent="0.2">
      <c r="A533" s="10" t="s">
        <v>3139</v>
      </c>
      <c r="B533" s="10" t="s">
        <v>3140</v>
      </c>
      <c r="C533" s="10" t="s">
        <v>18</v>
      </c>
      <c r="D533" s="10">
        <v>1.59422318428905</v>
      </c>
      <c r="E533" s="4">
        <v>1.00029077694169E-13</v>
      </c>
      <c r="F533" s="10">
        <v>1.0608125449197601</v>
      </c>
      <c r="G533" s="10">
        <v>1.4519835838770699E-4</v>
      </c>
    </row>
    <row r="534" spans="1:7" x14ac:dyDescent="0.2">
      <c r="A534" s="10" t="s">
        <v>847</v>
      </c>
      <c r="B534" s="10" t="s">
        <v>848</v>
      </c>
      <c r="C534" s="10" t="s">
        <v>18</v>
      </c>
      <c r="D534" s="10">
        <v>-1.20836455005558</v>
      </c>
      <c r="E534" s="4">
        <v>1.46974811793676E-10</v>
      </c>
      <c r="F534" s="10">
        <v>-2.1155855754286699</v>
      </c>
      <c r="G534" s="4">
        <v>5.1260542940530202E-16</v>
      </c>
    </row>
    <row r="535" spans="1:7" x14ac:dyDescent="0.2">
      <c r="A535" s="10" t="s">
        <v>4974</v>
      </c>
      <c r="B535" s="10" t="s">
        <v>4975</v>
      </c>
      <c r="C535" s="10" t="s">
        <v>18</v>
      </c>
      <c r="D535" s="10">
        <v>1.2334246547097201</v>
      </c>
      <c r="E535" s="4">
        <v>2.29979852145509E-7</v>
      </c>
      <c r="F535" s="10">
        <v>1.57028742197287</v>
      </c>
      <c r="G535" s="4">
        <v>6.2877263843136904E-9</v>
      </c>
    </row>
    <row r="536" spans="1:7" x14ac:dyDescent="0.2">
      <c r="A536" s="10" t="s">
        <v>6306</v>
      </c>
      <c r="B536" s="10" t="s">
        <v>6307</v>
      </c>
      <c r="C536" s="10" t="s">
        <v>18</v>
      </c>
      <c r="D536" s="10">
        <v>6.7442691815578897</v>
      </c>
      <c r="E536" s="4">
        <v>1.59204641971691E-5</v>
      </c>
      <c r="F536" s="10">
        <v>3.82557425985497</v>
      </c>
      <c r="G536" s="4">
        <v>3.4061317116015502E-7</v>
      </c>
    </row>
    <row r="537" spans="1:7" x14ac:dyDescent="0.2">
      <c r="A537" s="10" t="s">
        <v>6302</v>
      </c>
      <c r="B537" s="10" t="s">
        <v>6303</v>
      </c>
      <c r="C537" s="10" t="s">
        <v>18</v>
      </c>
      <c r="D537" s="10">
        <v>7.9060050933204398</v>
      </c>
      <c r="E537" s="4">
        <v>1.8387104594640999E-13</v>
      </c>
      <c r="F537" s="10">
        <v>5.4711264179807904</v>
      </c>
      <c r="G537" s="4">
        <v>1.25213434690732E-23</v>
      </c>
    </row>
    <row r="538" spans="1:7" x14ac:dyDescent="0.2">
      <c r="A538" s="10" t="s">
        <v>6304</v>
      </c>
      <c r="B538" s="10" t="s">
        <v>6305</v>
      </c>
      <c r="C538" s="10" t="s">
        <v>18</v>
      </c>
      <c r="D538" s="10">
        <v>8.6557989089264904</v>
      </c>
      <c r="E538" s="4">
        <v>1.86326312071425E-8</v>
      </c>
      <c r="F538" s="10">
        <v>6.4632775684627797</v>
      </c>
      <c r="G538" s="4">
        <v>1.7359623292135E-8</v>
      </c>
    </row>
    <row r="539" spans="1:7" x14ac:dyDescent="0.2">
      <c r="A539" s="10" t="s">
        <v>4620</v>
      </c>
      <c r="B539" s="10" t="s">
        <v>4621</v>
      </c>
      <c r="C539" s="10" t="s">
        <v>18</v>
      </c>
      <c r="D539" s="10">
        <v>3.2070678549276899</v>
      </c>
      <c r="E539" s="4">
        <v>1.3826948104258401E-16</v>
      </c>
      <c r="F539" s="10">
        <v>2.4684472013336598</v>
      </c>
      <c r="G539" s="4">
        <v>9.9935907821225196E-10</v>
      </c>
    </row>
    <row r="540" spans="1:7" x14ac:dyDescent="0.2">
      <c r="A540" s="10" t="s">
        <v>4726</v>
      </c>
      <c r="B540" s="10" t="s">
        <v>4727</v>
      </c>
      <c r="C540" s="10" t="s">
        <v>18</v>
      </c>
      <c r="D540" s="10">
        <v>4.7871974439594496</v>
      </c>
      <c r="E540" s="4">
        <v>4.9680265441163599E-102</v>
      </c>
      <c r="F540" s="10">
        <v>1.4283882988158201</v>
      </c>
      <c r="G540" s="4">
        <v>6.2656086909189596E-9</v>
      </c>
    </row>
    <row r="541" spans="1:7" x14ac:dyDescent="0.2">
      <c r="A541" s="10" t="s">
        <v>6318</v>
      </c>
      <c r="B541" s="10" t="s">
        <v>6319</v>
      </c>
      <c r="C541" s="10" t="s">
        <v>18</v>
      </c>
      <c r="D541" s="10">
        <v>-2.66341815004948</v>
      </c>
      <c r="E541" s="4">
        <v>7.6919431220409401E-37</v>
      </c>
      <c r="F541" s="10">
        <v>-3.0989424649631601</v>
      </c>
      <c r="G541" s="4">
        <v>3.6040121972022101E-33</v>
      </c>
    </row>
    <row r="542" spans="1:7" x14ac:dyDescent="0.2">
      <c r="A542" s="10" t="s">
        <v>33</v>
      </c>
      <c r="B542" s="10" t="s">
        <v>34</v>
      </c>
      <c r="C542" s="10" t="s">
        <v>18</v>
      </c>
      <c r="D542" s="10">
        <v>-1.7290784835926001</v>
      </c>
      <c r="E542" s="4">
        <v>2.9255775438045899E-15</v>
      </c>
      <c r="F542" s="10">
        <v>1.1418149296017801</v>
      </c>
      <c r="G542" s="10">
        <v>3.7668502432892503E-4</v>
      </c>
    </row>
    <row r="543" spans="1:7" x14ac:dyDescent="0.2">
      <c r="A543" s="10" t="s">
        <v>1109</v>
      </c>
      <c r="B543" s="10" t="s">
        <v>1110</v>
      </c>
      <c r="C543" s="10" t="s">
        <v>18</v>
      </c>
      <c r="D543" s="10">
        <v>1.45409791301443</v>
      </c>
      <c r="E543" s="10">
        <v>5.3675852556111505E-4</v>
      </c>
      <c r="F543" s="10">
        <v>1.34732611817919</v>
      </c>
      <c r="G543" s="10">
        <v>3.0675123960006E-3</v>
      </c>
    </row>
    <row r="544" spans="1:7" x14ac:dyDescent="0.2">
      <c r="A544" s="10" t="s">
        <v>5922</v>
      </c>
      <c r="B544" s="10" t="s">
        <v>5923</v>
      </c>
      <c r="C544" s="10" t="s">
        <v>18</v>
      </c>
      <c r="D544" s="10">
        <v>1.0325131099940701</v>
      </c>
      <c r="E544" s="4">
        <v>1.3993154993536E-8</v>
      </c>
      <c r="F544" s="10">
        <v>1.34035146266133</v>
      </c>
      <c r="G544" s="4">
        <v>2.5963411433148599E-8</v>
      </c>
    </row>
    <row r="545" spans="1:7" x14ac:dyDescent="0.2">
      <c r="A545" s="10" t="s">
        <v>8452</v>
      </c>
      <c r="B545" s="10" t="s">
        <v>8453</v>
      </c>
      <c r="C545" s="10" t="s">
        <v>18</v>
      </c>
      <c r="D545" s="10">
        <v>-2.3379237105183601</v>
      </c>
      <c r="E545" s="4">
        <v>6.3985609758897605E-26</v>
      </c>
      <c r="F545" s="10">
        <v>-3.98369052745536</v>
      </c>
      <c r="G545" s="4">
        <v>1.03347660789752E-39</v>
      </c>
    </row>
    <row r="546" spans="1:7" x14ac:dyDescent="0.2">
      <c r="A546" s="10" t="s">
        <v>185</v>
      </c>
      <c r="B546" s="10" t="s">
        <v>186</v>
      </c>
      <c r="C546" s="10" t="s">
        <v>18</v>
      </c>
      <c r="D546" s="10">
        <v>-1.30379351153288</v>
      </c>
      <c r="E546" s="4">
        <v>6.9613392030541396E-8</v>
      </c>
      <c r="F546" s="10">
        <v>-2.8447898341402</v>
      </c>
      <c r="G546" s="4">
        <v>4.1393787231341401E-23</v>
      </c>
    </row>
    <row r="547" spans="1:7" x14ac:dyDescent="0.2">
      <c r="A547" s="10" t="s">
        <v>5658</v>
      </c>
      <c r="B547" s="10" t="s">
        <v>5659</v>
      </c>
      <c r="C547" s="10" t="s">
        <v>18</v>
      </c>
      <c r="D547" s="10">
        <v>1.9340341094319899</v>
      </c>
      <c r="E547" s="4">
        <v>1.93212059158973E-26</v>
      </c>
      <c r="F547" s="10">
        <v>1.4328092086945701</v>
      </c>
      <c r="G547" s="4">
        <v>1.56794961372575E-9</v>
      </c>
    </row>
    <row r="548" spans="1:7" x14ac:dyDescent="0.2">
      <c r="A548" s="10" t="s">
        <v>7776</v>
      </c>
      <c r="B548" s="10" t="s">
        <v>7777</v>
      </c>
      <c r="C548" s="10" t="s">
        <v>18</v>
      </c>
      <c r="D548" s="10">
        <v>5.7949528201584899</v>
      </c>
      <c r="E548" s="4">
        <v>4.9674597234074502E-30</v>
      </c>
      <c r="F548" s="10">
        <v>8.0444093491499906</v>
      </c>
      <c r="G548" s="4">
        <v>2.6458343720864298E-19</v>
      </c>
    </row>
    <row r="549" spans="1:7" x14ac:dyDescent="0.2">
      <c r="A549" s="10" t="s">
        <v>8954</v>
      </c>
      <c r="B549" s="10" t="s">
        <v>8955</v>
      </c>
      <c r="C549" s="10" t="s">
        <v>18</v>
      </c>
      <c r="D549" s="10">
        <v>-1.66279974458948</v>
      </c>
      <c r="E549" s="4">
        <v>6.1902628143230604E-12</v>
      </c>
      <c r="F549" s="10">
        <v>-1.14043529780285</v>
      </c>
      <c r="G549" s="10">
        <v>1.1659935945169801E-4</v>
      </c>
    </row>
    <row r="550" spans="1:7" x14ac:dyDescent="0.2">
      <c r="A550" s="10" t="s">
        <v>589</v>
      </c>
      <c r="B550" s="10" t="s">
        <v>590</v>
      </c>
      <c r="C550" s="10" t="s">
        <v>18</v>
      </c>
      <c r="D550" s="10">
        <v>2.17244783074824</v>
      </c>
      <c r="E550" s="4">
        <v>1.09652851847024E-7</v>
      </c>
      <c r="F550" s="10">
        <v>2.40556841069965</v>
      </c>
      <c r="G550" s="4">
        <v>7.8571014154479997E-9</v>
      </c>
    </row>
    <row r="551" spans="1:7" x14ac:dyDescent="0.2">
      <c r="A551" s="10" t="s">
        <v>8976</v>
      </c>
      <c r="B551" s="10" t="s">
        <v>8977</v>
      </c>
      <c r="C551" s="10" t="s">
        <v>18</v>
      </c>
      <c r="D551" s="10">
        <v>1.8736009654724399</v>
      </c>
      <c r="E551" s="4">
        <v>4.9992823907361998E-23</v>
      </c>
      <c r="F551" s="10">
        <v>10.6141331631183</v>
      </c>
      <c r="G551" s="4">
        <v>1.9393311846103798E-43</v>
      </c>
    </row>
    <row r="552" spans="1:7" x14ac:dyDescent="0.2">
      <c r="A552" s="10" t="s">
        <v>2077</v>
      </c>
      <c r="B552" s="10" t="s">
        <v>2078</v>
      </c>
      <c r="C552" s="10" t="s">
        <v>18</v>
      </c>
      <c r="D552" s="10">
        <v>-1.14298434225569</v>
      </c>
      <c r="E552" s="10">
        <v>2.7314543057147298E-4</v>
      </c>
      <c r="F552" s="10">
        <v>-1.0982459592746701</v>
      </c>
      <c r="G552" s="10">
        <v>1.92959087907884E-3</v>
      </c>
    </row>
    <row r="553" spans="1:7" x14ac:dyDescent="0.2">
      <c r="A553" s="10" t="s">
        <v>3623</v>
      </c>
      <c r="B553" s="10" t="s">
        <v>3624</v>
      </c>
      <c r="C553" s="10" t="s">
        <v>18</v>
      </c>
      <c r="D553" s="10">
        <v>5.6287604344223698</v>
      </c>
      <c r="E553" s="4">
        <v>7.84600705310755E-26</v>
      </c>
      <c r="F553" s="10">
        <v>6.0120565216193</v>
      </c>
      <c r="G553" s="4">
        <v>5.4730113983204303E-26</v>
      </c>
    </row>
    <row r="554" spans="1:7" x14ac:dyDescent="0.2">
      <c r="A554" s="10" t="s">
        <v>1953</v>
      </c>
      <c r="B554" s="10" t="s">
        <v>1954</v>
      </c>
      <c r="C554" s="10" t="s">
        <v>18</v>
      </c>
      <c r="D554" s="10">
        <v>-1.6414548897933401</v>
      </c>
      <c r="E554" s="10">
        <v>5.9681926383916596E-4</v>
      </c>
      <c r="F554" s="10">
        <v>-2.0723854258929602</v>
      </c>
      <c r="G554" s="4">
        <v>5.6356752392005399E-6</v>
      </c>
    </row>
    <row r="555" spans="1:7" x14ac:dyDescent="0.2">
      <c r="A555" s="10" t="s">
        <v>8444</v>
      </c>
      <c r="B555" s="10" t="s">
        <v>8445</v>
      </c>
      <c r="C555" s="10" t="s">
        <v>18</v>
      </c>
      <c r="D555" s="10">
        <v>1.81780308628147</v>
      </c>
      <c r="E555" s="10">
        <v>1.53957808661916E-3</v>
      </c>
      <c r="F555" s="10">
        <v>1.4992008304183699</v>
      </c>
      <c r="G555" s="10">
        <v>5.3217573713361102E-3</v>
      </c>
    </row>
    <row r="556" spans="1:7" x14ac:dyDescent="0.2">
      <c r="A556" s="10" t="s">
        <v>643</v>
      </c>
      <c r="B556" s="10" t="s">
        <v>644</v>
      </c>
      <c r="C556" s="10" t="s">
        <v>18</v>
      </c>
      <c r="D556" s="10">
        <v>-2.2685888867950901</v>
      </c>
      <c r="E556" s="4">
        <v>1.9911894012662E-20</v>
      </c>
      <c r="F556" s="10">
        <v>-1.09831413199948</v>
      </c>
      <c r="G556" s="10">
        <v>4.5445236326592601E-4</v>
      </c>
    </row>
    <row r="557" spans="1:7" x14ac:dyDescent="0.2">
      <c r="A557" s="10" t="s">
        <v>8982</v>
      </c>
      <c r="B557" s="10" t="s">
        <v>8983</v>
      </c>
      <c r="C557" s="10" t="s">
        <v>18</v>
      </c>
      <c r="D557" s="10">
        <v>3.1522632173159502</v>
      </c>
      <c r="E557" s="4">
        <v>5.6315176684550704E-41</v>
      </c>
      <c r="F557" s="10">
        <v>4.0700481431486999</v>
      </c>
      <c r="G557" s="4">
        <v>1.00207460553961E-49</v>
      </c>
    </row>
    <row r="558" spans="1:7" x14ac:dyDescent="0.2">
      <c r="A558" s="10" t="s">
        <v>4564</v>
      </c>
      <c r="B558" s="10" t="s">
        <v>4565</v>
      </c>
      <c r="C558" s="10" t="s">
        <v>18</v>
      </c>
      <c r="D558" s="10">
        <v>4.9949731539887203</v>
      </c>
      <c r="E558" s="4">
        <v>2.61354263205555E-14</v>
      </c>
      <c r="F558" s="10">
        <v>2.5954096163376299</v>
      </c>
      <c r="G558" s="4">
        <v>8.0840785512578795E-9</v>
      </c>
    </row>
    <row r="559" spans="1:7" x14ac:dyDescent="0.2">
      <c r="A559" s="10" t="s">
        <v>5322</v>
      </c>
      <c r="B559" s="10" t="s">
        <v>5323</v>
      </c>
      <c r="C559" s="10" t="s">
        <v>18</v>
      </c>
      <c r="D559" s="10">
        <v>1.6824243057846899</v>
      </c>
      <c r="E559" s="4">
        <v>7.84490335926118E-23</v>
      </c>
      <c r="F559" s="10">
        <v>2.1258491281561902</v>
      </c>
      <c r="G559" s="4">
        <v>2.94603192186948E-18</v>
      </c>
    </row>
    <row r="560" spans="1:7" x14ac:dyDescent="0.2">
      <c r="A560" s="10" t="s">
        <v>8118</v>
      </c>
      <c r="B560" s="10" t="s">
        <v>8119</v>
      </c>
      <c r="C560" s="10" t="s">
        <v>18</v>
      </c>
      <c r="D560" s="10">
        <v>1.21628266007898</v>
      </c>
      <c r="E560" s="4">
        <v>6.1380643688663906E-5</v>
      </c>
      <c r="F560" s="10">
        <v>1.1600335266017201</v>
      </c>
      <c r="G560" s="10">
        <v>5.2678371006464495E-4</v>
      </c>
    </row>
    <row r="561" spans="1:7" x14ac:dyDescent="0.2">
      <c r="A561" s="10" t="s">
        <v>3849</v>
      </c>
      <c r="B561" s="10" t="s">
        <v>3850</v>
      </c>
      <c r="C561" s="10" t="s">
        <v>18</v>
      </c>
      <c r="D561" s="10">
        <v>-2.83722313749985</v>
      </c>
      <c r="E561" s="4">
        <v>1.18837397366479E-35</v>
      </c>
      <c r="F561" s="10">
        <v>-1.42790499575126</v>
      </c>
      <c r="G561" s="4">
        <v>7.8679010733710297E-6</v>
      </c>
    </row>
    <row r="562" spans="1:7" x14ac:dyDescent="0.2">
      <c r="A562" s="10" t="s">
        <v>7036</v>
      </c>
      <c r="B562" s="10" t="s">
        <v>7037</v>
      </c>
      <c r="C562" s="10" t="s">
        <v>18</v>
      </c>
      <c r="D562" s="10">
        <v>-1.3999530519585801</v>
      </c>
      <c r="E562" s="4">
        <v>8.0633392890708098E-10</v>
      </c>
      <c r="F562" s="10">
        <v>-1.27880009391437</v>
      </c>
      <c r="G562" s="4">
        <v>4.7407553296972899E-6</v>
      </c>
    </row>
    <row r="563" spans="1:7" x14ac:dyDescent="0.2">
      <c r="A563" s="10" t="s">
        <v>4626</v>
      </c>
      <c r="B563" s="10" t="s">
        <v>4627</v>
      </c>
      <c r="C563" s="10" t="s">
        <v>18</v>
      </c>
      <c r="D563" s="10">
        <v>-1.4245780507369701</v>
      </c>
      <c r="E563" s="4">
        <v>1.0340555758803801E-6</v>
      </c>
      <c r="F563" s="10">
        <v>-1.40407111031926</v>
      </c>
      <c r="G563" s="4">
        <v>1.8196088483462101E-5</v>
      </c>
    </row>
    <row r="564" spans="1:7" x14ac:dyDescent="0.2">
      <c r="A564" s="10" t="s">
        <v>7642</v>
      </c>
      <c r="B564" s="10" t="s">
        <v>7643</v>
      </c>
      <c r="C564" s="10" t="s">
        <v>18</v>
      </c>
      <c r="D564" s="10">
        <v>1.2437293420284601</v>
      </c>
      <c r="E564" s="10">
        <v>1.8377948770739001E-3</v>
      </c>
      <c r="F564" s="10">
        <v>1.1476324950313599</v>
      </c>
      <c r="G564" s="10">
        <v>4.2459166330524999E-3</v>
      </c>
    </row>
    <row r="565" spans="1:7" x14ac:dyDescent="0.2">
      <c r="A565" s="10" t="s">
        <v>7892</v>
      </c>
      <c r="B565" s="10" t="s">
        <v>7893</v>
      </c>
      <c r="C565" s="10" t="s">
        <v>18</v>
      </c>
      <c r="D565" s="10">
        <v>5.3876654854389701</v>
      </c>
      <c r="E565" s="4">
        <v>2.7473071193859599E-17</v>
      </c>
      <c r="F565" s="10">
        <v>6.0577928040706999</v>
      </c>
      <c r="G565" s="4">
        <v>1.6706060841496301E-17</v>
      </c>
    </row>
    <row r="566" spans="1:7" x14ac:dyDescent="0.2">
      <c r="A566" s="10" t="s">
        <v>3377</v>
      </c>
      <c r="B566" s="10" t="s">
        <v>3378</v>
      </c>
      <c r="C566" s="10" t="s">
        <v>18</v>
      </c>
      <c r="D566" s="10">
        <v>4.0321723130595197</v>
      </c>
      <c r="E566" s="4">
        <v>5.2888686966537504E-31</v>
      </c>
      <c r="F566" s="10">
        <v>2.81623258088135</v>
      </c>
      <c r="G566" s="4">
        <v>1.1734955590890101E-13</v>
      </c>
    </row>
    <row r="567" spans="1:7" x14ac:dyDescent="0.2">
      <c r="A567" s="10" t="s">
        <v>6126</v>
      </c>
      <c r="B567" s="10" t="s">
        <v>6127</v>
      </c>
      <c r="C567" s="10" t="s">
        <v>18</v>
      </c>
      <c r="D567" s="10">
        <v>-1.69923940944952</v>
      </c>
      <c r="E567" s="4">
        <v>3.24181172664846E-18</v>
      </c>
      <c r="F567" s="10">
        <v>-1.1393929156436</v>
      </c>
      <c r="G567" s="4">
        <v>2.0774978688790201E-5</v>
      </c>
    </row>
    <row r="568" spans="1:7" x14ac:dyDescent="0.2">
      <c r="A568" s="10" t="s">
        <v>2861</v>
      </c>
      <c r="B568" s="10" t="s">
        <v>2862</v>
      </c>
      <c r="C568" s="10" t="s">
        <v>18</v>
      </c>
      <c r="D568" s="10">
        <v>-1.37188489630816</v>
      </c>
      <c r="E568" s="4">
        <v>3.4963856276248999E-13</v>
      </c>
      <c r="F568" s="10">
        <v>-1.5870028264514799</v>
      </c>
      <c r="G568" s="4">
        <v>3.09329722276981E-10</v>
      </c>
    </row>
    <row r="569" spans="1:7" x14ac:dyDescent="0.2">
      <c r="A569" s="10" t="s">
        <v>2345</v>
      </c>
      <c r="B569" s="10" t="s">
        <v>2346</v>
      </c>
      <c r="C569" s="10" t="s">
        <v>18</v>
      </c>
      <c r="D569" s="10">
        <v>-1.67884534867772</v>
      </c>
      <c r="E569" s="4">
        <v>8.2529483095966101E-15</v>
      </c>
      <c r="F569" s="10">
        <v>-2.5597500470439698</v>
      </c>
      <c r="G569" s="4">
        <v>3.89799029781692E-22</v>
      </c>
    </row>
    <row r="570" spans="1:7" x14ac:dyDescent="0.2">
      <c r="A570" s="10" t="s">
        <v>7032</v>
      </c>
      <c r="B570" s="10" t="s">
        <v>7033</v>
      </c>
      <c r="C570" s="10" t="s">
        <v>18</v>
      </c>
      <c r="D570" s="10">
        <v>-1.72707615627656</v>
      </c>
      <c r="E570" s="4">
        <v>3.6345576066059799E-12</v>
      </c>
      <c r="F570" s="10">
        <v>-1.2377474920793701</v>
      </c>
      <c r="G570" s="4">
        <v>3.77393115974766E-5</v>
      </c>
    </row>
    <row r="571" spans="1:7" x14ac:dyDescent="0.2">
      <c r="A571" s="10" t="s">
        <v>8192</v>
      </c>
      <c r="B571" s="10" t="s">
        <v>8193</v>
      </c>
      <c r="C571" s="10" t="s">
        <v>18</v>
      </c>
      <c r="D571" s="10">
        <v>1.59500170463831</v>
      </c>
      <c r="E571" s="4">
        <v>2.0640796556438899E-13</v>
      </c>
      <c r="F571" s="10">
        <v>2.56548964571805</v>
      </c>
      <c r="G571" s="4">
        <v>5.0729616482876103E-18</v>
      </c>
    </row>
    <row r="572" spans="1:7" x14ac:dyDescent="0.2">
      <c r="A572" s="10" t="s">
        <v>6632</v>
      </c>
      <c r="B572" s="10" t="s">
        <v>6633</v>
      </c>
      <c r="C572" s="10" t="s">
        <v>18</v>
      </c>
      <c r="D572" s="10">
        <v>-1.7208533695892001</v>
      </c>
      <c r="E572" s="4">
        <v>9.12207980315687E-16</v>
      </c>
      <c r="F572" s="10">
        <v>-2.6923172953124599</v>
      </c>
      <c r="G572" s="4">
        <v>7.0640689143484895E-26</v>
      </c>
    </row>
    <row r="573" spans="1:7" x14ac:dyDescent="0.2">
      <c r="A573" s="10" t="s">
        <v>8222</v>
      </c>
      <c r="B573" s="10" t="s">
        <v>8223</v>
      </c>
      <c r="C573" s="10" t="s">
        <v>18</v>
      </c>
      <c r="D573" s="10">
        <v>-2.3170814928013899</v>
      </c>
      <c r="E573" s="4">
        <v>7.8707916118544395E-11</v>
      </c>
      <c r="F573" s="10">
        <v>-2.8953920829786699</v>
      </c>
      <c r="G573" s="4">
        <v>7.5558094984104801E-15</v>
      </c>
    </row>
    <row r="574" spans="1:7" x14ac:dyDescent="0.2">
      <c r="A574" s="10" t="s">
        <v>5178</v>
      </c>
      <c r="B574" s="10" t="s">
        <v>5179</v>
      </c>
      <c r="C574" s="10" t="s">
        <v>18</v>
      </c>
      <c r="D574" s="10">
        <v>1.2138129167362799</v>
      </c>
      <c r="E574" s="4">
        <v>6.2719596267978597E-10</v>
      </c>
      <c r="F574" s="10">
        <v>2.66992387583936</v>
      </c>
      <c r="G574" s="4">
        <v>1.59523311752926E-24</v>
      </c>
    </row>
    <row r="575" spans="1:7" x14ac:dyDescent="0.2">
      <c r="A575" s="10" t="s">
        <v>4330</v>
      </c>
      <c r="B575" s="10" t="s">
        <v>4331</v>
      </c>
      <c r="C575" s="10" t="s">
        <v>18</v>
      </c>
      <c r="D575" s="10">
        <v>-1.96498900741704</v>
      </c>
      <c r="E575" s="4">
        <v>2.06779904922171E-14</v>
      </c>
      <c r="F575" s="10">
        <v>-1.4914042745392699</v>
      </c>
      <c r="G575" s="4">
        <v>6.7508381690301701E-6</v>
      </c>
    </row>
    <row r="576" spans="1:7" x14ac:dyDescent="0.2">
      <c r="A576" s="10" t="s">
        <v>4316</v>
      </c>
      <c r="B576" s="10" t="s">
        <v>4317</v>
      </c>
      <c r="C576" s="10" t="s">
        <v>18</v>
      </c>
      <c r="D576" s="10">
        <v>2.5706561090309701</v>
      </c>
      <c r="E576" s="4">
        <v>1.8168329442697801E-13</v>
      </c>
      <c r="F576" s="10">
        <v>3.1501447049956401</v>
      </c>
      <c r="G576" s="4">
        <v>3.3412620525600201E-14</v>
      </c>
    </row>
    <row r="577" spans="1:7" x14ac:dyDescent="0.2">
      <c r="A577" s="10" t="s">
        <v>4123</v>
      </c>
      <c r="B577" s="10" t="s">
        <v>4124</v>
      </c>
      <c r="C577" s="10" t="s">
        <v>18</v>
      </c>
      <c r="D577" s="10">
        <v>3.8666342361236201</v>
      </c>
      <c r="E577" s="4">
        <v>7.52942839173954E-5</v>
      </c>
      <c r="F577" s="10">
        <v>2.45220767495932</v>
      </c>
      <c r="G577" s="10">
        <v>1.0956273358536199E-3</v>
      </c>
    </row>
    <row r="578" spans="1:7" x14ac:dyDescent="0.2">
      <c r="A578" s="10" t="s">
        <v>7006</v>
      </c>
      <c r="B578" s="10" t="s">
        <v>7007</v>
      </c>
      <c r="C578" s="10" t="s">
        <v>18</v>
      </c>
      <c r="D578" s="10">
        <v>-1.22331090833467</v>
      </c>
      <c r="E578" s="4">
        <v>5.3172550673189202E-6</v>
      </c>
      <c r="F578" s="10">
        <v>-1.1482141340687599</v>
      </c>
      <c r="G578" s="10">
        <v>5.5420418825813096E-4</v>
      </c>
    </row>
    <row r="579" spans="1:7" x14ac:dyDescent="0.2">
      <c r="A579" s="10" t="s">
        <v>4422</v>
      </c>
      <c r="B579" s="10" t="s">
        <v>4423</v>
      </c>
      <c r="C579" s="10" t="s">
        <v>18</v>
      </c>
      <c r="D579" s="10">
        <v>-3.2139470498014102</v>
      </c>
      <c r="E579" s="4">
        <v>9.7244561621393793E-47</v>
      </c>
      <c r="F579" s="10">
        <v>1.1060462757121601</v>
      </c>
      <c r="G579" s="10">
        <v>8.4583806956230693E-3</v>
      </c>
    </row>
    <row r="580" spans="1:7" x14ac:dyDescent="0.2">
      <c r="A580" s="10" t="s">
        <v>4684</v>
      </c>
      <c r="B580" s="10" t="s">
        <v>4685</v>
      </c>
      <c r="C580" s="10" t="s">
        <v>18</v>
      </c>
      <c r="D580" s="10">
        <v>-1.77465727881296</v>
      </c>
      <c r="E580" s="4">
        <v>9.5326387963982706E-21</v>
      </c>
      <c r="F580" s="10">
        <v>-1.54807771722668</v>
      </c>
      <c r="G580" s="4">
        <v>4.7636101953637901E-10</v>
      </c>
    </row>
    <row r="581" spans="1:7" x14ac:dyDescent="0.2">
      <c r="A581" s="10" t="s">
        <v>4438</v>
      </c>
      <c r="B581" s="10" t="s">
        <v>4439</v>
      </c>
      <c r="C581" s="10" t="s">
        <v>18</v>
      </c>
      <c r="D581" s="10">
        <v>2.8773142506976499</v>
      </c>
      <c r="E581" s="4">
        <v>2.00999212852834E-7</v>
      </c>
      <c r="F581" s="10">
        <v>3.0675671386877399</v>
      </c>
      <c r="G581" s="4">
        <v>3.2564607659943497E-8</v>
      </c>
    </row>
    <row r="582" spans="1:7" x14ac:dyDescent="0.2">
      <c r="A582" s="10" t="s">
        <v>1673</v>
      </c>
      <c r="B582" s="10" t="s">
        <v>1674</v>
      </c>
      <c r="C582" s="10" t="s">
        <v>18</v>
      </c>
      <c r="D582" s="10">
        <v>3.8038211649743499</v>
      </c>
      <c r="E582" s="4">
        <v>2.24061560022279E-6</v>
      </c>
      <c r="F582" s="10">
        <v>-1.13561356958617</v>
      </c>
      <c r="G582" s="10">
        <v>5.4992831579930498E-3</v>
      </c>
    </row>
    <row r="583" spans="1:7" x14ac:dyDescent="0.2">
      <c r="A583" s="10" t="s">
        <v>281</v>
      </c>
      <c r="B583" s="10" t="s">
        <v>282</v>
      </c>
      <c r="C583" s="10" t="s">
        <v>18</v>
      </c>
      <c r="D583" s="10">
        <v>3.0925146051342298</v>
      </c>
      <c r="E583" s="4">
        <v>2.45230788140885E-6</v>
      </c>
      <c r="F583" s="10">
        <v>2.1028765865109902</v>
      </c>
      <c r="G583" s="10">
        <v>3.0878129943994099E-4</v>
      </c>
    </row>
    <row r="584" spans="1:7" x14ac:dyDescent="0.2">
      <c r="A584" s="10" t="s">
        <v>3815</v>
      </c>
      <c r="B584" s="10" t="s">
        <v>3816</v>
      </c>
      <c r="C584" s="10" t="s">
        <v>18</v>
      </c>
      <c r="D584" s="10">
        <v>-1.50937396472053</v>
      </c>
      <c r="E584" s="4">
        <v>8.4852804519404597E-12</v>
      </c>
      <c r="F584" s="10">
        <v>-1.30062787282583</v>
      </c>
      <c r="G584" s="4">
        <v>7.9323656795534795E-6</v>
      </c>
    </row>
    <row r="585" spans="1:7" x14ac:dyDescent="0.2">
      <c r="A585" s="10" t="s">
        <v>7314</v>
      </c>
      <c r="B585" s="10" t="s">
        <v>7315</v>
      </c>
      <c r="C585" s="10" t="s">
        <v>18</v>
      </c>
      <c r="D585" s="10">
        <v>2.3914728353807799</v>
      </c>
      <c r="E585" s="4">
        <v>7.4423819075126504E-23</v>
      </c>
      <c r="F585" s="10">
        <v>2.9446798266402801</v>
      </c>
      <c r="G585" s="4">
        <v>5.17183125204224E-22</v>
      </c>
    </row>
    <row r="586" spans="1:7" x14ac:dyDescent="0.2">
      <c r="A586" s="10" t="s">
        <v>7190</v>
      </c>
      <c r="B586" s="10" t="s">
        <v>7191</v>
      </c>
      <c r="C586" s="10" t="s">
        <v>18</v>
      </c>
      <c r="D586" s="10">
        <v>-3.1963664489827699</v>
      </c>
      <c r="E586" s="4">
        <v>3.41322889525697E-60</v>
      </c>
      <c r="F586" s="10">
        <v>-2.6656403118803502</v>
      </c>
      <c r="G586" s="4">
        <v>1.48385591661605E-24</v>
      </c>
    </row>
    <row r="587" spans="1:7" x14ac:dyDescent="0.2">
      <c r="A587" s="10" t="s">
        <v>4043</v>
      </c>
      <c r="B587" s="10" t="s">
        <v>4044</v>
      </c>
      <c r="C587" s="10" t="s">
        <v>18</v>
      </c>
      <c r="D587" s="10">
        <v>2.1833284824960399</v>
      </c>
      <c r="E587" s="4">
        <v>4.01931251366401E-27</v>
      </c>
      <c r="F587" s="10">
        <v>4.9613169395140098</v>
      </c>
      <c r="G587" s="4">
        <v>9.53940957753007E-66</v>
      </c>
    </row>
    <row r="588" spans="1:7" x14ac:dyDescent="0.2">
      <c r="A588" s="10" t="s">
        <v>505</v>
      </c>
      <c r="B588" s="10" t="s">
        <v>506</v>
      </c>
      <c r="C588" s="10" t="s">
        <v>18</v>
      </c>
      <c r="D588" s="10">
        <v>-1.9006340625751901</v>
      </c>
      <c r="E588" s="4">
        <v>2.53185147955775E-17</v>
      </c>
      <c r="F588" s="10">
        <v>-1.9247560609955101</v>
      </c>
      <c r="G588" s="4">
        <v>7.4220180274179202E-10</v>
      </c>
    </row>
    <row r="589" spans="1:7" x14ac:dyDescent="0.2">
      <c r="A589" s="10" t="s">
        <v>7200</v>
      </c>
      <c r="B589" s="10" t="s">
        <v>7201</v>
      </c>
      <c r="C589" s="10" t="s">
        <v>18</v>
      </c>
      <c r="D589" s="10">
        <v>-2.16736438585728</v>
      </c>
      <c r="E589" s="4">
        <v>1.8464430314884102E-24</v>
      </c>
      <c r="F589" s="10">
        <v>-1.07445231202249</v>
      </c>
      <c r="G589" s="10">
        <v>3.0357519816181198E-4</v>
      </c>
    </row>
    <row r="590" spans="1:7" x14ac:dyDescent="0.2">
      <c r="A590" s="10" t="s">
        <v>5578</v>
      </c>
      <c r="B590" s="10" t="s">
        <v>5579</v>
      </c>
      <c r="C590" s="10" t="s">
        <v>18</v>
      </c>
      <c r="D590" s="10">
        <v>-1.6888990139384299</v>
      </c>
      <c r="E590" s="4">
        <v>4.0449826517488198E-22</v>
      </c>
      <c r="F590" s="10">
        <v>-1.2054747175567699</v>
      </c>
      <c r="G590" s="4">
        <v>8.9817873078054601E-7</v>
      </c>
    </row>
    <row r="591" spans="1:7" x14ac:dyDescent="0.2">
      <c r="A591" s="10" t="s">
        <v>8152</v>
      </c>
      <c r="B591" s="10" t="s">
        <v>8153</v>
      </c>
      <c r="C591" s="10" t="s">
        <v>18</v>
      </c>
      <c r="D591" s="10">
        <v>-1.4288837281191999</v>
      </c>
      <c r="E591" s="4">
        <v>1.58503560494592E-10</v>
      </c>
      <c r="F591" s="10">
        <v>-1.2053253028430699</v>
      </c>
      <c r="G591" s="4">
        <v>3.7079144617304299E-5</v>
      </c>
    </row>
    <row r="592" spans="1:7" x14ac:dyDescent="0.2">
      <c r="A592" s="10" t="s">
        <v>4688</v>
      </c>
      <c r="B592" s="10" t="s">
        <v>4689</v>
      </c>
      <c r="C592" s="10" t="s">
        <v>18</v>
      </c>
      <c r="D592" s="10">
        <v>-1.6167302041659499</v>
      </c>
      <c r="E592" s="4">
        <v>1.45344006092147E-18</v>
      </c>
      <c r="F592" s="10">
        <v>-1.16367470724861</v>
      </c>
      <c r="G592" s="4">
        <v>9.22329462660901E-6</v>
      </c>
    </row>
    <row r="593" spans="1:7" x14ac:dyDescent="0.2">
      <c r="A593" s="10" t="s">
        <v>3361</v>
      </c>
      <c r="B593" s="10" t="s">
        <v>3362</v>
      </c>
      <c r="C593" s="10" t="s">
        <v>18</v>
      </c>
      <c r="D593" s="10">
        <v>1.3962791143912301</v>
      </c>
      <c r="E593" s="4">
        <v>4.7237396033835898E-8</v>
      </c>
      <c r="F593" s="10">
        <v>1.0997007885443499</v>
      </c>
      <c r="G593" s="4">
        <v>8.7243791775189403E-5</v>
      </c>
    </row>
    <row r="594" spans="1:7" x14ac:dyDescent="0.2">
      <c r="A594" s="10" t="s">
        <v>4077</v>
      </c>
      <c r="B594" s="10" t="s">
        <v>4078</v>
      </c>
      <c r="C594" s="10" t="s">
        <v>18</v>
      </c>
      <c r="D594" s="10">
        <v>-1.76699372108111</v>
      </c>
      <c r="E594" s="4">
        <v>2.2128632805641902E-19</v>
      </c>
      <c r="F594" s="10">
        <v>-1.0057243097778601</v>
      </c>
      <c r="G594" s="10">
        <v>1.65098863296692E-4</v>
      </c>
    </row>
    <row r="595" spans="1:7" x14ac:dyDescent="0.2">
      <c r="A595" s="10" t="s">
        <v>81</v>
      </c>
      <c r="B595" s="10" t="s">
        <v>82</v>
      </c>
      <c r="C595" s="10" t="s">
        <v>18</v>
      </c>
      <c r="D595" s="10">
        <v>-1.16748140780531</v>
      </c>
      <c r="E595" s="4">
        <v>8.0901540601608596E-8</v>
      </c>
      <c r="F595" s="10">
        <v>1.9032485562121499</v>
      </c>
      <c r="G595" s="4">
        <v>7.4089992465689302E-9</v>
      </c>
    </row>
    <row r="596" spans="1:7" x14ac:dyDescent="0.2">
      <c r="A596" s="10" t="s">
        <v>1579</v>
      </c>
      <c r="B596" s="10" t="s">
        <v>1580</v>
      </c>
      <c r="C596" s="10" t="s">
        <v>18</v>
      </c>
      <c r="D596" s="10">
        <v>5.0113786478097602</v>
      </c>
      <c r="E596" s="4">
        <v>9.1104214849802804E-60</v>
      </c>
      <c r="F596" s="10">
        <v>4.3707046657320801</v>
      </c>
      <c r="G596" s="4">
        <v>8.6576094285168794E-39</v>
      </c>
    </row>
    <row r="597" spans="1:7" x14ac:dyDescent="0.2">
      <c r="A597" s="10" t="s">
        <v>3751</v>
      </c>
      <c r="B597" s="10" t="s">
        <v>3752</v>
      </c>
      <c r="C597" s="10" t="s">
        <v>18</v>
      </c>
      <c r="D597" s="10">
        <v>1.5075202905731999</v>
      </c>
      <c r="E597" s="4">
        <v>1.6032338261228299E-18</v>
      </c>
      <c r="F597" s="10">
        <v>2.3029545775945102</v>
      </c>
      <c r="G597" s="4">
        <v>4.9107498451868801E-22</v>
      </c>
    </row>
    <row r="598" spans="1:7" x14ac:dyDescent="0.2">
      <c r="A598" s="10" t="s">
        <v>3051</v>
      </c>
      <c r="B598" s="10" t="s">
        <v>3052</v>
      </c>
      <c r="C598" s="10" t="s">
        <v>18</v>
      </c>
      <c r="D598" s="10">
        <v>5.2190934418674502</v>
      </c>
      <c r="E598" s="4">
        <v>4.2012734745748E-9</v>
      </c>
      <c r="F598" s="10">
        <v>3.8739440244919199</v>
      </c>
      <c r="G598" s="4">
        <v>3.5625933313983198E-9</v>
      </c>
    </row>
    <row r="599" spans="1:7" x14ac:dyDescent="0.2">
      <c r="A599" s="10" t="s">
        <v>7828</v>
      </c>
      <c r="B599" s="10" t="s">
        <v>7829</v>
      </c>
      <c r="C599" s="10" t="s">
        <v>18</v>
      </c>
      <c r="D599" s="10">
        <v>1.9007979588387101</v>
      </c>
      <c r="E599" s="4">
        <v>5.7392398713490898E-12</v>
      </c>
      <c r="F599" s="10">
        <v>1.30445490684855</v>
      </c>
      <c r="G599" s="4">
        <v>4.91376875110939E-5</v>
      </c>
    </row>
    <row r="600" spans="1:7" x14ac:dyDescent="0.2">
      <c r="A600" s="10" t="s">
        <v>931</v>
      </c>
      <c r="B600" s="10" t="s">
        <v>932</v>
      </c>
      <c r="C600" s="10" t="s">
        <v>18</v>
      </c>
      <c r="D600" s="10">
        <v>-1.19830033584944</v>
      </c>
      <c r="E600" s="4">
        <v>3.7469710824609197E-8</v>
      </c>
      <c r="F600" s="10">
        <v>-2.2968492702855601</v>
      </c>
      <c r="G600" s="4">
        <v>1.0165312884907299E-17</v>
      </c>
    </row>
    <row r="601" spans="1:7" x14ac:dyDescent="0.2">
      <c r="A601" s="10" t="s">
        <v>6910</v>
      </c>
      <c r="B601" s="10" t="s">
        <v>6911</v>
      </c>
      <c r="C601" s="10" t="s">
        <v>18</v>
      </c>
      <c r="D601" s="10">
        <v>6.2027498496194102</v>
      </c>
      <c r="E601" s="10">
        <v>1.19580331879505E-4</v>
      </c>
      <c r="F601" s="10">
        <v>2.20790674528729</v>
      </c>
      <c r="G601" s="10">
        <v>2.08410695978166E-3</v>
      </c>
    </row>
    <row r="602" spans="1:7" x14ac:dyDescent="0.2">
      <c r="A602" s="10" t="s">
        <v>1161</v>
      </c>
      <c r="B602" s="10" t="s">
        <v>1162</v>
      </c>
      <c r="C602" s="10" t="s">
        <v>18</v>
      </c>
      <c r="D602" s="10">
        <v>-4.3992837388685704</v>
      </c>
      <c r="E602" s="4">
        <v>2.00521008441863E-76</v>
      </c>
      <c r="F602" s="10">
        <v>-5.1034910174191799</v>
      </c>
      <c r="G602" s="4">
        <v>1.12817257555418E-66</v>
      </c>
    </row>
    <row r="603" spans="1:7" x14ac:dyDescent="0.2">
      <c r="A603" s="10" t="s">
        <v>2361</v>
      </c>
      <c r="B603" s="10" t="s">
        <v>2362</v>
      </c>
      <c r="C603" s="10" t="s">
        <v>18</v>
      </c>
      <c r="D603" s="10">
        <v>-1.64009890467788</v>
      </c>
      <c r="E603" s="10">
        <v>3.0309666179102498E-3</v>
      </c>
      <c r="F603" s="10">
        <v>-1.8073497914225201</v>
      </c>
      <c r="G603" s="10">
        <v>9.1533726948314696E-4</v>
      </c>
    </row>
    <row r="604" spans="1:7" x14ac:dyDescent="0.2">
      <c r="A604" s="10" t="s">
        <v>4998</v>
      </c>
      <c r="B604" s="10" t="s">
        <v>4999</v>
      </c>
      <c r="C604" s="10" t="s">
        <v>18</v>
      </c>
      <c r="D604" s="10">
        <v>2.8004146939905801</v>
      </c>
      <c r="E604" s="4">
        <v>2.0014301584776701E-46</v>
      </c>
      <c r="F604" s="10">
        <v>3.7621557738232698</v>
      </c>
      <c r="G604" s="4">
        <v>1.3104299153654499E-35</v>
      </c>
    </row>
    <row r="605" spans="1:7" x14ac:dyDescent="0.2">
      <c r="A605" s="10" t="s">
        <v>7410</v>
      </c>
      <c r="B605" s="10" t="s">
        <v>7411</v>
      </c>
      <c r="C605" s="10" t="s">
        <v>18</v>
      </c>
      <c r="D605" s="10">
        <v>2.57546644448496</v>
      </c>
      <c r="E605" s="4">
        <v>4.5796284133833905E-50</v>
      </c>
      <c r="F605" s="10">
        <v>2.2701656668444499</v>
      </c>
      <c r="G605" s="4">
        <v>4.14421904282001E-22</v>
      </c>
    </row>
    <row r="606" spans="1:7" x14ac:dyDescent="0.2">
      <c r="A606" s="10" t="s">
        <v>3887</v>
      </c>
      <c r="B606" s="10" t="s">
        <v>3888</v>
      </c>
      <c r="C606" s="10" t="s">
        <v>18</v>
      </c>
      <c r="D606" s="10">
        <v>1.50761052909218</v>
      </c>
      <c r="E606" s="4">
        <v>8.1301969973811196E-12</v>
      </c>
      <c r="F606" s="10">
        <v>2.52450610080556</v>
      </c>
      <c r="G606" s="4">
        <v>3.4893052167418502E-17</v>
      </c>
    </row>
    <row r="607" spans="1:7" x14ac:dyDescent="0.2">
      <c r="A607" s="10" t="s">
        <v>945</v>
      </c>
      <c r="B607" s="10" t="s">
        <v>946</v>
      </c>
      <c r="C607" s="10" t="s">
        <v>18</v>
      </c>
      <c r="D607" s="10">
        <v>1.48717769711376</v>
      </c>
      <c r="E607" s="4">
        <v>6.4148047534065201E-7</v>
      </c>
      <c r="F607" s="10">
        <v>1.4334361300289</v>
      </c>
      <c r="G607" s="4">
        <v>1.49031196498683E-5</v>
      </c>
    </row>
    <row r="608" spans="1:7" x14ac:dyDescent="0.2">
      <c r="A608" s="10" t="s">
        <v>4972</v>
      </c>
      <c r="B608" s="10" t="s">
        <v>4973</v>
      </c>
      <c r="C608" s="10" t="s">
        <v>18</v>
      </c>
      <c r="D608" s="10">
        <v>-2.2067689967930399</v>
      </c>
      <c r="E608" s="4">
        <v>2.7650349442665501E-17</v>
      </c>
      <c r="F608" s="10">
        <v>-3.79102444668478</v>
      </c>
      <c r="G608" s="4">
        <v>4.3548921104784902E-32</v>
      </c>
    </row>
    <row r="609" spans="1:7" x14ac:dyDescent="0.2">
      <c r="A609" s="10" t="s">
        <v>7304</v>
      </c>
      <c r="B609" s="10" t="s">
        <v>7305</v>
      </c>
      <c r="C609" s="10" t="s">
        <v>18</v>
      </c>
      <c r="D609" s="10">
        <v>-1.7168923744817099</v>
      </c>
      <c r="E609" s="4">
        <v>1.3672758689736701E-14</v>
      </c>
      <c r="F609" s="10">
        <v>-1.9342846594190799</v>
      </c>
      <c r="G609" s="4">
        <v>3.0564720015928002E-11</v>
      </c>
    </row>
    <row r="610" spans="1:7" x14ac:dyDescent="0.2">
      <c r="A610" s="10" t="s">
        <v>7968</v>
      </c>
      <c r="B610" s="10" t="s">
        <v>7969</v>
      </c>
      <c r="C610" s="10" t="s">
        <v>18</v>
      </c>
      <c r="D610" s="10">
        <v>4.3577512067465598</v>
      </c>
      <c r="E610" s="4">
        <v>1.3741367978915201E-11</v>
      </c>
      <c r="F610" s="10">
        <v>1.2355636738351801</v>
      </c>
      <c r="G610" s="10">
        <v>5.7901600459163696E-3</v>
      </c>
    </row>
    <row r="611" spans="1:7" x14ac:dyDescent="0.2">
      <c r="A611" s="10" t="s">
        <v>4554</v>
      </c>
      <c r="B611" s="10" t="s">
        <v>4555</v>
      </c>
      <c r="C611" s="10" t="s">
        <v>18</v>
      </c>
      <c r="D611" s="10">
        <v>7.8757117612164302</v>
      </c>
      <c r="E611" s="4">
        <v>2.6481058507724E-34</v>
      </c>
      <c r="F611" s="10">
        <v>5.7925878819173304</v>
      </c>
      <c r="G611" s="4">
        <v>2.3991145309601499E-47</v>
      </c>
    </row>
    <row r="612" spans="1:7" x14ac:dyDescent="0.2">
      <c r="A612" s="10" t="s">
        <v>4606</v>
      </c>
      <c r="B612" s="10" t="s">
        <v>4607</v>
      </c>
      <c r="C612" s="10" t="s">
        <v>18</v>
      </c>
      <c r="D612" s="10">
        <v>1.8744336548926099</v>
      </c>
      <c r="E612" s="4">
        <v>7.5405900327799595E-13</v>
      </c>
      <c r="F612" s="10">
        <v>1.4302590096300201</v>
      </c>
      <c r="G612" s="4">
        <v>8.2219446150282201E-7</v>
      </c>
    </row>
    <row r="613" spans="1:7" x14ac:dyDescent="0.2">
      <c r="A613" s="10" t="s">
        <v>379</v>
      </c>
      <c r="B613" s="10" t="s">
        <v>380</v>
      </c>
      <c r="C613" s="10" t="s">
        <v>18</v>
      </c>
      <c r="D613" s="10">
        <v>-3.53960302712095</v>
      </c>
      <c r="E613" s="10">
        <v>2.5127448315012397E-4</v>
      </c>
      <c r="F613" s="10">
        <v>-4.7275158256046801</v>
      </c>
      <c r="G613" s="10">
        <v>5.5152177100152699E-3</v>
      </c>
    </row>
    <row r="614" spans="1:7" x14ac:dyDescent="0.2">
      <c r="A614" s="10" t="s">
        <v>8984</v>
      </c>
      <c r="B614" s="10" t="s">
        <v>8985</v>
      </c>
      <c r="C614" s="10" t="s">
        <v>18</v>
      </c>
      <c r="D614" s="10">
        <v>-1.50775885338599</v>
      </c>
      <c r="E614" s="4">
        <v>2.6320070003503802E-10</v>
      </c>
      <c r="F614" s="10">
        <v>-1.0031331621719299</v>
      </c>
      <c r="G614" s="10">
        <v>1.0722053500082499E-3</v>
      </c>
    </row>
    <row r="615" spans="1:7" x14ac:dyDescent="0.2">
      <c r="A615" s="10" t="s">
        <v>2399</v>
      </c>
      <c r="B615" s="10" t="s">
        <v>2400</v>
      </c>
      <c r="C615" s="10" t="s">
        <v>18</v>
      </c>
      <c r="D615" s="10">
        <v>-1.5278446167775701</v>
      </c>
      <c r="E615" s="4">
        <v>2.89395631825889E-8</v>
      </c>
      <c r="F615" s="10">
        <v>-2.0376239012025699</v>
      </c>
      <c r="G615" s="4">
        <v>9.8869232106634893E-12</v>
      </c>
    </row>
    <row r="616" spans="1:7" x14ac:dyDescent="0.2">
      <c r="A616" s="10" t="s">
        <v>6038</v>
      </c>
      <c r="B616" s="10" t="s">
        <v>6039</v>
      </c>
      <c r="C616" s="10" t="s">
        <v>18</v>
      </c>
      <c r="D616" s="10">
        <v>-1.0758702310591599</v>
      </c>
      <c r="E616" s="4">
        <v>1.5751141936323199E-8</v>
      </c>
      <c r="F616" s="10">
        <v>-1.1327623677720899</v>
      </c>
      <c r="G616" s="4">
        <v>4.7129783810248103E-6</v>
      </c>
    </row>
    <row r="617" spans="1:7" x14ac:dyDescent="0.2">
      <c r="A617" s="10" t="s">
        <v>6176</v>
      </c>
      <c r="B617" s="10" t="s">
        <v>6177</v>
      </c>
      <c r="C617" s="10" t="s">
        <v>18</v>
      </c>
      <c r="D617" s="10">
        <v>5.7291609280835099</v>
      </c>
      <c r="E617" s="4">
        <v>1.95492089398269E-18</v>
      </c>
      <c r="F617" s="10">
        <v>4.6178128460615397</v>
      </c>
      <c r="G617" s="4">
        <v>5.6282818885250001E-20</v>
      </c>
    </row>
    <row r="618" spans="1:7" x14ac:dyDescent="0.2">
      <c r="A618" s="10" t="s">
        <v>3621</v>
      </c>
      <c r="B618" s="10" t="s">
        <v>3622</v>
      </c>
      <c r="C618" s="10" t="s">
        <v>18</v>
      </c>
      <c r="D618" s="10">
        <v>1.0697423618441699</v>
      </c>
      <c r="E618" s="4">
        <v>8.3960246428672592E-6</v>
      </c>
      <c r="F618" s="10">
        <v>1.97615639733642</v>
      </c>
      <c r="G618" s="4">
        <v>7.0283236445474198E-12</v>
      </c>
    </row>
    <row r="619" spans="1:7" x14ac:dyDescent="0.2">
      <c r="A619" s="10" t="s">
        <v>5626</v>
      </c>
      <c r="B619" s="10" t="s">
        <v>5627</v>
      </c>
      <c r="C619" s="10" t="s">
        <v>18</v>
      </c>
      <c r="D619" s="10">
        <v>2.8667203002744501</v>
      </c>
      <c r="E619" s="4">
        <v>1.20843216208138E-11</v>
      </c>
      <c r="F619" s="10">
        <v>1.4122199231316701</v>
      </c>
      <c r="G619" s="10">
        <v>2.4353582374850001E-4</v>
      </c>
    </row>
    <row r="620" spans="1:7" x14ac:dyDescent="0.2">
      <c r="A620" s="10" t="s">
        <v>1821</v>
      </c>
      <c r="B620" s="10" t="s">
        <v>1822</v>
      </c>
      <c r="C620" s="10" t="s">
        <v>18</v>
      </c>
      <c r="D620" s="10">
        <v>-1.6503681053557</v>
      </c>
      <c r="E620" s="10">
        <v>2.1347759074097101E-4</v>
      </c>
      <c r="F620" s="10">
        <v>-1.89725065978198</v>
      </c>
      <c r="G620" s="4">
        <v>1.3896422440496401E-5</v>
      </c>
    </row>
    <row r="621" spans="1:7" x14ac:dyDescent="0.2">
      <c r="A621" s="10" t="s">
        <v>3363</v>
      </c>
      <c r="B621" s="10" t="s">
        <v>3364</v>
      </c>
      <c r="C621" s="10" t="s">
        <v>18</v>
      </c>
      <c r="D621" s="10">
        <v>-1.9484051071137001</v>
      </c>
      <c r="E621" s="4">
        <v>1.2737093566579199E-16</v>
      </c>
      <c r="F621" s="10">
        <v>2.1837493722148098</v>
      </c>
      <c r="G621" s="4">
        <v>1.66547142687497E-9</v>
      </c>
    </row>
    <row r="622" spans="1:7" x14ac:dyDescent="0.2">
      <c r="A622" s="10" t="s">
        <v>8552</v>
      </c>
      <c r="B622" s="10" t="s">
        <v>8553</v>
      </c>
      <c r="C622" s="10" t="s">
        <v>18</v>
      </c>
      <c r="D622" s="10">
        <v>1.6690031877668301</v>
      </c>
      <c r="E622" s="4">
        <v>1.0119559067588199E-19</v>
      </c>
      <c r="F622" s="10">
        <v>2.0418069236162899</v>
      </c>
      <c r="G622" s="4">
        <v>1.18871343108138E-16</v>
      </c>
    </row>
    <row r="623" spans="1:7" x14ac:dyDescent="0.2">
      <c r="A623" s="10" t="s">
        <v>6346</v>
      </c>
      <c r="B623" s="10" t="s">
        <v>6347</v>
      </c>
      <c r="C623" s="10" t="s">
        <v>18</v>
      </c>
      <c r="D623" s="10">
        <v>2.3602065012389901</v>
      </c>
      <c r="E623" s="4">
        <v>5.2460378077570003E-28</v>
      </c>
      <c r="F623" s="10">
        <v>1.5059600278554499</v>
      </c>
      <c r="G623" s="4">
        <v>9.70346072837214E-8</v>
      </c>
    </row>
    <row r="624" spans="1:7" x14ac:dyDescent="0.2">
      <c r="A624" s="10" t="s">
        <v>5754</v>
      </c>
      <c r="B624" s="10" t="s">
        <v>5755</v>
      </c>
      <c r="C624" s="10" t="s">
        <v>18</v>
      </c>
      <c r="D624" s="10">
        <v>-1.5101311956078001</v>
      </c>
      <c r="E624" s="4">
        <v>3.6152285385868401E-11</v>
      </c>
      <c r="F624" s="10">
        <v>-1.72996561268087</v>
      </c>
      <c r="G624" s="4">
        <v>8.2984932344992296E-10</v>
      </c>
    </row>
    <row r="625" spans="1:7" x14ac:dyDescent="0.2">
      <c r="A625" s="10" t="s">
        <v>6324</v>
      </c>
      <c r="B625" s="10" t="s">
        <v>6325</v>
      </c>
      <c r="C625" s="10" t="s">
        <v>18</v>
      </c>
      <c r="D625" s="10">
        <v>2.0355367891703602</v>
      </c>
      <c r="E625" s="10">
        <v>2.25394151339357E-4</v>
      </c>
      <c r="F625" s="10">
        <v>1.3449372988277299</v>
      </c>
      <c r="G625" s="10">
        <v>6.8739591718601197E-3</v>
      </c>
    </row>
    <row r="626" spans="1:7" x14ac:dyDescent="0.2">
      <c r="A626" s="10" t="s">
        <v>2109</v>
      </c>
      <c r="B626" s="10" t="s">
        <v>2110</v>
      </c>
      <c r="C626" s="10" t="s">
        <v>18</v>
      </c>
      <c r="D626" s="10">
        <v>2.4224277895367199</v>
      </c>
      <c r="E626" s="4">
        <v>2.6892167220614699E-22</v>
      </c>
      <c r="F626" s="10">
        <v>1.64291637512449</v>
      </c>
      <c r="G626" s="4">
        <v>1.35555013564556E-8</v>
      </c>
    </row>
    <row r="627" spans="1:7" x14ac:dyDescent="0.2">
      <c r="A627" s="10" t="s">
        <v>977</v>
      </c>
      <c r="B627" s="10" t="s">
        <v>978</v>
      </c>
      <c r="C627" s="10" t="s">
        <v>18</v>
      </c>
      <c r="D627" s="10">
        <v>6.1706682375068098</v>
      </c>
      <c r="E627" s="4">
        <v>2.3281615299465499E-10</v>
      </c>
      <c r="F627" s="10">
        <v>4.27791892892352</v>
      </c>
      <c r="G627" s="4">
        <v>4.6006144109452398E-11</v>
      </c>
    </row>
    <row r="628" spans="1:7" x14ac:dyDescent="0.2">
      <c r="A628" s="10" t="s">
        <v>6978</v>
      </c>
      <c r="B628" s="10" t="s">
        <v>6979</v>
      </c>
      <c r="C628" s="10" t="s">
        <v>18</v>
      </c>
      <c r="D628" s="10">
        <v>-1.62924726842039</v>
      </c>
      <c r="E628" s="4">
        <v>5.0810655514152602E-15</v>
      </c>
      <c r="F628" s="10">
        <v>-1.3661642691927101</v>
      </c>
      <c r="G628" s="4">
        <v>5.7386073114717704E-7</v>
      </c>
    </row>
    <row r="629" spans="1:7" x14ac:dyDescent="0.2">
      <c r="A629" s="10" t="s">
        <v>4041</v>
      </c>
      <c r="B629" s="10" t="s">
        <v>4042</v>
      </c>
      <c r="C629" s="10" t="s">
        <v>18</v>
      </c>
      <c r="D629" s="10">
        <v>1.21553963279212</v>
      </c>
      <c r="E629" s="4">
        <v>5.8515820525232197E-10</v>
      </c>
      <c r="F629" s="10">
        <v>1.6619905051714701</v>
      </c>
      <c r="G629" s="4">
        <v>2.2274322751905902E-9</v>
      </c>
    </row>
    <row r="630" spans="1:7" x14ac:dyDescent="0.2">
      <c r="A630" s="10" t="s">
        <v>973</v>
      </c>
      <c r="B630" s="10" t="s">
        <v>974</v>
      </c>
      <c r="C630" s="10" t="s">
        <v>18</v>
      </c>
      <c r="D630" s="10">
        <v>7.0949934826671504</v>
      </c>
      <c r="E630" s="4">
        <v>3.1750675354330603E-23</v>
      </c>
      <c r="F630" s="10">
        <v>3.4374524458451399</v>
      </c>
      <c r="G630" s="4">
        <v>4.4049920601921801E-21</v>
      </c>
    </row>
    <row r="631" spans="1:7" x14ac:dyDescent="0.2">
      <c r="A631" s="10" t="s">
        <v>4001</v>
      </c>
      <c r="B631" s="10" t="s">
        <v>4002</v>
      </c>
      <c r="C631" s="10" t="s">
        <v>18</v>
      </c>
      <c r="D631" s="10">
        <v>3.23126130052264</v>
      </c>
      <c r="E631" s="4">
        <v>2.1628077616701099E-39</v>
      </c>
      <c r="F631" s="10">
        <v>3.6630238587841499</v>
      </c>
      <c r="G631" s="4">
        <v>1.07825088766984E-35</v>
      </c>
    </row>
    <row r="632" spans="1:7" x14ac:dyDescent="0.2">
      <c r="A632" s="10" t="s">
        <v>901</v>
      </c>
      <c r="B632" s="10" t="s">
        <v>902</v>
      </c>
      <c r="C632" s="10" t="s">
        <v>18</v>
      </c>
      <c r="D632" s="10">
        <v>1.19057043506996</v>
      </c>
      <c r="E632" s="10">
        <v>7.5727502167147603E-3</v>
      </c>
      <c r="F632" s="10">
        <v>-1.4303985435333699</v>
      </c>
      <c r="G632" s="4">
        <v>1.7329927753461301E-5</v>
      </c>
    </row>
    <row r="633" spans="1:7" x14ac:dyDescent="0.2">
      <c r="A633" s="10" t="s">
        <v>2177</v>
      </c>
      <c r="B633" s="10" t="s">
        <v>2178</v>
      </c>
      <c r="C633" s="10" t="s">
        <v>18</v>
      </c>
      <c r="D633" s="10">
        <v>8.3906533756858597</v>
      </c>
      <c r="E633" s="4">
        <v>6.9796110807972195E-8</v>
      </c>
      <c r="F633" s="10">
        <v>8.6386112799420101</v>
      </c>
      <c r="G633" s="4">
        <v>2.68131038707435E-8</v>
      </c>
    </row>
    <row r="634" spans="1:7" x14ac:dyDescent="0.2">
      <c r="A634" s="10" t="s">
        <v>6940</v>
      </c>
      <c r="B634" s="10" t="s">
        <v>6941</v>
      </c>
      <c r="C634" s="10" t="s">
        <v>18</v>
      </c>
      <c r="D634" s="10">
        <v>4.9975541040620897</v>
      </c>
      <c r="E634" s="10">
        <v>5.2809736423606096E-3</v>
      </c>
      <c r="F634" s="10">
        <v>5.2377508519837797</v>
      </c>
      <c r="G634" s="10">
        <v>2.6624867215667499E-3</v>
      </c>
    </row>
    <row r="635" spans="1:7" x14ac:dyDescent="0.2">
      <c r="A635" s="10" t="s">
        <v>8090</v>
      </c>
      <c r="B635" s="10" t="s">
        <v>8091</v>
      </c>
      <c r="C635" s="10" t="s">
        <v>18</v>
      </c>
      <c r="D635" s="10">
        <v>1.60782074347895</v>
      </c>
      <c r="E635" s="4">
        <v>9.3461418427549396E-9</v>
      </c>
      <c r="F635" s="10">
        <v>2.71229889879395</v>
      </c>
      <c r="G635" s="4">
        <v>7.5176048359588199E-13</v>
      </c>
    </row>
    <row r="636" spans="1:7" x14ac:dyDescent="0.2">
      <c r="A636" s="10" t="s">
        <v>4640</v>
      </c>
      <c r="B636" s="10" t="s">
        <v>4641</v>
      </c>
      <c r="C636" s="10" t="s">
        <v>18</v>
      </c>
      <c r="D636" s="10">
        <v>2.9105429542130401</v>
      </c>
      <c r="E636" s="4">
        <v>2.1142622860121E-42</v>
      </c>
      <c r="F636" s="10">
        <v>8.6724158986403204</v>
      </c>
      <c r="G636" s="4">
        <v>9.4724190255285798E-15</v>
      </c>
    </row>
    <row r="637" spans="1:7" x14ac:dyDescent="0.2">
      <c r="A637" s="10" t="s">
        <v>7526</v>
      </c>
      <c r="B637" s="10" t="s">
        <v>7527</v>
      </c>
      <c r="C637" s="10" t="s">
        <v>18</v>
      </c>
      <c r="D637" s="10">
        <v>-2.47331263300407</v>
      </c>
      <c r="E637" s="4">
        <v>1.9958480303561801E-24</v>
      </c>
      <c r="F637" s="10">
        <v>1.25635448088119</v>
      </c>
      <c r="G637" s="10">
        <v>3.5838899735858299E-4</v>
      </c>
    </row>
    <row r="638" spans="1:7" x14ac:dyDescent="0.2">
      <c r="A638" s="10" t="s">
        <v>2743</v>
      </c>
      <c r="B638" s="10" t="s">
        <v>2744</v>
      </c>
      <c r="C638" s="10" t="s">
        <v>18</v>
      </c>
      <c r="D638" s="10">
        <v>3.4411572124114498</v>
      </c>
      <c r="E638" s="4">
        <v>1.10707831288711E-72</v>
      </c>
      <c r="F638" s="10">
        <v>3.4231455987002599</v>
      </c>
      <c r="G638" s="4">
        <v>4.01765847056686E-44</v>
      </c>
    </row>
    <row r="639" spans="1:7" x14ac:dyDescent="0.2">
      <c r="A639" s="10" t="s">
        <v>7440</v>
      </c>
      <c r="B639" s="10" t="s">
        <v>7441</v>
      </c>
      <c r="C639" s="10" t="s">
        <v>18</v>
      </c>
      <c r="D639" s="10">
        <v>2.4340216022738699</v>
      </c>
      <c r="E639" s="4">
        <v>5.5682035697687298E-16</v>
      </c>
      <c r="F639" s="10">
        <v>1.09149881526805</v>
      </c>
      <c r="G639" s="10">
        <v>1.4427723125768901E-3</v>
      </c>
    </row>
    <row r="640" spans="1:7" x14ac:dyDescent="0.2">
      <c r="A640" s="10" t="s">
        <v>8120</v>
      </c>
      <c r="B640" s="10" t="s">
        <v>8121</v>
      </c>
      <c r="C640" s="10" t="s">
        <v>18</v>
      </c>
      <c r="D640" s="10">
        <v>-1.62252902173961</v>
      </c>
      <c r="E640" s="4">
        <v>1.77583223707015E-13</v>
      </c>
      <c r="F640" s="10">
        <v>-1.14321124601346</v>
      </c>
      <c r="G640" s="4">
        <v>5.5002682065638303E-5</v>
      </c>
    </row>
    <row r="641" spans="1:7" x14ac:dyDescent="0.2">
      <c r="A641" s="10" t="s">
        <v>1651</v>
      </c>
      <c r="B641" s="10" t="s">
        <v>1652</v>
      </c>
      <c r="C641" s="10" t="s">
        <v>18</v>
      </c>
      <c r="D641" s="10">
        <v>5.1539253008873098</v>
      </c>
      <c r="E641" s="4">
        <v>5.6394599139569902E-14</v>
      </c>
      <c r="F641" s="10">
        <v>3.97462022862624</v>
      </c>
      <c r="G641" s="4">
        <v>1.32848134824054E-13</v>
      </c>
    </row>
    <row r="642" spans="1:7" x14ac:dyDescent="0.2">
      <c r="A642" s="10" t="s">
        <v>2641</v>
      </c>
      <c r="B642" s="10" t="s">
        <v>2642</v>
      </c>
      <c r="C642" s="10" t="s">
        <v>18</v>
      </c>
      <c r="D642" s="10">
        <v>8.3798677839928501</v>
      </c>
      <c r="E642" s="4">
        <v>2.8122174793618399E-68</v>
      </c>
      <c r="F642" s="10">
        <v>5.50973690271457</v>
      </c>
      <c r="G642" s="4">
        <v>2.4225807078582599E-74</v>
      </c>
    </row>
    <row r="643" spans="1:7" x14ac:dyDescent="0.2">
      <c r="A643" s="10" t="s">
        <v>1689</v>
      </c>
      <c r="B643" s="10" t="s">
        <v>1690</v>
      </c>
      <c r="C643" s="10" t="s">
        <v>18</v>
      </c>
      <c r="D643" s="10">
        <v>1.52191812048652</v>
      </c>
      <c r="E643" s="4">
        <v>3.4117705027383599E-8</v>
      </c>
      <c r="F643" s="10">
        <v>2.6175123395975999</v>
      </c>
      <c r="G643" s="4">
        <v>6.8542894019799901E-15</v>
      </c>
    </row>
    <row r="644" spans="1:7" x14ac:dyDescent="0.2">
      <c r="A644" s="10" t="s">
        <v>8106</v>
      </c>
      <c r="B644" s="10" t="s">
        <v>8107</v>
      </c>
      <c r="C644" s="10" t="s">
        <v>18</v>
      </c>
      <c r="D644" s="10">
        <v>-1.9162771498328901</v>
      </c>
      <c r="E644" s="4">
        <v>6.5117187111986001E-18</v>
      </c>
      <c r="F644" s="10">
        <v>-1.0683246159786699</v>
      </c>
      <c r="G644" s="10">
        <v>1.3716300546711699E-3</v>
      </c>
    </row>
    <row r="645" spans="1:7" x14ac:dyDescent="0.2">
      <c r="A645" s="10" t="s">
        <v>6442</v>
      </c>
      <c r="B645" s="10" t="s">
        <v>6443</v>
      </c>
      <c r="C645" s="10" t="s">
        <v>18</v>
      </c>
      <c r="D645" s="10">
        <v>1.0695505537102199</v>
      </c>
      <c r="E645" s="4">
        <v>1.2652551914035099E-9</v>
      </c>
      <c r="F645" s="10">
        <v>1.8282909793936699</v>
      </c>
      <c r="G645" s="4">
        <v>8.2544990756290894E-15</v>
      </c>
    </row>
    <row r="646" spans="1:7" x14ac:dyDescent="0.2">
      <c r="A646" s="10" t="s">
        <v>3957</v>
      </c>
      <c r="B646" s="10" t="s">
        <v>3958</v>
      </c>
      <c r="C646" s="10" t="s">
        <v>18</v>
      </c>
      <c r="D646" s="10">
        <v>-1.2066028413657901</v>
      </c>
      <c r="E646" s="10">
        <v>3.8912280794106598E-4</v>
      </c>
      <c r="F646" s="10">
        <v>-2.17544138831573</v>
      </c>
      <c r="G646" s="4">
        <v>6.3140704621385205E-11</v>
      </c>
    </row>
    <row r="647" spans="1:7" x14ac:dyDescent="0.2">
      <c r="A647" s="10" t="s">
        <v>107</v>
      </c>
      <c r="B647" s="10" t="s">
        <v>108</v>
      </c>
      <c r="C647" s="10" t="s">
        <v>18</v>
      </c>
      <c r="D647" s="10">
        <v>1.2015573331032099</v>
      </c>
      <c r="E647" s="4">
        <v>8.6952904899154505E-8</v>
      </c>
      <c r="F647" s="10">
        <v>1.8243810788325101</v>
      </c>
      <c r="G647" s="4">
        <v>6.4901232888852702E-9</v>
      </c>
    </row>
    <row r="648" spans="1:7" x14ac:dyDescent="0.2">
      <c r="A648" s="10" t="s">
        <v>3319</v>
      </c>
      <c r="B648" s="10" t="s">
        <v>3320</v>
      </c>
      <c r="C648" s="10" t="s">
        <v>18</v>
      </c>
      <c r="D648" s="10">
        <v>-1.443669938187</v>
      </c>
      <c r="E648" s="4">
        <v>4.8192180558367195E-13</v>
      </c>
      <c r="F648" s="10">
        <v>-2.22092425514884</v>
      </c>
      <c r="G648" s="4">
        <v>2.2234823633689001E-18</v>
      </c>
    </row>
    <row r="649" spans="1:7" x14ac:dyDescent="0.2">
      <c r="A649" s="10" t="s">
        <v>4282</v>
      </c>
      <c r="B649" s="10" t="s">
        <v>4283</v>
      </c>
      <c r="C649" s="10" t="s">
        <v>18</v>
      </c>
      <c r="D649" s="10">
        <v>1.1448153391120599</v>
      </c>
      <c r="E649" s="4">
        <v>7.83479379418832E-11</v>
      </c>
      <c r="F649" s="10">
        <v>1.1621206968519999</v>
      </c>
      <c r="G649" s="4">
        <v>9.5990809807519795E-7</v>
      </c>
    </row>
    <row r="650" spans="1:7" x14ac:dyDescent="0.2">
      <c r="A650" s="10" t="s">
        <v>2551</v>
      </c>
      <c r="B650" s="10" t="s">
        <v>2552</v>
      </c>
      <c r="C650" s="10" t="s">
        <v>18</v>
      </c>
      <c r="D650" s="10">
        <v>1.3537966320286099</v>
      </c>
      <c r="E650" s="4">
        <v>1.0772830986341E-11</v>
      </c>
      <c r="F650" s="10">
        <v>1.7986705970791199</v>
      </c>
      <c r="G650" s="4">
        <v>9.0332822885162804E-12</v>
      </c>
    </row>
    <row r="651" spans="1:7" x14ac:dyDescent="0.2">
      <c r="A651" s="10" t="s">
        <v>703</v>
      </c>
      <c r="B651" s="10" t="s">
        <v>704</v>
      </c>
      <c r="C651" s="10" t="s">
        <v>18</v>
      </c>
      <c r="D651" s="10">
        <v>10.599883587687399</v>
      </c>
      <c r="E651" s="4">
        <v>7.4702971156802204E-13</v>
      </c>
      <c r="F651" s="10">
        <v>10.848386546088101</v>
      </c>
      <c r="G651" s="4">
        <v>2.8340615576268102E-13</v>
      </c>
    </row>
    <row r="652" spans="1:7" x14ac:dyDescent="0.2">
      <c r="A652" s="10" t="s">
        <v>653</v>
      </c>
      <c r="B652" s="10" t="s">
        <v>654</v>
      </c>
      <c r="C652" s="10" t="s">
        <v>18</v>
      </c>
      <c r="D652" s="10">
        <v>-2.0381184215712498</v>
      </c>
      <c r="E652" s="4">
        <v>2.0354558975434E-18</v>
      </c>
      <c r="F652" s="10">
        <v>-1.6035366580124699</v>
      </c>
      <c r="G652" s="4">
        <v>1.7291390397063801E-8</v>
      </c>
    </row>
    <row r="653" spans="1:7" x14ac:dyDescent="0.2">
      <c r="A653" s="10" t="s">
        <v>5210</v>
      </c>
      <c r="B653" s="10" t="s">
        <v>5211</v>
      </c>
      <c r="C653" s="10" t="s">
        <v>18</v>
      </c>
      <c r="D653" s="10">
        <v>1.45844411217201</v>
      </c>
      <c r="E653" s="4">
        <v>2.0686349026891701E-13</v>
      </c>
      <c r="F653" s="10">
        <v>1.0503684561648099</v>
      </c>
      <c r="G653" s="4">
        <v>2.6538773732995299E-5</v>
      </c>
    </row>
    <row r="654" spans="1:7" x14ac:dyDescent="0.2">
      <c r="A654" s="10" t="s">
        <v>7422</v>
      </c>
      <c r="B654" s="10" t="s">
        <v>7423</v>
      </c>
      <c r="C654" s="10" t="s">
        <v>18</v>
      </c>
      <c r="D654" s="10">
        <v>3.1930164384826298</v>
      </c>
      <c r="E654" s="4">
        <v>1.22706165570854E-48</v>
      </c>
      <c r="F654" s="10">
        <v>5.5537579682544802</v>
      </c>
      <c r="G654" s="4">
        <v>7.0622546159954997E-97</v>
      </c>
    </row>
    <row r="655" spans="1:7" x14ac:dyDescent="0.2">
      <c r="A655" s="10" t="s">
        <v>5320</v>
      </c>
      <c r="B655" s="10" t="s">
        <v>5321</v>
      </c>
      <c r="C655" s="10" t="s">
        <v>18</v>
      </c>
      <c r="D655" s="10">
        <v>3.1653969815465501</v>
      </c>
      <c r="E655" s="4">
        <v>1.74364983603793E-12</v>
      </c>
      <c r="F655" s="10">
        <v>1.9916961384962</v>
      </c>
      <c r="G655" s="4">
        <v>2.7853375479495199E-6</v>
      </c>
    </row>
    <row r="656" spans="1:7" x14ac:dyDescent="0.2">
      <c r="A656" s="10" t="s">
        <v>2409</v>
      </c>
      <c r="B656" s="10" t="s">
        <v>2410</v>
      </c>
      <c r="C656" s="10" t="s">
        <v>18</v>
      </c>
      <c r="D656" s="10">
        <v>-1.48973778345198</v>
      </c>
      <c r="E656" s="4">
        <v>3.5628678441231502E-13</v>
      </c>
      <c r="F656" s="10">
        <v>-1.8802489719094999</v>
      </c>
      <c r="G656" s="4">
        <v>5.4256815834019799E-10</v>
      </c>
    </row>
    <row r="657" spans="1:7" x14ac:dyDescent="0.2">
      <c r="A657" s="10" t="s">
        <v>2407</v>
      </c>
      <c r="B657" s="10" t="s">
        <v>2408</v>
      </c>
      <c r="C657" s="10" t="s">
        <v>18</v>
      </c>
      <c r="D657" s="10">
        <v>-1.5369325594113099</v>
      </c>
      <c r="E657" s="4">
        <v>4.06978855945439E-13</v>
      </c>
      <c r="F657" s="10">
        <v>-1.8411792482852201</v>
      </c>
      <c r="G657" s="4">
        <v>2.2969749260505599E-11</v>
      </c>
    </row>
    <row r="658" spans="1:7" x14ac:dyDescent="0.2">
      <c r="A658" s="10" t="s">
        <v>4209</v>
      </c>
      <c r="B658" s="10" t="s">
        <v>4210</v>
      </c>
      <c r="C658" s="10" t="s">
        <v>18</v>
      </c>
      <c r="D658" s="10">
        <v>1.9809461978941301</v>
      </c>
      <c r="E658" s="4">
        <v>3.1727293116830402E-8</v>
      </c>
      <c r="F658" s="10">
        <v>2.6830664073030599</v>
      </c>
      <c r="G658" s="4">
        <v>1.9139917724293299E-9</v>
      </c>
    </row>
    <row r="659" spans="1:7" x14ac:dyDescent="0.2">
      <c r="A659" s="10" t="s">
        <v>5098</v>
      </c>
      <c r="B659" s="10" t="s">
        <v>5099</v>
      </c>
      <c r="C659" s="10" t="s">
        <v>18</v>
      </c>
      <c r="D659" s="10">
        <v>-5.29188466567338</v>
      </c>
      <c r="E659" s="10">
        <v>2.6347381099623198E-3</v>
      </c>
      <c r="F659" s="10">
        <v>-5.2513682359136702</v>
      </c>
      <c r="G659" s="10">
        <v>2.3852109893818499E-3</v>
      </c>
    </row>
    <row r="660" spans="1:7" x14ac:dyDescent="0.2">
      <c r="A660" s="10" t="s">
        <v>4758</v>
      </c>
      <c r="B660" s="10" t="s">
        <v>4759</v>
      </c>
      <c r="C660" s="10" t="s">
        <v>18</v>
      </c>
      <c r="D660" s="10">
        <v>1.65225758013325</v>
      </c>
      <c r="E660" s="4">
        <v>1.06999547180444E-13</v>
      </c>
      <c r="F660" s="10">
        <v>1.7560118849244599</v>
      </c>
      <c r="G660" s="4">
        <v>7.45483049114744E-10</v>
      </c>
    </row>
    <row r="661" spans="1:7" x14ac:dyDescent="0.2">
      <c r="A661" s="10" t="s">
        <v>2793</v>
      </c>
      <c r="B661" s="10" t="s">
        <v>2794</v>
      </c>
      <c r="C661" s="10" t="s">
        <v>18</v>
      </c>
      <c r="D661" s="10">
        <v>-2.51806641180562</v>
      </c>
      <c r="E661" s="4">
        <v>4.1646136481773398E-29</v>
      </c>
      <c r="F661" s="10">
        <v>-1.33147063356579</v>
      </c>
      <c r="G661" s="4">
        <v>6.9187279616988704E-6</v>
      </c>
    </row>
    <row r="662" spans="1:7" x14ac:dyDescent="0.2">
      <c r="A662" s="10" t="s">
        <v>2411</v>
      </c>
      <c r="B662" s="10" t="s">
        <v>2412</v>
      </c>
      <c r="C662" s="10" t="s">
        <v>18</v>
      </c>
      <c r="D662" s="10">
        <v>-2.1294315436621898</v>
      </c>
      <c r="E662" s="4">
        <v>2.9376354539835999E-33</v>
      </c>
      <c r="F662" s="10">
        <v>-2.3528834736201198</v>
      </c>
      <c r="G662" s="4">
        <v>1.0127168762757199E-13</v>
      </c>
    </row>
    <row r="663" spans="1:7" x14ac:dyDescent="0.2">
      <c r="A663" s="10" t="s">
        <v>4348</v>
      </c>
      <c r="B663" s="10" t="s">
        <v>4349</v>
      </c>
      <c r="C663" s="10" t="s">
        <v>18</v>
      </c>
      <c r="D663" s="10">
        <v>5.0535604895218098</v>
      </c>
      <c r="E663" s="4">
        <v>4.2581350100495898E-24</v>
      </c>
      <c r="F663" s="10">
        <v>5.8961362424574997</v>
      </c>
      <c r="G663" s="4">
        <v>4.6149415500681398E-24</v>
      </c>
    </row>
    <row r="664" spans="1:7" x14ac:dyDescent="0.2">
      <c r="A664" s="10" t="s">
        <v>1317</v>
      </c>
      <c r="B664" s="10" t="s">
        <v>1318</v>
      </c>
      <c r="C664" s="10" t="s">
        <v>18</v>
      </c>
      <c r="D664" s="10">
        <v>-2.29486301043812</v>
      </c>
      <c r="E664" s="4">
        <v>3.0513939413994399E-25</v>
      </c>
      <c r="F664" s="10">
        <v>-1.8245281653727401</v>
      </c>
      <c r="G664" s="4">
        <v>6.2599333314814606E-11</v>
      </c>
    </row>
    <row r="665" spans="1:7" x14ac:dyDescent="0.2">
      <c r="A665" s="10" t="s">
        <v>4930</v>
      </c>
      <c r="B665" s="10" t="s">
        <v>4931</v>
      </c>
      <c r="C665" s="10" t="s">
        <v>18</v>
      </c>
      <c r="D665" s="10">
        <v>3.2410211639312299</v>
      </c>
      <c r="E665" s="4">
        <v>1.38825461163544E-26</v>
      </c>
      <c r="F665" s="10">
        <v>1.71491729525443</v>
      </c>
      <c r="G665" s="4">
        <v>1.2512554125805201E-8</v>
      </c>
    </row>
    <row r="666" spans="1:7" x14ac:dyDescent="0.2">
      <c r="A666" s="10" t="s">
        <v>3435</v>
      </c>
      <c r="B666" s="10" t="s">
        <v>3436</v>
      </c>
      <c r="C666" s="10" t="s">
        <v>18</v>
      </c>
      <c r="D666" s="10">
        <v>-1.53491303644593</v>
      </c>
      <c r="E666" s="4">
        <v>1.7523747848079999E-12</v>
      </c>
      <c r="F666" s="10">
        <v>-1.30602267284773</v>
      </c>
      <c r="G666" s="4">
        <v>4.0652746159479398E-6</v>
      </c>
    </row>
    <row r="667" spans="1:7" x14ac:dyDescent="0.2">
      <c r="A667" s="10" t="s">
        <v>5368</v>
      </c>
      <c r="B667" s="10" t="s">
        <v>5369</v>
      </c>
      <c r="C667" s="10" t="s">
        <v>18</v>
      </c>
      <c r="D667" s="10">
        <v>-1.31007752023825</v>
      </c>
      <c r="E667" s="4">
        <v>3.11938104089688E-12</v>
      </c>
      <c r="F667" s="10">
        <v>-1.2907642354680799</v>
      </c>
      <c r="G667" s="4">
        <v>1.5403719729609899E-7</v>
      </c>
    </row>
    <row r="668" spans="1:7" x14ac:dyDescent="0.2">
      <c r="A668" s="10" t="s">
        <v>3045</v>
      </c>
      <c r="B668" s="10" t="s">
        <v>3046</v>
      </c>
      <c r="C668" s="10" t="s">
        <v>18</v>
      </c>
      <c r="D668" s="10">
        <v>-1.2591011581288301</v>
      </c>
      <c r="E668" s="4">
        <v>6.7900271282774304E-12</v>
      </c>
      <c r="F668" s="10">
        <v>-1.5649564391463</v>
      </c>
      <c r="G668" s="4">
        <v>1.0748716548877801E-10</v>
      </c>
    </row>
    <row r="669" spans="1:7" x14ac:dyDescent="0.2">
      <c r="A669" s="10" t="s">
        <v>6148</v>
      </c>
      <c r="B669" s="10" t="s">
        <v>6149</v>
      </c>
      <c r="C669" s="10" t="s">
        <v>18</v>
      </c>
      <c r="D669" s="10">
        <v>2.0529948847810302</v>
      </c>
      <c r="E669" s="4">
        <v>2.5839253908058998E-25</v>
      </c>
      <c r="F669" s="10">
        <v>2.5613238438066901</v>
      </c>
      <c r="G669" s="4">
        <v>8.2394671385721801E-24</v>
      </c>
    </row>
    <row r="670" spans="1:7" x14ac:dyDescent="0.2">
      <c r="A670" s="10" t="s">
        <v>6596</v>
      </c>
      <c r="B670" s="10" t="s">
        <v>6597</v>
      </c>
      <c r="C670" s="10" t="s">
        <v>18</v>
      </c>
      <c r="D670" s="10">
        <v>1.6585033006550201</v>
      </c>
      <c r="E670" s="4">
        <v>3.1207755470030999E-15</v>
      </c>
      <c r="F670" s="10">
        <v>2.0798481625255301</v>
      </c>
      <c r="G670" s="4">
        <v>6.2836698326596201E-12</v>
      </c>
    </row>
    <row r="671" spans="1:7" x14ac:dyDescent="0.2">
      <c r="A671" s="10" t="s">
        <v>555</v>
      </c>
      <c r="B671" s="10" t="s">
        <v>556</v>
      </c>
      <c r="C671" s="10" t="s">
        <v>18</v>
      </c>
      <c r="D671" s="10">
        <v>-1.35267640422966</v>
      </c>
      <c r="E671" s="4">
        <v>1.2294320489975701E-10</v>
      </c>
      <c r="F671" s="10">
        <v>-1.6525305980371401</v>
      </c>
      <c r="G671" s="4">
        <v>1.22749104495195E-9</v>
      </c>
    </row>
    <row r="672" spans="1:7" x14ac:dyDescent="0.2">
      <c r="A672" s="10" t="s">
        <v>5062</v>
      </c>
      <c r="B672" s="10" t="s">
        <v>5063</v>
      </c>
      <c r="C672" s="10" t="s">
        <v>18</v>
      </c>
      <c r="D672" s="10">
        <v>1.0589129437876801</v>
      </c>
      <c r="E672" s="4">
        <v>1.9682801733602901E-7</v>
      </c>
      <c r="F672" s="10">
        <v>1.98975526736843</v>
      </c>
      <c r="G672" s="4">
        <v>3.5757180447254098E-12</v>
      </c>
    </row>
    <row r="673" spans="1:7" x14ac:dyDescent="0.2">
      <c r="A673" s="10" t="s">
        <v>1027</v>
      </c>
      <c r="B673" s="10" t="s">
        <v>1028</v>
      </c>
      <c r="C673" s="10" t="s">
        <v>18</v>
      </c>
      <c r="D673" s="10">
        <v>1.53671009581466</v>
      </c>
      <c r="E673" s="4">
        <v>8.7650852525180402E-13</v>
      </c>
      <c r="F673" s="10">
        <v>1.8846638577905199</v>
      </c>
      <c r="G673" s="4">
        <v>1.2166953329831601E-10</v>
      </c>
    </row>
    <row r="674" spans="1:7" x14ac:dyDescent="0.2">
      <c r="A674" s="10" t="s">
        <v>6944</v>
      </c>
      <c r="B674" s="10" t="s">
        <v>6945</v>
      </c>
      <c r="C674" s="10" t="s">
        <v>18</v>
      </c>
      <c r="D674" s="10">
        <v>8.2537924061484294</v>
      </c>
      <c r="E674" s="4">
        <v>1.34714789599493E-7</v>
      </c>
      <c r="F674" s="10">
        <v>5.0309718259614904</v>
      </c>
      <c r="G674" s="4">
        <v>8.7538705564410004E-8</v>
      </c>
    </row>
    <row r="675" spans="1:7" x14ac:dyDescent="0.2">
      <c r="A675" s="10" t="s">
        <v>7450</v>
      </c>
      <c r="B675" s="10" t="s">
        <v>7451</v>
      </c>
      <c r="C675" s="10" t="s">
        <v>18</v>
      </c>
      <c r="D675" s="10">
        <v>2.42985408028128</v>
      </c>
      <c r="E675" s="4">
        <v>8.6018819537024198E-21</v>
      </c>
      <c r="F675" s="10">
        <v>2.5617815338061898</v>
      </c>
      <c r="G675" s="4">
        <v>3.2541359419095798E-15</v>
      </c>
    </row>
    <row r="676" spans="1:7" x14ac:dyDescent="0.2">
      <c r="A676" s="10" t="s">
        <v>7126</v>
      </c>
      <c r="B676" s="10" t="s">
        <v>7127</v>
      </c>
      <c r="C676" s="10" t="s">
        <v>18</v>
      </c>
      <c r="D676" s="10">
        <v>6.8267880334808302</v>
      </c>
      <c r="E676" s="4">
        <v>1.19216533439051E-17</v>
      </c>
      <c r="F676" s="10">
        <v>6.2778834621916699</v>
      </c>
      <c r="G676" s="4">
        <v>1.5496055888256401E-21</v>
      </c>
    </row>
    <row r="677" spans="1:7" x14ac:dyDescent="0.2">
      <c r="A677" s="10" t="s">
        <v>301</v>
      </c>
      <c r="B677" s="10" t="s">
        <v>302</v>
      </c>
      <c r="C677" s="10" t="s">
        <v>18</v>
      </c>
      <c r="D677" s="10">
        <v>2.5640225243068899</v>
      </c>
      <c r="E677" s="10">
        <v>1.6221188935436701E-2</v>
      </c>
      <c r="F677" s="10">
        <v>2.8182625551404401</v>
      </c>
      <c r="G677" s="10">
        <v>6.2451961565966304E-3</v>
      </c>
    </row>
    <row r="678" spans="1:7" x14ac:dyDescent="0.2">
      <c r="A678" s="10" t="s">
        <v>8764</v>
      </c>
      <c r="B678" s="10" t="s">
        <v>8765</v>
      </c>
      <c r="C678" s="10" t="s">
        <v>18</v>
      </c>
      <c r="D678" s="10">
        <v>-1.33064442840897</v>
      </c>
      <c r="E678" s="4">
        <v>3.13082834120855E-10</v>
      </c>
      <c r="F678" s="10">
        <v>-1.29180554071778</v>
      </c>
      <c r="G678" s="4">
        <v>1.47161780595176E-6</v>
      </c>
    </row>
    <row r="679" spans="1:7" x14ac:dyDescent="0.2">
      <c r="A679" s="10" t="s">
        <v>8434</v>
      </c>
      <c r="B679" s="10" t="s">
        <v>8435</v>
      </c>
      <c r="C679" s="10" t="s">
        <v>18</v>
      </c>
      <c r="D679" s="10">
        <v>8.4710960844029195</v>
      </c>
      <c r="E679" s="4">
        <v>4.7924417532253902E-8</v>
      </c>
      <c r="F679" s="10">
        <v>6.2919354171739101</v>
      </c>
      <c r="G679" s="4">
        <v>7.2546362061729296E-8</v>
      </c>
    </row>
    <row r="680" spans="1:7" x14ac:dyDescent="0.2">
      <c r="A680" s="10" t="s">
        <v>8594</v>
      </c>
      <c r="B680" s="10" t="s">
        <v>8595</v>
      </c>
      <c r="C680" s="10" t="s">
        <v>18</v>
      </c>
      <c r="D680" s="10">
        <v>1.2240972948289699</v>
      </c>
      <c r="E680" s="4">
        <v>5.4114766644804E-5</v>
      </c>
      <c r="F680" s="10">
        <v>3.6440635970220101</v>
      </c>
      <c r="G680" s="4">
        <v>7.1386147778828695E-15</v>
      </c>
    </row>
    <row r="681" spans="1:7" x14ac:dyDescent="0.2">
      <c r="A681" s="10" t="s">
        <v>4089</v>
      </c>
      <c r="B681" s="10" t="s">
        <v>4090</v>
      </c>
      <c r="C681" s="10" t="s">
        <v>18</v>
      </c>
      <c r="D681" s="10">
        <v>-1.9498915366794001</v>
      </c>
      <c r="E681" s="4">
        <v>4.1248046724789698E-23</v>
      </c>
      <c r="F681" s="10">
        <v>-3.6968814055550698</v>
      </c>
      <c r="G681" s="4">
        <v>3.7315247373767301E-46</v>
      </c>
    </row>
    <row r="682" spans="1:7" x14ac:dyDescent="0.2">
      <c r="A682" s="10" t="s">
        <v>3357</v>
      </c>
      <c r="B682" s="10" t="s">
        <v>3358</v>
      </c>
      <c r="C682" s="10" t="s">
        <v>18</v>
      </c>
      <c r="D682" s="10">
        <v>6.2423943327602602</v>
      </c>
      <c r="E682" s="10">
        <v>1.0942461814670999E-4</v>
      </c>
      <c r="F682" s="10">
        <v>3.4985906707719199</v>
      </c>
      <c r="G682" s="4">
        <v>3.7129557753738801E-5</v>
      </c>
    </row>
    <row r="683" spans="1:7" x14ac:dyDescent="0.2">
      <c r="A683" s="10" t="s">
        <v>4189</v>
      </c>
      <c r="B683" s="10" t="s">
        <v>4190</v>
      </c>
      <c r="C683" s="10" t="s">
        <v>18</v>
      </c>
      <c r="D683" s="10">
        <v>-2.8390393483569301</v>
      </c>
      <c r="E683" s="4">
        <v>4.8306454762265501E-37</v>
      </c>
      <c r="F683" s="10">
        <v>-1.73750174128359</v>
      </c>
      <c r="G683" s="4">
        <v>3.87068873961423E-9</v>
      </c>
    </row>
    <row r="684" spans="1:7" x14ac:dyDescent="0.2">
      <c r="A684" s="10" t="s">
        <v>4482</v>
      </c>
      <c r="B684" s="10" t="s">
        <v>4483</v>
      </c>
      <c r="C684" s="10" t="s">
        <v>18</v>
      </c>
      <c r="D684" s="10">
        <v>1.93605127181417</v>
      </c>
      <c r="E684" s="4">
        <v>6.4177887208160405E-5</v>
      </c>
      <c r="F684" s="10">
        <v>1.50891768790462</v>
      </c>
      <c r="G684" s="10">
        <v>1.1069922179208699E-3</v>
      </c>
    </row>
    <row r="685" spans="1:7" x14ac:dyDescent="0.2">
      <c r="A685" s="10" t="s">
        <v>1823</v>
      </c>
      <c r="B685" s="10" t="s">
        <v>1824</v>
      </c>
      <c r="C685" s="10" t="s">
        <v>18</v>
      </c>
      <c r="D685" s="10">
        <v>-1.0284590570038701</v>
      </c>
      <c r="E685" s="10">
        <v>5.3554984362884804E-3</v>
      </c>
      <c r="F685" s="10">
        <v>-2.1858364092592701</v>
      </c>
      <c r="G685" s="4">
        <v>9.1868927020379503E-11</v>
      </c>
    </row>
    <row r="686" spans="1:7" x14ac:dyDescent="0.2">
      <c r="A686" s="10" t="s">
        <v>6296</v>
      </c>
      <c r="B686" s="10" t="s">
        <v>6297</v>
      </c>
      <c r="C686" s="10" t="s">
        <v>18</v>
      </c>
      <c r="D686" s="10">
        <v>2.4448120723795101</v>
      </c>
      <c r="E686" s="4">
        <v>4.4952820326346198E-26</v>
      </c>
      <c r="F686" s="10">
        <v>2.56824414489363</v>
      </c>
      <c r="G686" s="4">
        <v>5.5001127869916302E-22</v>
      </c>
    </row>
    <row r="687" spans="1:7" x14ac:dyDescent="0.2">
      <c r="A687" s="10" t="s">
        <v>5048</v>
      </c>
      <c r="B687" s="10" t="s">
        <v>5049</v>
      </c>
      <c r="C687" s="10" t="s">
        <v>18</v>
      </c>
      <c r="D687" s="10">
        <v>1.9936913325431</v>
      </c>
      <c r="E687" s="4">
        <v>2.2941455494538801E-20</v>
      </c>
      <c r="F687" s="10">
        <v>2.1623416014488201</v>
      </c>
      <c r="G687" s="4">
        <v>5.1997240446829299E-14</v>
      </c>
    </row>
    <row r="688" spans="1:7" x14ac:dyDescent="0.2">
      <c r="A688" s="10" t="s">
        <v>4538</v>
      </c>
      <c r="B688" s="10" t="s">
        <v>4539</v>
      </c>
      <c r="C688" s="10" t="s">
        <v>18</v>
      </c>
      <c r="D688" s="10">
        <v>5.8310098692803303</v>
      </c>
      <c r="E688" s="4">
        <v>1.06612292202388E-92</v>
      </c>
      <c r="F688" s="10">
        <v>6.66871703031204</v>
      </c>
      <c r="G688" s="4">
        <v>8.9838801899832804E-75</v>
      </c>
    </row>
    <row r="689" spans="1:7" x14ac:dyDescent="0.2">
      <c r="A689" s="10" t="s">
        <v>7778</v>
      </c>
      <c r="B689" s="10" t="s">
        <v>7779</v>
      </c>
      <c r="C689" s="10" t="s">
        <v>18</v>
      </c>
      <c r="D689" s="10">
        <v>2.4575569284793102</v>
      </c>
      <c r="E689" s="10">
        <v>3.62568453999269E-3</v>
      </c>
      <c r="F689" s="10">
        <v>-1.96856450597041</v>
      </c>
      <c r="G689" s="4">
        <v>3.6249672832906801E-6</v>
      </c>
    </row>
    <row r="690" spans="1:7" x14ac:dyDescent="0.2">
      <c r="A690" s="10" t="s">
        <v>7806</v>
      </c>
      <c r="B690" s="10" t="s">
        <v>7807</v>
      </c>
      <c r="C690" s="10" t="s">
        <v>18</v>
      </c>
      <c r="D690" s="10">
        <v>-3.46437870588242</v>
      </c>
      <c r="E690" s="4">
        <v>5.3019817317905197E-5</v>
      </c>
      <c r="F690" s="10">
        <v>-4.4479698345184797</v>
      </c>
      <c r="G690" s="4">
        <v>4.4393088626938501E-10</v>
      </c>
    </row>
    <row r="691" spans="1:7" x14ac:dyDescent="0.2">
      <c r="A691" s="10" t="s">
        <v>4165</v>
      </c>
      <c r="B691" s="10" t="s">
        <v>4166</v>
      </c>
      <c r="C691" s="10" t="s">
        <v>18</v>
      </c>
      <c r="D691" s="10">
        <v>-1.7005292927992799</v>
      </c>
      <c r="E691" s="4">
        <v>5.9283631913156001E-15</v>
      </c>
      <c r="F691" s="10">
        <v>-1.0534533798894501</v>
      </c>
      <c r="G691" s="10">
        <v>1.27804003249058E-4</v>
      </c>
    </row>
    <row r="692" spans="1:7" x14ac:dyDescent="0.2">
      <c r="A692" s="10" t="s">
        <v>5260</v>
      </c>
      <c r="B692" s="10" t="s">
        <v>5261</v>
      </c>
      <c r="C692" s="10" t="s">
        <v>18</v>
      </c>
      <c r="D692" s="10">
        <v>2.49085448353518</v>
      </c>
      <c r="E692" s="4">
        <v>1.4294498223957401E-34</v>
      </c>
      <c r="F692" s="10">
        <v>11.272582665933999</v>
      </c>
      <c r="G692" s="4">
        <v>5.2592915641321801E-38</v>
      </c>
    </row>
    <row r="693" spans="1:7" x14ac:dyDescent="0.2">
      <c r="A693" s="10" t="s">
        <v>389</v>
      </c>
      <c r="B693" s="10" t="s">
        <v>390</v>
      </c>
      <c r="C693" s="10" t="s">
        <v>18</v>
      </c>
      <c r="D693" s="10">
        <v>2.0265974097661199</v>
      </c>
      <c r="E693" s="4">
        <v>2.9499205748934699E-13</v>
      </c>
      <c r="F693" s="10">
        <v>3.9353681289960298</v>
      </c>
      <c r="G693" s="4">
        <v>2.3524917804522302E-28</v>
      </c>
    </row>
    <row r="694" spans="1:7" x14ac:dyDescent="0.2">
      <c r="A694" s="10" t="s">
        <v>3829</v>
      </c>
      <c r="B694" s="10" t="s">
        <v>3830</v>
      </c>
      <c r="C694" s="10" t="s">
        <v>18</v>
      </c>
      <c r="D694" s="10">
        <v>-1.0613056004324799</v>
      </c>
      <c r="E694" s="10">
        <v>3.5936182866132E-4</v>
      </c>
      <c r="F694" s="10">
        <v>-2.1121168782898199</v>
      </c>
      <c r="G694" s="4">
        <v>5.1270035039841799E-12</v>
      </c>
    </row>
    <row r="695" spans="1:7" x14ac:dyDescent="0.2">
      <c r="A695" s="10" t="s">
        <v>5154</v>
      </c>
      <c r="B695" s="10" t="s">
        <v>5155</v>
      </c>
      <c r="C695" s="10" t="s">
        <v>18</v>
      </c>
      <c r="D695" s="10">
        <v>-2.5839577429476002</v>
      </c>
      <c r="E695" s="4">
        <v>5.8766384028326301E-49</v>
      </c>
      <c r="F695" s="10">
        <v>-1.34139505951404</v>
      </c>
      <c r="G695" s="4">
        <v>2.6106281656679699E-8</v>
      </c>
    </row>
    <row r="696" spans="1:7" x14ac:dyDescent="0.2">
      <c r="A696" s="10" t="s">
        <v>1427</v>
      </c>
      <c r="B696" s="10" t="s">
        <v>1428</v>
      </c>
      <c r="C696" s="10" t="s">
        <v>18</v>
      </c>
      <c r="D696" s="10">
        <v>-2.0595705959886002</v>
      </c>
      <c r="E696" s="4">
        <v>1.14064630700155E-7</v>
      </c>
      <c r="F696" s="10">
        <v>-1.8280380956064699</v>
      </c>
      <c r="G696" s="4">
        <v>1.7880655673601E-5</v>
      </c>
    </row>
    <row r="697" spans="1:7" x14ac:dyDescent="0.2">
      <c r="A697" s="10" t="s">
        <v>4230</v>
      </c>
      <c r="B697" s="10" t="s">
        <v>4231</v>
      </c>
      <c r="C697" s="10" t="s">
        <v>18</v>
      </c>
      <c r="D697" s="10">
        <v>8.7578856848122904</v>
      </c>
      <c r="E697" s="4">
        <v>9.1430956192758096E-38</v>
      </c>
      <c r="F697" s="10">
        <v>4.57779001126874</v>
      </c>
      <c r="G697" s="4">
        <v>1.1395180387676701E-53</v>
      </c>
    </row>
    <row r="698" spans="1:7" x14ac:dyDescent="0.2">
      <c r="A698" s="10" t="s">
        <v>9102</v>
      </c>
      <c r="B698" s="10" t="s">
        <v>9103</v>
      </c>
      <c r="C698" s="10" t="s">
        <v>18</v>
      </c>
      <c r="D698" s="10">
        <v>2.1685100519796801</v>
      </c>
      <c r="E698" s="4">
        <v>1.74973678925088E-34</v>
      </c>
      <c r="F698" s="10">
        <v>1.78833445838893</v>
      </c>
      <c r="G698" s="4">
        <v>2.4830646836422901E-14</v>
      </c>
    </row>
    <row r="699" spans="1:7" x14ac:dyDescent="0.2">
      <c r="A699" s="10" t="s">
        <v>1339</v>
      </c>
      <c r="B699" s="10" t="s">
        <v>1340</v>
      </c>
      <c r="C699" s="10" t="s">
        <v>18</v>
      </c>
      <c r="D699" s="10">
        <v>5.4550955484402701</v>
      </c>
      <c r="E699" s="4">
        <v>1.5420654570818701E-32</v>
      </c>
      <c r="F699" s="10">
        <v>1.7993087099651901</v>
      </c>
      <c r="G699" s="4">
        <v>8.3660038502483997E-9</v>
      </c>
    </row>
    <row r="700" spans="1:7" x14ac:dyDescent="0.2">
      <c r="A700" s="10" t="s">
        <v>423</v>
      </c>
      <c r="B700" s="10" t="s">
        <v>424</v>
      </c>
      <c r="C700" s="10" t="s">
        <v>18</v>
      </c>
      <c r="D700" s="10">
        <v>1.6753765657675499</v>
      </c>
      <c r="E700" s="4">
        <v>1.8907134920190399E-19</v>
      </c>
      <c r="F700" s="10">
        <v>2.3904710206422499</v>
      </c>
      <c r="G700" s="4">
        <v>1.7228825856041301E-20</v>
      </c>
    </row>
    <row r="701" spans="1:7" x14ac:dyDescent="0.2">
      <c r="A701" s="10" t="s">
        <v>3589</v>
      </c>
      <c r="B701" s="10" t="s">
        <v>3590</v>
      </c>
      <c r="C701" s="10" t="s">
        <v>18</v>
      </c>
      <c r="D701" s="10">
        <v>5.7883704391262603</v>
      </c>
      <c r="E701" s="4">
        <v>5.0462099793034297E-74</v>
      </c>
      <c r="F701" s="10">
        <v>6.8898832885318999</v>
      </c>
      <c r="G701" s="4">
        <v>3.3922967422761099E-65</v>
      </c>
    </row>
    <row r="702" spans="1:7" x14ac:dyDescent="0.2">
      <c r="A702" s="10" t="s">
        <v>2741</v>
      </c>
      <c r="B702" s="10" t="s">
        <v>2742</v>
      </c>
      <c r="C702" s="10" t="s">
        <v>18</v>
      </c>
      <c r="D702" s="10">
        <v>1.1552993894176899</v>
      </c>
      <c r="E702" s="4">
        <v>6.7196916800894598E-11</v>
      </c>
      <c r="F702" s="10">
        <v>1.81690702267774</v>
      </c>
      <c r="G702" s="4">
        <v>1.1642318113585699E-13</v>
      </c>
    </row>
    <row r="703" spans="1:7" x14ac:dyDescent="0.2">
      <c r="A703" s="10" t="s">
        <v>3747</v>
      </c>
      <c r="B703" s="10" t="s">
        <v>3748</v>
      </c>
      <c r="C703" s="10" t="s">
        <v>18</v>
      </c>
      <c r="D703" s="10">
        <v>2.3348626710687999</v>
      </c>
      <c r="E703" s="4">
        <v>5.3899176492734802E-37</v>
      </c>
      <c r="F703" s="10">
        <v>3.2909859698978101</v>
      </c>
      <c r="G703" s="4">
        <v>1.95376985387008E-40</v>
      </c>
    </row>
    <row r="704" spans="1:7" x14ac:dyDescent="0.2">
      <c r="A704" s="10" t="s">
        <v>5682</v>
      </c>
      <c r="B704" s="10" t="s">
        <v>5683</v>
      </c>
      <c r="C704" s="10" t="s">
        <v>18</v>
      </c>
      <c r="D704" s="10">
        <v>-1.3706283401966599</v>
      </c>
      <c r="E704" s="10">
        <v>1.5865224434742201E-2</v>
      </c>
      <c r="F704" s="10">
        <v>-1.5794362219920299</v>
      </c>
      <c r="G704" s="10">
        <v>4.1421395523310502E-3</v>
      </c>
    </row>
    <row r="705" spans="1:7" x14ac:dyDescent="0.2">
      <c r="A705" s="10" t="s">
        <v>5828</v>
      </c>
      <c r="B705" s="10" t="s">
        <v>5829</v>
      </c>
      <c r="C705" s="10" t="s">
        <v>18</v>
      </c>
      <c r="D705" s="10">
        <v>4.6613292264468402</v>
      </c>
      <c r="E705" s="10">
        <v>5.1775521922929699E-4</v>
      </c>
      <c r="F705" s="10">
        <v>4.3455355085333096</v>
      </c>
      <c r="G705" s="10">
        <v>1.95877393176099E-4</v>
      </c>
    </row>
    <row r="706" spans="1:7" x14ac:dyDescent="0.2">
      <c r="A706" s="10" t="s">
        <v>999</v>
      </c>
      <c r="B706" s="10" t="s">
        <v>1000</v>
      </c>
      <c r="C706" s="10" t="s">
        <v>18</v>
      </c>
      <c r="D706" s="10">
        <v>2.4926451759945798</v>
      </c>
      <c r="E706" s="4">
        <v>1.77637418831407E-19</v>
      </c>
      <c r="F706" s="10">
        <v>1.0167871575414</v>
      </c>
      <c r="G706" s="10">
        <v>2.7028750577935698E-3</v>
      </c>
    </row>
    <row r="707" spans="1:7" x14ac:dyDescent="0.2">
      <c r="A707" s="10" t="s">
        <v>4908</v>
      </c>
      <c r="B707" s="10" t="s">
        <v>4909</v>
      </c>
      <c r="C707" s="10" t="s">
        <v>18</v>
      </c>
      <c r="D707" s="10">
        <v>-2.3841100886959499</v>
      </c>
      <c r="E707" s="4">
        <v>2.44503614600642E-26</v>
      </c>
      <c r="F707" s="10">
        <v>-2.1088815214916701</v>
      </c>
      <c r="G707" s="4">
        <v>3.6796180519661499E-13</v>
      </c>
    </row>
    <row r="708" spans="1:7" x14ac:dyDescent="0.2">
      <c r="A708" s="10" t="s">
        <v>7170</v>
      </c>
      <c r="B708" s="10" t="s">
        <v>7171</v>
      </c>
      <c r="C708" s="10" t="s">
        <v>18</v>
      </c>
      <c r="D708" s="10">
        <v>9.4946785094745199</v>
      </c>
      <c r="E708" s="4">
        <v>2.5930270495833499E-10</v>
      </c>
      <c r="F708" s="10">
        <v>6.7225715918104596</v>
      </c>
      <c r="G708" s="4">
        <v>7.1242511454189103E-13</v>
      </c>
    </row>
    <row r="709" spans="1:7" x14ac:dyDescent="0.2">
      <c r="A709" s="10" t="s">
        <v>5960</v>
      </c>
      <c r="B709" s="10" t="s">
        <v>5961</v>
      </c>
      <c r="C709" s="10" t="s">
        <v>18</v>
      </c>
      <c r="D709" s="10">
        <v>5.4782677745420401</v>
      </c>
      <c r="E709" s="4">
        <v>1.3644082288470201E-39</v>
      </c>
      <c r="F709" s="10">
        <v>7.5339548720721101</v>
      </c>
      <c r="G709" s="4">
        <v>1.4199485736717501E-29</v>
      </c>
    </row>
    <row r="710" spans="1:7" x14ac:dyDescent="0.2">
      <c r="A710" s="10" t="s">
        <v>7066</v>
      </c>
      <c r="B710" s="10" t="s">
        <v>7067</v>
      </c>
      <c r="C710" s="10" t="s">
        <v>18</v>
      </c>
      <c r="D710" s="10">
        <v>2.3771548095324802</v>
      </c>
      <c r="E710" s="4">
        <v>3.7173870974569801E-6</v>
      </c>
      <c r="F710" s="10">
        <v>-2.6783850303588199</v>
      </c>
      <c r="G710" s="4">
        <v>1.2366219114750899E-16</v>
      </c>
    </row>
    <row r="711" spans="1:7" x14ac:dyDescent="0.2">
      <c r="A711" s="10" t="s">
        <v>7226</v>
      </c>
      <c r="B711" s="10" t="s">
        <v>7227</v>
      </c>
      <c r="C711" s="10" t="s">
        <v>18</v>
      </c>
      <c r="D711" s="10">
        <v>8.6436329509862606</v>
      </c>
      <c r="E711" s="4">
        <v>5.4073561512821699E-9</v>
      </c>
      <c r="F711" s="10">
        <v>6.3228376404247602</v>
      </c>
      <c r="G711" s="4">
        <v>4.1205107956358799E-19</v>
      </c>
    </row>
    <row r="712" spans="1:7" x14ac:dyDescent="0.2">
      <c r="A712" s="10" t="s">
        <v>7570</v>
      </c>
      <c r="B712" s="10" t="s">
        <v>7571</v>
      </c>
      <c r="C712" s="10" t="s">
        <v>18</v>
      </c>
      <c r="D712" s="10">
        <v>-1.63365558946782</v>
      </c>
      <c r="E712" s="4">
        <v>2.15451374225627E-12</v>
      </c>
      <c r="F712" s="10">
        <v>-2.74889021458565</v>
      </c>
      <c r="G712" s="4">
        <v>2.8153401752839198E-23</v>
      </c>
    </row>
    <row r="713" spans="1:7" x14ac:dyDescent="0.2">
      <c r="A713" s="10" t="s">
        <v>1833</v>
      </c>
      <c r="B713" s="10" t="s">
        <v>1834</v>
      </c>
      <c r="C713" s="10" t="s">
        <v>18</v>
      </c>
      <c r="D713" s="10">
        <v>1.34625844009436</v>
      </c>
      <c r="E713" s="4">
        <v>1.11013217889192E-11</v>
      </c>
      <c r="F713" s="10">
        <v>2.2343157435527199</v>
      </c>
      <c r="G713" s="4">
        <v>5.66704240956365E-19</v>
      </c>
    </row>
    <row r="714" spans="1:7" x14ac:dyDescent="0.2">
      <c r="A714" s="10" t="s">
        <v>1019</v>
      </c>
      <c r="B714" s="10" t="s">
        <v>1020</v>
      </c>
      <c r="C714" s="10" t="s">
        <v>18</v>
      </c>
      <c r="D714" s="10">
        <v>-2.5519946110840199</v>
      </c>
      <c r="E714" s="4">
        <v>1.07284834090879E-23</v>
      </c>
      <c r="F714" s="10">
        <v>-1.81989161711901</v>
      </c>
      <c r="G714" s="4">
        <v>8.7361031625653201E-8</v>
      </c>
    </row>
    <row r="715" spans="1:7" x14ac:dyDescent="0.2">
      <c r="A715" s="10" t="s">
        <v>2509</v>
      </c>
      <c r="B715" s="10" t="s">
        <v>2510</v>
      </c>
      <c r="C715" s="10" t="s">
        <v>18</v>
      </c>
      <c r="D715" s="10">
        <v>3.1761946018072398</v>
      </c>
      <c r="E715" s="4">
        <v>1.6420897570581401E-63</v>
      </c>
      <c r="F715" s="10">
        <v>2.4003549200955399</v>
      </c>
      <c r="G715" s="4">
        <v>4.3840475417503001E-22</v>
      </c>
    </row>
    <row r="716" spans="1:7" x14ac:dyDescent="0.2">
      <c r="A716" s="10" t="s">
        <v>463</v>
      </c>
      <c r="B716" s="10" t="s">
        <v>464</v>
      </c>
      <c r="C716" s="10" t="s">
        <v>18</v>
      </c>
      <c r="D716" s="10">
        <v>-2.2139427497463302</v>
      </c>
      <c r="E716" s="4">
        <v>2.4719580521447602E-14</v>
      </c>
      <c r="F716" s="10">
        <v>-3.2010990717555101</v>
      </c>
      <c r="G716" s="4">
        <v>8.17887821961935E-27</v>
      </c>
    </row>
    <row r="717" spans="1:7" x14ac:dyDescent="0.2">
      <c r="A717" s="10" t="s">
        <v>4748</v>
      </c>
      <c r="B717" s="10" t="s">
        <v>4749</v>
      </c>
      <c r="C717" s="10" t="s">
        <v>18</v>
      </c>
      <c r="D717" s="10">
        <v>7.8019663360820299</v>
      </c>
      <c r="E717" s="4">
        <v>1.19957783738824E-6</v>
      </c>
      <c r="F717" s="10">
        <v>1.75107467267099</v>
      </c>
      <c r="G717" s="10">
        <v>6.8555278818888104E-3</v>
      </c>
    </row>
    <row r="718" spans="1:7" x14ac:dyDescent="0.2">
      <c r="A718" s="10" t="s">
        <v>7002</v>
      </c>
      <c r="B718" s="10" t="s">
        <v>7003</v>
      </c>
      <c r="C718" s="10" t="s">
        <v>18</v>
      </c>
      <c r="D718" s="10">
        <v>3.5323808368463201</v>
      </c>
      <c r="E718" s="4">
        <v>8.5514733772173203E-16</v>
      </c>
      <c r="F718" s="10">
        <v>2.99481188572712</v>
      </c>
      <c r="G718" s="4">
        <v>3.9741427406526998E-12</v>
      </c>
    </row>
    <row r="719" spans="1:7" x14ac:dyDescent="0.2">
      <c r="A719" s="10" t="s">
        <v>7370</v>
      </c>
      <c r="B719" s="10" t="s">
        <v>7371</v>
      </c>
      <c r="C719" s="10" t="s">
        <v>18</v>
      </c>
      <c r="D719" s="10">
        <v>8.3430934151193803</v>
      </c>
      <c r="E719" s="4">
        <v>8.9961931216557006E-8</v>
      </c>
      <c r="F719" s="10">
        <v>8.5889514643510196</v>
      </c>
      <c r="G719" s="4">
        <v>3.4713234493308703E-8</v>
      </c>
    </row>
    <row r="720" spans="1:7" x14ac:dyDescent="0.2">
      <c r="A720" s="10" t="s">
        <v>6942</v>
      </c>
      <c r="B720" s="10" t="s">
        <v>6943</v>
      </c>
      <c r="C720" s="10" t="s">
        <v>18</v>
      </c>
      <c r="D720" s="10">
        <v>-1.6481243122533999</v>
      </c>
      <c r="E720" s="4">
        <v>4.8894415939053303E-12</v>
      </c>
      <c r="F720" s="10">
        <v>-2.1273766620532202</v>
      </c>
      <c r="G720" s="4">
        <v>3.4343382853515098E-14</v>
      </c>
    </row>
    <row r="721" spans="1:7" x14ac:dyDescent="0.2">
      <c r="A721" s="10" t="s">
        <v>5836</v>
      </c>
      <c r="B721" s="10" t="s">
        <v>5837</v>
      </c>
      <c r="C721" s="10" t="s">
        <v>18</v>
      </c>
      <c r="D721" s="10">
        <v>3.91918115282752</v>
      </c>
      <c r="E721" s="4">
        <v>9.8532764678706398E-11</v>
      </c>
      <c r="F721" s="10">
        <v>1.3741865848414001</v>
      </c>
      <c r="G721" s="10">
        <v>3.0696511255895102E-3</v>
      </c>
    </row>
    <row r="722" spans="1:7" x14ac:dyDescent="0.2">
      <c r="A722" s="10" t="s">
        <v>269</v>
      </c>
      <c r="B722" s="10" t="s">
        <v>270</v>
      </c>
      <c r="C722" s="10" t="s">
        <v>18</v>
      </c>
      <c r="D722" s="10">
        <v>6.1706072827813099</v>
      </c>
      <c r="E722" s="10">
        <v>1.2534187471246201E-3</v>
      </c>
      <c r="F722" s="10">
        <v>4.9561047136097001</v>
      </c>
      <c r="G722" s="10">
        <v>6.43445682022885E-3</v>
      </c>
    </row>
    <row r="723" spans="1:7" x14ac:dyDescent="0.2">
      <c r="A723" s="10" t="s">
        <v>7278</v>
      </c>
      <c r="B723" s="10" t="s">
        <v>7279</v>
      </c>
      <c r="C723" s="10" t="s">
        <v>18</v>
      </c>
      <c r="D723" s="10">
        <v>-1.0206664420720899</v>
      </c>
      <c r="E723" s="4">
        <v>6.7571490838016805E-8</v>
      </c>
      <c r="F723" s="10">
        <v>-1.5221738213624201</v>
      </c>
      <c r="G723" s="4">
        <v>3.70039777934116E-10</v>
      </c>
    </row>
    <row r="724" spans="1:7" x14ac:dyDescent="0.2">
      <c r="A724" s="10" t="s">
        <v>5350</v>
      </c>
      <c r="B724" s="10" t="s">
        <v>5351</v>
      </c>
      <c r="C724" s="10" t="s">
        <v>18</v>
      </c>
      <c r="D724" s="10">
        <v>-1.2010583588110399</v>
      </c>
      <c r="E724" s="10">
        <v>5.6175624000054597E-3</v>
      </c>
      <c r="F724" s="10">
        <v>-2.2925711623840699</v>
      </c>
      <c r="G724" s="4">
        <v>4.2229436578625597E-8</v>
      </c>
    </row>
    <row r="725" spans="1:7" x14ac:dyDescent="0.2">
      <c r="A725" s="10" t="s">
        <v>3395</v>
      </c>
      <c r="B725" s="10" t="s">
        <v>3396</v>
      </c>
      <c r="C725" s="10" t="s">
        <v>18</v>
      </c>
      <c r="D725" s="10">
        <v>-1.3349299370110901</v>
      </c>
      <c r="E725" s="4">
        <v>1.5430475319177201E-8</v>
      </c>
      <c r="F725" s="10">
        <v>-1.95139811927114</v>
      </c>
      <c r="G725" s="4">
        <v>5.4324103865522498E-14</v>
      </c>
    </row>
    <row r="726" spans="1:7" x14ac:dyDescent="0.2">
      <c r="A726" s="10" t="s">
        <v>4081</v>
      </c>
      <c r="B726" s="10" t="s">
        <v>4082</v>
      </c>
      <c r="C726" s="10" t="s">
        <v>18</v>
      </c>
      <c r="D726" s="10">
        <v>-1.26784879300974</v>
      </c>
      <c r="E726" s="4">
        <v>1.03804433165309E-11</v>
      </c>
      <c r="F726" s="10">
        <v>-1.04683458805063</v>
      </c>
      <c r="G726" s="4">
        <v>1.44393491291711E-5</v>
      </c>
    </row>
    <row r="727" spans="1:7" x14ac:dyDescent="0.2">
      <c r="A727" s="10" t="s">
        <v>4145</v>
      </c>
      <c r="B727" s="10" t="s">
        <v>4146</v>
      </c>
      <c r="C727" s="10" t="s">
        <v>18</v>
      </c>
      <c r="D727" s="10">
        <v>3.8055448770204001</v>
      </c>
      <c r="E727" s="4">
        <v>4.2603805124936601E-24</v>
      </c>
      <c r="F727" s="10">
        <v>2.7923798354942502</v>
      </c>
      <c r="G727" s="4">
        <v>1.08950809189904E-14</v>
      </c>
    </row>
    <row r="728" spans="1:7" x14ac:dyDescent="0.2">
      <c r="A728" s="10" t="s">
        <v>6614</v>
      </c>
      <c r="B728" s="10" t="s">
        <v>6615</v>
      </c>
      <c r="C728" s="10" t="s">
        <v>18</v>
      </c>
      <c r="D728" s="10">
        <v>1.83660423612957</v>
      </c>
      <c r="E728" s="4">
        <v>1.6980216258749101E-10</v>
      </c>
      <c r="F728" s="10">
        <v>2.71944105999872</v>
      </c>
      <c r="G728" s="4">
        <v>7.2210763333264599E-13</v>
      </c>
    </row>
    <row r="729" spans="1:7" x14ac:dyDescent="0.2">
      <c r="A729" s="10" t="s">
        <v>4069</v>
      </c>
      <c r="B729" s="10" t="s">
        <v>4070</v>
      </c>
      <c r="C729" s="10" t="s">
        <v>18</v>
      </c>
      <c r="D729" s="10">
        <v>4.5577792094855702</v>
      </c>
      <c r="E729" s="4">
        <v>1.7735503310030799E-29</v>
      </c>
      <c r="F729" s="10">
        <v>2.8395829070393899</v>
      </c>
      <c r="G729" s="4">
        <v>3.8648244094566902E-16</v>
      </c>
    </row>
    <row r="730" spans="1:7" x14ac:dyDescent="0.2">
      <c r="A730" s="10" t="s">
        <v>5588</v>
      </c>
      <c r="B730" s="10" t="s">
        <v>5589</v>
      </c>
      <c r="C730" s="10" t="s">
        <v>18</v>
      </c>
      <c r="D730" s="10">
        <v>3.8620112640813602</v>
      </c>
      <c r="E730" s="4">
        <v>3.3878041094613401E-67</v>
      </c>
      <c r="F730" s="10">
        <v>4.5826924619429503</v>
      </c>
      <c r="G730" s="4">
        <v>5.9978550634765296E-71</v>
      </c>
    </row>
    <row r="731" spans="1:7" x14ac:dyDescent="0.2">
      <c r="A731" s="10" t="s">
        <v>5818</v>
      </c>
      <c r="B731" s="10" t="s">
        <v>5819</v>
      </c>
      <c r="C731" s="10" t="s">
        <v>18</v>
      </c>
      <c r="D731" s="10">
        <v>5.7517093719335701</v>
      </c>
      <c r="E731" s="10">
        <v>5.6145750218663496E-4</v>
      </c>
      <c r="F731" s="10">
        <v>3.99671646567537</v>
      </c>
      <c r="G731" s="10">
        <v>1.69831705918769E-4</v>
      </c>
    </row>
    <row r="732" spans="1:7" x14ac:dyDescent="0.2">
      <c r="A732" s="10" t="s">
        <v>5756</v>
      </c>
      <c r="B732" s="10" t="s">
        <v>5757</v>
      </c>
      <c r="C732" s="10" t="s">
        <v>18</v>
      </c>
      <c r="D732" s="10">
        <v>1.84138588405874</v>
      </c>
      <c r="E732" s="4">
        <v>3.2115458932075102E-22</v>
      </c>
      <c r="F732" s="10">
        <v>2.0186544428625099</v>
      </c>
      <c r="G732" s="4">
        <v>2.8126192187613099E-16</v>
      </c>
    </row>
    <row r="733" spans="1:7" x14ac:dyDescent="0.2">
      <c r="A733" s="10" t="s">
        <v>4632</v>
      </c>
      <c r="B733" s="10" t="s">
        <v>4633</v>
      </c>
      <c r="C733" s="10" t="s">
        <v>18</v>
      </c>
      <c r="D733" s="10">
        <v>-1.6369394123916801</v>
      </c>
      <c r="E733" s="4">
        <v>1.23572096479248E-19</v>
      </c>
      <c r="F733" s="10">
        <v>-1.2337979938569199</v>
      </c>
      <c r="G733" s="4">
        <v>2.8178926467705902E-7</v>
      </c>
    </row>
    <row r="734" spans="1:7" x14ac:dyDescent="0.2">
      <c r="A734" s="10" t="s">
        <v>9060</v>
      </c>
      <c r="B734" s="10" t="s">
        <v>9061</v>
      </c>
      <c r="C734" s="10" t="s">
        <v>18</v>
      </c>
      <c r="D734" s="10">
        <v>-2.1056278524552798</v>
      </c>
      <c r="E734" s="10">
        <v>3.8483710175127501E-4</v>
      </c>
      <c r="F734" s="10">
        <v>-1.69880212310038</v>
      </c>
      <c r="G734" s="10">
        <v>6.5829208793458703E-3</v>
      </c>
    </row>
    <row r="735" spans="1:7" x14ac:dyDescent="0.2">
      <c r="A735" s="10" t="s">
        <v>1783</v>
      </c>
      <c r="B735" s="10" t="s">
        <v>1784</v>
      </c>
      <c r="C735" s="10" t="s">
        <v>18</v>
      </c>
      <c r="D735" s="10">
        <v>-2.29712026933794</v>
      </c>
      <c r="E735" s="4">
        <v>9.2754987363386302E-23</v>
      </c>
      <c r="F735" s="10">
        <v>-1.22899136123431</v>
      </c>
      <c r="G735" s="4">
        <v>6.4685951057253101E-5</v>
      </c>
    </row>
    <row r="736" spans="1:7" x14ac:dyDescent="0.2">
      <c r="A736" s="10" t="s">
        <v>2735</v>
      </c>
      <c r="B736" s="10" t="s">
        <v>2736</v>
      </c>
      <c r="C736" s="10" t="s">
        <v>18</v>
      </c>
      <c r="D736" s="10">
        <v>3.2341285399755799</v>
      </c>
      <c r="E736" s="4">
        <v>2.66684593445941E-56</v>
      </c>
      <c r="F736" s="10">
        <v>3.4640152338557102</v>
      </c>
      <c r="G736" s="4">
        <v>2.4173633545645198E-44</v>
      </c>
    </row>
    <row r="737" spans="1:7" x14ac:dyDescent="0.2">
      <c r="A737" s="10" t="s">
        <v>3525</v>
      </c>
      <c r="B737" s="10" t="s">
        <v>3526</v>
      </c>
      <c r="C737" s="10" t="s">
        <v>18</v>
      </c>
      <c r="D737" s="10">
        <v>1.7017611328501701</v>
      </c>
      <c r="E737" s="4">
        <v>8.4096511032271195E-18</v>
      </c>
      <c r="F737" s="10">
        <v>3.60116129895329</v>
      </c>
      <c r="G737" s="4">
        <v>5.9141605632255103E-42</v>
      </c>
    </row>
    <row r="738" spans="1:7" x14ac:dyDescent="0.2">
      <c r="A738" s="10" t="s">
        <v>1767</v>
      </c>
      <c r="B738" s="10" t="s">
        <v>1768</v>
      </c>
      <c r="C738" s="10" t="s">
        <v>18</v>
      </c>
      <c r="D738" s="10">
        <v>-1.0861656941014399</v>
      </c>
      <c r="E738" s="4">
        <v>2.55945216264188E-6</v>
      </c>
      <c r="F738" s="10">
        <v>-1.1420296192827799</v>
      </c>
      <c r="G738" s="10">
        <v>1.1143676006671E-4</v>
      </c>
    </row>
    <row r="739" spans="1:7" x14ac:dyDescent="0.2">
      <c r="A739" s="10" t="s">
        <v>7556</v>
      </c>
      <c r="B739" s="10" t="s">
        <v>7557</v>
      </c>
      <c r="C739" s="10" t="s">
        <v>18</v>
      </c>
      <c r="D739" s="10">
        <v>-1.42137584663738</v>
      </c>
      <c r="E739" s="10">
        <v>1.5973502628866499E-3</v>
      </c>
      <c r="F739" s="10">
        <v>-3.2052734316257299</v>
      </c>
      <c r="G739" s="4">
        <v>9.0692797857119591E-19</v>
      </c>
    </row>
    <row r="740" spans="1:7" x14ac:dyDescent="0.2">
      <c r="A740" s="10" t="s">
        <v>915</v>
      </c>
      <c r="B740" s="10" t="s">
        <v>916</v>
      </c>
      <c r="C740" s="10" t="s">
        <v>18</v>
      </c>
      <c r="D740" s="10">
        <v>-2.3795557494508701</v>
      </c>
      <c r="E740" s="4">
        <v>4.6538549185703198E-21</v>
      </c>
      <c r="F740" s="10">
        <v>-3.1423019707444602</v>
      </c>
      <c r="G740" s="4">
        <v>3.7051947194618102E-26</v>
      </c>
    </row>
    <row r="741" spans="1:7" x14ac:dyDescent="0.2">
      <c r="A741" s="10" t="s">
        <v>3085</v>
      </c>
      <c r="B741" s="10" t="s">
        <v>3086</v>
      </c>
      <c r="C741" s="10" t="s">
        <v>18</v>
      </c>
      <c r="D741" s="10">
        <v>1.78284921967544</v>
      </c>
      <c r="E741" s="4">
        <v>9.8120940360122794E-5</v>
      </c>
      <c r="F741" s="10">
        <v>2.75596172312438</v>
      </c>
      <c r="G741" s="4">
        <v>2.7172394931832502E-7</v>
      </c>
    </row>
    <row r="742" spans="1:7" x14ac:dyDescent="0.2">
      <c r="A742" s="10" t="s">
        <v>4304</v>
      </c>
      <c r="B742" s="10" t="s">
        <v>4305</v>
      </c>
      <c r="C742" s="10" t="s">
        <v>18</v>
      </c>
      <c r="D742" s="10">
        <v>1.4470328917127799</v>
      </c>
      <c r="E742" s="4">
        <v>2.9982631154138401E-15</v>
      </c>
      <c r="F742" s="10">
        <v>1.94646680058179</v>
      </c>
      <c r="G742" s="4">
        <v>1.0584840307054001E-15</v>
      </c>
    </row>
    <row r="743" spans="1:7" x14ac:dyDescent="0.2">
      <c r="A743" s="10" t="s">
        <v>4045</v>
      </c>
      <c r="B743" s="10" t="s">
        <v>4046</v>
      </c>
      <c r="C743" s="10" t="s">
        <v>18</v>
      </c>
      <c r="D743" s="10">
        <v>1.44396029656173</v>
      </c>
      <c r="E743" s="4">
        <v>2.8599430971106799E-11</v>
      </c>
      <c r="F743" s="10">
        <v>1.5247362428634601</v>
      </c>
      <c r="G743" s="4">
        <v>2.4890811875740302E-7</v>
      </c>
    </row>
    <row r="744" spans="1:7" x14ac:dyDescent="0.2">
      <c r="A744" s="10" t="s">
        <v>1589</v>
      </c>
      <c r="B744" s="10" t="s">
        <v>1590</v>
      </c>
      <c r="C744" s="10" t="s">
        <v>18</v>
      </c>
      <c r="D744" s="10">
        <v>2.6524175415403501</v>
      </c>
      <c r="E744" s="4">
        <v>2.7838031812614401E-35</v>
      </c>
      <c r="F744" s="10">
        <v>4.35556035058279</v>
      </c>
      <c r="G744" s="4">
        <v>2.7577779250876302E-49</v>
      </c>
    </row>
    <row r="745" spans="1:7" x14ac:dyDescent="0.2">
      <c r="A745" s="10" t="s">
        <v>9072</v>
      </c>
      <c r="B745" s="10" t="s">
        <v>9073</v>
      </c>
      <c r="C745" s="10" t="s">
        <v>18</v>
      </c>
      <c r="D745" s="10">
        <v>3.2181201342783101</v>
      </c>
      <c r="E745" s="4">
        <v>2.29921134212614E-22</v>
      </c>
      <c r="F745" s="10">
        <v>1.6323520895337</v>
      </c>
      <c r="G745" s="4">
        <v>2.0356849716349601E-7</v>
      </c>
    </row>
    <row r="746" spans="1:7" x14ac:dyDescent="0.2">
      <c r="A746" s="10" t="s">
        <v>5916</v>
      </c>
      <c r="B746" s="10" t="s">
        <v>5917</v>
      </c>
      <c r="C746" s="10" t="s">
        <v>18</v>
      </c>
      <c r="D746" s="10">
        <v>-1.6525835658055901</v>
      </c>
      <c r="E746" s="4">
        <v>1.2760761637176799E-19</v>
      </c>
      <c r="F746" s="10">
        <v>1.8311050619065099</v>
      </c>
      <c r="G746" s="4">
        <v>2.5674848249470401E-12</v>
      </c>
    </row>
    <row r="747" spans="1:7" x14ac:dyDescent="0.2">
      <c r="A747" s="10" t="s">
        <v>8390</v>
      </c>
      <c r="B747" s="10" t="s">
        <v>8391</v>
      </c>
      <c r="C747" s="10" t="s">
        <v>18</v>
      </c>
      <c r="D747" s="10">
        <v>2.0641274679220998</v>
      </c>
      <c r="E747" s="4">
        <v>2.7586649200258702E-19</v>
      </c>
      <c r="F747" s="10">
        <v>1.36323416795742</v>
      </c>
      <c r="G747" s="4">
        <v>1.1496008291488001E-7</v>
      </c>
    </row>
    <row r="748" spans="1:7" x14ac:dyDescent="0.2">
      <c r="A748" s="10" t="s">
        <v>5516</v>
      </c>
      <c r="B748" s="10" t="s">
        <v>5517</v>
      </c>
      <c r="C748" s="10" t="s">
        <v>18</v>
      </c>
      <c r="D748" s="10">
        <v>-3.3881940234200898</v>
      </c>
      <c r="E748" s="4">
        <v>2.02576873956763E-21</v>
      </c>
      <c r="F748" s="10">
        <v>-1.69963294340985</v>
      </c>
      <c r="G748" s="10">
        <v>4.6612830765154899E-4</v>
      </c>
    </row>
    <row r="749" spans="1:7" x14ac:dyDescent="0.2">
      <c r="A749" s="10" t="s">
        <v>3371</v>
      </c>
      <c r="B749" s="10" t="s">
        <v>3372</v>
      </c>
      <c r="C749" s="10" t="s">
        <v>18</v>
      </c>
      <c r="D749" s="10">
        <v>-2.75850538800927</v>
      </c>
      <c r="E749" s="4">
        <v>3.1330765302800901E-30</v>
      </c>
      <c r="F749" s="10">
        <v>-2.1388264790276699</v>
      </c>
      <c r="G749" s="4">
        <v>8.8159941173200897E-10</v>
      </c>
    </row>
    <row r="750" spans="1:7" x14ac:dyDescent="0.2">
      <c r="A750" s="10" t="s">
        <v>5032</v>
      </c>
      <c r="B750" s="10" t="s">
        <v>5033</v>
      </c>
      <c r="C750" s="10" t="s">
        <v>18</v>
      </c>
      <c r="D750" s="10">
        <v>-2.0895915475769402</v>
      </c>
      <c r="E750" s="4">
        <v>3.41653681869381E-5</v>
      </c>
      <c r="F750" s="10">
        <v>-2.7121229657695798</v>
      </c>
      <c r="G750" s="4">
        <v>3.9413066908419299E-9</v>
      </c>
    </row>
    <row r="751" spans="1:7" x14ac:dyDescent="0.2">
      <c r="A751" s="10" t="s">
        <v>8038</v>
      </c>
      <c r="B751" s="10" t="s">
        <v>8039</v>
      </c>
      <c r="C751" s="10" t="s">
        <v>18</v>
      </c>
      <c r="D751" s="10">
        <v>-2.08361982322779</v>
      </c>
      <c r="E751" s="4">
        <v>4.6093070268844204E-28</v>
      </c>
      <c r="F751" s="10">
        <v>-1.2485746375998401</v>
      </c>
      <c r="G751" s="4">
        <v>1.0146372354383E-5</v>
      </c>
    </row>
    <row r="752" spans="1:7" x14ac:dyDescent="0.2">
      <c r="A752" s="10" t="s">
        <v>77</v>
      </c>
      <c r="B752" s="10" t="s">
        <v>78</v>
      </c>
      <c r="C752" s="10" t="s">
        <v>18</v>
      </c>
      <c r="D752" s="10">
        <v>2.7002172950157002</v>
      </c>
      <c r="E752" s="4">
        <v>2.8427429296068003E-17</v>
      </c>
      <c r="F752" s="10">
        <v>2.1529945007612898</v>
      </c>
      <c r="G752" s="4">
        <v>8.8384466488389895E-9</v>
      </c>
    </row>
    <row r="753" spans="1:7" x14ac:dyDescent="0.2">
      <c r="A753" s="10" t="s">
        <v>6262</v>
      </c>
      <c r="B753" s="10" t="s">
        <v>6263</v>
      </c>
      <c r="C753" s="10" t="s">
        <v>18</v>
      </c>
      <c r="D753" s="10">
        <v>2.36468821889282</v>
      </c>
      <c r="E753" s="10">
        <v>4.4772154204763097E-3</v>
      </c>
      <c r="F753" s="10">
        <v>-1.32253607363921</v>
      </c>
      <c r="G753" s="10">
        <v>4.8698619189994404E-3</v>
      </c>
    </row>
    <row r="754" spans="1:7" x14ac:dyDescent="0.2">
      <c r="A754" s="10" t="s">
        <v>1593</v>
      </c>
      <c r="B754" s="10" t="s">
        <v>1594</v>
      </c>
      <c r="C754" s="10" t="s">
        <v>18</v>
      </c>
      <c r="D754" s="10">
        <v>1.0677939656333399</v>
      </c>
      <c r="E754" s="4">
        <v>1.2106842083875899E-7</v>
      </c>
      <c r="F754" s="10">
        <v>3.75346403476486</v>
      </c>
      <c r="G754" s="4">
        <v>1.2131980040898799E-35</v>
      </c>
    </row>
    <row r="755" spans="1:7" x14ac:dyDescent="0.2">
      <c r="A755" s="10" t="s">
        <v>9098</v>
      </c>
      <c r="B755" s="10" t="s">
        <v>9099</v>
      </c>
      <c r="C755" s="10" t="s">
        <v>18</v>
      </c>
      <c r="D755" s="10">
        <v>7.93601757188602</v>
      </c>
      <c r="E755" s="4">
        <v>1.33644696177262E-13</v>
      </c>
      <c r="F755" s="10">
        <v>5.2677008407008898</v>
      </c>
      <c r="G755" s="4">
        <v>3.0392833698389598E-24</v>
      </c>
    </row>
    <row r="756" spans="1:7" x14ac:dyDescent="0.2">
      <c r="A756" s="10" t="s">
        <v>2015</v>
      </c>
      <c r="B756" s="10" t="s">
        <v>2016</v>
      </c>
      <c r="C756" s="10" t="s">
        <v>18</v>
      </c>
      <c r="D756" s="10">
        <v>6.8157027782768598</v>
      </c>
      <c r="E756" s="4">
        <v>2.0251404693118901E-13</v>
      </c>
      <c r="F756" s="10">
        <v>8.6437032077357596</v>
      </c>
      <c r="G756" s="4">
        <v>4.8537271034591401E-9</v>
      </c>
    </row>
    <row r="757" spans="1:7" x14ac:dyDescent="0.2">
      <c r="A757" s="10" t="s">
        <v>5420</v>
      </c>
      <c r="B757" s="10" t="s">
        <v>5421</v>
      </c>
      <c r="C757" s="10" t="s">
        <v>18</v>
      </c>
      <c r="D757" s="10">
        <v>-1.38255505360579</v>
      </c>
      <c r="E757" s="10">
        <v>2.2170278125580598E-3</v>
      </c>
      <c r="F757" s="10">
        <v>-1.5444713200920499</v>
      </c>
      <c r="G757" s="10">
        <v>1.21566493536804E-4</v>
      </c>
    </row>
    <row r="758" spans="1:7" x14ac:dyDescent="0.2">
      <c r="A758" s="10" t="s">
        <v>2791</v>
      </c>
      <c r="B758" s="10" t="s">
        <v>2792</v>
      </c>
      <c r="C758" s="10" t="s">
        <v>18</v>
      </c>
      <c r="D758" s="10">
        <v>-1.30894088717683</v>
      </c>
      <c r="E758" s="4">
        <v>2.9965411686062399E-5</v>
      </c>
      <c r="F758" s="10">
        <v>-1.30987577193315</v>
      </c>
      <c r="G758" s="10">
        <v>1.4005890846560199E-4</v>
      </c>
    </row>
    <row r="759" spans="1:7" x14ac:dyDescent="0.2">
      <c r="A759" s="10" t="s">
        <v>4394</v>
      </c>
      <c r="B759" s="10" t="s">
        <v>4395</v>
      </c>
      <c r="C759" s="10" t="s">
        <v>18</v>
      </c>
      <c r="D759" s="10">
        <v>1.0385810221256599</v>
      </c>
      <c r="E759" s="10">
        <v>1.9862356268790199E-3</v>
      </c>
      <c r="F759" s="10">
        <v>3.6509769303389299</v>
      </c>
      <c r="G759" s="4">
        <v>3.97989338349884E-17</v>
      </c>
    </row>
    <row r="760" spans="1:7" x14ac:dyDescent="0.2">
      <c r="A760" s="10" t="s">
        <v>7106</v>
      </c>
      <c r="B760" s="10" t="s">
        <v>7107</v>
      </c>
      <c r="C760" s="10" t="s">
        <v>18</v>
      </c>
      <c r="D760" s="10">
        <v>1.4524007663553</v>
      </c>
      <c r="E760" s="4">
        <v>3.9745838556597597E-8</v>
      </c>
      <c r="F760" s="10">
        <v>1.0642659304648701</v>
      </c>
      <c r="G760" s="10">
        <v>9.93511266885102E-4</v>
      </c>
    </row>
    <row r="761" spans="1:7" x14ac:dyDescent="0.2">
      <c r="A761" s="10" t="s">
        <v>3487</v>
      </c>
      <c r="B761" s="10" t="s">
        <v>3488</v>
      </c>
      <c r="C761" s="10" t="s">
        <v>18</v>
      </c>
      <c r="D761" s="10">
        <v>-1.1017397634005099</v>
      </c>
      <c r="E761" s="10">
        <v>5.8631910756169205E-4</v>
      </c>
      <c r="F761" s="10">
        <v>-2.31847748429082</v>
      </c>
      <c r="G761" s="4">
        <v>1.5301800804958701E-13</v>
      </c>
    </row>
    <row r="762" spans="1:7" x14ac:dyDescent="0.2">
      <c r="A762" s="10" t="s">
        <v>969</v>
      </c>
      <c r="B762" s="10" t="s">
        <v>970</v>
      </c>
      <c r="C762" s="10" t="s">
        <v>18</v>
      </c>
      <c r="D762" s="10">
        <v>-2.4687064210425498</v>
      </c>
      <c r="E762" s="4">
        <v>4.9224332458374503E-40</v>
      </c>
      <c r="F762" s="10">
        <v>-1.0515326318456699</v>
      </c>
      <c r="G762" s="10">
        <v>1.2985965789010401E-4</v>
      </c>
    </row>
    <row r="763" spans="1:7" x14ac:dyDescent="0.2">
      <c r="A763" s="10" t="s">
        <v>195</v>
      </c>
      <c r="B763" s="10" t="s">
        <v>196</v>
      </c>
      <c r="C763" s="10" t="s">
        <v>18</v>
      </c>
      <c r="D763" s="10">
        <v>11.7977282466342</v>
      </c>
      <c r="E763" s="4">
        <v>7.8034670291854499E-16</v>
      </c>
      <c r="F763" s="10">
        <v>7.1603557278345402</v>
      </c>
      <c r="G763" s="4">
        <v>2.8577677012401402E-41</v>
      </c>
    </row>
    <row r="764" spans="1:7" x14ac:dyDescent="0.2">
      <c r="A764" s="10" t="s">
        <v>4630</v>
      </c>
      <c r="B764" s="10" t="s">
        <v>4631</v>
      </c>
      <c r="C764" s="10" t="s">
        <v>18</v>
      </c>
      <c r="D764" s="10">
        <v>10.1572302799177</v>
      </c>
      <c r="E764" s="4">
        <v>3.30709369227726E-12</v>
      </c>
      <c r="F764" s="10">
        <v>4.7493227922288996</v>
      </c>
      <c r="G764" s="4">
        <v>1.1240717590326199E-39</v>
      </c>
    </row>
    <row r="765" spans="1:7" x14ac:dyDescent="0.2">
      <c r="A765" s="10" t="s">
        <v>7420</v>
      </c>
      <c r="B765" s="10" t="s">
        <v>7421</v>
      </c>
      <c r="C765" s="10" t="s">
        <v>18</v>
      </c>
      <c r="D765" s="10">
        <v>7.0435716247205997</v>
      </c>
      <c r="E765" s="4">
        <v>5.5731606210762903E-49</v>
      </c>
      <c r="F765" s="10">
        <v>8.0753504524991602</v>
      </c>
      <c r="G765" s="4">
        <v>1.6734046117344499E-39</v>
      </c>
    </row>
    <row r="766" spans="1:7" x14ac:dyDescent="0.2">
      <c r="A766" s="10" t="s">
        <v>7712</v>
      </c>
      <c r="B766" s="10" t="s">
        <v>7713</v>
      </c>
      <c r="C766" s="10" t="s">
        <v>18</v>
      </c>
      <c r="D766" s="10">
        <v>3.4100719949257998</v>
      </c>
      <c r="E766" s="4">
        <v>8.3553285276058903E-10</v>
      </c>
      <c r="F766" s="10">
        <v>3.2670012435058799</v>
      </c>
      <c r="G766" s="4">
        <v>6.2337589075434505E-10</v>
      </c>
    </row>
    <row r="767" spans="1:7" x14ac:dyDescent="0.2">
      <c r="A767" s="10" t="s">
        <v>1655</v>
      </c>
      <c r="B767" s="10" t="s">
        <v>1656</v>
      </c>
      <c r="C767" s="10" t="s">
        <v>18</v>
      </c>
      <c r="D767" s="10">
        <v>7.3717956521864103</v>
      </c>
      <c r="E767" s="4">
        <v>1.94395049011E-70</v>
      </c>
      <c r="F767" s="10">
        <v>7.0666624335005901</v>
      </c>
      <c r="G767" s="4">
        <v>8.5254717078825897E-70</v>
      </c>
    </row>
    <row r="768" spans="1:7" x14ac:dyDescent="0.2">
      <c r="A768" s="10" t="s">
        <v>2707</v>
      </c>
      <c r="B768" s="10" t="s">
        <v>2708</v>
      </c>
      <c r="C768" s="10" t="s">
        <v>18</v>
      </c>
      <c r="D768" s="10">
        <v>-1.0608004323907401</v>
      </c>
      <c r="E768" s="4">
        <v>2.30005796320124E-8</v>
      </c>
      <c r="F768" s="10">
        <v>-1.01812472432837</v>
      </c>
      <c r="G768" s="4">
        <v>4.0191436540820502E-5</v>
      </c>
    </row>
    <row r="769" spans="1:7" x14ac:dyDescent="0.2">
      <c r="A769" s="10" t="s">
        <v>3417</v>
      </c>
      <c r="B769" s="10" t="s">
        <v>3418</v>
      </c>
      <c r="C769" s="10" t="s">
        <v>18</v>
      </c>
      <c r="D769" s="10">
        <v>2.60840369130959</v>
      </c>
      <c r="E769" s="4">
        <v>1.4279588556907901E-48</v>
      </c>
      <c r="F769" s="10">
        <v>2.2765812238629799</v>
      </c>
      <c r="G769" s="4">
        <v>2.34137468464116E-21</v>
      </c>
    </row>
    <row r="770" spans="1:7" x14ac:dyDescent="0.2">
      <c r="A770" s="10" t="s">
        <v>503</v>
      </c>
      <c r="B770" s="10" t="s">
        <v>504</v>
      </c>
      <c r="C770" s="10" t="s">
        <v>18</v>
      </c>
      <c r="D770" s="10">
        <v>-1.1703173806473399</v>
      </c>
      <c r="E770" s="4">
        <v>1.39772895343152E-6</v>
      </c>
      <c r="F770" s="10">
        <v>-1.6108427280308699</v>
      </c>
      <c r="G770" s="4">
        <v>2.1666830025816199E-9</v>
      </c>
    </row>
    <row r="771" spans="1:7" x14ac:dyDescent="0.2">
      <c r="A771" s="10" t="s">
        <v>501</v>
      </c>
      <c r="B771" s="10" t="s">
        <v>502</v>
      </c>
      <c r="C771" s="10" t="s">
        <v>18</v>
      </c>
      <c r="D771" s="10">
        <v>-1.90469705939656</v>
      </c>
      <c r="E771" s="4">
        <v>5.06180639101339E-12</v>
      </c>
      <c r="F771" s="10">
        <v>-1.6099169312513399</v>
      </c>
      <c r="G771" s="4">
        <v>1.4917136740162601E-7</v>
      </c>
    </row>
    <row r="772" spans="1:7" x14ac:dyDescent="0.2">
      <c r="A772" s="10" t="s">
        <v>8712</v>
      </c>
      <c r="B772" s="10" t="s">
        <v>8713</v>
      </c>
      <c r="C772" s="10" t="s">
        <v>18</v>
      </c>
      <c r="D772" s="10">
        <v>-2.2124660175458599</v>
      </c>
      <c r="E772" s="4">
        <v>2.4324278767137001E-7</v>
      </c>
      <c r="F772" s="10">
        <v>-1.75625961777842</v>
      </c>
      <c r="G772" s="10">
        <v>4.6507931129969698E-4</v>
      </c>
    </row>
    <row r="773" spans="1:7" x14ac:dyDescent="0.2">
      <c r="A773" s="10" t="s">
        <v>303</v>
      </c>
      <c r="B773" s="10" t="s">
        <v>304</v>
      </c>
      <c r="C773" s="10" t="s">
        <v>18</v>
      </c>
      <c r="D773" s="10">
        <v>9.8142287370833401</v>
      </c>
      <c r="E773" s="4">
        <v>1.9093248818351099E-11</v>
      </c>
      <c r="F773" s="10">
        <v>6.7514670693475196</v>
      </c>
      <c r="G773" s="4">
        <v>3.45990374840746E-34</v>
      </c>
    </row>
    <row r="774" spans="1:7" x14ac:dyDescent="0.2">
      <c r="A774" s="10" t="s">
        <v>1827</v>
      </c>
      <c r="B774" s="10" t="s">
        <v>1828</v>
      </c>
      <c r="C774" s="10" t="s">
        <v>18</v>
      </c>
      <c r="D774" s="10">
        <v>-1.21545251086176</v>
      </c>
      <c r="E774" s="10">
        <v>5.5013703272003103E-4</v>
      </c>
      <c r="F774" s="10">
        <v>-2.3406882721653401</v>
      </c>
      <c r="G774" s="4">
        <v>3.58034294959701E-13</v>
      </c>
    </row>
    <row r="775" spans="1:7" x14ac:dyDescent="0.2">
      <c r="A775" s="10" t="s">
        <v>8874</v>
      </c>
      <c r="B775" s="10" t="s">
        <v>8875</v>
      </c>
      <c r="C775" s="10" t="s">
        <v>18</v>
      </c>
      <c r="D775" s="10">
        <v>-2.03651520283747</v>
      </c>
      <c r="E775" s="4">
        <v>1.24004405173473E-18</v>
      </c>
      <c r="F775" s="10">
        <v>-1.6212494375111901</v>
      </c>
      <c r="G775" s="4">
        <v>1.64008725399255E-8</v>
      </c>
    </row>
    <row r="776" spans="1:7" x14ac:dyDescent="0.2">
      <c r="A776" s="10" t="s">
        <v>2317</v>
      </c>
      <c r="B776" s="10" t="s">
        <v>2318</v>
      </c>
      <c r="C776" s="10" t="s">
        <v>18</v>
      </c>
      <c r="D776" s="10">
        <v>-1.0120151686208401</v>
      </c>
      <c r="E776" s="4">
        <v>2.2988755499614899E-7</v>
      </c>
      <c r="F776" s="10">
        <v>-1.4000835438447401</v>
      </c>
      <c r="G776" s="4">
        <v>1.38125742032816E-8</v>
      </c>
    </row>
    <row r="777" spans="1:7" x14ac:dyDescent="0.2">
      <c r="A777" s="10" t="s">
        <v>4221</v>
      </c>
      <c r="B777" s="10" t="s">
        <v>4222</v>
      </c>
      <c r="C777" s="10" t="s">
        <v>18</v>
      </c>
      <c r="D777" s="10">
        <v>-1.68705090477158</v>
      </c>
      <c r="E777" s="4">
        <v>4.77958995442303E-17</v>
      </c>
      <c r="F777" s="10">
        <v>-1.0256550861677201</v>
      </c>
      <c r="G777" s="10">
        <v>1.07787546090458E-4</v>
      </c>
    </row>
    <row r="778" spans="1:7" x14ac:dyDescent="0.2">
      <c r="A778" s="10" t="s">
        <v>2333</v>
      </c>
      <c r="B778" s="10" t="s">
        <v>2334</v>
      </c>
      <c r="C778" s="10" t="s">
        <v>18</v>
      </c>
      <c r="D778" s="10">
        <v>-1.0906414409082901</v>
      </c>
      <c r="E778" s="4">
        <v>1.60159474055396E-6</v>
      </c>
      <c r="F778" s="10">
        <v>-1.0450704923880301</v>
      </c>
      <c r="G778" s="10">
        <v>1.06262789462342E-4</v>
      </c>
    </row>
    <row r="779" spans="1:7" x14ac:dyDescent="0.2">
      <c r="A779" s="10" t="s">
        <v>5700</v>
      </c>
      <c r="B779" s="10" t="s">
        <v>5701</v>
      </c>
      <c r="C779" s="10" t="s">
        <v>18</v>
      </c>
      <c r="D779" s="10">
        <v>-1.52648591890434</v>
      </c>
      <c r="E779" s="10">
        <v>1.6187465303376799E-4</v>
      </c>
      <c r="F779" s="10">
        <v>-3.8144116910621402</v>
      </c>
      <c r="G779" s="4">
        <v>5.0498540648562102E-31</v>
      </c>
    </row>
    <row r="780" spans="1:7" x14ac:dyDescent="0.2">
      <c r="A780" s="10" t="s">
        <v>2747</v>
      </c>
      <c r="B780" s="10" t="s">
        <v>2748</v>
      </c>
      <c r="C780" s="10" t="s">
        <v>18</v>
      </c>
      <c r="D780" s="10">
        <v>-2.57401384144331</v>
      </c>
      <c r="E780" s="4">
        <v>1.8751108759261202E-12</v>
      </c>
      <c r="F780" s="10">
        <v>1.91278847616949</v>
      </c>
      <c r="G780" s="10">
        <v>5.4290811264798497E-3</v>
      </c>
    </row>
    <row r="781" spans="1:7" x14ac:dyDescent="0.2">
      <c r="A781" s="10" t="s">
        <v>3629</v>
      </c>
      <c r="B781" s="10" t="s">
        <v>3630</v>
      </c>
      <c r="C781" s="10" t="s">
        <v>18</v>
      </c>
      <c r="D781" s="10">
        <v>1.2443056132588901</v>
      </c>
      <c r="E781" s="4">
        <v>1.8336167430768001E-10</v>
      </c>
      <c r="F781" s="10">
        <v>1.0381247192085801</v>
      </c>
      <c r="G781" s="4">
        <v>3.5672097902166802E-5</v>
      </c>
    </row>
    <row r="782" spans="1:7" x14ac:dyDescent="0.2">
      <c r="A782" s="10" t="s">
        <v>5806</v>
      </c>
      <c r="B782" s="10" t="s">
        <v>5807</v>
      </c>
      <c r="C782" s="10" t="s">
        <v>18</v>
      </c>
      <c r="D782" s="10">
        <v>-2.0612578766523399</v>
      </c>
      <c r="E782" s="4">
        <v>3.99300327279418E-11</v>
      </c>
      <c r="F782" s="10">
        <v>-1.8020955722719001</v>
      </c>
      <c r="G782" s="4">
        <v>1.40329063429264E-6</v>
      </c>
    </row>
    <row r="783" spans="1:7" x14ac:dyDescent="0.2">
      <c r="A783" s="10" t="s">
        <v>5802</v>
      </c>
      <c r="B783" s="10" t="s">
        <v>5803</v>
      </c>
      <c r="C783" s="10" t="s">
        <v>18</v>
      </c>
      <c r="D783" s="10">
        <v>3.3879247692129599</v>
      </c>
      <c r="E783" s="4">
        <v>8.9671669475253797E-20</v>
      </c>
      <c r="F783" s="10">
        <v>3.8323663865504098</v>
      </c>
      <c r="G783" s="4">
        <v>9.0891031490453192E-19</v>
      </c>
    </row>
    <row r="784" spans="1:7" x14ac:dyDescent="0.2">
      <c r="A784" s="10" t="s">
        <v>5804</v>
      </c>
      <c r="B784" s="10" t="s">
        <v>5805</v>
      </c>
      <c r="C784" s="10" t="s">
        <v>18</v>
      </c>
      <c r="D784" s="10">
        <v>3.2915954106196899</v>
      </c>
      <c r="E784" s="4">
        <v>1.2678409004602401E-34</v>
      </c>
      <c r="F784" s="10">
        <v>3.73171057666557</v>
      </c>
      <c r="G784" s="4">
        <v>1.14956982049501E-24</v>
      </c>
    </row>
    <row r="785" spans="1:7" x14ac:dyDescent="0.2">
      <c r="A785" s="10" t="s">
        <v>9120</v>
      </c>
      <c r="B785" s="10" t="s">
        <v>9121</v>
      </c>
      <c r="C785" s="10" t="s">
        <v>18</v>
      </c>
      <c r="D785" s="10">
        <v>-1.3640138807628199</v>
      </c>
      <c r="E785" s="4">
        <v>4.5332444116559899E-10</v>
      </c>
      <c r="F785" s="10">
        <v>-1.08419452610676</v>
      </c>
      <c r="G785" s="10">
        <v>3.1420393473433099E-4</v>
      </c>
    </row>
    <row r="786" spans="1:7" x14ac:dyDescent="0.2">
      <c r="A786" s="10" t="s">
        <v>7692</v>
      </c>
      <c r="B786" s="10" t="s">
        <v>7693</v>
      </c>
      <c r="C786" s="10" t="s">
        <v>18</v>
      </c>
      <c r="D786" s="10">
        <v>5.9404685930768899</v>
      </c>
      <c r="E786" s="4">
        <v>2.9056015613297203E-20</v>
      </c>
      <c r="F786" s="10">
        <v>3.0575022468783</v>
      </c>
      <c r="G786" s="4">
        <v>4.1556774307074703E-12</v>
      </c>
    </row>
    <row r="787" spans="1:7" x14ac:dyDescent="0.2">
      <c r="A787" s="10" t="s">
        <v>649</v>
      </c>
      <c r="B787" s="10" t="s">
        <v>650</v>
      </c>
      <c r="C787" s="10" t="s">
        <v>18</v>
      </c>
      <c r="D787" s="10">
        <v>-1.2846898486859299</v>
      </c>
      <c r="E787" s="4">
        <v>2.17135638807872E-5</v>
      </c>
      <c r="F787" s="10">
        <v>-1.2571180009559</v>
      </c>
      <c r="G787" s="10">
        <v>9.5242581770370002E-4</v>
      </c>
    </row>
    <row r="788" spans="1:7" x14ac:dyDescent="0.2">
      <c r="A788" s="10" t="s">
        <v>6418</v>
      </c>
      <c r="B788" s="10" t="s">
        <v>6419</v>
      </c>
      <c r="C788" s="10" t="s">
        <v>18</v>
      </c>
      <c r="D788" s="10">
        <v>7.7512725300566299</v>
      </c>
      <c r="E788" s="4">
        <v>1.53368776142232E-6</v>
      </c>
      <c r="F788" s="10">
        <v>2.0759437827520499</v>
      </c>
      <c r="G788" s="10">
        <v>3.1331687064035901E-3</v>
      </c>
    </row>
    <row r="789" spans="1:7" x14ac:dyDescent="0.2">
      <c r="A789" s="10" t="s">
        <v>6474</v>
      </c>
      <c r="B789" s="10" t="s">
        <v>6475</v>
      </c>
      <c r="C789" s="10" t="s">
        <v>18</v>
      </c>
      <c r="D789" s="10">
        <v>1.2181349274542601</v>
      </c>
      <c r="E789" s="10">
        <v>1.18505931086433E-2</v>
      </c>
      <c r="F789" s="10">
        <v>-2.60358527850891</v>
      </c>
      <c r="G789" s="4">
        <v>3.2422105762514098E-16</v>
      </c>
    </row>
    <row r="790" spans="1:7" x14ac:dyDescent="0.2">
      <c r="A790" s="10" t="s">
        <v>79</v>
      </c>
      <c r="B790" s="10" t="s">
        <v>80</v>
      </c>
      <c r="C790" s="10" t="s">
        <v>18</v>
      </c>
      <c r="D790" s="10">
        <v>4.4290580821735004</v>
      </c>
      <c r="E790" s="4">
        <v>2.187981184176E-27</v>
      </c>
      <c r="F790" s="10">
        <v>6.7189919690583997</v>
      </c>
      <c r="G790" s="4">
        <v>8.8024015973061402E-26</v>
      </c>
    </row>
    <row r="791" spans="1:7" x14ac:dyDescent="0.2">
      <c r="A791" s="10" t="s">
        <v>53</v>
      </c>
      <c r="B791" s="10" t="s">
        <v>54</v>
      </c>
      <c r="C791" s="10" t="s">
        <v>18</v>
      </c>
      <c r="D791" s="10">
        <v>2.86310477860185</v>
      </c>
      <c r="E791" s="10">
        <v>9.1193195656029697E-3</v>
      </c>
      <c r="F791" s="10">
        <v>7.1507354053307797</v>
      </c>
      <c r="G791" s="4">
        <v>3.3334812310720699E-5</v>
      </c>
    </row>
    <row r="792" spans="1:7" x14ac:dyDescent="0.2">
      <c r="A792" s="10" t="s">
        <v>841</v>
      </c>
      <c r="B792" s="10" t="s">
        <v>842</v>
      </c>
      <c r="C792" s="10" t="s">
        <v>18</v>
      </c>
      <c r="D792" s="10">
        <v>3.2646661198231901</v>
      </c>
      <c r="E792" s="4">
        <v>9.0764321882614305E-59</v>
      </c>
      <c r="F792" s="10">
        <v>4.2911579909351296</v>
      </c>
      <c r="G792" s="4">
        <v>6.7372864669757204E-59</v>
      </c>
    </row>
    <row r="793" spans="1:7" x14ac:dyDescent="0.2">
      <c r="A793" s="10" t="s">
        <v>1723</v>
      </c>
      <c r="B793" s="10" t="s">
        <v>1724</v>
      </c>
      <c r="C793" s="10" t="s">
        <v>18</v>
      </c>
      <c r="D793" s="10">
        <v>3.3262562477800399</v>
      </c>
      <c r="E793" s="10">
        <v>1.2871335404449499E-2</v>
      </c>
      <c r="F793" s="10">
        <v>4.16441213609487</v>
      </c>
      <c r="G793" s="10">
        <v>3.8185479716864902E-3</v>
      </c>
    </row>
    <row r="794" spans="1:7" x14ac:dyDescent="0.2">
      <c r="A794" s="10" t="s">
        <v>4644</v>
      </c>
      <c r="B794" s="10" t="s">
        <v>4645</v>
      </c>
      <c r="C794" s="10" t="s">
        <v>18</v>
      </c>
      <c r="D794" s="10">
        <v>-1.5708329833260399</v>
      </c>
      <c r="E794" s="4">
        <v>4.65914542328558E-17</v>
      </c>
      <c r="F794" s="10">
        <v>-1.4971614360999701</v>
      </c>
      <c r="G794" s="4">
        <v>6.88018722405241E-10</v>
      </c>
    </row>
    <row r="795" spans="1:7" x14ac:dyDescent="0.2">
      <c r="A795" s="10" t="s">
        <v>2973</v>
      </c>
      <c r="B795" s="10" t="s">
        <v>2974</v>
      </c>
      <c r="C795" s="10" t="s">
        <v>18</v>
      </c>
      <c r="D795" s="10">
        <v>-3.1182833158530898</v>
      </c>
      <c r="E795" s="4">
        <v>4.3775556025139698E-8</v>
      </c>
      <c r="F795" s="10">
        <v>-1.86943594803396</v>
      </c>
      <c r="G795" s="4">
        <v>4.99700513376196E-8</v>
      </c>
    </row>
    <row r="796" spans="1:7" x14ac:dyDescent="0.2">
      <c r="A796" s="10" t="s">
        <v>2901</v>
      </c>
      <c r="B796" s="10" t="s">
        <v>2902</v>
      </c>
      <c r="C796" s="10" t="s">
        <v>18</v>
      </c>
      <c r="D796" s="10">
        <v>-4.4952466075847397</v>
      </c>
      <c r="E796" s="4">
        <v>7.0107727788832597E-15</v>
      </c>
      <c r="F796" s="10">
        <v>-2.1343377606909</v>
      </c>
      <c r="G796" s="4">
        <v>4.8970302955579701E-10</v>
      </c>
    </row>
    <row r="797" spans="1:7" x14ac:dyDescent="0.2">
      <c r="A797" s="10" t="s">
        <v>2949</v>
      </c>
      <c r="B797" s="10" t="s">
        <v>2950</v>
      </c>
      <c r="C797" s="10" t="s">
        <v>18</v>
      </c>
      <c r="D797" s="10">
        <v>-2.8609837622841998</v>
      </c>
      <c r="E797" s="4">
        <v>4.0645711581490299E-7</v>
      </c>
      <c r="F797" s="10">
        <v>3.2197019856942002</v>
      </c>
      <c r="G797" s="4">
        <v>1.60057750375456E-13</v>
      </c>
    </row>
    <row r="798" spans="1:7" x14ac:dyDescent="0.2">
      <c r="A798" s="10" t="s">
        <v>2959</v>
      </c>
      <c r="B798" s="10" t="s">
        <v>2960</v>
      </c>
      <c r="C798" s="10" t="s">
        <v>18</v>
      </c>
      <c r="D798" s="10">
        <v>-3.2914768200808302</v>
      </c>
      <c r="E798" s="4">
        <v>8.6651276708025306E-8</v>
      </c>
      <c r="F798" s="10">
        <v>-1.32955992056664</v>
      </c>
      <c r="G798" s="4">
        <v>9.2211747794373395E-5</v>
      </c>
    </row>
    <row r="799" spans="1:7" x14ac:dyDescent="0.2">
      <c r="A799" s="10" t="s">
        <v>2969</v>
      </c>
      <c r="B799" s="10" t="s">
        <v>2970</v>
      </c>
      <c r="C799" s="10" t="s">
        <v>18</v>
      </c>
      <c r="D799" s="10">
        <v>-1.9206050153893099</v>
      </c>
      <c r="E799" s="10">
        <v>2.2772177332436899E-3</v>
      </c>
      <c r="F799" s="10">
        <v>-1.1981153038775501</v>
      </c>
      <c r="G799" s="10">
        <v>1.2660806703906999E-3</v>
      </c>
    </row>
    <row r="800" spans="1:7" x14ac:dyDescent="0.2">
      <c r="A800" s="10" t="s">
        <v>2971</v>
      </c>
      <c r="B800" s="10" t="s">
        <v>2972</v>
      </c>
      <c r="C800" s="10" t="s">
        <v>18</v>
      </c>
      <c r="D800" s="10">
        <v>-2.37174557155421</v>
      </c>
      <c r="E800" s="4">
        <v>1.6408378766442801E-12</v>
      </c>
      <c r="F800" s="10">
        <v>-1.35919786320936</v>
      </c>
      <c r="G800" s="10">
        <v>3.77472528756239E-4</v>
      </c>
    </row>
    <row r="801" spans="1:7" x14ac:dyDescent="0.2">
      <c r="A801" s="10" t="s">
        <v>2903</v>
      </c>
      <c r="B801" s="10" t="s">
        <v>2904</v>
      </c>
      <c r="C801" s="10" t="s">
        <v>18</v>
      </c>
      <c r="D801" s="10">
        <v>-4.0589727785657299</v>
      </c>
      <c r="E801" s="4">
        <v>3.3984885931435001E-57</v>
      </c>
      <c r="F801" s="10">
        <v>-1.28185559144759</v>
      </c>
      <c r="G801" s="4">
        <v>2.0888560689695201E-5</v>
      </c>
    </row>
    <row r="802" spans="1:7" x14ac:dyDescent="0.2">
      <c r="A802" s="10" t="s">
        <v>2919</v>
      </c>
      <c r="B802" s="10" t="s">
        <v>2920</v>
      </c>
      <c r="C802" s="10" t="s">
        <v>18</v>
      </c>
      <c r="D802" s="10">
        <v>2.1206405585797499</v>
      </c>
      <c r="E802" s="10">
        <v>6.0015132134112401E-4</v>
      </c>
      <c r="F802" s="10">
        <v>2.1406475402357001</v>
      </c>
      <c r="G802" s="10">
        <v>7.8439816061139805E-4</v>
      </c>
    </row>
    <row r="803" spans="1:7" x14ac:dyDescent="0.2">
      <c r="A803" s="10" t="s">
        <v>2923</v>
      </c>
      <c r="B803" s="10" t="s">
        <v>2924</v>
      </c>
      <c r="C803" s="10" t="s">
        <v>18</v>
      </c>
      <c r="D803" s="10">
        <v>-3.1333706024612802</v>
      </c>
      <c r="E803" s="4">
        <v>1.0508146334924099E-33</v>
      </c>
      <c r="F803" s="10">
        <v>-1.1361847643888101</v>
      </c>
      <c r="G803" s="10">
        <v>3.81412268882742E-4</v>
      </c>
    </row>
    <row r="804" spans="1:7" x14ac:dyDescent="0.2">
      <c r="A804" s="10" t="s">
        <v>2941</v>
      </c>
      <c r="B804" s="10" t="s">
        <v>2942</v>
      </c>
      <c r="C804" s="10" t="s">
        <v>18</v>
      </c>
      <c r="D804" s="10">
        <v>-1.3364759726051401</v>
      </c>
      <c r="E804" s="4">
        <v>1.2323937279717699E-7</v>
      </c>
      <c r="F804" s="10">
        <v>1.4088066487898501</v>
      </c>
      <c r="G804" s="4">
        <v>8.6376088168937795E-7</v>
      </c>
    </row>
    <row r="805" spans="1:7" x14ac:dyDescent="0.2">
      <c r="A805" s="10" t="s">
        <v>2947</v>
      </c>
      <c r="B805" s="10" t="s">
        <v>2948</v>
      </c>
      <c r="C805" s="10" t="s">
        <v>18</v>
      </c>
      <c r="D805" s="10">
        <v>-1.1721563328815701</v>
      </c>
      <c r="E805" s="4">
        <v>5.0894442010208502E-6</v>
      </c>
      <c r="F805" s="10">
        <v>4.9739863759061</v>
      </c>
      <c r="G805" s="4">
        <v>2.1206867712298299E-41</v>
      </c>
    </row>
    <row r="806" spans="1:7" x14ac:dyDescent="0.2">
      <c r="A806" s="10" t="s">
        <v>2953</v>
      </c>
      <c r="B806" s="10" t="s">
        <v>2954</v>
      </c>
      <c r="C806" s="10" t="s">
        <v>18</v>
      </c>
      <c r="D806" s="10">
        <v>-3.3903429040296</v>
      </c>
      <c r="E806" s="4">
        <v>1.1434510579630901E-36</v>
      </c>
      <c r="F806" s="10">
        <v>-1.66715905576446</v>
      </c>
      <c r="G806" s="4">
        <v>1.4339720305418199E-7</v>
      </c>
    </row>
    <row r="807" spans="1:7" x14ac:dyDescent="0.2">
      <c r="A807" s="10" t="s">
        <v>2961</v>
      </c>
      <c r="B807" s="10" t="s">
        <v>2962</v>
      </c>
      <c r="C807" s="10" t="s">
        <v>18</v>
      </c>
      <c r="D807" s="10">
        <v>-4.25880714807474</v>
      </c>
      <c r="E807" s="4">
        <v>1.64798175532874E-11</v>
      </c>
      <c r="F807" s="10">
        <v>-1.14840633917321</v>
      </c>
      <c r="G807" s="10">
        <v>2.45353660215053E-3</v>
      </c>
    </row>
    <row r="808" spans="1:7" x14ac:dyDescent="0.2">
      <c r="A808" s="10" t="s">
        <v>2899</v>
      </c>
      <c r="B808" s="10" t="s">
        <v>2900</v>
      </c>
      <c r="C808" s="10" t="s">
        <v>18</v>
      </c>
      <c r="D808" s="10">
        <v>-2.9088051907069201</v>
      </c>
      <c r="E808" s="4">
        <v>4.0677641689931301E-8</v>
      </c>
      <c r="F808" s="10">
        <v>-1.2042952659881601</v>
      </c>
      <c r="G808" s="10">
        <v>2.1777854371573499E-4</v>
      </c>
    </row>
    <row r="809" spans="1:7" x14ac:dyDescent="0.2">
      <c r="A809" s="10" t="s">
        <v>2931</v>
      </c>
      <c r="B809" s="10" t="s">
        <v>2932</v>
      </c>
      <c r="C809" s="10" t="s">
        <v>18</v>
      </c>
      <c r="D809" s="10">
        <v>-1.0116097339775001</v>
      </c>
      <c r="E809" s="10">
        <v>2.34820176499859E-4</v>
      </c>
      <c r="F809" s="10">
        <v>-1.0580981544910599</v>
      </c>
      <c r="G809" s="10">
        <v>4.3913661589137102E-4</v>
      </c>
    </row>
    <row r="810" spans="1:7" x14ac:dyDescent="0.2">
      <c r="A810" s="10" t="s">
        <v>2895</v>
      </c>
      <c r="B810" s="10" t="s">
        <v>2896</v>
      </c>
      <c r="C810" s="10" t="s">
        <v>18</v>
      </c>
      <c r="D810" s="10">
        <v>-1.28738712229472</v>
      </c>
      <c r="E810" s="10">
        <v>4.0848919740241603E-4</v>
      </c>
      <c r="F810" s="10">
        <v>-1.43033506422485</v>
      </c>
      <c r="G810" s="10">
        <v>2.36542775562574E-4</v>
      </c>
    </row>
    <row r="811" spans="1:7" x14ac:dyDescent="0.2">
      <c r="A811" s="10" t="s">
        <v>2909</v>
      </c>
      <c r="B811" s="10" t="s">
        <v>2910</v>
      </c>
      <c r="C811" s="10" t="s">
        <v>18</v>
      </c>
      <c r="D811" s="10">
        <v>-2.5118897945468199</v>
      </c>
      <c r="E811" s="4">
        <v>9.689506358680179E-7</v>
      </c>
      <c r="F811" s="10">
        <v>-1.6688673558698</v>
      </c>
      <c r="G811" s="4">
        <v>5.7090587105637299E-8</v>
      </c>
    </row>
    <row r="812" spans="1:7" x14ac:dyDescent="0.2">
      <c r="A812" s="10" t="s">
        <v>2921</v>
      </c>
      <c r="B812" s="10" t="s">
        <v>2922</v>
      </c>
      <c r="C812" s="10" t="s">
        <v>18</v>
      </c>
      <c r="D812" s="10">
        <v>-2.9871318753932599</v>
      </c>
      <c r="E812" s="4">
        <v>2.0096531330493101E-7</v>
      </c>
      <c r="F812" s="10">
        <v>-1.9449631911388801</v>
      </c>
      <c r="G812" s="4">
        <v>1.1998439403756201E-9</v>
      </c>
    </row>
    <row r="813" spans="1:7" x14ac:dyDescent="0.2">
      <c r="A813" s="10" t="s">
        <v>2937</v>
      </c>
      <c r="B813" s="10" t="s">
        <v>2938</v>
      </c>
      <c r="C813" s="10" t="s">
        <v>18</v>
      </c>
      <c r="D813" s="10">
        <v>-2.8472124975756499</v>
      </c>
      <c r="E813" s="4">
        <v>6.8009314452287796E-7</v>
      </c>
      <c r="F813" s="10">
        <v>-1.72996147683256</v>
      </c>
      <c r="G813" s="4">
        <v>5.0139481550918601E-8</v>
      </c>
    </row>
    <row r="814" spans="1:7" x14ac:dyDescent="0.2">
      <c r="A814" s="10" t="s">
        <v>565</v>
      </c>
      <c r="B814" s="10" t="s">
        <v>566</v>
      </c>
      <c r="C814" s="10" t="s">
        <v>18</v>
      </c>
      <c r="D814" s="10">
        <v>-2.43815000780969</v>
      </c>
      <c r="E814" s="4">
        <v>3.4286220158267599E-17</v>
      </c>
      <c r="F814" s="10">
        <v>-1.35311056372482</v>
      </c>
      <c r="G814" s="4">
        <v>1.8582179226976999E-5</v>
      </c>
    </row>
    <row r="815" spans="1:7" x14ac:dyDescent="0.2">
      <c r="A815" s="10" t="s">
        <v>4578</v>
      </c>
      <c r="B815" s="10" t="s">
        <v>4579</v>
      </c>
      <c r="C815" s="10" t="s">
        <v>18</v>
      </c>
      <c r="D815" s="10">
        <v>2.29693015920079</v>
      </c>
      <c r="E815" s="4">
        <v>5.3216757631920303E-15</v>
      </c>
      <c r="F815" s="10">
        <v>1.69590957064953</v>
      </c>
      <c r="G815" s="4">
        <v>3.4213126709884698E-8</v>
      </c>
    </row>
    <row r="816" spans="1:7" x14ac:dyDescent="0.2">
      <c r="A816" s="10" t="s">
        <v>1135</v>
      </c>
      <c r="B816" s="10" t="s">
        <v>1136</v>
      </c>
      <c r="C816" s="10" t="s">
        <v>18</v>
      </c>
      <c r="D816" s="10">
        <v>-2.11746535788193</v>
      </c>
      <c r="E816" s="4">
        <v>1.75924680623398E-29</v>
      </c>
      <c r="F816" s="10">
        <v>-1.36382852661454</v>
      </c>
      <c r="G816" s="4">
        <v>9.4350621923947202E-8</v>
      </c>
    </row>
    <row r="817" spans="1:7" x14ac:dyDescent="0.2">
      <c r="A817" s="10" t="s">
        <v>4576</v>
      </c>
      <c r="B817" s="10" t="s">
        <v>4577</v>
      </c>
      <c r="C817" s="10" t="s">
        <v>18</v>
      </c>
      <c r="D817" s="10">
        <v>-3.09700955504479</v>
      </c>
      <c r="E817" s="4">
        <v>4.35979860597202E-39</v>
      </c>
      <c r="F817" s="10">
        <v>-2.0083222236688498</v>
      </c>
      <c r="G817" s="4">
        <v>1.39981900022308E-10</v>
      </c>
    </row>
    <row r="818" spans="1:7" x14ac:dyDescent="0.2">
      <c r="A818" s="10" t="s">
        <v>3019</v>
      </c>
      <c r="B818" s="10" t="s">
        <v>3020</v>
      </c>
      <c r="C818" s="10" t="s">
        <v>18</v>
      </c>
      <c r="D818" s="10">
        <v>7.9611719653014603</v>
      </c>
      <c r="E818" s="4">
        <v>1.1581777242921E-30</v>
      </c>
      <c r="F818" s="10">
        <v>8.5354196549504895</v>
      </c>
      <c r="G818" s="4">
        <v>6.2533080537823698E-28</v>
      </c>
    </row>
    <row r="819" spans="1:7" x14ac:dyDescent="0.2">
      <c r="A819" s="10" t="s">
        <v>4342</v>
      </c>
      <c r="B819" s="10" t="s">
        <v>4343</v>
      </c>
      <c r="C819" s="10" t="s">
        <v>18</v>
      </c>
      <c r="D819" s="10">
        <v>4.7133421392549097</v>
      </c>
      <c r="E819" s="4">
        <v>2.56825790501664E-8</v>
      </c>
      <c r="F819" s="10">
        <v>2.5757591808860898</v>
      </c>
      <c r="G819" s="4">
        <v>1.0805119702497599E-5</v>
      </c>
    </row>
    <row r="820" spans="1:7" x14ac:dyDescent="0.2">
      <c r="A820" s="10" t="s">
        <v>9096</v>
      </c>
      <c r="B820" s="10" t="s">
        <v>9097</v>
      </c>
      <c r="C820" s="10" t="s">
        <v>18</v>
      </c>
      <c r="D820" s="10">
        <v>1.74564168714199</v>
      </c>
      <c r="E820" s="4">
        <v>7.7532121586175897E-23</v>
      </c>
      <c r="F820" s="10">
        <v>1.3267651867297101</v>
      </c>
      <c r="G820" s="4">
        <v>1.70776399195128E-7</v>
      </c>
    </row>
    <row r="821" spans="1:7" x14ac:dyDescent="0.2">
      <c r="A821" s="10" t="s">
        <v>189</v>
      </c>
      <c r="B821" s="10" t="s">
        <v>190</v>
      </c>
      <c r="C821" s="10" t="s">
        <v>18</v>
      </c>
      <c r="D821" s="10">
        <v>1.41840026949975</v>
      </c>
      <c r="E821" s="4">
        <v>3.0517320568326799E-10</v>
      </c>
      <c r="F821" s="10">
        <v>1.02412655871928</v>
      </c>
      <c r="G821" s="10">
        <v>1.58968380905741E-4</v>
      </c>
    </row>
    <row r="822" spans="1:7" x14ac:dyDescent="0.2">
      <c r="A822" s="10" t="s">
        <v>2521</v>
      </c>
      <c r="B822" s="10" t="s">
        <v>2522</v>
      </c>
      <c r="C822" s="10" t="s">
        <v>18</v>
      </c>
      <c r="D822" s="10">
        <v>-1.97001986157692</v>
      </c>
      <c r="E822" s="4">
        <v>1.04429321306092E-24</v>
      </c>
      <c r="F822" s="10">
        <v>-1.59352710373759</v>
      </c>
      <c r="G822" s="4">
        <v>1.13747512799294E-9</v>
      </c>
    </row>
    <row r="823" spans="1:7" x14ac:dyDescent="0.2">
      <c r="A823" s="10" t="s">
        <v>2759</v>
      </c>
      <c r="B823" s="10" t="s">
        <v>2760</v>
      </c>
      <c r="C823" s="10" t="s">
        <v>18</v>
      </c>
      <c r="D823" s="10">
        <v>1.4411646928911599</v>
      </c>
      <c r="E823" s="4">
        <v>3.9275541829277698E-12</v>
      </c>
      <c r="F823" s="10">
        <v>1.5177043851880001</v>
      </c>
      <c r="G823" s="4">
        <v>5.4854771518862004E-7</v>
      </c>
    </row>
    <row r="824" spans="1:7" x14ac:dyDescent="0.2">
      <c r="A824" s="10" t="s">
        <v>3915</v>
      </c>
      <c r="B824" s="10" t="s">
        <v>3916</v>
      </c>
      <c r="C824" s="10" t="s">
        <v>18</v>
      </c>
      <c r="D824" s="10">
        <v>-2.53860879638375</v>
      </c>
      <c r="E824" s="4">
        <v>1.91171645588848E-27</v>
      </c>
      <c r="F824" s="10">
        <v>-1.87140882567962</v>
      </c>
      <c r="G824" s="4">
        <v>1.4357842565908901E-10</v>
      </c>
    </row>
    <row r="825" spans="1:7" x14ac:dyDescent="0.2">
      <c r="A825" s="10" t="s">
        <v>3427</v>
      </c>
      <c r="B825" s="10" t="s">
        <v>3428</v>
      </c>
      <c r="C825" s="10" t="s">
        <v>18</v>
      </c>
      <c r="D825" s="10">
        <v>2.24483208623603</v>
      </c>
      <c r="E825" s="10">
        <v>3.3296087084864799E-3</v>
      </c>
      <c r="F825" s="10">
        <v>1.84311844264839</v>
      </c>
      <c r="G825" s="10">
        <v>5.7539066987894799E-3</v>
      </c>
    </row>
    <row r="826" spans="1:7" x14ac:dyDescent="0.2">
      <c r="A826" s="10" t="s">
        <v>5554</v>
      </c>
      <c r="B826" s="10" t="s">
        <v>5555</v>
      </c>
      <c r="C826" s="10" t="s">
        <v>18</v>
      </c>
      <c r="D826" s="10">
        <v>3.2982344260213301</v>
      </c>
      <c r="E826" s="4">
        <v>8.7282213865806306E-9</v>
      </c>
      <c r="F826" s="10">
        <v>2.5634841004120799</v>
      </c>
      <c r="G826" s="4">
        <v>8.6530531110493001E-7</v>
      </c>
    </row>
    <row r="827" spans="1:7" x14ac:dyDescent="0.2">
      <c r="A827" s="10" t="s">
        <v>4806</v>
      </c>
      <c r="B827" s="10" t="s">
        <v>4807</v>
      </c>
      <c r="C827" s="10" t="s">
        <v>18</v>
      </c>
      <c r="D827" s="10">
        <v>1.2616452988913101</v>
      </c>
      <c r="E827" s="4">
        <v>6.0385933365725696E-8</v>
      </c>
      <c r="F827" s="10">
        <v>2.2251041696004599</v>
      </c>
      <c r="G827" s="4">
        <v>8.9941637302275505E-13</v>
      </c>
    </row>
    <row r="828" spans="1:7" x14ac:dyDescent="0.2">
      <c r="A828" s="10" t="s">
        <v>8250</v>
      </c>
      <c r="B828" s="10" t="s">
        <v>8251</v>
      </c>
      <c r="C828" s="10" t="s">
        <v>18</v>
      </c>
      <c r="D828" s="10">
        <v>-1.10382923027013</v>
      </c>
      <c r="E828" s="10">
        <v>3.80652653115253E-4</v>
      </c>
      <c r="F828" s="10">
        <v>-2.0480341174248098</v>
      </c>
      <c r="G828" s="4">
        <v>1.06844898074152E-9</v>
      </c>
    </row>
    <row r="829" spans="1:7" x14ac:dyDescent="0.2">
      <c r="A829" s="10" t="s">
        <v>4141</v>
      </c>
      <c r="B829" s="10" t="s">
        <v>4142</v>
      </c>
      <c r="C829" s="10" t="s">
        <v>18</v>
      </c>
      <c r="D829" s="10">
        <v>3.0869669287653498</v>
      </c>
      <c r="E829" s="4">
        <v>9.1743679687600093E-6</v>
      </c>
      <c r="F829" s="10">
        <v>3.71688101494283</v>
      </c>
      <c r="G829" s="4">
        <v>3.2142670778065702E-7</v>
      </c>
    </row>
    <row r="830" spans="1:7" x14ac:dyDescent="0.2">
      <c r="A830" s="10" t="s">
        <v>7072</v>
      </c>
      <c r="B830" s="10" t="s">
        <v>7073</v>
      </c>
      <c r="C830" s="10" t="s">
        <v>18</v>
      </c>
      <c r="D830" s="10">
        <v>-1.79139369429472</v>
      </c>
      <c r="E830" s="10">
        <v>1.60011200693815E-3</v>
      </c>
      <c r="F830" s="10">
        <v>-1.5091023849492999</v>
      </c>
      <c r="G830" s="10">
        <v>1.0867780739142199E-2</v>
      </c>
    </row>
    <row r="831" spans="1:7" x14ac:dyDescent="0.2">
      <c r="A831" s="10" t="s">
        <v>6560</v>
      </c>
      <c r="B831" s="10" t="s">
        <v>6561</v>
      </c>
      <c r="C831" s="10" t="s">
        <v>18</v>
      </c>
      <c r="D831" s="10">
        <v>6.0567841273156002</v>
      </c>
      <c r="E831" s="10">
        <v>1.67672811368565E-3</v>
      </c>
      <c r="F831" s="10">
        <v>6.3062947162249099</v>
      </c>
      <c r="G831" s="10">
        <v>8.0878371996842796E-4</v>
      </c>
    </row>
    <row r="832" spans="1:7" x14ac:dyDescent="0.2">
      <c r="A832" s="10" t="s">
        <v>2291</v>
      </c>
      <c r="B832" s="10" t="s">
        <v>2292</v>
      </c>
      <c r="C832" s="10" t="s">
        <v>18</v>
      </c>
      <c r="D832" s="10">
        <v>-1.04345627681327</v>
      </c>
      <c r="E832" s="4">
        <v>5.9364032367151498E-8</v>
      </c>
      <c r="F832" s="10">
        <v>-1.4775269783145399</v>
      </c>
      <c r="G832" s="4">
        <v>2.59470553037128E-8</v>
      </c>
    </row>
    <row r="833" spans="1:7" x14ac:dyDescent="0.2">
      <c r="A833" s="10" t="s">
        <v>4750</v>
      </c>
      <c r="B833" s="10" t="s">
        <v>4751</v>
      </c>
      <c r="C833" s="10" t="s">
        <v>18</v>
      </c>
      <c r="D833" s="10">
        <v>1.6922422763774601</v>
      </c>
      <c r="E833" s="4">
        <v>3.1190773691021999E-19</v>
      </c>
      <c r="F833" s="10">
        <v>1.6202977120776501</v>
      </c>
      <c r="G833" s="4">
        <v>2.8811955022613999E-11</v>
      </c>
    </row>
    <row r="834" spans="1:7" x14ac:dyDescent="0.2">
      <c r="A834" s="10" t="s">
        <v>2373</v>
      </c>
      <c r="B834" s="10" t="s">
        <v>2374</v>
      </c>
      <c r="C834" s="10" t="s">
        <v>18</v>
      </c>
      <c r="D834" s="10">
        <v>1.8435805070837801</v>
      </c>
      <c r="E834" s="4">
        <v>7.1476942156209701E-23</v>
      </c>
      <c r="F834" s="10">
        <v>3.32417980931148</v>
      </c>
      <c r="G834" s="4">
        <v>7.1319822421367396E-40</v>
      </c>
    </row>
    <row r="835" spans="1:7" x14ac:dyDescent="0.2">
      <c r="A835" s="10" t="s">
        <v>179</v>
      </c>
      <c r="B835" s="10" t="s">
        <v>180</v>
      </c>
      <c r="C835" s="10" t="s">
        <v>18</v>
      </c>
      <c r="D835" s="10">
        <v>1.8181916733447201</v>
      </c>
      <c r="E835" s="4">
        <v>1.8706882653618901E-21</v>
      </c>
      <c r="F835" s="10">
        <v>3.4052967090442001</v>
      </c>
      <c r="G835" s="4">
        <v>5.1346728804131699E-24</v>
      </c>
    </row>
    <row r="836" spans="1:7" x14ac:dyDescent="0.2">
      <c r="A836" s="10" t="s">
        <v>3859</v>
      </c>
      <c r="B836" s="10" t="s">
        <v>3860</v>
      </c>
      <c r="C836" s="10" t="s">
        <v>18</v>
      </c>
      <c r="D836" s="10">
        <v>4.9006647577520104</v>
      </c>
      <c r="E836" s="10">
        <v>7.05134091211552E-3</v>
      </c>
      <c r="F836" s="10">
        <v>6.59052873087394</v>
      </c>
      <c r="G836" s="10">
        <v>2.8613500227617E-4</v>
      </c>
    </row>
    <row r="837" spans="1:7" x14ac:dyDescent="0.2">
      <c r="A837" s="10" t="s">
        <v>8610</v>
      </c>
      <c r="B837" s="10" t="s">
        <v>8611</v>
      </c>
      <c r="C837" s="10" t="s">
        <v>18</v>
      </c>
      <c r="D837" s="10">
        <v>-2.3714295439649899</v>
      </c>
      <c r="E837" s="4">
        <v>3.0986495026749799E-18</v>
      </c>
      <c r="F837" s="10">
        <v>-3.5259761018261</v>
      </c>
      <c r="G837" s="4">
        <v>1.18698622609282E-31</v>
      </c>
    </row>
    <row r="838" spans="1:7" x14ac:dyDescent="0.2">
      <c r="A838" s="10" t="s">
        <v>7862</v>
      </c>
      <c r="B838" s="10" t="s">
        <v>7863</v>
      </c>
      <c r="C838" s="10" t="s">
        <v>18</v>
      </c>
      <c r="D838" s="10">
        <v>-2.1453363033415802</v>
      </c>
      <c r="E838" s="4">
        <v>7.7055933143113399E-13</v>
      </c>
      <c r="F838" s="10">
        <v>-1.93587454034387</v>
      </c>
      <c r="G838" s="4">
        <v>1.45001550703367E-7</v>
      </c>
    </row>
    <row r="839" spans="1:7" x14ac:dyDescent="0.2">
      <c r="A839" s="10" t="s">
        <v>7858</v>
      </c>
      <c r="B839" s="10" t="s">
        <v>7859</v>
      </c>
      <c r="C839" s="10" t="s">
        <v>18</v>
      </c>
      <c r="D839" s="10">
        <v>3.3435494415295102</v>
      </c>
      <c r="E839" s="4">
        <v>2.1260051948102699E-38</v>
      </c>
      <c r="F839" s="10">
        <v>4.0505708856751204</v>
      </c>
      <c r="G839" s="4">
        <v>1.1469916534433E-37</v>
      </c>
    </row>
    <row r="840" spans="1:7" x14ac:dyDescent="0.2">
      <c r="A840" s="10" t="s">
        <v>8646</v>
      </c>
      <c r="B840" s="10" t="s">
        <v>8647</v>
      </c>
      <c r="C840" s="10" t="s">
        <v>18</v>
      </c>
      <c r="D840" s="10">
        <v>1.5854681521907701</v>
      </c>
      <c r="E840" s="10">
        <v>2.3174655335322101E-4</v>
      </c>
      <c r="F840" s="10">
        <v>3.40621541641391</v>
      </c>
      <c r="G840" s="4">
        <v>4.5245805967001403E-9</v>
      </c>
    </row>
    <row r="841" spans="1:7" x14ac:dyDescent="0.2">
      <c r="A841" s="10" t="s">
        <v>955</v>
      </c>
      <c r="B841" s="10" t="s">
        <v>956</v>
      </c>
      <c r="C841" s="10" t="s">
        <v>18</v>
      </c>
      <c r="D841" s="10">
        <v>1.46369637547673</v>
      </c>
      <c r="E841" s="4">
        <v>3.6830904331972202E-18</v>
      </c>
      <c r="F841" s="10">
        <v>1.36438936536399</v>
      </c>
      <c r="G841" s="4">
        <v>3.7341577913033998E-9</v>
      </c>
    </row>
    <row r="842" spans="1:7" x14ac:dyDescent="0.2">
      <c r="A842" s="10" t="s">
        <v>6488</v>
      </c>
      <c r="B842" s="10" t="s">
        <v>6489</v>
      </c>
      <c r="C842" s="10" t="s">
        <v>18</v>
      </c>
      <c r="D842" s="10">
        <v>1.15472260679955</v>
      </c>
      <c r="E842" s="4">
        <v>9.0321123600901003E-8</v>
      </c>
      <c r="F842" s="10">
        <v>1.3727968126919301</v>
      </c>
      <c r="G842" s="4">
        <v>5.8892992486576198E-6</v>
      </c>
    </row>
    <row r="843" spans="1:7" x14ac:dyDescent="0.2">
      <c r="A843" s="10" t="s">
        <v>4448</v>
      </c>
      <c r="B843" s="10" t="s">
        <v>4449</v>
      </c>
      <c r="C843" s="10" t="s">
        <v>18</v>
      </c>
      <c r="D843" s="10">
        <v>-1.1746233499859799</v>
      </c>
      <c r="E843" s="4">
        <v>1.89165570462937E-9</v>
      </c>
      <c r="F843" s="10">
        <v>-1.1260569471917701</v>
      </c>
      <c r="G843" s="4">
        <v>3.4059975710662099E-6</v>
      </c>
    </row>
    <row r="844" spans="1:7" x14ac:dyDescent="0.2">
      <c r="A844" s="10" t="s">
        <v>2131</v>
      </c>
      <c r="B844" s="10" t="s">
        <v>2132</v>
      </c>
      <c r="C844" s="10" t="s">
        <v>18</v>
      </c>
      <c r="D844" s="10">
        <v>1.5074270736302999</v>
      </c>
      <c r="E844" s="10">
        <v>1.3011407686700299E-4</v>
      </c>
      <c r="F844" s="10">
        <v>2.6614371550948102</v>
      </c>
      <c r="G844" s="4">
        <v>3.12725994480515E-9</v>
      </c>
    </row>
    <row r="845" spans="1:7" x14ac:dyDescent="0.2">
      <c r="A845" s="10" t="s">
        <v>7258</v>
      </c>
      <c r="B845" s="10" t="s">
        <v>7259</v>
      </c>
      <c r="C845" s="10" t="s">
        <v>18</v>
      </c>
      <c r="D845" s="10">
        <v>-1.46267892517839</v>
      </c>
      <c r="E845" s="4">
        <v>1.2305054917112599E-8</v>
      </c>
      <c r="F845" s="10">
        <v>-1.327600473508</v>
      </c>
      <c r="G845" s="4">
        <v>2.8101072882101901E-5</v>
      </c>
    </row>
    <row r="846" spans="1:7" x14ac:dyDescent="0.2">
      <c r="A846" s="10" t="s">
        <v>4798</v>
      </c>
      <c r="B846" s="10" t="s">
        <v>4799</v>
      </c>
      <c r="C846" s="10" t="s">
        <v>18</v>
      </c>
      <c r="D846" s="10">
        <v>-3.50153060608555</v>
      </c>
      <c r="E846" s="10">
        <v>8.7242792061701397E-3</v>
      </c>
      <c r="F846" s="10">
        <v>-3.60434480476383</v>
      </c>
      <c r="G846" s="10">
        <v>4.6350699549618703E-3</v>
      </c>
    </row>
    <row r="847" spans="1:7" x14ac:dyDescent="0.2">
      <c r="A847" s="10" t="s">
        <v>4796</v>
      </c>
      <c r="B847" s="10" t="s">
        <v>4797</v>
      </c>
      <c r="C847" s="10" t="s">
        <v>18</v>
      </c>
      <c r="D847" s="10">
        <v>-1.76326103311309</v>
      </c>
      <c r="E847" s="4">
        <v>4.5871595274752699E-15</v>
      </c>
      <c r="F847" s="10">
        <v>-1.2795998228335701</v>
      </c>
      <c r="G847" s="4">
        <v>3.52132069509905E-5</v>
      </c>
    </row>
    <row r="848" spans="1:7" x14ac:dyDescent="0.2">
      <c r="A848" s="10" t="s">
        <v>4800</v>
      </c>
      <c r="B848" s="10" t="s">
        <v>4801</v>
      </c>
      <c r="C848" s="10" t="s">
        <v>18</v>
      </c>
      <c r="D848" s="10">
        <v>-1.4022011969333901</v>
      </c>
      <c r="E848" s="4">
        <v>4.1920379772030402E-10</v>
      </c>
      <c r="F848" s="10">
        <v>-1.61482537354245</v>
      </c>
      <c r="G848" s="4">
        <v>6.2528177566475501E-8</v>
      </c>
    </row>
    <row r="849" spans="1:7" x14ac:dyDescent="0.2">
      <c r="A849" s="10" t="s">
        <v>8616</v>
      </c>
      <c r="B849" s="10" t="s">
        <v>8617</v>
      </c>
      <c r="C849" s="10" t="s">
        <v>18</v>
      </c>
      <c r="D849" s="10">
        <v>-1.3901673083453501</v>
      </c>
      <c r="E849" s="4">
        <v>3.5682512820039699E-6</v>
      </c>
      <c r="F849" s="10">
        <v>-1.2263674367369899</v>
      </c>
      <c r="G849" s="10">
        <v>2.4464378815205101E-4</v>
      </c>
    </row>
    <row r="850" spans="1:7" x14ac:dyDescent="0.2">
      <c r="A850" s="10" t="s">
        <v>8618</v>
      </c>
      <c r="B850" s="10" t="s">
        <v>8619</v>
      </c>
      <c r="C850" s="10" t="s">
        <v>18</v>
      </c>
      <c r="D850" s="10">
        <v>-1.1841912834980699</v>
      </c>
      <c r="E850" s="4">
        <v>2.0208283729358901E-9</v>
      </c>
      <c r="F850" s="10">
        <v>-1.08331617991268</v>
      </c>
      <c r="G850" s="4">
        <v>2.75836622044325E-5</v>
      </c>
    </row>
    <row r="851" spans="1:7" x14ac:dyDescent="0.2">
      <c r="A851" s="10" t="s">
        <v>1769</v>
      </c>
      <c r="B851" s="10" t="s">
        <v>1770</v>
      </c>
      <c r="C851" s="10" t="s">
        <v>18</v>
      </c>
      <c r="D851" s="10">
        <v>-1.9690853823705301</v>
      </c>
      <c r="E851" s="4">
        <v>1.94264055100498E-16</v>
      </c>
      <c r="F851" s="10">
        <v>-1.2798765847503999</v>
      </c>
      <c r="G851" s="4">
        <v>3.8897634902818603E-5</v>
      </c>
    </row>
    <row r="852" spans="1:7" x14ac:dyDescent="0.2">
      <c r="A852" s="10" t="s">
        <v>6384</v>
      </c>
      <c r="B852" s="10" t="s">
        <v>6385</v>
      </c>
      <c r="C852" s="10" t="s">
        <v>18</v>
      </c>
      <c r="D852" s="10">
        <v>-2.7682829799175099</v>
      </c>
      <c r="E852" s="4">
        <v>1.9289869971287301E-45</v>
      </c>
      <c r="F852" s="10">
        <v>-2.1740940830125401</v>
      </c>
      <c r="G852" s="4">
        <v>3.0836530611577E-13</v>
      </c>
    </row>
    <row r="853" spans="1:7" x14ac:dyDescent="0.2">
      <c r="A853" s="10" t="s">
        <v>6386</v>
      </c>
      <c r="B853" s="10" t="s">
        <v>6387</v>
      </c>
      <c r="C853" s="10" t="s">
        <v>18</v>
      </c>
      <c r="D853" s="10">
        <v>4.5862152883273302</v>
      </c>
      <c r="E853" s="4">
        <v>1.9425644629126001E-88</v>
      </c>
      <c r="F853" s="10">
        <v>4.8145611345403001</v>
      </c>
      <c r="G853" s="4">
        <v>1.64223659475057E-62</v>
      </c>
    </row>
    <row r="854" spans="1:7" x14ac:dyDescent="0.2">
      <c r="A854" s="10" t="s">
        <v>6558</v>
      </c>
      <c r="B854" s="10" t="s">
        <v>6559</v>
      </c>
      <c r="C854" s="10" t="s">
        <v>18</v>
      </c>
      <c r="D854" s="10">
        <v>3.81006342863652</v>
      </c>
      <c r="E854" s="4">
        <v>3.9100145576863498E-27</v>
      </c>
      <c r="F854" s="10">
        <v>5.8211844511534396</v>
      </c>
      <c r="G854" s="4">
        <v>2.09320075775609E-31</v>
      </c>
    </row>
    <row r="855" spans="1:7" x14ac:dyDescent="0.2">
      <c r="A855" s="10" t="s">
        <v>3475</v>
      </c>
      <c r="B855" s="10" t="s">
        <v>3476</v>
      </c>
      <c r="C855" s="10" t="s">
        <v>18</v>
      </c>
      <c r="D855" s="10">
        <v>2.2608909454864601</v>
      </c>
      <c r="E855" s="4">
        <v>2.3725612924298099E-19</v>
      </c>
      <c r="F855" s="10">
        <v>1.7545485320909699</v>
      </c>
      <c r="G855" s="4">
        <v>6.6784958373447798E-14</v>
      </c>
    </row>
    <row r="856" spans="1:7" x14ac:dyDescent="0.2">
      <c r="A856" s="10" t="s">
        <v>1465</v>
      </c>
      <c r="B856" s="10" t="s">
        <v>1466</v>
      </c>
      <c r="C856" s="10" t="s">
        <v>18</v>
      </c>
      <c r="D856" s="10">
        <v>2.3059151874297599</v>
      </c>
      <c r="E856" s="4">
        <v>6.5495819441827604E-9</v>
      </c>
      <c r="F856" s="10">
        <v>3.2872763121989301</v>
      </c>
      <c r="G856" s="4">
        <v>7.4910553752353898E-13</v>
      </c>
    </row>
    <row r="857" spans="1:7" x14ac:dyDescent="0.2">
      <c r="A857" s="10" t="s">
        <v>3477</v>
      </c>
      <c r="B857" s="10" t="s">
        <v>3478</v>
      </c>
      <c r="C857" s="10" t="s">
        <v>18</v>
      </c>
      <c r="D857" s="10">
        <v>4.7073888768723604</v>
      </c>
      <c r="E857" s="4">
        <v>5.7033903996413803E-64</v>
      </c>
      <c r="F857" s="10">
        <v>2.04069291501377</v>
      </c>
      <c r="G857" s="4">
        <v>3.2138107511318898E-16</v>
      </c>
    </row>
    <row r="858" spans="1:7" x14ac:dyDescent="0.2">
      <c r="A858" s="10" t="s">
        <v>2231</v>
      </c>
      <c r="B858" s="10" t="s">
        <v>2232</v>
      </c>
      <c r="C858" s="10" t="s">
        <v>18</v>
      </c>
      <c r="D858" s="10">
        <v>4.50495221401858</v>
      </c>
      <c r="E858" s="4">
        <v>2.8196377149905799E-66</v>
      </c>
      <c r="F858" s="10">
        <v>6.8876198592551896</v>
      </c>
      <c r="G858" s="4">
        <v>5.58039759826582E-62</v>
      </c>
    </row>
    <row r="859" spans="1:7" x14ac:dyDescent="0.2">
      <c r="A859" s="10" t="s">
        <v>8206</v>
      </c>
      <c r="B859" s="10" t="s">
        <v>8207</v>
      </c>
      <c r="C859" s="10" t="s">
        <v>18</v>
      </c>
      <c r="D859" s="10">
        <v>6.2348322409822696</v>
      </c>
      <c r="E859" s="10">
        <v>8.7728431726666605E-4</v>
      </c>
      <c r="F859" s="10">
        <v>5.02622386486967</v>
      </c>
      <c r="G859" s="10">
        <v>4.8496171614160997E-3</v>
      </c>
    </row>
    <row r="860" spans="1:7" x14ac:dyDescent="0.2">
      <c r="A860" s="10" t="s">
        <v>8052</v>
      </c>
      <c r="B860" s="10" t="s">
        <v>8053</v>
      </c>
      <c r="C860" s="10" t="s">
        <v>18</v>
      </c>
      <c r="D860" s="10">
        <v>-2.3302299672897502</v>
      </c>
      <c r="E860" s="10">
        <v>1.5675826960964501E-3</v>
      </c>
      <c r="F860" s="10">
        <v>-1.9525222148799699</v>
      </c>
      <c r="G860" s="10">
        <v>1.1835239709723199E-2</v>
      </c>
    </row>
    <row r="861" spans="1:7" x14ac:dyDescent="0.2">
      <c r="A861" s="10" t="s">
        <v>8164</v>
      </c>
      <c r="B861" s="10" t="s">
        <v>8165</v>
      </c>
      <c r="C861" s="10" t="s">
        <v>18</v>
      </c>
      <c r="D861" s="10">
        <v>-2.6415590543588801</v>
      </c>
      <c r="E861" s="10">
        <v>1.5957480325968301E-3</v>
      </c>
      <c r="F861" s="10">
        <v>-3.6876073787974102</v>
      </c>
      <c r="G861" s="4">
        <v>7.6901945129894694E-8</v>
      </c>
    </row>
    <row r="862" spans="1:7" x14ac:dyDescent="0.2">
      <c r="A862" s="10" t="s">
        <v>683</v>
      </c>
      <c r="B862" s="10" t="s">
        <v>684</v>
      </c>
      <c r="C862" s="10" t="s">
        <v>18</v>
      </c>
      <c r="D862" s="10">
        <v>-2.4265036018797699</v>
      </c>
      <c r="E862" s="4">
        <v>3.9532581602549099E-29</v>
      </c>
      <c r="F862" s="10">
        <v>-1.61717209840335</v>
      </c>
      <c r="G862" s="4">
        <v>1.5886568405893799E-7</v>
      </c>
    </row>
    <row r="863" spans="1:7" x14ac:dyDescent="0.2">
      <c r="A863" s="10" t="s">
        <v>5340</v>
      </c>
      <c r="B863" s="10" t="s">
        <v>5341</v>
      </c>
      <c r="C863" s="10" t="s">
        <v>18</v>
      </c>
      <c r="D863" s="10">
        <v>3.99311390077033</v>
      </c>
      <c r="E863" s="4">
        <v>4.1367113965995398E-16</v>
      </c>
      <c r="F863" s="10">
        <v>2.6173745363239198</v>
      </c>
      <c r="G863" s="4">
        <v>2.2877790523450701E-10</v>
      </c>
    </row>
    <row r="864" spans="1:7" x14ac:dyDescent="0.2">
      <c r="A864" s="10" t="s">
        <v>5706</v>
      </c>
      <c r="B864" s="10" t="s">
        <v>5707</v>
      </c>
      <c r="C864" s="10" t="s">
        <v>18</v>
      </c>
      <c r="D864" s="10">
        <v>2.0194325101987398</v>
      </c>
      <c r="E864" s="4">
        <v>8.3270146643457896E-27</v>
      </c>
      <c r="F864" s="10">
        <v>2.60929083611332</v>
      </c>
      <c r="G864" s="4">
        <v>1.1866878278019E-25</v>
      </c>
    </row>
    <row r="865" spans="1:7" x14ac:dyDescent="0.2">
      <c r="A865" s="10" t="s">
        <v>823</v>
      </c>
      <c r="B865" s="10" t="s">
        <v>824</v>
      </c>
      <c r="C865" s="10" t="s">
        <v>18</v>
      </c>
      <c r="D865" s="10">
        <v>-1.10547987487154</v>
      </c>
      <c r="E865" s="4">
        <v>3.50022318711899E-5</v>
      </c>
      <c r="F865" s="10">
        <v>-2.1150910599122499</v>
      </c>
      <c r="G865" s="4">
        <v>1.8730709704044099E-12</v>
      </c>
    </row>
    <row r="866" spans="1:7" x14ac:dyDescent="0.2">
      <c r="A866" s="10" t="s">
        <v>5576</v>
      </c>
      <c r="B866" s="10" t="s">
        <v>5577</v>
      </c>
      <c r="C866" s="10" t="s">
        <v>18</v>
      </c>
      <c r="D866" s="10">
        <v>-1.0236013637878101</v>
      </c>
      <c r="E866" s="10">
        <v>1.9983464188484399E-4</v>
      </c>
      <c r="F866" s="10">
        <v>-1.2342337382198201</v>
      </c>
      <c r="G866" s="4">
        <v>4.43419080365237E-5</v>
      </c>
    </row>
    <row r="867" spans="1:7" x14ac:dyDescent="0.2">
      <c r="A867" s="10" t="s">
        <v>419</v>
      </c>
      <c r="B867" s="10" t="s">
        <v>420</v>
      </c>
      <c r="C867" s="10" t="s">
        <v>18</v>
      </c>
      <c r="D867" s="10">
        <v>7.6355303932943501</v>
      </c>
      <c r="E867" s="4">
        <v>2.6026132318172802E-6</v>
      </c>
      <c r="F867" s="10">
        <v>1.9775307950944701</v>
      </c>
      <c r="G867" s="10">
        <v>4.6783846587747802E-3</v>
      </c>
    </row>
    <row r="868" spans="1:7" x14ac:dyDescent="0.2">
      <c r="A868" s="10" t="s">
        <v>5228</v>
      </c>
      <c r="B868" s="10" t="s">
        <v>5229</v>
      </c>
      <c r="C868" s="10" t="s">
        <v>18</v>
      </c>
      <c r="D868" s="10">
        <v>1.25857981665805</v>
      </c>
      <c r="E868" s="10">
        <v>5.3450532894950599E-4</v>
      </c>
      <c r="F868" s="10">
        <v>3.2443638013228902</v>
      </c>
      <c r="G868" s="4">
        <v>1.4539314568403701E-14</v>
      </c>
    </row>
    <row r="869" spans="1:7" x14ac:dyDescent="0.2">
      <c r="A869" s="10" t="s">
        <v>1203</v>
      </c>
      <c r="B869" s="10" t="s">
        <v>1204</v>
      </c>
      <c r="C869" s="10" t="s">
        <v>18</v>
      </c>
      <c r="D869" s="10">
        <v>-1.80381262113039</v>
      </c>
      <c r="E869" s="4">
        <v>1.42491815468157E-21</v>
      </c>
      <c r="F869" s="10">
        <v>-1.4411469491775299</v>
      </c>
      <c r="G869" s="4">
        <v>6.4602990455397096E-9</v>
      </c>
    </row>
    <row r="870" spans="1:7" x14ac:dyDescent="0.2">
      <c r="A870" s="10" t="s">
        <v>6708</v>
      </c>
      <c r="B870" s="10" t="s">
        <v>6709</v>
      </c>
      <c r="C870" s="10" t="s">
        <v>18</v>
      </c>
      <c r="D870" s="10">
        <v>2.3330861639415499</v>
      </c>
      <c r="E870" s="4">
        <v>1.02486220422848E-6</v>
      </c>
      <c r="F870" s="10">
        <v>3.54007057129671</v>
      </c>
      <c r="G870" s="4">
        <v>9.3652147398548905E-11</v>
      </c>
    </row>
    <row r="871" spans="1:7" x14ac:dyDescent="0.2">
      <c r="A871" s="10" t="s">
        <v>193</v>
      </c>
      <c r="B871" s="10" t="s">
        <v>194</v>
      </c>
      <c r="C871" s="10" t="s">
        <v>18</v>
      </c>
      <c r="D871" s="10">
        <v>-1.07199807570586</v>
      </c>
      <c r="E871" s="10">
        <v>1.8549174922366501E-3</v>
      </c>
      <c r="F871" s="10">
        <v>-1.27984076851277</v>
      </c>
      <c r="G871" s="10">
        <v>8.4638021834178799E-4</v>
      </c>
    </row>
    <row r="872" spans="1:7" x14ac:dyDescent="0.2">
      <c r="A872" s="10" t="s">
        <v>4079</v>
      </c>
      <c r="B872" s="10" t="s">
        <v>4080</v>
      </c>
      <c r="C872" s="10" t="s">
        <v>18</v>
      </c>
      <c r="D872" s="10">
        <v>8.6132464628510199</v>
      </c>
      <c r="E872" s="4">
        <v>1.0959036677754001E-15</v>
      </c>
      <c r="F872" s="10">
        <v>5.3233714401888701</v>
      </c>
      <c r="G872" s="4">
        <v>5.7782488816478003E-29</v>
      </c>
    </row>
    <row r="873" spans="1:7" x14ac:dyDescent="0.2">
      <c r="A873" s="10" t="s">
        <v>7558</v>
      </c>
      <c r="B873" s="10" t="s">
        <v>7559</v>
      </c>
      <c r="C873" s="10" t="s">
        <v>18</v>
      </c>
      <c r="D873" s="10">
        <v>-2.1687558998794398</v>
      </c>
      <c r="E873" s="4">
        <v>1.33775778910817E-21</v>
      </c>
      <c r="F873" s="10">
        <v>-1.7564414406450599</v>
      </c>
      <c r="G873" s="4">
        <v>9.0506908306486697E-9</v>
      </c>
    </row>
    <row r="874" spans="1:7" x14ac:dyDescent="0.2">
      <c r="A874" s="10" t="s">
        <v>7588</v>
      </c>
      <c r="B874" s="10" t="s">
        <v>7589</v>
      </c>
      <c r="C874" s="10" t="s">
        <v>18</v>
      </c>
      <c r="D874" s="10">
        <v>1.1425985591374599</v>
      </c>
      <c r="E874" s="4">
        <v>5.5424166205918696E-6</v>
      </c>
      <c r="F874" s="10">
        <v>1.3493793024730401</v>
      </c>
      <c r="G874" s="4">
        <v>4.4730864735824003E-6</v>
      </c>
    </row>
    <row r="875" spans="1:7" x14ac:dyDescent="0.2">
      <c r="A875" s="10" t="s">
        <v>6214</v>
      </c>
      <c r="B875" s="10" t="s">
        <v>6215</v>
      </c>
      <c r="C875" s="10" t="s">
        <v>18</v>
      </c>
      <c r="D875" s="10">
        <v>-1.16869597311241</v>
      </c>
      <c r="E875" s="4">
        <v>4.7308540640046599E-8</v>
      </c>
      <c r="F875" s="10">
        <v>1.16739966252786</v>
      </c>
      <c r="G875" s="10">
        <v>3.3323680918569902E-4</v>
      </c>
    </row>
    <row r="876" spans="1:7" x14ac:dyDescent="0.2">
      <c r="A876" s="10" t="s">
        <v>5942</v>
      </c>
      <c r="B876" s="10" t="s">
        <v>5943</v>
      </c>
      <c r="C876" s="10" t="s">
        <v>18</v>
      </c>
      <c r="D876" s="10">
        <v>-1.33441026901292</v>
      </c>
      <c r="E876" s="4">
        <v>1.8814638297505899E-7</v>
      </c>
      <c r="F876" s="10">
        <v>-1.11479535564763</v>
      </c>
      <c r="G876" s="10">
        <v>2.5986144525851301E-4</v>
      </c>
    </row>
    <row r="877" spans="1:7" x14ac:dyDescent="0.2">
      <c r="A877" s="10" t="s">
        <v>5598</v>
      </c>
      <c r="B877" s="10" t="s">
        <v>5599</v>
      </c>
      <c r="C877" s="10" t="s">
        <v>18</v>
      </c>
      <c r="D877" s="10">
        <v>-1.5009713778287901</v>
      </c>
      <c r="E877" s="4">
        <v>8.2663384530922706E-5</v>
      </c>
      <c r="F877" s="10">
        <v>-1.5743252442214299</v>
      </c>
      <c r="G877" s="4">
        <v>4.3496628072158299E-5</v>
      </c>
    </row>
    <row r="878" spans="1:7" x14ac:dyDescent="0.2">
      <c r="A878" s="10" t="s">
        <v>1757</v>
      </c>
      <c r="B878" s="10" t="s">
        <v>1758</v>
      </c>
      <c r="C878" s="10" t="s">
        <v>18</v>
      </c>
      <c r="D878" s="10">
        <v>3.7425261068059199</v>
      </c>
      <c r="E878" s="4">
        <v>1.77289728043085E-6</v>
      </c>
      <c r="F878" s="10">
        <v>2.5315106845353501</v>
      </c>
      <c r="G878" s="4">
        <v>7.6449701374014801E-5</v>
      </c>
    </row>
    <row r="879" spans="1:7" x14ac:dyDescent="0.2">
      <c r="A879" s="10" t="s">
        <v>515</v>
      </c>
      <c r="B879" s="10" t="s">
        <v>516</v>
      </c>
      <c r="C879" s="10" t="s">
        <v>18</v>
      </c>
      <c r="D879" s="10">
        <v>2.1006287006896498</v>
      </c>
      <c r="E879" s="4">
        <v>1.24049454945359E-28</v>
      </c>
      <c r="F879" s="10">
        <v>2.3293893620602302</v>
      </c>
      <c r="G879" s="4">
        <v>2.30698215839645E-21</v>
      </c>
    </row>
    <row r="880" spans="1:7" x14ac:dyDescent="0.2">
      <c r="A880" s="10" t="s">
        <v>1389</v>
      </c>
      <c r="B880" s="10" t="s">
        <v>1390</v>
      </c>
      <c r="C880" s="10" t="s">
        <v>18</v>
      </c>
      <c r="D880" s="10">
        <v>1.87885410518673</v>
      </c>
      <c r="E880" s="4">
        <v>6.8900939643263896E-23</v>
      </c>
      <c r="F880" s="10">
        <v>1.32646440245922</v>
      </c>
      <c r="G880" s="4">
        <v>1.1533392676035001E-7</v>
      </c>
    </row>
    <row r="881" spans="1:7" x14ac:dyDescent="0.2">
      <c r="A881" s="10" t="s">
        <v>845</v>
      </c>
      <c r="B881" s="10" t="s">
        <v>846</v>
      </c>
      <c r="C881" s="10" t="s">
        <v>18</v>
      </c>
      <c r="D881" s="10">
        <v>-1.59133517191711</v>
      </c>
      <c r="E881" s="4">
        <v>8.6967238291333501E-14</v>
      </c>
      <c r="F881" s="10">
        <v>-1.27821645954864</v>
      </c>
      <c r="G881" s="4">
        <v>2.57968934423444E-6</v>
      </c>
    </row>
    <row r="882" spans="1:7" x14ac:dyDescent="0.2">
      <c r="A882" s="10" t="s">
        <v>2371</v>
      </c>
      <c r="B882" s="10" t="s">
        <v>2372</v>
      </c>
      <c r="C882" s="10" t="s">
        <v>18</v>
      </c>
      <c r="D882" s="10">
        <v>1.3034806774196099</v>
      </c>
      <c r="E882" s="4">
        <v>4.44463578725945E-10</v>
      </c>
      <c r="F882" s="10">
        <v>1.0851917057047999</v>
      </c>
      <c r="G882" s="4">
        <v>5.9324522127921001E-5</v>
      </c>
    </row>
    <row r="883" spans="1:7" x14ac:dyDescent="0.2">
      <c r="A883" s="10" t="s">
        <v>3029</v>
      </c>
      <c r="B883" s="10" t="s">
        <v>3030</v>
      </c>
      <c r="C883" s="10" t="s">
        <v>18</v>
      </c>
      <c r="D883" s="10">
        <v>7.5299586250413197</v>
      </c>
      <c r="E883" s="4">
        <v>2.7271229632359199E-75</v>
      </c>
      <c r="F883" s="10">
        <v>9.0717332265800792</v>
      </c>
      <c r="G883" s="4">
        <v>6.8701108807609997E-50</v>
      </c>
    </row>
    <row r="884" spans="1:7" x14ac:dyDescent="0.2">
      <c r="A884" s="10" t="s">
        <v>3741</v>
      </c>
      <c r="B884" s="10" t="s">
        <v>3742</v>
      </c>
      <c r="C884" s="10" t="s">
        <v>18</v>
      </c>
      <c r="D884" s="10">
        <v>7.4515337992355803</v>
      </c>
      <c r="E884" s="4">
        <v>5.9012398682918898E-6</v>
      </c>
      <c r="F884" s="10">
        <v>7.6985106656215399</v>
      </c>
      <c r="G884" s="4">
        <v>2.36549778762106E-6</v>
      </c>
    </row>
    <row r="885" spans="1:7" x14ac:dyDescent="0.2">
      <c r="A885" s="10" t="s">
        <v>5774</v>
      </c>
      <c r="B885" s="10" t="s">
        <v>5775</v>
      </c>
      <c r="C885" s="10" t="s">
        <v>18</v>
      </c>
      <c r="D885" s="10">
        <v>2.29525752041509</v>
      </c>
      <c r="E885" s="4">
        <v>1.10352449821888E-7</v>
      </c>
      <c r="F885" s="10">
        <v>1.3092839586616001</v>
      </c>
      <c r="G885" s="10">
        <v>9.8451243083123494E-4</v>
      </c>
    </row>
    <row r="886" spans="1:7" x14ac:dyDescent="0.2">
      <c r="A886" s="10" t="s">
        <v>7984</v>
      </c>
      <c r="B886" s="10" t="s">
        <v>7985</v>
      </c>
      <c r="C886" s="10" t="s">
        <v>18</v>
      </c>
      <c r="D886" s="10">
        <v>1.9000837413356499</v>
      </c>
      <c r="E886" s="10">
        <v>1.0102576157353501E-4</v>
      </c>
      <c r="F886" s="10">
        <v>1.89536991030322</v>
      </c>
      <c r="G886" s="10">
        <v>1.01266705280957E-4</v>
      </c>
    </row>
    <row r="887" spans="1:7" x14ac:dyDescent="0.2">
      <c r="A887" s="10" t="s">
        <v>1629</v>
      </c>
      <c r="B887" s="10" t="s">
        <v>1630</v>
      </c>
      <c r="C887" s="10" t="s">
        <v>18</v>
      </c>
      <c r="D887" s="10">
        <v>-1.45971362294704</v>
      </c>
      <c r="E887" s="4">
        <v>1.4954345363446099E-9</v>
      </c>
      <c r="F887" s="10">
        <v>-1.1500776124121499</v>
      </c>
      <c r="G887" s="10">
        <v>2.09995317578098E-4</v>
      </c>
    </row>
    <row r="888" spans="1:7" x14ac:dyDescent="0.2">
      <c r="A888" s="10" t="s">
        <v>5482</v>
      </c>
      <c r="B888" s="10" t="s">
        <v>5483</v>
      </c>
      <c r="C888" s="10" t="s">
        <v>18</v>
      </c>
      <c r="D888" s="10">
        <v>1.1378305231804999</v>
      </c>
      <c r="E888" s="4">
        <v>1.04982035191876E-5</v>
      </c>
      <c r="F888" s="10">
        <v>1.2290158407498499</v>
      </c>
      <c r="G888" s="4">
        <v>6.00695057808278E-5</v>
      </c>
    </row>
    <row r="889" spans="1:7" x14ac:dyDescent="0.2">
      <c r="A889" s="10" t="s">
        <v>6798</v>
      </c>
      <c r="B889" s="10" t="s">
        <v>6799</v>
      </c>
      <c r="C889" s="10" t="s">
        <v>18</v>
      </c>
      <c r="D889" s="10">
        <v>-1.0548202356923999</v>
      </c>
      <c r="E889" s="4">
        <v>2.18807338440119E-7</v>
      </c>
      <c r="F889" s="10">
        <v>-1.1975531837648501</v>
      </c>
      <c r="G889" s="4">
        <v>1.9893566062300099E-5</v>
      </c>
    </row>
    <row r="890" spans="1:7" x14ac:dyDescent="0.2">
      <c r="A890" s="10" t="s">
        <v>5738</v>
      </c>
      <c r="B890" s="10" t="s">
        <v>5739</v>
      </c>
      <c r="C890" s="10" t="s">
        <v>18</v>
      </c>
      <c r="D890" s="10">
        <v>2.14009938801934</v>
      </c>
      <c r="E890" s="4">
        <v>5.9840130345393401E-32</v>
      </c>
      <c r="F890" s="10">
        <v>2.15811282617884</v>
      </c>
      <c r="G890" s="4">
        <v>1.4532806185678101E-19</v>
      </c>
    </row>
    <row r="891" spans="1:7" x14ac:dyDescent="0.2">
      <c r="A891" s="10" t="s">
        <v>6446</v>
      </c>
      <c r="B891" s="10" t="s">
        <v>6447</v>
      </c>
      <c r="C891" s="10" t="s">
        <v>18</v>
      </c>
      <c r="D891" s="10">
        <v>-1.72974506408319</v>
      </c>
      <c r="E891" s="4">
        <v>8.1439803399574301E-10</v>
      </c>
      <c r="F891" s="10">
        <v>-1.3121022017092401</v>
      </c>
      <c r="G891" s="10">
        <v>2.29716136474526E-4</v>
      </c>
    </row>
    <row r="892" spans="1:7" x14ac:dyDescent="0.2">
      <c r="A892" s="10" t="s">
        <v>3401</v>
      </c>
      <c r="B892" s="10" t="s">
        <v>3402</v>
      </c>
      <c r="C892" s="10" t="s">
        <v>18</v>
      </c>
      <c r="D892" s="10">
        <v>2.4695927506126401</v>
      </c>
      <c r="E892" s="4">
        <v>1.46315169759501E-9</v>
      </c>
      <c r="F892" s="10">
        <v>2.0336936864503001</v>
      </c>
      <c r="G892" s="4">
        <v>2.3628273686265199E-7</v>
      </c>
    </row>
    <row r="893" spans="1:7" x14ac:dyDescent="0.2">
      <c r="A893" s="10" t="s">
        <v>8750</v>
      </c>
      <c r="B893" s="10" t="s">
        <v>8751</v>
      </c>
      <c r="C893" s="10" t="s">
        <v>18</v>
      </c>
      <c r="D893" s="10">
        <v>-3.36743592702281</v>
      </c>
      <c r="E893" s="4">
        <v>1.2611935978488901E-10</v>
      </c>
      <c r="F893" s="10">
        <v>-4.0010534636199901</v>
      </c>
      <c r="G893" s="4">
        <v>7.3276144629797796E-16</v>
      </c>
    </row>
    <row r="894" spans="1:7" x14ac:dyDescent="0.2">
      <c r="A894" s="10" t="s">
        <v>7988</v>
      </c>
      <c r="B894" s="10" t="s">
        <v>7989</v>
      </c>
      <c r="C894" s="10" t="s">
        <v>18</v>
      </c>
      <c r="D894" s="10">
        <v>2.1251420052149101</v>
      </c>
      <c r="E894" s="4">
        <v>1.06995691225066E-19</v>
      </c>
      <c r="F894" s="10">
        <v>2.4973099352691199</v>
      </c>
      <c r="G894" s="4">
        <v>3.9451721018009902E-17</v>
      </c>
    </row>
    <row r="895" spans="1:7" x14ac:dyDescent="0.2">
      <c r="A895" s="10" t="s">
        <v>2527</v>
      </c>
      <c r="B895" s="10" t="s">
        <v>2528</v>
      </c>
      <c r="C895" s="10" t="s">
        <v>18</v>
      </c>
      <c r="D895" s="10">
        <v>-1.4750844024810901</v>
      </c>
      <c r="E895" s="4">
        <v>1.6936486300067001E-12</v>
      </c>
      <c r="F895" s="10">
        <v>-2.3317557728958902</v>
      </c>
      <c r="G895" s="4">
        <v>1.69431981895747E-16</v>
      </c>
    </row>
    <row r="896" spans="1:7" x14ac:dyDescent="0.2">
      <c r="A896" s="10" t="s">
        <v>7274</v>
      </c>
      <c r="B896" s="10" t="s">
        <v>7275</v>
      </c>
      <c r="C896" s="10" t="s">
        <v>18</v>
      </c>
      <c r="D896" s="10">
        <v>2.9383459126782201</v>
      </c>
      <c r="E896" s="4">
        <v>1.10874054954471E-19</v>
      </c>
      <c r="F896" s="10">
        <v>1.97279361702642</v>
      </c>
      <c r="G896" s="4">
        <v>1.5492973861813698E-8</v>
      </c>
    </row>
    <row r="897" spans="1:7" x14ac:dyDescent="0.2">
      <c r="A897" s="10" t="s">
        <v>7306</v>
      </c>
      <c r="B897" s="10" t="s">
        <v>7307</v>
      </c>
      <c r="C897" s="10" t="s">
        <v>18</v>
      </c>
      <c r="D897" s="10">
        <v>6.3472735259733604</v>
      </c>
      <c r="E897" s="4">
        <v>1.04666116455415E-128</v>
      </c>
      <c r="F897" s="10">
        <v>4.9963632785046599</v>
      </c>
      <c r="G897" s="4">
        <v>4.3863767106918802E-60</v>
      </c>
    </row>
    <row r="898" spans="1:7" x14ac:dyDescent="0.2">
      <c r="A898" s="10" t="s">
        <v>6772</v>
      </c>
      <c r="B898" s="10" t="s">
        <v>6773</v>
      </c>
      <c r="C898" s="10" t="s">
        <v>18</v>
      </c>
      <c r="D898" s="10">
        <v>6.0296242875319299</v>
      </c>
      <c r="E898" s="4">
        <v>5.3498674733008999E-29</v>
      </c>
      <c r="F898" s="10">
        <v>3.2112870891266798</v>
      </c>
      <c r="G898" s="4">
        <v>2.8658762084254101E-17</v>
      </c>
    </row>
    <row r="899" spans="1:7" x14ac:dyDescent="0.2">
      <c r="A899" s="10" t="s">
        <v>6774</v>
      </c>
      <c r="B899" s="10" t="s">
        <v>6775</v>
      </c>
      <c r="C899" s="10" t="s">
        <v>18</v>
      </c>
      <c r="D899" s="10">
        <v>4.5615494330847097</v>
      </c>
      <c r="E899" s="4">
        <v>8.2885524266306105E-11</v>
      </c>
      <c r="F899" s="10">
        <v>2.9034650924134899</v>
      </c>
      <c r="G899" s="4">
        <v>3.5508007746990602E-8</v>
      </c>
    </row>
    <row r="900" spans="1:7" x14ac:dyDescent="0.2">
      <c r="A900" s="10" t="s">
        <v>4462</v>
      </c>
      <c r="B900" s="10" t="s">
        <v>4463</v>
      </c>
      <c r="C900" s="10" t="s">
        <v>18</v>
      </c>
      <c r="D900" s="10">
        <v>1.2695351783054101</v>
      </c>
      <c r="E900" s="4">
        <v>6.3611310007659496E-12</v>
      </c>
      <c r="F900" s="10">
        <v>1.52108945538594</v>
      </c>
      <c r="G900" s="4">
        <v>2.2112709420053999E-8</v>
      </c>
    </row>
    <row r="901" spans="1:7" x14ac:dyDescent="0.2">
      <c r="A901" s="10" t="s">
        <v>687</v>
      </c>
      <c r="B901" s="10" t="s">
        <v>688</v>
      </c>
      <c r="C901" s="10" t="s">
        <v>18</v>
      </c>
      <c r="D901" s="10">
        <v>6.6535304851587798</v>
      </c>
      <c r="E901" s="10">
        <v>1.9213631437786801E-4</v>
      </c>
      <c r="F901" s="10">
        <v>4.4632696628485</v>
      </c>
      <c r="G901" s="10">
        <v>1.3157265930708901E-3</v>
      </c>
    </row>
    <row r="902" spans="1:7" x14ac:dyDescent="0.2">
      <c r="A902" s="10" t="s">
        <v>881</v>
      </c>
      <c r="B902" s="10" t="s">
        <v>882</v>
      </c>
      <c r="C902" s="10" t="s">
        <v>18</v>
      </c>
      <c r="D902" s="10">
        <v>7.7179034215605098</v>
      </c>
      <c r="E902" s="4">
        <v>1.7419675527586301E-6</v>
      </c>
      <c r="F902" s="10">
        <v>2.2992674002864302</v>
      </c>
      <c r="G902" s="10">
        <v>1.35838019436643E-3</v>
      </c>
    </row>
    <row r="903" spans="1:7" x14ac:dyDescent="0.2">
      <c r="A903" s="10" t="s">
        <v>8136</v>
      </c>
      <c r="B903" s="10" t="s">
        <v>8137</v>
      </c>
      <c r="C903" s="10" t="s">
        <v>18</v>
      </c>
      <c r="D903" s="10">
        <v>1.01200492767036</v>
      </c>
      <c r="E903" s="4">
        <v>4.1510321535186804E-6</v>
      </c>
      <c r="F903" s="10">
        <v>1.8535328380734599</v>
      </c>
      <c r="G903" s="4">
        <v>6.7543286276893203E-9</v>
      </c>
    </row>
    <row r="904" spans="1:7" x14ac:dyDescent="0.2">
      <c r="A904" s="10" t="s">
        <v>1171</v>
      </c>
      <c r="B904" s="10" t="s">
        <v>1172</v>
      </c>
      <c r="C904" s="10" t="s">
        <v>18</v>
      </c>
      <c r="D904" s="10">
        <v>-2.3305728133013202</v>
      </c>
      <c r="E904" s="4">
        <v>8.9155462612227206E-19</v>
      </c>
      <c r="F904" s="10">
        <v>-2.4808481873973398</v>
      </c>
      <c r="G904" s="4">
        <v>1.55227631041927E-15</v>
      </c>
    </row>
    <row r="905" spans="1:7" x14ac:dyDescent="0.2">
      <c r="A905" s="10" t="s">
        <v>5170</v>
      </c>
      <c r="B905" s="10" t="s">
        <v>5171</v>
      </c>
      <c r="C905" s="10" t="s">
        <v>18</v>
      </c>
      <c r="D905" s="10">
        <v>7.8144138775131298</v>
      </c>
      <c r="E905" s="4">
        <v>9.56016794791867E-19</v>
      </c>
      <c r="F905" s="10">
        <v>11.0892196670701</v>
      </c>
      <c r="G905" s="4">
        <v>6.9315323656123703E-14</v>
      </c>
    </row>
    <row r="906" spans="1:7" x14ac:dyDescent="0.2">
      <c r="A906" s="10" t="s">
        <v>2375</v>
      </c>
      <c r="B906" s="10" t="s">
        <v>2376</v>
      </c>
      <c r="C906" s="10" t="s">
        <v>18</v>
      </c>
      <c r="D906" s="10">
        <v>-2.21338651042065</v>
      </c>
      <c r="E906" s="4">
        <v>3.1563381859730202E-29</v>
      </c>
      <c r="F906" s="10">
        <v>-1.72898263834253</v>
      </c>
      <c r="G906" s="4">
        <v>7.5019830723844598E-12</v>
      </c>
    </row>
    <row r="907" spans="1:7" x14ac:dyDescent="0.2">
      <c r="A907" s="10" t="s">
        <v>6230</v>
      </c>
      <c r="B907" s="10" t="s">
        <v>6231</v>
      </c>
      <c r="C907" s="10" t="s">
        <v>18</v>
      </c>
      <c r="D907" s="10">
        <v>4.5996372699746404</v>
      </c>
      <c r="E907" s="4">
        <v>1.50768319063941E-17</v>
      </c>
      <c r="F907" s="10">
        <v>4.6507175586404701</v>
      </c>
      <c r="G907" s="4">
        <v>1.4085630964310201E-18</v>
      </c>
    </row>
    <row r="908" spans="1:7" x14ac:dyDescent="0.2">
      <c r="A908" s="10" t="s">
        <v>5342</v>
      </c>
      <c r="B908" s="10" t="s">
        <v>5343</v>
      </c>
      <c r="C908" s="10" t="s">
        <v>18</v>
      </c>
      <c r="D908" s="10">
        <v>-1.2748688329242499</v>
      </c>
      <c r="E908" s="4">
        <v>3.7119044076195599E-7</v>
      </c>
      <c r="F908" s="10">
        <v>-1.3666845156796099</v>
      </c>
      <c r="G908" s="4">
        <v>3.2841187651462498E-6</v>
      </c>
    </row>
    <row r="909" spans="1:7" x14ac:dyDescent="0.2">
      <c r="A909" s="10" t="s">
        <v>4512</v>
      </c>
      <c r="B909" s="10" t="s">
        <v>4513</v>
      </c>
      <c r="C909" s="10" t="s">
        <v>18</v>
      </c>
      <c r="D909" s="10">
        <v>5.3736785985581399</v>
      </c>
      <c r="E909" s="4">
        <v>2.0992053617189702E-27</v>
      </c>
      <c r="F909" s="10">
        <v>2.9409632147024598</v>
      </c>
      <c r="G909" s="4">
        <v>5.5974518485345198E-16</v>
      </c>
    </row>
    <row r="910" spans="1:7" x14ac:dyDescent="0.2">
      <c r="A910" s="10" t="s">
        <v>6008</v>
      </c>
      <c r="B910" s="10" t="s">
        <v>6009</v>
      </c>
      <c r="C910" s="10" t="s">
        <v>18</v>
      </c>
      <c r="D910" s="10">
        <v>3.9572995599924101</v>
      </c>
      <c r="E910" s="4">
        <v>3.8265954106216998E-42</v>
      </c>
      <c r="F910" s="10">
        <v>4.0665407972697096</v>
      </c>
      <c r="G910" s="4">
        <v>2.1257943214521401E-36</v>
      </c>
    </row>
    <row r="911" spans="1:7" x14ac:dyDescent="0.2">
      <c r="A911" s="10" t="s">
        <v>7836</v>
      </c>
      <c r="B911" s="10" t="s">
        <v>7837</v>
      </c>
      <c r="C911" s="10" t="s">
        <v>18</v>
      </c>
      <c r="D911" s="10">
        <v>7.04829327329952</v>
      </c>
      <c r="E911" s="4">
        <v>2.5102825185451299E-54</v>
      </c>
      <c r="F911" s="10">
        <v>6.4080673421288399</v>
      </c>
      <c r="G911" s="4">
        <v>1.1012256186966799E-56</v>
      </c>
    </row>
    <row r="912" spans="1:7" x14ac:dyDescent="0.2">
      <c r="A912" s="10" t="s">
        <v>1669</v>
      </c>
      <c r="B912" s="10" t="s">
        <v>1670</v>
      </c>
      <c r="C912" s="10" t="s">
        <v>18</v>
      </c>
      <c r="D912" s="10">
        <v>2.4721759959960199</v>
      </c>
      <c r="E912" s="4">
        <v>3.0929301935048201E-21</v>
      </c>
      <c r="F912" s="10">
        <v>1.59658563929603</v>
      </c>
      <c r="G912" s="4">
        <v>2.4480563357362402E-7</v>
      </c>
    </row>
    <row r="913" spans="1:7" x14ac:dyDescent="0.2">
      <c r="A913" s="10" t="s">
        <v>6830</v>
      </c>
      <c r="B913" s="10" t="s">
        <v>6831</v>
      </c>
      <c r="C913" s="10" t="s">
        <v>18</v>
      </c>
      <c r="D913" s="10">
        <v>-1.4295702265009</v>
      </c>
      <c r="E913" s="4">
        <v>4.8497694730719197E-10</v>
      </c>
      <c r="F913" s="10">
        <v>-1.5870192968895001</v>
      </c>
      <c r="G913" s="4">
        <v>4.5209460132307899E-7</v>
      </c>
    </row>
    <row r="914" spans="1:7" x14ac:dyDescent="0.2">
      <c r="A914" s="10" t="s">
        <v>509</v>
      </c>
      <c r="B914" s="10" t="s">
        <v>510</v>
      </c>
      <c r="C914" s="10" t="s">
        <v>18</v>
      </c>
      <c r="D914" s="10">
        <v>1.4530756336683499</v>
      </c>
      <c r="E914" s="4">
        <v>1.50285712203506E-14</v>
      </c>
      <c r="F914" s="10">
        <v>1.42683278986189</v>
      </c>
      <c r="G914" s="4">
        <v>3.4147997351276401E-7</v>
      </c>
    </row>
    <row r="915" spans="1:7" x14ac:dyDescent="0.2">
      <c r="A915" s="10" t="s">
        <v>1519</v>
      </c>
      <c r="B915" s="10" t="s">
        <v>1520</v>
      </c>
      <c r="C915" s="10" t="s">
        <v>18</v>
      </c>
      <c r="D915" s="10">
        <v>7.7291175843928102</v>
      </c>
      <c r="E915" s="4">
        <v>1.64602883462317E-6</v>
      </c>
      <c r="F915" s="10">
        <v>2.52456765286699</v>
      </c>
      <c r="G915" s="10">
        <v>5.0548296899125802E-4</v>
      </c>
    </row>
    <row r="916" spans="1:7" x14ac:dyDescent="0.2">
      <c r="A916" s="10" t="s">
        <v>8540</v>
      </c>
      <c r="B916" s="10" t="s">
        <v>8541</v>
      </c>
      <c r="C916" s="10" t="s">
        <v>18</v>
      </c>
      <c r="D916" s="10">
        <v>4.6357932620845297</v>
      </c>
      <c r="E916" s="10">
        <v>5.2905190204215701E-4</v>
      </c>
      <c r="F916" s="10">
        <v>2.4444469186486399</v>
      </c>
      <c r="G916" s="10">
        <v>6.19474010209577E-3</v>
      </c>
    </row>
    <row r="917" spans="1:7" x14ac:dyDescent="0.2">
      <c r="A917" s="10" t="s">
        <v>7682</v>
      </c>
      <c r="B917" s="10" t="s">
        <v>7683</v>
      </c>
      <c r="C917" s="10" t="s">
        <v>18</v>
      </c>
      <c r="D917" s="10">
        <v>6.7274397258466001</v>
      </c>
      <c r="E917" s="4">
        <v>1.68542919690144E-5</v>
      </c>
      <c r="F917" s="10">
        <v>4.6596967279216299</v>
      </c>
      <c r="G917" s="4">
        <v>9.6809553580853596E-8</v>
      </c>
    </row>
    <row r="918" spans="1:7" x14ac:dyDescent="0.2">
      <c r="A918" s="10" t="s">
        <v>5504</v>
      </c>
      <c r="B918" s="10" t="s">
        <v>5505</v>
      </c>
      <c r="C918" s="10" t="s">
        <v>18</v>
      </c>
      <c r="D918" s="10">
        <v>2.7608619687545999</v>
      </c>
      <c r="E918" s="4">
        <v>1.8312546690231401E-5</v>
      </c>
      <c r="F918" s="10">
        <v>2.0727165970311101</v>
      </c>
      <c r="G918" s="10">
        <v>4.0250317265703398E-4</v>
      </c>
    </row>
    <row r="919" spans="1:7" x14ac:dyDescent="0.2">
      <c r="A919" s="10" t="s">
        <v>7242</v>
      </c>
      <c r="B919" s="10" t="s">
        <v>7243</v>
      </c>
      <c r="C919" s="10" t="s">
        <v>18</v>
      </c>
      <c r="D919" s="10">
        <v>4.8521501959666198</v>
      </c>
      <c r="E919" s="4">
        <v>2.68253288072541E-18</v>
      </c>
      <c r="F919" s="10">
        <v>3.1470688118466201</v>
      </c>
      <c r="G919" s="4">
        <v>4.3844814802769002E-13</v>
      </c>
    </row>
    <row r="920" spans="1:7" x14ac:dyDescent="0.2">
      <c r="A920" s="10" t="s">
        <v>7116</v>
      </c>
      <c r="B920" s="10" t="s">
        <v>7117</v>
      </c>
      <c r="C920" s="10" t="s">
        <v>18</v>
      </c>
      <c r="D920" s="10">
        <v>6.4095409579650902</v>
      </c>
      <c r="E920" s="10">
        <v>4.6003871540105699E-4</v>
      </c>
      <c r="F920" s="10">
        <v>5.2251495962445702</v>
      </c>
      <c r="G920" s="10">
        <v>2.87870346188916E-3</v>
      </c>
    </row>
    <row r="921" spans="1:7" x14ac:dyDescent="0.2">
      <c r="A921" s="10" t="s">
        <v>8792</v>
      </c>
      <c r="B921" s="10" t="s">
        <v>8793</v>
      </c>
      <c r="C921" s="10" t="s">
        <v>18</v>
      </c>
      <c r="D921" s="10">
        <v>3.9841811041678601</v>
      </c>
      <c r="E921" s="10">
        <v>6.3380623302796502E-3</v>
      </c>
      <c r="F921" s="10">
        <v>5.2404500024592098</v>
      </c>
      <c r="G921" s="10">
        <v>2.8113630151761098E-3</v>
      </c>
    </row>
    <row r="922" spans="1:7" x14ac:dyDescent="0.2">
      <c r="A922" s="10" t="s">
        <v>6150</v>
      </c>
      <c r="B922" s="10" t="s">
        <v>6151</v>
      </c>
      <c r="C922" s="10" t="s">
        <v>18</v>
      </c>
      <c r="D922" s="10">
        <v>5.6807163963260701</v>
      </c>
      <c r="E922" s="4">
        <v>1.9257863487046601E-6</v>
      </c>
      <c r="F922" s="10">
        <v>1.76467554586088</v>
      </c>
      <c r="G922" s="10">
        <v>5.1290237261301603E-3</v>
      </c>
    </row>
    <row r="923" spans="1:7" x14ac:dyDescent="0.2">
      <c r="A923" s="10" t="s">
        <v>7978</v>
      </c>
      <c r="B923" s="10" t="s">
        <v>7979</v>
      </c>
      <c r="C923" s="10" t="s">
        <v>18</v>
      </c>
      <c r="D923" s="10">
        <v>3.0282514166949901</v>
      </c>
      <c r="E923" s="10">
        <v>1.39027517502987E-2</v>
      </c>
      <c r="F923" s="10">
        <v>3.2732903443851402</v>
      </c>
      <c r="G923" s="10">
        <v>6.4464264612732998E-3</v>
      </c>
    </row>
    <row r="924" spans="1:7" x14ac:dyDescent="0.2">
      <c r="A924" s="10" t="s">
        <v>8162</v>
      </c>
      <c r="B924" s="10" t="s">
        <v>8163</v>
      </c>
      <c r="C924" s="10" t="s">
        <v>18</v>
      </c>
      <c r="D924" s="10">
        <v>3.1135681002121198</v>
      </c>
      <c r="E924" s="4">
        <v>7.4186743748557395E-5</v>
      </c>
      <c r="F924" s="10">
        <v>4.1264420916719002</v>
      </c>
      <c r="G924" s="4">
        <v>3.4916948521701201E-6</v>
      </c>
    </row>
    <row r="925" spans="1:7" x14ac:dyDescent="0.2">
      <c r="A925" s="10" t="s">
        <v>4834</v>
      </c>
      <c r="B925" s="10" t="s">
        <v>4835</v>
      </c>
      <c r="C925" s="10" t="s">
        <v>18</v>
      </c>
      <c r="D925" s="10">
        <v>2.6723050696661601</v>
      </c>
      <c r="E925" s="10">
        <v>1.6951522324773699E-4</v>
      </c>
      <c r="F925" s="10">
        <v>2.9436968993367798</v>
      </c>
      <c r="G925" s="4">
        <v>2.7417046978215201E-5</v>
      </c>
    </row>
    <row r="926" spans="1:7" x14ac:dyDescent="0.2">
      <c r="A926" s="10" t="s">
        <v>3669</v>
      </c>
      <c r="B926" s="10" t="s">
        <v>3670</v>
      </c>
      <c r="C926" s="10" t="s">
        <v>18</v>
      </c>
      <c r="D926" s="10">
        <v>2.5090423817892198</v>
      </c>
      <c r="E926" s="4">
        <v>4.4984584241916503E-17</v>
      </c>
      <c r="F926" s="10">
        <v>1.8589550950348801</v>
      </c>
      <c r="G926" s="4">
        <v>1.2699626621301999E-7</v>
      </c>
    </row>
    <row r="927" spans="1:7" x14ac:dyDescent="0.2">
      <c r="A927" s="10" t="s">
        <v>7592</v>
      </c>
      <c r="B927" s="10" t="s">
        <v>7593</v>
      </c>
      <c r="C927" s="10" t="s">
        <v>18</v>
      </c>
      <c r="D927" s="10">
        <v>1.41795642416392</v>
      </c>
      <c r="E927" s="4">
        <v>8.0054465988334601E-10</v>
      </c>
      <c r="F927" s="10">
        <v>1.29717089037372</v>
      </c>
      <c r="G927" s="4">
        <v>8.1313445605020502E-6</v>
      </c>
    </row>
    <row r="928" spans="1:7" x14ac:dyDescent="0.2">
      <c r="A928" s="10" t="s">
        <v>7038</v>
      </c>
      <c r="B928" s="10" t="s">
        <v>7039</v>
      </c>
      <c r="C928" s="10" t="s">
        <v>18</v>
      </c>
      <c r="D928" s="10">
        <v>1.6634426754257601</v>
      </c>
      <c r="E928" s="4">
        <v>8.3810452770091802E-9</v>
      </c>
      <c r="F928" s="10">
        <v>1.19690582311537</v>
      </c>
      <c r="G928" s="10">
        <v>1.6167506884248801E-4</v>
      </c>
    </row>
    <row r="929" spans="1:7" x14ac:dyDescent="0.2">
      <c r="A929" s="10" t="s">
        <v>5132</v>
      </c>
      <c r="B929" s="10" t="s">
        <v>5133</v>
      </c>
      <c r="C929" s="10" t="s">
        <v>18</v>
      </c>
      <c r="D929" s="10">
        <v>-1.31296466382571</v>
      </c>
      <c r="E929" s="4">
        <v>9.1915420531707199E-7</v>
      </c>
      <c r="F929" s="10">
        <v>-1.69222757084036</v>
      </c>
      <c r="G929" s="4">
        <v>4.45894704450273E-8</v>
      </c>
    </row>
    <row r="930" spans="1:7" x14ac:dyDescent="0.2">
      <c r="A930" s="10" t="s">
        <v>8036</v>
      </c>
      <c r="B930" s="10" t="s">
        <v>8037</v>
      </c>
      <c r="C930" s="10" t="s">
        <v>18</v>
      </c>
      <c r="D930" s="10">
        <v>-2.5321873575332101</v>
      </c>
      <c r="E930" s="4">
        <v>8.2962618345167795E-31</v>
      </c>
      <c r="F930" s="10">
        <v>-1.40471650773459</v>
      </c>
      <c r="G930" s="4">
        <v>9.3396297789322696E-6</v>
      </c>
    </row>
    <row r="931" spans="1:7" x14ac:dyDescent="0.2">
      <c r="A931" s="10" t="s">
        <v>3055</v>
      </c>
      <c r="B931" s="10" t="s">
        <v>3056</v>
      </c>
      <c r="C931" s="10" t="s">
        <v>18</v>
      </c>
      <c r="D931" s="10">
        <v>-1.2539364903822099</v>
      </c>
      <c r="E931" s="4">
        <v>1.69524734139459E-12</v>
      </c>
      <c r="F931" s="10">
        <v>-1.1365531253021799</v>
      </c>
      <c r="G931" s="4">
        <v>2.0616546067164098E-6</v>
      </c>
    </row>
    <row r="932" spans="1:7" x14ac:dyDescent="0.2">
      <c r="A932" s="10" t="s">
        <v>855</v>
      </c>
      <c r="B932" s="10" t="s">
        <v>856</v>
      </c>
      <c r="C932" s="10" t="s">
        <v>18</v>
      </c>
      <c r="D932" s="10">
        <v>-1.62262204377676</v>
      </c>
      <c r="E932" s="4">
        <v>3.3203749361503402E-17</v>
      </c>
      <c r="F932" s="10">
        <v>-1.19642732893032</v>
      </c>
      <c r="G932" s="4">
        <v>4.6440768338844204E-6</v>
      </c>
    </row>
    <row r="933" spans="1:7" x14ac:dyDescent="0.2">
      <c r="A933" s="10" t="s">
        <v>1809</v>
      </c>
      <c r="B933" s="10" t="s">
        <v>1810</v>
      </c>
      <c r="C933" s="10" t="s">
        <v>18</v>
      </c>
      <c r="D933" s="10">
        <v>-1.49796605623098</v>
      </c>
      <c r="E933" s="4">
        <v>4.2943428645378901E-8</v>
      </c>
      <c r="F933" s="10">
        <v>-1.7432063205830799</v>
      </c>
      <c r="G933" s="4">
        <v>7.6576716654623104E-9</v>
      </c>
    </row>
    <row r="934" spans="1:7" x14ac:dyDescent="0.2">
      <c r="A934" s="10" t="s">
        <v>5936</v>
      </c>
      <c r="B934" s="10" t="s">
        <v>5937</v>
      </c>
      <c r="C934" s="10" t="s">
        <v>18</v>
      </c>
      <c r="D934" s="10">
        <v>-1.0726930303649</v>
      </c>
      <c r="E934" s="4">
        <v>5.5351300450200999E-7</v>
      </c>
      <c r="F934" s="10">
        <v>-1.0101271723482099</v>
      </c>
      <c r="G934" s="10">
        <v>2.9044472271434301E-4</v>
      </c>
    </row>
    <row r="935" spans="1:7" x14ac:dyDescent="0.2">
      <c r="A935" s="10" t="s">
        <v>5204</v>
      </c>
      <c r="B935" s="10" t="s">
        <v>5205</v>
      </c>
      <c r="C935" s="10" t="s">
        <v>18</v>
      </c>
      <c r="D935" s="10">
        <v>-1.90165047176388</v>
      </c>
      <c r="E935" s="4">
        <v>1.0421163368934499E-24</v>
      </c>
      <c r="F935" s="10">
        <v>-1.89434496980347</v>
      </c>
      <c r="G935" s="4">
        <v>1.9302632677556599E-13</v>
      </c>
    </row>
    <row r="936" spans="1:7" x14ac:dyDescent="0.2">
      <c r="A936" s="10" t="s">
        <v>3387</v>
      </c>
      <c r="B936" s="10" t="s">
        <v>3388</v>
      </c>
      <c r="C936" s="10" t="s">
        <v>18</v>
      </c>
      <c r="D936" s="10">
        <v>-1.00410478432018</v>
      </c>
      <c r="E936" s="4">
        <v>7.6315905871980204E-9</v>
      </c>
      <c r="F936" s="10">
        <v>-1.2087364181087299</v>
      </c>
      <c r="G936" s="4">
        <v>1.64199938233586E-6</v>
      </c>
    </row>
    <row r="937" spans="1:7" x14ac:dyDescent="0.2">
      <c r="A937" s="10" t="s">
        <v>3715</v>
      </c>
      <c r="B937" s="10" t="s">
        <v>3716</v>
      </c>
      <c r="C937" s="10" t="s">
        <v>18</v>
      </c>
      <c r="D937" s="10">
        <v>3.69379108785837</v>
      </c>
      <c r="E937" s="4">
        <v>9.11913772434834E-10</v>
      </c>
      <c r="F937" s="10">
        <v>3.8604724269649102</v>
      </c>
      <c r="G937" s="4">
        <v>1.7297414747812E-10</v>
      </c>
    </row>
    <row r="938" spans="1:7" x14ac:dyDescent="0.2">
      <c r="A938" s="10" t="s">
        <v>6938</v>
      </c>
      <c r="B938" s="10" t="s">
        <v>6939</v>
      </c>
      <c r="C938" s="10" t="s">
        <v>18</v>
      </c>
      <c r="D938" s="10">
        <v>2.8283700061101702</v>
      </c>
      <c r="E938" s="4">
        <v>6.4675841920776301E-19</v>
      </c>
      <c r="F938" s="10">
        <v>2.0712551973304598</v>
      </c>
      <c r="G938" s="4">
        <v>7.9098107568622596E-10</v>
      </c>
    </row>
    <row r="939" spans="1:7" x14ac:dyDescent="0.2">
      <c r="A939" s="10" t="s">
        <v>3713</v>
      </c>
      <c r="B939" s="10" t="s">
        <v>3714</v>
      </c>
      <c r="C939" s="10" t="s">
        <v>18</v>
      </c>
      <c r="D939" s="10">
        <v>-1.8046583913654499</v>
      </c>
      <c r="E939" s="4">
        <v>3.2423722323760202E-20</v>
      </c>
      <c r="F939" s="10">
        <v>-1.0111345288737399</v>
      </c>
      <c r="G939" s="4">
        <v>9.3750761604737001E-5</v>
      </c>
    </row>
    <row r="940" spans="1:7" x14ac:dyDescent="0.2">
      <c r="A940" s="10" t="s">
        <v>3535</v>
      </c>
      <c r="B940" s="10" t="s">
        <v>3536</v>
      </c>
      <c r="C940" s="10" t="s">
        <v>18</v>
      </c>
      <c r="D940" s="10">
        <v>1.0367228216501201</v>
      </c>
      <c r="E940" s="4">
        <v>2.95844035435014E-5</v>
      </c>
      <c r="F940" s="10">
        <v>2.1482222449039101</v>
      </c>
      <c r="G940" s="4">
        <v>5.4203641801154797E-12</v>
      </c>
    </row>
    <row r="941" spans="1:7" x14ac:dyDescent="0.2">
      <c r="A941" s="10" t="s">
        <v>4264</v>
      </c>
      <c r="B941" s="10" t="s">
        <v>4265</v>
      </c>
      <c r="C941" s="10" t="s">
        <v>18</v>
      </c>
      <c r="D941" s="10">
        <v>-2.1182247049175902</v>
      </c>
      <c r="E941" s="4">
        <v>7.4249756588313098E-10</v>
      </c>
      <c r="F941" s="10">
        <v>-1.75829266522332</v>
      </c>
      <c r="G941" s="4">
        <v>2.56604258619487E-5</v>
      </c>
    </row>
    <row r="942" spans="1:7" x14ac:dyDescent="0.2">
      <c r="A942" s="10" t="s">
        <v>175</v>
      </c>
      <c r="B942" s="10" t="s">
        <v>176</v>
      </c>
      <c r="C942" s="10" t="s">
        <v>18</v>
      </c>
      <c r="D942" s="10">
        <v>2.4953776644935202</v>
      </c>
      <c r="E942" s="4">
        <v>4.8664866102914696E-12</v>
      </c>
      <c r="F942" s="10">
        <v>2.0882277860387002</v>
      </c>
      <c r="G942" s="4">
        <v>1.32791934592933E-8</v>
      </c>
    </row>
    <row r="943" spans="1:7" x14ac:dyDescent="0.2">
      <c r="A943" s="10" t="s">
        <v>7280</v>
      </c>
      <c r="B943" s="10" t="s">
        <v>7281</v>
      </c>
      <c r="C943" s="10" t="s">
        <v>18</v>
      </c>
      <c r="D943" s="10">
        <v>-1.29315536465031</v>
      </c>
      <c r="E943" s="4">
        <v>4.4377410705244098E-8</v>
      </c>
      <c r="F943" s="10">
        <v>-1.0155993555906699</v>
      </c>
      <c r="G943" s="10">
        <v>1.0988514211273299E-3</v>
      </c>
    </row>
    <row r="944" spans="1:7" x14ac:dyDescent="0.2">
      <c r="A944" s="10" t="s">
        <v>941</v>
      </c>
      <c r="B944" s="10" t="s">
        <v>942</v>
      </c>
      <c r="C944" s="10" t="s">
        <v>18</v>
      </c>
      <c r="D944" s="10">
        <v>3.16752063404518</v>
      </c>
      <c r="E944" s="4">
        <v>5.0571306702751398E-15</v>
      </c>
      <c r="F944" s="10">
        <v>2.1133967966884999</v>
      </c>
      <c r="G944" s="4">
        <v>1.4840957432887799E-7</v>
      </c>
    </row>
    <row r="945" spans="1:7" x14ac:dyDescent="0.2">
      <c r="A945" s="10" t="s">
        <v>8442</v>
      </c>
      <c r="B945" s="10" t="s">
        <v>8443</v>
      </c>
      <c r="C945" s="10" t="s">
        <v>18</v>
      </c>
      <c r="D945" s="10">
        <v>2.1962226555803999</v>
      </c>
      <c r="E945" s="4">
        <v>8.7238897373580995E-36</v>
      </c>
      <c r="F945" s="10">
        <v>1.9241667535728399</v>
      </c>
      <c r="G945" s="4">
        <v>3.1826659688877902E-15</v>
      </c>
    </row>
    <row r="946" spans="1:7" x14ac:dyDescent="0.2">
      <c r="A946" s="10" t="s">
        <v>5604</v>
      </c>
      <c r="B946" s="10" t="s">
        <v>5605</v>
      </c>
      <c r="C946" s="10" t="s">
        <v>18</v>
      </c>
      <c r="D946" s="10">
        <v>-1.6476876938915399</v>
      </c>
      <c r="E946" s="4">
        <v>2.1263340705875001E-11</v>
      </c>
      <c r="F946" s="10">
        <v>-1.4395492111821999</v>
      </c>
      <c r="G946" s="4">
        <v>7.7585804741472504E-7</v>
      </c>
    </row>
    <row r="947" spans="1:7" x14ac:dyDescent="0.2">
      <c r="A947" s="10" t="s">
        <v>5680</v>
      </c>
      <c r="B947" s="10" t="s">
        <v>5681</v>
      </c>
      <c r="C947" s="10" t="s">
        <v>18</v>
      </c>
      <c r="D947" s="10">
        <v>1.4931365045437599</v>
      </c>
      <c r="E947" s="4">
        <v>1.3012513156354E-14</v>
      </c>
      <c r="F947" s="10">
        <v>1.59138389088942</v>
      </c>
      <c r="G947" s="4">
        <v>3.4472774455509299E-10</v>
      </c>
    </row>
    <row r="948" spans="1:7" x14ac:dyDescent="0.2">
      <c r="A948" s="10" t="s">
        <v>2193</v>
      </c>
      <c r="B948" s="10" t="s">
        <v>2194</v>
      </c>
      <c r="C948" s="10" t="s">
        <v>18</v>
      </c>
      <c r="D948" s="10">
        <v>-3.3540990257018302</v>
      </c>
      <c r="E948" s="4">
        <v>1.2406620097854101E-53</v>
      </c>
      <c r="F948" s="10">
        <v>-1.26381515399279</v>
      </c>
      <c r="G948" s="4">
        <v>1.5991894479556101E-5</v>
      </c>
    </row>
    <row r="949" spans="1:7" x14ac:dyDescent="0.2">
      <c r="A949" s="10" t="s">
        <v>5910</v>
      </c>
      <c r="B949" s="10" t="s">
        <v>5911</v>
      </c>
      <c r="C949" s="10" t="s">
        <v>18</v>
      </c>
      <c r="D949" s="10">
        <v>-2.0026774781737999</v>
      </c>
      <c r="E949" s="4">
        <v>5.4000034619086797E-7</v>
      </c>
      <c r="F949" s="10">
        <v>-2.6220951859295698</v>
      </c>
      <c r="G949" s="4">
        <v>6.3975269518879798E-11</v>
      </c>
    </row>
    <row r="950" spans="1:7" x14ac:dyDescent="0.2">
      <c r="A950" s="10" t="s">
        <v>157</v>
      </c>
      <c r="B950" s="10" t="s">
        <v>158</v>
      </c>
      <c r="C950" s="10" t="s">
        <v>18</v>
      </c>
      <c r="D950" s="10">
        <v>4.6593654214031304</v>
      </c>
      <c r="E950" s="4">
        <v>2.89870529811292E-106</v>
      </c>
      <c r="F950" s="10">
        <v>6.5300271842083104</v>
      </c>
      <c r="G950" s="4">
        <v>4.7565731607850101E-83</v>
      </c>
    </row>
    <row r="951" spans="1:7" x14ac:dyDescent="0.2">
      <c r="A951" s="10" t="s">
        <v>801</v>
      </c>
      <c r="B951" s="10" t="s">
        <v>802</v>
      </c>
      <c r="C951" s="10" t="s">
        <v>18</v>
      </c>
      <c r="D951" s="10">
        <v>1.11760835565394</v>
      </c>
      <c r="E951" s="4">
        <v>3.24011098694873E-9</v>
      </c>
      <c r="F951" s="10">
        <v>1.3994000007927001</v>
      </c>
      <c r="G951" s="4">
        <v>2.8462989179963401E-8</v>
      </c>
    </row>
    <row r="952" spans="1:7" x14ac:dyDescent="0.2">
      <c r="A952" s="10" t="s">
        <v>1581</v>
      </c>
      <c r="B952" s="10" t="s">
        <v>1582</v>
      </c>
      <c r="C952" s="10" t="s">
        <v>18</v>
      </c>
      <c r="D952" s="10">
        <v>6.36837261964377</v>
      </c>
      <c r="E952" s="4">
        <v>8.4264136782001993E-36</v>
      </c>
      <c r="F952" s="10">
        <v>6.0923209792402204</v>
      </c>
      <c r="G952" s="4">
        <v>8.3676240929282094E-37</v>
      </c>
    </row>
    <row r="953" spans="1:7" x14ac:dyDescent="0.2">
      <c r="A953" s="10" t="s">
        <v>3411</v>
      </c>
      <c r="B953" s="10" t="s">
        <v>3412</v>
      </c>
      <c r="C953" s="10" t="s">
        <v>18</v>
      </c>
      <c r="D953" s="10">
        <v>1.1312184401513301</v>
      </c>
      <c r="E953" s="4">
        <v>2.8472826483166999E-8</v>
      </c>
      <c r="F953" s="10">
        <v>1.53227794714073</v>
      </c>
      <c r="G953" s="4">
        <v>2.2731191390051999E-9</v>
      </c>
    </row>
    <row r="954" spans="1:7" x14ac:dyDescent="0.2">
      <c r="A954" s="10" t="s">
        <v>4636</v>
      </c>
      <c r="B954" s="10" t="s">
        <v>4637</v>
      </c>
      <c r="C954" s="10" t="s">
        <v>18</v>
      </c>
      <c r="D954" s="10">
        <v>2.14874067046672</v>
      </c>
      <c r="E954" s="4">
        <v>1.1200780578466101E-6</v>
      </c>
      <c r="F954" s="10">
        <v>2.1685206241988202</v>
      </c>
      <c r="G954" s="4">
        <v>1.2526098671031201E-6</v>
      </c>
    </row>
    <row r="955" spans="1:7" x14ac:dyDescent="0.2">
      <c r="A955" s="10" t="s">
        <v>3725</v>
      </c>
      <c r="B955" s="10" t="s">
        <v>3726</v>
      </c>
      <c r="C955" s="10" t="s">
        <v>18</v>
      </c>
      <c r="D955" s="10">
        <v>1.6418787962105299</v>
      </c>
      <c r="E955" s="4">
        <v>3.1532921666983598E-13</v>
      </c>
      <c r="F955" s="10">
        <v>2.3268083728706399</v>
      </c>
      <c r="G955" s="4">
        <v>1.05505931577242E-13</v>
      </c>
    </row>
    <row r="956" spans="1:7" x14ac:dyDescent="0.2">
      <c r="A956" s="10" t="s">
        <v>6598</v>
      </c>
      <c r="B956" s="10" t="s">
        <v>6599</v>
      </c>
      <c r="C956" s="10" t="s">
        <v>18</v>
      </c>
      <c r="D956" s="10">
        <v>1.9062270053147199</v>
      </c>
      <c r="E956" s="4">
        <v>8.4549100213136201E-9</v>
      </c>
      <c r="F956" s="10">
        <v>1.49514909874924</v>
      </c>
      <c r="G956" s="4">
        <v>2.52163068221158E-5</v>
      </c>
    </row>
    <row r="957" spans="1:7" x14ac:dyDescent="0.2">
      <c r="A957" s="10" t="s">
        <v>7868</v>
      </c>
      <c r="B957" s="10" t="s">
        <v>7869</v>
      </c>
      <c r="C957" s="10" t="s">
        <v>18</v>
      </c>
      <c r="D957" s="10">
        <v>-1.07918364450089</v>
      </c>
      <c r="E957" s="4">
        <v>1.3980106993621901E-7</v>
      </c>
      <c r="F957" s="10">
        <v>-1.17521720173551</v>
      </c>
      <c r="G957" s="4">
        <v>7.3906697433384899E-6</v>
      </c>
    </row>
    <row r="958" spans="1:7" x14ac:dyDescent="0.2">
      <c r="A958" s="10" t="s">
        <v>7222</v>
      </c>
      <c r="B958" s="10" t="s">
        <v>7223</v>
      </c>
      <c r="C958" s="10" t="s">
        <v>18</v>
      </c>
      <c r="D958" s="10">
        <v>3.9726953093679498</v>
      </c>
      <c r="E958" s="4">
        <v>3.3703824314099901E-27</v>
      </c>
      <c r="F958" s="10">
        <v>3.65842690799087</v>
      </c>
      <c r="G958" s="4">
        <v>1.59199417598967E-16</v>
      </c>
    </row>
    <row r="959" spans="1:7" x14ac:dyDescent="0.2">
      <c r="A959" s="10" t="s">
        <v>7224</v>
      </c>
      <c r="B959" s="10" t="s">
        <v>7225</v>
      </c>
      <c r="C959" s="10" t="s">
        <v>18</v>
      </c>
      <c r="D959" s="10">
        <v>3.4839051815099098</v>
      </c>
      <c r="E959" s="4">
        <v>3.65464392999513E-5</v>
      </c>
      <c r="F959" s="10">
        <v>2.0147155310042</v>
      </c>
      <c r="G959" s="10">
        <v>3.86094580080234E-3</v>
      </c>
    </row>
    <row r="960" spans="1:7" x14ac:dyDescent="0.2">
      <c r="A960" s="10" t="s">
        <v>7220</v>
      </c>
      <c r="B960" s="10" t="s">
        <v>7221</v>
      </c>
      <c r="C960" s="10" t="s">
        <v>18</v>
      </c>
      <c r="D960" s="10">
        <v>6.5400861294468999</v>
      </c>
      <c r="E960" s="10">
        <v>2.8170248806125297E-4</v>
      </c>
      <c r="F960" s="10">
        <v>5.3540841906844401</v>
      </c>
      <c r="G960" s="10">
        <v>1.9701165653868802E-3</v>
      </c>
    </row>
    <row r="961" spans="1:7" x14ac:dyDescent="0.2">
      <c r="A961" s="10" t="s">
        <v>5536</v>
      </c>
      <c r="B961" s="10" t="s">
        <v>5537</v>
      </c>
      <c r="C961" s="10" t="s">
        <v>18</v>
      </c>
      <c r="D961" s="10">
        <v>1.14955882469774</v>
      </c>
      <c r="E961" s="10">
        <v>2.45549958298387E-4</v>
      </c>
      <c r="F961" s="10">
        <v>1.7539879000212699</v>
      </c>
      <c r="G961" s="4">
        <v>6.61265124973041E-6</v>
      </c>
    </row>
    <row r="962" spans="1:7" x14ac:dyDescent="0.2">
      <c r="A962" s="10" t="s">
        <v>9114</v>
      </c>
      <c r="B962" s="10" t="s">
        <v>9115</v>
      </c>
      <c r="C962" s="10" t="s">
        <v>18</v>
      </c>
      <c r="D962" s="10">
        <v>-3.80799868501893</v>
      </c>
      <c r="E962" s="4">
        <v>3.5131353127793998E-44</v>
      </c>
      <c r="F962" s="10">
        <v>-2.9352384104151001</v>
      </c>
      <c r="G962" s="4">
        <v>3.6384621465243404E-15</v>
      </c>
    </row>
    <row r="963" spans="1:7" x14ac:dyDescent="0.2">
      <c r="A963" s="10" t="s">
        <v>5880</v>
      </c>
      <c r="B963" s="10" t="s">
        <v>5881</v>
      </c>
      <c r="C963" s="10" t="s">
        <v>18</v>
      </c>
      <c r="D963" s="10">
        <v>4.2023828347556798</v>
      </c>
      <c r="E963" s="4">
        <v>1.25531217704006E-66</v>
      </c>
      <c r="F963" s="10">
        <v>3.4232361315919499</v>
      </c>
      <c r="G963" s="4">
        <v>3.3248068647229998E-33</v>
      </c>
    </row>
    <row r="964" spans="1:7" x14ac:dyDescent="0.2">
      <c r="A964" s="10" t="s">
        <v>7552</v>
      </c>
      <c r="B964" s="10" t="s">
        <v>7553</v>
      </c>
      <c r="C964" s="10" t="s">
        <v>18</v>
      </c>
      <c r="D964" s="10">
        <v>4.4196076459156002</v>
      </c>
      <c r="E964" s="4">
        <v>7.9459710577636302E-47</v>
      </c>
      <c r="F964" s="10">
        <v>3.8941834755304101</v>
      </c>
      <c r="G964" s="4">
        <v>2.0909092139086699E-35</v>
      </c>
    </row>
    <row r="965" spans="1:7" x14ac:dyDescent="0.2">
      <c r="A965" s="10" t="s">
        <v>7582</v>
      </c>
      <c r="B965" s="10" t="s">
        <v>7583</v>
      </c>
      <c r="C965" s="10" t="s">
        <v>18</v>
      </c>
      <c r="D965" s="10">
        <v>3.1439753004301401</v>
      </c>
      <c r="E965" s="4">
        <v>1.1686948596743499E-52</v>
      </c>
      <c r="F965" s="10">
        <v>4.81624308025249</v>
      </c>
      <c r="G965" s="4">
        <v>3.9689316351772597E-65</v>
      </c>
    </row>
    <row r="966" spans="1:7" x14ac:dyDescent="0.2">
      <c r="A966" s="10" t="s">
        <v>835</v>
      </c>
      <c r="B966" s="10" t="s">
        <v>836</v>
      </c>
      <c r="C966" s="10" t="s">
        <v>18</v>
      </c>
      <c r="D966" s="10">
        <v>4.17291618558406</v>
      </c>
      <c r="E966" s="4">
        <v>8.5668888694370401E-8</v>
      </c>
      <c r="F966" s="10">
        <v>2.9926522941549099</v>
      </c>
      <c r="G966" s="4">
        <v>1.3765447685607299E-6</v>
      </c>
    </row>
    <row r="967" spans="1:7" x14ac:dyDescent="0.2">
      <c r="A967" s="10" t="s">
        <v>4350</v>
      </c>
      <c r="B967" s="10" t="s">
        <v>4351</v>
      </c>
      <c r="C967" s="10" t="s">
        <v>18</v>
      </c>
      <c r="D967" s="10">
        <v>5.9687903266693203</v>
      </c>
      <c r="E967" s="4">
        <v>9.2860579840174696E-114</v>
      </c>
      <c r="F967" s="10">
        <v>7.3774083965683497</v>
      </c>
      <c r="G967" s="4">
        <v>2.37838276493464E-96</v>
      </c>
    </row>
    <row r="968" spans="1:7" x14ac:dyDescent="0.2">
      <c r="A968" s="10" t="s">
        <v>9058</v>
      </c>
      <c r="B968" s="10" t="s">
        <v>9059</v>
      </c>
      <c r="C968" s="10" t="s">
        <v>18</v>
      </c>
      <c r="D968" s="10">
        <v>-1.0517607074047199</v>
      </c>
      <c r="E968" s="4">
        <v>5.6348620230138698E-9</v>
      </c>
      <c r="F968" s="10">
        <v>-1.37136964970616</v>
      </c>
      <c r="G968" s="4">
        <v>2.5468010533690201E-8</v>
      </c>
    </row>
    <row r="969" spans="1:7" x14ac:dyDescent="0.2">
      <c r="A969" s="10" t="s">
        <v>2065</v>
      </c>
      <c r="B969" s="10" t="s">
        <v>2066</v>
      </c>
      <c r="C969" s="10" t="s">
        <v>18</v>
      </c>
      <c r="D969" s="10">
        <v>7.3666990989697503</v>
      </c>
      <c r="E969" s="4">
        <v>3.4153450137129202E-21</v>
      </c>
      <c r="F969" s="10">
        <v>4.3049816471735696</v>
      </c>
      <c r="G969" s="4">
        <v>1.7771102502290001E-27</v>
      </c>
    </row>
    <row r="970" spans="1:7" x14ac:dyDescent="0.2">
      <c r="A970" s="10" t="s">
        <v>249</v>
      </c>
      <c r="B970" s="10" t="s">
        <v>250</v>
      </c>
      <c r="C970" s="10" t="s">
        <v>18</v>
      </c>
      <c r="D970" s="10">
        <v>7.2442819425711003</v>
      </c>
      <c r="E970" s="4">
        <v>3.7259442017945098E-122</v>
      </c>
      <c r="F970" s="10">
        <v>7.6646836920064203</v>
      </c>
      <c r="G970" s="4">
        <v>1.8198460707792899E-101</v>
      </c>
    </row>
    <row r="971" spans="1:7" x14ac:dyDescent="0.2">
      <c r="A971" s="10" t="s">
        <v>4942</v>
      </c>
      <c r="B971" s="10" t="s">
        <v>4943</v>
      </c>
      <c r="C971" s="10" t="s">
        <v>18</v>
      </c>
      <c r="D971" s="10">
        <v>-1.4840711208055299</v>
      </c>
      <c r="E971" s="4">
        <v>1.87899188031587E-7</v>
      </c>
      <c r="F971" s="10">
        <v>-1.4225776849636</v>
      </c>
      <c r="G971" s="4">
        <v>5.19911712080756E-5</v>
      </c>
    </row>
    <row r="972" spans="1:7" x14ac:dyDescent="0.2">
      <c r="A972" s="10" t="s">
        <v>875</v>
      </c>
      <c r="B972" s="10" t="s">
        <v>876</v>
      </c>
      <c r="C972" s="10" t="s">
        <v>18</v>
      </c>
      <c r="D972" s="10">
        <v>-1.2034548593503001</v>
      </c>
      <c r="E972" s="4">
        <v>7.7878001528625406E-12</v>
      </c>
      <c r="F972" s="10">
        <v>-1.0216327229553801</v>
      </c>
      <c r="G972" s="4">
        <v>1.5357672299667199E-5</v>
      </c>
    </row>
    <row r="973" spans="1:7" x14ac:dyDescent="0.2">
      <c r="A973" s="10" t="s">
        <v>625</v>
      </c>
      <c r="B973" s="10" t="s">
        <v>626</v>
      </c>
      <c r="C973" s="10" t="s">
        <v>18</v>
      </c>
      <c r="D973" s="10">
        <v>11.240112651589399</v>
      </c>
      <c r="E973" s="4">
        <v>1.9430939321481699E-14</v>
      </c>
      <c r="F973" s="10">
        <v>11.487936281168</v>
      </c>
      <c r="G973" s="4">
        <v>7.2890498111200299E-15</v>
      </c>
    </row>
    <row r="974" spans="1:7" x14ac:dyDescent="0.2">
      <c r="A974" s="10" t="s">
        <v>623</v>
      </c>
      <c r="B974" s="10" t="s">
        <v>624</v>
      </c>
      <c r="C974" s="10" t="s">
        <v>18</v>
      </c>
      <c r="D974" s="10">
        <v>11.3071053367385</v>
      </c>
      <c r="E974" s="4">
        <v>1.3089012780967399E-14</v>
      </c>
      <c r="F974" s="10">
        <v>11.554746790478299</v>
      </c>
      <c r="G974" s="4">
        <v>4.8985575146916297E-15</v>
      </c>
    </row>
    <row r="975" spans="1:7" x14ac:dyDescent="0.2">
      <c r="A975" s="10" t="s">
        <v>621</v>
      </c>
      <c r="B975" s="10" t="s">
        <v>622</v>
      </c>
      <c r="C975" s="10" t="s">
        <v>18</v>
      </c>
      <c r="D975" s="10">
        <v>6.4255588067260998</v>
      </c>
      <c r="E975" s="10">
        <v>4.5980808452777402E-4</v>
      </c>
      <c r="F975" s="10">
        <v>6.6757516571230697</v>
      </c>
      <c r="G975" s="10">
        <v>2.0783146020597601E-4</v>
      </c>
    </row>
    <row r="976" spans="1:7" x14ac:dyDescent="0.2">
      <c r="A976" s="10" t="s">
        <v>619</v>
      </c>
      <c r="B976" s="10" t="s">
        <v>620</v>
      </c>
      <c r="C976" s="10" t="s">
        <v>18</v>
      </c>
      <c r="D976" s="10">
        <v>10.515603984459799</v>
      </c>
      <c r="E976" s="4">
        <v>1.10259520837335E-12</v>
      </c>
      <c r="F976" s="10">
        <v>9.321077114006</v>
      </c>
      <c r="G976" s="4">
        <v>1.55658544992762E-10</v>
      </c>
    </row>
    <row r="977" spans="1:7" x14ac:dyDescent="0.2">
      <c r="A977" s="10" t="s">
        <v>617</v>
      </c>
      <c r="B977" s="10" t="s">
        <v>618</v>
      </c>
      <c r="C977" s="10" t="s">
        <v>18</v>
      </c>
      <c r="D977" s="10">
        <v>11.759029074968799</v>
      </c>
      <c r="E977" s="4">
        <v>9.6035665603125094E-16</v>
      </c>
      <c r="F977" s="10">
        <v>12.006823938576201</v>
      </c>
      <c r="G977" s="4">
        <v>3.5792168004299499E-16</v>
      </c>
    </row>
    <row r="978" spans="1:7" x14ac:dyDescent="0.2">
      <c r="A978" s="10" t="s">
        <v>4402</v>
      </c>
      <c r="B978" s="10" t="s">
        <v>4403</v>
      </c>
      <c r="C978" s="10" t="s">
        <v>18</v>
      </c>
      <c r="D978" s="10">
        <v>1.0938689371693899</v>
      </c>
      <c r="E978" s="4">
        <v>1.3368653271139499E-7</v>
      </c>
      <c r="F978" s="10">
        <v>4.8100931921876597</v>
      </c>
      <c r="G978" s="4">
        <v>2.9643422474953801E-63</v>
      </c>
    </row>
    <row r="979" spans="1:7" x14ac:dyDescent="0.2">
      <c r="A979" s="10" t="s">
        <v>4704</v>
      </c>
      <c r="B979" s="10" t="s">
        <v>4705</v>
      </c>
      <c r="C979" s="10" t="s">
        <v>18</v>
      </c>
      <c r="D979" s="10">
        <v>1.0668737118212299</v>
      </c>
      <c r="E979" s="4">
        <v>2.6433739870568298E-7</v>
      </c>
      <c r="F979" s="10">
        <v>1.43615932333817</v>
      </c>
      <c r="G979" s="4">
        <v>4.7326690520024198E-7</v>
      </c>
    </row>
    <row r="980" spans="1:7" x14ac:dyDescent="0.2">
      <c r="A980" s="10" t="s">
        <v>373</v>
      </c>
      <c r="B980" s="10" t="s">
        <v>374</v>
      </c>
      <c r="C980" s="10" t="s">
        <v>18</v>
      </c>
      <c r="D980" s="10">
        <v>4.5433468321081296</v>
      </c>
      <c r="E980" s="4">
        <v>1.2527901677837101E-81</v>
      </c>
      <c r="F980" s="10">
        <v>3.9549618495108199</v>
      </c>
      <c r="G980" s="4">
        <v>3.0154029342820098E-37</v>
      </c>
    </row>
    <row r="981" spans="1:7" x14ac:dyDescent="0.2">
      <c r="A981" s="10" t="s">
        <v>7566</v>
      </c>
      <c r="B981" s="10" t="s">
        <v>7567</v>
      </c>
      <c r="C981" s="10" t="s">
        <v>18</v>
      </c>
      <c r="D981" s="10">
        <v>-1.07390746514443</v>
      </c>
      <c r="E981" s="4">
        <v>1.44654878581719E-5</v>
      </c>
      <c r="F981" s="10">
        <v>-1.3824961059480301</v>
      </c>
      <c r="G981" s="4">
        <v>1.00310612730766E-6</v>
      </c>
    </row>
    <row r="982" spans="1:7" x14ac:dyDescent="0.2">
      <c r="A982" s="10" t="s">
        <v>2651</v>
      </c>
      <c r="B982" s="10" t="s">
        <v>2652</v>
      </c>
      <c r="C982" s="10" t="s">
        <v>18</v>
      </c>
      <c r="D982" s="10">
        <v>-1.83575362333923</v>
      </c>
      <c r="E982" s="4">
        <v>3.9476131735182196E-9</v>
      </c>
      <c r="F982" s="10">
        <v>-1.0219793950798799</v>
      </c>
      <c r="G982" s="10">
        <v>9.9815116420785208E-3</v>
      </c>
    </row>
    <row r="983" spans="1:7" x14ac:dyDescent="0.2">
      <c r="A983" s="10" t="s">
        <v>6074</v>
      </c>
      <c r="B983" s="10" t="s">
        <v>6075</v>
      </c>
      <c r="C983" s="10" t="s">
        <v>18</v>
      </c>
      <c r="D983" s="10">
        <v>1.22621195504153</v>
      </c>
      <c r="E983" s="4">
        <v>2.3958849087332599E-8</v>
      </c>
      <c r="F983" s="10">
        <v>1.2901584350134401</v>
      </c>
      <c r="G983" s="4">
        <v>4.9521015856786196E-6</v>
      </c>
    </row>
    <row r="984" spans="1:7" x14ac:dyDescent="0.2">
      <c r="A984" s="10" t="s">
        <v>8096</v>
      </c>
      <c r="B984" s="10" t="s">
        <v>8097</v>
      </c>
      <c r="C984" s="10" t="s">
        <v>18</v>
      </c>
      <c r="D984" s="10">
        <v>4.3606911950828904</v>
      </c>
      <c r="E984" s="4">
        <v>8.3928866026111895E-8</v>
      </c>
      <c r="F984" s="10">
        <v>5.1854850378222803</v>
      </c>
      <c r="G984" s="4">
        <v>1.4197681835438899E-8</v>
      </c>
    </row>
    <row r="985" spans="1:7" x14ac:dyDescent="0.2">
      <c r="A985" s="10" t="s">
        <v>8098</v>
      </c>
      <c r="B985" s="10" t="s">
        <v>8099</v>
      </c>
      <c r="C985" s="10" t="s">
        <v>18</v>
      </c>
      <c r="D985" s="10">
        <v>4.3343943061608101</v>
      </c>
      <c r="E985" s="4">
        <v>7.3945388633771405E-41</v>
      </c>
      <c r="F985" s="10">
        <v>5.2069223748978599</v>
      </c>
      <c r="G985" s="4">
        <v>2.0933466546133099E-41</v>
      </c>
    </row>
    <row r="986" spans="1:7" x14ac:dyDescent="0.2">
      <c r="A986" s="10" t="s">
        <v>4388</v>
      </c>
      <c r="B986" s="10" t="s">
        <v>4389</v>
      </c>
      <c r="C986" s="10" t="s">
        <v>18</v>
      </c>
      <c r="D986" s="10">
        <v>4.0475982983112804</v>
      </c>
      <c r="E986" s="4">
        <v>1.4438991928962799E-5</v>
      </c>
      <c r="F986" s="10">
        <v>5.0255141349846504</v>
      </c>
      <c r="G986" s="4">
        <v>2.5074135794688299E-6</v>
      </c>
    </row>
    <row r="987" spans="1:7" x14ac:dyDescent="0.2">
      <c r="A987" s="10" t="s">
        <v>4288</v>
      </c>
      <c r="B987" s="10" t="s">
        <v>4289</v>
      </c>
      <c r="C987" s="10" t="s">
        <v>18</v>
      </c>
      <c r="D987" s="10">
        <v>1.9016789905712601</v>
      </c>
      <c r="E987" s="4">
        <v>8.4410803744709102E-7</v>
      </c>
      <c r="F987" s="10">
        <v>2.3861427396838599</v>
      </c>
      <c r="G987" s="4">
        <v>2.78343747111047E-8</v>
      </c>
    </row>
    <row r="988" spans="1:7" x14ac:dyDescent="0.2">
      <c r="A988" s="10" t="s">
        <v>5520</v>
      </c>
      <c r="B988" s="10" t="s">
        <v>5521</v>
      </c>
      <c r="C988" s="10" t="s">
        <v>18</v>
      </c>
      <c r="D988" s="10">
        <v>2.03707420679457</v>
      </c>
      <c r="E988" s="4">
        <v>1.86320917004838E-25</v>
      </c>
      <c r="F988" s="10">
        <v>1.68609239390098</v>
      </c>
      <c r="G988" s="4">
        <v>1.67523859126186E-8</v>
      </c>
    </row>
    <row r="989" spans="1:7" x14ac:dyDescent="0.2">
      <c r="A989" s="10" t="s">
        <v>3505</v>
      </c>
      <c r="B989" s="10" t="s">
        <v>3506</v>
      </c>
      <c r="C989" s="10" t="s">
        <v>18</v>
      </c>
      <c r="D989" s="10">
        <v>-1.2150749204217799</v>
      </c>
      <c r="E989" s="4">
        <v>3.5822839083008798E-7</v>
      </c>
      <c r="F989" s="10">
        <v>-1.3943431559730699</v>
      </c>
      <c r="G989" s="4">
        <v>2.5217851257853601E-5</v>
      </c>
    </row>
    <row r="990" spans="1:7" x14ac:dyDescent="0.2">
      <c r="A990" s="10" t="s">
        <v>3201</v>
      </c>
      <c r="B990" s="10" t="s">
        <v>3202</v>
      </c>
      <c r="C990" s="10" t="s">
        <v>18</v>
      </c>
      <c r="D990" s="10">
        <v>-2.2131622266925199</v>
      </c>
      <c r="E990" s="4">
        <v>1.7636364750223001E-30</v>
      </c>
      <c r="F990" s="10">
        <v>-1.71976331056679</v>
      </c>
      <c r="G990" s="4">
        <v>1.5593311135943001E-11</v>
      </c>
    </row>
    <row r="991" spans="1:7" x14ac:dyDescent="0.2">
      <c r="A991" s="10" t="s">
        <v>549</v>
      </c>
      <c r="B991" s="10" t="s">
        <v>550</v>
      </c>
      <c r="C991" s="10" t="s">
        <v>18</v>
      </c>
      <c r="D991" s="10">
        <v>-1.37359448846587</v>
      </c>
      <c r="E991" s="4">
        <v>9.4775443873900996E-11</v>
      </c>
      <c r="F991" s="10">
        <v>-1.1985292791200299</v>
      </c>
      <c r="G991" s="4">
        <v>9.5000333115652208E-6</v>
      </c>
    </row>
    <row r="992" spans="1:7" x14ac:dyDescent="0.2">
      <c r="A992" s="10" t="s">
        <v>2635</v>
      </c>
      <c r="B992" s="10" t="s">
        <v>2636</v>
      </c>
      <c r="C992" s="10" t="s">
        <v>18</v>
      </c>
      <c r="D992" s="10">
        <v>-1.7185501899389699</v>
      </c>
      <c r="E992" s="4">
        <v>6.2351259053594798E-20</v>
      </c>
      <c r="F992" s="10">
        <v>-1.3024607379094699</v>
      </c>
      <c r="G992" s="4">
        <v>8.6280174356019804E-8</v>
      </c>
    </row>
    <row r="993" spans="1:7" x14ac:dyDescent="0.2">
      <c r="A993" s="10" t="s">
        <v>7748</v>
      </c>
      <c r="B993" s="10" t="s">
        <v>7749</v>
      </c>
      <c r="C993" s="10" t="s">
        <v>18</v>
      </c>
      <c r="D993" s="10">
        <v>-1.53461037188134</v>
      </c>
      <c r="E993" s="4">
        <v>7.2019634246180505E-13</v>
      </c>
      <c r="F993" s="10">
        <v>-1.07166463559989</v>
      </c>
      <c r="G993" s="10">
        <v>1.2928269951269301E-4</v>
      </c>
    </row>
    <row r="994" spans="1:7" x14ac:dyDescent="0.2">
      <c r="A994" s="10" t="s">
        <v>457</v>
      </c>
      <c r="B994" s="10" t="s">
        <v>458</v>
      </c>
      <c r="C994" s="10" t="s">
        <v>18</v>
      </c>
      <c r="D994" s="10">
        <v>-1.1532710237750701</v>
      </c>
      <c r="E994" s="4">
        <v>2.0778279479194201E-9</v>
      </c>
      <c r="F994" s="10">
        <v>-1.29524350656514</v>
      </c>
      <c r="G994" s="4">
        <v>1.6623839695724399E-7</v>
      </c>
    </row>
    <row r="995" spans="1:7" x14ac:dyDescent="0.2">
      <c r="A995" s="10" t="s">
        <v>1853</v>
      </c>
      <c r="B995" s="10" t="s">
        <v>1854</v>
      </c>
      <c r="C995" s="10" t="s">
        <v>18</v>
      </c>
      <c r="D995" s="10">
        <v>-1.47240613161453</v>
      </c>
      <c r="E995" s="4">
        <v>7.8190650527833902E-7</v>
      </c>
      <c r="F995" s="10">
        <v>-1.4285760999216499</v>
      </c>
      <c r="G995" s="4">
        <v>1.32694545683737E-5</v>
      </c>
    </row>
    <row r="996" spans="1:7" x14ac:dyDescent="0.2">
      <c r="A996" s="10" t="s">
        <v>6786</v>
      </c>
      <c r="B996" s="10" t="s">
        <v>6787</v>
      </c>
      <c r="C996" s="10" t="s">
        <v>18</v>
      </c>
      <c r="D996" s="10">
        <v>1.1108010245437301</v>
      </c>
      <c r="E996" s="4">
        <v>1.06983953281324E-10</v>
      </c>
      <c r="F996" s="10">
        <v>1.7136142653828601</v>
      </c>
      <c r="G996" s="4">
        <v>4.5969950615708796E-13</v>
      </c>
    </row>
    <row r="997" spans="1:7" x14ac:dyDescent="0.2">
      <c r="A997" s="10" t="s">
        <v>2625</v>
      </c>
      <c r="B997" s="10" t="s">
        <v>2626</v>
      </c>
      <c r="C997" s="10" t="s">
        <v>18</v>
      </c>
      <c r="D997" s="10">
        <v>-3.3026324280143902</v>
      </c>
      <c r="E997" s="4">
        <v>5.4106475652441604E-53</v>
      </c>
      <c r="F997" s="10">
        <v>-3.5974573019106399</v>
      </c>
      <c r="G997" s="4">
        <v>1.5389837251588401E-42</v>
      </c>
    </row>
    <row r="998" spans="1:7" x14ac:dyDescent="0.2">
      <c r="A998" s="10" t="s">
        <v>6424</v>
      </c>
      <c r="B998" s="10" t="s">
        <v>6425</v>
      </c>
      <c r="C998" s="10" t="s">
        <v>18</v>
      </c>
      <c r="D998" s="10">
        <v>5.6452599719928198</v>
      </c>
      <c r="E998" s="4">
        <v>2.98742352028709E-29</v>
      </c>
      <c r="F998" s="10">
        <v>5.1530270700016301</v>
      </c>
      <c r="G998" s="4">
        <v>1.1019125426525E-28</v>
      </c>
    </row>
    <row r="999" spans="1:7" x14ac:dyDescent="0.2">
      <c r="A999" s="10" t="s">
        <v>4676</v>
      </c>
      <c r="B999" s="10" t="s">
        <v>4677</v>
      </c>
      <c r="C999" s="10" t="s">
        <v>18</v>
      </c>
      <c r="D999" s="10">
        <v>4.0418894255570299</v>
      </c>
      <c r="E999" s="4">
        <v>6.8660761122984301E-111</v>
      </c>
      <c r="F999" s="10">
        <v>3.1455002024717702</v>
      </c>
      <c r="G999" s="4">
        <v>6.1279569822356097E-37</v>
      </c>
    </row>
    <row r="1000" spans="1:7" x14ac:dyDescent="0.2">
      <c r="A1000" s="10" t="s">
        <v>8004</v>
      </c>
      <c r="B1000" s="10" t="s">
        <v>8005</v>
      </c>
      <c r="C1000" s="10" t="s">
        <v>18</v>
      </c>
      <c r="D1000" s="10">
        <v>1.9328359731309399</v>
      </c>
      <c r="E1000" s="4">
        <v>9.6663676959458101E-5</v>
      </c>
      <c r="F1000" s="10">
        <v>1.3862224360486299</v>
      </c>
      <c r="G1000" s="10">
        <v>7.6470400213999997E-3</v>
      </c>
    </row>
    <row r="1001" spans="1:7" x14ac:dyDescent="0.2">
      <c r="A1001" s="10" t="s">
        <v>5890</v>
      </c>
      <c r="B1001" s="10" t="s">
        <v>5891</v>
      </c>
      <c r="C1001" s="10" t="s">
        <v>18</v>
      </c>
      <c r="D1001" s="10">
        <v>-1.71008034223656</v>
      </c>
      <c r="E1001" s="4">
        <v>2.3872169604831302E-16</v>
      </c>
      <c r="F1001" s="10">
        <v>-2.3036762758085398</v>
      </c>
      <c r="G1001" s="4">
        <v>2.0438645163649E-16</v>
      </c>
    </row>
    <row r="1002" spans="1:7" x14ac:dyDescent="0.2">
      <c r="A1002" s="10" t="s">
        <v>8484</v>
      </c>
      <c r="B1002" s="10" t="s">
        <v>8485</v>
      </c>
      <c r="C1002" s="10" t="s">
        <v>18</v>
      </c>
      <c r="D1002" s="10">
        <v>1.0194819711916601</v>
      </c>
      <c r="E1002" s="4">
        <v>6.94068959833525E-7</v>
      </c>
      <c r="F1002" s="10">
        <v>1.9229275879824399</v>
      </c>
      <c r="G1002" s="4">
        <v>6.2420757550017503E-10</v>
      </c>
    </row>
    <row r="1003" spans="1:7" x14ac:dyDescent="0.2">
      <c r="A1003" s="10" t="s">
        <v>8110</v>
      </c>
      <c r="B1003" s="10" t="s">
        <v>8111</v>
      </c>
      <c r="C1003" s="10" t="s">
        <v>18</v>
      </c>
      <c r="D1003" s="10">
        <v>-2.3307817175123899</v>
      </c>
      <c r="E1003" s="4">
        <v>1.15151150011644E-5</v>
      </c>
      <c r="F1003" s="10">
        <v>-1.7148247329795101</v>
      </c>
      <c r="G1003" s="10">
        <v>7.1397528789150502E-3</v>
      </c>
    </row>
    <row r="1004" spans="1:7" x14ac:dyDescent="0.2">
      <c r="A1004" s="10" t="s">
        <v>1819</v>
      </c>
      <c r="B1004" s="10" t="s">
        <v>1820</v>
      </c>
      <c r="C1004" s="10" t="s">
        <v>18</v>
      </c>
      <c r="D1004" s="10">
        <v>-2.3845671639979198</v>
      </c>
      <c r="E1004" s="4">
        <v>5.5095774593512301E-33</v>
      </c>
      <c r="F1004" s="10">
        <v>-2.3735155657295701</v>
      </c>
      <c r="G1004" s="4">
        <v>1.1574556739693699E-19</v>
      </c>
    </row>
    <row r="1005" spans="1:7" x14ac:dyDescent="0.2">
      <c r="A1005" s="10" t="s">
        <v>5994</v>
      </c>
      <c r="B1005" s="10" t="s">
        <v>5995</v>
      </c>
      <c r="C1005" s="10" t="s">
        <v>18</v>
      </c>
      <c r="D1005" s="10">
        <v>2.8632911456640802</v>
      </c>
      <c r="E1005" s="4">
        <v>2.7332856343011401E-51</v>
      </c>
      <c r="F1005" s="10">
        <v>2.1392155786732499</v>
      </c>
      <c r="G1005" s="4">
        <v>1.26128321353486E-16</v>
      </c>
    </row>
    <row r="1006" spans="1:7" x14ac:dyDescent="0.2">
      <c r="A1006" s="10" t="s">
        <v>2453</v>
      </c>
      <c r="B1006" s="10" t="s">
        <v>2454</v>
      </c>
      <c r="C1006" s="10" t="s">
        <v>18</v>
      </c>
      <c r="D1006" s="10">
        <v>1.70415549058503</v>
      </c>
      <c r="E1006" s="10">
        <v>1.3915575032055099E-4</v>
      </c>
      <c r="F1006" s="10">
        <v>1.6470438357372299</v>
      </c>
      <c r="G1006" s="10">
        <v>2.6667001294768198E-4</v>
      </c>
    </row>
    <row r="1007" spans="1:7" x14ac:dyDescent="0.2">
      <c r="A1007" s="10" t="s">
        <v>4948</v>
      </c>
      <c r="B1007" s="10" t="s">
        <v>4949</v>
      </c>
      <c r="C1007" s="10" t="s">
        <v>18</v>
      </c>
      <c r="D1007" s="10">
        <v>-1.62421985120965</v>
      </c>
      <c r="E1007" s="4">
        <v>4.32974386083335E-17</v>
      </c>
      <c r="F1007" s="10">
        <v>-2.33918551836565</v>
      </c>
      <c r="G1007" s="4">
        <v>2.0545802834525698E-18</v>
      </c>
    </row>
    <row r="1008" spans="1:7" x14ac:dyDescent="0.2">
      <c r="A1008" s="10" t="s">
        <v>369</v>
      </c>
      <c r="B1008" s="10" t="s">
        <v>370</v>
      </c>
      <c r="C1008" s="10" t="s">
        <v>18</v>
      </c>
      <c r="D1008" s="10">
        <v>-3.6489374355678201</v>
      </c>
      <c r="E1008" s="4">
        <v>2.6107568084974299E-75</v>
      </c>
      <c r="F1008" s="10">
        <v>-1.9905455899947899</v>
      </c>
      <c r="G1008" s="4">
        <v>1.4626800770487E-12</v>
      </c>
    </row>
    <row r="1009" spans="1:7" x14ac:dyDescent="0.2">
      <c r="A1009" s="10" t="s">
        <v>2149</v>
      </c>
      <c r="B1009" s="10" t="s">
        <v>2150</v>
      </c>
      <c r="C1009" s="10" t="s">
        <v>18</v>
      </c>
      <c r="D1009" s="10">
        <v>1.0525746193484</v>
      </c>
      <c r="E1009" s="4">
        <v>1.0709203361237399E-6</v>
      </c>
      <c r="F1009" s="10">
        <v>1.5412550355483901</v>
      </c>
      <c r="G1009" s="4">
        <v>6.6526607738847995E-8</v>
      </c>
    </row>
    <row r="1010" spans="1:7" x14ac:dyDescent="0.2">
      <c r="A1010" s="10" t="s">
        <v>6508</v>
      </c>
      <c r="B1010" s="10" t="s">
        <v>6509</v>
      </c>
      <c r="C1010" s="10" t="s">
        <v>18</v>
      </c>
      <c r="D1010" s="10">
        <v>1.1683039691010999</v>
      </c>
      <c r="E1010" s="4">
        <v>2.7267588818600101E-7</v>
      </c>
      <c r="F1010" s="10">
        <v>1.7541970399762401</v>
      </c>
      <c r="G1010" s="4">
        <v>1.3431720729280301E-9</v>
      </c>
    </row>
    <row r="1011" spans="1:7" x14ac:dyDescent="0.2">
      <c r="A1011" s="10" t="s">
        <v>6854</v>
      </c>
      <c r="B1011" s="10" t="s">
        <v>6855</v>
      </c>
      <c r="C1011" s="10" t="s">
        <v>18</v>
      </c>
      <c r="D1011" s="10">
        <v>2.6542198020266099</v>
      </c>
      <c r="E1011" s="4">
        <v>8.8588428282948196E-8</v>
      </c>
      <c r="F1011" s="10">
        <v>1.10360080590001</v>
      </c>
      <c r="G1011" s="10">
        <v>1.1772707831628501E-2</v>
      </c>
    </row>
    <row r="1012" spans="1:7" x14ac:dyDescent="0.2">
      <c r="A1012" s="10" t="s">
        <v>127</v>
      </c>
      <c r="B1012" s="10" t="s">
        <v>128</v>
      </c>
      <c r="C1012" s="10" t="s">
        <v>18</v>
      </c>
      <c r="D1012" s="10">
        <v>7.7667417475855496</v>
      </c>
      <c r="E1012" s="4">
        <v>1.8008861973207301E-6</v>
      </c>
      <c r="F1012" s="10">
        <v>8.0095856156654399</v>
      </c>
      <c r="G1012" s="4">
        <v>7.2746887542881295E-7</v>
      </c>
    </row>
    <row r="1013" spans="1:7" x14ac:dyDescent="0.2">
      <c r="A1013" s="10" t="s">
        <v>1901</v>
      </c>
      <c r="B1013" s="10" t="s">
        <v>1902</v>
      </c>
      <c r="C1013" s="10" t="s">
        <v>18</v>
      </c>
      <c r="D1013" s="10">
        <v>-1.6990041157334901</v>
      </c>
      <c r="E1013" s="4">
        <v>8.7068197332198802E-19</v>
      </c>
      <c r="F1013" s="10">
        <v>-1.4904012099675701</v>
      </c>
      <c r="G1013" s="4">
        <v>1.9275230751877201E-9</v>
      </c>
    </row>
    <row r="1014" spans="1:7" x14ac:dyDescent="0.2">
      <c r="A1014" s="10" t="s">
        <v>2389</v>
      </c>
      <c r="B1014" s="10" t="s">
        <v>2390</v>
      </c>
      <c r="C1014" s="10" t="s">
        <v>18</v>
      </c>
      <c r="D1014" s="10">
        <v>-1.5320982121128</v>
      </c>
      <c r="E1014" s="4">
        <v>7.5267467490737998E-11</v>
      </c>
      <c r="F1014" s="10">
        <v>-1.1634107684794199</v>
      </c>
      <c r="G1014" s="4">
        <v>4.3542163344627901E-5</v>
      </c>
    </row>
    <row r="1015" spans="1:7" x14ac:dyDescent="0.2">
      <c r="A1015" s="10" t="s">
        <v>4824</v>
      </c>
      <c r="B1015" s="10" t="s">
        <v>4825</v>
      </c>
      <c r="C1015" s="10" t="s">
        <v>18</v>
      </c>
      <c r="D1015" s="10">
        <v>4.9821321859318104</v>
      </c>
      <c r="E1015" s="4">
        <v>2.0980598555766301E-94</v>
      </c>
      <c r="F1015" s="10">
        <v>7.8399634082380398</v>
      </c>
      <c r="G1015" s="4">
        <v>1.59965200195255E-74</v>
      </c>
    </row>
    <row r="1016" spans="1:7" x14ac:dyDescent="0.2">
      <c r="A1016" s="10" t="s">
        <v>8656</v>
      </c>
      <c r="B1016" s="10" t="s">
        <v>8657</v>
      </c>
      <c r="C1016" s="10" t="s">
        <v>18</v>
      </c>
      <c r="D1016" s="10">
        <v>-2.9899047778324301</v>
      </c>
      <c r="E1016" s="4">
        <v>8.7308959553177898E-48</v>
      </c>
      <c r="F1016" s="10">
        <v>-1.2250078596630001</v>
      </c>
      <c r="G1016" s="4">
        <v>7.8794312016306501E-5</v>
      </c>
    </row>
    <row r="1017" spans="1:7" x14ac:dyDescent="0.2">
      <c r="A1017" s="10" t="s">
        <v>6132</v>
      </c>
      <c r="B1017" s="10" t="s">
        <v>6133</v>
      </c>
      <c r="C1017" s="10" t="s">
        <v>18</v>
      </c>
      <c r="D1017" s="10">
        <v>2.5527180901703601</v>
      </c>
      <c r="E1017" s="4">
        <v>9.4721565077473694E-19</v>
      </c>
      <c r="F1017" s="10">
        <v>2.35949695863903</v>
      </c>
      <c r="G1017" s="4">
        <v>3.1022927700222002E-13</v>
      </c>
    </row>
    <row r="1018" spans="1:7" x14ac:dyDescent="0.2">
      <c r="A1018" s="10" t="s">
        <v>341</v>
      </c>
      <c r="B1018" s="10" t="s">
        <v>342</v>
      </c>
      <c r="C1018" s="10" t="s">
        <v>18</v>
      </c>
      <c r="D1018" s="10">
        <v>6.2163364349109198</v>
      </c>
      <c r="E1018" s="4">
        <v>6.3278919440531596E-8</v>
      </c>
      <c r="F1018" s="10">
        <v>3.5629700708606298</v>
      </c>
      <c r="G1018" s="4">
        <v>1.05366630534869E-8</v>
      </c>
    </row>
    <row r="1019" spans="1:7" x14ac:dyDescent="0.2">
      <c r="A1019" s="10" t="s">
        <v>4033</v>
      </c>
      <c r="B1019" s="10" t="s">
        <v>4034</v>
      </c>
      <c r="C1019" s="10" t="s">
        <v>18</v>
      </c>
      <c r="D1019" s="10">
        <v>1.15334665475917</v>
      </c>
      <c r="E1019" s="10">
        <v>2.60529729093274E-3</v>
      </c>
      <c r="F1019" s="10">
        <v>5.0999371287120798</v>
      </c>
      <c r="G1019" s="4">
        <v>8.3022017482758604E-18</v>
      </c>
    </row>
    <row r="1020" spans="1:7" x14ac:dyDescent="0.2">
      <c r="A1020" s="10" t="s">
        <v>2153</v>
      </c>
      <c r="B1020" s="10" t="s">
        <v>2154</v>
      </c>
      <c r="C1020" s="10" t="s">
        <v>18</v>
      </c>
      <c r="D1020" s="10">
        <v>-1.2777777621647799</v>
      </c>
      <c r="E1020" s="4">
        <v>7.37023539855124E-11</v>
      </c>
      <c r="F1020" s="10">
        <v>-1.3254018826388401</v>
      </c>
      <c r="G1020" s="4">
        <v>2.4675025523867603E-7</v>
      </c>
    </row>
    <row r="1021" spans="1:7" x14ac:dyDescent="0.2">
      <c r="A1021" s="10" t="s">
        <v>3883</v>
      </c>
      <c r="B1021" s="10" t="s">
        <v>3884</v>
      </c>
      <c r="C1021" s="10" t="s">
        <v>18</v>
      </c>
      <c r="D1021" s="10">
        <v>-1.5647148630263199</v>
      </c>
      <c r="E1021" s="4">
        <v>7.8043341522843804E-8</v>
      </c>
      <c r="F1021" s="10">
        <v>-1.97020888690178</v>
      </c>
      <c r="G1021" s="4">
        <v>4.1879985173967699E-10</v>
      </c>
    </row>
    <row r="1022" spans="1:7" x14ac:dyDescent="0.2">
      <c r="A1022" s="10" t="s">
        <v>4031</v>
      </c>
      <c r="B1022" s="10" t="s">
        <v>4032</v>
      </c>
      <c r="C1022" s="10" t="s">
        <v>18</v>
      </c>
      <c r="D1022" s="10">
        <v>2.0780519452414898</v>
      </c>
      <c r="E1022" s="4">
        <v>7.6327205725347801E-16</v>
      </c>
      <c r="F1022" s="10">
        <v>3.4743432976975401</v>
      </c>
      <c r="G1022" s="4">
        <v>1.6511439973533601E-24</v>
      </c>
    </row>
    <row r="1023" spans="1:7" x14ac:dyDescent="0.2">
      <c r="A1023" s="10" t="s">
        <v>7122</v>
      </c>
      <c r="B1023" s="10" t="s">
        <v>7123</v>
      </c>
      <c r="C1023" s="10" t="s">
        <v>18</v>
      </c>
      <c r="D1023" s="10">
        <v>5.0091951973867799</v>
      </c>
      <c r="E1023" s="4">
        <v>4.6413160263568901E-11</v>
      </c>
      <c r="F1023" s="10">
        <v>2.7401117239159301</v>
      </c>
      <c r="G1023" s="4">
        <v>1.9686930789561999E-7</v>
      </c>
    </row>
    <row r="1024" spans="1:7" x14ac:dyDescent="0.2">
      <c r="A1024" s="10" t="s">
        <v>711</v>
      </c>
      <c r="B1024" s="10" t="s">
        <v>712</v>
      </c>
      <c r="C1024" s="10" t="s">
        <v>18</v>
      </c>
      <c r="D1024" s="10">
        <v>7.4154196579656597</v>
      </c>
      <c r="E1024" s="4">
        <v>7.0046490362251899E-6</v>
      </c>
      <c r="F1024" s="10">
        <v>3.8896165775907998</v>
      </c>
      <c r="G1024" s="4">
        <v>6.1853344935227698E-5</v>
      </c>
    </row>
    <row r="1025" spans="1:7" x14ac:dyDescent="0.2">
      <c r="A1025" s="10" t="s">
        <v>6922</v>
      </c>
      <c r="B1025" s="10" t="s">
        <v>6923</v>
      </c>
      <c r="C1025" s="10" t="s">
        <v>18</v>
      </c>
      <c r="D1025" s="10">
        <v>3.56145961585174</v>
      </c>
      <c r="E1025" s="4">
        <v>2.1841848173202401E-5</v>
      </c>
      <c r="F1025" s="10">
        <v>-1.8557231117030299</v>
      </c>
      <c r="G1025" s="4">
        <v>1.87850458824496E-6</v>
      </c>
    </row>
    <row r="1026" spans="1:7" x14ac:dyDescent="0.2">
      <c r="A1026" s="10" t="s">
        <v>4039</v>
      </c>
      <c r="B1026" s="10" t="s">
        <v>4040</v>
      </c>
      <c r="C1026" s="10" t="s">
        <v>18</v>
      </c>
      <c r="D1026" s="10">
        <v>5.9363229511397302</v>
      </c>
      <c r="E1026" s="4">
        <v>7.4377880853550306E-18</v>
      </c>
      <c r="F1026" s="10">
        <v>1.80208080636336</v>
      </c>
      <c r="G1026" s="4">
        <v>2.76429931487046E-6</v>
      </c>
    </row>
    <row r="1027" spans="1:7" x14ac:dyDescent="0.2">
      <c r="A1027" s="10" t="s">
        <v>8482</v>
      </c>
      <c r="B1027" s="10" t="s">
        <v>8483</v>
      </c>
      <c r="C1027" s="10" t="s">
        <v>18</v>
      </c>
      <c r="D1027" s="10">
        <v>6.0882483352097996</v>
      </c>
      <c r="E1027" s="4">
        <v>8.5213702947760294E-39</v>
      </c>
      <c r="F1027" s="10">
        <v>3.4001762701913401</v>
      </c>
      <c r="G1027" s="4">
        <v>5.7452048019397799E-26</v>
      </c>
    </row>
    <row r="1028" spans="1:7" x14ac:dyDescent="0.2">
      <c r="A1028" s="10" t="s">
        <v>8924</v>
      </c>
      <c r="B1028" s="10" t="s">
        <v>8925</v>
      </c>
      <c r="C1028" s="10" t="s">
        <v>18</v>
      </c>
      <c r="D1028" s="10">
        <v>6.8719082283289303</v>
      </c>
      <c r="E1028" s="4">
        <v>7.3675942358143994E-5</v>
      </c>
      <c r="F1028" s="10">
        <v>2.3676951872547098</v>
      </c>
      <c r="G1028" s="10">
        <v>1.0771531565980401E-2</v>
      </c>
    </row>
    <row r="1029" spans="1:7" x14ac:dyDescent="0.2">
      <c r="A1029" s="10" t="s">
        <v>2857</v>
      </c>
      <c r="B1029" s="10" t="s">
        <v>2858</v>
      </c>
      <c r="C1029" s="10" t="s">
        <v>18</v>
      </c>
      <c r="D1029" s="10">
        <v>3.9870633886298901</v>
      </c>
      <c r="E1029" s="4">
        <v>5.7799466971453003E-12</v>
      </c>
      <c r="F1029" s="10">
        <v>1.34869976168956</v>
      </c>
      <c r="G1029" s="10">
        <v>1.7542976249314401E-3</v>
      </c>
    </row>
    <row r="1030" spans="1:7" x14ac:dyDescent="0.2">
      <c r="A1030" s="10" t="s">
        <v>8238</v>
      </c>
      <c r="B1030" s="10" t="s">
        <v>8239</v>
      </c>
      <c r="C1030" s="10" t="s">
        <v>18</v>
      </c>
      <c r="D1030" s="10">
        <v>1.0793879569992899</v>
      </c>
      <c r="E1030" s="4">
        <v>6.5242147353316706E-5</v>
      </c>
      <c r="F1030" s="10">
        <v>1.0849096588151701</v>
      </c>
      <c r="G1030" s="10">
        <v>5.89033358798881E-4</v>
      </c>
    </row>
    <row r="1031" spans="1:7" x14ac:dyDescent="0.2">
      <c r="A1031" s="10" t="s">
        <v>205</v>
      </c>
      <c r="B1031" s="10" t="s">
        <v>206</v>
      </c>
      <c r="C1031" s="10" t="s">
        <v>18</v>
      </c>
      <c r="D1031" s="10">
        <v>4.2138435971544697</v>
      </c>
      <c r="E1031" s="4">
        <v>1.9592703284733099E-11</v>
      </c>
      <c r="F1031" s="10">
        <v>2.4163000559111198</v>
      </c>
      <c r="G1031" s="4">
        <v>9.1738716200343696E-7</v>
      </c>
    </row>
    <row r="1032" spans="1:7" x14ac:dyDescent="0.2">
      <c r="A1032" s="10" t="s">
        <v>283</v>
      </c>
      <c r="B1032" s="10" t="s">
        <v>284</v>
      </c>
      <c r="C1032" s="10" t="s">
        <v>18</v>
      </c>
      <c r="D1032" s="10">
        <v>-2.7667814017909</v>
      </c>
      <c r="E1032" s="4">
        <v>1.5709682696274499E-34</v>
      </c>
      <c r="F1032" s="10">
        <v>-2.42626124469313</v>
      </c>
      <c r="G1032" s="4">
        <v>9.9010125861179002E-16</v>
      </c>
    </row>
    <row r="1033" spans="1:7" x14ac:dyDescent="0.2">
      <c r="A1033" s="10" t="s">
        <v>6288</v>
      </c>
      <c r="B1033" s="10" t="s">
        <v>6289</v>
      </c>
      <c r="C1033" s="10" t="s">
        <v>18</v>
      </c>
      <c r="D1033" s="10">
        <v>4.8347046243967204</v>
      </c>
      <c r="E1033" s="4">
        <v>4.6003360295167503E-37</v>
      </c>
      <c r="F1033" s="10">
        <v>2.5820092161732302</v>
      </c>
      <c r="G1033" s="4">
        <v>2.7157529560173198E-16</v>
      </c>
    </row>
    <row r="1034" spans="1:7" x14ac:dyDescent="0.2">
      <c r="A1034" s="10" t="s">
        <v>7406</v>
      </c>
      <c r="B1034" s="10" t="s">
        <v>7407</v>
      </c>
      <c r="C1034" s="10" t="s">
        <v>18</v>
      </c>
      <c r="D1034" s="10">
        <v>-2.0644620732887602</v>
      </c>
      <c r="E1034" s="4">
        <v>1.5412151493685901E-20</v>
      </c>
      <c r="F1034" s="10">
        <v>-1.11936240602146</v>
      </c>
      <c r="G1034" s="4">
        <v>9.4944585138779096E-5</v>
      </c>
    </row>
    <row r="1035" spans="1:7" x14ac:dyDescent="0.2">
      <c r="A1035" s="10" t="s">
        <v>5054</v>
      </c>
      <c r="B1035" s="10" t="s">
        <v>5055</v>
      </c>
      <c r="C1035" s="10" t="s">
        <v>18</v>
      </c>
      <c r="D1035" s="10">
        <v>-1.16885084713007</v>
      </c>
      <c r="E1035" s="4">
        <v>9.0266846814546396E-8</v>
      </c>
      <c r="F1035" s="10">
        <v>-1.03149555222283</v>
      </c>
      <c r="G1035" s="10">
        <v>4.1700427661336801E-4</v>
      </c>
    </row>
    <row r="1036" spans="1:7" x14ac:dyDescent="0.2">
      <c r="A1036" s="10" t="s">
        <v>5550</v>
      </c>
      <c r="B1036" s="10" t="s">
        <v>5551</v>
      </c>
      <c r="C1036" s="10" t="s">
        <v>18</v>
      </c>
      <c r="D1036" s="10">
        <v>5.2144803763733201</v>
      </c>
      <c r="E1036" s="4">
        <v>5.3795087057765299E-34</v>
      </c>
      <c r="F1036" s="10">
        <v>3.2492508279991599</v>
      </c>
      <c r="G1036" s="4">
        <v>3.2685006869884801E-22</v>
      </c>
    </row>
    <row r="1037" spans="1:7" x14ac:dyDescent="0.2">
      <c r="A1037" s="10" t="s">
        <v>8854</v>
      </c>
      <c r="B1037" s="10" t="s">
        <v>8855</v>
      </c>
      <c r="C1037" s="10" t="s">
        <v>18</v>
      </c>
      <c r="D1037" s="10">
        <v>5.5572139582071802</v>
      </c>
      <c r="E1037" s="4">
        <v>4.84165208934967E-24</v>
      </c>
      <c r="F1037" s="10">
        <v>5.3689446297752799</v>
      </c>
      <c r="G1037" s="4">
        <v>5.5842295788461799E-25</v>
      </c>
    </row>
    <row r="1038" spans="1:7" x14ac:dyDescent="0.2">
      <c r="A1038" s="10" t="s">
        <v>3047</v>
      </c>
      <c r="B1038" s="10" t="s">
        <v>3048</v>
      </c>
      <c r="C1038" s="10" t="s">
        <v>18</v>
      </c>
      <c r="D1038" s="10">
        <v>1.2931941127756099</v>
      </c>
      <c r="E1038" s="4">
        <v>3.0422760062326702E-12</v>
      </c>
      <c r="F1038" s="10">
        <v>1.85501065189616</v>
      </c>
      <c r="G1038" s="4">
        <v>6.9218849935863401E-12</v>
      </c>
    </row>
    <row r="1039" spans="1:7" x14ac:dyDescent="0.2">
      <c r="A1039" s="10" t="s">
        <v>7618</v>
      </c>
      <c r="B1039" s="10" t="s">
        <v>7619</v>
      </c>
      <c r="C1039" s="10" t="s">
        <v>18</v>
      </c>
      <c r="D1039" s="10">
        <v>-1.1438948108108</v>
      </c>
      <c r="E1039" s="4">
        <v>2.0659035822785899E-10</v>
      </c>
      <c r="F1039" s="10">
        <v>-1.8615607406805399</v>
      </c>
      <c r="G1039" s="4">
        <v>1.7442362264599599E-12</v>
      </c>
    </row>
    <row r="1040" spans="1:7" x14ac:dyDescent="0.2">
      <c r="A1040" s="10" t="s">
        <v>1007</v>
      </c>
      <c r="B1040" s="10" t="s">
        <v>1008</v>
      </c>
      <c r="C1040" s="10" t="s">
        <v>18</v>
      </c>
      <c r="D1040" s="10">
        <v>2.8144648995003299</v>
      </c>
      <c r="E1040" s="4">
        <v>2.2297487702327302E-18</v>
      </c>
      <c r="F1040" s="10">
        <v>2.63491113787958</v>
      </c>
      <c r="G1040" s="4">
        <v>5.0110777818181495E-13</v>
      </c>
    </row>
    <row r="1041" spans="1:7" x14ac:dyDescent="0.2">
      <c r="A1041" s="10" t="s">
        <v>871</v>
      </c>
      <c r="B1041" s="10" t="s">
        <v>872</v>
      </c>
      <c r="C1041" s="10" t="s">
        <v>18</v>
      </c>
      <c r="D1041" s="10">
        <v>-2.1058984487176202</v>
      </c>
      <c r="E1041" s="4">
        <v>6.0863141490504104E-20</v>
      </c>
      <c r="F1041" s="10">
        <v>-1.40705276573424</v>
      </c>
      <c r="G1041" s="4">
        <v>2.0387606472425101E-6</v>
      </c>
    </row>
    <row r="1042" spans="1:7" x14ac:dyDescent="0.2">
      <c r="A1042" s="10" t="s">
        <v>869</v>
      </c>
      <c r="B1042" s="10" t="s">
        <v>870</v>
      </c>
      <c r="C1042" s="10" t="s">
        <v>18</v>
      </c>
      <c r="D1042" s="10">
        <v>1.3274569914340799</v>
      </c>
      <c r="E1042" s="4">
        <v>1.70365775765609E-6</v>
      </c>
      <c r="F1042" s="10">
        <v>1.2704241263707801</v>
      </c>
      <c r="G1042" s="4">
        <v>7.2743063565225503E-5</v>
      </c>
    </row>
    <row r="1043" spans="1:7" x14ac:dyDescent="0.2">
      <c r="A1043" s="10" t="s">
        <v>7838</v>
      </c>
      <c r="B1043" s="10" t="s">
        <v>7839</v>
      </c>
      <c r="C1043" s="10" t="s">
        <v>18</v>
      </c>
      <c r="D1043" s="10">
        <v>2.4377282852034101</v>
      </c>
      <c r="E1043" s="4">
        <v>1.34729206577506E-20</v>
      </c>
      <c r="F1043" s="10">
        <v>2.2541417309664702</v>
      </c>
      <c r="G1043" s="4">
        <v>4.5871723896661402E-14</v>
      </c>
    </row>
    <row r="1044" spans="1:7" x14ac:dyDescent="0.2">
      <c r="A1044" s="10" t="s">
        <v>6656</v>
      </c>
      <c r="B1044" s="10" t="s">
        <v>6657</v>
      </c>
      <c r="C1044" s="10" t="s">
        <v>18</v>
      </c>
      <c r="D1044" s="10">
        <v>1.76932512545444</v>
      </c>
      <c r="E1044" s="4">
        <v>1.47215433919451E-24</v>
      </c>
      <c r="F1044" s="10">
        <v>1.7064441897131399</v>
      </c>
      <c r="G1044" s="4">
        <v>3.3751967335254301E-13</v>
      </c>
    </row>
    <row r="1045" spans="1:7" x14ac:dyDescent="0.2">
      <c r="A1045" s="10" t="s">
        <v>2547</v>
      </c>
      <c r="B1045" s="10" t="s">
        <v>2548</v>
      </c>
      <c r="C1045" s="10" t="s">
        <v>18</v>
      </c>
      <c r="D1045" s="10">
        <v>1.86503375705656</v>
      </c>
      <c r="E1045" s="4">
        <v>3.9123813106870998E-25</v>
      </c>
      <c r="F1045" s="10">
        <v>1.6303119419193399</v>
      </c>
      <c r="G1045" s="4">
        <v>2.3085929266870099E-11</v>
      </c>
    </row>
    <row r="1046" spans="1:7" x14ac:dyDescent="0.2">
      <c r="A1046" s="10" t="s">
        <v>6894</v>
      </c>
      <c r="B1046" s="10" t="s">
        <v>6895</v>
      </c>
      <c r="C1046" s="10" t="s">
        <v>18</v>
      </c>
      <c r="D1046" s="10">
        <v>1.4634714055490801</v>
      </c>
      <c r="E1046" s="4">
        <v>3.2922348941897101E-7</v>
      </c>
      <c r="F1046" s="10">
        <v>1.55287645704449</v>
      </c>
      <c r="G1046" s="4">
        <v>9.7900921822862991E-7</v>
      </c>
    </row>
    <row r="1047" spans="1:7" x14ac:dyDescent="0.2">
      <c r="A1047" s="10" t="s">
        <v>2545</v>
      </c>
      <c r="B1047" s="10" t="s">
        <v>2546</v>
      </c>
      <c r="C1047" s="10" t="s">
        <v>18</v>
      </c>
      <c r="D1047" s="10">
        <v>2.83113307522546</v>
      </c>
      <c r="E1047" s="4">
        <v>1.0531338618456901E-56</v>
      </c>
      <c r="F1047" s="10">
        <v>3.8186261897603</v>
      </c>
      <c r="G1047" s="4">
        <v>3.8777374593130799E-54</v>
      </c>
    </row>
    <row r="1048" spans="1:7" x14ac:dyDescent="0.2">
      <c r="A1048" s="10" t="s">
        <v>2761</v>
      </c>
      <c r="B1048" s="10" t="s">
        <v>2762</v>
      </c>
      <c r="C1048" s="10" t="s">
        <v>18</v>
      </c>
      <c r="D1048" s="10">
        <v>1.0991898466730099</v>
      </c>
      <c r="E1048" s="4">
        <v>2.1664126993582201E-9</v>
      </c>
      <c r="F1048" s="10">
        <v>1.0857178410686199</v>
      </c>
      <c r="G1048" s="4">
        <v>1.5650333741996801E-5</v>
      </c>
    </row>
    <row r="1049" spans="1:7" x14ac:dyDescent="0.2">
      <c r="A1049" s="10" t="s">
        <v>7770</v>
      </c>
      <c r="B1049" s="10" t="s">
        <v>7771</v>
      </c>
      <c r="C1049" s="10" t="s">
        <v>18</v>
      </c>
      <c r="D1049" s="10">
        <v>-2.8733050886065001</v>
      </c>
      <c r="E1049" s="10">
        <v>1.10713142713939E-4</v>
      </c>
      <c r="F1049" s="10">
        <v>-3.3348970832685199</v>
      </c>
      <c r="G1049" s="4">
        <v>2.1855990087653702E-6</v>
      </c>
    </row>
    <row r="1050" spans="1:7" x14ac:dyDescent="0.2">
      <c r="A1050" s="10" t="s">
        <v>979</v>
      </c>
      <c r="B1050" s="10" t="s">
        <v>980</v>
      </c>
      <c r="C1050" s="10" t="s">
        <v>18</v>
      </c>
      <c r="D1050" s="10">
        <v>1.1985672027946399</v>
      </c>
      <c r="E1050" s="4">
        <v>2.1851230629380599E-11</v>
      </c>
      <c r="F1050" s="10">
        <v>1.1391434204267701</v>
      </c>
      <c r="G1050" s="4">
        <v>1.7946268334105501E-6</v>
      </c>
    </row>
    <row r="1051" spans="1:7" x14ac:dyDescent="0.2">
      <c r="A1051" s="10" t="s">
        <v>6732</v>
      </c>
      <c r="B1051" s="10" t="s">
        <v>6733</v>
      </c>
      <c r="C1051" s="10" t="s">
        <v>18</v>
      </c>
      <c r="D1051" s="10">
        <v>-2.0826559244029599</v>
      </c>
      <c r="E1051" s="4">
        <v>2.7612817012091302E-21</v>
      </c>
      <c r="F1051" s="10">
        <v>-1.2038604906093699</v>
      </c>
      <c r="G1051" s="4">
        <v>4.0861398330532703E-5</v>
      </c>
    </row>
    <row r="1052" spans="1:7" x14ac:dyDescent="0.2">
      <c r="A1052" s="10" t="s">
        <v>3831</v>
      </c>
      <c r="B1052" s="10" t="s">
        <v>3832</v>
      </c>
      <c r="C1052" s="10" t="s">
        <v>18</v>
      </c>
      <c r="D1052" s="10">
        <v>1.8871619915724001</v>
      </c>
      <c r="E1052" s="4">
        <v>9.27009771425989E-9</v>
      </c>
      <c r="F1052" s="10">
        <v>-1.76312426645717</v>
      </c>
      <c r="G1052" s="4">
        <v>2.1960701984064799E-10</v>
      </c>
    </row>
    <row r="1053" spans="1:7" x14ac:dyDescent="0.2">
      <c r="A1053" s="10" t="s">
        <v>8814</v>
      </c>
      <c r="B1053" s="10" t="s">
        <v>8815</v>
      </c>
      <c r="C1053" s="10" t="s">
        <v>18</v>
      </c>
      <c r="D1053" s="10">
        <v>2.1251918622788102</v>
      </c>
      <c r="E1053" s="10">
        <v>1.03038801247556E-3</v>
      </c>
      <c r="F1053" s="10">
        <v>1.6398383488786099</v>
      </c>
      <c r="G1053" s="10">
        <v>9.7800222039834198E-3</v>
      </c>
    </row>
    <row r="1054" spans="1:7" x14ac:dyDescent="0.2">
      <c r="A1054" s="10" t="s">
        <v>4476</v>
      </c>
      <c r="B1054" s="10" t="s">
        <v>4477</v>
      </c>
      <c r="C1054" s="10" t="s">
        <v>18</v>
      </c>
      <c r="D1054" s="10">
        <v>-1.31198540214847</v>
      </c>
      <c r="E1054" s="4">
        <v>3.5779778131671099E-10</v>
      </c>
      <c r="F1054" s="10">
        <v>-2.38351031825324</v>
      </c>
      <c r="G1054" s="4">
        <v>8.3429369307998004E-21</v>
      </c>
    </row>
    <row r="1055" spans="1:7" x14ac:dyDescent="0.2">
      <c r="A1055" s="10" t="s">
        <v>1941</v>
      </c>
      <c r="B1055" s="10" t="s">
        <v>1942</v>
      </c>
      <c r="C1055" s="10" t="s">
        <v>18</v>
      </c>
      <c r="D1055" s="10">
        <v>-2.2453674457105399</v>
      </c>
      <c r="E1055" s="4">
        <v>1.06606937207392E-19</v>
      </c>
      <c r="F1055" s="10">
        <v>-2.1388415794200299</v>
      </c>
      <c r="G1055" s="4">
        <v>5.3869373777830901E-12</v>
      </c>
    </row>
    <row r="1056" spans="1:7" x14ac:dyDescent="0.2">
      <c r="A1056" s="10" t="s">
        <v>3127</v>
      </c>
      <c r="B1056" s="10" t="s">
        <v>3128</v>
      </c>
      <c r="C1056" s="10" t="s">
        <v>18</v>
      </c>
      <c r="D1056" s="10">
        <v>-2.2792918330057401</v>
      </c>
      <c r="E1056" s="4">
        <v>2.69390245270725E-29</v>
      </c>
      <c r="F1056" s="10">
        <v>-2.3382199524945899</v>
      </c>
      <c r="G1056" s="4">
        <v>2.4166431507419701E-20</v>
      </c>
    </row>
    <row r="1057" spans="1:7" x14ac:dyDescent="0.2">
      <c r="A1057" s="10" t="s">
        <v>3869</v>
      </c>
      <c r="B1057" s="10" t="s">
        <v>3870</v>
      </c>
      <c r="C1057" s="10" t="s">
        <v>18</v>
      </c>
      <c r="D1057" s="10">
        <v>-1.1165319752438501</v>
      </c>
      <c r="E1057" s="4">
        <v>5.9809725755902098E-9</v>
      </c>
      <c r="F1057" s="10">
        <v>-1.20006225134065</v>
      </c>
      <c r="G1057" s="4">
        <v>7.6184916863452901E-7</v>
      </c>
    </row>
    <row r="1058" spans="1:7" x14ac:dyDescent="0.2">
      <c r="A1058" s="10" t="s">
        <v>8752</v>
      </c>
      <c r="B1058" s="10" t="s">
        <v>8753</v>
      </c>
      <c r="C1058" s="10" t="s">
        <v>18</v>
      </c>
      <c r="D1058" s="10">
        <v>-1.3290662123036501</v>
      </c>
      <c r="E1058" s="4">
        <v>9.1279469160578702E-11</v>
      </c>
      <c r="F1058" s="10">
        <v>-1.1601500321254401</v>
      </c>
      <c r="G1058" s="4">
        <v>6.5598656947624993E-5</v>
      </c>
    </row>
    <row r="1059" spans="1:7" x14ac:dyDescent="0.2">
      <c r="A1059" s="10" t="s">
        <v>1283</v>
      </c>
      <c r="B1059" s="10" t="s">
        <v>1284</v>
      </c>
      <c r="C1059" s="10" t="s">
        <v>18</v>
      </c>
      <c r="D1059" s="10">
        <v>-2.81004993321022</v>
      </c>
      <c r="E1059" s="4">
        <v>8.9803511184293791E-44</v>
      </c>
      <c r="F1059" s="10">
        <v>-2.6687979748209201</v>
      </c>
      <c r="G1059" s="4">
        <v>3.8510450480693899E-25</v>
      </c>
    </row>
    <row r="1060" spans="1:7" x14ac:dyDescent="0.2">
      <c r="A1060" s="10" t="s">
        <v>3585</v>
      </c>
      <c r="B1060" s="10" t="s">
        <v>3586</v>
      </c>
      <c r="C1060" s="10" t="s">
        <v>18</v>
      </c>
      <c r="D1060" s="10">
        <v>-1.98809233500128</v>
      </c>
      <c r="E1060" s="4">
        <v>3.3383386709909201E-18</v>
      </c>
      <c r="F1060" s="10">
        <v>-1.49573280893352</v>
      </c>
      <c r="G1060" s="4">
        <v>2.3775878311648901E-7</v>
      </c>
    </row>
    <row r="1061" spans="1:7" x14ac:dyDescent="0.2">
      <c r="A1061" s="10" t="s">
        <v>6532</v>
      </c>
      <c r="B1061" s="10" t="s">
        <v>6533</v>
      </c>
      <c r="C1061" s="10" t="s">
        <v>18</v>
      </c>
      <c r="D1061" s="10">
        <v>-1.1204733741797499</v>
      </c>
      <c r="E1061" s="4">
        <v>3.19074793797631E-7</v>
      </c>
      <c r="F1061" s="10">
        <v>2.0626970649233098</v>
      </c>
      <c r="G1061" s="4">
        <v>9.0551788542812395E-11</v>
      </c>
    </row>
    <row r="1062" spans="1:7" x14ac:dyDescent="0.2">
      <c r="A1062" s="10" t="s">
        <v>6500</v>
      </c>
      <c r="B1062" s="10" t="s">
        <v>6501</v>
      </c>
      <c r="C1062" s="10" t="s">
        <v>18</v>
      </c>
      <c r="D1062" s="10">
        <v>-2.0526927306411502</v>
      </c>
      <c r="E1062" s="4">
        <v>4.22747329285372E-10</v>
      </c>
      <c r="F1062" s="10">
        <v>2.6865945637138098</v>
      </c>
      <c r="G1062" s="4">
        <v>3.8261429118529798E-5</v>
      </c>
    </row>
    <row r="1063" spans="1:7" x14ac:dyDescent="0.2">
      <c r="A1063" s="10" t="s">
        <v>2341</v>
      </c>
      <c r="B1063" s="10" t="s">
        <v>2342</v>
      </c>
      <c r="C1063" s="10" t="s">
        <v>18</v>
      </c>
      <c r="D1063" s="10">
        <v>-1.2695670596653299</v>
      </c>
      <c r="E1063" s="10">
        <v>2.20473551298391E-4</v>
      </c>
      <c r="F1063" s="10">
        <v>-2.2383728450268898</v>
      </c>
      <c r="G1063" s="4">
        <v>7.1138057043800101E-12</v>
      </c>
    </row>
    <row r="1064" spans="1:7" x14ac:dyDescent="0.2">
      <c r="A1064" s="10" t="s">
        <v>3075</v>
      </c>
      <c r="B1064" s="10" t="s">
        <v>3076</v>
      </c>
      <c r="C1064" s="10" t="s">
        <v>18</v>
      </c>
      <c r="D1064" s="10">
        <v>5.1769118515740304</v>
      </c>
      <c r="E1064" s="4">
        <v>2.50053000926871E-54</v>
      </c>
      <c r="F1064" s="10">
        <v>4.8065261949414504</v>
      </c>
      <c r="G1064" s="4">
        <v>3.0035305876056302E-38</v>
      </c>
    </row>
    <row r="1065" spans="1:7" x14ac:dyDescent="0.2">
      <c r="A1065" s="10" t="s">
        <v>3637</v>
      </c>
      <c r="B1065" s="10" t="s">
        <v>3638</v>
      </c>
      <c r="C1065" s="10" t="s">
        <v>18</v>
      </c>
      <c r="D1065" s="10">
        <v>3.1066619967460798</v>
      </c>
      <c r="E1065" s="10">
        <v>2.45323546808561E-3</v>
      </c>
      <c r="F1065" s="10">
        <v>3.1793109192975901</v>
      </c>
      <c r="G1065" s="10">
        <v>1.2262573301090099E-3</v>
      </c>
    </row>
    <row r="1066" spans="1:7" x14ac:dyDescent="0.2">
      <c r="A1066" s="10" t="s">
        <v>5640</v>
      </c>
      <c r="B1066" s="10" t="s">
        <v>5641</v>
      </c>
      <c r="C1066" s="10" t="s">
        <v>18</v>
      </c>
      <c r="D1066" s="10">
        <v>2.2907012430272502</v>
      </c>
      <c r="E1066" s="4">
        <v>5.2493913958531803E-37</v>
      </c>
      <c r="F1066" s="10">
        <v>4.4358760186858399</v>
      </c>
      <c r="G1066" s="4">
        <v>1.00081441675039E-72</v>
      </c>
    </row>
    <row r="1067" spans="1:7" x14ac:dyDescent="0.2">
      <c r="A1067" s="10" t="s">
        <v>3117</v>
      </c>
      <c r="B1067" s="10" t="s">
        <v>3118</v>
      </c>
      <c r="C1067" s="10" t="s">
        <v>18</v>
      </c>
      <c r="D1067" s="10">
        <v>4.1880443600881199</v>
      </c>
      <c r="E1067" s="4">
        <v>2.1988627375779099E-9</v>
      </c>
      <c r="F1067" s="10">
        <v>-1.22588276148208</v>
      </c>
      <c r="G1067" s="10">
        <v>1.24592278121997E-3</v>
      </c>
    </row>
    <row r="1068" spans="1:7" x14ac:dyDescent="0.2">
      <c r="A1068" s="10" t="s">
        <v>3643</v>
      </c>
      <c r="B1068" s="10" t="s">
        <v>3644</v>
      </c>
      <c r="C1068" s="10" t="s">
        <v>18</v>
      </c>
      <c r="D1068" s="10">
        <v>-1.81395445918905</v>
      </c>
      <c r="E1068" s="4">
        <v>6.3057978416595401E-25</v>
      </c>
      <c r="F1068" s="10">
        <v>-1.38860263975304</v>
      </c>
      <c r="G1068" s="4">
        <v>1.31963142760579E-8</v>
      </c>
    </row>
    <row r="1069" spans="1:7" x14ac:dyDescent="0.2">
      <c r="A1069" s="10" t="s">
        <v>7538</v>
      </c>
      <c r="B1069" s="10" t="s">
        <v>7539</v>
      </c>
      <c r="C1069" s="10" t="s">
        <v>18</v>
      </c>
      <c r="D1069" s="10">
        <v>3.17235192472948</v>
      </c>
      <c r="E1069" s="4">
        <v>8.3041287828849401E-33</v>
      </c>
      <c r="F1069" s="10">
        <v>3.19154968716076</v>
      </c>
      <c r="G1069" s="4">
        <v>7.3334329151895504E-24</v>
      </c>
    </row>
    <row r="1070" spans="1:7" x14ac:dyDescent="0.2">
      <c r="A1070" s="10" t="s">
        <v>5618</v>
      </c>
      <c r="B1070" s="10" t="s">
        <v>5619</v>
      </c>
      <c r="C1070" s="10" t="s">
        <v>18</v>
      </c>
      <c r="D1070" s="10">
        <v>-1.5567737241847599</v>
      </c>
      <c r="E1070" s="4">
        <v>2.80551311472811E-8</v>
      </c>
      <c r="F1070" s="10">
        <v>-1.2821020100445699</v>
      </c>
      <c r="G1070" s="10">
        <v>1.14568911176403E-4</v>
      </c>
    </row>
    <row r="1071" spans="1:7" x14ac:dyDescent="0.2">
      <c r="A1071" s="10" t="s">
        <v>3503</v>
      </c>
      <c r="B1071" s="10" t="s">
        <v>3504</v>
      </c>
      <c r="C1071" s="10" t="s">
        <v>18</v>
      </c>
      <c r="D1071" s="10">
        <v>2.88582660766202</v>
      </c>
      <c r="E1071" s="4">
        <v>1.05081913840069E-19</v>
      </c>
      <c r="F1071" s="10">
        <v>2.1107903132693</v>
      </c>
      <c r="G1071" s="4">
        <v>1.1413769181986301E-7</v>
      </c>
    </row>
    <row r="1072" spans="1:7" x14ac:dyDescent="0.2">
      <c r="A1072" s="10" t="s">
        <v>5524</v>
      </c>
      <c r="B1072" s="10" t="s">
        <v>5525</v>
      </c>
      <c r="C1072" s="10" t="s">
        <v>18</v>
      </c>
      <c r="D1072" s="10">
        <v>2.4944894397759101</v>
      </c>
      <c r="E1072" s="4">
        <v>6.4375233257322597E-40</v>
      </c>
      <c r="F1072" s="10">
        <v>3.4216925872735402</v>
      </c>
      <c r="G1072" s="4">
        <v>5.3396292784168802E-45</v>
      </c>
    </row>
    <row r="1073" spans="1:7" x14ac:dyDescent="0.2">
      <c r="A1073" s="10" t="s">
        <v>5564</v>
      </c>
      <c r="B1073" s="10" t="s">
        <v>5565</v>
      </c>
      <c r="C1073" s="10" t="s">
        <v>18</v>
      </c>
      <c r="D1073" s="10">
        <v>-1.9946957787131701</v>
      </c>
      <c r="E1073" s="4">
        <v>5.1341735196254396E-9</v>
      </c>
      <c r="F1073" s="10">
        <v>-2.9416378990262202</v>
      </c>
      <c r="G1073" s="4">
        <v>4.8189288441997703E-19</v>
      </c>
    </row>
    <row r="1074" spans="1:7" x14ac:dyDescent="0.2">
      <c r="A1074" s="10" t="s">
        <v>1341</v>
      </c>
      <c r="B1074" s="10" t="s">
        <v>1342</v>
      </c>
      <c r="C1074" s="10" t="s">
        <v>18</v>
      </c>
      <c r="D1074" s="10">
        <v>1.24275876336936</v>
      </c>
      <c r="E1074" s="4">
        <v>4.9822664679662601E-11</v>
      </c>
      <c r="F1074" s="10">
        <v>2.2704309793520299</v>
      </c>
      <c r="G1074" s="4">
        <v>2.0748176093773901E-19</v>
      </c>
    </row>
    <row r="1075" spans="1:7" x14ac:dyDescent="0.2">
      <c r="A1075" s="10" t="s">
        <v>657</v>
      </c>
      <c r="B1075" s="10" t="s">
        <v>658</v>
      </c>
      <c r="C1075" s="10" t="s">
        <v>18</v>
      </c>
      <c r="D1075" s="10">
        <v>-1.3427345830319</v>
      </c>
      <c r="E1075" s="4">
        <v>1.3303170308995101E-7</v>
      </c>
      <c r="F1075" s="10">
        <v>-1.27290718472918</v>
      </c>
      <c r="G1075" s="10">
        <v>1.02030669538825E-4</v>
      </c>
    </row>
    <row r="1076" spans="1:7" x14ac:dyDescent="0.2">
      <c r="A1076" s="10" t="s">
        <v>2437</v>
      </c>
      <c r="B1076" s="10" t="s">
        <v>2438</v>
      </c>
      <c r="C1076" s="10" t="s">
        <v>18</v>
      </c>
      <c r="D1076" s="10">
        <v>1.6412976066862399</v>
      </c>
      <c r="E1076" s="4">
        <v>2.1654418656991399E-6</v>
      </c>
      <c r="F1076" s="10">
        <v>1.4146262688690801</v>
      </c>
      <c r="G1076" s="10">
        <v>1.02530506280078E-4</v>
      </c>
    </row>
    <row r="1077" spans="1:7" x14ac:dyDescent="0.2">
      <c r="A1077" s="10" t="s">
        <v>7764</v>
      </c>
      <c r="B1077" s="10" t="s">
        <v>7765</v>
      </c>
      <c r="C1077" s="10" t="s">
        <v>18</v>
      </c>
      <c r="D1077" s="10">
        <v>-1.27088024384809</v>
      </c>
      <c r="E1077" s="4">
        <v>2.09648189801131E-8</v>
      </c>
      <c r="F1077" s="10">
        <v>-1.03689958887098</v>
      </c>
      <c r="G1077" s="10">
        <v>1.0060233475861699E-3</v>
      </c>
    </row>
    <row r="1078" spans="1:7" x14ac:dyDescent="0.2">
      <c r="A1078" s="10" t="s">
        <v>4710</v>
      </c>
      <c r="B1078" s="10" t="s">
        <v>4711</v>
      </c>
      <c r="C1078" s="10" t="s">
        <v>18</v>
      </c>
      <c r="D1078" s="10">
        <v>-1.78983871507521</v>
      </c>
      <c r="E1078" s="4">
        <v>4.0829621601216901E-9</v>
      </c>
      <c r="F1078" s="10">
        <v>-1.4715113351876099</v>
      </c>
      <c r="G1078" s="4">
        <v>3.52914074544875E-5</v>
      </c>
    </row>
    <row r="1079" spans="1:7" x14ac:dyDescent="0.2">
      <c r="A1079" s="10" t="s">
        <v>819</v>
      </c>
      <c r="B1079" s="10" t="s">
        <v>820</v>
      </c>
      <c r="C1079" s="10" t="s">
        <v>18</v>
      </c>
      <c r="D1079" s="10">
        <v>3.6520998661691699</v>
      </c>
      <c r="E1079" s="4">
        <v>5.8436445686793996E-13</v>
      </c>
      <c r="F1079" s="10">
        <v>3.26873815663944</v>
      </c>
      <c r="G1079" s="4">
        <v>2.6162361618865301E-11</v>
      </c>
    </row>
    <row r="1080" spans="1:7" x14ac:dyDescent="0.2">
      <c r="A1080" s="10" t="s">
        <v>8808</v>
      </c>
      <c r="B1080" s="10" t="s">
        <v>8809</v>
      </c>
      <c r="C1080" s="10" t="s">
        <v>18</v>
      </c>
      <c r="D1080" s="10">
        <v>8.0361174807644105</v>
      </c>
      <c r="E1080" s="4">
        <v>7.7620210336696996E-8</v>
      </c>
      <c r="F1080" s="10">
        <v>5.2917111708331896</v>
      </c>
      <c r="G1080" s="4">
        <v>1.3528411942041E-15</v>
      </c>
    </row>
    <row r="1081" spans="1:7" x14ac:dyDescent="0.2">
      <c r="A1081" s="10" t="s">
        <v>5434</v>
      </c>
      <c r="B1081" s="10" t="s">
        <v>5435</v>
      </c>
      <c r="C1081" s="10" t="s">
        <v>18</v>
      </c>
      <c r="D1081" s="10">
        <v>-1.62184422222504</v>
      </c>
      <c r="E1081" s="4">
        <v>4.9434790582701998E-15</v>
      </c>
      <c r="F1081" s="10">
        <v>-1.61761719445438</v>
      </c>
      <c r="G1081" s="4">
        <v>5.7924512819757402E-8</v>
      </c>
    </row>
    <row r="1082" spans="1:7" x14ac:dyDescent="0.2">
      <c r="A1082" s="10" t="s">
        <v>47</v>
      </c>
      <c r="B1082" s="10" t="s">
        <v>48</v>
      </c>
      <c r="C1082" s="10" t="s">
        <v>18</v>
      </c>
      <c r="D1082" s="10">
        <v>1.6024725100128201</v>
      </c>
      <c r="E1082" s="4">
        <v>4.9835537566121505E-16</v>
      </c>
      <c r="F1082" s="10">
        <v>2.2501032886467902</v>
      </c>
      <c r="G1082" s="4">
        <v>1.33243810845965E-15</v>
      </c>
    </row>
    <row r="1083" spans="1:7" x14ac:dyDescent="0.2">
      <c r="A1083" s="10" t="s">
        <v>8784</v>
      </c>
      <c r="B1083" s="10" t="s">
        <v>8785</v>
      </c>
      <c r="C1083" s="10" t="s">
        <v>18</v>
      </c>
      <c r="D1083" s="10">
        <v>2.0116952912277202</v>
      </c>
      <c r="E1083" s="4">
        <v>1.4477589951323199E-24</v>
      </c>
      <c r="F1083" s="10">
        <v>2.6792279797186098</v>
      </c>
      <c r="G1083" s="4">
        <v>3.0001215395149599E-21</v>
      </c>
    </row>
    <row r="1084" spans="1:7" x14ac:dyDescent="0.2">
      <c r="A1084" s="10" t="s">
        <v>3373</v>
      </c>
      <c r="B1084" s="10" t="s">
        <v>3374</v>
      </c>
      <c r="C1084" s="10" t="s">
        <v>18</v>
      </c>
      <c r="D1084" s="10">
        <v>1.93033405693064</v>
      </c>
      <c r="E1084" s="4">
        <v>1.26446944240504E-15</v>
      </c>
      <c r="F1084" s="10">
        <v>2.5916357817911302</v>
      </c>
      <c r="G1084" s="4">
        <v>1.7825793528384399E-15</v>
      </c>
    </row>
    <row r="1085" spans="1:7" x14ac:dyDescent="0.2">
      <c r="A1085" s="10" t="s">
        <v>125</v>
      </c>
      <c r="B1085" s="10" t="s">
        <v>126</v>
      </c>
      <c r="C1085" s="10" t="s">
        <v>18</v>
      </c>
      <c r="D1085" s="10">
        <v>-1.6758227620620001</v>
      </c>
      <c r="E1085" s="4">
        <v>3.9548410806663E-11</v>
      </c>
      <c r="F1085" s="10">
        <v>-1.00481652400056</v>
      </c>
      <c r="G1085" s="10">
        <v>1.4079876564108201E-3</v>
      </c>
    </row>
    <row r="1086" spans="1:7" x14ac:dyDescent="0.2">
      <c r="A1086" s="10" t="s">
        <v>8862</v>
      </c>
      <c r="B1086" s="10" t="s">
        <v>8863</v>
      </c>
      <c r="C1086" s="10" t="s">
        <v>18</v>
      </c>
      <c r="D1086" s="10">
        <v>1.1622891985453401</v>
      </c>
      <c r="E1086" s="10">
        <v>1.2904928001403301E-2</v>
      </c>
      <c r="F1086" s="10">
        <v>-1.2221917156636399</v>
      </c>
      <c r="G1086" s="10">
        <v>1.21000707031937E-3</v>
      </c>
    </row>
    <row r="1087" spans="1:7" x14ac:dyDescent="0.2">
      <c r="A1087" s="10" t="s">
        <v>8612</v>
      </c>
      <c r="B1087" s="10" t="s">
        <v>8613</v>
      </c>
      <c r="C1087" s="10" t="s">
        <v>18</v>
      </c>
      <c r="D1087" s="10">
        <v>-1.6065908600713199</v>
      </c>
      <c r="E1087" s="4">
        <v>1.17723829861596E-11</v>
      </c>
      <c r="F1087" s="10">
        <v>-1.7994572671351801</v>
      </c>
      <c r="G1087" s="4">
        <v>8.7341245158268002E-11</v>
      </c>
    </row>
    <row r="1088" spans="1:7" x14ac:dyDescent="0.2">
      <c r="A1088" s="10" t="s">
        <v>5384</v>
      </c>
      <c r="B1088" s="10" t="s">
        <v>5385</v>
      </c>
      <c r="C1088" s="10" t="s">
        <v>18</v>
      </c>
      <c r="D1088" s="10">
        <v>1.86113565450353</v>
      </c>
      <c r="E1088" s="4">
        <v>2.6143747128631201E-20</v>
      </c>
      <c r="F1088" s="10">
        <v>2.05605437525253</v>
      </c>
      <c r="G1088" s="4">
        <v>1.9510033130851798E-14</v>
      </c>
    </row>
    <row r="1089" spans="1:7" x14ac:dyDescent="0.2">
      <c r="A1089" s="10" t="s">
        <v>1693</v>
      </c>
      <c r="B1089" s="10" t="s">
        <v>1694</v>
      </c>
      <c r="C1089" s="10" t="s">
        <v>18</v>
      </c>
      <c r="D1089" s="10">
        <v>1.3243324867121999</v>
      </c>
      <c r="E1089" s="4">
        <v>8.9284265739561302E-13</v>
      </c>
      <c r="F1089" s="10">
        <v>1.0286302857548699</v>
      </c>
      <c r="G1089" s="4">
        <v>3.6074720286747802E-5</v>
      </c>
    </row>
    <row r="1090" spans="1:7" x14ac:dyDescent="0.2">
      <c r="A1090" s="10" t="s">
        <v>6908</v>
      </c>
      <c r="B1090" s="10" t="s">
        <v>6909</v>
      </c>
      <c r="C1090" s="10" t="s">
        <v>18</v>
      </c>
      <c r="D1090" s="10">
        <v>-2.8631085880204199</v>
      </c>
      <c r="E1090" s="4">
        <v>1.0947420736094601E-19</v>
      </c>
      <c r="F1090" s="10">
        <v>-1.9820548026826199</v>
      </c>
      <c r="G1090" s="4">
        <v>2.2906327636376101E-7</v>
      </c>
    </row>
    <row r="1091" spans="1:7" x14ac:dyDescent="0.2">
      <c r="A1091" s="10" t="s">
        <v>3499</v>
      </c>
      <c r="B1091" s="10" t="s">
        <v>3500</v>
      </c>
      <c r="C1091" s="10" t="s">
        <v>18</v>
      </c>
      <c r="D1091" s="10">
        <v>-1.0395275171081799</v>
      </c>
      <c r="E1091" s="4">
        <v>6.3859329128228401E-6</v>
      </c>
      <c r="F1091" s="10">
        <v>-1.14110930351463</v>
      </c>
      <c r="G1091" s="10">
        <v>3.7571638116974399E-4</v>
      </c>
    </row>
    <row r="1092" spans="1:7" x14ac:dyDescent="0.2">
      <c r="A1092" s="10" t="s">
        <v>5992</v>
      </c>
      <c r="B1092" s="10" t="s">
        <v>5993</v>
      </c>
      <c r="C1092" s="10" t="s">
        <v>18</v>
      </c>
      <c r="D1092" s="10">
        <v>1.64982161597207</v>
      </c>
      <c r="E1092" s="4">
        <v>9.7010933838405892E-15</v>
      </c>
      <c r="F1092" s="10">
        <v>1.44942391658535</v>
      </c>
      <c r="G1092" s="4">
        <v>5.1414533603726395E-7</v>
      </c>
    </row>
    <row r="1093" spans="1:7" x14ac:dyDescent="0.2">
      <c r="A1093" s="10" t="s">
        <v>6800</v>
      </c>
      <c r="B1093" s="10" t="s">
        <v>6801</v>
      </c>
      <c r="C1093" s="10" t="s">
        <v>18</v>
      </c>
      <c r="D1093" s="10">
        <v>2.6023676394746702</v>
      </c>
      <c r="E1093" s="4">
        <v>1.79404969322058E-24</v>
      </c>
      <c r="F1093" s="10">
        <v>2.1738582355846501</v>
      </c>
      <c r="G1093" s="4">
        <v>1.1680639439596501E-10</v>
      </c>
    </row>
    <row r="1094" spans="1:7" x14ac:dyDescent="0.2">
      <c r="A1094" s="10" t="s">
        <v>8516</v>
      </c>
      <c r="B1094" s="10" t="s">
        <v>8517</v>
      </c>
      <c r="C1094" s="10" t="s">
        <v>18</v>
      </c>
      <c r="D1094" s="10">
        <v>9.6349854283734206</v>
      </c>
      <c r="E1094" s="4">
        <v>1.2333269552248399E-10</v>
      </c>
      <c r="F1094" s="10">
        <v>3.1838876465603301</v>
      </c>
      <c r="G1094" s="4">
        <v>3.0890970795880402E-11</v>
      </c>
    </row>
    <row r="1095" spans="1:7" x14ac:dyDescent="0.2">
      <c r="A1095" s="10" t="s">
        <v>6172</v>
      </c>
      <c r="B1095" s="10" t="s">
        <v>6173</v>
      </c>
      <c r="C1095" s="10" t="s">
        <v>18</v>
      </c>
      <c r="D1095" s="10">
        <v>1.4751137534908201</v>
      </c>
      <c r="E1095" s="4">
        <v>1.10133455612596E-11</v>
      </c>
      <c r="F1095" s="10">
        <v>1.3103546401274599</v>
      </c>
      <c r="G1095" s="4">
        <v>4.89817280626683E-7</v>
      </c>
    </row>
    <row r="1096" spans="1:7" x14ac:dyDescent="0.2">
      <c r="A1096" s="10" t="s">
        <v>3615</v>
      </c>
      <c r="B1096" s="10" t="s">
        <v>3616</v>
      </c>
      <c r="C1096" s="10" t="s">
        <v>18</v>
      </c>
      <c r="D1096" s="10">
        <v>1.4767963127193799</v>
      </c>
      <c r="E1096" s="4">
        <v>2.2370693458566199E-12</v>
      </c>
      <c r="F1096" s="10">
        <v>1.79092041001557</v>
      </c>
      <c r="G1096" s="4">
        <v>1.3246091161163799E-11</v>
      </c>
    </row>
    <row r="1097" spans="1:7" x14ac:dyDescent="0.2">
      <c r="A1097" s="10" t="s">
        <v>9020</v>
      </c>
      <c r="B1097" s="10" t="s">
        <v>9021</v>
      </c>
      <c r="C1097" s="10" t="s">
        <v>18</v>
      </c>
      <c r="D1097" s="10">
        <v>2.1618804511822902</v>
      </c>
      <c r="E1097" s="4">
        <v>7.0691061083099007E-24</v>
      </c>
      <c r="F1097" s="10">
        <v>1.04256207578724</v>
      </c>
      <c r="G1097" s="10">
        <v>7.7604097549445797E-4</v>
      </c>
    </row>
    <row r="1098" spans="1:7" x14ac:dyDescent="0.2">
      <c r="A1098" s="10" t="s">
        <v>719</v>
      </c>
      <c r="B1098" s="10" t="s">
        <v>720</v>
      </c>
      <c r="C1098" s="10" t="s">
        <v>18</v>
      </c>
      <c r="D1098" s="10">
        <v>-1.65399924906133</v>
      </c>
      <c r="E1098" s="4">
        <v>9.7228514023723599E-15</v>
      </c>
      <c r="F1098" s="10">
        <v>-1.72049823202276</v>
      </c>
      <c r="G1098" s="4">
        <v>1.8770576001602701E-11</v>
      </c>
    </row>
    <row r="1099" spans="1:7" x14ac:dyDescent="0.2">
      <c r="A1099" s="10" t="s">
        <v>7264</v>
      </c>
      <c r="B1099" s="10" t="s">
        <v>7265</v>
      </c>
      <c r="C1099" s="10" t="s">
        <v>18</v>
      </c>
      <c r="D1099" s="10">
        <v>-1.64107781334762</v>
      </c>
      <c r="E1099" s="4">
        <v>5.07945343586689E-11</v>
      </c>
      <c r="F1099" s="10">
        <v>-2.1268377657947801</v>
      </c>
      <c r="G1099" s="4">
        <v>1.7469378478418799E-12</v>
      </c>
    </row>
    <row r="1100" spans="1:7" x14ac:dyDescent="0.2">
      <c r="A1100" s="10" t="s">
        <v>3415</v>
      </c>
      <c r="B1100" s="10" t="s">
        <v>3416</v>
      </c>
      <c r="C1100" s="10" t="s">
        <v>18</v>
      </c>
      <c r="D1100" s="10">
        <v>-1.1198195210725299</v>
      </c>
      <c r="E1100" s="4">
        <v>4.6931951027531796E-6</v>
      </c>
      <c r="F1100" s="10">
        <v>-1.87582850941774</v>
      </c>
      <c r="G1100" s="4">
        <v>3.3386710509033198E-10</v>
      </c>
    </row>
    <row r="1101" spans="1:7" x14ac:dyDescent="0.2">
      <c r="A1101" s="10" t="s">
        <v>4510</v>
      </c>
      <c r="B1101" s="10" t="s">
        <v>4511</v>
      </c>
      <c r="C1101" s="10" t="s">
        <v>18</v>
      </c>
      <c r="D1101" s="10">
        <v>-2.39165625335399</v>
      </c>
      <c r="E1101" s="4">
        <v>3.9315678875511501E-25</v>
      </c>
      <c r="F1101" s="10">
        <v>-1.5554478411035499</v>
      </c>
      <c r="G1101" s="4">
        <v>1.1256361211547299E-7</v>
      </c>
    </row>
    <row r="1102" spans="1:7" x14ac:dyDescent="0.2">
      <c r="A1102" s="10" t="s">
        <v>701</v>
      </c>
      <c r="B1102" s="10" t="s">
        <v>702</v>
      </c>
      <c r="C1102" s="10" t="s">
        <v>18</v>
      </c>
      <c r="D1102" s="10">
        <v>-2.4090354782088199</v>
      </c>
      <c r="E1102" s="4">
        <v>4.9732907644059399E-25</v>
      </c>
      <c r="F1102" s="10">
        <v>-1.68047327982136</v>
      </c>
      <c r="G1102" s="4">
        <v>1.1148532741582701E-7</v>
      </c>
    </row>
    <row r="1103" spans="1:7" x14ac:dyDescent="0.2">
      <c r="A1103" s="10" t="s">
        <v>751</v>
      </c>
      <c r="B1103" s="10" t="s">
        <v>752</v>
      </c>
      <c r="C1103" s="10" t="s">
        <v>18</v>
      </c>
      <c r="D1103" s="10">
        <v>6.0331477837830301</v>
      </c>
      <c r="E1103" s="4">
        <v>1.6221355563694399E-174</v>
      </c>
      <c r="F1103" s="10">
        <v>4.6591743507040402</v>
      </c>
      <c r="G1103" s="4">
        <v>1.16633638558268E-78</v>
      </c>
    </row>
    <row r="1104" spans="1:7" x14ac:dyDescent="0.2">
      <c r="A1104" s="10" t="s">
        <v>7928</v>
      </c>
      <c r="B1104" s="10" t="s">
        <v>7929</v>
      </c>
      <c r="C1104" s="10" t="s">
        <v>18</v>
      </c>
      <c r="D1104" s="10">
        <v>1.9365030573977</v>
      </c>
      <c r="E1104" s="4">
        <v>6.6025596868235702E-21</v>
      </c>
      <c r="F1104" s="10">
        <v>2.0900120881787401</v>
      </c>
      <c r="G1104" s="4">
        <v>2.7588933476692E-13</v>
      </c>
    </row>
    <row r="1105" spans="1:7" x14ac:dyDescent="0.2">
      <c r="A1105" s="10" t="s">
        <v>7504</v>
      </c>
      <c r="B1105" s="10" t="s">
        <v>7505</v>
      </c>
      <c r="C1105" s="10" t="s">
        <v>18</v>
      </c>
      <c r="D1105" s="10">
        <v>-1.3447610606448399</v>
      </c>
      <c r="E1105" s="4">
        <v>2.4456462133436501E-8</v>
      </c>
      <c r="F1105" s="10">
        <v>1.0230133892617399</v>
      </c>
      <c r="G1105" s="10">
        <v>8.3912170364855302E-4</v>
      </c>
    </row>
    <row r="1106" spans="1:7" x14ac:dyDescent="0.2">
      <c r="A1106" s="10" t="s">
        <v>161</v>
      </c>
      <c r="B1106" s="10" t="s">
        <v>162</v>
      </c>
      <c r="C1106" s="10" t="s">
        <v>18</v>
      </c>
      <c r="D1106" s="10">
        <v>-1.5813720737383301</v>
      </c>
      <c r="E1106" s="4">
        <v>2.3209445979502E-14</v>
      </c>
      <c r="F1106" s="10">
        <v>-1.3211129078708701</v>
      </c>
      <c r="G1106" s="4">
        <v>5.9258937912954401E-7</v>
      </c>
    </row>
    <row r="1107" spans="1:7" x14ac:dyDescent="0.2">
      <c r="A1107" s="10" t="s">
        <v>1071</v>
      </c>
      <c r="B1107" s="10" t="s">
        <v>1072</v>
      </c>
      <c r="C1107" s="10" t="s">
        <v>18</v>
      </c>
      <c r="D1107" s="10">
        <v>-1.2368278004663</v>
      </c>
      <c r="E1107" s="4">
        <v>1.6632015374623199E-11</v>
      </c>
      <c r="F1107" s="10">
        <v>-1.6951514979411499</v>
      </c>
      <c r="G1107" s="4">
        <v>6.45748182280261E-12</v>
      </c>
    </row>
    <row r="1108" spans="1:7" x14ac:dyDescent="0.2">
      <c r="A1108" s="10" t="s">
        <v>1073</v>
      </c>
      <c r="B1108" s="10" t="s">
        <v>1074</v>
      </c>
      <c r="C1108" s="10" t="s">
        <v>18</v>
      </c>
      <c r="D1108" s="10">
        <v>-2.0187951314315402</v>
      </c>
      <c r="E1108" s="4">
        <v>3.9696075358323799E-29</v>
      </c>
      <c r="F1108" s="10">
        <v>-2.6341838378176901</v>
      </c>
      <c r="G1108" s="4">
        <v>4.0284577342524999E-23</v>
      </c>
    </row>
    <row r="1109" spans="1:7" x14ac:dyDescent="0.2">
      <c r="A1109" s="10" t="s">
        <v>6810</v>
      </c>
      <c r="B1109" s="10" t="s">
        <v>6811</v>
      </c>
      <c r="C1109" s="10" t="s">
        <v>18</v>
      </c>
      <c r="D1109" s="10">
        <v>-1.62702490209842</v>
      </c>
      <c r="E1109" s="4">
        <v>1.59647473059427E-13</v>
      </c>
      <c r="F1109" s="10">
        <v>-1.34065691463089</v>
      </c>
      <c r="G1109" s="4">
        <v>8.9262680572387193E-6</v>
      </c>
    </row>
    <row r="1110" spans="1:7" x14ac:dyDescent="0.2">
      <c r="A1110" s="10" t="s">
        <v>6812</v>
      </c>
      <c r="B1110" s="10" t="s">
        <v>6813</v>
      </c>
      <c r="C1110" s="10" t="s">
        <v>18</v>
      </c>
      <c r="D1110" s="10">
        <v>-3.7405965201561</v>
      </c>
      <c r="E1110" s="4">
        <v>3.0418100998097102E-20</v>
      </c>
      <c r="F1110" s="10">
        <v>-4.5301191178342002</v>
      </c>
      <c r="G1110" s="4">
        <v>1.0594875973648701E-29</v>
      </c>
    </row>
    <row r="1111" spans="1:7" x14ac:dyDescent="0.2">
      <c r="A1111" s="10" t="s">
        <v>6814</v>
      </c>
      <c r="B1111" s="10" t="s">
        <v>6815</v>
      </c>
      <c r="C1111" s="10" t="s">
        <v>18</v>
      </c>
      <c r="D1111" s="10">
        <v>-4.6467392485571297</v>
      </c>
      <c r="E1111" s="4">
        <v>2.3672621820522201E-35</v>
      </c>
      <c r="F1111" s="10">
        <v>-5.10274236859577</v>
      </c>
      <c r="G1111" s="4">
        <v>1.5089574656339099E-40</v>
      </c>
    </row>
    <row r="1112" spans="1:7" x14ac:dyDescent="0.2">
      <c r="A1112" s="10" t="s">
        <v>6816</v>
      </c>
      <c r="B1112" s="10" t="s">
        <v>6817</v>
      </c>
      <c r="C1112" s="10" t="s">
        <v>18</v>
      </c>
      <c r="D1112" s="10">
        <v>-2.1767663939292299</v>
      </c>
      <c r="E1112" s="4">
        <v>1.2661396259729699E-14</v>
      </c>
      <c r="F1112" s="10">
        <v>-1.5342187541625301</v>
      </c>
      <c r="G1112" s="4">
        <v>3.0284269065234702E-7</v>
      </c>
    </row>
    <row r="1113" spans="1:7" x14ac:dyDescent="0.2">
      <c r="A1113" s="10" t="s">
        <v>6808</v>
      </c>
      <c r="B1113" s="10" t="s">
        <v>6809</v>
      </c>
      <c r="C1113" s="10" t="s">
        <v>18</v>
      </c>
      <c r="D1113" s="10">
        <v>1.54742509307359</v>
      </c>
      <c r="E1113" s="4">
        <v>9.6297789756946E-17</v>
      </c>
      <c r="F1113" s="10">
        <v>2.5467082492805599</v>
      </c>
      <c r="G1113" s="4">
        <v>6.6216128750245001E-23</v>
      </c>
    </row>
    <row r="1114" spans="1:7" x14ac:dyDescent="0.2">
      <c r="A1114" s="10" t="s">
        <v>6088</v>
      </c>
      <c r="B1114" s="10" t="s">
        <v>6089</v>
      </c>
      <c r="C1114" s="10" t="s">
        <v>18</v>
      </c>
      <c r="D1114" s="10">
        <v>-1.86409564730315</v>
      </c>
      <c r="E1114" s="4">
        <v>6.2400970031786302E-20</v>
      </c>
      <c r="F1114" s="10">
        <v>-1.0302207526999001</v>
      </c>
      <c r="G1114" s="4">
        <v>6.2293204760410499E-5</v>
      </c>
    </row>
    <row r="1115" spans="1:7" x14ac:dyDescent="0.2">
      <c r="A1115" s="10" t="s">
        <v>2257</v>
      </c>
      <c r="B1115" s="10" t="s">
        <v>2258</v>
      </c>
      <c r="C1115" s="10" t="s">
        <v>18</v>
      </c>
      <c r="D1115" s="10">
        <v>-1.37237699578485</v>
      </c>
      <c r="E1115" s="4">
        <v>9.3941442174844405E-8</v>
      </c>
      <c r="F1115" s="10">
        <v>-1.61995546486811</v>
      </c>
      <c r="G1115" s="4">
        <v>1.96685760106114E-8</v>
      </c>
    </row>
    <row r="1116" spans="1:7" x14ac:dyDescent="0.2">
      <c r="A1116" s="10" t="s">
        <v>2315</v>
      </c>
      <c r="B1116" s="10" t="s">
        <v>2316</v>
      </c>
      <c r="C1116" s="10" t="s">
        <v>18</v>
      </c>
      <c r="D1116" s="10">
        <v>-3.0007276761759898</v>
      </c>
      <c r="E1116" s="4">
        <v>3.6771747145136701E-34</v>
      </c>
      <c r="F1116" s="10">
        <v>-4.2100145232094999</v>
      </c>
      <c r="G1116" s="4">
        <v>6.1786446771894898E-34</v>
      </c>
    </row>
    <row r="1117" spans="1:7" x14ac:dyDescent="0.2">
      <c r="A1117" s="10" t="s">
        <v>3609</v>
      </c>
      <c r="B1117" s="10" t="s">
        <v>3610</v>
      </c>
      <c r="C1117" s="10" t="s">
        <v>18</v>
      </c>
      <c r="D1117" s="10">
        <v>2.9849874125199598</v>
      </c>
      <c r="E1117" s="10">
        <v>7.2201748183616E-3</v>
      </c>
      <c r="F1117" s="10">
        <v>-2.2688071050066601</v>
      </c>
      <c r="G1117" s="4">
        <v>4.3626797456920804E-6</v>
      </c>
    </row>
    <row r="1118" spans="1:7" x14ac:dyDescent="0.2">
      <c r="A1118" s="10" t="s">
        <v>1927</v>
      </c>
      <c r="B1118" s="10" t="s">
        <v>1928</v>
      </c>
      <c r="C1118" s="10" t="s">
        <v>18</v>
      </c>
      <c r="D1118" s="10">
        <v>1.51579614912362</v>
      </c>
      <c r="E1118" s="10">
        <v>3.6656609478795E-3</v>
      </c>
      <c r="F1118" s="10">
        <v>-3.51032935854793</v>
      </c>
      <c r="G1118" s="4">
        <v>2.4917212491281601E-23</v>
      </c>
    </row>
    <row r="1119" spans="1:7" x14ac:dyDescent="0.2">
      <c r="A1119" s="10" t="s">
        <v>7842</v>
      </c>
      <c r="B1119" s="10" t="s">
        <v>7843</v>
      </c>
      <c r="C1119" s="10" t="s">
        <v>18</v>
      </c>
      <c r="D1119" s="10">
        <v>4.7937616946708896</v>
      </c>
      <c r="E1119" s="4">
        <v>1.0884819889844001E-19</v>
      </c>
      <c r="F1119" s="10">
        <v>2.1394323964625599</v>
      </c>
      <c r="G1119" s="4">
        <v>1.9654373735556499E-7</v>
      </c>
    </row>
    <row r="1120" spans="1:7" x14ac:dyDescent="0.2">
      <c r="A1120" s="10" t="s">
        <v>3611</v>
      </c>
      <c r="B1120" s="10" t="s">
        <v>3612</v>
      </c>
      <c r="C1120" s="10" t="s">
        <v>18</v>
      </c>
      <c r="D1120" s="10">
        <v>6.6647636720749102</v>
      </c>
      <c r="E1120" s="10">
        <v>1.79921664435083E-4</v>
      </c>
      <c r="F1120" s="10">
        <v>2.6855554487661002</v>
      </c>
      <c r="G1120" s="10">
        <v>1.07079239057036E-2</v>
      </c>
    </row>
    <row r="1121" spans="1:7" x14ac:dyDescent="0.2">
      <c r="A1121" s="10" t="s">
        <v>5474</v>
      </c>
      <c r="B1121" s="10" t="s">
        <v>5475</v>
      </c>
      <c r="C1121" s="10" t="s">
        <v>18</v>
      </c>
      <c r="D1121" s="10">
        <v>7.5035158043716397</v>
      </c>
      <c r="E1121" s="4">
        <v>1.2058467158207501E-20</v>
      </c>
      <c r="F1121" s="10">
        <v>6.3199131106267297</v>
      </c>
      <c r="G1121" s="4">
        <v>1.3767291289358399E-108</v>
      </c>
    </row>
    <row r="1122" spans="1:7" x14ac:dyDescent="0.2">
      <c r="A1122" s="10" t="s">
        <v>4816</v>
      </c>
      <c r="B1122" s="10" t="s">
        <v>4817</v>
      </c>
      <c r="C1122" s="10" t="s">
        <v>18</v>
      </c>
      <c r="D1122" s="10">
        <v>9.57404812308401</v>
      </c>
      <c r="E1122" s="4">
        <v>1.1029006184532999E-60</v>
      </c>
      <c r="F1122" s="10">
        <v>10.6277993785283</v>
      </c>
      <c r="G1122" s="4">
        <v>1.28277587174716E-43</v>
      </c>
    </row>
    <row r="1123" spans="1:7" x14ac:dyDescent="0.2">
      <c r="A1123" s="10" t="s">
        <v>4818</v>
      </c>
      <c r="B1123" s="10" t="s">
        <v>4819</v>
      </c>
      <c r="C1123" s="10" t="s">
        <v>18</v>
      </c>
      <c r="D1123" s="10">
        <v>4.4083394905207802</v>
      </c>
      <c r="E1123" s="4">
        <v>3.32772552888625E-11</v>
      </c>
      <c r="F1123" s="10">
        <v>4.8280338185591498</v>
      </c>
      <c r="G1123" s="4">
        <v>2.8629589512243298E-12</v>
      </c>
    </row>
    <row r="1124" spans="1:7" x14ac:dyDescent="0.2">
      <c r="A1124" s="10" t="s">
        <v>4814</v>
      </c>
      <c r="B1124" s="10" t="s">
        <v>4815</v>
      </c>
      <c r="C1124" s="10" t="s">
        <v>18</v>
      </c>
      <c r="D1124" s="10">
        <v>6.3373989280773397</v>
      </c>
      <c r="E1124" s="4">
        <v>4.7360072170262102E-24</v>
      </c>
      <c r="F1124" s="10">
        <v>6.2427063084323997</v>
      </c>
      <c r="G1124" s="4">
        <v>2.3233147057981799E-25</v>
      </c>
    </row>
    <row r="1125" spans="1:7" x14ac:dyDescent="0.2">
      <c r="A1125" s="10" t="s">
        <v>6954</v>
      </c>
      <c r="B1125" s="10" t="s">
        <v>6955</v>
      </c>
      <c r="C1125" s="10" t="s">
        <v>18</v>
      </c>
      <c r="D1125" s="10">
        <v>-2.27035130244654</v>
      </c>
      <c r="E1125" s="4">
        <v>1.14932449293028E-20</v>
      </c>
      <c r="F1125" s="10">
        <v>-1.1387553694333099</v>
      </c>
      <c r="G1125" s="10">
        <v>2.27214126394854E-4</v>
      </c>
    </row>
    <row r="1126" spans="1:7" x14ac:dyDescent="0.2">
      <c r="A1126" s="10" t="s">
        <v>6734</v>
      </c>
      <c r="B1126" s="10" t="s">
        <v>6735</v>
      </c>
      <c r="C1126" s="10" t="s">
        <v>18</v>
      </c>
      <c r="D1126" s="10">
        <v>1.51258161715248</v>
      </c>
      <c r="E1126" s="4">
        <v>3.10730526281806E-13</v>
      </c>
      <c r="F1126" s="10">
        <v>2.33978788875655</v>
      </c>
      <c r="G1126" s="4">
        <v>1.2380460128666499E-14</v>
      </c>
    </row>
    <row r="1127" spans="1:7" x14ac:dyDescent="0.2">
      <c r="A1127" s="10" t="s">
        <v>7466</v>
      </c>
      <c r="B1127" s="10" t="s">
        <v>7467</v>
      </c>
      <c r="C1127" s="10" t="s">
        <v>18</v>
      </c>
      <c r="D1127" s="10">
        <v>1.72495804797357</v>
      </c>
      <c r="E1127" s="4">
        <v>2.1913208373359801E-21</v>
      </c>
      <c r="F1127" s="10">
        <v>1.89059230199354</v>
      </c>
      <c r="G1127" s="4">
        <v>5.6398257177862898E-15</v>
      </c>
    </row>
    <row r="1128" spans="1:7" x14ac:dyDescent="0.2">
      <c r="A1128" s="10" t="s">
        <v>35</v>
      </c>
      <c r="B1128" s="10" t="s">
        <v>36</v>
      </c>
      <c r="C1128" s="10" t="s">
        <v>18</v>
      </c>
      <c r="D1128" s="10">
        <v>-1.33490692427033</v>
      </c>
      <c r="E1128" s="4">
        <v>5.0810455878777195E-7</v>
      </c>
      <c r="F1128" s="10">
        <v>1.3103572225215001</v>
      </c>
      <c r="G1128" s="10">
        <v>9.8024263376319501E-4</v>
      </c>
    </row>
    <row r="1129" spans="1:7" x14ac:dyDescent="0.2">
      <c r="A1129" s="10" t="s">
        <v>8300</v>
      </c>
      <c r="B1129" s="10" t="s">
        <v>8301</v>
      </c>
      <c r="C1129" s="10" t="s">
        <v>18</v>
      </c>
      <c r="D1129" s="10">
        <v>-2.5212546208769102</v>
      </c>
      <c r="E1129" s="4">
        <v>3.2220106814861199E-40</v>
      </c>
      <c r="F1129" s="10">
        <v>-2.1547582792800801</v>
      </c>
      <c r="G1129" s="4">
        <v>2.8638330326316498E-17</v>
      </c>
    </row>
    <row r="1130" spans="1:7" x14ac:dyDescent="0.2">
      <c r="A1130" s="10" t="s">
        <v>8490</v>
      </c>
      <c r="B1130" s="10" t="s">
        <v>8491</v>
      </c>
      <c r="C1130" s="10" t="s">
        <v>18</v>
      </c>
      <c r="D1130" s="10">
        <v>-1.52587190470106</v>
      </c>
      <c r="E1130" s="4">
        <v>3.6630566451196998E-11</v>
      </c>
      <c r="F1130" s="10">
        <v>-2.40989510939586</v>
      </c>
      <c r="G1130" s="4">
        <v>1.78723672548228E-15</v>
      </c>
    </row>
    <row r="1131" spans="1:7" x14ac:dyDescent="0.2">
      <c r="A1131" s="10" t="s">
        <v>8272</v>
      </c>
      <c r="B1131" s="10" t="s">
        <v>8273</v>
      </c>
      <c r="C1131" s="10" t="s">
        <v>18</v>
      </c>
      <c r="D1131" s="10">
        <v>6.8131489558824798</v>
      </c>
      <c r="E1131" s="4">
        <v>9.3752289433606401E-5</v>
      </c>
      <c r="F1131" s="10">
        <v>3.6184469928068799</v>
      </c>
      <c r="G1131" s="10">
        <v>1.3088785211214701E-3</v>
      </c>
    </row>
    <row r="1132" spans="1:7" x14ac:dyDescent="0.2">
      <c r="A1132" s="10" t="s">
        <v>975</v>
      </c>
      <c r="B1132" s="10" t="s">
        <v>976</v>
      </c>
      <c r="C1132" s="10" t="s">
        <v>18</v>
      </c>
      <c r="D1132" s="10">
        <v>-2.25431609055354</v>
      </c>
      <c r="E1132" s="4">
        <v>1.0373224251183601E-6</v>
      </c>
      <c r="F1132" s="10">
        <v>-4.1828942825412598</v>
      </c>
      <c r="G1132" s="4">
        <v>1.4838962725604399E-29</v>
      </c>
    </row>
    <row r="1133" spans="1:7" x14ac:dyDescent="0.2">
      <c r="A1133" s="10" t="s">
        <v>1705</v>
      </c>
      <c r="B1133" s="10" t="s">
        <v>1706</v>
      </c>
      <c r="C1133" s="10" t="s">
        <v>18</v>
      </c>
      <c r="D1133" s="10">
        <v>-1.2925584391996801</v>
      </c>
      <c r="E1133" s="4">
        <v>6.2578224564990204E-8</v>
      </c>
      <c r="F1133" s="10">
        <v>-1.0569720903853299</v>
      </c>
      <c r="G1133" s="10">
        <v>1.7276575306347799E-4</v>
      </c>
    </row>
    <row r="1134" spans="1:7" x14ac:dyDescent="0.2">
      <c r="A1134" s="10" t="s">
        <v>7790</v>
      </c>
      <c r="B1134" s="10" t="s">
        <v>7791</v>
      </c>
      <c r="C1134" s="10" t="s">
        <v>18</v>
      </c>
      <c r="D1134" s="10">
        <v>-1.17595205747243</v>
      </c>
      <c r="E1134" s="4">
        <v>4.1329852540116997E-8</v>
      </c>
      <c r="F1134" s="10">
        <v>-1.0345272270485699</v>
      </c>
      <c r="G1134" s="10">
        <v>2.3872566193737E-4</v>
      </c>
    </row>
    <row r="1135" spans="1:7" x14ac:dyDescent="0.2">
      <c r="A1135" s="10" t="s">
        <v>7060</v>
      </c>
      <c r="B1135" s="10" t="s">
        <v>7061</v>
      </c>
      <c r="C1135" s="10" t="s">
        <v>18</v>
      </c>
      <c r="D1135" s="10">
        <v>-1.1593875158143501</v>
      </c>
      <c r="E1135" s="4">
        <v>2.41998019803932E-10</v>
      </c>
      <c r="F1135" s="10">
        <v>-1.13198992672607</v>
      </c>
      <c r="G1135" s="4">
        <v>2.7018937235282099E-6</v>
      </c>
    </row>
    <row r="1136" spans="1:7" x14ac:dyDescent="0.2">
      <c r="A1136" s="10" t="s">
        <v>8466</v>
      </c>
      <c r="B1136" s="10" t="s">
        <v>8467</v>
      </c>
      <c r="C1136" s="10" t="s">
        <v>18</v>
      </c>
      <c r="D1136" s="10">
        <v>-1.8083703494527399</v>
      </c>
      <c r="E1136" s="4">
        <v>1.3489877423203001E-13</v>
      </c>
      <c r="F1136" s="10">
        <v>-1.3036776607137099</v>
      </c>
      <c r="G1136" s="4">
        <v>4.5948714983958799E-5</v>
      </c>
    </row>
    <row r="1137" spans="1:7" x14ac:dyDescent="0.2">
      <c r="A1137" s="10" t="s">
        <v>3107</v>
      </c>
      <c r="B1137" s="10" t="s">
        <v>3108</v>
      </c>
      <c r="C1137" s="10" t="s">
        <v>18</v>
      </c>
      <c r="D1137" s="10">
        <v>8.4364881784850798</v>
      </c>
      <c r="E1137" s="4">
        <v>1.8343611724614699E-15</v>
      </c>
      <c r="F1137" s="10">
        <v>6.3646436883631798</v>
      </c>
      <c r="G1137" s="4">
        <v>5.3878423230100403E-30</v>
      </c>
    </row>
    <row r="1138" spans="1:7" x14ac:dyDescent="0.2">
      <c r="A1138" s="10" t="s">
        <v>7438</v>
      </c>
      <c r="B1138" s="10" t="s">
        <v>7439</v>
      </c>
      <c r="C1138" s="10" t="s">
        <v>18</v>
      </c>
      <c r="D1138" s="10">
        <v>2.1080826825005001</v>
      </c>
      <c r="E1138" s="4">
        <v>5.0220180217060603E-16</v>
      </c>
      <c r="F1138" s="10">
        <v>1.5477749905553999</v>
      </c>
      <c r="G1138" s="4">
        <v>2.8714752183583801E-6</v>
      </c>
    </row>
    <row r="1139" spans="1:7" x14ac:dyDescent="0.2">
      <c r="A1139" s="10" t="s">
        <v>3467</v>
      </c>
      <c r="B1139" s="10" t="s">
        <v>3468</v>
      </c>
      <c r="C1139" s="10" t="s">
        <v>18</v>
      </c>
      <c r="D1139" s="10">
        <v>3.5035781237286399</v>
      </c>
      <c r="E1139" s="4">
        <v>1.7170022557816199E-8</v>
      </c>
      <c r="F1139" s="10">
        <v>4.7785438720954296</v>
      </c>
      <c r="G1139" s="4">
        <v>2.67921767327656E-10</v>
      </c>
    </row>
    <row r="1140" spans="1:7" x14ac:dyDescent="0.2">
      <c r="A1140" s="10" t="s">
        <v>3165</v>
      </c>
      <c r="B1140" s="10" t="s">
        <v>3166</v>
      </c>
      <c r="C1140" s="10" t="s">
        <v>18</v>
      </c>
      <c r="D1140" s="10">
        <v>1.7188676117978801</v>
      </c>
      <c r="E1140" s="4">
        <v>6.3300442015020499E-21</v>
      </c>
      <c r="F1140" s="10">
        <v>1.89581970925829</v>
      </c>
      <c r="G1140" s="4">
        <v>1.02437576819038E-14</v>
      </c>
    </row>
    <row r="1141" spans="1:7" x14ac:dyDescent="0.2">
      <c r="A1141" s="10" t="s">
        <v>5128</v>
      </c>
      <c r="B1141" s="10" t="s">
        <v>5129</v>
      </c>
      <c r="C1141" s="10" t="s">
        <v>18</v>
      </c>
      <c r="D1141" s="10">
        <v>-1.8736650902233301</v>
      </c>
      <c r="E1141" s="4">
        <v>3.5477449905331199E-15</v>
      </c>
      <c r="F1141" s="10">
        <v>-1.8154423562869799</v>
      </c>
      <c r="G1141" s="4">
        <v>6.14084328828431E-8</v>
      </c>
    </row>
    <row r="1142" spans="1:7" x14ac:dyDescent="0.2">
      <c r="A1142" s="10" t="s">
        <v>1253</v>
      </c>
      <c r="B1142" s="10" t="s">
        <v>1254</v>
      </c>
      <c r="C1142" s="10" t="s">
        <v>18</v>
      </c>
      <c r="D1142" s="10">
        <v>8.1149274647195302</v>
      </c>
      <c r="E1142" s="4">
        <v>5.48161383711664E-8</v>
      </c>
      <c r="F1142" s="10">
        <v>1.7037371169214801</v>
      </c>
      <c r="G1142" s="4">
        <v>6.2606620487488094E-5</v>
      </c>
    </row>
    <row r="1143" spans="1:7" x14ac:dyDescent="0.2">
      <c r="A1143" s="10" t="s">
        <v>7544</v>
      </c>
      <c r="B1143" s="10" t="s">
        <v>7545</v>
      </c>
      <c r="C1143" s="10" t="s">
        <v>18</v>
      </c>
      <c r="D1143" s="10">
        <v>3.2037303520065898</v>
      </c>
      <c r="E1143" s="4">
        <v>1.19860909331195E-23</v>
      </c>
      <c r="F1143" s="10">
        <v>3.0319828241077098</v>
      </c>
      <c r="G1143" s="4">
        <v>1.5040005657902799E-19</v>
      </c>
    </row>
    <row r="1144" spans="1:7" x14ac:dyDescent="0.2">
      <c r="A1144" s="10" t="s">
        <v>8592</v>
      </c>
      <c r="B1144" s="10" t="s">
        <v>8593</v>
      </c>
      <c r="C1144" s="10" t="s">
        <v>18</v>
      </c>
      <c r="D1144" s="10">
        <v>5.8057615842382404</v>
      </c>
      <c r="E1144" s="4">
        <v>1.15479301773051E-78</v>
      </c>
      <c r="F1144" s="10">
        <v>3.8189277287034198</v>
      </c>
      <c r="G1144" s="4">
        <v>1.8182970929774499E-39</v>
      </c>
    </row>
    <row r="1145" spans="1:7" x14ac:dyDescent="0.2">
      <c r="A1145" s="10" t="s">
        <v>5856</v>
      </c>
      <c r="B1145" s="10" t="s">
        <v>5857</v>
      </c>
      <c r="C1145" s="10" t="s">
        <v>18</v>
      </c>
      <c r="D1145" s="10">
        <v>2.1508523969469802</v>
      </c>
      <c r="E1145" s="4">
        <v>1.3543167796730301E-25</v>
      </c>
      <c r="F1145" s="10">
        <v>1.05880807305703</v>
      </c>
      <c r="G1145" s="4">
        <v>5.1903415069041001E-5</v>
      </c>
    </row>
    <row r="1146" spans="1:7" x14ac:dyDescent="0.2">
      <c r="A1146" s="10" t="s">
        <v>2263</v>
      </c>
      <c r="B1146" s="10" t="s">
        <v>2264</v>
      </c>
      <c r="C1146" s="10" t="s">
        <v>18</v>
      </c>
      <c r="D1146" s="10">
        <v>-1.66048144970443</v>
      </c>
      <c r="E1146" s="4">
        <v>3.2105209171384501E-11</v>
      </c>
      <c r="F1146" s="10">
        <v>-1.4949954623192701</v>
      </c>
      <c r="G1146" s="4">
        <v>5.6692047706049497E-7</v>
      </c>
    </row>
    <row r="1147" spans="1:7" x14ac:dyDescent="0.2">
      <c r="A1147" s="10" t="s">
        <v>5164</v>
      </c>
      <c r="B1147" s="10" t="s">
        <v>5165</v>
      </c>
      <c r="C1147" s="10" t="s">
        <v>18</v>
      </c>
      <c r="D1147" s="10">
        <v>-1.19667818478207</v>
      </c>
      <c r="E1147" s="4">
        <v>1.0084392169703299E-6</v>
      </c>
      <c r="F1147" s="10">
        <v>-1.7189764385217501</v>
      </c>
      <c r="G1147" s="4">
        <v>2.3867900641664099E-9</v>
      </c>
    </row>
    <row r="1148" spans="1:7" x14ac:dyDescent="0.2">
      <c r="A1148" s="10" t="s">
        <v>5036</v>
      </c>
      <c r="B1148" s="10" t="s">
        <v>5037</v>
      </c>
      <c r="C1148" s="10" t="s">
        <v>18</v>
      </c>
      <c r="D1148" s="10">
        <v>-1.39943855758467</v>
      </c>
      <c r="E1148" s="10">
        <v>3.5789630609138899E-3</v>
      </c>
      <c r="F1148" s="10">
        <v>-2.9383141392744898</v>
      </c>
      <c r="G1148" s="4">
        <v>3.7010881474886298E-14</v>
      </c>
    </row>
    <row r="1149" spans="1:7" x14ac:dyDescent="0.2">
      <c r="A1149" s="10" t="s">
        <v>1393</v>
      </c>
      <c r="B1149" s="10" t="s">
        <v>1394</v>
      </c>
      <c r="C1149" s="10" t="s">
        <v>18</v>
      </c>
      <c r="D1149" s="10">
        <v>-1.20017181862406</v>
      </c>
      <c r="E1149" s="4">
        <v>2.1338861814207599E-9</v>
      </c>
      <c r="F1149" s="10">
        <v>-2.04374151319599</v>
      </c>
      <c r="G1149" s="4">
        <v>6.1584927867547103E-17</v>
      </c>
    </row>
    <row r="1150" spans="1:7" x14ac:dyDescent="0.2">
      <c r="A1150" s="10" t="s">
        <v>1401</v>
      </c>
      <c r="B1150" s="10" t="s">
        <v>1402</v>
      </c>
      <c r="C1150" s="10" t="s">
        <v>18</v>
      </c>
      <c r="D1150" s="10">
        <v>1.9128395575086501</v>
      </c>
      <c r="E1150" s="4">
        <v>7.43904948120276E-19</v>
      </c>
      <c r="F1150" s="10">
        <v>1.03051024124118</v>
      </c>
      <c r="G1150" s="10">
        <v>1.2351477956246501E-4</v>
      </c>
    </row>
    <row r="1151" spans="1:7" x14ac:dyDescent="0.2">
      <c r="A1151" s="10" t="s">
        <v>3469</v>
      </c>
      <c r="B1151" s="10" t="s">
        <v>3470</v>
      </c>
      <c r="C1151" s="10" t="s">
        <v>18</v>
      </c>
      <c r="D1151" s="10">
        <v>3.2774820065891799</v>
      </c>
      <c r="E1151" s="4">
        <v>2.6846735642572099E-39</v>
      </c>
      <c r="F1151" s="10">
        <v>4.4170262081877798</v>
      </c>
      <c r="G1151" s="4">
        <v>6.5839472231250201E-44</v>
      </c>
    </row>
    <row r="1152" spans="1:7" x14ac:dyDescent="0.2">
      <c r="A1152" s="10" t="s">
        <v>5102</v>
      </c>
      <c r="B1152" s="10" t="s">
        <v>5103</v>
      </c>
      <c r="C1152" s="10" t="s">
        <v>18</v>
      </c>
      <c r="D1152" s="10">
        <v>2.0581117591896598</v>
      </c>
      <c r="E1152" s="4">
        <v>2.6294169163035598E-25</v>
      </c>
      <c r="F1152" s="10">
        <v>2.7613144209774099</v>
      </c>
      <c r="G1152" s="4">
        <v>4.1012220347838701E-22</v>
      </c>
    </row>
    <row r="1153" spans="1:7" x14ac:dyDescent="0.2">
      <c r="A1153" s="10" t="s">
        <v>4227</v>
      </c>
      <c r="B1153" s="10" t="s">
        <v>0</v>
      </c>
      <c r="C1153" s="10" t="s">
        <v>18</v>
      </c>
      <c r="D1153" s="10">
        <v>-1.4492854441151</v>
      </c>
      <c r="E1153" s="4">
        <v>2.42705188486329E-13</v>
      </c>
      <c r="F1153" s="10">
        <v>-1.0688033913641799</v>
      </c>
      <c r="G1153" s="4">
        <v>2.8536767946412701E-5</v>
      </c>
    </row>
    <row r="1154" spans="1:7" x14ac:dyDescent="0.2">
      <c r="A1154" s="10" t="s">
        <v>1117</v>
      </c>
      <c r="B1154" s="10" t="s">
        <v>1118</v>
      </c>
      <c r="C1154" s="10" t="s">
        <v>18</v>
      </c>
      <c r="D1154" s="10">
        <v>3.25841435954207</v>
      </c>
      <c r="E1154" s="4">
        <v>7.79546712968697E-32</v>
      </c>
      <c r="F1154" s="10">
        <v>3.4232972036680298</v>
      </c>
      <c r="G1154" s="4">
        <v>9.1431937273022807E-27</v>
      </c>
    </row>
    <row r="1155" spans="1:7" x14ac:dyDescent="0.2">
      <c r="A1155" s="10" t="s">
        <v>7114</v>
      </c>
      <c r="B1155" s="10" t="s">
        <v>7115</v>
      </c>
      <c r="C1155" s="10" t="s">
        <v>18</v>
      </c>
      <c r="D1155" s="10">
        <v>3.6415987361486599</v>
      </c>
      <c r="E1155" s="4">
        <v>3.6677753590628602E-50</v>
      </c>
      <c r="F1155" s="10">
        <v>1.31449709031933</v>
      </c>
      <c r="G1155" s="4">
        <v>2.6062028110276199E-6</v>
      </c>
    </row>
    <row r="1156" spans="1:7" x14ac:dyDescent="0.2">
      <c r="A1156" s="10" t="s">
        <v>165</v>
      </c>
      <c r="B1156" s="10" t="s">
        <v>166</v>
      </c>
      <c r="C1156" s="10" t="s">
        <v>18</v>
      </c>
      <c r="D1156" s="10">
        <v>-1.53038949399554</v>
      </c>
      <c r="E1156" s="4">
        <v>1.4976388338723799E-7</v>
      </c>
      <c r="F1156" s="10">
        <v>-1.41830336520981</v>
      </c>
      <c r="G1156" s="10">
        <v>1.3999915254946801E-4</v>
      </c>
    </row>
    <row r="1157" spans="1:7" x14ac:dyDescent="0.2">
      <c r="A1157" s="10" t="s">
        <v>145</v>
      </c>
      <c r="B1157" s="10" t="s">
        <v>146</v>
      </c>
      <c r="C1157" s="10" t="s">
        <v>18</v>
      </c>
      <c r="D1157" s="10">
        <v>1.4478484720939599</v>
      </c>
      <c r="E1157" s="4">
        <v>1.67620901227222E-17</v>
      </c>
      <c r="F1157" s="10">
        <v>1.6155628885884501</v>
      </c>
      <c r="G1157" s="4">
        <v>9.1461897989600301E-12</v>
      </c>
    </row>
    <row r="1158" spans="1:7" x14ac:dyDescent="0.2">
      <c r="A1158" s="10" t="s">
        <v>5344</v>
      </c>
      <c r="B1158" s="10" t="s">
        <v>5345</v>
      </c>
      <c r="C1158" s="10" t="s">
        <v>18</v>
      </c>
      <c r="D1158" s="10">
        <v>-1.2851053189203001</v>
      </c>
      <c r="E1158" s="4">
        <v>1.0290673498627501E-11</v>
      </c>
      <c r="F1158" s="10">
        <v>-1.3253886770082799</v>
      </c>
      <c r="G1158" s="4">
        <v>4.32273068550456E-8</v>
      </c>
    </row>
    <row r="1159" spans="1:7" x14ac:dyDescent="0.2">
      <c r="A1159" s="10" t="s">
        <v>197</v>
      </c>
      <c r="B1159" s="10" t="s">
        <v>198</v>
      </c>
      <c r="C1159" s="10" t="s">
        <v>18</v>
      </c>
      <c r="D1159" s="10">
        <v>-3.1928377577100799</v>
      </c>
      <c r="E1159" s="4">
        <v>5.0433330702322002E-5</v>
      </c>
      <c r="F1159" s="10">
        <v>-2.3476023648814199</v>
      </c>
      <c r="G1159" s="10">
        <v>7.8289624506861204E-3</v>
      </c>
    </row>
    <row r="1160" spans="1:7" x14ac:dyDescent="0.2">
      <c r="A1160" s="10" t="s">
        <v>3247</v>
      </c>
      <c r="B1160" s="10" t="s">
        <v>3248</v>
      </c>
      <c r="C1160" s="10" t="s">
        <v>18</v>
      </c>
      <c r="D1160" s="10">
        <v>-2.1442392645381498</v>
      </c>
      <c r="E1160" s="4">
        <v>3.3432242851127501E-21</v>
      </c>
      <c r="F1160" s="10">
        <v>-1.59094814255005</v>
      </c>
      <c r="G1160" s="4">
        <v>1.9718159388891199E-8</v>
      </c>
    </row>
    <row r="1161" spans="1:7" x14ac:dyDescent="0.2">
      <c r="A1161" s="10" t="s">
        <v>4884</v>
      </c>
      <c r="B1161" s="10" t="s">
        <v>4885</v>
      </c>
      <c r="C1161" s="10" t="s">
        <v>18</v>
      </c>
      <c r="D1161" s="10">
        <v>-1.1321923262632001</v>
      </c>
      <c r="E1161" s="4">
        <v>9.5678278167049192E-10</v>
      </c>
      <c r="F1161" s="10">
        <v>-1.7358683337118701</v>
      </c>
      <c r="G1161" s="4">
        <v>4.4490774532136501E-11</v>
      </c>
    </row>
    <row r="1162" spans="1:7" x14ac:dyDescent="0.2">
      <c r="A1162" s="10" t="s">
        <v>5134</v>
      </c>
      <c r="B1162" s="10" t="s">
        <v>5135</v>
      </c>
      <c r="C1162" s="10" t="s">
        <v>18</v>
      </c>
      <c r="D1162" s="10">
        <v>-1.0581846973954401</v>
      </c>
      <c r="E1162" s="4">
        <v>2.4622075958167599E-9</v>
      </c>
      <c r="F1162" s="10">
        <v>-1.2427633765136501</v>
      </c>
      <c r="G1162" s="4">
        <v>2.7919418756265201E-7</v>
      </c>
    </row>
    <row r="1163" spans="1:7" x14ac:dyDescent="0.2">
      <c r="A1163" s="10" t="s">
        <v>691</v>
      </c>
      <c r="B1163" s="10" t="s">
        <v>692</v>
      </c>
      <c r="C1163" s="10" t="s">
        <v>18</v>
      </c>
      <c r="D1163" s="10">
        <v>3.3859448197929098</v>
      </c>
      <c r="E1163" s="4">
        <v>8.2190560672590096E-56</v>
      </c>
      <c r="F1163" s="10">
        <v>8.6749608427282006</v>
      </c>
      <c r="G1163" s="4">
        <v>6.3372614807667199E-124</v>
      </c>
    </row>
    <row r="1164" spans="1:7" x14ac:dyDescent="0.2">
      <c r="A1164" s="10" t="s">
        <v>4458</v>
      </c>
      <c r="B1164" s="10" t="s">
        <v>4459</v>
      </c>
      <c r="C1164" s="10" t="s">
        <v>18</v>
      </c>
      <c r="D1164" s="10">
        <v>-1.43426696051897</v>
      </c>
      <c r="E1164" s="4">
        <v>2.6001209383398E-15</v>
      </c>
      <c r="F1164" s="10">
        <v>-1.40692946065671</v>
      </c>
      <c r="G1164" s="4">
        <v>8.5044942717012893E-9</v>
      </c>
    </row>
    <row r="1165" spans="1:7" x14ac:dyDescent="0.2">
      <c r="A1165" s="10" t="s">
        <v>6780</v>
      </c>
      <c r="B1165" s="10" t="s">
        <v>6781</v>
      </c>
      <c r="C1165" s="10" t="s">
        <v>18</v>
      </c>
      <c r="D1165" s="10">
        <v>1.8587329921470399</v>
      </c>
      <c r="E1165" s="4">
        <v>1.4869513570757E-21</v>
      </c>
      <c r="F1165" s="10">
        <v>1.0097127803800301</v>
      </c>
      <c r="G1165" s="4">
        <v>4.2614851442284403E-5</v>
      </c>
    </row>
    <row r="1166" spans="1:7" x14ac:dyDescent="0.2">
      <c r="A1166" s="10" t="s">
        <v>5118</v>
      </c>
      <c r="B1166" s="10" t="s">
        <v>5119</v>
      </c>
      <c r="C1166" s="10" t="s">
        <v>18</v>
      </c>
      <c r="D1166" s="10">
        <v>1.1790935180965401</v>
      </c>
      <c r="E1166" s="4">
        <v>8.2630442034769102E-11</v>
      </c>
      <c r="F1166" s="10">
        <v>1.6298526698174101</v>
      </c>
      <c r="G1166" s="4">
        <v>1.3123679436619401E-11</v>
      </c>
    </row>
    <row r="1167" spans="1:7" x14ac:dyDescent="0.2">
      <c r="A1167" s="10" t="s">
        <v>2775</v>
      </c>
      <c r="B1167" s="10" t="s">
        <v>2776</v>
      </c>
      <c r="C1167" s="10" t="s">
        <v>18</v>
      </c>
      <c r="D1167" s="10">
        <v>2.5221236453855398</v>
      </c>
      <c r="E1167" s="4">
        <v>1.44908039960302E-23</v>
      </c>
      <c r="F1167" s="10">
        <v>1.5487207064291799</v>
      </c>
      <c r="G1167" s="4">
        <v>1.3466879481283601E-6</v>
      </c>
    </row>
    <row r="1168" spans="1:7" x14ac:dyDescent="0.2">
      <c r="A1168" s="10" t="s">
        <v>8510</v>
      </c>
      <c r="B1168" s="10" t="s">
        <v>8511</v>
      </c>
      <c r="C1168" s="10" t="s">
        <v>18</v>
      </c>
      <c r="D1168" s="10">
        <v>3.2914442768300298</v>
      </c>
      <c r="E1168" s="4">
        <v>2.2485212098899099E-60</v>
      </c>
      <c r="F1168" s="10">
        <v>3.1715933736136299</v>
      </c>
      <c r="G1168" s="4">
        <v>3.21985768049568E-26</v>
      </c>
    </row>
    <row r="1169" spans="1:7" x14ac:dyDescent="0.2">
      <c r="A1169" s="10" t="s">
        <v>5560</v>
      </c>
      <c r="B1169" s="10" t="s">
        <v>5561</v>
      </c>
      <c r="C1169" s="10" t="s">
        <v>18</v>
      </c>
      <c r="D1169" s="10">
        <v>-2.9477613820388999</v>
      </c>
      <c r="E1169" s="4">
        <v>2.0014607305277799E-8</v>
      </c>
      <c r="F1169" s="10">
        <v>-4.3528750303084198</v>
      </c>
      <c r="G1169" s="4">
        <v>4.9141917552151098E-23</v>
      </c>
    </row>
    <row r="1170" spans="1:7" x14ac:dyDescent="0.2">
      <c r="A1170" s="10" t="s">
        <v>3421</v>
      </c>
      <c r="B1170" s="10" t="s">
        <v>3422</v>
      </c>
      <c r="C1170" s="10" t="s">
        <v>18</v>
      </c>
      <c r="D1170" s="10">
        <v>-1.3459651708845799</v>
      </c>
      <c r="E1170" s="4">
        <v>1.95505347998774E-10</v>
      </c>
      <c r="F1170" s="10">
        <v>-1.1792447730768101</v>
      </c>
      <c r="G1170" s="4">
        <v>1.4689604598952899E-5</v>
      </c>
    </row>
    <row r="1171" spans="1:7" x14ac:dyDescent="0.2">
      <c r="A1171" s="10" t="s">
        <v>7922</v>
      </c>
      <c r="B1171" s="10" t="s">
        <v>7923</v>
      </c>
      <c r="C1171" s="10" t="s">
        <v>18</v>
      </c>
      <c r="D1171" s="10">
        <v>-2.5361503307326299</v>
      </c>
      <c r="E1171" s="4">
        <v>1.3658206673735299E-29</v>
      </c>
      <c r="F1171" s="10">
        <v>-1.6765944648818201</v>
      </c>
      <c r="G1171" s="4">
        <v>4.7942705470297001E-7</v>
      </c>
    </row>
    <row r="1172" spans="1:7" x14ac:dyDescent="0.2">
      <c r="A1172" s="10" t="s">
        <v>7302</v>
      </c>
      <c r="B1172" s="10" t="s">
        <v>7303</v>
      </c>
      <c r="C1172" s="10" t="s">
        <v>18</v>
      </c>
      <c r="D1172" s="10">
        <v>1.26754546086728</v>
      </c>
      <c r="E1172" s="4">
        <v>1.1138501028702199E-6</v>
      </c>
      <c r="F1172" s="10">
        <v>2.4324656578132902</v>
      </c>
      <c r="G1172" s="4">
        <v>2.22005843917094E-12</v>
      </c>
    </row>
    <row r="1173" spans="1:7" x14ac:dyDescent="0.2">
      <c r="A1173" s="10" t="s">
        <v>8902</v>
      </c>
      <c r="B1173" s="10" t="s">
        <v>8903</v>
      </c>
      <c r="C1173" s="10" t="s">
        <v>18</v>
      </c>
      <c r="D1173" s="10">
        <v>6.3241333986159303</v>
      </c>
      <c r="E1173" s="4">
        <v>3.1714756354069498E-8</v>
      </c>
      <c r="F1173" s="10">
        <v>1.90207690337336</v>
      </c>
      <c r="G1173" s="10">
        <v>1.2936531232460701E-4</v>
      </c>
    </row>
    <row r="1174" spans="1:7" x14ac:dyDescent="0.2">
      <c r="A1174" s="10" t="s">
        <v>3285</v>
      </c>
      <c r="B1174" s="10" t="s">
        <v>3286</v>
      </c>
      <c r="C1174" s="10" t="s">
        <v>18</v>
      </c>
      <c r="D1174" s="10">
        <v>-2.2240608453361701</v>
      </c>
      <c r="E1174" s="4">
        <v>8.1925090171548195E-29</v>
      </c>
      <c r="F1174" s="10">
        <v>-1.12286065556091</v>
      </c>
      <c r="G1174" s="4">
        <v>9.9201471794776506E-5</v>
      </c>
    </row>
    <row r="1175" spans="1:7" x14ac:dyDescent="0.2">
      <c r="A1175" s="10" t="s">
        <v>917</v>
      </c>
      <c r="B1175" s="10" t="s">
        <v>918</v>
      </c>
      <c r="C1175" s="10" t="s">
        <v>18</v>
      </c>
      <c r="D1175" s="10">
        <v>-1.8936644545849799</v>
      </c>
      <c r="E1175" s="4">
        <v>1.39099106842207E-25</v>
      </c>
      <c r="F1175" s="10">
        <v>-2.2167122173737499</v>
      </c>
      <c r="G1175" s="4">
        <v>6.2806648972764303E-19</v>
      </c>
    </row>
    <row r="1176" spans="1:7" x14ac:dyDescent="0.2">
      <c r="A1176" s="10" t="s">
        <v>2207</v>
      </c>
      <c r="B1176" s="10" t="s">
        <v>2208</v>
      </c>
      <c r="C1176" s="10" t="s">
        <v>18</v>
      </c>
      <c r="D1176" s="10">
        <v>1.9445146569833101</v>
      </c>
      <c r="E1176" s="4">
        <v>1.67235884510115E-17</v>
      </c>
      <c r="F1176" s="10">
        <v>2.1229609359230599</v>
      </c>
      <c r="G1176" s="4">
        <v>1.5398153275136301E-14</v>
      </c>
    </row>
    <row r="1177" spans="1:7" x14ac:dyDescent="0.2">
      <c r="A1177" s="10" t="s">
        <v>8580</v>
      </c>
      <c r="B1177" s="10" t="s">
        <v>8581</v>
      </c>
      <c r="C1177" s="10" t="s">
        <v>18</v>
      </c>
      <c r="D1177" s="10">
        <v>5.6699211665277103</v>
      </c>
      <c r="E1177" s="4">
        <v>2.9732948876486102E-11</v>
      </c>
      <c r="F1177" s="10">
        <v>4.4482692907521004</v>
      </c>
      <c r="G1177" s="4">
        <v>2.1292459172341199E-12</v>
      </c>
    </row>
    <row r="1178" spans="1:7" x14ac:dyDescent="0.2">
      <c r="A1178" s="10" t="s">
        <v>2471</v>
      </c>
      <c r="B1178" s="10" t="s">
        <v>2472</v>
      </c>
      <c r="C1178" s="10" t="s">
        <v>18</v>
      </c>
      <c r="D1178" s="10">
        <v>2.2992118170021998</v>
      </c>
      <c r="E1178" s="4">
        <v>1.7767664352248101E-17</v>
      </c>
      <c r="F1178" s="10">
        <v>4.9112153923204804</v>
      </c>
      <c r="G1178" s="4">
        <v>2.71443427734261E-40</v>
      </c>
    </row>
    <row r="1179" spans="1:7" x14ac:dyDescent="0.2">
      <c r="A1179" s="10" t="s">
        <v>4766</v>
      </c>
      <c r="B1179" s="10" t="s">
        <v>4767</v>
      </c>
      <c r="C1179" s="10" t="s">
        <v>18</v>
      </c>
      <c r="D1179" s="10">
        <v>8.3930634159768793</v>
      </c>
      <c r="E1179" s="4">
        <v>7.3714179256376698E-8</v>
      </c>
      <c r="F1179" s="10">
        <v>4.8565968146946901</v>
      </c>
      <c r="G1179" s="4">
        <v>1.8776934528273199E-8</v>
      </c>
    </row>
    <row r="1180" spans="1:7" x14ac:dyDescent="0.2">
      <c r="A1180" s="10" t="s">
        <v>4794</v>
      </c>
      <c r="B1180" s="10" t="s">
        <v>4795</v>
      </c>
      <c r="C1180" s="10" t="s">
        <v>18</v>
      </c>
      <c r="D1180" s="10">
        <v>5.7351465621435</v>
      </c>
      <c r="E1180" s="4">
        <v>1.7456456193839099E-6</v>
      </c>
      <c r="F1180" s="10">
        <v>5.3813589459498203</v>
      </c>
      <c r="G1180" s="4">
        <v>2.29638564282327E-7</v>
      </c>
    </row>
    <row r="1181" spans="1:7" x14ac:dyDescent="0.2">
      <c r="A1181" s="10" t="s">
        <v>5282</v>
      </c>
      <c r="B1181" s="10" t="s">
        <v>5283</v>
      </c>
      <c r="C1181" s="10" t="s">
        <v>18</v>
      </c>
      <c r="D1181" s="10">
        <v>2.6357779617851498</v>
      </c>
      <c r="E1181" s="4">
        <v>2.8776191889333701E-36</v>
      </c>
      <c r="F1181" s="10">
        <v>2.62340464836358</v>
      </c>
      <c r="G1181" s="4">
        <v>2.0930988131970102E-18</v>
      </c>
    </row>
    <row r="1182" spans="1:7" x14ac:dyDescent="0.2">
      <c r="A1182" s="10" t="s">
        <v>3437</v>
      </c>
      <c r="B1182" s="10" t="s">
        <v>3438</v>
      </c>
      <c r="C1182" s="10" t="s">
        <v>18</v>
      </c>
      <c r="D1182" s="10">
        <v>-1.32586534761552</v>
      </c>
      <c r="E1182" s="4">
        <v>3.1243740050820699E-5</v>
      </c>
      <c r="F1182" s="10">
        <v>-1.12988086693665</v>
      </c>
      <c r="G1182" s="10">
        <v>2.7039969313929798E-3</v>
      </c>
    </row>
    <row r="1183" spans="1:7" x14ac:dyDescent="0.2">
      <c r="A1183" s="10" t="s">
        <v>4588</v>
      </c>
      <c r="B1183" s="10" t="s">
        <v>4589</v>
      </c>
      <c r="C1183" s="10" t="s">
        <v>18</v>
      </c>
      <c r="D1183" s="10">
        <v>7.0874724559522599</v>
      </c>
      <c r="E1183" s="4">
        <v>4.1053861937477301E-6</v>
      </c>
      <c r="F1183" s="10">
        <v>5.0198447926887999</v>
      </c>
      <c r="G1183" s="4">
        <v>2.1320967210812599E-9</v>
      </c>
    </row>
    <row r="1184" spans="1:7" x14ac:dyDescent="0.2">
      <c r="A1184" s="10" t="s">
        <v>4708</v>
      </c>
      <c r="B1184" s="10" t="s">
        <v>4709</v>
      </c>
      <c r="C1184" s="10" t="s">
        <v>18</v>
      </c>
      <c r="D1184" s="10">
        <v>-1.1777478629303999</v>
      </c>
      <c r="E1184" s="4">
        <v>5.4930081839703604E-10</v>
      </c>
      <c r="F1184" s="10">
        <v>-1.64337963856798</v>
      </c>
      <c r="G1184" s="4">
        <v>3.6650074536415901E-11</v>
      </c>
    </row>
    <row r="1185" spans="1:7" x14ac:dyDescent="0.2">
      <c r="A1185" s="10" t="s">
        <v>8372</v>
      </c>
      <c r="B1185" s="10" t="s">
        <v>8373</v>
      </c>
      <c r="C1185" s="10" t="s">
        <v>18</v>
      </c>
      <c r="D1185" s="10">
        <v>-1.06057045895885</v>
      </c>
      <c r="E1185" s="4">
        <v>7.1784735211004603E-9</v>
      </c>
      <c r="F1185" s="10">
        <v>-1.1510594039553099</v>
      </c>
      <c r="G1185" s="4">
        <v>3.9835627442239003E-6</v>
      </c>
    </row>
    <row r="1186" spans="1:7" x14ac:dyDescent="0.2">
      <c r="A1186" s="10" t="s">
        <v>4398</v>
      </c>
      <c r="B1186" s="10" t="s">
        <v>4399</v>
      </c>
      <c r="C1186" s="10" t="s">
        <v>18</v>
      </c>
      <c r="D1186" s="10">
        <v>1.6698978313757</v>
      </c>
      <c r="E1186" s="4">
        <v>2.5123912349941601E-14</v>
      </c>
      <c r="F1186" s="10">
        <v>3.75510359868598</v>
      </c>
      <c r="G1186" s="4">
        <v>4.1086385508433001E-34</v>
      </c>
    </row>
    <row r="1187" spans="1:7" x14ac:dyDescent="0.2">
      <c r="A1187" s="10" t="s">
        <v>7950</v>
      </c>
      <c r="B1187" s="10" t="s">
        <v>7951</v>
      </c>
      <c r="C1187" s="10" t="s">
        <v>18</v>
      </c>
      <c r="D1187" s="10">
        <v>3.5408997007172802</v>
      </c>
      <c r="E1187" s="4">
        <v>1.55166190500188E-30</v>
      </c>
      <c r="F1187" s="10">
        <v>3.5721304133737899</v>
      </c>
      <c r="G1187" s="4">
        <v>7.4609295065701698E-25</v>
      </c>
    </row>
    <row r="1188" spans="1:7" x14ac:dyDescent="0.2">
      <c r="A1188" s="10" t="s">
        <v>3015</v>
      </c>
      <c r="B1188" s="10" t="s">
        <v>3016</v>
      </c>
      <c r="C1188" s="10" t="s">
        <v>18</v>
      </c>
      <c r="D1188" s="10">
        <v>1.57769957475784</v>
      </c>
      <c r="E1188" s="10">
        <v>2.1724819132648999E-3</v>
      </c>
      <c r="F1188" s="10">
        <v>-1.7190729384565</v>
      </c>
      <c r="G1188" s="4">
        <v>2.5336777557662602E-6</v>
      </c>
    </row>
    <row r="1189" spans="1:7" x14ac:dyDescent="0.2">
      <c r="A1189" s="10" t="s">
        <v>4436</v>
      </c>
      <c r="B1189" s="10" t="s">
        <v>4437</v>
      </c>
      <c r="C1189" s="10" t="s">
        <v>18</v>
      </c>
      <c r="D1189" s="10">
        <v>2.4750975275162399</v>
      </c>
      <c r="E1189" s="4">
        <v>2.38359828311281E-12</v>
      </c>
      <c r="F1189" s="10">
        <v>3.1964067331327102</v>
      </c>
      <c r="G1189" s="4">
        <v>1.17993170643188E-14</v>
      </c>
    </row>
    <row r="1190" spans="1:7" x14ac:dyDescent="0.2">
      <c r="A1190" s="10" t="s">
        <v>3465</v>
      </c>
      <c r="B1190" s="10" t="s">
        <v>3466</v>
      </c>
      <c r="C1190" s="10" t="s">
        <v>18</v>
      </c>
      <c r="D1190" s="10">
        <v>1.6233468412457199</v>
      </c>
      <c r="E1190" s="4">
        <v>1.6742422909076699E-14</v>
      </c>
      <c r="F1190" s="10">
        <v>3.3198808084248901</v>
      </c>
      <c r="G1190" s="4">
        <v>8.6783566571227206E-30</v>
      </c>
    </row>
    <row r="1191" spans="1:7" x14ac:dyDescent="0.2">
      <c r="A1191" s="10" t="s">
        <v>4420</v>
      </c>
      <c r="B1191" s="10" t="s">
        <v>4421</v>
      </c>
      <c r="C1191" s="10" t="s">
        <v>18</v>
      </c>
      <c r="D1191" s="10">
        <v>-1.05844445935023</v>
      </c>
      <c r="E1191" s="4">
        <v>8.5658963543432595E-5</v>
      </c>
      <c r="F1191" s="10">
        <v>2.6647017346000799</v>
      </c>
      <c r="G1191" s="4">
        <v>7.7987601534899704E-10</v>
      </c>
    </row>
    <row r="1192" spans="1:7" x14ac:dyDescent="0.2">
      <c r="A1192" s="10" t="s">
        <v>6726</v>
      </c>
      <c r="B1192" s="10" t="s">
        <v>6727</v>
      </c>
      <c r="C1192" s="10" t="s">
        <v>18</v>
      </c>
      <c r="D1192" s="10">
        <v>2.58532712441504</v>
      </c>
      <c r="E1192" s="4">
        <v>1.21887442057348E-22</v>
      </c>
      <c r="F1192" s="10">
        <v>2.52193028718108</v>
      </c>
      <c r="G1192" s="4">
        <v>1.80058457621039E-15</v>
      </c>
    </row>
    <row r="1193" spans="1:7" x14ac:dyDescent="0.2">
      <c r="A1193" s="10" t="s">
        <v>6728</v>
      </c>
      <c r="B1193" s="10" t="s">
        <v>6729</v>
      </c>
      <c r="C1193" s="10" t="s">
        <v>18</v>
      </c>
      <c r="D1193" s="10">
        <v>1.55131382431523</v>
      </c>
      <c r="E1193" s="4">
        <v>2.2143885284539599E-12</v>
      </c>
      <c r="F1193" s="10">
        <v>1.91446341024865</v>
      </c>
      <c r="G1193" s="4">
        <v>1.12353788114943E-10</v>
      </c>
    </row>
    <row r="1194" spans="1:7" x14ac:dyDescent="0.2">
      <c r="A1194" s="10" t="s">
        <v>6748</v>
      </c>
      <c r="B1194" s="10" t="s">
        <v>6749</v>
      </c>
      <c r="C1194" s="10" t="s">
        <v>18</v>
      </c>
      <c r="D1194" s="10">
        <v>1.5268247593545301</v>
      </c>
      <c r="E1194" s="4">
        <v>2.6475847631276701E-8</v>
      </c>
      <c r="F1194" s="10">
        <v>2.8076532113525201</v>
      </c>
      <c r="G1194" s="4">
        <v>6.5920797766894803E-17</v>
      </c>
    </row>
    <row r="1195" spans="1:7" x14ac:dyDescent="0.2">
      <c r="A1195" s="10" t="s">
        <v>6644</v>
      </c>
      <c r="B1195" s="10" t="s">
        <v>6645</v>
      </c>
      <c r="C1195" s="10" t="s">
        <v>18</v>
      </c>
      <c r="D1195" s="10">
        <v>1.82249996923543</v>
      </c>
      <c r="E1195" s="10">
        <v>3.59824330958622E-3</v>
      </c>
      <c r="F1195" s="10">
        <v>1.60157825401707</v>
      </c>
      <c r="G1195" s="10">
        <v>8.2779651989211504E-3</v>
      </c>
    </row>
    <row r="1196" spans="1:7" x14ac:dyDescent="0.2">
      <c r="A1196" s="10" t="s">
        <v>6690</v>
      </c>
      <c r="B1196" s="10" t="s">
        <v>6691</v>
      </c>
      <c r="C1196" s="10" t="s">
        <v>18</v>
      </c>
      <c r="D1196" s="10">
        <v>1.75287981354762</v>
      </c>
      <c r="E1196" s="4">
        <v>1.3395123504360699E-18</v>
      </c>
      <c r="F1196" s="10">
        <v>2.3650577440033098</v>
      </c>
      <c r="G1196" s="4">
        <v>7.5799981258149604E-20</v>
      </c>
    </row>
    <row r="1197" spans="1:7" x14ac:dyDescent="0.2">
      <c r="A1197" s="10" t="s">
        <v>6694</v>
      </c>
      <c r="B1197" s="10" t="s">
        <v>6695</v>
      </c>
      <c r="C1197" s="10" t="s">
        <v>18</v>
      </c>
      <c r="D1197" s="10">
        <v>1.2976170773551501</v>
      </c>
      <c r="E1197" s="4">
        <v>1.9458229915910899E-13</v>
      </c>
      <c r="F1197" s="10">
        <v>2.0187109537636698</v>
      </c>
      <c r="G1197" s="4">
        <v>1.2054341426163899E-15</v>
      </c>
    </row>
    <row r="1198" spans="1:7" x14ac:dyDescent="0.2">
      <c r="A1198" s="10" t="s">
        <v>6718</v>
      </c>
      <c r="B1198" s="10" t="s">
        <v>6719</v>
      </c>
      <c r="C1198" s="10" t="s">
        <v>18</v>
      </c>
      <c r="D1198" s="10">
        <v>2.2352610011280998</v>
      </c>
      <c r="E1198" s="10">
        <v>1.0259126430381901E-3</v>
      </c>
      <c r="F1198" s="10">
        <v>1.81134462060183</v>
      </c>
      <c r="G1198" s="10">
        <v>4.2738171879557196E-3</v>
      </c>
    </row>
    <row r="1199" spans="1:7" x14ac:dyDescent="0.2">
      <c r="A1199" s="10" t="s">
        <v>6720</v>
      </c>
      <c r="B1199" s="10" t="s">
        <v>6721</v>
      </c>
      <c r="C1199" s="10" t="s">
        <v>18</v>
      </c>
      <c r="D1199" s="10">
        <v>1.73450328010778</v>
      </c>
      <c r="E1199" s="4">
        <v>3.2784148234631501E-7</v>
      </c>
      <c r="F1199" s="10">
        <v>1.1645713466601599</v>
      </c>
      <c r="G1199" s="10">
        <v>7.8010706553770096E-4</v>
      </c>
    </row>
    <row r="1200" spans="1:7" x14ac:dyDescent="0.2">
      <c r="A1200" s="10" t="s">
        <v>1555</v>
      </c>
      <c r="B1200" s="10" t="s">
        <v>1556</v>
      </c>
      <c r="C1200" s="10" t="s">
        <v>18</v>
      </c>
      <c r="D1200" s="10">
        <v>6.8875580798481497</v>
      </c>
      <c r="E1200" s="4">
        <v>9.1691789977470307E-6</v>
      </c>
      <c r="F1200" s="10">
        <v>1.35823164181968</v>
      </c>
      <c r="G1200" s="10">
        <v>1.06570720620875E-2</v>
      </c>
    </row>
    <row r="1201" spans="1:7" x14ac:dyDescent="0.2">
      <c r="A1201" s="10" t="s">
        <v>221</v>
      </c>
      <c r="B1201" s="10" t="s">
        <v>222</v>
      </c>
      <c r="C1201" s="10" t="s">
        <v>18</v>
      </c>
      <c r="D1201" s="10">
        <v>2.0463650993363101</v>
      </c>
      <c r="E1201" s="4">
        <v>1.2388540267297399E-20</v>
      </c>
      <c r="F1201" s="10">
        <v>1.5524634708237599</v>
      </c>
      <c r="G1201" s="4">
        <v>3.0854575943625197E-8</v>
      </c>
    </row>
    <row r="1202" spans="1:7" x14ac:dyDescent="0.2">
      <c r="A1202" s="10" t="s">
        <v>2591</v>
      </c>
      <c r="B1202" s="10" t="s">
        <v>2592</v>
      </c>
      <c r="C1202" s="10" t="s">
        <v>18</v>
      </c>
      <c r="D1202" s="10">
        <v>-1.6122563225144699</v>
      </c>
      <c r="E1202" s="4">
        <v>1.6371895678134801E-15</v>
      </c>
      <c r="F1202" s="10">
        <v>-1.1066755619248001</v>
      </c>
      <c r="G1202" s="4">
        <v>3.7755946373226902E-5</v>
      </c>
    </row>
    <row r="1203" spans="1:7" x14ac:dyDescent="0.2">
      <c r="A1203" s="10" t="s">
        <v>2693</v>
      </c>
      <c r="B1203" s="10" t="s">
        <v>2694</v>
      </c>
      <c r="C1203" s="10" t="s">
        <v>18</v>
      </c>
      <c r="D1203" s="10">
        <v>1.2896710589690099</v>
      </c>
      <c r="E1203" s="4">
        <v>3.28512891855204E-11</v>
      </c>
      <c r="F1203" s="10">
        <v>1.37884927644449</v>
      </c>
      <c r="G1203" s="4">
        <v>1.6179896130754601E-7</v>
      </c>
    </row>
    <row r="1204" spans="1:7" x14ac:dyDescent="0.2">
      <c r="A1204" s="10" t="s">
        <v>5534</v>
      </c>
      <c r="B1204" s="10" t="s">
        <v>5535</v>
      </c>
      <c r="C1204" s="10" t="s">
        <v>18</v>
      </c>
      <c r="D1204" s="10">
        <v>-1.2459047477726899</v>
      </c>
      <c r="E1204" s="4">
        <v>2.2778975595682401E-6</v>
      </c>
      <c r="F1204" s="10">
        <v>-2.08640810300371</v>
      </c>
      <c r="G1204" s="4">
        <v>1.23559516584656E-10</v>
      </c>
    </row>
    <row r="1205" spans="1:7" x14ac:dyDescent="0.2">
      <c r="A1205" s="10" t="s">
        <v>4298</v>
      </c>
      <c r="B1205" s="10" t="s">
        <v>4299</v>
      </c>
      <c r="C1205" s="10" t="s">
        <v>18</v>
      </c>
      <c r="D1205" s="10">
        <v>2.0396185842830699</v>
      </c>
      <c r="E1205" s="4">
        <v>2.95214119779151E-24</v>
      </c>
      <c r="F1205" s="10">
        <v>2.1264274113639998</v>
      </c>
      <c r="G1205" s="4">
        <v>2.4786138138851001E-14</v>
      </c>
    </row>
    <row r="1206" spans="1:7" x14ac:dyDescent="0.2">
      <c r="A1206" s="10" t="s">
        <v>785</v>
      </c>
      <c r="B1206" s="10" t="s">
        <v>786</v>
      </c>
      <c r="C1206" s="10" t="s">
        <v>18</v>
      </c>
      <c r="D1206" s="10">
        <v>-1.5827763265953301</v>
      </c>
      <c r="E1206" s="10">
        <v>1.16143831677308E-2</v>
      </c>
      <c r="F1206" s="10">
        <v>-2.19079465881814</v>
      </c>
      <c r="G1206" s="4">
        <v>6.6815494966712395E-5</v>
      </c>
    </row>
    <row r="1207" spans="1:7" x14ac:dyDescent="0.2">
      <c r="A1207" s="10" t="s">
        <v>3633</v>
      </c>
      <c r="B1207" s="10" t="s">
        <v>3634</v>
      </c>
      <c r="C1207" s="10" t="s">
        <v>18</v>
      </c>
      <c r="D1207" s="10">
        <v>1.3679821838375601</v>
      </c>
      <c r="E1207" s="10">
        <v>6.1838195041064004E-4</v>
      </c>
      <c r="F1207" s="10">
        <v>-2.29741244345677</v>
      </c>
      <c r="G1207" s="4">
        <v>1.07966068098275E-12</v>
      </c>
    </row>
    <row r="1208" spans="1:7" x14ac:dyDescent="0.2">
      <c r="A1208" s="10" t="s">
        <v>5312</v>
      </c>
      <c r="B1208" s="10" t="s">
        <v>5313</v>
      </c>
      <c r="C1208" s="10" t="s">
        <v>18</v>
      </c>
      <c r="D1208" s="10">
        <v>-1.2295734023214799</v>
      </c>
      <c r="E1208" s="10">
        <v>4.1939350674706404E-3</v>
      </c>
      <c r="F1208" s="10">
        <v>-1.9852749380708501</v>
      </c>
      <c r="G1208" s="4">
        <v>5.7428969636393898E-7</v>
      </c>
    </row>
    <row r="1209" spans="1:7" x14ac:dyDescent="0.2">
      <c r="A1209" s="10" t="s">
        <v>2987</v>
      </c>
      <c r="B1209" s="10" t="s">
        <v>2988</v>
      </c>
      <c r="C1209" s="10" t="s">
        <v>18</v>
      </c>
      <c r="D1209" s="10">
        <v>-1.46002561019914</v>
      </c>
      <c r="E1209" s="4">
        <v>1.2062075088905801E-7</v>
      </c>
      <c r="F1209" s="10">
        <v>-1.43233267656768</v>
      </c>
      <c r="G1209" s="4">
        <v>3.7641882682978101E-6</v>
      </c>
    </row>
    <row r="1210" spans="1:7" x14ac:dyDescent="0.2">
      <c r="A1210" s="10" t="s">
        <v>1437</v>
      </c>
      <c r="B1210" s="10" t="s">
        <v>1438</v>
      </c>
      <c r="C1210" s="10" t="s">
        <v>18</v>
      </c>
      <c r="D1210" s="10">
        <v>1.80588430776447</v>
      </c>
      <c r="E1210" s="4">
        <v>7.6541535921326494E-21</v>
      </c>
      <c r="F1210" s="10">
        <v>3.1791111820393998</v>
      </c>
      <c r="G1210" s="4">
        <v>5.9890119710546196E-35</v>
      </c>
    </row>
    <row r="1211" spans="1:7" x14ac:dyDescent="0.2">
      <c r="A1211" s="10" t="s">
        <v>2795</v>
      </c>
      <c r="B1211" s="10" t="s">
        <v>2796</v>
      </c>
      <c r="C1211" s="10" t="s">
        <v>18</v>
      </c>
      <c r="D1211" s="10">
        <v>2.71983003852089</v>
      </c>
      <c r="E1211" s="10">
        <v>2.0991246108348701E-3</v>
      </c>
      <c r="F1211" s="10">
        <v>-1.7356780884265699</v>
      </c>
      <c r="G1211" s="10">
        <v>1.6548844410931899E-4</v>
      </c>
    </row>
    <row r="1212" spans="1:7" x14ac:dyDescent="0.2">
      <c r="A1212" s="10" t="s">
        <v>2155</v>
      </c>
      <c r="B1212" s="10" t="s">
        <v>2156</v>
      </c>
      <c r="C1212" s="10" t="s">
        <v>18</v>
      </c>
      <c r="D1212" s="10">
        <v>7.0855852496685596</v>
      </c>
      <c r="E1212" s="4">
        <v>1.8141924812194199E-23</v>
      </c>
      <c r="F1212" s="10">
        <v>5.6665651015466096</v>
      </c>
      <c r="G1212" s="4">
        <v>2.9899486321096101E-31</v>
      </c>
    </row>
    <row r="1213" spans="1:7" x14ac:dyDescent="0.2">
      <c r="A1213" s="10" t="s">
        <v>1793</v>
      </c>
      <c r="B1213" s="10" t="s">
        <v>1794</v>
      </c>
      <c r="C1213" s="10" t="s">
        <v>18</v>
      </c>
      <c r="D1213" s="10">
        <v>-1.4373208022233199</v>
      </c>
      <c r="E1213" s="4">
        <v>1.0803263901446499E-11</v>
      </c>
      <c r="F1213" s="10">
        <v>-1.3044371672527</v>
      </c>
      <c r="G1213" s="4">
        <v>1.0393009414919601E-5</v>
      </c>
    </row>
    <row r="1214" spans="1:7" x14ac:dyDescent="0.2">
      <c r="A1214" s="10" t="s">
        <v>1229</v>
      </c>
      <c r="B1214" s="10" t="s">
        <v>1230</v>
      </c>
      <c r="C1214" s="10" t="s">
        <v>18</v>
      </c>
      <c r="D1214" s="10">
        <v>3.8400350714709202</v>
      </c>
      <c r="E1214" s="4">
        <v>3.9784817753904399E-31</v>
      </c>
      <c r="F1214" s="10">
        <v>3.0383863155561799</v>
      </c>
      <c r="G1214" s="4">
        <v>3.9598552909941801E-20</v>
      </c>
    </row>
    <row r="1215" spans="1:7" x14ac:dyDescent="0.2">
      <c r="A1215" s="10" t="s">
        <v>3175</v>
      </c>
      <c r="B1215" s="10" t="s">
        <v>3176</v>
      </c>
      <c r="C1215" s="10" t="s">
        <v>18</v>
      </c>
      <c r="D1215" s="10">
        <v>-1.68688998436001</v>
      </c>
      <c r="E1215" s="4">
        <v>1.9973203818843801E-5</v>
      </c>
      <c r="F1215" s="10">
        <v>-5.2176083554594701</v>
      </c>
      <c r="G1215" s="4">
        <v>7.20220775793925E-60</v>
      </c>
    </row>
    <row r="1216" spans="1:7" x14ac:dyDescent="0.2">
      <c r="A1216" s="10" t="s">
        <v>6652</v>
      </c>
      <c r="B1216" s="10" t="s">
        <v>6653</v>
      </c>
      <c r="C1216" s="10" t="s">
        <v>18</v>
      </c>
      <c r="D1216" s="10">
        <v>1.8287881133234001</v>
      </c>
      <c r="E1216" s="4">
        <v>5.9530894130203802E-22</v>
      </c>
      <c r="F1216" s="10">
        <v>1.47231232469623</v>
      </c>
      <c r="G1216" s="4">
        <v>4.1169093742877903E-9</v>
      </c>
    </row>
    <row r="1217" spans="1:7" x14ac:dyDescent="0.2">
      <c r="A1217" s="10" t="s">
        <v>7064</v>
      </c>
      <c r="B1217" s="10" t="s">
        <v>7065</v>
      </c>
      <c r="C1217" s="10" t="s">
        <v>18</v>
      </c>
      <c r="D1217" s="10">
        <v>8.653849868999</v>
      </c>
      <c r="E1217" s="4">
        <v>1.1843437572619101E-19</v>
      </c>
      <c r="F1217" s="10">
        <v>6.3749847047745698</v>
      </c>
      <c r="G1217" s="4">
        <v>8.1619638575436298E-79</v>
      </c>
    </row>
    <row r="1218" spans="1:7" x14ac:dyDescent="0.2">
      <c r="A1218" s="10" t="s">
        <v>6590</v>
      </c>
      <c r="B1218" s="10" t="s">
        <v>6591</v>
      </c>
      <c r="C1218" s="10" t="s">
        <v>18</v>
      </c>
      <c r="D1218" s="10">
        <v>1.66900331285409</v>
      </c>
      <c r="E1218" s="10">
        <v>5.3046404442410903E-3</v>
      </c>
      <c r="F1218" s="10">
        <v>2.5510836659873202</v>
      </c>
      <c r="G1218" s="4">
        <v>1.0756563276939199E-5</v>
      </c>
    </row>
    <row r="1219" spans="1:7" x14ac:dyDescent="0.2">
      <c r="A1219" s="10" t="s">
        <v>5696</v>
      </c>
      <c r="B1219" s="10" t="s">
        <v>5697</v>
      </c>
      <c r="C1219" s="10" t="s">
        <v>18</v>
      </c>
      <c r="D1219" s="10">
        <v>1.3433716957166599</v>
      </c>
      <c r="E1219" s="4">
        <v>1.8763535395775E-10</v>
      </c>
      <c r="F1219" s="10">
        <v>1.6050483828136399</v>
      </c>
      <c r="G1219" s="4">
        <v>6.3960992166828597E-10</v>
      </c>
    </row>
    <row r="1220" spans="1:7" x14ac:dyDescent="0.2">
      <c r="A1220" s="10" t="s">
        <v>909</v>
      </c>
      <c r="B1220" s="10" t="s">
        <v>910</v>
      </c>
      <c r="C1220" s="10" t="s">
        <v>18</v>
      </c>
      <c r="D1220" s="10">
        <v>2.0111340004501801</v>
      </c>
      <c r="E1220" s="4">
        <v>1.9232336273544201E-26</v>
      </c>
      <c r="F1220" s="10">
        <v>2.5146854678743198</v>
      </c>
      <c r="G1220" s="4">
        <v>2.2043401614723502E-24</v>
      </c>
    </row>
    <row r="1221" spans="1:7" x14ac:dyDescent="0.2">
      <c r="A1221" s="10" t="s">
        <v>815</v>
      </c>
      <c r="B1221" s="10" t="s">
        <v>816</v>
      </c>
      <c r="C1221" s="10" t="s">
        <v>18</v>
      </c>
      <c r="D1221" s="10">
        <v>1.6602142979194501</v>
      </c>
      <c r="E1221" s="4">
        <v>2.3684151318490701E-12</v>
      </c>
      <c r="F1221" s="10">
        <v>1.33316856006341</v>
      </c>
      <c r="G1221" s="4">
        <v>1.2722408063691099E-6</v>
      </c>
    </row>
    <row r="1222" spans="1:7" x14ac:dyDescent="0.2">
      <c r="A1222" s="10" t="s">
        <v>3781</v>
      </c>
      <c r="B1222" s="10" t="s">
        <v>3782</v>
      </c>
      <c r="C1222" s="10" t="s">
        <v>18</v>
      </c>
      <c r="D1222" s="10">
        <v>1.44081573111757</v>
      </c>
      <c r="E1222" s="4">
        <v>1.2168453289373199E-5</v>
      </c>
      <c r="F1222" s="10">
        <v>2.4831370308872902</v>
      </c>
      <c r="G1222" s="4">
        <v>1.4108815680269601E-10</v>
      </c>
    </row>
    <row r="1223" spans="1:7" x14ac:dyDescent="0.2">
      <c r="A1223" s="10" t="s">
        <v>8026</v>
      </c>
      <c r="B1223" s="10" t="s">
        <v>8027</v>
      </c>
      <c r="C1223" s="10" t="s">
        <v>18</v>
      </c>
      <c r="D1223" s="10">
        <v>-2.05206975595318</v>
      </c>
      <c r="E1223" s="4">
        <v>6.6701086579688603E-6</v>
      </c>
      <c r="F1223" s="10">
        <v>-2.7942381412281398</v>
      </c>
      <c r="G1223" s="4">
        <v>3.4973313596264197E-11</v>
      </c>
    </row>
    <row r="1224" spans="1:7" x14ac:dyDescent="0.2">
      <c r="A1224" s="10" t="s">
        <v>9026</v>
      </c>
      <c r="B1224" s="10" t="s">
        <v>9027</v>
      </c>
      <c r="C1224" s="10" t="s">
        <v>18</v>
      </c>
      <c r="D1224" s="10">
        <v>2.2053674435501902</v>
      </c>
      <c r="E1224" s="4">
        <v>2.5873409378416899E-16</v>
      </c>
      <c r="F1224" s="10">
        <v>1.1106855405633</v>
      </c>
      <c r="G1224" s="10">
        <v>2.61417781490629E-4</v>
      </c>
    </row>
    <row r="1225" spans="1:7" x14ac:dyDescent="0.2">
      <c r="A1225" s="10" t="s">
        <v>6716</v>
      </c>
      <c r="B1225" s="10" t="s">
        <v>6717</v>
      </c>
      <c r="C1225" s="10" t="s">
        <v>18</v>
      </c>
      <c r="D1225" s="10">
        <v>2.28701850145469</v>
      </c>
      <c r="E1225" s="4">
        <v>9.0862325108777793E-24</v>
      </c>
      <c r="F1225" s="10">
        <v>5.8839965101048897</v>
      </c>
      <c r="G1225" s="4">
        <v>9.9851642815090194E-60</v>
      </c>
    </row>
    <row r="1226" spans="1:7" x14ac:dyDescent="0.2">
      <c r="A1226" s="10" t="s">
        <v>5594</v>
      </c>
      <c r="B1226" s="10" t="s">
        <v>5595</v>
      </c>
      <c r="C1226" s="10" t="s">
        <v>18</v>
      </c>
      <c r="D1226" s="10">
        <v>3.13186638109865</v>
      </c>
      <c r="E1226" s="4">
        <v>1.35875364304888E-8</v>
      </c>
      <c r="F1226" s="10">
        <v>2.0218619848212098</v>
      </c>
      <c r="G1226" s="4">
        <v>5.7065947489417101E-5</v>
      </c>
    </row>
    <row r="1227" spans="1:7" x14ac:dyDescent="0.2">
      <c r="A1227" s="10" t="s">
        <v>8420</v>
      </c>
      <c r="B1227" s="10" t="s">
        <v>8421</v>
      </c>
      <c r="C1227" s="10" t="s">
        <v>18</v>
      </c>
      <c r="D1227" s="10">
        <v>-1.63256764859225</v>
      </c>
      <c r="E1227" s="4">
        <v>5.1614985466757701E-12</v>
      </c>
      <c r="F1227" s="10">
        <v>-1.48251868759035</v>
      </c>
      <c r="G1227" s="4">
        <v>3.2923728317767601E-7</v>
      </c>
    </row>
    <row r="1228" spans="1:7" x14ac:dyDescent="0.2">
      <c r="A1228" s="10" t="s">
        <v>3593</v>
      </c>
      <c r="B1228" s="10" t="s">
        <v>3594</v>
      </c>
      <c r="C1228" s="10" t="s">
        <v>18</v>
      </c>
      <c r="D1228" s="10">
        <v>1.77903210733888</v>
      </c>
      <c r="E1228" s="4">
        <v>2.3984878146938899E-5</v>
      </c>
      <c r="F1228" s="10">
        <v>2.52352146068197</v>
      </c>
      <c r="G1228" s="4">
        <v>3.1877495709657401E-7</v>
      </c>
    </row>
    <row r="1229" spans="1:7" x14ac:dyDescent="0.2">
      <c r="A1229" s="10" t="s">
        <v>2243</v>
      </c>
      <c r="B1229" s="10" t="s">
        <v>2244</v>
      </c>
      <c r="C1229" s="10" t="s">
        <v>18</v>
      </c>
      <c r="D1229" s="10">
        <v>-2.5358448106121001</v>
      </c>
      <c r="E1229" s="4">
        <v>1.11015058938894E-20</v>
      </c>
      <c r="F1229" s="10">
        <v>-1.1853448538786999</v>
      </c>
      <c r="G1229" s="10">
        <v>1.32942078113081E-3</v>
      </c>
    </row>
    <row r="1230" spans="1:7" x14ac:dyDescent="0.2">
      <c r="A1230" s="10" t="s">
        <v>6440</v>
      </c>
      <c r="B1230" s="10" t="s">
        <v>6441</v>
      </c>
      <c r="C1230" s="10" t="s">
        <v>18</v>
      </c>
      <c r="D1230" s="10">
        <v>5.5426185621181396</v>
      </c>
      <c r="E1230" s="4">
        <v>4.3628621016312901E-6</v>
      </c>
      <c r="F1230" s="10">
        <v>2.2671986548128298</v>
      </c>
      <c r="G1230" s="10">
        <v>4.6610266870640902E-4</v>
      </c>
    </row>
    <row r="1231" spans="1:7" x14ac:dyDescent="0.2">
      <c r="A1231" s="10" t="s">
        <v>7690</v>
      </c>
      <c r="B1231" s="10" t="s">
        <v>7691</v>
      </c>
      <c r="C1231" s="10" t="s">
        <v>18</v>
      </c>
      <c r="D1231" s="10">
        <v>1.9495324482618599</v>
      </c>
      <c r="E1231" s="10">
        <v>1.0268136775290201E-2</v>
      </c>
      <c r="F1231" s="10">
        <v>2.1979461577355899</v>
      </c>
      <c r="G1231" s="10">
        <v>3.4091210007107199E-3</v>
      </c>
    </row>
    <row r="1232" spans="1:7" x14ac:dyDescent="0.2">
      <c r="A1232" s="10" t="s">
        <v>4544</v>
      </c>
      <c r="B1232" s="10" t="s">
        <v>4545</v>
      </c>
      <c r="C1232" s="10" t="s">
        <v>18</v>
      </c>
      <c r="D1232" s="10">
        <v>-2.0819134146401899</v>
      </c>
      <c r="E1232" s="4">
        <v>1.79127379789522E-8</v>
      </c>
      <c r="F1232" s="10">
        <v>-1.89666705623764</v>
      </c>
      <c r="G1232" s="4">
        <v>1.29520697354735E-5</v>
      </c>
    </row>
    <row r="1233" spans="1:7" x14ac:dyDescent="0.2">
      <c r="A1233" s="10" t="s">
        <v>527</v>
      </c>
      <c r="B1233" s="10" t="s">
        <v>528</v>
      </c>
      <c r="C1233" s="10" t="s">
        <v>18</v>
      </c>
      <c r="D1233" s="10">
        <v>-2.37992426702113</v>
      </c>
      <c r="E1233" s="4">
        <v>1.68361408438292E-9</v>
      </c>
      <c r="F1233" s="10">
        <v>-1.8574675696546601</v>
      </c>
      <c r="G1233" s="4">
        <v>2.6893591025572099E-5</v>
      </c>
    </row>
    <row r="1234" spans="1:7" x14ac:dyDescent="0.2">
      <c r="A1234" s="10" t="s">
        <v>5338</v>
      </c>
      <c r="B1234" s="10" t="s">
        <v>5339</v>
      </c>
      <c r="C1234" s="10" t="s">
        <v>18</v>
      </c>
      <c r="D1234" s="10">
        <v>6.2853458829969604</v>
      </c>
      <c r="E1234" s="10">
        <v>7.3400009002317702E-4</v>
      </c>
      <c r="F1234" s="10">
        <v>6.5312222652024596</v>
      </c>
      <c r="G1234" s="10">
        <v>3.41496016600229E-4</v>
      </c>
    </row>
    <row r="1235" spans="1:7" x14ac:dyDescent="0.2">
      <c r="A1235" s="10" t="s">
        <v>8978</v>
      </c>
      <c r="B1235" s="10" t="s">
        <v>8979</v>
      </c>
      <c r="C1235" s="10" t="s">
        <v>18</v>
      </c>
      <c r="D1235" s="10">
        <v>-1.1773730310132999</v>
      </c>
      <c r="E1235" s="10">
        <v>1.5459538951122401E-3</v>
      </c>
      <c r="F1235" s="10">
        <v>-1.3640221392013201</v>
      </c>
      <c r="G1235" s="10">
        <v>5.1117992413738495E-4</v>
      </c>
    </row>
    <row r="1236" spans="1:7" x14ac:dyDescent="0.2">
      <c r="A1236" s="10" t="s">
        <v>4848</v>
      </c>
      <c r="B1236" s="10" t="s">
        <v>4849</v>
      </c>
      <c r="C1236" s="10" t="s">
        <v>18</v>
      </c>
      <c r="D1236" s="10">
        <v>8.3084927241206206</v>
      </c>
      <c r="E1236" s="4">
        <v>2.6448695352249E-8</v>
      </c>
      <c r="F1236" s="10">
        <v>6.5641178010984804</v>
      </c>
      <c r="G1236" s="4">
        <v>4.4482281434176504E-15</v>
      </c>
    </row>
    <row r="1237" spans="1:7" x14ac:dyDescent="0.2">
      <c r="A1237" s="10" t="s">
        <v>4846</v>
      </c>
      <c r="B1237" s="10" t="s">
        <v>4847</v>
      </c>
      <c r="C1237" s="10" t="s">
        <v>18</v>
      </c>
      <c r="D1237" s="10">
        <v>8.0437929318565509</v>
      </c>
      <c r="E1237" s="4">
        <v>4.1809024581598998E-7</v>
      </c>
      <c r="F1237" s="10">
        <v>8.2882914681710496</v>
      </c>
      <c r="G1237" s="4">
        <v>1.6421361587781899E-7</v>
      </c>
    </row>
    <row r="1238" spans="1:7" x14ac:dyDescent="0.2">
      <c r="A1238" s="10" t="s">
        <v>1585</v>
      </c>
      <c r="B1238" s="10" t="s">
        <v>1586</v>
      </c>
      <c r="C1238" s="10" t="s">
        <v>18</v>
      </c>
      <c r="D1238" s="10">
        <v>7.3874326880881798</v>
      </c>
      <c r="E1238" s="4">
        <v>8.5637737119496104E-6</v>
      </c>
      <c r="F1238" s="10">
        <v>6.1971949942801698</v>
      </c>
      <c r="G1238" s="10">
        <v>1.2375194204958701E-4</v>
      </c>
    </row>
    <row r="1239" spans="1:7" x14ac:dyDescent="0.2">
      <c r="A1239" s="10" t="s">
        <v>5304</v>
      </c>
      <c r="B1239" s="10" t="s">
        <v>5305</v>
      </c>
      <c r="C1239" s="10" t="s">
        <v>18</v>
      </c>
      <c r="D1239" s="10">
        <v>7.8797918306758801</v>
      </c>
      <c r="E1239" s="4">
        <v>1.0551490283252899E-6</v>
      </c>
      <c r="F1239" s="10">
        <v>3.6929533567347401</v>
      </c>
      <c r="G1239" s="4">
        <v>1.07173211768441E-5</v>
      </c>
    </row>
    <row r="1240" spans="1:7" x14ac:dyDescent="0.2">
      <c r="A1240" s="10" t="s">
        <v>5306</v>
      </c>
      <c r="B1240" s="10" t="s">
        <v>5307</v>
      </c>
      <c r="C1240" s="10" t="s">
        <v>18</v>
      </c>
      <c r="D1240" s="10">
        <v>6.6260767523936703</v>
      </c>
      <c r="E1240" s="10">
        <v>2.0756596289313501E-4</v>
      </c>
      <c r="F1240" s="10">
        <v>6.8707988282040704</v>
      </c>
      <c r="G1240" s="4">
        <v>9.1984036525100306E-5</v>
      </c>
    </row>
    <row r="1241" spans="1:7" x14ac:dyDescent="0.2">
      <c r="A1241" s="10" t="s">
        <v>3619</v>
      </c>
      <c r="B1241" s="10" t="s">
        <v>3620</v>
      </c>
      <c r="C1241" s="10" t="s">
        <v>18</v>
      </c>
      <c r="D1241" s="10">
        <v>1.2724985196905101</v>
      </c>
      <c r="E1241" s="4">
        <v>6.7067365745848001E-9</v>
      </c>
      <c r="F1241" s="10">
        <v>1.1906622663119</v>
      </c>
      <c r="G1241" s="4">
        <v>3.42993928082313E-5</v>
      </c>
    </row>
    <row r="1242" spans="1:7" x14ac:dyDescent="0.2">
      <c r="A1242" s="10" t="s">
        <v>6762</v>
      </c>
      <c r="B1242" s="10" t="s">
        <v>6763</v>
      </c>
      <c r="C1242" s="10" t="s">
        <v>18</v>
      </c>
      <c r="D1242" s="10">
        <v>3.0259850579287502</v>
      </c>
      <c r="E1242" s="4">
        <v>2.3809638770977799E-39</v>
      </c>
      <c r="F1242" s="10">
        <v>2.5894019131390098</v>
      </c>
      <c r="G1242" s="4">
        <v>3.5967071195933801E-18</v>
      </c>
    </row>
    <row r="1243" spans="1:7" x14ac:dyDescent="0.2">
      <c r="A1243" s="10" t="s">
        <v>363</v>
      </c>
      <c r="B1243" s="10" t="s">
        <v>364</v>
      </c>
      <c r="C1243" s="10" t="s">
        <v>18</v>
      </c>
      <c r="D1243" s="10">
        <v>-1.3577200668507201</v>
      </c>
      <c r="E1243" s="4">
        <v>9.8982427156891595E-11</v>
      </c>
      <c r="F1243" s="10">
        <v>-1.8886211335181</v>
      </c>
      <c r="G1243" s="4">
        <v>4.1769469078367603E-14</v>
      </c>
    </row>
    <row r="1244" spans="1:7" x14ac:dyDescent="0.2">
      <c r="A1244" s="10" t="s">
        <v>7204</v>
      </c>
      <c r="B1244" s="10" t="s">
        <v>7205</v>
      </c>
      <c r="C1244" s="10" t="s">
        <v>18</v>
      </c>
      <c r="D1244" s="10">
        <v>-1.24179530567861</v>
      </c>
      <c r="E1244" s="4">
        <v>2.9446554819248598E-9</v>
      </c>
      <c r="F1244" s="10">
        <v>-1.0242358469463</v>
      </c>
      <c r="G1244" s="10">
        <v>3.1102212890078403E-4</v>
      </c>
    </row>
    <row r="1245" spans="1:7" x14ac:dyDescent="0.2">
      <c r="A1245" s="10" t="s">
        <v>7586</v>
      </c>
      <c r="B1245" s="10" t="s">
        <v>7587</v>
      </c>
      <c r="C1245" s="10" t="s">
        <v>18</v>
      </c>
      <c r="D1245" s="10">
        <v>7.4263028774980002</v>
      </c>
      <c r="E1245" s="4">
        <v>1.39663557428024E-11</v>
      </c>
      <c r="F1245" s="10">
        <v>2.61579975337771</v>
      </c>
      <c r="G1245" s="4">
        <v>3.7004337322728401E-9</v>
      </c>
    </row>
    <row r="1246" spans="1:7" x14ac:dyDescent="0.2">
      <c r="A1246" s="10" t="s">
        <v>3419</v>
      </c>
      <c r="B1246" s="10" t="s">
        <v>3420</v>
      </c>
      <c r="C1246" s="10" t="s">
        <v>18</v>
      </c>
      <c r="D1246" s="10">
        <v>1.04258280060018</v>
      </c>
      <c r="E1246" s="4">
        <v>1.4255454943662101E-9</v>
      </c>
      <c r="F1246" s="10">
        <v>1.5143912007509801</v>
      </c>
      <c r="G1246" s="4">
        <v>1.24378156418622E-10</v>
      </c>
    </row>
    <row r="1247" spans="1:7" x14ac:dyDescent="0.2">
      <c r="A1247" s="10" t="s">
        <v>275</v>
      </c>
      <c r="B1247" s="10" t="s">
        <v>276</v>
      </c>
      <c r="C1247" s="10" t="s">
        <v>18</v>
      </c>
      <c r="D1247" s="10">
        <v>2.4761489353918602</v>
      </c>
      <c r="E1247" s="4">
        <v>3.13305682259621E-6</v>
      </c>
      <c r="F1247" s="10">
        <v>2.0997063393859099</v>
      </c>
      <c r="G1247" s="4">
        <v>2.20172533776195E-5</v>
      </c>
    </row>
    <row r="1248" spans="1:7" x14ac:dyDescent="0.2">
      <c r="A1248" s="10" t="s">
        <v>2513</v>
      </c>
      <c r="B1248" s="10" t="s">
        <v>2514</v>
      </c>
      <c r="C1248" s="10" t="s">
        <v>18</v>
      </c>
      <c r="D1248" s="10">
        <v>1.2553038202628199</v>
      </c>
      <c r="E1248" s="4">
        <v>2.6560289024354203E-10</v>
      </c>
      <c r="F1248" s="10">
        <v>1.9575995733092399</v>
      </c>
      <c r="G1248" s="4">
        <v>8.4432876898897105E-15</v>
      </c>
    </row>
    <row r="1249" spans="1:7" x14ac:dyDescent="0.2">
      <c r="A1249" s="10" t="s">
        <v>6688</v>
      </c>
      <c r="B1249" s="10" t="s">
        <v>6689</v>
      </c>
      <c r="C1249" s="10" t="s">
        <v>18</v>
      </c>
      <c r="D1249" s="10">
        <v>5.9881616536061903</v>
      </c>
      <c r="E1249" s="4">
        <v>2.7730707752776898E-34</v>
      </c>
      <c r="F1249" s="10">
        <v>3.6949491369388401</v>
      </c>
      <c r="G1249" s="4">
        <v>9.1173332012782398E-24</v>
      </c>
    </row>
    <row r="1250" spans="1:7" x14ac:dyDescent="0.2">
      <c r="A1250" s="10" t="s">
        <v>1001</v>
      </c>
      <c r="B1250" s="10" t="s">
        <v>1002</v>
      </c>
      <c r="C1250" s="10" t="s">
        <v>18</v>
      </c>
      <c r="D1250" s="10">
        <v>5.8544232773187304</v>
      </c>
      <c r="E1250" s="4">
        <v>5.8546432301582804E-31</v>
      </c>
      <c r="F1250" s="10">
        <v>3.0288624822833801</v>
      </c>
      <c r="G1250" s="4">
        <v>1.8396794557795799E-18</v>
      </c>
    </row>
    <row r="1251" spans="1:7" x14ac:dyDescent="0.2">
      <c r="A1251" s="10" t="s">
        <v>7426</v>
      </c>
      <c r="B1251" s="10" t="s">
        <v>7427</v>
      </c>
      <c r="C1251" s="10" t="s">
        <v>18</v>
      </c>
      <c r="D1251" s="10">
        <v>6.9787263653550902</v>
      </c>
      <c r="E1251" s="4">
        <v>4.8427434887250102E-5</v>
      </c>
      <c r="F1251" s="10">
        <v>4.18931994150749</v>
      </c>
      <c r="G1251" s="10">
        <v>4.0177854550340898E-4</v>
      </c>
    </row>
    <row r="1252" spans="1:7" x14ac:dyDescent="0.2">
      <c r="A1252" s="10" t="s">
        <v>1587</v>
      </c>
      <c r="B1252" s="10" t="s">
        <v>1588</v>
      </c>
      <c r="C1252" s="10" t="s">
        <v>18</v>
      </c>
      <c r="D1252" s="10">
        <v>8.1508923901166206</v>
      </c>
      <c r="E1252" s="4">
        <v>2.68279560279713E-7</v>
      </c>
      <c r="F1252" s="10">
        <v>3.9831669914594499</v>
      </c>
      <c r="G1252" s="4">
        <v>7.9882441517143304E-7</v>
      </c>
    </row>
    <row r="1253" spans="1:7" x14ac:dyDescent="0.2">
      <c r="A1253" s="10" t="s">
        <v>2571</v>
      </c>
      <c r="B1253" s="10" t="s">
        <v>2572</v>
      </c>
      <c r="C1253" s="10" t="s">
        <v>18</v>
      </c>
      <c r="D1253" s="10">
        <v>7.4333788874152704</v>
      </c>
      <c r="E1253" s="4">
        <v>8.8365235463473705E-17</v>
      </c>
      <c r="F1253" s="10">
        <v>6.2810082587340998</v>
      </c>
      <c r="G1253" s="4">
        <v>5.0945453531098096E-24</v>
      </c>
    </row>
    <row r="1254" spans="1:7" x14ac:dyDescent="0.2">
      <c r="A1254" s="10" t="s">
        <v>6178</v>
      </c>
      <c r="B1254" s="10" t="s">
        <v>6179</v>
      </c>
      <c r="C1254" s="10" t="s">
        <v>18</v>
      </c>
      <c r="D1254" s="10">
        <v>1.8300257055834099</v>
      </c>
      <c r="E1254" s="4">
        <v>2.0056493741583101E-15</v>
      </c>
      <c r="F1254" s="10">
        <v>1.3446717077991801</v>
      </c>
      <c r="G1254" s="4">
        <v>3.0729817354597E-6</v>
      </c>
    </row>
    <row r="1255" spans="1:7" x14ac:dyDescent="0.2">
      <c r="A1255" s="10" t="s">
        <v>2489</v>
      </c>
      <c r="B1255" s="10" t="s">
        <v>2490</v>
      </c>
      <c r="C1255" s="10" t="s">
        <v>18</v>
      </c>
      <c r="D1255" s="10">
        <v>3.5325505999132201</v>
      </c>
      <c r="E1255" s="4">
        <v>7.2746695546105506E-27</v>
      </c>
      <c r="F1255" s="10">
        <v>1.0167301973345499</v>
      </c>
      <c r="G1255" s="10">
        <v>4.6776849254766598E-4</v>
      </c>
    </row>
    <row r="1256" spans="1:7" x14ac:dyDescent="0.2">
      <c r="A1256" s="10" t="s">
        <v>1085</v>
      </c>
      <c r="B1256" s="10" t="s">
        <v>1086</v>
      </c>
      <c r="C1256" s="10" t="s">
        <v>18</v>
      </c>
      <c r="D1256" s="10">
        <v>-1.1964297488965401</v>
      </c>
      <c r="E1256" s="4">
        <v>4.2662710422207604E-6</v>
      </c>
      <c r="F1256" s="10">
        <v>-2.2884673124442099</v>
      </c>
      <c r="G1256" s="4">
        <v>4.7552873940231302E-16</v>
      </c>
    </row>
    <row r="1257" spans="1:7" x14ac:dyDescent="0.2">
      <c r="A1257" s="10" t="s">
        <v>5056</v>
      </c>
      <c r="B1257" s="10" t="s">
        <v>5057</v>
      </c>
      <c r="C1257" s="10" t="s">
        <v>18</v>
      </c>
      <c r="D1257" s="10">
        <v>7.7191613852522396</v>
      </c>
      <c r="E1257" s="4">
        <v>9.5114251054249804E-13</v>
      </c>
      <c r="F1257" s="10">
        <v>7.9804359281597197</v>
      </c>
      <c r="G1257" s="4">
        <v>2.8596437582330899E-13</v>
      </c>
    </row>
    <row r="1258" spans="1:7" x14ac:dyDescent="0.2">
      <c r="A1258" s="10" t="s">
        <v>7854</v>
      </c>
      <c r="B1258" s="10" t="s">
        <v>7855</v>
      </c>
      <c r="C1258" s="10" t="s">
        <v>18</v>
      </c>
      <c r="D1258" s="10">
        <v>-1.8618887146985399</v>
      </c>
      <c r="E1258" s="4">
        <v>9.2375553489307301E-7</v>
      </c>
      <c r="F1258" s="10">
        <v>-1.45082520267571</v>
      </c>
      <c r="G1258" s="10">
        <v>8.5577992837892396E-4</v>
      </c>
    </row>
    <row r="1259" spans="1:7" x14ac:dyDescent="0.2">
      <c r="A1259" s="10" t="s">
        <v>5112</v>
      </c>
      <c r="B1259" s="10" t="s">
        <v>5113</v>
      </c>
      <c r="C1259" s="10" t="s">
        <v>18</v>
      </c>
      <c r="D1259" s="10">
        <v>2.3760557447662398</v>
      </c>
      <c r="E1259" s="4">
        <v>2.1517242258010301E-24</v>
      </c>
      <c r="F1259" s="10">
        <v>2.81394852366929</v>
      </c>
      <c r="G1259" s="4">
        <v>1.8984865933651599E-22</v>
      </c>
    </row>
    <row r="1260" spans="1:7" x14ac:dyDescent="0.2">
      <c r="A1260" s="10" t="s">
        <v>2099</v>
      </c>
      <c r="B1260" s="10" t="s">
        <v>2100</v>
      </c>
      <c r="C1260" s="10" t="s">
        <v>18</v>
      </c>
      <c r="D1260" s="10">
        <v>8.0200053447276503</v>
      </c>
      <c r="E1260" s="4">
        <v>4.9008190645831098E-7</v>
      </c>
      <c r="F1260" s="10">
        <v>2.0378774788495901</v>
      </c>
      <c r="G1260" s="10">
        <v>2.4855793576145499E-3</v>
      </c>
    </row>
    <row r="1261" spans="1:7" x14ac:dyDescent="0.2">
      <c r="A1261" s="10" t="s">
        <v>2645</v>
      </c>
      <c r="B1261" s="10" t="s">
        <v>2646</v>
      </c>
      <c r="C1261" s="10" t="s">
        <v>18</v>
      </c>
      <c r="D1261" s="10">
        <v>1.5924058179215901</v>
      </c>
      <c r="E1261" s="4">
        <v>3.36745216033401E-16</v>
      </c>
      <c r="F1261" s="10">
        <v>2.1779828044526202</v>
      </c>
      <c r="G1261" s="4">
        <v>4.9390039748772298E-17</v>
      </c>
    </row>
    <row r="1262" spans="1:7" x14ac:dyDescent="0.2">
      <c r="A1262" s="10" t="s">
        <v>151</v>
      </c>
      <c r="B1262" s="10" t="s">
        <v>152</v>
      </c>
      <c r="C1262" s="10" t="s">
        <v>18</v>
      </c>
      <c r="D1262" s="10">
        <v>8.6511604095928494</v>
      </c>
      <c r="E1262" s="4">
        <v>3.37124678824575E-16</v>
      </c>
      <c r="F1262" s="10">
        <v>7.5818139286497903</v>
      </c>
      <c r="G1262" s="4">
        <v>8.9634624387835898E-26</v>
      </c>
    </row>
    <row r="1263" spans="1:7" x14ac:dyDescent="0.2">
      <c r="A1263" s="10" t="s">
        <v>153</v>
      </c>
      <c r="B1263" s="10" t="s">
        <v>154</v>
      </c>
      <c r="C1263" s="10" t="s">
        <v>18</v>
      </c>
      <c r="D1263" s="10">
        <v>9.7648249731750898</v>
      </c>
      <c r="E1263" s="4">
        <v>2.1105160011308801E-71</v>
      </c>
      <c r="F1263" s="10">
        <v>10.016524074384501</v>
      </c>
      <c r="G1263" s="4">
        <v>9.9056909692803696E-69</v>
      </c>
    </row>
    <row r="1264" spans="1:7" x14ac:dyDescent="0.2">
      <c r="A1264" s="10" t="s">
        <v>8154</v>
      </c>
      <c r="B1264" s="10" t="s">
        <v>8155</v>
      </c>
      <c r="C1264" s="10" t="s">
        <v>18</v>
      </c>
      <c r="D1264" s="10">
        <v>-1.7244551902098</v>
      </c>
      <c r="E1264" s="4">
        <v>4.0051432629413599E-10</v>
      </c>
      <c r="F1264" s="10">
        <v>-1.37844627378421</v>
      </c>
      <c r="G1264" s="4">
        <v>3.3699984754754903E-5</v>
      </c>
    </row>
    <row r="1265" spans="1:7" x14ac:dyDescent="0.2">
      <c r="A1265" s="10" t="s">
        <v>2229</v>
      </c>
      <c r="B1265" s="10" t="s">
        <v>2230</v>
      </c>
      <c r="C1265" s="10" t="s">
        <v>18</v>
      </c>
      <c r="D1265" s="10">
        <v>-1.4591959805916701</v>
      </c>
      <c r="E1265" s="4">
        <v>4.7172742336239304E-16</v>
      </c>
      <c r="F1265" s="10">
        <v>-1.4397876047498499</v>
      </c>
      <c r="G1265" s="4">
        <v>5.0404033024637197E-8</v>
      </c>
    </row>
    <row r="1266" spans="1:7" x14ac:dyDescent="0.2">
      <c r="A1266" s="10" t="s">
        <v>1107</v>
      </c>
      <c r="B1266" s="10" t="s">
        <v>1108</v>
      </c>
      <c r="C1266" s="10" t="s">
        <v>18</v>
      </c>
      <c r="D1266" s="10">
        <v>2.3404287921824101</v>
      </c>
      <c r="E1266" s="10">
        <v>2.4187791734609498E-3</v>
      </c>
      <c r="F1266" s="10">
        <v>-1.6348654456115801</v>
      </c>
      <c r="G1266" s="10">
        <v>2.0404064749015099E-4</v>
      </c>
    </row>
    <row r="1267" spans="1:7" x14ac:dyDescent="0.2">
      <c r="A1267" s="10" t="s">
        <v>7698</v>
      </c>
      <c r="B1267" s="10" t="s">
        <v>7699</v>
      </c>
      <c r="C1267" s="10" t="s">
        <v>18</v>
      </c>
      <c r="D1267" s="10">
        <v>1.52200210438622</v>
      </c>
      <c r="E1267" s="4">
        <v>6.328962601997E-14</v>
      </c>
      <c r="F1267" s="10">
        <v>2.7416402778083202</v>
      </c>
      <c r="G1267" s="4">
        <v>1.5476026801313999E-17</v>
      </c>
    </row>
    <row r="1268" spans="1:7" x14ac:dyDescent="0.2">
      <c r="A1268" s="10" t="s">
        <v>473</v>
      </c>
      <c r="B1268" s="10" t="s">
        <v>474</v>
      </c>
      <c r="C1268" s="10" t="s">
        <v>18</v>
      </c>
      <c r="D1268" s="10">
        <v>-1.26042770304611</v>
      </c>
      <c r="E1268" s="4">
        <v>3.7945887713373399E-6</v>
      </c>
      <c r="F1268" s="10">
        <v>1.0734160041104399</v>
      </c>
      <c r="G1268" s="10">
        <v>2.66582103889061E-3</v>
      </c>
    </row>
    <row r="1269" spans="1:7" x14ac:dyDescent="0.2">
      <c r="A1269" s="10" t="s">
        <v>4276</v>
      </c>
      <c r="B1269" s="10" t="s">
        <v>4277</v>
      </c>
      <c r="C1269" s="10" t="s">
        <v>18</v>
      </c>
      <c r="D1269" s="10">
        <v>2.7944650734353398</v>
      </c>
      <c r="E1269" s="4">
        <v>3.0163665587871499E-10</v>
      </c>
      <c r="F1269" s="10">
        <v>1.5750602330464301</v>
      </c>
      <c r="G1269" s="4">
        <v>7.5217813958106504E-5</v>
      </c>
    </row>
    <row r="1270" spans="1:7" x14ac:dyDescent="0.2">
      <c r="A1270" s="10" t="s">
        <v>4634</v>
      </c>
      <c r="B1270" s="10" t="s">
        <v>4635</v>
      </c>
      <c r="C1270" s="10" t="s">
        <v>18</v>
      </c>
      <c r="D1270" s="10">
        <v>2.5260698859277699</v>
      </c>
      <c r="E1270" s="10">
        <v>3.8907920019474501E-3</v>
      </c>
      <c r="F1270" s="10">
        <v>-1.6454442528658599</v>
      </c>
      <c r="G1270" s="10">
        <v>4.9668519640000495E-4</v>
      </c>
    </row>
    <row r="1271" spans="1:7" x14ac:dyDescent="0.2">
      <c r="A1271" s="10" t="s">
        <v>6600</v>
      </c>
      <c r="B1271" s="10" t="s">
        <v>6601</v>
      </c>
      <c r="C1271" s="10" t="s">
        <v>18</v>
      </c>
      <c r="D1271" s="10">
        <v>-1.9705254412762701</v>
      </c>
      <c r="E1271" s="4">
        <v>1.0320641744422499E-14</v>
      </c>
      <c r="F1271" s="10">
        <v>-1.0454850517274401</v>
      </c>
      <c r="G1271" s="10">
        <v>2.5280546156711201E-3</v>
      </c>
    </row>
    <row r="1272" spans="1:7" x14ac:dyDescent="0.2">
      <c r="A1272" s="10" t="s">
        <v>209</v>
      </c>
      <c r="B1272" s="10" t="s">
        <v>210</v>
      </c>
      <c r="C1272" s="10" t="s">
        <v>18</v>
      </c>
      <c r="D1272" s="10">
        <v>1.0087783319011501</v>
      </c>
      <c r="E1272" s="4">
        <v>9.8909683403058396E-7</v>
      </c>
      <c r="F1272" s="10">
        <v>1.0555429726364101</v>
      </c>
      <c r="G1272" s="10">
        <v>1.05971887678074E-4</v>
      </c>
    </row>
    <row r="1273" spans="1:7" x14ac:dyDescent="0.2">
      <c r="A1273" s="10" t="s">
        <v>2005</v>
      </c>
      <c r="B1273" s="10" t="s">
        <v>2006</v>
      </c>
      <c r="C1273" s="10" t="s">
        <v>18</v>
      </c>
      <c r="D1273" s="10">
        <v>1.24924471792657</v>
      </c>
      <c r="E1273" s="10">
        <v>9.35284838012414E-4</v>
      </c>
      <c r="F1273" s="10">
        <v>-1.7295312307570501</v>
      </c>
      <c r="G1273" s="4">
        <v>1.0645334376325E-8</v>
      </c>
    </row>
    <row r="1274" spans="1:7" x14ac:dyDescent="0.2">
      <c r="A1274" s="10" t="s">
        <v>7688</v>
      </c>
      <c r="B1274" s="10" t="s">
        <v>7689</v>
      </c>
      <c r="C1274" s="10" t="s">
        <v>18</v>
      </c>
      <c r="D1274" s="10">
        <v>1.0576853885822699</v>
      </c>
      <c r="E1274" s="4">
        <v>1.02573547750496E-6</v>
      </c>
      <c r="F1274" s="10">
        <v>1.82048216635152</v>
      </c>
      <c r="G1274" s="4">
        <v>2.0817272751326599E-9</v>
      </c>
    </row>
    <row r="1275" spans="1:7" x14ac:dyDescent="0.2">
      <c r="A1275" s="10" t="s">
        <v>3707</v>
      </c>
      <c r="B1275" s="10" t="s">
        <v>3708</v>
      </c>
      <c r="C1275" s="10" t="s">
        <v>18</v>
      </c>
      <c r="D1275" s="10">
        <v>-1.21276600587258</v>
      </c>
      <c r="E1275" s="4">
        <v>9.3281425448477694E-8</v>
      </c>
      <c r="F1275" s="10">
        <v>-1.1204784174806699</v>
      </c>
      <c r="G1275" s="10">
        <v>1.31856017927951E-4</v>
      </c>
    </row>
    <row r="1276" spans="1:7" x14ac:dyDescent="0.2">
      <c r="A1276" s="10" t="s">
        <v>1777</v>
      </c>
      <c r="B1276" s="10" t="s">
        <v>1778</v>
      </c>
      <c r="C1276" s="10" t="s">
        <v>18</v>
      </c>
      <c r="D1276" s="10">
        <v>1.4425583071025601</v>
      </c>
      <c r="E1276" s="4">
        <v>1.16027543334321E-11</v>
      </c>
      <c r="F1276" s="10">
        <v>1.52068371887469</v>
      </c>
      <c r="G1276" s="4">
        <v>1.56930022862112E-7</v>
      </c>
    </row>
    <row r="1277" spans="1:7" x14ac:dyDescent="0.2">
      <c r="A1277" s="10" t="s">
        <v>2525</v>
      </c>
      <c r="B1277" s="10" t="s">
        <v>2526</v>
      </c>
      <c r="C1277" s="10" t="s">
        <v>18</v>
      </c>
      <c r="D1277" s="10">
        <v>2.7767942831082602</v>
      </c>
      <c r="E1277" s="10">
        <v>5.6476095997862897E-3</v>
      </c>
      <c r="F1277" s="10">
        <v>-2.3775481210334002</v>
      </c>
      <c r="G1277" s="4">
        <v>1.1434598678763199E-6</v>
      </c>
    </row>
    <row r="1278" spans="1:7" x14ac:dyDescent="0.2">
      <c r="A1278" s="10" t="s">
        <v>3821</v>
      </c>
      <c r="B1278" s="10" t="s">
        <v>3822</v>
      </c>
      <c r="C1278" s="10" t="s">
        <v>18</v>
      </c>
      <c r="D1278" s="10">
        <v>-1.0534978312964001</v>
      </c>
      <c r="E1278" s="4">
        <v>2.7112989529999002E-7</v>
      </c>
      <c r="F1278" s="10">
        <v>-1.2847110504616801</v>
      </c>
      <c r="G1278" s="4">
        <v>1.9206348826614899E-6</v>
      </c>
    </row>
    <row r="1279" spans="1:7" x14ac:dyDescent="0.2">
      <c r="A1279" s="10" t="s">
        <v>3531</v>
      </c>
      <c r="B1279" s="10" t="s">
        <v>3532</v>
      </c>
      <c r="C1279" s="10" t="s">
        <v>18</v>
      </c>
      <c r="D1279" s="10">
        <v>4.6625794392281303</v>
      </c>
      <c r="E1279" s="4">
        <v>5.2931984124101703E-18</v>
      </c>
      <c r="F1279" s="10">
        <v>1.86521036506923</v>
      </c>
      <c r="G1279" s="4">
        <v>1.0472613918343799E-6</v>
      </c>
    </row>
    <row r="1280" spans="1:7" x14ac:dyDescent="0.2">
      <c r="A1280" s="10" t="s">
        <v>8388</v>
      </c>
      <c r="B1280" s="10" t="s">
        <v>8389</v>
      </c>
      <c r="C1280" s="10" t="s">
        <v>18</v>
      </c>
      <c r="D1280" s="10">
        <v>1.5679346561123</v>
      </c>
      <c r="E1280" s="4">
        <v>6.5697199208034003E-18</v>
      </c>
      <c r="F1280" s="10">
        <v>1.08524977753481</v>
      </c>
      <c r="G1280" s="4">
        <v>4.8765678608741701E-6</v>
      </c>
    </row>
    <row r="1281" spans="1:7" x14ac:dyDescent="0.2">
      <c r="A1281" s="10" t="s">
        <v>2003</v>
      </c>
      <c r="B1281" s="10" t="s">
        <v>2004</v>
      </c>
      <c r="C1281" s="10" t="s">
        <v>18</v>
      </c>
      <c r="D1281" s="10">
        <v>3.3067674827995099</v>
      </c>
      <c r="E1281" s="10">
        <v>1.5340834608836001E-3</v>
      </c>
      <c r="F1281" s="10">
        <v>-3.59802977270071</v>
      </c>
      <c r="G1281" s="4">
        <v>4.41580906537612E-22</v>
      </c>
    </row>
    <row r="1282" spans="1:7" x14ac:dyDescent="0.2">
      <c r="A1282" s="10" t="s">
        <v>4183</v>
      </c>
      <c r="B1282" s="10" t="s">
        <v>4184</v>
      </c>
      <c r="C1282" s="10" t="s">
        <v>18</v>
      </c>
      <c r="D1282" s="10">
        <v>-1.2667844806009301</v>
      </c>
      <c r="E1282" s="4">
        <v>7.7006059222959297E-7</v>
      </c>
      <c r="F1282" s="10">
        <v>-1.90952317857275</v>
      </c>
      <c r="G1282" s="4">
        <v>1.69004405292684E-11</v>
      </c>
    </row>
    <row r="1283" spans="1:7" x14ac:dyDescent="0.2">
      <c r="A1283" s="10" t="s">
        <v>381</v>
      </c>
      <c r="B1283" s="10" t="s">
        <v>382</v>
      </c>
      <c r="C1283" s="10" t="s">
        <v>18</v>
      </c>
      <c r="D1283" s="10">
        <v>-4.2570318121287096</v>
      </c>
      <c r="E1283" s="4">
        <v>3.2229316172398701E-68</v>
      </c>
      <c r="F1283" s="10">
        <v>-2.8923834364914902</v>
      </c>
      <c r="G1283" s="4">
        <v>1.1144984157084299E-22</v>
      </c>
    </row>
    <row r="1284" spans="1:7" x14ac:dyDescent="0.2">
      <c r="A1284" s="10" t="s">
        <v>7510</v>
      </c>
      <c r="B1284" s="10" t="s">
        <v>7511</v>
      </c>
      <c r="C1284" s="10" t="s">
        <v>18</v>
      </c>
      <c r="D1284" s="10">
        <v>-2.75193435405231</v>
      </c>
      <c r="E1284" s="4">
        <v>7.9448666236915699E-33</v>
      </c>
      <c r="F1284" s="10">
        <v>-1.0520979174560601</v>
      </c>
      <c r="G1284" s="10">
        <v>8.9056029619408996E-4</v>
      </c>
    </row>
    <row r="1285" spans="1:7" x14ac:dyDescent="0.2">
      <c r="A1285" s="10" t="s">
        <v>5108</v>
      </c>
      <c r="B1285" s="10" t="s">
        <v>5109</v>
      </c>
      <c r="C1285" s="10" t="s">
        <v>18</v>
      </c>
      <c r="D1285" s="10">
        <v>5.0421082385621698</v>
      </c>
      <c r="E1285" s="4">
        <v>1.90317738808161E-18</v>
      </c>
      <c r="F1285" s="10">
        <v>2.1660306937832301</v>
      </c>
      <c r="G1285" s="4">
        <v>1.35238931244258E-8</v>
      </c>
    </row>
    <row r="1286" spans="1:7" x14ac:dyDescent="0.2">
      <c r="A1286" s="10" t="s">
        <v>5440</v>
      </c>
      <c r="B1286" s="10" t="s">
        <v>5441</v>
      </c>
      <c r="C1286" s="10" t="s">
        <v>18</v>
      </c>
      <c r="D1286" s="10">
        <v>-2.1332011738419099</v>
      </c>
      <c r="E1286" s="4">
        <v>1.41599544291249E-6</v>
      </c>
      <c r="F1286" s="10">
        <v>-2.3014491655927798</v>
      </c>
      <c r="G1286" s="4">
        <v>2.6617093412776799E-7</v>
      </c>
    </row>
    <row r="1287" spans="1:7" x14ac:dyDescent="0.2">
      <c r="A1287" s="10" t="s">
        <v>7982</v>
      </c>
      <c r="B1287" s="10" t="s">
        <v>7983</v>
      </c>
      <c r="C1287" s="10" t="s">
        <v>18</v>
      </c>
      <c r="D1287" s="10">
        <v>8.2105813533680205</v>
      </c>
      <c r="E1287" s="4">
        <v>2.7754783051512801E-71</v>
      </c>
      <c r="F1287" s="10">
        <v>8.3605466642260104</v>
      </c>
      <c r="G1287" s="4">
        <v>1.82159961086525E-68</v>
      </c>
    </row>
    <row r="1288" spans="1:7" x14ac:dyDescent="0.2">
      <c r="A1288" s="10" t="s">
        <v>4650</v>
      </c>
      <c r="B1288" s="10" t="s">
        <v>4651</v>
      </c>
      <c r="C1288" s="10" t="s">
        <v>18</v>
      </c>
      <c r="D1288" s="10">
        <v>6.6430721758321898</v>
      </c>
      <c r="E1288" s="4">
        <v>2.3538880427002602E-5</v>
      </c>
      <c r="F1288" s="10">
        <v>3.1741493014709299</v>
      </c>
      <c r="G1288" s="4">
        <v>8.5954317756787703E-6</v>
      </c>
    </row>
    <row r="1289" spans="1:7" x14ac:dyDescent="0.2">
      <c r="A1289" s="10" t="s">
        <v>8806</v>
      </c>
      <c r="B1289" s="10" t="s">
        <v>8807</v>
      </c>
      <c r="C1289" s="10" t="s">
        <v>18</v>
      </c>
      <c r="D1289" s="10">
        <v>1.9934908634328401</v>
      </c>
      <c r="E1289" s="4">
        <v>5.6731862187141497E-13</v>
      </c>
      <c r="F1289" s="10">
        <v>3.7102220126494898</v>
      </c>
      <c r="G1289" s="4">
        <v>2.86269138173717E-24</v>
      </c>
    </row>
    <row r="1290" spans="1:7" x14ac:dyDescent="0.2">
      <c r="A1290" s="10" t="s">
        <v>2719</v>
      </c>
      <c r="B1290" s="10" t="s">
        <v>2720</v>
      </c>
      <c r="C1290" s="10" t="s">
        <v>18</v>
      </c>
      <c r="D1290" s="10">
        <v>-2.5383897801121602</v>
      </c>
      <c r="E1290" s="4">
        <v>1.3625401758246801E-28</v>
      </c>
      <c r="F1290" s="10">
        <v>-3.1061070598907699</v>
      </c>
      <c r="G1290" s="4">
        <v>9.7482708792572594E-27</v>
      </c>
    </row>
    <row r="1291" spans="1:7" x14ac:dyDescent="0.2">
      <c r="A1291" s="10" t="s">
        <v>8364</v>
      </c>
      <c r="B1291" s="10" t="s">
        <v>8365</v>
      </c>
      <c r="C1291" s="10" t="s">
        <v>18</v>
      </c>
      <c r="D1291" s="10">
        <v>5.5038159518293197</v>
      </c>
      <c r="E1291" s="10">
        <v>1.2245161304698499E-3</v>
      </c>
      <c r="F1291" s="10">
        <v>2.94872813455844</v>
      </c>
      <c r="G1291" s="10">
        <v>2.58604822879465E-3</v>
      </c>
    </row>
    <row r="1292" spans="1:7" x14ac:dyDescent="0.2">
      <c r="A1292" s="10" t="s">
        <v>671</v>
      </c>
      <c r="B1292" s="10" t="s">
        <v>672</v>
      </c>
      <c r="C1292" s="10" t="s">
        <v>18</v>
      </c>
      <c r="D1292" s="10">
        <v>3.6132092363251198</v>
      </c>
      <c r="E1292" s="4">
        <v>3.2108460144497902E-41</v>
      </c>
      <c r="F1292" s="10">
        <v>5.8684885091725496</v>
      </c>
      <c r="G1292" s="4">
        <v>2.4218292482422699E-48</v>
      </c>
    </row>
    <row r="1293" spans="1:7" x14ac:dyDescent="0.2">
      <c r="A1293" s="10" t="s">
        <v>1463</v>
      </c>
      <c r="B1293" s="10" t="s">
        <v>1464</v>
      </c>
      <c r="C1293" s="10" t="s">
        <v>18</v>
      </c>
      <c r="D1293" s="10">
        <v>-1.27654273691748</v>
      </c>
      <c r="E1293" s="4">
        <v>3.3206888282911398E-10</v>
      </c>
      <c r="F1293" s="10">
        <v>-1.14201641053429</v>
      </c>
      <c r="G1293" s="4">
        <v>9.2992590636830392E-6</v>
      </c>
    </row>
    <row r="1294" spans="1:7" x14ac:dyDescent="0.2">
      <c r="A1294" s="10" t="s">
        <v>21</v>
      </c>
      <c r="B1294" s="10" t="s">
        <v>22</v>
      </c>
      <c r="C1294" s="10" t="s">
        <v>18</v>
      </c>
      <c r="D1294" s="10">
        <v>6.5691467712136999</v>
      </c>
      <c r="E1294" s="4">
        <v>1.7245241660262899E-19</v>
      </c>
      <c r="F1294" s="10">
        <v>8.1437986421935307</v>
      </c>
      <c r="G1294" s="4">
        <v>5.7230263676839397E-14</v>
      </c>
    </row>
    <row r="1295" spans="1:7" x14ac:dyDescent="0.2">
      <c r="A1295" s="10" t="s">
        <v>3283</v>
      </c>
      <c r="B1295" s="10" t="s">
        <v>3284</v>
      </c>
      <c r="C1295" s="10" t="s">
        <v>18</v>
      </c>
      <c r="D1295" s="10">
        <v>1.7704982368988</v>
      </c>
      <c r="E1295" s="4">
        <v>1.4004499181318699E-25</v>
      </c>
      <c r="F1295" s="10">
        <v>1.51979948790004</v>
      </c>
      <c r="G1295" s="4">
        <v>4.68584974777167E-11</v>
      </c>
    </row>
    <row r="1296" spans="1:7" x14ac:dyDescent="0.2">
      <c r="A1296" s="10" t="s">
        <v>3557</v>
      </c>
      <c r="B1296" s="10" t="s">
        <v>3558</v>
      </c>
      <c r="C1296" s="10" t="s">
        <v>18</v>
      </c>
      <c r="D1296" s="10">
        <v>1.20325447749032</v>
      </c>
      <c r="E1296" s="4">
        <v>2.5877247061756802E-8</v>
      </c>
      <c r="F1296" s="10">
        <v>1.25919493407961</v>
      </c>
      <c r="G1296" s="4">
        <v>6.5042823139547097E-6</v>
      </c>
    </row>
    <row r="1297" spans="1:7" x14ac:dyDescent="0.2">
      <c r="A1297" s="10" t="s">
        <v>4460</v>
      </c>
      <c r="B1297" s="10" t="s">
        <v>4461</v>
      </c>
      <c r="C1297" s="10" t="s">
        <v>18</v>
      </c>
      <c r="D1297" s="10">
        <v>-1.01091049357323</v>
      </c>
      <c r="E1297" s="4">
        <v>3.7174582220421998E-7</v>
      </c>
      <c r="F1297" s="10">
        <v>1.20448880537975</v>
      </c>
      <c r="G1297" s="4">
        <v>8.4079300307705901E-5</v>
      </c>
    </row>
    <row r="1298" spans="1:7" x14ac:dyDescent="0.2">
      <c r="A1298" s="10" t="s">
        <v>1411</v>
      </c>
      <c r="B1298" s="10" t="s">
        <v>1412</v>
      </c>
      <c r="C1298" s="10" t="s">
        <v>18</v>
      </c>
      <c r="D1298" s="10">
        <v>2.2898453650972401</v>
      </c>
      <c r="E1298" s="4">
        <v>1.5454855087759399E-29</v>
      </c>
      <c r="F1298" s="10">
        <v>2.5677310589234601</v>
      </c>
      <c r="G1298" s="4">
        <v>2.5414711735594499E-23</v>
      </c>
    </row>
    <row r="1299" spans="1:7" x14ac:dyDescent="0.2">
      <c r="A1299" s="10" t="s">
        <v>6134</v>
      </c>
      <c r="B1299" s="10" t="s">
        <v>6135</v>
      </c>
      <c r="C1299" s="10" t="s">
        <v>18</v>
      </c>
      <c r="D1299" s="10">
        <v>2.13060152923171</v>
      </c>
      <c r="E1299" s="4">
        <v>1.0857271300554699E-23</v>
      </c>
      <c r="F1299" s="10">
        <v>2.8420627135073802</v>
      </c>
      <c r="G1299" s="4">
        <v>7.6361809194255596E-24</v>
      </c>
    </row>
    <row r="1300" spans="1:7" x14ac:dyDescent="0.2">
      <c r="A1300" s="10" t="s">
        <v>405</v>
      </c>
      <c r="B1300" s="10" t="s">
        <v>406</v>
      </c>
      <c r="C1300" s="10" t="s">
        <v>18</v>
      </c>
      <c r="D1300" s="10">
        <v>-2.0075021356536298</v>
      </c>
      <c r="E1300" s="4">
        <v>2.3737486491819798E-22</v>
      </c>
      <c r="F1300" s="10">
        <v>-1.4364983286211901</v>
      </c>
      <c r="G1300" s="4">
        <v>2.74338281217646E-8</v>
      </c>
    </row>
    <row r="1301" spans="1:7" x14ac:dyDescent="0.2">
      <c r="A1301" s="10" t="s">
        <v>1785</v>
      </c>
      <c r="B1301" s="10" t="s">
        <v>1786</v>
      </c>
      <c r="C1301" s="10" t="s">
        <v>18</v>
      </c>
      <c r="D1301" s="10">
        <v>1.0672833521056899</v>
      </c>
      <c r="E1301" s="4">
        <v>1.1910269847028401E-5</v>
      </c>
      <c r="F1301" s="10">
        <v>1.1225868981454099</v>
      </c>
      <c r="G1301" s="4">
        <v>8.3259549699819406E-5</v>
      </c>
    </row>
    <row r="1302" spans="1:7" x14ac:dyDescent="0.2">
      <c r="A1302" s="10" t="s">
        <v>545</v>
      </c>
      <c r="B1302" s="10" t="s">
        <v>546</v>
      </c>
      <c r="C1302" s="10" t="s">
        <v>18</v>
      </c>
      <c r="D1302" s="10">
        <v>-4.5256209852779596</v>
      </c>
      <c r="E1302" s="4">
        <v>9.2283092833782305E-96</v>
      </c>
      <c r="F1302" s="10">
        <v>-2.8950797548859502</v>
      </c>
      <c r="G1302" s="4">
        <v>1.7533828760197899E-21</v>
      </c>
    </row>
    <row r="1303" spans="1:7" x14ac:dyDescent="0.2">
      <c r="A1303" s="10" t="s">
        <v>791</v>
      </c>
      <c r="B1303" s="10" t="s">
        <v>792</v>
      </c>
      <c r="C1303" s="10" t="s">
        <v>18</v>
      </c>
      <c r="D1303" s="10">
        <v>1.0709852782990701</v>
      </c>
      <c r="E1303" s="4">
        <v>1.92282340027169E-7</v>
      </c>
      <c r="F1303" s="10">
        <v>8.7695906458398003</v>
      </c>
      <c r="G1303" s="4">
        <v>1.77235115482513E-79</v>
      </c>
    </row>
    <row r="1304" spans="1:7" x14ac:dyDescent="0.2">
      <c r="A1304" s="10" t="s">
        <v>8156</v>
      </c>
      <c r="B1304" s="10" t="s">
        <v>8157</v>
      </c>
      <c r="C1304" s="10" t="s">
        <v>18</v>
      </c>
      <c r="D1304" s="10">
        <v>2.2588013095346899</v>
      </c>
      <c r="E1304" s="4">
        <v>2.0248288104256801E-24</v>
      </c>
      <c r="F1304" s="10">
        <v>1.90388338705643</v>
      </c>
      <c r="G1304" s="4">
        <v>9.0205421850726804E-11</v>
      </c>
    </row>
    <row r="1305" spans="1:7" x14ac:dyDescent="0.2">
      <c r="A1305" s="10" t="s">
        <v>7300</v>
      </c>
      <c r="B1305" s="10" t="s">
        <v>7301</v>
      </c>
      <c r="C1305" s="10" t="s">
        <v>18</v>
      </c>
      <c r="D1305" s="10">
        <v>8.44377579850741</v>
      </c>
      <c r="E1305" s="4">
        <v>5.6256070699395098E-8</v>
      </c>
      <c r="F1305" s="10">
        <v>3.0145492205063</v>
      </c>
      <c r="G1305" s="4">
        <v>1.58592529012813E-6</v>
      </c>
    </row>
    <row r="1306" spans="1:7" x14ac:dyDescent="0.2">
      <c r="A1306" s="10" t="s">
        <v>3785</v>
      </c>
      <c r="B1306" s="10" t="s">
        <v>3786</v>
      </c>
      <c r="C1306" s="10" t="s">
        <v>18</v>
      </c>
      <c r="D1306" s="10">
        <v>2.5926531508251101</v>
      </c>
      <c r="E1306" s="10">
        <v>1.65642969276439E-4</v>
      </c>
      <c r="F1306" s="10">
        <v>2.6749991723581501</v>
      </c>
      <c r="G1306" s="4">
        <v>6.4125680012712901E-5</v>
      </c>
    </row>
    <row r="1307" spans="1:7" x14ac:dyDescent="0.2">
      <c r="A1307" s="10" t="s">
        <v>4812</v>
      </c>
      <c r="B1307" s="10" t="s">
        <v>4813</v>
      </c>
      <c r="C1307" s="10" t="s">
        <v>18</v>
      </c>
      <c r="D1307" s="10">
        <v>2.1870760216130001</v>
      </c>
      <c r="E1307" s="4">
        <v>1.52224685264962E-24</v>
      </c>
      <c r="F1307" s="10">
        <v>3.8832808642411201</v>
      </c>
      <c r="G1307" s="4">
        <v>5.5414136714768702E-36</v>
      </c>
    </row>
    <row r="1308" spans="1:7" x14ac:dyDescent="0.2">
      <c r="A1308" s="10" t="s">
        <v>3061</v>
      </c>
      <c r="B1308" s="10" t="s">
        <v>3062</v>
      </c>
      <c r="C1308" s="10" t="s">
        <v>18</v>
      </c>
      <c r="D1308" s="10">
        <v>-1.96777268544239</v>
      </c>
      <c r="E1308" s="4">
        <v>2.21709417665745E-18</v>
      </c>
      <c r="F1308" s="10">
        <v>-1.2691686722984401</v>
      </c>
      <c r="G1308" s="4">
        <v>1.7884224241269901E-5</v>
      </c>
    </row>
    <row r="1309" spans="1:7" x14ac:dyDescent="0.2">
      <c r="A1309" s="10" t="s">
        <v>4163</v>
      </c>
      <c r="B1309" s="10" t="s">
        <v>4164</v>
      </c>
      <c r="C1309" s="10" t="s">
        <v>18</v>
      </c>
      <c r="D1309" s="10">
        <v>-2.62882811272519</v>
      </c>
      <c r="E1309" s="4">
        <v>3.84474289293676E-30</v>
      </c>
      <c r="F1309" s="10">
        <v>-1.49897576494719</v>
      </c>
      <c r="G1309" s="4">
        <v>6.4279731010758197E-7</v>
      </c>
    </row>
    <row r="1310" spans="1:7" x14ac:dyDescent="0.2">
      <c r="A1310" s="10" t="s">
        <v>7392</v>
      </c>
      <c r="B1310" s="10" t="s">
        <v>7393</v>
      </c>
      <c r="C1310" s="10" t="s">
        <v>18</v>
      </c>
      <c r="D1310" s="10">
        <v>1.05991465902411</v>
      </c>
      <c r="E1310" s="4">
        <v>1.2225288999385099E-5</v>
      </c>
      <c r="F1310" s="10">
        <v>1.88688290329284</v>
      </c>
      <c r="G1310" s="4">
        <v>7.12124951926342E-11</v>
      </c>
    </row>
    <row r="1311" spans="1:7" x14ac:dyDescent="0.2">
      <c r="A1311" s="10" t="s">
        <v>1065</v>
      </c>
      <c r="B1311" s="10" t="s">
        <v>1066</v>
      </c>
      <c r="C1311" s="10" t="s">
        <v>18</v>
      </c>
      <c r="D1311" s="10">
        <v>-1.8776309853703601</v>
      </c>
      <c r="E1311" s="4">
        <v>1.33954561878873E-17</v>
      </c>
      <c r="F1311" s="10">
        <v>-1.28110647083127</v>
      </c>
      <c r="G1311" s="4">
        <v>1.36702465281619E-5</v>
      </c>
    </row>
    <row r="1312" spans="1:7" x14ac:dyDescent="0.2">
      <c r="A1312" s="10" t="s">
        <v>8498</v>
      </c>
      <c r="B1312" s="10" t="s">
        <v>8499</v>
      </c>
      <c r="C1312" s="10" t="s">
        <v>18</v>
      </c>
      <c r="D1312" s="10">
        <v>-1.2545906208576401</v>
      </c>
      <c r="E1312" s="4">
        <v>1.12349724914754E-6</v>
      </c>
      <c r="F1312" s="10">
        <v>-1.31745660033152</v>
      </c>
      <c r="G1312" s="4">
        <v>2.8170941055899601E-5</v>
      </c>
    </row>
    <row r="1313" spans="1:7" x14ac:dyDescent="0.2">
      <c r="A1313" s="10" t="s">
        <v>651</v>
      </c>
      <c r="B1313" s="10" t="s">
        <v>652</v>
      </c>
      <c r="C1313" s="10" t="s">
        <v>18</v>
      </c>
      <c r="D1313" s="10">
        <v>-2.7375140126713502</v>
      </c>
      <c r="E1313" s="4">
        <v>2.36322370422516E-16</v>
      </c>
      <c r="F1313" s="10">
        <v>-2.2403430418725399</v>
      </c>
      <c r="G1313" s="4">
        <v>2.2496199951194298E-8</v>
      </c>
    </row>
    <row r="1314" spans="1:7" x14ac:dyDescent="0.2">
      <c r="A1314" s="10" t="s">
        <v>4326</v>
      </c>
      <c r="B1314" s="10" t="s">
        <v>4327</v>
      </c>
      <c r="C1314" s="10" t="s">
        <v>18</v>
      </c>
      <c r="D1314" s="10">
        <v>-1.53219630822599</v>
      </c>
      <c r="E1314" s="4">
        <v>2.8153343397985801E-13</v>
      </c>
      <c r="F1314" s="10">
        <v>-1.54762246819716</v>
      </c>
      <c r="G1314" s="4">
        <v>5.0318189391105103E-7</v>
      </c>
    </row>
    <row r="1315" spans="1:7" x14ac:dyDescent="0.2">
      <c r="A1315" s="10" t="s">
        <v>4602</v>
      </c>
      <c r="B1315" s="10" t="s">
        <v>4603</v>
      </c>
      <c r="C1315" s="10" t="s">
        <v>18</v>
      </c>
      <c r="D1315" s="10">
        <v>-2.9953790209092701</v>
      </c>
      <c r="E1315" s="4">
        <v>3.13027913948716E-16</v>
      </c>
      <c r="F1315" s="10">
        <v>-2.8818311726144801</v>
      </c>
      <c r="G1315" s="4">
        <v>8.1695113132615401E-15</v>
      </c>
    </row>
    <row r="1316" spans="1:7" x14ac:dyDescent="0.2">
      <c r="A1316" s="10" t="s">
        <v>167</v>
      </c>
      <c r="B1316" s="10" t="s">
        <v>168</v>
      </c>
      <c r="C1316" s="10" t="s">
        <v>18</v>
      </c>
      <c r="D1316" s="10">
        <v>-1.44000297618163</v>
      </c>
      <c r="E1316" s="4">
        <v>2.8792754633469002E-10</v>
      </c>
      <c r="F1316" s="10">
        <v>1.1245009122049801</v>
      </c>
      <c r="G1316" s="10">
        <v>1.9990146698245899E-4</v>
      </c>
    </row>
    <row r="1317" spans="1:7" x14ac:dyDescent="0.2">
      <c r="A1317" s="10" t="s">
        <v>8220</v>
      </c>
      <c r="B1317" s="10" t="s">
        <v>8221</v>
      </c>
      <c r="C1317" s="10" t="s">
        <v>18</v>
      </c>
      <c r="D1317" s="10">
        <v>1.9358966402740401</v>
      </c>
      <c r="E1317" s="10">
        <v>1.1529960637374001E-4</v>
      </c>
      <c r="F1317" s="10">
        <v>-2.4103649293268798</v>
      </c>
      <c r="G1317" s="4">
        <v>1.08995449867792E-12</v>
      </c>
    </row>
    <row r="1318" spans="1:7" x14ac:dyDescent="0.2">
      <c r="A1318" s="10" t="s">
        <v>6276</v>
      </c>
      <c r="B1318" s="10" t="s">
        <v>6277</v>
      </c>
      <c r="C1318" s="10" t="s">
        <v>18</v>
      </c>
      <c r="D1318" s="10">
        <v>6.6304033038646404</v>
      </c>
      <c r="E1318" s="4">
        <v>6.3485425578828196E-13</v>
      </c>
      <c r="F1318" s="10">
        <v>4.56905785726887</v>
      </c>
      <c r="G1318" s="4">
        <v>1.1993975117549101E-16</v>
      </c>
    </row>
    <row r="1319" spans="1:7" x14ac:dyDescent="0.2">
      <c r="A1319" s="10" t="s">
        <v>6278</v>
      </c>
      <c r="B1319" s="10" t="s">
        <v>6279</v>
      </c>
      <c r="C1319" s="10" t="s">
        <v>18</v>
      </c>
      <c r="D1319" s="10">
        <v>4.82033408964804</v>
      </c>
      <c r="E1319" s="10">
        <v>8.4391731347117499E-3</v>
      </c>
      <c r="F1319" s="10">
        <v>5.0597305381064999</v>
      </c>
      <c r="G1319" s="10">
        <v>4.4397703716369998E-3</v>
      </c>
    </row>
    <row r="1320" spans="1:7" x14ac:dyDescent="0.2">
      <c r="A1320" s="10" t="s">
        <v>8790</v>
      </c>
      <c r="B1320" s="10" t="s">
        <v>8791</v>
      </c>
      <c r="C1320" s="10" t="s">
        <v>18</v>
      </c>
      <c r="D1320" s="10">
        <v>1.5526169116367701</v>
      </c>
      <c r="E1320" s="4">
        <v>2.9907454209636101E-9</v>
      </c>
      <c r="F1320" s="10">
        <v>1.08420980483106</v>
      </c>
      <c r="G1320" s="10">
        <v>9.5983571916092604E-4</v>
      </c>
    </row>
    <row r="1321" spans="1:7" x14ac:dyDescent="0.2">
      <c r="A1321" s="10" t="s">
        <v>3293</v>
      </c>
      <c r="B1321" s="10" t="s">
        <v>3294</v>
      </c>
      <c r="C1321" s="10" t="s">
        <v>18</v>
      </c>
      <c r="D1321" s="10">
        <v>2.6850950658269901</v>
      </c>
      <c r="E1321" s="4">
        <v>1.6453937716679301E-6</v>
      </c>
      <c r="F1321" s="10">
        <v>-1.5592191901822501</v>
      </c>
      <c r="G1321" s="4">
        <v>1.0003408403553899E-5</v>
      </c>
    </row>
    <row r="1322" spans="1:7" x14ac:dyDescent="0.2">
      <c r="A1322" s="10" t="s">
        <v>4616</v>
      </c>
      <c r="B1322" s="10" t="s">
        <v>4617</v>
      </c>
      <c r="C1322" s="10" t="s">
        <v>18</v>
      </c>
      <c r="D1322" s="10">
        <v>-1.8911050180112501</v>
      </c>
      <c r="E1322" s="10">
        <v>3.3146971032113002E-4</v>
      </c>
      <c r="F1322" s="10">
        <v>-3.6386873299512601</v>
      </c>
      <c r="G1322" s="4">
        <v>1.00264919894108E-18</v>
      </c>
    </row>
    <row r="1323" spans="1:7" x14ac:dyDescent="0.2">
      <c r="A1323" s="10" t="s">
        <v>8160</v>
      </c>
      <c r="B1323" s="10" t="s">
        <v>8161</v>
      </c>
      <c r="C1323" s="10" t="s">
        <v>18</v>
      </c>
      <c r="D1323" s="10">
        <v>-2.6533548741067299</v>
      </c>
      <c r="E1323" s="4">
        <v>5.2946010105901697E-8</v>
      </c>
      <c r="F1323" s="10">
        <v>-2.3671410175226799</v>
      </c>
      <c r="G1323" s="4">
        <v>1.24774084441095E-5</v>
      </c>
    </row>
    <row r="1324" spans="1:7" x14ac:dyDescent="0.2">
      <c r="A1324" s="10" t="s">
        <v>1029</v>
      </c>
      <c r="B1324" s="10" t="s">
        <v>1030</v>
      </c>
      <c r="C1324" s="10" t="s">
        <v>18</v>
      </c>
      <c r="D1324" s="10">
        <v>2.99323929495351</v>
      </c>
      <c r="E1324" s="4">
        <v>4.68720150811967E-20</v>
      </c>
      <c r="F1324" s="10">
        <v>1.2316401836856199</v>
      </c>
      <c r="G1324" s="4">
        <v>5.4811813072339099E-5</v>
      </c>
    </row>
    <row r="1325" spans="1:7" x14ac:dyDescent="0.2">
      <c r="A1325" s="10" t="s">
        <v>1699</v>
      </c>
      <c r="B1325" s="10" t="s">
        <v>1700</v>
      </c>
      <c r="C1325" s="10" t="s">
        <v>18</v>
      </c>
      <c r="D1325" s="10">
        <v>2.20892696262074</v>
      </c>
      <c r="E1325" s="4">
        <v>1.29471943584923E-19</v>
      </c>
      <c r="F1325" s="10">
        <v>2.1816823215486201</v>
      </c>
      <c r="G1325" s="4">
        <v>6.3398278368743599E-13</v>
      </c>
    </row>
    <row r="1326" spans="1:7" x14ac:dyDescent="0.2">
      <c r="A1326" s="10" t="s">
        <v>2025</v>
      </c>
      <c r="B1326" s="10" t="s">
        <v>2026</v>
      </c>
      <c r="C1326" s="10" t="s">
        <v>18</v>
      </c>
      <c r="D1326" s="10">
        <v>-1.1029736823112199</v>
      </c>
      <c r="E1326" s="10">
        <v>7.7754120504726397E-4</v>
      </c>
      <c r="F1326" s="10">
        <v>-1.9553022423553601</v>
      </c>
      <c r="G1326" s="4">
        <v>1.2155569321323501E-9</v>
      </c>
    </row>
    <row r="1327" spans="1:7" x14ac:dyDescent="0.2">
      <c r="A1327" s="10" t="s">
        <v>1667</v>
      </c>
      <c r="B1327" s="10" t="s">
        <v>1668</v>
      </c>
      <c r="C1327" s="10" t="s">
        <v>18</v>
      </c>
      <c r="D1327" s="10">
        <v>8.7668619178471907</v>
      </c>
      <c r="E1327" s="4">
        <v>1.04366762343469E-16</v>
      </c>
      <c r="F1327" s="10">
        <v>5.3722514872303</v>
      </c>
      <c r="G1327" s="4">
        <v>2.3965747929649402E-37</v>
      </c>
    </row>
    <row r="1328" spans="1:7" x14ac:dyDescent="0.2">
      <c r="A1328" s="10" t="s">
        <v>1873</v>
      </c>
      <c r="B1328" s="10" t="s">
        <v>1874</v>
      </c>
      <c r="C1328" s="10" t="s">
        <v>18</v>
      </c>
      <c r="D1328" s="10">
        <v>2.91922490173142</v>
      </c>
      <c r="E1328" s="4">
        <v>7.8959586950079001E-47</v>
      </c>
      <c r="F1328" s="10">
        <v>3.4932003881258402</v>
      </c>
      <c r="G1328" s="4">
        <v>1.0839473705257E-40</v>
      </c>
    </row>
    <row r="1329" spans="1:7" x14ac:dyDescent="0.2">
      <c r="A1329" s="10" t="s">
        <v>933</v>
      </c>
      <c r="B1329" s="10" t="s">
        <v>934</v>
      </c>
      <c r="C1329" s="10" t="s">
        <v>18</v>
      </c>
      <c r="D1329" s="10">
        <v>8.0456755833218896</v>
      </c>
      <c r="E1329" s="4">
        <v>8.0857083778181494E-8</v>
      </c>
      <c r="F1329" s="10">
        <v>5.2680326130717097</v>
      </c>
      <c r="G1329" s="4">
        <v>1.49506281766078E-14</v>
      </c>
    </row>
    <row r="1330" spans="1:7" x14ac:dyDescent="0.2">
      <c r="A1330" s="10" t="s">
        <v>7084</v>
      </c>
      <c r="B1330" s="10" t="s">
        <v>7085</v>
      </c>
      <c r="C1330" s="10" t="s">
        <v>18</v>
      </c>
      <c r="D1330" s="10">
        <v>-1.1555482572589799</v>
      </c>
      <c r="E1330" s="4">
        <v>4.5673519501713701E-6</v>
      </c>
      <c r="F1330" s="10">
        <v>1.33834501959188</v>
      </c>
      <c r="G1330" s="10">
        <v>2.9453230728962199E-4</v>
      </c>
    </row>
    <row r="1331" spans="1:7" x14ac:dyDescent="0.2">
      <c r="A1331" s="10" t="s">
        <v>6102</v>
      </c>
      <c r="B1331" s="10" t="s">
        <v>6103</v>
      </c>
      <c r="C1331" s="10" t="s">
        <v>18</v>
      </c>
      <c r="D1331" s="10">
        <v>5.7311467461249999</v>
      </c>
      <c r="E1331" s="10">
        <v>5.92098340889849E-4</v>
      </c>
      <c r="F1331" s="10">
        <v>2.92960137734083</v>
      </c>
      <c r="G1331" s="10">
        <v>2.4659588580242101E-3</v>
      </c>
    </row>
    <row r="1332" spans="1:7" x14ac:dyDescent="0.2">
      <c r="A1332" s="10" t="s">
        <v>3857</v>
      </c>
      <c r="B1332" s="10" t="s">
        <v>3858</v>
      </c>
      <c r="C1332" s="10" t="s">
        <v>18</v>
      </c>
      <c r="D1332" s="10">
        <v>-1.0316315968510601</v>
      </c>
      <c r="E1332" s="4">
        <v>1.8943372857770901E-5</v>
      </c>
      <c r="F1332" s="10">
        <v>-1.1180121739939299</v>
      </c>
      <c r="G1332" s="4">
        <v>7.2217783961866605E-5</v>
      </c>
    </row>
    <row r="1333" spans="1:7" x14ac:dyDescent="0.2">
      <c r="A1333" s="10" t="s">
        <v>5114</v>
      </c>
      <c r="B1333" s="10" t="s">
        <v>5115</v>
      </c>
      <c r="C1333" s="10" t="s">
        <v>18</v>
      </c>
      <c r="D1333" s="10">
        <v>-2.7171860365176501</v>
      </c>
      <c r="E1333" s="4">
        <v>4.4480812342686897E-46</v>
      </c>
      <c r="F1333" s="10">
        <v>-2.22974269974983</v>
      </c>
      <c r="G1333" s="4">
        <v>3.97398038965951E-18</v>
      </c>
    </row>
    <row r="1334" spans="1:7" x14ac:dyDescent="0.2">
      <c r="A1334" s="10" t="s">
        <v>8020</v>
      </c>
      <c r="B1334" s="10" t="s">
        <v>8021</v>
      </c>
      <c r="C1334" s="10" t="s">
        <v>18</v>
      </c>
      <c r="D1334" s="10">
        <v>2.2791810028192301</v>
      </c>
      <c r="E1334" s="4">
        <v>1.0209603186429499E-17</v>
      </c>
      <c r="F1334" s="10">
        <v>3.0327662796474901</v>
      </c>
      <c r="G1334" s="4">
        <v>3.6792444258718502E-16</v>
      </c>
    </row>
    <row r="1335" spans="1:7" x14ac:dyDescent="0.2">
      <c r="A1335" s="10" t="s">
        <v>3309</v>
      </c>
      <c r="B1335" s="10" t="s">
        <v>3310</v>
      </c>
      <c r="C1335" s="10" t="s">
        <v>18</v>
      </c>
      <c r="D1335" s="10">
        <v>7.7908146512157401</v>
      </c>
      <c r="E1335" s="4">
        <v>2.52015882486789E-29</v>
      </c>
      <c r="F1335" s="10">
        <v>3.7055945974849802</v>
      </c>
      <c r="G1335" s="4">
        <v>2.2102216063062499E-31</v>
      </c>
    </row>
    <row r="1336" spans="1:7" x14ac:dyDescent="0.2">
      <c r="A1336" s="10" t="s">
        <v>6858</v>
      </c>
      <c r="B1336" s="10" t="s">
        <v>6859</v>
      </c>
      <c r="C1336" s="10" t="s">
        <v>18</v>
      </c>
      <c r="D1336" s="10">
        <v>-1.18490269885503</v>
      </c>
      <c r="E1336" s="4">
        <v>2.6605441750026799E-7</v>
      </c>
      <c r="F1336" s="10">
        <v>-1.3488431734211299</v>
      </c>
      <c r="G1336" s="4">
        <v>2.6111895640565501E-5</v>
      </c>
    </row>
    <row r="1337" spans="1:7" x14ac:dyDescent="0.2">
      <c r="A1337" s="10" t="s">
        <v>85</v>
      </c>
      <c r="B1337" s="10" t="s">
        <v>86</v>
      </c>
      <c r="C1337" s="10" t="s">
        <v>18</v>
      </c>
      <c r="D1337" s="10">
        <v>1.2334340584971299</v>
      </c>
      <c r="E1337" s="4">
        <v>6.3307868743232297E-7</v>
      </c>
      <c r="F1337" s="10">
        <v>1.2667230643941201</v>
      </c>
      <c r="G1337" s="10">
        <v>1.92259343160149E-4</v>
      </c>
    </row>
    <row r="1338" spans="1:7" x14ac:dyDescent="0.2">
      <c r="A1338" s="10" t="s">
        <v>7248</v>
      </c>
      <c r="B1338" s="10" t="s">
        <v>7249</v>
      </c>
      <c r="C1338" s="10" t="s">
        <v>18</v>
      </c>
      <c r="D1338" s="10">
        <v>-1.7363953551782301</v>
      </c>
      <c r="E1338" s="4">
        <v>2.7814054657049702E-8</v>
      </c>
      <c r="F1338" s="10">
        <v>-1.7179493045168099</v>
      </c>
      <c r="G1338" s="4">
        <v>1.2214031146736501E-6</v>
      </c>
    </row>
    <row r="1339" spans="1:7" x14ac:dyDescent="0.2">
      <c r="A1339" s="10" t="s">
        <v>1445</v>
      </c>
      <c r="B1339" s="10" t="s">
        <v>1446</v>
      </c>
      <c r="C1339" s="10" t="s">
        <v>18</v>
      </c>
      <c r="D1339" s="10">
        <v>1.5705251998321701</v>
      </c>
      <c r="E1339" s="4">
        <v>5.4218384314216903E-17</v>
      </c>
      <c r="F1339" s="10">
        <v>1.2899068325791001</v>
      </c>
      <c r="G1339" s="4">
        <v>1.15617865040404E-7</v>
      </c>
    </row>
    <row r="1340" spans="1:7" x14ac:dyDescent="0.2">
      <c r="A1340" s="10" t="s">
        <v>583</v>
      </c>
      <c r="B1340" s="10" t="s">
        <v>584</v>
      </c>
      <c r="C1340" s="10" t="s">
        <v>18</v>
      </c>
      <c r="D1340" s="10">
        <v>-2.1616622551331299</v>
      </c>
      <c r="E1340" s="4">
        <v>3.9779789646845799E-19</v>
      </c>
      <c r="F1340" s="10">
        <v>-1.60203812306256</v>
      </c>
      <c r="G1340" s="4">
        <v>2.07138869188025E-7</v>
      </c>
    </row>
    <row r="1341" spans="1:7" x14ac:dyDescent="0.2">
      <c r="A1341" s="10" t="s">
        <v>7784</v>
      </c>
      <c r="B1341" s="10" t="s">
        <v>7785</v>
      </c>
      <c r="C1341" s="10" t="s">
        <v>18</v>
      </c>
      <c r="D1341" s="10">
        <v>1.2605199513468801</v>
      </c>
      <c r="E1341" s="4">
        <v>6.5819345156823699E-7</v>
      </c>
      <c r="F1341" s="10">
        <v>4.89788341051913</v>
      </c>
      <c r="G1341" s="4">
        <v>1.23532721099242E-40</v>
      </c>
    </row>
    <row r="1342" spans="1:7" x14ac:dyDescent="0.2">
      <c r="A1342" s="10" t="s">
        <v>7786</v>
      </c>
      <c r="B1342" s="10" t="s">
        <v>7787</v>
      </c>
      <c r="C1342" s="10" t="s">
        <v>18</v>
      </c>
      <c r="D1342" s="10">
        <v>1.5382992095618699</v>
      </c>
      <c r="E1342" s="10">
        <v>1.0258995506181199E-3</v>
      </c>
      <c r="F1342" s="10">
        <v>1.71575958131108</v>
      </c>
      <c r="G1342" s="10">
        <v>2.6715998485772602E-4</v>
      </c>
    </row>
    <row r="1343" spans="1:7" x14ac:dyDescent="0.2">
      <c r="A1343" s="10" t="s">
        <v>2535</v>
      </c>
      <c r="B1343" s="10" t="s">
        <v>2536</v>
      </c>
      <c r="C1343" s="10" t="s">
        <v>18</v>
      </c>
      <c r="D1343" s="10">
        <v>2.1622582549114702</v>
      </c>
      <c r="E1343" s="4">
        <v>1.62342709778219E-31</v>
      </c>
      <c r="F1343" s="10">
        <v>5.2818883196777104</v>
      </c>
      <c r="G1343" s="4">
        <v>7.4160650692797896E-87</v>
      </c>
    </row>
    <row r="1344" spans="1:7" x14ac:dyDescent="0.2">
      <c r="A1344" s="10" t="s">
        <v>325</v>
      </c>
      <c r="B1344" s="10" t="s">
        <v>326</v>
      </c>
      <c r="C1344" s="10" t="s">
        <v>18</v>
      </c>
      <c r="D1344" s="10">
        <v>2.5855607601172399</v>
      </c>
      <c r="E1344" s="4">
        <v>4.9501818234825302E-27</v>
      </c>
      <c r="F1344" s="10">
        <v>3.15057462005913</v>
      </c>
      <c r="G1344" s="4">
        <v>3.88836204022027E-21</v>
      </c>
    </row>
    <row r="1345" spans="1:7" x14ac:dyDescent="0.2">
      <c r="A1345" s="10" t="s">
        <v>385</v>
      </c>
      <c r="B1345" s="10" t="s">
        <v>386</v>
      </c>
      <c r="C1345" s="10" t="s">
        <v>18</v>
      </c>
      <c r="D1345" s="10">
        <v>-1.51950574227638</v>
      </c>
      <c r="E1345" s="4">
        <v>4.1814277481165301E-15</v>
      </c>
      <c r="F1345" s="10">
        <v>-1.06621454735806</v>
      </c>
      <c r="G1345" s="4">
        <v>2.6343228731784102E-5</v>
      </c>
    </row>
    <row r="1346" spans="1:7" x14ac:dyDescent="0.2">
      <c r="A1346" s="10" t="s">
        <v>4238</v>
      </c>
      <c r="B1346" s="10" t="s">
        <v>4239</v>
      </c>
      <c r="C1346" s="10" t="s">
        <v>18</v>
      </c>
      <c r="D1346" s="10">
        <v>-2.02623155382885</v>
      </c>
      <c r="E1346" s="4">
        <v>1.67043080063306E-16</v>
      </c>
      <c r="F1346" s="10">
        <v>-2.2340103559407001</v>
      </c>
      <c r="G1346" s="4">
        <v>5.1693562385167403E-14</v>
      </c>
    </row>
    <row r="1347" spans="1:7" x14ac:dyDescent="0.2">
      <c r="A1347" s="10" t="s">
        <v>7704</v>
      </c>
      <c r="B1347" s="10" t="s">
        <v>7705</v>
      </c>
      <c r="C1347" s="10" t="s">
        <v>18</v>
      </c>
      <c r="D1347" s="10">
        <v>4.7265189572822202</v>
      </c>
      <c r="E1347" s="4">
        <v>1.35806648329605E-14</v>
      </c>
      <c r="F1347" s="10">
        <v>5.1334301643660103</v>
      </c>
      <c r="G1347" s="4">
        <v>7.9638677823628796E-16</v>
      </c>
    </row>
    <row r="1348" spans="1:7" x14ac:dyDescent="0.2">
      <c r="A1348" s="10" t="s">
        <v>8512</v>
      </c>
      <c r="B1348" s="10" t="s">
        <v>8513</v>
      </c>
      <c r="C1348" s="10" t="s">
        <v>18</v>
      </c>
      <c r="D1348" s="10">
        <v>4.9909486276971302</v>
      </c>
      <c r="E1348" s="4">
        <v>4.7334483653884604E-143</v>
      </c>
      <c r="F1348" s="10">
        <v>4.6252406816687603</v>
      </c>
      <c r="G1348" s="4">
        <v>3.34988449440201E-66</v>
      </c>
    </row>
    <row r="1349" spans="1:7" x14ac:dyDescent="0.2">
      <c r="A1349" s="10" t="s">
        <v>7198</v>
      </c>
      <c r="B1349" s="10" t="s">
        <v>7199</v>
      </c>
      <c r="C1349" s="10" t="s">
        <v>18</v>
      </c>
      <c r="D1349" s="10">
        <v>6.2875476440580096</v>
      </c>
      <c r="E1349" s="4">
        <v>8.60307924577107E-5</v>
      </c>
      <c r="F1349" s="10">
        <v>2.8204566972512701</v>
      </c>
      <c r="G1349" s="10">
        <v>1.96222702051251E-4</v>
      </c>
    </row>
    <row r="1350" spans="1:7" x14ac:dyDescent="0.2">
      <c r="A1350" s="10" t="s">
        <v>8856</v>
      </c>
      <c r="B1350" s="10" t="s">
        <v>8857</v>
      </c>
      <c r="C1350" s="10" t="s">
        <v>18</v>
      </c>
      <c r="D1350" s="10">
        <v>1.3313916729275701</v>
      </c>
      <c r="E1350" s="4">
        <v>5.8881547408659201E-11</v>
      </c>
      <c r="F1350" s="10">
        <v>3.7978293625132298</v>
      </c>
      <c r="G1350" s="4">
        <v>1.7379511235412401E-34</v>
      </c>
    </row>
    <row r="1351" spans="1:7" x14ac:dyDescent="0.2">
      <c r="A1351" s="10" t="s">
        <v>9110</v>
      </c>
      <c r="B1351" s="10" t="s">
        <v>9111</v>
      </c>
      <c r="C1351" s="10" t="s">
        <v>18</v>
      </c>
      <c r="D1351" s="10">
        <v>2.7838573740337602</v>
      </c>
      <c r="E1351" s="4">
        <v>4.1837656161044797E-37</v>
      </c>
      <c r="F1351" s="10">
        <v>3.3582784417277298</v>
      </c>
      <c r="G1351" s="4">
        <v>5.5488658413505301E-28</v>
      </c>
    </row>
    <row r="1352" spans="1:7" x14ac:dyDescent="0.2">
      <c r="A1352" s="10" t="s">
        <v>3183</v>
      </c>
      <c r="B1352" s="10" t="s">
        <v>3184</v>
      </c>
      <c r="C1352" s="10" t="s">
        <v>18</v>
      </c>
      <c r="D1352" s="10">
        <v>-1.2189265725663001</v>
      </c>
      <c r="E1352" s="4">
        <v>1.3776921561065301E-10</v>
      </c>
      <c r="F1352" s="10">
        <v>-1.4906645796008899</v>
      </c>
      <c r="G1352" s="4">
        <v>9.5520612675222709E-10</v>
      </c>
    </row>
    <row r="1353" spans="1:7" x14ac:dyDescent="0.2">
      <c r="A1353" s="10" t="s">
        <v>7654</v>
      </c>
      <c r="B1353" s="10" t="s">
        <v>7655</v>
      </c>
      <c r="C1353" s="10" t="s">
        <v>18</v>
      </c>
      <c r="D1353" s="10">
        <v>2.5366270496287902</v>
      </c>
      <c r="E1353" s="4">
        <v>7.5927310031331499E-25</v>
      </c>
      <c r="F1353" s="10">
        <v>2.7007946307119899</v>
      </c>
      <c r="G1353" s="4">
        <v>4.9559202545528599E-21</v>
      </c>
    </row>
    <row r="1354" spans="1:7" x14ac:dyDescent="0.2">
      <c r="A1354" s="10" t="s">
        <v>8558</v>
      </c>
      <c r="B1354" s="10" t="s">
        <v>8559</v>
      </c>
      <c r="C1354" s="10" t="s">
        <v>18</v>
      </c>
      <c r="D1354" s="10">
        <v>4.76991589775609</v>
      </c>
      <c r="E1354" s="10">
        <v>1.0399526531570001E-2</v>
      </c>
      <c r="F1354" s="10">
        <v>2.9019609178549701</v>
      </c>
      <c r="G1354" s="4">
        <v>3.7033026477051702E-8</v>
      </c>
    </row>
    <row r="1355" spans="1:7" x14ac:dyDescent="0.2">
      <c r="A1355" s="10" t="s">
        <v>6426</v>
      </c>
      <c r="B1355" s="10" t="s">
        <v>6427</v>
      </c>
      <c r="C1355" s="10" t="s">
        <v>18</v>
      </c>
      <c r="D1355" s="10">
        <v>1.76255967376527</v>
      </c>
      <c r="E1355" s="4">
        <v>1.2129679348828599E-15</v>
      </c>
      <c r="F1355" s="10">
        <v>1.80300081854274</v>
      </c>
      <c r="G1355" s="4">
        <v>1.63554088520528E-9</v>
      </c>
    </row>
    <row r="1356" spans="1:7" x14ac:dyDescent="0.2">
      <c r="A1356" s="10" t="s">
        <v>7076</v>
      </c>
      <c r="B1356" s="10" t="s">
        <v>7077</v>
      </c>
      <c r="C1356" s="10" t="s">
        <v>18</v>
      </c>
      <c r="D1356" s="10">
        <v>-3.7284284469041098</v>
      </c>
      <c r="E1356" s="4">
        <v>3.4611512959923499E-17</v>
      </c>
      <c r="F1356" s="10">
        <v>-2.9313137223189698</v>
      </c>
      <c r="G1356" s="4">
        <v>4.5380234758077496E-9</v>
      </c>
    </row>
    <row r="1357" spans="1:7" x14ac:dyDescent="0.2">
      <c r="A1357" s="10" t="s">
        <v>8838</v>
      </c>
      <c r="B1357" s="10" t="s">
        <v>8839</v>
      </c>
      <c r="C1357" s="10" t="s">
        <v>18</v>
      </c>
      <c r="D1357" s="10">
        <v>-2.4821649258974401</v>
      </c>
      <c r="E1357" s="4">
        <v>4.1472894147646799E-29</v>
      </c>
      <c r="F1357" s="10">
        <v>-1.542455800668</v>
      </c>
      <c r="G1357" s="4">
        <v>2.6935397994609397E-7</v>
      </c>
    </row>
    <row r="1358" spans="1:7" x14ac:dyDescent="0.2">
      <c r="A1358" s="10" t="s">
        <v>7290</v>
      </c>
      <c r="B1358" s="10" t="s">
        <v>7291</v>
      </c>
      <c r="C1358" s="10" t="s">
        <v>18</v>
      </c>
      <c r="D1358" s="10">
        <v>2.0116829117204</v>
      </c>
      <c r="E1358" s="4">
        <v>1.45946544005092E-25</v>
      </c>
      <c r="F1358" s="10">
        <v>1.7363832722494501</v>
      </c>
      <c r="G1358" s="4">
        <v>6.0415937500058698E-11</v>
      </c>
    </row>
    <row r="1359" spans="1:7" x14ac:dyDescent="0.2">
      <c r="A1359" s="10" t="s">
        <v>7936</v>
      </c>
      <c r="B1359" s="10" t="s">
        <v>7937</v>
      </c>
      <c r="C1359" s="10" t="s">
        <v>18</v>
      </c>
      <c r="D1359" s="10">
        <v>4.64485599665195</v>
      </c>
      <c r="E1359" s="10">
        <v>5.5619764252540303E-4</v>
      </c>
      <c r="F1359" s="10">
        <v>2.9261295701761401</v>
      </c>
      <c r="G1359" s="10">
        <v>2.08655923948465E-3</v>
      </c>
    </row>
    <row r="1360" spans="1:7" x14ac:dyDescent="0.2">
      <c r="A1360" s="10" t="s">
        <v>3687</v>
      </c>
      <c r="B1360" s="10" t="s">
        <v>3688</v>
      </c>
      <c r="C1360" s="10" t="s">
        <v>18</v>
      </c>
      <c r="D1360" s="10">
        <v>3.5009745529199501</v>
      </c>
      <c r="E1360" s="4">
        <v>1.5581001373564099E-61</v>
      </c>
      <c r="F1360" s="10">
        <v>2.73528706473114</v>
      </c>
      <c r="G1360" s="4">
        <v>1.4946844542965001E-26</v>
      </c>
    </row>
    <row r="1361" spans="1:7" x14ac:dyDescent="0.2">
      <c r="A1361" s="10" t="s">
        <v>1943</v>
      </c>
      <c r="B1361" s="10" t="s">
        <v>1944</v>
      </c>
      <c r="C1361" s="10" t="s">
        <v>18</v>
      </c>
      <c r="D1361" s="10">
        <v>-1.83135150945852</v>
      </c>
      <c r="E1361" s="4">
        <v>2.7120907259926399E-16</v>
      </c>
      <c r="F1361" s="10">
        <v>-1.2804842570397099</v>
      </c>
      <c r="G1361" s="4">
        <v>1.9296430598022299E-5</v>
      </c>
    </row>
    <row r="1362" spans="1:7" x14ac:dyDescent="0.2">
      <c r="A1362" s="10" t="s">
        <v>8920</v>
      </c>
      <c r="B1362" s="10" t="s">
        <v>8921</v>
      </c>
      <c r="C1362" s="10" t="s">
        <v>18</v>
      </c>
      <c r="D1362" s="10">
        <v>-1.18299557698034</v>
      </c>
      <c r="E1362" s="4">
        <v>1.7888064894074099E-9</v>
      </c>
      <c r="F1362" s="10">
        <v>-1.2916287067249199</v>
      </c>
      <c r="G1362" s="4">
        <v>1.2167432751243799E-6</v>
      </c>
    </row>
    <row r="1363" spans="1:7" x14ac:dyDescent="0.2">
      <c r="A1363" s="10" t="s">
        <v>8270</v>
      </c>
      <c r="B1363" s="10" t="s">
        <v>8271</v>
      </c>
      <c r="C1363" s="10" t="s">
        <v>18</v>
      </c>
      <c r="D1363" s="10">
        <v>-1.7815318347431901</v>
      </c>
      <c r="E1363" s="4">
        <v>4.6298456703853697E-15</v>
      </c>
      <c r="F1363" s="10">
        <v>-1.3824250272194101</v>
      </c>
      <c r="G1363" s="4">
        <v>7.5271471894480401E-6</v>
      </c>
    </row>
    <row r="1364" spans="1:7" x14ac:dyDescent="0.2">
      <c r="A1364" s="10" t="s">
        <v>3461</v>
      </c>
      <c r="B1364" s="10" t="s">
        <v>3462</v>
      </c>
      <c r="C1364" s="10" t="s">
        <v>18</v>
      </c>
      <c r="D1364" s="10">
        <v>-1.8339722208826199</v>
      </c>
      <c r="E1364" s="4">
        <v>2.5071098498148599E-17</v>
      </c>
      <c r="F1364" s="10">
        <v>-1.68246328979982</v>
      </c>
      <c r="G1364" s="4">
        <v>7.8612805090435608E-9</v>
      </c>
    </row>
    <row r="1365" spans="1:7" x14ac:dyDescent="0.2">
      <c r="A1365" s="10" t="s">
        <v>5080</v>
      </c>
      <c r="B1365" s="10" t="s">
        <v>5081</v>
      </c>
      <c r="C1365" s="10" t="s">
        <v>18</v>
      </c>
      <c r="D1365" s="10">
        <v>1.72847359548262</v>
      </c>
      <c r="E1365" s="4">
        <v>8.3640338884978204E-5</v>
      </c>
      <c r="F1365" s="10">
        <v>1.2698970966346099</v>
      </c>
      <c r="G1365" s="10">
        <v>2.08350301930581E-3</v>
      </c>
    </row>
    <row r="1366" spans="1:7" x14ac:dyDescent="0.2">
      <c r="A1366" s="10" t="s">
        <v>6054</v>
      </c>
      <c r="B1366" s="10" t="s">
        <v>6055</v>
      </c>
      <c r="C1366" s="10" t="s">
        <v>18</v>
      </c>
      <c r="D1366" s="10">
        <v>-1.3596319663348899</v>
      </c>
      <c r="E1366" s="4">
        <v>3.4976268464824498E-8</v>
      </c>
      <c r="F1366" s="10">
        <v>-1.19712835083743</v>
      </c>
      <c r="G1366" s="10">
        <v>1.2342521778351399E-4</v>
      </c>
    </row>
    <row r="1367" spans="1:7" x14ac:dyDescent="0.2">
      <c r="A1367" s="10" t="s">
        <v>3097</v>
      </c>
      <c r="B1367" s="10" t="s">
        <v>3098</v>
      </c>
      <c r="C1367" s="10" t="s">
        <v>18</v>
      </c>
      <c r="D1367" s="10">
        <v>2.21461333329521</v>
      </c>
      <c r="E1367" s="4">
        <v>6.5408818977105105E-36</v>
      </c>
      <c r="F1367" s="10">
        <v>3.7193778755728801</v>
      </c>
      <c r="G1367" s="4">
        <v>1.72320805722555E-51</v>
      </c>
    </row>
    <row r="1368" spans="1:7" x14ac:dyDescent="0.2">
      <c r="A1368" s="10" t="s">
        <v>8786</v>
      </c>
      <c r="B1368" s="10" t="s">
        <v>8787</v>
      </c>
      <c r="C1368" s="10" t="s">
        <v>18</v>
      </c>
      <c r="D1368" s="10">
        <v>-1.0386448130305701</v>
      </c>
      <c r="E1368" s="4">
        <v>3.4337864920340501E-5</v>
      </c>
      <c r="F1368" s="10">
        <v>-1.3765915943593501</v>
      </c>
      <c r="G1368" s="4">
        <v>5.6691043532066401E-6</v>
      </c>
    </row>
    <row r="1369" spans="1:7" x14ac:dyDescent="0.2">
      <c r="A1369" s="10" t="s">
        <v>2587</v>
      </c>
      <c r="B1369" s="10" t="s">
        <v>2588</v>
      </c>
      <c r="C1369" s="10" t="s">
        <v>18</v>
      </c>
      <c r="D1369" s="10">
        <v>-2.2735147979055101</v>
      </c>
      <c r="E1369" s="4">
        <v>4.34269061422959E-15</v>
      </c>
      <c r="F1369" s="10">
        <v>-1.57475358731226</v>
      </c>
      <c r="G1369" s="4">
        <v>6.3437495047448697E-6</v>
      </c>
    </row>
    <row r="1370" spans="1:7" x14ac:dyDescent="0.2">
      <c r="A1370" s="10" t="s">
        <v>6516</v>
      </c>
      <c r="B1370" s="10" t="s">
        <v>6517</v>
      </c>
      <c r="C1370" s="10" t="s">
        <v>18</v>
      </c>
      <c r="D1370" s="10">
        <v>-1.5003613494655601</v>
      </c>
      <c r="E1370" s="4">
        <v>9.7045633795840597E-10</v>
      </c>
      <c r="F1370" s="10">
        <v>-1.28685461530968</v>
      </c>
      <c r="G1370" s="4">
        <v>1.21527076756308E-5</v>
      </c>
    </row>
    <row r="1371" spans="1:7" x14ac:dyDescent="0.2">
      <c r="A1371" s="10" t="s">
        <v>3521</v>
      </c>
      <c r="B1371" s="10" t="s">
        <v>3522</v>
      </c>
      <c r="C1371" s="10" t="s">
        <v>18</v>
      </c>
      <c r="D1371" s="10">
        <v>1.4644577879462399</v>
      </c>
      <c r="E1371" s="4">
        <v>3.4905851284321502E-8</v>
      </c>
      <c r="F1371" s="10">
        <v>1.1727772905092499</v>
      </c>
      <c r="G1371" s="4">
        <v>7.7446327161188498E-5</v>
      </c>
    </row>
    <row r="1372" spans="1:7" x14ac:dyDescent="0.2">
      <c r="A1372" s="10" t="s">
        <v>8952</v>
      </c>
      <c r="B1372" s="10" t="s">
        <v>8953</v>
      </c>
      <c r="C1372" s="10" t="s">
        <v>18</v>
      </c>
      <c r="D1372" s="10">
        <v>1.8238258429986201</v>
      </c>
      <c r="E1372" s="4">
        <v>2.4123350186313701E-11</v>
      </c>
      <c r="F1372" s="10">
        <v>2.0822755545139802</v>
      </c>
      <c r="G1372" s="4">
        <v>1.9295974725841599E-9</v>
      </c>
    </row>
    <row r="1373" spans="1:7" x14ac:dyDescent="0.2">
      <c r="A1373" s="10" t="s">
        <v>1267</v>
      </c>
      <c r="B1373" s="10" t="s">
        <v>1268</v>
      </c>
      <c r="C1373" s="10" t="s">
        <v>18</v>
      </c>
      <c r="D1373" s="10">
        <v>1.6797106668870601</v>
      </c>
      <c r="E1373" s="4">
        <v>4.1335056989128397E-11</v>
      </c>
      <c r="F1373" s="10">
        <v>1.89033478143495</v>
      </c>
      <c r="G1373" s="4">
        <v>1.10449241031509E-10</v>
      </c>
    </row>
    <row r="1374" spans="1:7" x14ac:dyDescent="0.2">
      <c r="A1374" s="10" t="s">
        <v>1255</v>
      </c>
      <c r="B1374" s="10" t="s">
        <v>1256</v>
      </c>
      <c r="C1374" s="10" t="s">
        <v>18</v>
      </c>
      <c r="D1374" s="10">
        <v>1.4456038875716699</v>
      </c>
      <c r="E1374" s="4">
        <v>1.8569186885493499E-14</v>
      </c>
      <c r="F1374" s="10">
        <v>1.7990010470122999</v>
      </c>
      <c r="G1374" s="4">
        <v>1.4821514776649001E-11</v>
      </c>
    </row>
    <row r="1375" spans="1:7" x14ac:dyDescent="0.2">
      <c r="A1375" s="10" t="s">
        <v>1263</v>
      </c>
      <c r="B1375" s="10" t="s">
        <v>1264</v>
      </c>
      <c r="C1375" s="10" t="s">
        <v>18</v>
      </c>
      <c r="D1375" s="10">
        <v>2.0687181955948</v>
      </c>
      <c r="E1375" s="4">
        <v>5.4098916872237E-7</v>
      </c>
      <c r="F1375" s="10">
        <v>1.72809896424557</v>
      </c>
      <c r="G1375" s="4">
        <v>2.7577078978593299E-5</v>
      </c>
    </row>
    <row r="1376" spans="1:7" x14ac:dyDescent="0.2">
      <c r="A1376" s="10" t="s">
        <v>8150</v>
      </c>
      <c r="B1376" s="10" t="s">
        <v>8151</v>
      </c>
      <c r="C1376" s="10" t="s">
        <v>18</v>
      </c>
      <c r="D1376" s="10">
        <v>2.2000299916136998</v>
      </c>
      <c r="E1376" s="4">
        <v>3.4516590034939499E-5</v>
      </c>
      <c r="F1376" s="10">
        <v>2.2872508081884102</v>
      </c>
      <c r="G1376" s="4">
        <v>1.50527476563795E-5</v>
      </c>
    </row>
    <row r="1377" spans="1:7" x14ac:dyDescent="0.2">
      <c r="A1377" s="10" t="s">
        <v>5288</v>
      </c>
      <c r="B1377" s="10" t="s">
        <v>5289</v>
      </c>
      <c r="C1377" s="10" t="s">
        <v>18</v>
      </c>
      <c r="D1377" s="10">
        <v>6.4440053863043296</v>
      </c>
      <c r="E1377" s="4">
        <v>1.24844774874017E-8</v>
      </c>
      <c r="F1377" s="10">
        <v>4.0168269144883801</v>
      </c>
      <c r="G1377" s="4">
        <v>3.47148210692621E-10</v>
      </c>
    </row>
    <row r="1378" spans="1:7" x14ac:dyDescent="0.2">
      <c r="A1378" s="10" t="s">
        <v>285</v>
      </c>
      <c r="B1378" s="10" t="s">
        <v>286</v>
      </c>
      <c r="C1378" s="10" t="s">
        <v>18</v>
      </c>
      <c r="D1378" s="10">
        <v>5.9181170285829801</v>
      </c>
      <c r="E1378" s="4">
        <v>6.9691476476176894E-29</v>
      </c>
      <c r="F1378" s="10">
        <v>6.6249897095823096</v>
      </c>
      <c r="G1378" s="4">
        <v>2.7941335681132899E-27</v>
      </c>
    </row>
    <row r="1379" spans="1:7" x14ac:dyDescent="0.2">
      <c r="A1379" s="10" t="s">
        <v>4586</v>
      </c>
      <c r="B1379" s="10" t="s">
        <v>4587</v>
      </c>
      <c r="C1379" s="10" t="s">
        <v>18</v>
      </c>
      <c r="D1379" s="10">
        <v>-1.4685030171609399</v>
      </c>
      <c r="E1379" s="4">
        <v>1.6712825366631501E-16</v>
      </c>
      <c r="F1379" s="10">
        <v>-1.09576026632214</v>
      </c>
      <c r="G1379" s="4">
        <v>9.11116986901608E-6</v>
      </c>
    </row>
    <row r="1380" spans="1:7" x14ac:dyDescent="0.2">
      <c r="A1380" s="10" t="s">
        <v>1643</v>
      </c>
      <c r="B1380" s="10" t="s">
        <v>1644</v>
      </c>
      <c r="C1380" s="10" t="s">
        <v>18</v>
      </c>
      <c r="D1380" s="10">
        <v>-1.93195398626662</v>
      </c>
      <c r="E1380" s="4">
        <v>1.0567207232939301E-18</v>
      </c>
      <c r="F1380" s="10">
        <v>-1.31418995197309</v>
      </c>
      <c r="G1380" s="4">
        <v>1.7122914957035101E-6</v>
      </c>
    </row>
    <row r="1381" spans="1:7" x14ac:dyDescent="0.2">
      <c r="A1381" s="10" t="s">
        <v>2227</v>
      </c>
      <c r="B1381" s="10" t="s">
        <v>2228</v>
      </c>
      <c r="C1381" s="10" t="s">
        <v>18</v>
      </c>
      <c r="D1381" s="10">
        <v>-1.30242388853158</v>
      </c>
      <c r="E1381" s="4">
        <v>7.9041644482182902E-13</v>
      </c>
      <c r="F1381" s="10">
        <v>-1.1278474097962801</v>
      </c>
      <c r="G1381" s="4">
        <v>4.6597099020946502E-6</v>
      </c>
    </row>
    <row r="1382" spans="1:7" x14ac:dyDescent="0.2">
      <c r="A1382" s="10" t="s">
        <v>8248</v>
      </c>
      <c r="B1382" s="10" t="s">
        <v>8249</v>
      </c>
      <c r="C1382" s="10" t="s">
        <v>18</v>
      </c>
      <c r="D1382" s="10">
        <v>-1.4975547014922701</v>
      </c>
      <c r="E1382" s="4">
        <v>3.2497973560635498E-10</v>
      </c>
      <c r="F1382" s="10">
        <v>-1.3548801697522399</v>
      </c>
      <c r="G1382" s="4">
        <v>1.16816835464792E-5</v>
      </c>
    </row>
    <row r="1383" spans="1:7" x14ac:dyDescent="0.2">
      <c r="A1383" s="10" t="s">
        <v>5456</v>
      </c>
      <c r="B1383" s="10" t="s">
        <v>5457</v>
      </c>
      <c r="C1383" s="10" t="s">
        <v>18</v>
      </c>
      <c r="D1383" s="10">
        <v>1.12958423214478</v>
      </c>
      <c r="E1383" s="4">
        <v>9.9508699641470599E-10</v>
      </c>
      <c r="F1383" s="10">
        <v>1.1171393694898599</v>
      </c>
      <c r="G1383" s="4">
        <v>9.7743482476319204E-6</v>
      </c>
    </row>
    <row r="1384" spans="1:7" x14ac:dyDescent="0.2">
      <c r="A1384" s="10" t="s">
        <v>7350</v>
      </c>
      <c r="B1384" s="10" t="s">
        <v>7351</v>
      </c>
      <c r="C1384" s="10" t="s">
        <v>18</v>
      </c>
      <c r="D1384" s="10">
        <v>1.6607941099922201</v>
      </c>
      <c r="E1384" s="4">
        <v>5.8140794398968005E-20</v>
      </c>
      <c r="F1384" s="10">
        <v>2.4397255619011302</v>
      </c>
      <c r="G1384" s="4">
        <v>4.8333539316465399E-23</v>
      </c>
    </row>
    <row r="1385" spans="1:7" x14ac:dyDescent="0.2">
      <c r="A1385" s="10" t="s">
        <v>5628</v>
      </c>
      <c r="B1385" s="10" t="s">
        <v>5629</v>
      </c>
      <c r="C1385" s="10" t="s">
        <v>18</v>
      </c>
      <c r="D1385" s="10">
        <v>-2.4822783160489599</v>
      </c>
      <c r="E1385" s="4">
        <v>5.1939180195686201E-44</v>
      </c>
      <c r="F1385" s="10">
        <v>-1.2768521388543499</v>
      </c>
      <c r="G1385" s="4">
        <v>1.4903964989718599E-7</v>
      </c>
    </row>
    <row r="1386" spans="1:7" x14ac:dyDescent="0.2">
      <c r="A1386" s="10" t="s">
        <v>2297</v>
      </c>
      <c r="B1386" s="10" t="s">
        <v>2298</v>
      </c>
      <c r="C1386" s="10" t="s">
        <v>18</v>
      </c>
      <c r="D1386" s="10">
        <v>-1.29504124548866</v>
      </c>
      <c r="E1386" s="4">
        <v>4.3041174980007701E-8</v>
      </c>
      <c r="F1386" s="10">
        <v>-1.3217136378611301</v>
      </c>
      <c r="G1386" s="4">
        <v>6.0535493485327799E-6</v>
      </c>
    </row>
    <row r="1387" spans="1:7" x14ac:dyDescent="0.2">
      <c r="A1387" s="10" t="s">
        <v>8082</v>
      </c>
      <c r="B1387" s="10" t="s">
        <v>8083</v>
      </c>
      <c r="C1387" s="10" t="s">
        <v>18</v>
      </c>
      <c r="D1387" s="10">
        <v>8.0572565527833007</v>
      </c>
      <c r="E1387" s="4">
        <v>3.5019722486203998E-7</v>
      </c>
      <c r="F1387" s="10">
        <v>5.3042675536395603</v>
      </c>
      <c r="G1387" s="4">
        <v>4.4976869150855001E-7</v>
      </c>
    </row>
    <row r="1388" spans="1:7" x14ac:dyDescent="0.2">
      <c r="A1388" s="10" t="s">
        <v>3305</v>
      </c>
      <c r="B1388" s="10" t="s">
        <v>3306</v>
      </c>
      <c r="C1388" s="10" t="s">
        <v>18</v>
      </c>
      <c r="D1388" s="10">
        <v>7.3585231963312498</v>
      </c>
      <c r="E1388" s="4">
        <v>1.4167016412501001E-6</v>
      </c>
      <c r="F1388" s="10">
        <v>2.8563706559286999</v>
      </c>
      <c r="G1388" s="4">
        <v>2.2955705332672999E-7</v>
      </c>
    </row>
    <row r="1389" spans="1:7" x14ac:dyDescent="0.2">
      <c r="A1389" s="10" t="s">
        <v>3087</v>
      </c>
      <c r="B1389" s="10" t="s">
        <v>3088</v>
      </c>
      <c r="C1389" s="10" t="s">
        <v>18</v>
      </c>
      <c r="D1389" s="10">
        <v>1.7566042322725499</v>
      </c>
      <c r="E1389" s="4">
        <v>4.3185299640055503E-17</v>
      </c>
      <c r="F1389" s="10">
        <v>1.7545868981203701</v>
      </c>
      <c r="G1389" s="4">
        <v>3.9227718571390502E-11</v>
      </c>
    </row>
    <row r="1390" spans="1:7" x14ac:dyDescent="0.2">
      <c r="A1390" s="10" t="s">
        <v>1115</v>
      </c>
      <c r="B1390" s="10" t="s">
        <v>1116</v>
      </c>
      <c r="C1390" s="10" t="s">
        <v>18</v>
      </c>
      <c r="D1390" s="10">
        <v>-1.03157694340741</v>
      </c>
      <c r="E1390" s="10">
        <v>6.79447570579572E-4</v>
      </c>
      <c r="F1390" s="10">
        <v>-1.00930127344608</v>
      </c>
      <c r="G1390" s="10">
        <v>2.1351841578237602E-3</v>
      </c>
    </row>
    <row r="1391" spans="1:7" x14ac:dyDescent="0.2">
      <c r="A1391" s="10" t="s">
        <v>7840</v>
      </c>
      <c r="B1391" s="10" t="s">
        <v>7841</v>
      </c>
      <c r="C1391" s="10" t="s">
        <v>18</v>
      </c>
      <c r="D1391" s="10">
        <v>5.8530390642404502</v>
      </c>
      <c r="E1391" s="4">
        <v>1.4172723770565701E-9</v>
      </c>
      <c r="F1391" s="10">
        <v>5.3591033900306702</v>
      </c>
      <c r="G1391" s="4">
        <v>3.5500147865121501E-11</v>
      </c>
    </row>
    <row r="1392" spans="1:7" x14ac:dyDescent="0.2">
      <c r="A1392" s="10" t="s">
        <v>4788</v>
      </c>
      <c r="B1392" s="10" t="s">
        <v>4789</v>
      </c>
      <c r="C1392" s="10" t="s">
        <v>18</v>
      </c>
      <c r="D1392" s="10">
        <v>2.96727261771106</v>
      </c>
      <c r="E1392" s="4">
        <v>7.2526302777328305E-7</v>
      </c>
      <c r="F1392" s="10">
        <v>2.8342657186871301</v>
      </c>
      <c r="G1392" s="4">
        <v>1.0603342502521901E-6</v>
      </c>
    </row>
    <row r="1393" spans="1:7" x14ac:dyDescent="0.2">
      <c r="A1393" s="10" t="s">
        <v>7460</v>
      </c>
      <c r="B1393" s="10" t="s">
        <v>7461</v>
      </c>
      <c r="C1393" s="10" t="s">
        <v>18</v>
      </c>
      <c r="D1393" s="10">
        <v>2.7190662437334598</v>
      </c>
      <c r="E1393" s="10">
        <v>1.2693521204616399E-2</v>
      </c>
      <c r="F1393" s="10">
        <v>3.0106213460823898</v>
      </c>
      <c r="G1393" s="10">
        <v>6.2582700297808798E-3</v>
      </c>
    </row>
    <row r="1394" spans="1:7" x14ac:dyDescent="0.2">
      <c r="A1394" s="10" t="s">
        <v>7916</v>
      </c>
      <c r="B1394" s="10" t="s">
        <v>7917</v>
      </c>
      <c r="C1394" s="10" t="s">
        <v>18</v>
      </c>
      <c r="D1394" s="10">
        <v>-1.1122051447818799</v>
      </c>
      <c r="E1394" s="4">
        <v>7.48533978960224E-6</v>
      </c>
      <c r="F1394" s="10">
        <v>-1.66501326399133</v>
      </c>
      <c r="G1394" s="4">
        <v>9.6429253242036304E-8</v>
      </c>
    </row>
    <row r="1395" spans="1:7" x14ac:dyDescent="0.2">
      <c r="A1395" s="10" t="s">
        <v>2797</v>
      </c>
      <c r="B1395" s="10" t="s">
        <v>2798</v>
      </c>
      <c r="C1395" s="10" t="s">
        <v>18</v>
      </c>
      <c r="D1395" s="10">
        <v>-1.40363793545214</v>
      </c>
      <c r="E1395" s="4">
        <v>5.5745560782619303E-9</v>
      </c>
      <c r="F1395" s="10">
        <v>-1.2201120294774399</v>
      </c>
      <c r="G1395" s="4">
        <v>5.1660508461950302E-5</v>
      </c>
    </row>
    <row r="1396" spans="1:7" x14ac:dyDescent="0.2">
      <c r="A1396" s="10" t="s">
        <v>4590</v>
      </c>
      <c r="B1396" s="10" t="s">
        <v>4591</v>
      </c>
      <c r="C1396" s="10" t="s">
        <v>18</v>
      </c>
      <c r="D1396" s="10">
        <v>2.5984626829060899</v>
      </c>
      <c r="E1396" s="4">
        <v>1.25445505561986E-14</v>
      </c>
      <c r="F1396" s="10">
        <v>2.72419041821402</v>
      </c>
      <c r="G1396" s="4">
        <v>2.04318450960615E-13</v>
      </c>
    </row>
    <row r="1397" spans="1:7" x14ac:dyDescent="0.2">
      <c r="A1397" s="10" t="s">
        <v>1817</v>
      </c>
      <c r="B1397" s="10" t="s">
        <v>1818</v>
      </c>
      <c r="C1397" s="10" t="s">
        <v>18</v>
      </c>
      <c r="D1397" s="10">
        <v>5.7214815429921702</v>
      </c>
      <c r="E1397" s="4">
        <v>1.00739109896829E-20</v>
      </c>
      <c r="F1397" s="10">
        <v>2.26361089946655</v>
      </c>
      <c r="G1397" s="4">
        <v>7.1705294440858504E-9</v>
      </c>
    </row>
    <row r="1398" spans="1:7" x14ac:dyDescent="0.2">
      <c r="A1398" s="10" t="s">
        <v>5792</v>
      </c>
      <c r="B1398" s="10" t="s">
        <v>5793</v>
      </c>
      <c r="C1398" s="10" t="s">
        <v>18</v>
      </c>
      <c r="D1398" s="10">
        <v>1.63114992431952</v>
      </c>
      <c r="E1398" s="4">
        <v>1.7239196248967699E-18</v>
      </c>
      <c r="F1398" s="10">
        <v>2.1544081250823499</v>
      </c>
      <c r="G1398" s="4">
        <v>1.0628156121475501E-18</v>
      </c>
    </row>
    <row r="1399" spans="1:7" x14ac:dyDescent="0.2">
      <c r="A1399" s="10" t="s">
        <v>7942</v>
      </c>
      <c r="B1399" s="10" t="s">
        <v>7943</v>
      </c>
      <c r="C1399" s="10" t="s">
        <v>18</v>
      </c>
      <c r="D1399" s="10">
        <v>1.5375046023463801</v>
      </c>
      <c r="E1399" s="4">
        <v>1.0076082755605899E-14</v>
      </c>
      <c r="F1399" s="10">
        <v>1.02369516469092</v>
      </c>
      <c r="G1399" s="10">
        <v>1.5746534891593E-4</v>
      </c>
    </row>
    <row r="1400" spans="1:7" x14ac:dyDescent="0.2">
      <c r="A1400" s="10" t="s">
        <v>4550</v>
      </c>
      <c r="B1400" s="10" t="s">
        <v>4551</v>
      </c>
      <c r="C1400" s="10" t="s">
        <v>18</v>
      </c>
      <c r="D1400" s="10">
        <v>4.2673574287634297</v>
      </c>
      <c r="E1400" s="4">
        <v>2.74103792878662E-7</v>
      </c>
      <c r="F1400" s="10">
        <v>-1.6723957074299001</v>
      </c>
      <c r="G1400" s="4">
        <v>5.2147494396701801E-5</v>
      </c>
    </row>
    <row r="1401" spans="1:7" x14ac:dyDescent="0.2">
      <c r="A1401" s="10" t="s">
        <v>8878</v>
      </c>
      <c r="B1401" s="10" t="s">
        <v>8879</v>
      </c>
      <c r="C1401" s="10" t="s">
        <v>18</v>
      </c>
      <c r="D1401" s="10">
        <v>4.0041453384990398</v>
      </c>
      <c r="E1401" s="4">
        <v>1.77728356223885E-39</v>
      </c>
      <c r="F1401" s="10">
        <v>5.1281886557917797</v>
      </c>
      <c r="G1401" s="4">
        <v>4.5590640368973401E-42</v>
      </c>
    </row>
    <row r="1402" spans="1:7" x14ac:dyDescent="0.2">
      <c r="A1402" s="10" t="s">
        <v>9140</v>
      </c>
      <c r="B1402" s="10" t="s">
        <v>9141</v>
      </c>
      <c r="C1402" s="10" t="s">
        <v>18</v>
      </c>
      <c r="D1402" s="10">
        <v>1.3953166546717199</v>
      </c>
      <c r="E1402" s="4">
        <v>2.03225471119246E-13</v>
      </c>
      <c r="F1402" s="10">
        <v>2.40066383001502</v>
      </c>
      <c r="G1402" s="4">
        <v>6.4779758769298699E-22</v>
      </c>
    </row>
    <row r="1403" spans="1:7" x14ac:dyDescent="0.2">
      <c r="A1403" s="10" t="s">
        <v>2503</v>
      </c>
      <c r="B1403" s="10" t="s">
        <v>2504</v>
      </c>
      <c r="C1403" s="10" t="s">
        <v>18</v>
      </c>
      <c r="D1403" s="10">
        <v>-1.3054655708582901</v>
      </c>
      <c r="E1403" s="4">
        <v>3.5365030628487603E-8</v>
      </c>
      <c r="F1403" s="10">
        <v>-1.63386732803695</v>
      </c>
      <c r="G1403" s="4">
        <v>2.7691919343980799E-8</v>
      </c>
    </row>
    <row r="1404" spans="1:7" x14ac:dyDescent="0.2">
      <c r="A1404" s="10" t="s">
        <v>8260</v>
      </c>
      <c r="B1404" s="10" t="s">
        <v>8261</v>
      </c>
      <c r="C1404" s="10" t="s">
        <v>18</v>
      </c>
      <c r="D1404" s="10">
        <v>-1.4161578899854499</v>
      </c>
      <c r="E1404" s="4">
        <v>1.55712932851193E-10</v>
      </c>
      <c r="F1404" s="10">
        <v>-1.1408013423821901</v>
      </c>
      <c r="G1404" s="4">
        <v>8.1253465050131396E-5</v>
      </c>
    </row>
    <row r="1405" spans="1:7" x14ac:dyDescent="0.2">
      <c r="A1405" s="10" t="s">
        <v>8464</v>
      </c>
      <c r="B1405" s="10" t="s">
        <v>8465</v>
      </c>
      <c r="C1405" s="10" t="s">
        <v>18</v>
      </c>
      <c r="D1405" s="10">
        <v>4.0240900848932002</v>
      </c>
      <c r="E1405" s="4">
        <v>3.38674559657889E-53</v>
      </c>
      <c r="F1405" s="10">
        <v>4.1613795484256304</v>
      </c>
      <c r="G1405" s="4">
        <v>3.68861643360759E-38</v>
      </c>
    </row>
    <row r="1406" spans="1:7" x14ac:dyDescent="0.2">
      <c r="A1406" s="10" t="s">
        <v>8674</v>
      </c>
      <c r="B1406" s="10" t="s">
        <v>8675</v>
      </c>
      <c r="C1406" s="10" t="s">
        <v>18</v>
      </c>
      <c r="D1406" s="10">
        <v>4.8971286483266603</v>
      </c>
      <c r="E1406" s="4">
        <v>4.3861165873669602E-47</v>
      </c>
      <c r="F1406" s="10">
        <v>6.9184526488815603</v>
      </c>
      <c r="G1406" s="4">
        <v>4.5842868763328602E-45</v>
      </c>
    </row>
    <row r="1407" spans="1:7" x14ac:dyDescent="0.2">
      <c r="A1407" s="10" t="s">
        <v>8056</v>
      </c>
      <c r="B1407" s="10" t="s">
        <v>8057</v>
      </c>
      <c r="C1407" s="10" t="s">
        <v>18</v>
      </c>
      <c r="D1407" s="10">
        <v>-3.7401996660262502</v>
      </c>
      <c r="E1407" s="4">
        <v>2.4911244073270101E-27</v>
      </c>
      <c r="F1407" s="10">
        <v>-3.1588596455567202</v>
      </c>
      <c r="G1407" s="4">
        <v>4.0847227255438101E-14</v>
      </c>
    </row>
    <row r="1408" spans="1:7" x14ac:dyDescent="0.2">
      <c r="A1408" s="10" t="s">
        <v>2181</v>
      </c>
      <c r="B1408" s="10" t="s">
        <v>2182</v>
      </c>
      <c r="C1408" s="10" t="s">
        <v>18</v>
      </c>
      <c r="D1408" s="10">
        <v>-1.05993873700279</v>
      </c>
      <c r="E1408" s="4">
        <v>4.8463911108605999E-6</v>
      </c>
      <c r="F1408" s="10">
        <v>-2.2885049234641901</v>
      </c>
      <c r="G1408" s="4">
        <v>2.0132031681152E-17</v>
      </c>
    </row>
    <row r="1409" spans="1:7" x14ac:dyDescent="0.2">
      <c r="A1409" s="10" t="s">
        <v>1167</v>
      </c>
      <c r="B1409" s="10" t="s">
        <v>1168</v>
      </c>
      <c r="C1409" s="10" t="s">
        <v>18</v>
      </c>
      <c r="D1409" s="10">
        <v>5.8867856478403198</v>
      </c>
      <c r="E1409" s="10">
        <v>3.5345287696985099E-4</v>
      </c>
      <c r="F1409" s="10">
        <v>3.8193468493090901</v>
      </c>
      <c r="G1409" s="10">
        <v>1.05520708907441E-4</v>
      </c>
    </row>
    <row r="1410" spans="1:7" x14ac:dyDescent="0.2">
      <c r="A1410" s="10" t="s">
        <v>5502</v>
      </c>
      <c r="B1410" s="10" t="s">
        <v>5503</v>
      </c>
      <c r="C1410" s="10" t="s">
        <v>18</v>
      </c>
      <c r="D1410" s="10">
        <v>2.9021979056347398</v>
      </c>
      <c r="E1410" s="10">
        <v>1.01896597536352E-2</v>
      </c>
      <c r="F1410" s="10">
        <v>4.1800618179958802</v>
      </c>
      <c r="G1410" s="10">
        <v>4.7945185582269601E-4</v>
      </c>
    </row>
    <row r="1411" spans="1:7" x14ac:dyDescent="0.2">
      <c r="A1411" s="10" t="s">
        <v>9030</v>
      </c>
      <c r="B1411" s="10" t="s">
        <v>9031</v>
      </c>
      <c r="C1411" s="10" t="s">
        <v>18</v>
      </c>
      <c r="D1411" s="10">
        <v>-1.1753263072955999</v>
      </c>
      <c r="E1411" s="4">
        <v>1.18381794940287E-8</v>
      </c>
      <c r="F1411" s="10">
        <v>-1.18984923421721</v>
      </c>
      <c r="G1411" s="4">
        <v>4.1011393112157397E-6</v>
      </c>
    </row>
    <row r="1412" spans="1:7" x14ac:dyDescent="0.2">
      <c r="A1412" s="10" t="s">
        <v>8890</v>
      </c>
      <c r="B1412" s="10" t="s">
        <v>8891</v>
      </c>
      <c r="C1412" s="10" t="s">
        <v>18</v>
      </c>
      <c r="D1412" s="10">
        <v>-1.23191910961968</v>
      </c>
      <c r="E1412" s="4">
        <v>9.8198671907547597E-9</v>
      </c>
      <c r="F1412" s="10">
        <v>-1.81260578130651</v>
      </c>
      <c r="G1412" s="4">
        <v>3.3392976573794801E-13</v>
      </c>
    </row>
    <row r="1413" spans="1:7" x14ac:dyDescent="0.2">
      <c r="A1413" s="10" t="s">
        <v>7102</v>
      </c>
      <c r="B1413" s="10" t="s">
        <v>7103</v>
      </c>
      <c r="C1413" s="10" t="s">
        <v>18</v>
      </c>
      <c r="D1413" s="10">
        <v>1.3361022480245199</v>
      </c>
      <c r="E1413" s="4">
        <v>1.1757271132913499E-12</v>
      </c>
      <c r="F1413" s="10">
        <v>1.1600003121268501</v>
      </c>
      <c r="G1413" s="4">
        <v>1.56930981072318E-6</v>
      </c>
    </row>
    <row r="1414" spans="1:7" x14ac:dyDescent="0.2">
      <c r="A1414" s="10" t="s">
        <v>4446</v>
      </c>
      <c r="B1414" s="10" t="s">
        <v>4447</v>
      </c>
      <c r="C1414" s="10" t="s">
        <v>18</v>
      </c>
      <c r="D1414" s="10">
        <v>6.1952184977268203</v>
      </c>
      <c r="E1414" s="4">
        <v>1.1769850172856101E-177</v>
      </c>
      <c r="F1414" s="10">
        <v>3.7509226000170601</v>
      </c>
      <c r="G1414" s="4">
        <v>4.6093191159941999E-46</v>
      </c>
    </row>
    <row r="1415" spans="1:7" x14ac:dyDescent="0.2">
      <c r="A1415" s="10" t="s">
        <v>4932</v>
      </c>
      <c r="B1415" s="10" t="s">
        <v>4933</v>
      </c>
      <c r="C1415" s="10" t="s">
        <v>18</v>
      </c>
      <c r="D1415" s="10">
        <v>2.9275264289471998</v>
      </c>
      <c r="E1415" s="10">
        <v>1.74904149458079E-4</v>
      </c>
      <c r="F1415" s="10">
        <v>2.0488304316079602</v>
      </c>
      <c r="G1415" s="10">
        <v>2.1202396120937198E-3</v>
      </c>
    </row>
    <row r="1416" spans="1:7" x14ac:dyDescent="0.2">
      <c r="A1416" s="10" t="s">
        <v>57</v>
      </c>
      <c r="B1416" s="10" t="s">
        <v>58</v>
      </c>
      <c r="C1416" s="10" t="s">
        <v>18</v>
      </c>
      <c r="D1416" s="10">
        <v>-1.60887182557567</v>
      </c>
      <c r="E1416" s="4">
        <v>1.9113890291070198E-12</v>
      </c>
      <c r="F1416" s="10">
        <v>-1.1342957808707701</v>
      </c>
      <c r="G1416" s="10">
        <v>3.7029254893973198E-4</v>
      </c>
    </row>
    <row r="1417" spans="1:7" x14ac:dyDescent="0.2">
      <c r="A1417" s="10" t="s">
        <v>4223</v>
      </c>
      <c r="B1417" s="10" t="s">
        <v>4224</v>
      </c>
      <c r="C1417" s="10" t="s">
        <v>18</v>
      </c>
      <c r="D1417" s="10">
        <v>-1.62915206419097</v>
      </c>
      <c r="E1417" s="4">
        <v>6.3681295111008595E-13</v>
      </c>
      <c r="F1417" s="10">
        <v>-1.13590537218629</v>
      </c>
      <c r="G1417" s="4">
        <v>5.51442660333926E-5</v>
      </c>
    </row>
    <row r="1418" spans="1:7" x14ac:dyDescent="0.2">
      <c r="A1418" s="10" t="s">
        <v>7628</v>
      </c>
      <c r="B1418" s="10" t="s">
        <v>7629</v>
      </c>
      <c r="C1418" s="10" t="s">
        <v>18</v>
      </c>
      <c r="D1418" s="10">
        <v>4.5550830997771898</v>
      </c>
      <c r="E1418" s="4">
        <v>2.7112264829947299E-32</v>
      </c>
      <c r="F1418" s="10">
        <v>2.9482217984249499</v>
      </c>
      <c r="G1418" s="4">
        <v>4.0240500634866202E-16</v>
      </c>
    </row>
    <row r="1419" spans="1:7" x14ac:dyDescent="0.2">
      <c r="A1419" s="10" t="s">
        <v>239</v>
      </c>
      <c r="B1419" s="10" t="s">
        <v>240</v>
      </c>
      <c r="C1419" s="10" t="s">
        <v>18</v>
      </c>
      <c r="D1419" s="10">
        <v>5.4792568523104999</v>
      </c>
      <c r="E1419" s="4">
        <v>1.5088347097033798E-39</v>
      </c>
      <c r="F1419" s="10">
        <v>3.9776889685156398</v>
      </c>
      <c r="G1419" s="4">
        <v>4.51302599932198E-29</v>
      </c>
    </row>
    <row r="1420" spans="1:7" x14ac:dyDescent="0.2">
      <c r="A1420" s="10" t="s">
        <v>4215</v>
      </c>
      <c r="B1420" s="10" t="s">
        <v>4216</v>
      </c>
      <c r="C1420" s="10" t="s">
        <v>18</v>
      </c>
      <c r="D1420" s="10">
        <v>-2.0649234720758098</v>
      </c>
      <c r="E1420" s="4">
        <v>7.1420748542933194E-14</v>
      </c>
      <c r="F1420" s="10">
        <v>-3.1600934571919699</v>
      </c>
      <c r="G1420" s="4">
        <v>3.8943865512292902E-26</v>
      </c>
    </row>
    <row r="1421" spans="1:7" x14ac:dyDescent="0.2">
      <c r="A1421" s="10" t="s">
        <v>3949</v>
      </c>
      <c r="B1421" s="10" t="s">
        <v>3950</v>
      </c>
      <c r="C1421" s="10" t="s">
        <v>18</v>
      </c>
      <c r="D1421" s="10">
        <v>-1.9698451882941801</v>
      </c>
      <c r="E1421" s="4">
        <v>2.4820016291506599E-25</v>
      </c>
      <c r="F1421" s="10">
        <v>-1.7593852283159801</v>
      </c>
      <c r="G1421" s="4">
        <v>1.4906630386076201E-12</v>
      </c>
    </row>
    <row r="1422" spans="1:7" x14ac:dyDescent="0.2">
      <c r="A1422" s="10" t="s">
        <v>4340</v>
      </c>
      <c r="B1422" s="10" t="s">
        <v>4341</v>
      </c>
      <c r="C1422" s="10" t="s">
        <v>18</v>
      </c>
      <c r="D1422" s="10">
        <v>5.5285541802171201</v>
      </c>
      <c r="E1422" s="4">
        <v>1.2869164953930999E-22</v>
      </c>
      <c r="F1422" s="10">
        <v>7.1030382824969998</v>
      </c>
      <c r="G1422" s="4">
        <v>1.1504867985665E-18</v>
      </c>
    </row>
    <row r="1423" spans="1:7" x14ac:dyDescent="0.2">
      <c r="A1423" s="10" t="s">
        <v>6128</v>
      </c>
      <c r="B1423" s="10" t="s">
        <v>6129</v>
      </c>
      <c r="C1423" s="10" t="s">
        <v>18</v>
      </c>
      <c r="D1423" s="10">
        <v>2.5947989068504098</v>
      </c>
      <c r="E1423" s="4">
        <v>1.28777346140598E-14</v>
      </c>
      <c r="F1423" s="10">
        <v>1.87446355777687</v>
      </c>
      <c r="G1423" s="4">
        <v>2.1464807607368699E-8</v>
      </c>
    </row>
    <row r="1424" spans="1:7" x14ac:dyDescent="0.2">
      <c r="A1424" s="10" t="s">
        <v>3811</v>
      </c>
      <c r="B1424" s="10" t="s">
        <v>3812</v>
      </c>
      <c r="C1424" s="10" t="s">
        <v>18</v>
      </c>
      <c r="D1424" s="10">
        <v>2.4335412843725699</v>
      </c>
      <c r="E1424" s="4">
        <v>2.90180679551686E-22</v>
      </c>
      <c r="F1424" s="10">
        <v>2.0810756411908602</v>
      </c>
      <c r="G1424" s="4">
        <v>6.4604136776862699E-12</v>
      </c>
    </row>
    <row r="1425" spans="1:7" x14ac:dyDescent="0.2">
      <c r="A1425" s="10" t="s">
        <v>4021</v>
      </c>
      <c r="B1425" s="10" t="s">
        <v>4022</v>
      </c>
      <c r="C1425" s="10" t="s">
        <v>18</v>
      </c>
      <c r="D1425" s="10">
        <v>1.30893462258479</v>
      </c>
      <c r="E1425" s="4">
        <v>1.49985838451489E-5</v>
      </c>
      <c r="F1425" s="10">
        <v>1.7321018191684401</v>
      </c>
      <c r="G1425" s="4">
        <v>3.1305117812760101E-6</v>
      </c>
    </row>
    <row r="1426" spans="1:7" x14ac:dyDescent="0.2">
      <c r="A1426" s="10" t="s">
        <v>5648</v>
      </c>
      <c r="B1426" s="10" t="s">
        <v>5649</v>
      </c>
      <c r="C1426" s="10" t="s">
        <v>18</v>
      </c>
      <c r="D1426" s="10">
        <v>8.3652314369437804</v>
      </c>
      <c r="E1426" s="4">
        <v>8.0707644796084699E-8</v>
      </c>
      <c r="F1426" s="10">
        <v>2.31651856964351</v>
      </c>
      <c r="G1426" s="4">
        <v>7.5499165167940797E-5</v>
      </c>
    </row>
    <row r="1427" spans="1:7" x14ac:dyDescent="0.2">
      <c r="A1427" s="10" t="s">
        <v>4780</v>
      </c>
      <c r="B1427" s="10" t="s">
        <v>4781</v>
      </c>
      <c r="C1427" s="10" t="s">
        <v>18</v>
      </c>
      <c r="D1427" s="10">
        <v>6.5740095431123597</v>
      </c>
      <c r="E1427" s="4">
        <v>5.2976350568155197E-16</v>
      </c>
      <c r="F1427" s="10">
        <v>5.0240895483179697</v>
      </c>
      <c r="G1427" s="4">
        <v>4.7102502821443199E-20</v>
      </c>
    </row>
    <row r="1428" spans="1:7" x14ac:dyDescent="0.2">
      <c r="A1428" s="10" t="s">
        <v>4956</v>
      </c>
      <c r="B1428" s="10" t="s">
        <v>4957</v>
      </c>
      <c r="C1428" s="10" t="s">
        <v>18</v>
      </c>
      <c r="D1428" s="10">
        <v>2.7071635907499698</v>
      </c>
      <c r="E1428" s="4">
        <v>7.0652464394189803E-8</v>
      </c>
      <c r="F1428" s="10">
        <v>-1.6677042597173499</v>
      </c>
      <c r="G1428" s="4">
        <v>2.0457966513098599E-7</v>
      </c>
    </row>
    <row r="1429" spans="1:7" x14ac:dyDescent="0.2">
      <c r="A1429" s="10" t="s">
        <v>247</v>
      </c>
      <c r="B1429" s="10" t="s">
        <v>248</v>
      </c>
      <c r="C1429" s="10" t="s">
        <v>18</v>
      </c>
      <c r="D1429" s="10">
        <v>1.16509108679691</v>
      </c>
      <c r="E1429" s="4">
        <v>1.23759646601935E-9</v>
      </c>
      <c r="F1429" s="10">
        <v>3.16198178148445</v>
      </c>
      <c r="G1429" s="4">
        <v>1.3294604336362599E-25</v>
      </c>
    </row>
    <row r="1430" spans="1:7" x14ac:dyDescent="0.2">
      <c r="A1430" s="10" t="s">
        <v>991</v>
      </c>
      <c r="B1430" s="10" t="s">
        <v>992</v>
      </c>
      <c r="C1430" s="10" t="s">
        <v>18</v>
      </c>
      <c r="D1430" s="10">
        <v>-1.2691429320162699</v>
      </c>
      <c r="E1430" s="4">
        <v>1.42010049447751E-6</v>
      </c>
      <c r="F1430" s="10">
        <v>-1.0954772729794</v>
      </c>
      <c r="G1430" s="10">
        <v>4.3921954047844002E-4</v>
      </c>
    </row>
    <row r="1431" spans="1:7" x14ac:dyDescent="0.2">
      <c r="A1431" s="10" t="s">
        <v>2755</v>
      </c>
      <c r="B1431" s="10" t="s">
        <v>2756</v>
      </c>
      <c r="C1431" s="10" t="s">
        <v>18</v>
      </c>
      <c r="D1431" s="10">
        <v>1.2357746358463599</v>
      </c>
      <c r="E1431" s="4">
        <v>1.52269525004E-11</v>
      </c>
      <c r="F1431" s="10">
        <v>1.43968095501808</v>
      </c>
      <c r="G1431" s="4">
        <v>5.9427269189729896E-7</v>
      </c>
    </row>
    <row r="1432" spans="1:7" x14ac:dyDescent="0.2">
      <c r="A1432" s="10" t="s">
        <v>949</v>
      </c>
      <c r="B1432" s="10" t="s">
        <v>950</v>
      </c>
      <c r="C1432" s="10" t="s">
        <v>18</v>
      </c>
      <c r="D1432" s="10">
        <v>8.3828728564162809</v>
      </c>
      <c r="E1432" s="4">
        <v>4.5764395544972496E-40</v>
      </c>
      <c r="F1432" s="10">
        <v>6.6988133165752997</v>
      </c>
      <c r="G1432" s="4">
        <v>6.2736747581903497E-60</v>
      </c>
    </row>
    <row r="1433" spans="1:7" x14ac:dyDescent="0.2">
      <c r="A1433" s="10" t="s">
        <v>6770</v>
      </c>
      <c r="B1433" s="10" t="s">
        <v>6771</v>
      </c>
      <c r="C1433" s="10" t="s">
        <v>18</v>
      </c>
      <c r="D1433" s="10">
        <v>1.3386187696133001</v>
      </c>
      <c r="E1433" s="4">
        <v>8.1741031833421697E-5</v>
      </c>
      <c r="F1433" s="10">
        <v>1.18810695846884</v>
      </c>
      <c r="G1433" s="10">
        <v>6.0007508151632E-4</v>
      </c>
    </row>
    <row r="1434" spans="1:7" x14ac:dyDescent="0.2">
      <c r="A1434" s="10" t="s">
        <v>677</v>
      </c>
      <c r="B1434" s="10" t="s">
        <v>678</v>
      </c>
      <c r="C1434" s="10" t="s">
        <v>18</v>
      </c>
      <c r="D1434" s="10">
        <v>8.0298654184389502</v>
      </c>
      <c r="E1434" s="4">
        <v>5.3602822626938299E-7</v>
      </c>
      <c r="F1434" s="10">
        <v>4.2599999794314298</v>
      </c>
      <c r="G1434" s="4">
        <v>1.2886083426752801E-6</v>
      </c>
    </row>
    <row r="1435" spans="1:7" x14ac:dyDescent="0.2">
      <c r="A1435" s="10" t="s">
        <v>4678</v>
      </c>
      <c r="B1435" s="10" t="s">
        <v>4679</v>
      </c>
      <c r="C1435" s="10" t="s">
        <v>18</v>
      </c>
      <c r="D1435" s="10">
        <v>4.1473753213653097</v>
      </c>
      <c r="E1435" s="4">
        <v>4.2595308231708403E-55</v>
      </c>
      <c r="F1435" s="10">
        <v>3.19153878313386</v>
      </c>
      <c r="G1435" s="4">
        <v>2.0614010654057599E-21</v>
      </c>
    </row>
    <row r="1436" spans="1:7" x14ac:dyDescent="0.2">
      <c r="A1436" s="10" t="s">
        <v>8198</v>
      </c>
      <c r="B1436" s="10" t="s">
        <v>8199</v>
      </c>
      <c r="C1436" s="10" t="s">
        <v>18</v>
      </c>
      <c r="D1436" s="10">
        <v>-2.64157303896756</v>
      </c>
      <c r="E1436" s="4">
        <v>3.4266268472725803E-24</v>
      </c>
      <c r="F1436" s="10">
        <v>-1.93862600354693</v>
      </c>
      <c r="G1436" s="4">
        <v>7.62066314144417E-9</v>
      </c>
    </row>
    <row r="1437" spans="1:7" x14ac:dyDescent="0.2">
      <c r="A1437" s="10" t="s">
        <v>5140</v>
      </c>
      <c r="B1437" s="10" t="s">
        <v>5141</v>
      </c>
      <c r="C1437" s="10" t="s">
        <v>18</v>
      </c>
      <c r="D1437" s="10">
        <v>-1.7797234365407899</v>
      </c>
      <c r="E1437" s="4">
        <v>5.7198474626374197E-13</v>
      </c>
      <c r="F1437" s="10">
        <v>-2.2271903938172999</v>
      </c>
      <c r="G1437" s="4">
        <v>3.6736832839083502E-15</v>
      </c>
    </row>
    <row r="1438" spans="1:7" x14ac:dyDescent="0.2">
      <c r="A1438" s="10" t="s">
        <v>7554</v>
      </c>
      <c r="B1438" s="10" t="s">
        <v>7555</v>
      </c>
      <c r="C1438" s="10" t="s">
        <v>18</v>
      </c>
      <c r="D1438" s="10">
        <v>3.0230322078345302</v>
      </c>
      <c r="E1438" s="4">
        <v>4.1355085433557299E-9</v>
      </c>
      <c r="F1438" s="10">
        <v>1.4790364443191399</v>
      </c>
      <c r="G1438" s="10">
        <v>9.7360435925266395E-4</v>
      </c>
    </row>
    <row r="1439" spans="1:7" x14ac:dyDescent="0.2">
      <c r="A1439" s="10" t="s">
        <v>7416</v>
      </c>
      <c r="B1439" s="10" t="s">
        <v>7417</v>
      </c>
      <c r="C1439" s="10" t="s">
        <v>18</v>
      </c>
      <c r="D1439" s="10">
        <v>5.0425106797298396</v>
      </c>
      <c r="E1439" s="4">
        <v>3.0008665212163601E-33</v>
      </c>
      <c r="F1439" s="10">
        <v>2.2204048946455699</v>
      </c>
      <c r="G1439" s="4">
        <v>1.9407378667196899E-11</v>
      </c>
    </row>
    <row r="1440" spans="1:7" x14ac:dyDescent="0.2">
      <c r="A1440" s="10" t="s">
        <v>1949</v>
      </c>
      <c r="B1440" s="10" t="s">
        <v>1950</v>
      </c>
      <c r="C1440" s="10" t="s">
        <v>18</v>
      </c>
      <c r="D1440" s="10">
        <v>1.14337872328214</v>
      </c>
      <c r="E1440" s="10">
        <v>1.6470551274327201E-4</v>
      </c>
      <c r="F1440" s="10">
        <v>1.4056071894526001</v>
      </c>
      <c r="G1440" s="4">
        <v>2.4017505832173E-5</v>
      </c>
    </row>
    <row r="1441" spans="1:7" x14ac:dyDescent="0.2">
      <c r="A1441" s="10" t="s">
        <v>4306</v>
      </c>
      <c r="B1441" s="10" t="s">
        <v>4307</v>
      </c>
      <c r="C1441" s="10" t="s">
        <v>18</v>
      </c>
      <c r="D1441" s="10">
        <v>-2.0548620118088001</v>
      </c>
      <c r="E1441" s="4">
        <v>2.9411382375358102E-20</v>
      </c>
      <c r="F1441" s="10">
        <v>-1.21795964140617</v>
      </c>
      <c r="G1441" s="4">
        <v>1.13920688493212E-5</v>
      </c>
    </row>
    <row r="1442" spans="1:7" x14ac:dyDescent="0.2">
      <c r="A1442" s="10" t="s">
        <v>1233</v>
      </c>
      <c r="B1442" s="10" t="s">
        <v>1234</v>
      </c>
      <c r="C1442" s="10" t="s">
        <v>18</v>
      </c>
      <c r="D1442" s="10">
        <v>1.41512854219055</v>
      </c>
      <c r="E1442" s="4">
        <v>1.01205919472877E-10</v>
      </c>
      <c r="F1442" s="10">
        <v>1.38248508283714</v>
      </c>
      <c r="G1442" s="4">
        <v>3.0188349358835E-7</v>
      </c>
    </row>
    <row r="1443" spans="1:7" x14ac:dyDescent="0.2">
      <c r="A1443" s="10" t="s">
        <v>8870</v>
      </c>
      <c r="B1443" s="10" t="s">
        <v>8871</v>
      </c>
      <c r="C1443" s="10" t="s">
        <v>18</v>
      </c>
      <c r="D1443" s="10">
        <v>1.5585011848859101</v>
      </c>
      <c r="E1443" s="4">
        <v>2.2487813189442898E-14</v>
      </c>
      <c r="F1443" s="10">
        <v>1.57636084084151</v>
      </c>
      <c r="G1443" s="4">
        <v>1.7387298523683701E-9</v>
      </c>
    </row>
    <row r="1444" spans="1:7" x14ac:dyDescent="0.2">
      <c r="A1444" s="10" t="s">
        <v>8772</v>
      </c>
      <c r="B1444" s="10" t="s">
        <v>8773</v>
      </c>
      <c r="C1444" s="10" t="s">
        <v>18</v>
      </c>
      <c r="D1444" s="10">
        <v>7.4578105943153599</v>
      </c>
      <c r="E1444" s="4">
        <v>1.12277690267293E-21</v>
      </c>
      <c r="F1444" s="10">
        <v>4.3193053334014602</v>
      </c>
      <c r="G1444" s="4">
        <v>6.6288207707107905E-29</v>
      </c>
    </row>
    <row r="1445" spans="1:7" x14ac:dyDescent="0.2">
      <c r="A1445" s="10" t="s">
        <v>7342</v>
      </c>
      <c r="B1445" s="10" t="s">
        <v>7343</v>
      </c>
      <c r="C1445" s="10" t="s">
        <v>18</v>
      </c>
      <c r="D1445" s="10">
        <v>2.5339709251388798</v>
      </c>
      <c r="E1445" s="4">
        <v>1.15950733184975E-40</v>
      </c>
      <c r="F1445" s="10">
        <v>1.9330721023034101</v>
      </c>
      <c r="G1445" s="4">
        <v>1.9171264375724801E-14</v>
      </c>
    </row>
    <row r="1446" spans="1:7" x14ac:dyDescent="0.2">
      <c r="A1446" s="10" t="s">
        <v>5358</v>
      </c>
      <c r="B1446" s="10" t="s">
        <v>5359</v>
      </c>
      <c r="C1446" s="10" t="s">
        <v>18</v>
      </c>
      <c r="D1446" s="10">
        <v>1.8848634692969499</v>
      </c>
      <c r="E1446" s="4">
        <v>1.4361214601950399E-21</v>
      </c>
      <c r="F1446" s="10">
        <v>1.6592749113143901</v>
      </c>
      <c r="G1446" s="4">
        <v>5.6772586165721902E-11</v>
      </c>
    </row>
    <row r="1447" spans="1:7" x14ac:dyDescent="0.2">
      <c r="A1447" s="10" t="s">
        <v>3379</v>
      </c>
      <c r="B1447" s="10" t="s">
        <v>3380</v>
      </c>
      <c r="C1447" s="10" t="s">
        <v>18</v>
      </c>
      <c r="D1447" s="10">
        <v>2.6452768214513198</v>
      </c>
      <c r="E1447" s="4">
        <v>4.4655578728118899E-9</v>
      </c>
      <c r="F1447" s="10">
        <v>2.76370623759323</v>
      </c>
      <c r="G1447" s="4">
        <v>3.0217389995880798E-9</v>
      </c>
    </row>
    <row r="1448" spans="1:7" x14ac:dyDescent="0.2">
      <c r="A1448" s="10" t="s">
        <v>8476</v>
      </c>
      <c r="B1448" s="10" t="s">
        <v>8477</v>
      </c>
      <c r="C1448" s="10" t="s">
        <v>18</v>
      </c>
      <c r="D1448" s="10">
        <v>1.44264326614634</v>
      </c>
      <c r="E1448" s="4">
        <v>4.6950114748782999E-13</v>
      </c>
      <c r="F1448" s="10">
        <v>1.7696216654444099</v>
      </c>
      <c r="G1448" s="4">
        <v>2.6819426762633299E-10</v>
      </c>
    </row>
    <row r="1449" spans="1:7" x14ac:dyDescent="0.2">
      <c r="A1449" s="10" t="s">
        <v>4360</v>
      </c>
      <c r="B1449" s="10" t="s">
        <v>4361</v>
      </c>
      <c r="C1449" s="10" t="s">
        <v>18</v>
      </c>
      <c r="D1449" s="10">
        <v>2.1222340238028399</v>
      </c>
      <c r="E1449" s="4">
        <v>4.5140750250714798E-15</v>
      </c>
      <c r="F1449" s="10">
        <v>3.7227344492785002</v>
      </c>
      <c r="G1449" s="4">
        <v>2.171020499354E-25</v>
      </c>
    </row>
    <row r="1450" spans="1:7" x14ac:dyDescent="0.2">
      <c r="A1450" s="10" t="s">
        <v>739</v>
      </c>
      <c r="B1450" s="10" t="s">
        <v>740</v>
      </c>
      <c r="C1450" s="10" t="s">
        <v>18</v>
      </c>
      <c r="D1450" s="10">
        <v>-1.0045888799189799</v>
      </c>
      <c r="E1450" s="4">
        <v>1.39165312901758E-6</v>
      </c>
      <c r="F1450" s="10">
        <v>-1.2925120892367099</v>
      </c>
      <c r="G1450" s="4">
        <v>1.1763698272551901E-6</v>
      </c>
    </row>
    <row r="1451" spans="1:7" x14ac:dyDescent="0.2">
      <c r="A1451" s="10" t="s">
        <v>7252</v>
      </c>
      <c r="B1451" s="10" t="s">
        <v>7253</v>
      </c>
      <c r="C1451" s="10" t="s">
        <v>18</v>
      </c>
      <c r="D1451" s="10">
        <v>-1.5588241235882301</v>
      </c>
      <c r="E1451" s="4">
        <v>5.4999332038517198E-5</v>
      </c>
      <c r="F1451" s="10">
        <v>-1.9768986293975499</v>
      </c>
      <c r="G1451" s="4">
        <v>6.5691201166908696E-7</v>
      </c>
    </row>
    <row r="1452" spans="1:7" x14ac:dyDescent="0.2">
      <c r="A1452" s="10" t="s">
        <v>8688</v>
      </c>
      <c r="B1452" s="10" t="s">
        <v>8689</v>
      </c>
      <c r="C1452" s="10" t="s">
        <v>18</v>
      </c>
      <c r="D1452" s="10">
        <v>-1.71372455245913</v>
      </c>
      <c r="E1452" s="4">
        <v>1.91192290832489E-17</v>
      </c>
      <c r="F1452" s="10">
        <v>-1.52016693594068</v>
      </c>
      <c r="G1452" s="4">
        <v>3.6504248002334502E-8</v>
      </c>
    </row>
    <row r="1453" spans="1:7" x14ac:dyDescent="0.2">
      <c r="A1453" s="10" t="s">
        <v>6866</v>
      </c>
      <c r="B1453" s="10" t="s">
        <v>6867</v>
      </c>
      <c r="C1453" s="10" t="s">
        <v>18</v>
      </c>
      <c r="D1453" s="10">
        <v>1.8238900944702201</v>
      </c>
      <c r="E1453" s="4">
        <v>1.26523410701998E-18</v>
      </c>
      <c r="F1453" s="10">
        <v>1.26789008522572</v>
      </c>
      <c r="G1453" s="4">
        <v>4.5896861825324402E-6</v>
      </c>
    </row>
    <row r="1454" spans="1:7" x14ac:dyDescent="0.2">
      <c r="A1454" s="10" t="s">
        <v>5488</v>
      </c>
      <c r="B1454" s="10" t="s">
        <v>5489</v>
      </c>
      <c r="C1454" s="10" t="s">
        <v>18</v>
      </c>
      <c r="D1454" s="10">
        <v>3.3367647879695599</v>
      </c>
      <c r="E1454" s="4">
        <v>2.7973771162731098E-17</v>
      </c>
      <c r="F1454" s="10">
        <v>4.3617582748805903</v>
      </c>
      <c r="G1454" s="4">
        <v>9.9825960240299904E-21</v>
      </c>
    </row>
    <row r="1455" spans="1:7" x14ac:dyDescent="0.2">
      <c r="A1455" s="10" t="s">
        <v>7210</v>
      </c>
      <c r="B1455" s="10" t="s">
        <v>7211</v>
      </c>
      <c r="C1455" s="10" t="s">
        <v>18</v>
      </c>
      <c r="D1455" s="10">
        <v>-1.0135000682233299</v>
      </c>
      <c r="E1455" s="4">
        <v>2.5004946062313701E-5</v>
      </c>
      <c r="F1455" s="10">
        <v>-1.04149320769035</v>
      </c>
      <c r="G1455" s="10">
        <v>7.8755535373358399E-4</v>
      </c>
    </row>
    <row r="1456" spans="1:7" x14ac:dyDescent="0.2">
      <c r="A1456" s="10" t="s">
        <v>5962</v>
      </c>
      <c r="B1456" s="10" t="s">
        <v>5963</v>
      </c>
      <c r="C1456" s="10" t="s">
        <v>18</v>
      </c>
      <c r="D1456" s="10">
        <v>2.1144141882950498</v>
      </c>
      <c r="E1456" s="4">
        <v>3.0895389233656497E-5</v>
      </c>
      <c r="F1456" s="10">
        <v>1.9008033363394401</v>
      </c>
      <c r="G1456" s="4">
        <v>8.1059304172911398E-5</v>
      </c>
    </row>
    <row r="1457" spans="1:7" x14ac:dyDescent="0.2">
      <c r="A1457" s="10" t="s">
        <v>5770</v>
      </c>
      <c r="B1457" s="10" t="s">
        <v>5771</v>
      </c>
      <c r="C1457" s="10" t="s">
        <v>18</v>
      </c>
      <c r="D1457" s="10">
        <v>10.238817451031</v>
      </c>
      <c r="E1457" s="4">
        <v>9.6035563133589209E-10</v>
      </c>
      <c r="F1457" s="10">
        <v>8.1394025154337708</v>
      </c>
      <c r="G1457" s="4">
        <v>8.1621576009578896E-112</v>
      </c>
    </row>
    <row r="1458" spans="1:7" x14ac:dyDescent="0.2">
      <c r="A1458" s="10" t="s">
        <v>6456</v>
      </c>
      <c r="B1458" s="10" t="s">
        <v>6457</v>
      </c>
      <c r="C1458" s="10" t="s">
        <v>18</v>
      </c>
      <c r="D1458" s="10">
        <v>2.4647004144822202</v>
      </c>
      <c r="E1458" s="4">
        <v>1.6848313977923801E-17</v>
      </c>
      <c r="F1458" s="10">
        <v>1.53133731270344</v>
      </c>
      <c r="G1458" s="4">
        <v>8.1546475161226299E-6</v>
      </c>
    </row>
    <row r="1459" spans="1:7" x14ac:dyDescent="0.2">
      <c r="A1459" s="10" t="s">
        <v>7168</v>
      </c>
      <c r="B1459" s="10" t="s">
        <v>7169</v>
      </c>
      <c r="C1459" s="10" t="s">
        <v>18</v>
      </c>
      <c r="D1459" s="10">
        <v>-1.9678136572045699</v>
      </c>
      <c r="E1459" s="4">
        <v>4.4495513108398399E-15</v>
      </c>
      <c r="F1459" s="10">
        <v>-2.2430043490145</v>
      </c>
      <c r="G1459" s="4">
        <v>5.8939517230055295E-13</v>
      </c>
    </row>
    <row r="1460" spans="1:7" x14ac:dyDescent="0.2">
      <c r="A1460" s="10" t="s">
        <v>825</v>
      </c>
      <c r="B1460" s="10" t="s">
        <v>826</v>
      </c>
      <c r="C1460" s="10" t="s">
        <v>18</v>
      </c>
      <c r="D1460" s="10">
        <v>3.3150247402240298</v>
      </c>
      <c r="E1460" s="4">
        <v>4.5757102944153998E-12</v>
      </c>
      <c r="F1460" s="10">
        <v>1.76061033702765</v>
      </c>
      <c r="G1460" s="4">
        <v>7.4477635880093103E-6</v>
      </c>
    </row>
    <row r="1461" spans="1:7" x14ac:dyDescent="0.2">
      <c r="A1461" s="10" t="s">
        <v>5448</v>
      </c>
      <c r="B1461" s="10" t="s">
        <v>5449</v>
      </c>
      <c r="C1461" s="10" t="s">
        <v>18</v>
      </c>
      <c r="D1461" s="10">
        <v>1.2481482775797199</v>
      </c>
      <c r="E1461" s="10">
        <v>4.5907352061585099E-4</v>
      </c>
      <c r="F1461" s="10">
        <v>-1.4447748035791601</v>
      </c>
      <c r="G1461" s="4">
        <v>2.67151705302148E-6</v>
      </c>
    </row>
    <row r="1462" spans="1:7" x14ac:dyDescent="0.2">
      <c r="A1462" s="10" t="s">
        <v>411</v>
      </c>
      <c r="B1462" s="10" t="s">
        <v>412</v>
      </c>
      <c r="C1462" s="10" t="s">
        <v>18</v>
      </c>
      <c r="D1462" s="10">
        <v>-1.29899765059812</v>
      </c>
      <c r="E1462" s="4">
        <v>1.00903902245443E-8</v>
      </c>
      <c r="F1462" s="10">
        <v>-1.3361856262565699</v>
      </c>
      <c r="G1462" s="4">
        <v>1.8443959020675399E-6</v>
      </c>
    </row>
    <row r="1463" spans="1:7" x14ac:dyDescent="0.2">
      <c r="A1463" s="10" t="s">
        <v>5888</v>
      </c>
      <c r="B1463" s="10" t="s">
        <v>5889</v>
      </c>
      <c r="C1463" s="10" t="s">
        <v>18</v>
      </c>
      <c r="D1463" s="10">
        <v>1.19691645478631</v>
      </c>
      <c r="E1463" s="4">
        <v>3.44491192146956E-7</v>
      </c>
      <c r="F1463" s="10">
        <v>1.1919482149773699</v>
      </c>
      <c r="G1463" s="4">
        <v>4.5665320926843298E-5</v>
      </c>
    </row>
    <row r="1464" spans="1:7" x14ac:dyDescent="0.2">
      <c r="A1464" s="10" t="s">
        <v>1025</v>
      </c>
      <c r="B1464" s="10" t="s">
        <v>1026</v>
      </c>
      <c r="C1464" s="10" t="s">
        <v>18</v>
      </c>
      <c r="D1464" s="10">
        <v>3.2323501535234298</v>
      </c>
      <c r="E1464" s="4">
        <v>6.5689949169409499E-23</v>
      </c>
      <c r="F1464" s="10">
        <v>1.2997657924036099</v>
      </c>
      <c r="G1464" s="4">
        <v>1.6535136224454199E-5</v>
      </c>
    </row>
    <row r="1465" spans="1:7" x14ac:dyDescent="0.2">
      <c r="A1465" s="10" t="s">
        <v>4290</v>
      </c>
      <c r="B1465" s="10" t="s">
        <v>4291</v>
      </c>
      <c r="C1465" s="10" t="s">
        <v>18</v>
      </c>
      <c r="D1465" s="10">
        <v>1.2065043441434999</v>
      </c>
      <c r="E1465" s="4">
        <v>1.5198110587997299E-8</v>
      </c>
      <c r="F1465" s="10">
        <v>1.42036017690864</v>
      </c>
      <c r="G1465" s="4">
        <v>1.7649059586192699E-7</v>
      </c>
    </row>
    <row r="1466" spans="1:7" x14ac:dyDescent="0.2">
      <c r="A1466" s="10" t="s">
        <v>8556</v>
      </c>
      <c r="B1466" s="10" t="s">
        <v>8557</v>
      </c>
      <c r="C1466" s="10" t="s">
        <v>18</v>
      </c>
      <c r="D1466" s="10">
        <v>1.00597077185603</v>
      </c>
      <c r="E1466" s="4">
        <v>1.1867384155759899E-6</v>
      </c>
      <c r="F1466" s="10">
        <v>1.23508820702754</v>
      </c>
      <c r="G1466" s="4">
        <v>1.09687348781774E-5</v>
      </c>
    </row>
    <row r="1467" spans="1:7" x14ac:dyDescent="0.2">
      <c r="A1467" s="10" t="s">
        <v>9024</v>
      </c>
      <c r="B1467" s="10" t="s">
        <v>9025</v>
      </c>
      <c r="C1467" s="10" t="s">
        <v>18</v>
      </c>
      <c r="D1467" s="10">
        <v>1.2861411851531399</v>
      </c>
      <c r="E1467" s="4">
        <v>5.3508164733485697E-8</v>
      </c>
      <c r="F1467" s="10">
        <v>1.0681035470832601</v>
      </c>
      <c r="G1467" s="10">
        <v>3.9998273935899098E-4</v>
      </c>
    </row>
    <row r="1468" spans="1:7" x14ac:dyDescent="0.2">
      <c r="A1468" s="10" t="s">
        <v>2199</v>
      </c>
      <c r="B1468" s="10" t="s">
        <v>2200</v>
      </c>
      <c r="C1468" s="10" t="s">
        <v>18</v>
      </c>
      <c r="D1468" s="10">
        <v>3.3777915369446201</v>
      </c>
      <c r="E1468" s="4">
        <v>3.1968340744402902E-68</v>
      </c>
      <c r="F1468" s="10">
        <v>2.5013200042190502</v>
      </c>
      <c r="G1468" s="4">
        <v>1.1510798563097899E-24</v>
      </c>
    </row>
    <row r="1469" spans="1:7" x14ac:dyDescent="0.2">
      <c r="A1469" s="10" t="s">
        <v>1993</v>
      </c>
      <c r="B1469" s="10" t="s">
        <v>1994</v>
      </c>
      <c r="C1469" s="10" t="s">
        <v>18</v>
      </c>
      <c r="D1469" s="10">
        <v>1.7222584339437299</v>
      </c>
      <c r="E1469" s="4">
        <v>5.84373679295831E-16</v>
      </c>
      <c r="F1469" s="10">
        <v>1.5288327850466901</v>
      </c>
      <c r="G1469" s="4">
        <v>1.5159955784982801E-8</v>
      </c>
    </row>
    <row r="1470" spans="1:7" x14ac:dyDescent="0.2">
      <c r="A1470" s="10" t="s">
        <v>4648</v>
      </c>
      <c r="B1470" s="10" t="s">
        <v>4649</v>
      </c>
      <c r="C1470" s="10" t="s">
        <v>18</v>
      </c>
      <c r="D1470" s="10">
        <v>-1.5082589438140299</v>
      </c>
      <c r="E1470" s="4">
        <v>1.7679660813999801E-11</v>
      </c>
      <c r="F1470" s="10">
        <v>-1.17922445611613</v>
      </c>
      <c r="G1470" s="4">
        <v>3.58575085938341E-5</v>
      </c>
    </row>
    <row r="1471" spans="1:7" x14ac:dyDescent="0.2">
      <c r="A1471" s="10" t="s">
        <v>3513</v>
      </c>
      <c r="B1471" s="10" t="s">
        <v>3514</v>
      </c>
      <c r="C1471" s="10" t="s">
        <v>18</v>
      </c>
      <c r="D1471" s="10">
        <v>-1.0133807785934099</v>
      </c>
      <c r="E1471" s="4">
        <v>3.8358359627636904E-6</v>
      </c>
      <c r="F1471" s="10">
        <v>-1.20621696557484</v>
      </c>
      <c r="G1471" s="4">
        <v>2.0908223711105901E-5</v>
      </c>
    </row>
    <row r="1472" spans="1:7" x14ac:dyDescent="0.2">
      <c r="A1472" s="10" t="s">
        <v>5208</v>
      </c>
      <c r="B1472" s="10" t="s">
        <v>5209</v>
      </c>
      <c r="C1472" s="10" t="s">
        <v>18</v>
      </c>
      <c r="D1472" s="10">
        <v>1.7550387916086501</v>
      </c>
      <c r="E1472" s="4">
        <v>3.3038950201364299E-18</v>
      </c>
      <c r="F1472" s="10">
        <v>1.1744601677566999</v>
      </c>
      <c r="G1472" s="4">
        <v>1.09046543725908E-5</v>
      </c>
    </row>
    <row r="1473" spans="1:7" x14ac:dyDescent="0.2">
      <c r="A1473" s="10" t="s">
        <v>2667</v>
      </c>
      <c r="B1473" s="10" t="s">
        <v>2668</v>
      </c>
      <c r="C1473" s="10" t="s">
        <v>18</v>
      </c>
      <c r="D1473" s="10">
        <v>3.9147547234391502</v>
      </c>
      <c r="E1473" s="4">
        <v>1.3559504901175299E-73</v>
      </c>
      <c r="F1473" s="10">
        <v>5.5138218572737898</v>
      </c>
      <c r="G1473" s="4">
        <v>1.88588184001364E-68</v>
      </c>
    </row>
    <row r="1474" spans="1:7" x14ac:dyDescent="0.2">
      <c r="A1474" s="10" t="s">
        <v>9118</v>
      </c>
      <c r="B1474" s="10" t="s">
        <v>9119</v>
      </c>
      <c r="C1474" s="10" t="s">
        <v>18</v>
      </c>
      <c r="D1474" s="10">
        <v>1.75365338882816</v>
      </c>
      <c r="E1474" s="4">
        <v>5.63563525116068E-7</v>
      </c>
      <c r="F1474" s="10">
        <v>1.55822261672495</v>
      </c>
      <c r="G1474" s="4">
        <v>6.8960811375437002E-5</v>
      </c>
    </row>
    <row r="1475" spans="1:7" x14ac:dyDescent="0.2">
      <c r="A1475" s="10" t="s">
        <v>1147</v>
      </c>
      <c r="B1475" s="10" t="s">
        <v>1148</v>
      </c>
      <c r="C1475" s="10" t="s">
        <v>18</v>
      </c>
      <c r="D1475" s="10">
        <v>2.64936367631159</v>
      </c>
      <c r="E1475" s="4">
        <v>1.50070137033841E-36</v>
      </c>
      <c r="F1475" s="10">
        <v>2.98938343990796</v>
      </c>
      <c r="G1475" s="4">
        <v>9.98846215701361E-30</v>
      </c>
    </row>
    <row r="1476" spans="1:7" x14ac:dyDescent="0.2">
      <c r="A1476" s="10" t="s">
        <v>3509</v>
      </c>
      <c r="B1476" s="10" t="s">
        <v>3510</v>
      </c>
      <c r="C1476" s="10" t="s">
        <v>18</v>
      </c>
      <c r="D1476" s="10">
        <v>-1.1447768364648401</v>
      </c>
      <c r="E1476" s="4">
        <v>1.6343704146290999E-7</v>
      </c>
      <c r="F1476" s="10">
        <v>-1.72724180040624</v>
      </c>
      <c r="G1476" s="4">
        <v>4.0161287885821001E-10</v>
      </c>
    </row>
    <row r="1477" spans="1:7" x14ac:dyDescent="0.2">
      <c r="A1477" s="10" t="s">
        <v>6976</v>
      </c>
      <c r="B1477" s="10" t="s">
        <v>6977</v>
      </c>
      <c r="C1477" s="10" t="s">
        <v>18</v>
      </c>
      <c r="D1477" s="10">
        <v>-1.4512265764049901</v>
      </c>
      <c r="E1477" s="4">
        <v>2.8759420787575399E-6</v>
      </c>
      <c r="F1477" s="10">
        <v>-2.0882149060973498</v>
      </c>
      <c r="G1477" s="4">
        <v>4.9691427969738496E-9</v>
      </c>
    </row>
    <row r="1478" spans="1:7" x14ac:dyDescent="0.2">
      <c r="A1478" s="10" t="s">
        <v>7524</v>
      </c>
      <c r="B1478" s="10" t="s">
        <v>7525</v>
      </c>
      <c r="C1478" s="10" t="s">
        <v>18</v>
      </c>
      <c r="D1478" s="10">
        <v>1.1084360473631101</v>
      </c>
      <c r="E1478" s="4">
        <v>8.5222502702303195E-8</v>
      </c>
      <c r="F1478" s="10">
        <v>2.7409585694627001</v>
      </c>
      <c r="G1478" s="4">
        <v>3.3331328005942399E-17</v>
      </c>
    </row>
    <row r="1479" spans="1:7" x14ac:dyDescent="0.2">
      <c r="A1479" s="10" t="s">
        <v>765</v>
      </c>
      <c r="B1479" s="10" t="s">
        <v>766</v>
      </c>
      <c r="C1479" s="10" t="s">
        <v>18</v>
      </c>
      <c r="D1479" s="10">
        <v>1.38195232844797</v>
      </c>
      <c r="E1479" s="4">
        <v>7.9118488735047202E-13</v>
      </c>
      <c r="F1479" s="10">
        <v>2.2417235927424</v>
      </c>
      <c r="G1479" s="4">
        <v>5.4063666571971303E-20</v>
      </c>
    </row>
    <row r="1480" spans="1:7" x14ac:dyDescent="0.2">
      <c r="A1480" s="10" t="s">
        <v>6498</v>
      </c>
      <c r="B1480" s="10" t="s">
        <v>6499</v>
      </c>
      <c r="C1480" s="10" t="s">
        <v>18</v>
      </c>
      <c r="D1480" s="10">
        <v>9.9338808501896398</v>
      </c>
      <c r="E1480" s="4">
        <v>1.21134708714649E-11</v>
      </c>
      <c r="F1480" s="10">
        <v>8.6047984074974107</v>
      </c>
      <c r="G1480" s="4">
        <v>8.3310159066735996E-22</v>
      </c>
    </row>
    <row r="1481" spans="1:7" x14ac:dyDescent="0.2">
      <c r="A1481" s="10" t="s">
        <v>3875</v>
      </c>
      <c r="B1481" s="10" t="s">
        <v>3876</v>
      </c>
      <c r="C1481" s="10" t="s">
        <v>18</v>
      </c>
      <c r="D1481" s="10">
        <v>1.8284913933568201</v>
      </c>
      <c r="E1481" s="4">
        <v>1.98146873917424E-7</v>
      </c>
      <c r="F1481" s="10">
        <v>1.8486477281285301</v>
      </c>
      <c r="G1481" s="4">
        <v>8.5045296490492596E-7</v>
      </c>
    </row>
    <row r="1482" spans="1:7" x14ac:dyDescent="0.2">
      <c r="A1482" s="10" t="s">
        <v>6520</v>
      </c>
      <c r="B1482" s="10" t="s">
        <v>6521</v>
      </c>
      <c r="C1482" s="10" t="s">
        <v>18</v>
      </c>
      <c r="D1482" s="10">
        <v>1.4597106829538999</v>
      </c>
      <c r="E1482" s="4">
        <v>2.36760750521984E-9</v>
      </c>
      <c r="F1482" s="10">
        <v>1.25972206904353</v>
      </c>
      <c r="G1482" s="4">
        <v>6.3508775982641102E-5</v>
      </c>
    </row>
    <row r="1483" spans="1:7" x14ac:dyDescent="0.2">
      <c r="A1483" s="10" t="s">
        <v>7456</v>
      </c>
      <c r="B1483" s="10" t="s">
        <v>7457</v>
      </c>
      <c r="C1483" s="10" t="s">
        <v>18</v>
      </c>
      <c r="D1483" s="10">
        <v>1.0709726320300701</v>
      </c>
      <c r="E1483" s="4">
        <v>2.59213217423783E-7</v>
      </c>
      <c r="F1483" s="10">
        <v>1.73015606171749</v>
      </c>
      <c r="G1483" s="4">
        <v>6.5221555064867994E-8</v>
      </c>
    </row>
    <row r="1484" spans="1:7" x14ac:dyDescent="0.2">
      <c r="A1484" s="10" t="s">
        <v>287</v>
      </c>
      <c r="B1484" s="10" t="s">
        <v>288</v>
      </c>
      <c r="C1484" s="10" t="s">
        <v>18</v>
      </c>
      <c r="D1484" s="10">
        <v>-2.8874557513377201</v>
      </c>
      <c r="E1484" s="4">
        <v>8.0437311750685703E-11</v>
      </c>
      <c r="F1484" s="10">
        <v>-2.9740700175578998</v>
      </c>
      <c r="G1484" s="4">
        <v>6.4540679319060004E-11</v>
      </c>
    </row>
    <row r="1485" spans="1:7" x14ac:dyDescent="0.2">
      <c r="A1485" s="10" t="s">
        <v>203</v>
      </c>
      <c r="B1485" s="10" t="s">
        <v>204</v>
      </c>
      <c r="C1485" s="10" t="s">
        <v>18</v>
      </c>
      <c r="D1485" s="10">
        <v>3.5631734064077598</v>
      </c>
      <c r="E1485" s="10">
        <v>4.63894880628231E-4</v>
      </c>
      <c r="F1485" s="10">
        <v>2.43000053133848</v>
      </c>
      <c r="G1485" s="10">
        <v>2.6723102714300302E-3</v>
      </c>
    </row>
    <row r="1486" spans="1:7" x14ac:dyDescent="0.2">
      <c r="A1486" s="10" t="s">
        <v>519</v>
      </c>
      <c r="B1486" s="10" t="s">
        <v>520</v>
      </c>
      <c r="C1486" s="10" t="s">
        <v>18</v>
      </c>
      <c r="D1486" s="10">
        <v>1.68444919540477</v>
      </c>
      <c r="E1486" s="4">
        <v>9.6327223204141706E-15</v>
      </c>
      <c r="F1486" s="10">
        <v>1.1192272635506</v>
      </c>
      <c r="G1486" s="10">
        <v>1.04670234047867E-4</v>
      </c>
    </row>
    <row r="1487" spans="1:7" x14ac:dyDescent="0.2">
      <c r="A1487" s="10" t="s">
        <v>5078</v>
      </c>
      <c r="B1487" s="10" t="s">
        <v>5079</v>
      </c>
      <c r="C1487" s="10" t="s">
        <v>18</v>
      </c>
      <c r="D1487" s="10">
        <v>6.8766042356000803</v>
      </c>
      <c r="E1487" s="4">
        <v>6.8565980773644104E-59</v>
      </c>
      <c r="F1487" s="10">
        <v>3.7603108107183898</v>
      </c>
      <c r="G1487" s="4">
        <v>4.6398142165652497E-33</v>
      </c>
    </row>
    <row r="1488" spans="1:7" x14ac:dyDescent="0.2">
      <c r="A1488" s="10" t="s">
        <v>4037</v>
      </c>
      <c r="B1488" s="10" t="s">
        <v>4038</v>
      </c>
      <c r="C1488" s="10" t="s">
        <v>18</v>
      </c>
      <c r="D1488" s="10">
        <v>1.64905106905254</v>
      </c>
      <c r="E1488" s="10">
        <v>2.26510189800894E-3</v>
      </c>
      <c r="F1488" s="10">
        <v>1.5423350880607301</v>
      </c>
      <c r="G1488" s="10">
        <v>3.77038097559825E-3</v>
      </c>
    </row>
    <row r="1489" spans="1:7" x14ac:dyDescent="0.2">
      <c r="A1489" s="10" t="s">
        <v>4860</v>
      </c>
      <c r="B1489" s="10" t="s">
        <v>4861</v>
      </c>
      <c r="C1489" s="10" t="s">
        <v>18</v>
      </c>
      <c r="D1489" s="10">
        <v>6.7712105565324903</v>
      </c>
      <c r="E1489" s="4">
        <v>2.2039563609642699E-9</v>
      </c>
      <c r="F1489" s="10">
        <v>3.2637672531533601</v>
      </c>
      <c r="G1489" s="4">
        <v>2.1768391321477399E-9</v>
      </c>
    </row>
    <row r="1490" spans="1:7" x14ac:dyDescent="0.2">
      <c r="A1490" s="10" t="s">
        <v>601</v>
      </c>
      <c r="B1490" s="10" t="s">
        <v>602</v>
      </c>
      <c r="C1490" s="10" t="s">
        <v>18</v>
      </c>
      <c r="D1490" s="10">
        <v>8.9485358861548594</v>
      </c>
      <c r="E1490" s="4">
        <v>4.2964374372844701E-9</v>
      </c>
      <c r="F1490" s="10">
        <v>5.7653449507028602</v>
      </c>
      <c r="G1490" s="4">
        <v>3.7199243922554699E-11</v>
      </c>
    </row>
    <row r="1491" spans="1:7" x14ac:dyDescent="0.2">
      <c r="A1491" s="10" t="s">
        <v>307</v>
      </c>
      <c r="B1491" s="10" t="s">
        <v>308</v>
      </c>
      <c r="C1491" s="10" t="s">
        <v>18</v>
      </c>
      <c r="D1491" s="10">
        <v>-2.5771454210021698</v>
      </c>
      <c r="E1491" s="4">
        <v>1.7815817582075601E-16</v>
      </c>
      <c r="F1491" s="10">
        <v>-1.44695034587442</v>
      </c>
      <c r="G1491" s="10">
        <v>2.2913895501178001E-4</v>
      </c>
    </row>
    <row r="1492" spans="1:7" x14ac:dyDescent="0.2">
      <c r="A1492" s="10" t="s">
        <v>3971</v>
      </c>
      <c r="B1492" s="10" t="s">
        <v>3972</v>
      </c>
      <c r="C1492" s="10" t="s">
        <v>18</v>
      </c>
      <c r="D1492" s="10">
        <v>6.7195081759130204</v>
      </c>
      <c r="E1492" s="4">
        <v>2.7005004463643399E-9</v>
      </c>
      <c r="F1492" s="10">
        <v>2.4515353316906801</v>
      </c>
      <c r="G1492" s="4">
        <v>1.13767853272846E-6</v>
      </c>
    </row>
    <row r="1493" spans="1:7" x14ac:dyDescent="0.2">
      <c r="A1493" s="10" t="s">
        <v>8502</v>
      </c>
      <c r="B1493" s="10" t="s">
        <v>8503</v>
      </c>
      <c r="C1493" s="10" t="s">
        <v>18</v>
      </c>
      <c r="D1493" s="10">
        <v>6.8186313311685796</v>
      </c>
      <c r="E1493" s="4">
        <v>4.32847542547747E-77</v>
      </c>
      <c r="F1493" s="10">
        <v>5.1116451348534397</v>
      </c>
      <c r="G1493" s="4">
        <v>2.6258924764510401E-62</v>
      </c>
    </row>
    <row r="1494" spans="1:7" x14ac:dyDescent="0.2">
      <c r="A1494" s="10" t="s">
        <v>8100</v>
      </c>
      <c r="B1494" s="10" t="s">
        <v>8101</v>
      </c>
      <c r="C1494" s="10" t="s">
        <v>18</v>
      </c>
      <c r="D1494" s="10">
        <v>3.15611310974572</v>
      </c>
      <c r="E1494" s="4">
        <v>9.7317966494413991E-47</v>
      </c>
      <c r="F1494" s="10">
        <v>2.7105276944845298</v>
      </c>
      <c r="G1494" s="4">
        <v>2.2375726839409301E-18</v>
      </c>
    </row>
    <row r="1495" spans="1:7" x14ac:dyDescent="0.2">
      <c r="A1495" s="10" t="s">
        <v>7576</v>
      </c>
      <c r="B1495" s="10" t="s">
        <v>7577</v>
      </c>
      <c r="C1495" s="10" t="s">
        <v>18</v>
      </c>
      <c r="D1495" s="10">
        <v>1.64994040834612</v>
      </c>
      <c r="E1495" s="4">
        <v>1.5171635953409299E-19</v>
      </c>
      <c r="F1495" s="10">
        <v>1.13877276433393</v>
      </c>
      <c r="G1495" s="4">
        <v>3.1973999838935801E-6</v>
      </c>
    </row>
    <row r="1496" spans="1:7" x14ac:dyDescent="0.2">
      <c r="A1496" s="10" t="s">
        <v>3935</v>
      </c>
      <c r="B1496" s="10" t="s">
        <v>3936</v>
      </c>
      <c r="C1496" s="10" t="s">
        <v>18</v>
      </c>
      <c r="D1496" s="10">
        <v>-1.2476537905887599</v>
      </c>
      <c r="E1496" s="4">
        <v>4.6183048574349198E-8</v>
      </c>
      <c r="F1496" s="10">
        <v>-1.85107262270396</v>
      </c>
      <c r="G1496" s="4">
        <v>1.1348542675610499E-11</v>
      </c>
    </row>
    <row r="1497" spans="1:7" x14ac:dyDescent="0.2">
      <c r="A1497" s="10" t="s">
        <v>6862</v>
      </c>
      <c r="B1497" s="10" t="s">
        <v>6863</v>
      </c>
      <c r="C1497" s="10" t="s">
        <v>18</v>
      </c>
      <c r="D1497" s="10">
        <v>-1.01625616453572</v>
      </c>
      <c r="E1497" s="4">
        <v>1.3190157661028399E-7</v>
      </c>
      <c r="F1497" s="10">
        <v>-1.0746244757998</v>
      </c>
      <c r="G1497" s="10">
        <v>2.38364279148961E-4</v>
      </c>
    </row>
    <row r="1498" spans="1:7" x14ac:dyDescent="0.2">
      <c r="A1498" s="10" t="s">
        <v>2885</v>
      </c>
      <c r="B1498" s="10" t="s">
        <v>2886</v>
      </c>
      <c r="C1498" s="10" t="s">
        <v>18</v>
      </c>
      <c r="D1498" s="10">
        <v>8.5667330995483795</v>
      </c>
      <c r="E1498" s="4">
        <v>3.5334587489693698E-8</v>
      </c>
      <c r="F1498" s="10">
        <v>1.41536839740445</v>
      </c>
      <c r="G1498" s="10">
        <v>9.4589480027517693E-3</v>
      </c>
    </row>
    <row r="1499" spans="1:7" x14ac:dyDescent="0.2">
      <c r="A1499" s="10" t="s">
        <v>8538</v>
      </c>
      <c r="B1499" s="10" t="s">
        <v>8539</v>
      </c>
      <c r="C1499" s="10" t="s">
        <v>18</v>
      </c>
      <c r="D1499" s="10">
        <v>5.8820832010733701</v>
      </c>
      <c r="E1499" s="4">
        <v>5.9068353589785599E-7</v>
      </c>
      <c r="F1499" s="10">
        <v>2.7607265569921502</v>
      </c>
      <c r="G1499" s="4">
        <v>1.1785003844613301E-5</v>
      </c>
    </row>
    <row r="1500" spans="1:7" x14ac:dyDescent="0.2">
      <c r="A1500" s="10" t="s">
        <v>5976</v>
      </c>
      <c r="B1500" s="10" t="s">
        <v>5977</v>
      </c>
      <c r="C1500" s="10" t="s">
        <v>18</v>
      </c>
      <c r="D1500" s="10">
        <v>3.6699847455574699</v>
      </c>
      <c r="E1500" s="10">
        <v>2.7545962040555498E-4</v>
      </c>
      <c r="F1500" s="10">
        <v>2.5839069908357999</v>
      </c>
      <c r="G1500" s="10">
        <v>2.6578171645017198E-3</v>
      </c>
    </row>
    <row r="1501" spans="1:7" x14ac:dyDescent="0.2">
      <c r="A1501" s="10" t="s">
        <v>7610</v>
      </c>
      <c r="B1501" s="10" t="s">
        <v>7611</v>
      </c>
      <c r="C1501" s="10" t="s">
        <v>18</v>
      </c>
      <c r="D1501" s="10">
        <v>-1.1496463733600499</v>
      </c>
      <c r="E1501" s="4">
        <v>7.53735782023072E-9</v>
      </c>
      <c r="F1501" s="10">
        <v>-1.3428428199288001</v>
      </c>
      <c r="G1501" s="4">
        <v>7.9008817126164195E-8</v>
      </c>
    </row>
    <row r="1502" spans="1:7" x14ac:dyDescent="0.2">
      <c r="A1502" s="10" t="s">
        <v>2875</v>
      </c>
      <c r="B1502" s="10" t="s">
        <v>2876</v>
      </c>
      <c r="C1502" s="10" t="s">
        <v>18</v>
      </c>
      <c r="D1502" s="10">
        <v>2.2307615091309998</v>
      </c>
      <c r="E1502" s="4">
        <v>9.7887551284927205E-29</v>
      </c>
      <c r="F1502" s="10">
        <v>4.0462020800699099</v>
      </c>
      <c r="G1502" s="4">
        <v>1.0527337731977801E-47</v>
      </c>
    </row>
    <row r="1503" spans="1:7" x14ac:dyDescent="0.2">
      <c r="A1503" s="10" t="s">
        <v>265</v>
      </c>
      <c r="B1503" s="10" t="s">
        <v>266</v>
      </c>
      <c r="C1503" s="10" t="s">
        <v>18</v>
      </c>
      <c r="D1503" s="10">
        <v>1.95322195695753</v>
      </c>
      <c r="E1503" s="4">
        <v>2.76411999683377E-25</v>
      </c>
      <c r="F1503" s="10">
        <v>2.6546095521278001</v>
      </c>
      <c r="G1503" s="4">
        <v>6.2612475011587098E-27</v>
      </c>
    </row>
    <row r="1504" spans="1:7" x14ac:dyDescent="0.2">
      <c r="A1504" s="10" t="s">
        <v>73</v>
      </c>
      <c r="B1504" s="10" t="s">
        <v>74</v>
      </c>
      <c r="C1504" s="10" t="s">
        <v>18</v>
      </c>
      <c r="D1504" s="10">
        <v>-1.4924152549513201</v>
      </c>
      <c r="E1504" s="4">
        <v>1.26500270184763E-9</v>
      </c>
      <c r="F1504" s="10">
        <v>-1.07359493356846</v>
      </c>
      <c r="G1504" s="10">
        <v>2.93161498230374E-3</v>
      </c>
    </row>
    <row r="1505" spans="1:7" x14ac:dyDescent="0.2">
      <c r="A1505" s="10" t="s">
        <v>2985</v>
      </c>
      <c r="B1505" s="10" t="s">
        <v>2986</v>
      </c>
      <c r="C1505" s="10" t="s">
        <v>18</v>
      </c>
      <c r="D1505" s="10">
        <v>4.6371730386727297</v>
      </c>
      <c r="E1505" s="4">
        <v>2.7530139452424098E-26</v>
      </c>
      <c r="F1505" s="10">
        <v>2.88060700313358</v>
      </c>
      <c r="G1505" s="4">
        <v>2.7719613730109002E-15</v>
      </c>
    </row>
    <row r="1506" spans="1:7" x14ac:dyDescent="0.2">
      <c r="A1506" s="10" t="s">
        <v>2039</v>
      </c>
      <c r="B1506" s="10" t="s">
        <v>2040</v>
      </c>
      <c r="C1506" s="10" t="s">
        <v>18</v>
      </c>
      <c r="D1506" s="10">
        <v>-1.13098500098749</v>
      </c>
      <c r="E1506" s="4">
        <v>7.4807022543413395E-8</v>
      </c>
      <c r="F1506" s="10">
        <v>-1.0407298159209999</v>
      </c>
      <c r="G1506" s="10">
        <v>1.3481896032662601E-4</v>
      </c>
    </row>
    <row r="1507" spans="1:7" x14ac:dyDescent="0.2">
      <c r="A1507" s="10" t="s">
        <v>2843</v>
      </c>
      <c r="B1507" s="10" t="s">
        <v>2844</v>
      </c>
      <c r="C1507" s="10" t="s">
        <v>18</v>
      </c>
      <c r="D1507" s="10">
        <v>-1.68579115273113</v>
      </c>
      <c r="E1507" s="4">
        <v>4.7780318022592797E-12</v>
      </c>
      <c r="F1507" s="10">
        <v>-1.9575311784625899</v>
      </c>
      <c r="G1507" s="4">
        <v>7.3735927665818506E-12</v>
      </c>
    </row>
    <row r="1508" spans="1:7" x14ac:dyDescent="0.2">
      <c r="A1508" s="10" t="s">
        <v>6368</v>
      </c>
      <c r="B1508" s="10" t="s">
        <v>6369</v>
      </c>
      <c r="C1508" s="10" t="s">
        <v>18</v>
      </c>
      <c r="D1508" s="10">
        <v>1.1393780927025501</v>
      </c>
      <c r="E1508" s="4">
        <v>4.39888728584418E-10</v>
      </c>
      <c r="F1508" s="10">
        <v>2.9794942918839502</v>
      </c>
      <c r="G1508" s="4">
        <v>8.8276996963155403E-29</v>
      </c>
    </row>
    <row r="1509" spans="1:7" x14ac:dyDescent="0.2">
      <c r="A1509" s="10" t="s">
        <v>215</v>
      </c>
      <c r="B1509" s="10" t="s">
        <v>216</v>
      </c>
      <c r="C1509" s="10" t="s">
        <v>18</v>
      </c>
      <c r="D1509" s="10">
        <v>1.3327393908043199</v>
      </c>
      <c r="E1509" s="4">
        <v>1.94279201753575E-11</v>
      </c>
      <c r="F1509" s="10">
        <v>2.3632188241784799</v>
      </c>
      <c r="G1509" s="4">
        <v>2.6342606607297601E-16</v>
      </c>
    </row>
    <row r="1510" spans="1:7" x14ac:dyDescent="0.2">
      <c r="A1510" s="10" t="s">
        <v>6842</v>
      </c>
      <c r="B1510" s="10" t="s">
        <v>6843</v>
      </c>
      <c r="C1510" s="10" t="s">
        <v>18</v>
      </c>
      <c r="D1510" s="10">
        <v>5.2295391236519002</v>
      </c>
      <c r="E1510" s="4">
        <v>2.3807693513386799E-29</v>
      </c>
      <c r="F1510" s="10">
        <v>3.4802531161924501</v>
      </c>
      <c r="G1510" s="4">
        <v>7.8890857485779796E-16</v>
      </c>
    </row>
    <row r="1511" spans="1:7" x14ac:dyDescent="0.2">
      <c r="A1511" s="10" t="s">
        <v>3961</v>
      </c>
      <c r="B1511" s="10" t="s">
        <v>3962</v>
      </c>
      <c r="C1511" s="10" t="s">
        <v>18</v>
      </c>
      <c r="D1511" s="10">
        <v>3.2387140040939002</v>
      </c>
      <c r="E1511" s="4">
        <v>2.5161689660139802E-73</v>
      </c>
      <c r="F1511" s="10">
        <v>4.2484201471087903</v>
      </c>
      <c r="G1511" s="4">
        <v>3.7329123541005198E-68</v>
      </c>
    </row>
    <row r="1512" spans="1:7" x14ac:dyDescent="0.2">
      <c r="A1512" s="10" t="s">
        <v>7310</v>
      </c>
      <c r="B1512" s="10" t="s">
        <v>7311</v>
      </c>
      <c r="C1512" s="10" t="s">
        <v>18</v>
      </c>
      <c r="D1512" s="10">
        <v>-1.48512083318038</v>
      </c>
      <c r="E1512" s="4">
        <v>3.3077274795907302E-14</v>
      </c>
      <c r="F1512" s="10">
        <v>1.02347237239654</v>
      </c>
      <c r="G1512" s="10">
        <v>1.96688981500968E-4</v>
      </c>
    </row>
    <row r="1513" spans="1:7" x14ac:dyDescent="0.2">
      <c r="A1513" s="10" t="s">
        <v>1125</v>
      </c>
      <c r="B1513" s="10" t="s">
        <v>1126</v>
      </c>
      <c r="C1513" s="10" t="s">
        <v>18</v>
      </c>
      <c r="D1513" s="10">
        <v>-1.3408517591957601</v>
      </c>
      <c r="E1513" s="4">
        <v>1.5780268062937201E-10</v>
      </c>
      <c r="F1513" s="10">
        <v>-1.1066367051314201</v>
      </c>
      <c r="G1513" s="10">
        <v>1.39239706110931E-4</v>
      </c>
    </row>
    <row r="1514" spans="1:7" x14ac:dyDescent="0.2">
      <c r="A1514" s="10" t="s">
        <v>4560</v>
      </c>
      <c r="B1514" s="10" t="s">
        <v>4561</v>
      </c>
      <c r="C1514" s="10" t="s">
        <v>18</v>
      </c>
      <c r="D1514" s="10">
        <v>-1.2190495284232301</v>
      </c>
      <c r="E1514" s="4">
        <v>9.99092085003881E-9</v>
      </c>
      <c r="F1514" s="10">
        <v>-1.28456737834001</v>
      </c>
      <c r="G1514" s="4">
        <v>1.3585342245489901E-6</v>
      </c>
    </row>
    <row r="1515" spans="1:7" x14ac:dyDescent="0.2">
      <c r="A1515" s="10" t="s">
        <v>8996</v>
      </c>
      <c r="B1515" s="10" t="s">
        <v>8997</v>
      </c>
      <c r="C1515" s="10" t="s">
        <v>18</v>
      </c>
      <c r="D1515" s="10">
        <v>7.0474549422615498</v>
      </c>
      <c r="E1515" s="4">
        <v>1.0158338027087E-34</v>
      </c>
      <c r="F1515" s="10">
        <v>3.7368576922600898</v>
      </c>
      <c r="G1515" s="4">
        <v>1.7098378192907499E-29</v>
      </c>
    </row>
    <row r="1516" spans="1:7" x14ac:dyDescent="0.2">
      <c r="A1516" s="10" t="s">
        <v>6082</v>
      </c>
      <c r="B1516" s="10" t="s">
        <v>6083</v>
      </c>
      <c r="C1516" s="10" t="s">
        <v>18</v>
      </c>
      <c r="D1516" s="10">
        <v>5.5239194577699697</v>
      </c>
      <c r="E1516" s="4">
        <v>2.1436862761166901E-10</v>
      </c>
      <c r="F1516" s="10">
        <v>2.9608922684124401</v>
      </c>
      <c r="G1516" s="4">
        <v>3.6925511629898601E-8</v>
      </c>
    </row>
    <row r="1517" spans="1:7" x14ac:dyDescent="0.2">
      <c r="A1517" s="10" t="s">
        <v>4374</v>
      </c>
      <c r="B1517" s="10" t="s">
        <v>4375</v>
      </c>
      <c r="C1517" s="10" t="s">
        <v>18</v>
      </c>
      <c r="D1517" s="10">
        <v>-1.8806779461718</v>
      </c>
      <c r="E1517" s="4">
        <v>3.0273361379035401E-16</v>
      </c>
      <c r="F1517" s="10">
        <v>1.5738362641946699</v>
      </c>
      <c r="G1517" s="4">
        <v>1.9087455832430098E-6</v>
      </c>
    </row>
    <row r="1518" spans="1:7" x14ac:dyDescent="0.2">
      <c r="A1518" s="10" t="s">
        <v>8094</v>
      </c>
      <c r="B1518" s="10" t="s">
        <v>8095</v>
      </c>
      <c r="C1518" s="10" t="s">
        <v>18</v>
      </c>
      <c r="D1518" s="10">
        <v>4.3248719321939504</v>
      </c>
      <c r="E1518" s="4">
        <v>1.8567781835844E-7</v>
      </c>
      <c r="F1518" s="10">
        <v>1.6033435557733799</v>
      </c>
      <c r="G1518" s="10">
        <v>3.0316176657766299E-3</v>
      </c>
    </row>
    <row r="1519" spans="1:7" x14ac:dyDescent="0.2">
      <c r="A1519" s="10" t="s">
        <v>609</v>
      </c>
      <c r="B1519" s="10" t="s">
        <v>610</v>
      </c>
      <c r="C1519" s="10" t="s">
        <v>18</v>
      </c>
      <c r="D1519" s="10">
        <v>1.1733224165906699</v>
      </c>
      <c r="E1519" s="4">
        <v>8.1321148833410406E-8</v>
      </c>
      <c r="F1519" s="10">
        <v>1.59333855211066</v>
      </c>
      <c r="G1519" s="4">
        <v>4.4970218518211597E-9</v>
      </c>
    </row>
    <row r="1520" spans="1:7" x14ac:dyDescent="0.2">
      <c r="A1520" s="10" t="s">
        <v>627</v>
      </c>
      <c r="B1520" s="10" t="s">
        <v>628</v>
      </c>
      <c r="C1520" s="10" t="s">
        <v>18</v>
      </c>
      <c r="D1520" s="10">
        <v>1.1054039896591701</v>
      </c>
      <c r="E1520" s="4">
        <v>2.22339351888664E-7</v>
      </c>
      <c r="F1520" s="10">
        <v>2.1638639173697101</v>
      </c>
      <c r="G1520" s="4">
        <v>9.8135851283023199E-13</v>
      </c>
    </row>
    <row r="1521" spans="1:7" x14ac:dyDescent="0.2">
      <c r="A1521" s="10" t="s">
        <v>2165</v>
      </c>
      <c r="B1521" s="10" t="s">
        <v>2166</v>
      </c>
      <c r="C1521" s="10" t="s">
        <v>18</v>
      </c>
      <c r="D1521" s="10">
        <v>1.02353313762345</v>
      </c>
      <c r="E1521" s="4">
        <v>3.9978317002241599E-7</v>
      </c>
      <c r="F1521" s="10">
        <v>1.8625821048303499</v>
      </c>
      <c r="G1521" s="4">
        <v>3.25997788664834E-12</v>
      </c>
    </row>
    <row r="1522" spans="1:7" x14ac:dyDescent="0.2">
      <c r="A1522" s="10" t="s">
        <v>4201</v>
      </c>
      <c r="B1522" s="10" t="s">
        <v>4202</v>
      </c>
      <c r="C1522" s="10" t="s">
        <v>18</v>
      </c>
      <c r="D1522" s="10">
        <v>5.3088068990129296</v>
      </c>
      <c r="E1522" s="4">
        <v>4.8376020649804799E-24</v>
      </c>
      <c r="F1522" s="10">
        <v>3.5798005558977302</v>
      </c>
      <c r="G1522" s="4">
        <v>4.4075752679562398E-19</v>
      </c>
    </row>
    <row r="1523" spans="1:7" x14ac:dyDescent="0.2">
      <c r="A1523" s="10" t="s">
        <v>7760</v>
      </c>
      <c r="B1523" s="10" t="s">
        <v>7761</v>
      </c>
      <c r="C1523" s="10" t="s">
        <v>18</v>
      </c>
      <c r="D1523" s="10">
        <v>5.2461128254738503</v>
      </c>
      <c r="E1523" s="4">
        <v>6.2887729673304796E-23</v>
      </c>
      <c r="F1523" s="10">
        <v>6.6717549482802498</v>
      </c>
      <c r="G1523" s="4">
        <v>3.5743542501926397E-5</v>
      </c>
    </row>
    <row r="1524" spans="1:7" x14ac:dyDescent="0.2">
      <c r="A1524" s="10" t="s">
        <v>4894</v>
      </c>
      <c r="B1524" s="10" t="s">
        <v>4895</v>
      </c>
      <c r="C1524" s="10" t="s">
        <v>18</v>
      </c>
      <c r="D1524" s="10">
        <v>3.2496586696223599</v>
      </c>
      <c r="E1524" s="4">
        <v>2.4376526789065499E-5</v>
      </c>
      <c r="F1524" s="10">
        <v>3.1186409092229899</v>
      </c>
      <c r="G1524" s="4">
        <v>1.24340608572909E-5</v>
      </c>
    </row>
    <row r="1525" spans="1:7" x14ac:dyDescent="0.2">
      <c r="A1525" s="10" t="s">
        <v>6792</v>
      </c>
      <c r="B1525" s="10" t="s">
        <v>6793</v>
      </c>
      <c r="C1525" s="10" t="s">
        <v>18</v>
      </c>
      <c r="D1525" s="10">
        <v>-1.6663960608091499</v>
      </c>
      <c r="E1525" s="4">
        <v>6.1537502425017101E-15</v>
      </c>
      <c r="F1525" s="10">
        <v>-1.6142202943696899</v>
      </c>
      <c r="G1525" s="4">
        <v>1.0879192526686701E-8</v>
      </c>
    </row>
    <row r="1526" spans="1:7" x14ac:dyDescent="0.2">
      <c r="A1526" s="10" t="s">
        <v>7940</v>
      </c>
      <c r="B1526" s="10" t="s">
        <v>7941</v>
      </c>
      <c r="C1526" s="10" t="s">
        <v>18</v>
      </c>
      <c r="D1526" s="10">
        <v>-1.5491428467081301</v>
      </c>
      <c r="E1526" s="4">
        <v>1.9430870378069999E-13</v>
      </c>
      <c r="F1526" s="10">
        <v>-1.0430295803688501</v>
      </c>
      <c r="G1526" s="10">
        <v>4.7617578968732E-4</v>
      </c>
    </row>
    <row r="1527" spans="1:7" x14ac:dyDescent="0.2">
      <c r="A1527" s="10" t="s">
        <v>8468</v>
      </c>
      <c r="B1527" s="10" t="s">
        <v>8469</v>
      </c>
      <c r="C1527" s="10" t="s">
        <v>18</v>
      </c>
      <c r="D1527" s="10">
        <v>-1.2522737767766801</v>
      </c>
      <c r="E1527" s="4">
        <v>6.2574778156347904E-11</v>
      </c>
      <c r="F1527" s="10">
        <v>-1.03667023482402</v>
      </c>
      <c r="G1527" s="4">
        <v>4.9908030503963603E-5</v>
      </c>
    </row>
    <row r="1528" spans="1:7" x14ac:dyDescent="0.2">
      <c r="A1528" s="10" t="s">
        <v>4424</v>
      </c>
      <c r="B1528" s="10" t="s">
        <v>4425</v>
      </c>
      <c r="C1528" s="10" t="s">
        <v>18</v>
      </c>
      <c r="D1528" s="10">
        <v>-3.2836136271459999</v>
      </c>
      <c r="E1528" s="4">
        <v>1.7483328255828101E-47</v>
      </c>
      <c r="F1528" s="10">
        <v>1.8069654415048599</v>
      </c>
      <c r="G1528" s="4">
        <v>1.9998196153078399E-8</v>
      </c>
    </row>
    <row r="1529" spans="1:7" x14ac:dyDescent="0.2">
      <c r="A1529" s="10" t="s">
        <v>6710</v>
      </c>
      <c r="B1529" s="10" t="s">
        <v>6711</v>
      </c>
      <c r="C1529" s="10" t="s">
        <v>18</v>
      </c>
      <c r="D1529" s="10">
        <v>2.2260317450803</v>
      </c>
      <c r="E1529" s="4">
        <v>1.25783443720594E-15</v>
      </c>
      <c r="F1529" s="10">
        <v>1.7566080140634901</v>
      </c>
      <c r="G1529" s="4">
        <v>8.2789640029733399E-7</v>
      </c>
    </row>
    <row r="1530" spans="1:7" x14ac:dyDescent="0.2">
      <c r="A1530" s="10" t="s">
        <v>5294</v>
      </c>
      <c r="B1530" s="10" t="s">
        <v>5295</v>
      </c>
      <c r="C1530" s="10" t="s">
        <v>18</v>
      </c>
      <c r="D1530" s="10">
        <v>-1.19989324100758</v>
      </c>
      <c r="E1530" s="4">
        <v>4.9484197476577102E-10</v>
      </c>
      <c r="F1530" s="10">
        <v>-1.5423484177556901</v>
      </c>
      <c r="G1530" s="4">
        <v>3.4043553922047499E-8</v>
      </c>
    </row>
    <row r="1531" spans="1:7" x14ac:dyDescent="0.2">
      <c r="A1531" s="10" t="s">
        <v>3819</v>
      </c>
      <c r="B1531" s="10" t="s">
        <v>3820</v>
      </c>
      <c r="C1531" s="10" t="s">
        <v>18</v>
      </c>
      <c r="D1531" s="10">
        <v>-2.1930100686551102</v>
      </c>
      <c r="E1531" s="4">
        <v>9.1769195054265608E-6</v>
      </c>
      <c r="F1531" s="10">
        <v>-5.2676780429413901</v>
      </c>
      <c r="G1531" s="4">
        <v>2.76632031738129E-46</v>
      </c>
    </row>
    <row r="1532" spans="1:7" x14ac:dyDescent="0.2">
      <c r="A1532" s="10" t="s">
        <v>4792</v>
      </c>
      <c r="B1532" s="10" t="s">
        <v>4793</v>
      </c>
      <c r="C1532" s="10" t="s">
        <v>18</v>
      </c>
      <c r="D1532" s="10">
        <v>1.0103790054942701</v>
      </c>
      <c r="E1532" s="10">
        <v>1.0451212695855301E-3</v>
      </c>
      <c r="F1532" s="10">
        <v>1.35866188495038</v>
      </c>
      <c r="G1532" s="10">
        <v>1.7293330181229901E-4</v>
      </c>
    </row>
    <row r="1533" spans="1:7" x14ac:dyDescent="0.2">
      <c r="A1533" s="10" t="s">
        <v>4692</v>
      </c>
      <c r="B1533" s="10" t="s">
        <v>4693</v>
      </c>
      <c r="C1533" s="10" t="s">
        <v>18</v>
      </c>
      <c r="D1533" s="10">
        <v>-3.4824102037047502</v>
      </c>
      <c r="E1533" s="4">
        <v>7.0320793625849097E-81</v>
      </c>
      <c r="F1533" s="10">
        <v>-2.7770182795059601</v>
      </c>
      <c r="G1533" s="4">
        <v>5.6794161239695002E-31</v>
      </c>
    </row>
    <row r="1534" spans="1:7" x14ac:dyDescent="0.2">
      <c r="A1534" s="10" t="s">
        <v>5000</v>
      </c>
      <c r="B1534" s="10" t="s">
        <v>5001</v>
      </c>
      <c r="C1534" s="10" t="s">
        <v>18</v>
      </c>
      <c r="D1534" s="10">
        <v>5.57981889823985</v>
      </c>
      <c r="E1534" s="10">
        <v>9.5868564665085496E-4</v>
      </c>
      <c r="F1534" s="10">
        <v>7.2679281797192097</v>
      </c>
      <c r="G1534" s="4">
        <v>1.6375487651462202E-5</v>
      </c>
    </row>
    <row r="1535" spans="1:7" x14ac:dyDescent="0.2">
      <c r="A1535" s="10" t="s">
        <v>2889</v>
      </c>
      <c r="B1535" s="10" t="s">
        <v>2890</v>
      </c>
      <c r="C1535" s="10" t="s">
        <v>18</v>
      </c>
      <c r="D1535" s="10">
        <v>-3.2304732107521099</v>
      </c>
      <c r="E1535" s="4">
        <v>8.7033238353935802E-11</v>
      </c>
      <c r="F1535" s="10">
        <v>-5.8604802052574003</v>
      </c>
      <c r="G1535" s="4">
        <v>1.27509384795274E-49</v>
      </c>
    </row>
    <row r="1536" spans="1:7" x14ac:dyDescent="0.2">
      <c r="A1536" s="10" t="s">
        <v>5270</v>
      </c>
      <c r="B1536" s="10" t="s">
        <v>5271</v>
      </c>
      <c r="C1536" s="10" t="s">
        <v>18</v>
      </c>
      <c r="D1536" s="10">
        <v>3.6106260631422198</v>
      </c>
      <c r="E1536" s="4">
        <v>6.4705258015084897E-10</v>
      </c>
      <c r="F1536" s="10">
        <v>3.95705803934381</v>
      </c>
      <c r="G1536" s="4">
        <v>2.0097479926174001E-11</v>
      </c>
    </row>
    <row r="1537" spans="1:7" x14ac:dyDescent="0.2">
      <c r="A1537" s="10" t="s">
        <v>5300</v>
      </c>
      <c r="B1537" s="10" t="s">
        <v>5301</v>
      </c>
      <c r="C1537" s="10" t="s">
        <v>18</v>
      </c>
      <c r="D1537" s="10">
        <v>4.8372939686119301</v>
      </c>
      <c r="E1537" s="4">
        <v>6.5730825070531402E-25</v>
      </c>
      <c r="F1537" s="10">
        <v>5.1692265004407298</v>
      </c>
      <c r="G1537" s="4">
        <v>1.9096670711636199E-25</v>
      </c>
    </row>
    <row r="1538" spans="1:7" x14ac:dyDescent="0.2">
      <c r="A1538" s="10" t="s">
        <v>7374</v>
      </c>
      <c r="B1538" s="10" t="s">
        <v>7375</v>
      </c>
      <c r="C1538" s="10" t="s">
        <v>18</v>
      </c>
      <c r="D1538" s="10">
        <v>6.0010450821472903</v>
      </c>
      <c r="E1538" s="4">
        <v>2.8153647699401799E-7</v>
      </c>
      <c r="F1538" s="10">
        <v>2.3269012995521101</v>
      </c>
      <c r="G1538" s="4">
        <v>5.5788957476221099E-5</v>
      </c>
    </row>
    <row r="1539" spans="1:7" x14ac:dyDescent="0.2">
      <c r="A1539" s="10" t="s">
        <v>5268</v>
      </c>
      <c r="B1539" s="10" t="s">
        <v>5269</v>
      </c>
      <c r="C1539" s="10" t="s">
        <v>18</v>
      </c>
      <c r="D1539" s="10">
        <v>5.6827577530304696</v>
      </c>
      <c r="E1539" s="10">
        <v>4.1648872770947201E-4</v>
      </c>
      <c r="F1539" s="10">
        <v>3.4652619444332098</v>
      </c>
      <c r="G1539" s="4">
        <v>8.93188095683569E-14</v>
      </c>
    </row>
    <row r="1540" spans="1:7" x14ac:dyDescent="0.2">
      <c r="A1540" s="10" t="s">
        <v>27</v>
      </c>
      <c r="B1540" s="10" t="s">
        <v>28</v>
      </c>
      <c r="C1540" s="10" t="s">
        <v>18</v>
      </c>
      <c r="D1540" s="10">
        <v>1.3135178945622901</v>
      </c>
      <c r="E1540" s="10">
        <v>3.0519887203866399E-3</v>
      </c>
      <c r="F1540" s="10">
        <v>1.7138263378980301</v>
      </c>
      <c r="G1540" s="10">
        <v>2.22085042829315E-4</v>
      </c>
    </row>
    <row r="1541" spans="1:7" x14ac:dyDescent="0.2">
      <c r="A1541" s="10" t="s">
        <v>981</v>
      </c>
      <c r="B1541" s="10" t="s">
        <v>982</v>
      </c>
      <c r="C1541" s="10" t="s">
        <v>18</v>
      </c>
      <c r="D1541" s="10">
        <v>1.17361492604968</v>
      </c>
      <c r="E1541" s="4">
        <v>9.1205854569125305E-9</v>
      </c>
      <c r="F1541" s="10">
        <v>1.84576509348125</v>
      </c>
      <c r="G1541" s="4">
        <v>9.67069336974728E-11</v>
      </c>
    </row>
    <row r="1542" spans="1:7" x14ac:dyDescent="0.2">
      <c r="A1542" s="10" t="s">
        <v>3153</v>
      </c>
      <c r="B1542" s="10" t="s">
        <v>3154</v>
      </c>
      <c r="C1542" s="10" t="s">
        <v>18</v>
      </c>
      <c r="D1542" s="10">
        <v>1.3498963568769899</v>
      </c>
      <c r="E1542" s="4">
        <v>1.63424886304651E-6</v>
      </c>
      <c r="F1542" s="10">
        <v>1.6192558928301199</v>
      </c>
      <c r="G1542" s="4">
        <v>1.59231120941556E-6</v>
      </c>
    </row>
    <row r="1543" spans="1:7" x14ac:dyDescent="0.2">
      <c r="A1543" s="10" t="s">
        <v>5778</v>
      </c>
      <c r="B1543" s="10" t="s">
        <v>5779</v>
      </c>
      <c r="C1543" s="10" t="s">
        <v>18</v>
      </c>
      <c r="D1543" s="10">
        <v>3.2238179558238</v>
      </c>
      <c r="E1543" s="4">
        <v>6.1066252113852E-15</v>
      </c>
      <c r="F1543" s="10">
        <v>1.8523420815196801</v>
      </c>
      <c r="G1543" s="4">
        <v>1.35526396511469E-5</v>
      </c>
    </row>
    <row r="1544" spans="1:7" x14ac:dyDescent="0.2">
      <c r="A1544" s="10" t="s">
        <v>7652</v>
      </c>
      <c r="B1544" s="10" t="s">
        <v>7653</v>
      </c>
      <c r="C1544" s="10" t="s">
        <v>18</v>
      </c>
      <c r="D1544" s="10">
        <v>-1.4744614721089599</v>
      </c>
      <c r="E1544" s="4">
        <v>1.73891479443752E-12</v>
      </c>
      <c r="F1544" s="10">
        <v>-1.3320489387262999</v>
      </c>
      <c r="G1544" s="4">
        <v>2.5755309291971898E-7</v>
      </c>
    </row>
    <row r="1545" spans="1:7" x14ac:dyDescent="0.2">
      <c r="A1545" s="10" t="s">
        <v>8732</v>
      </c>
      <c r="B1545" s="10" t="s">
        <v>8733</v>
      </c>
      <c r="C1545" s="10" t="s">
        <v>18</v>
      </c>
      <c r="D1545" s="10">
        <v>1.6209598270990699</v>
      </c>
      <c r="E1545" s="4">
        <v>9.5819367766848597E-9</v>
      </c>
      <c r="F1545" s="10">
        <v>2.1849568149084502</v>
      </c>
      <c r="G1545" s="4">
        <v>5.1624125006054202E-9</v>
      </c>
    </row>
    <row r="1546" spans="1:7" x14ac:dyDescent="0.2">
      <c r="A1546" s="10" t="s">
        <v>1921</v>
      </c>
      <c r="B1546" s="10" t="s">
        <v>1922</v>
      </c>
      <c r="C1546" s="10" t="s">
        <v>18</v>
      </c>
      <c r="D1546" s="10">
        <v>1.39251227716398</v>
      </c>
      <c r="E1546" s="4">
        <v>2.8626689939474097E-7</v>
      </c>
      <c r="F1546" s="10">
        <v>1.38441987478985</v>
      </c>
      <c r="G1546" s="4">
        <v>1.1017193739710399E-5</v>
      </c>
    </row>
    <row r="1547" spans="1:7" x14ac:dyDescent="0.2">
      <c r="A1547" s="10" t="s">
        <v>595</v>
      </c>
      <c r="B1547" s="10" t="s">
        <v>596</v>
      </c>
      <c r="C1547" s="10" t="s">
        <v>18</v>
      </c>
      <c r="D1547" s="10">
        <v>-1.3434245542316201</v>
      </c>
      <c r="E1547" s="4">
        <v>8.2567961940823098E-7</v>
      </c>
      <c r="F1547" s="10">
        <v>-1.4902843575954701</v>
      </c>
      <c r="G1547" s="4">
        <v>2.0260728624807801E-6</v>
      </c>
    </row>
    <row r="1548" spans="1:7" x14ac:dyDescent="0.2">
      <c r="A1548" s="10" t="s">
        <v>8738</v>
      </c>
      <c r="B1548" s="10" t="s">
        <v>8739</v>
      </c>
      <c r="C1548" s="10" t="s">
        <v>18</v>
      </c>
      <c r="D1548" s="10">
        <v>-3.0791895089365799</v>
      </c>
      <c r="E1548" s="4">
        <v>4.4193039711437E-9</v>
      </c>
      <c r="F1548" s="10">
        <v>-2.49294806552177</v>
      </c>
      <c r="G1548" s="4">
        <v>2.1049114230679401E-5</v>
      </c>
    </row>
    <row r="1549" spans="1:7" x14ac:dyDescent="0.2">
      <c r="A1549" s="10" t="s">
        <v>1763</v>
      </c>
      <c r="B1549" s="10" t="s">
        <v>1764</v>
      </c>
      <c r="C1549" s="10" t="s">
        <v>18</v>
      </c>
      <c r="D1549" s="10">
        <v>2.0541934897826701</v>
      </c>
      <c r="E1549" s="4">
        <v>1.5967034689418001E-23</v>
      </c>
      <c r="F1549" s="10">
        <v>2.37383200963255</v>
      </c>
      <c r="G1549" s="4">
        <v>2.0604959980379899E-15</v>
      </c>
    </row>
    <row r="1550" spans="1:7" x14ac:dyDescent="0.2">
      <c r="A1550" s="10" t="s">
        <v>1787</v>
      </c>
      <c r="B1550" s="10" t="s">
        <v>1788</v>
      </c>
      <c r="C1550" s="10" t="s">
        <v>18</v>
      </c>
      <c r="D1550" s="10">
        <v>-2.0798410414969899</v>
      </c>
      <c r="E1550" s="4">
        <v>5.0041948507143801E-25</v>
      </c>
      <c r="F1550" s="10">
        <v>-2.21099602037763</v>
      </c>
      <c r="G1550" s="4">
        <v>1.13943427978134E-16</v>
      </c>
    </row>
    <row r="1551" spans="1:7" x14ac:dyDescent="0.2">
      <c r="A1551" s="10" t="s">
        <v>2271</v>
      </c>
      <c r="B1551" s="10" t="s">
        <v>2272</v>
      </c>
      <c r="C1551" s="10" t="s">
        <v>18</v>
      </c>
      <c r="D1551" s="10">
        <v>-1.06315436426929</v>
      </c>
      <c r="E1551" s="4">
        <v>2.0720605804732999E-8</v>
      </c>
      <c r="F1551" s="10">
        <v>-1.2607028423678499</v>
      </c>
      <c r="G1551" s="4">
        <v>4.8473466784509098E-6</v>
      </c>
    </row>
    <row r="1552" spans="1:7" x14ac:dyDescent="0.2">
      <c r="A1552" s="10" t="s">
        <v>7338</v>
      </c>
      <c r="B1552" s="10" t="s">
        <v>7339</v>
      </c>
      <c r="C1552" s="10" t="s">
        <v>18</v>
      </c>
      <c r="D1552" s="10">
        <v>4.1273009544724797</v>
      </c>
      <c r="E1552" s="4">
        <v>1.3047268820958399E-15</v>
      </c>
      <c r="F1552" s="10">
        <v>1.7342488002412499</v>
      </c>
      <c r="G1552" s="4">
        <v>9.5742902570109298E-6</v>
      </c>
    </row>
    <row r="1553" spans="1:7" x14ac:dyDescent="0.2">
      <c r="A1553" s="10" t="s">
        <v>6182</v>
      </c>
      <c r="B1553" s="10" t="s">
        <v>6183</v>
      </c>
      <c r="C1553" s="10" t="s">
        <v>18</v>
      </c>
      <c r="D1553" s="10">
        <v>1.1996217830837199</v>
      </c>
      <c r="E1553" s="4">
        <v>1.35012532820531E-8</v>
      </c>
      <c r="F1553" s="10">
        <v>2.4650647979193399</v>
      </c>
      <c r="G1553" s="4">
        <v>8.8940463864847007E-21</v>
      </c>
    </row>
    <row r="1554" spans="1:7" x14ac:dyDescent="0.2">
      <c r="A1554" s="10" t="s">
        <v>9016</v>
      </c>
      <c r="B1554" s="10" t="s">
        <v>9017</v>
      </c>
      <c r="C1554" s="10" t="s">
        <v>18</v>
      </c>
      <c r="D1554" s="10">
        <v>1.6705101170288601</v>
      </c>
      <c r="E1554" s="4">
        <v>4.7128401587970998E-20</v>
      </c>
      <c r="F1554" s="10">
        <v>1.78086364001855</v>
      </c>
      <c r="G1554" s="4">
        <v>4.33047683978707E-8</v>
      </c>
    </row>
    <row r="1555" spans="1:7" x14ac:dyDescent="0.2">
      <c r="A1555" s="10" t="s">
        <v>7662</v>
      </c>
      <c r="B1555" s="10" t="s">
        <v>7663</v>
      </c>
      <c r="C1555" s="10" t="s">
        <v>18</v>
      </c>
      <c r="D1555" s="10">
        <v>7.7253677753007803</v>
      </c>
      <c r="E1555" s="4">
        <v>1.3493573017202601E-12</v>
      </c>
      <c r="F1555" s="10">
        <v>4.8803657947962096</v>
      </c>
      <c r="G1555" s="4">
        <v>2.8037068803034197E-20</v>
      </c>
    </row>
    <row r="1556" spans="1:7" x14ac:dyDescent="0.2">
      <c r="A1556" s="10" t="s">
        <v>731</v>
      </c>
      <c r="B1556" s="10" t="s">
        <v>732</v>
      </c>
      <c r="C1556" s="10" t="s">
        <v>18</v>
      </c>
      <c r="D1556" s="10">
        <v>-1.5424990438417601</v>
      </c>
      <c r="E1556" s="4">
        <v>6.4702879703594098E-9</v>
      </c>
      <c r="F1556" s="10">
        <v>-1.9300109326651</v>
      </c>
      <c r="G1556" s="4">
        <v>1.8657710643903299E-11</v>
      </c>
    </row>
    <row r="1557" spans="1:7" x14ac:dyDescent="0.2">
      <c r="A1557" s="10" t="s">
        <v>3613</v>
      </c>
      <c r="B1557" s="10" t="s">
        <v>3614</v>
      </c>
      <c r="C1557" s="10" t="s">
        <v>18</v>
      </c>
      <c r="D1557" s="10">
        <v>2.4439714452902899</v>
      </c>
      <c r="E1557" s="4">
        <v>1.89703921816812E-35</v>
      </c>
      <c r="F1557" s="10">
        <v>3.5945858237600299</v>
      </c>
      <c r="G1557" s="4">
        <v>2.1882297179105901E-40</v>
      </c>
    </row>
    <row r="1558" spans="1:7" x14ac:dyDescent="0.2">
      <c r="A1558" s="10" t="s">
        <v>1525</v>
      </c>
      <c r="B1558" s="10" t="s">
        <v>1526</v>
      </c>
      <c r="C1558" s="10" t="s">
        <v>18</v>
      </c>
      <c r="D1558" s="10">
        <v>3.2518672773362698</v>
      </c>
      <c r="E1558" s="4">
        <v>9.0938693964495394E-61</v>
      </c>
      <c r="F1558" s="10">
        <v>2.1341408041790699</v>
      </c>
      <c r="G1558" s="4">
        <v>1.2559484937072499E-19</v>
      </c>
    </row>
    <row r="1559" spans="1:7" x14ac:dyDescent="0.2">
      <c r="A1559" s="10" t="s">
        <v>2035</v>
      </c>
      <c r="B1559" s="10" t="s">
        <v>2036</v>
      </c>
      <c r="C1559" s="10" t="s">
        <v>18</v>
      </c>
      <c r="D1559" s="10">
        <v>-1.37206491824583</v>
      </c>
      <c r="E1559" s="10">
        <v>2.2762213017230898E-3</v>
      </c>
      <c r="F1559" s="10">
        <v>-2.5920301235792902</v>
      </c>
      <c r="G1559" s="4">
        <v>1.8903646568717699E-11</v>
      </c>
    </row>
    <row r="1560" spans="1:7" x14ac:dyDescent="0.2">
      <c r="A1560" s="10" t="s">
        <v>8128</v>
      </c>
      <c r="B1560" s="10" t="s">
        <v>8129</v>
      </c>
      <c r="C1560" s="10" t="s">
        <v>18</v>
      </c>
      <c r="D1560" s="10">
        <v>2.0611552214581099</v>
      </c>
      <c r="E1560" s="4">
        <v>2.2796556155553301E-13</v>
      </c>
      <c r="F1560" s="10">
        <v>1.3773997345733699</v>
      </c>
      <c r="G1560" s="4">
        <v>6.4192876103201398E-6</v>
      </c>
    </row>
    <row r="1561" spans="1:7" x14ac:dyDescent="0.2">
      <c r="A1561" s="10" t="s">
        <v>1087</v>
      </c>
      <c r="B1561" s="10" t="s">
        <v>1088</v>
      </c>
      <c r="C1561" s="10" t="s">
        <v>18</v>
      </c>
      <c r="D1561" s="10">
        <v>1.52688317562706</v>
      </c>
      <c r="E1561" s="4">
        <v>3.4555680581238997E-17</v>
      </c>
      <c r="F1561" s="10">
        <v>1.68204207304621</v>
      </c>
      <c r="G1561" s="4">
        <v>6.8830972996559301E-12</v>
      </c>
    </row>
    <row r="1562" spans="1:7" x14ac:dyDescent="0.2">
      <c r="A1562" s="10" t="s">
        <v>3215</v>
      </c>
      <c r="B1562" s="10" t="s">
        <v>3216</v>
      </c>
      <c r="C1562" s="10" t="s">
        <v>18</v>
      </c>
      <c r="D1562" s="10">
        <v>2.3603901169688601</v>
      </c>
      <c r="E1562" s="4">
        <v>1.0793201904277201E-36</v>
      </c>
      <c r="F1562" s="10">
        <v>3.6262086424748201</v>
      </c>
      <c r="G1562" s="4">
        <v>3.4366267330694997E-42</v>
      </c>
    </row>
    <row r="1563" spans="1:7" x14ac:dyDescent="0.2">
      <c r="A1563" s="10" t="s">
        <v>241</v>
      </c>
      <c r="B1563" s="10" t="s">
        <v>242</v>
      </c>
      <c r="C1563" s="10" t="s">
        <v>18</v>
      </c>
      <c r="D1563" s="10">
        <v>1.77081703073351</v>
      </c>
      <c r="E1563" s="4">
        <v>4.9105657220152497E-17</v>
      </c>
      <c r="F1563" s="10">
        <v>2.32429841205319</v>
      </c>
      <c r="G1563" s="4">
        <v>8.4530733793375194E-15</v>
      </c>
    </row>
    <row r="1564" spans="1:7" x14ac:dyDescent="0.2">
      <c r="A1564" s="10" t="s">
        <v>5180</v>
      </c>
      <c r="B1564" s="10" t="s">
        <v>5181</v>
      </c>
      <c r="C1564" s="10" t="s">
        <v>18</v>
      </c>
      <c r="D1564" s="10">
        <v>1.44126423585116</v>
      </c>
      <c r="E1564" s="4">
        <v>2.09064216057427E-7</v>
      </c>
      <c r="F1564" s="10">
        <v>-2.6157722989711698</v>
      </c>
      <c r="G1564" s="4">
        <v>1.48559281245445E-22</v>
      </c>
    </row>
    <row r="1565" spans="1:7" x14ac:dyDescent="0.2">
      <c r="A1565" s="10" t="s">
        <v>2379</v>
      </c>
      <c r="B1565" s="10" t="s">
        <v>2380</v>
      </c>
      <c r="C1565" s="10" t="s">
        <v>18</v>
      </c>
      <c r="D1565" s="10">
        <v>1.5995369670536099</v>
      </c>
      <c r="E1565" s="10">
        <v>5.2248774095001096E-4</v>
      </c>
      <c r="F1565" s="10">
        <v>-2.0844814790073798</v>
      </c>
      <c r="G1565" s="4">
        <v>3.4118103084554497E-11</v>
      </c>
    </row>
    <row r="1566" spans="1:7" x14ac:dyDescent="0.2">
      <c r="A1566" s="10" t="s">
        <v>219</v>
      </c>
      <c r="B1566" s="10" t="s">
        <v>220</v>
      </c>
      <c r="C1566" s="10" t="s">
        <v>18</v>
      </c>
      <c r="D1566" s="10">
        <v>2.1102807087883302</v>
      </c>
      <c r="E1566" s="4">
        <v>5.3002847622050903E-23</v>
      </c>
      <c r="F1566" s="10">
        <v>1.9437033445415</v>
      </c>
      <c r="G1566" s="4">
        <v>4.2250420560525199E-10</v>
      </c>
    </row>
    <row r="1567" spans="1:7" x14ac:dyDescent="0.2">
      <c r="A1567" s="10" t="s">
        <v>3447</v>
      </c>
      <c r="B1567" s="10" t="s">
        <v>3448</v>
      </c>
      <c r="C1567" s="10" t="s">
        <v>18</v>
      </c>
      <c r="D1567" s="10">
        <v>1.49399714082293</v>
      </c>
      <c r="E1567" s="4">
        <v>1.3196679810779899E-5</v>
      </c>
      <c r="F1567" s="10">
        <v>1.1320993241898201</v>
      </c>
      <c r="G1567" s="10">
        <v>8.9849121063691195E-4</v>
      </c>
    </row>
    <row r="1568" spans="1:7" x14ac:dyDescent="0.2">
      <c r="A1568" s="10" t="s">
        <v>8488</v>
      </c>
      <c r="B1568" s="10" t="s">
        <v>8489</v>
      </c>
      <c r="C1568" s="10" t="s">
        <v>18</v>
      </c>
      <c r="D1568" s="10">
        <v>2.1711827580270899</v>
      </c>
      <c r="E1568" s="4">
        <v>5.2933170200884497E-27</v>
      </c>
      <c r="F1568" s="10">
        <v>2.5727022785231002</v>
      </c>
      <c r="G1568" s="4">
        <v>1.20099813376616E-23</v>
      </c>
    </row>
    <row r="1569" spans="1:7" x14ac:dyDescent="0.2">
      <c r="A1569" s="10" t="s">
        <v>3899</v>
      </c>
      <c r="B1569" s="10" t="s">
        <v>3900</v>
      </c>
      <c r="C1569" s="10" t="s">
        <v>18</v>
      </c>
      <c r="D1569" s="10">
        <v>-1.91698386599506</v>
      </c>
      <c r="E1569" s="4">
        <v>4.4411886831511697E-15</v>
      </c>
      <c r="F1569" s="10">
        <v>-1.8599695351808101</v>
      </c>
      <c r="G1569" s="4">
        <v>9.9480610392207305E-11</v>
      </c>
    </row>
    <row r="1570" spans="1:7" x14ac:dyDescent="0.2">
      <c r="A1570" s="10" t="s">
        <v>669</v>
      </c>
      <c r="B1570" s="10" t="s">
        <v>670</v>
      </c>
      <c r="C1570" s="10" t="s">
        <v>18</v>
      </c>
      <c r="D1570" s="10">
        <v>5.0050571954260299</v>
      </c>
      <c r="E1570" s="4">
        <v>1.3550018479474601E-66</v>
      </c>
      <c r="F1570" s="10">
        <v>3.0026944048657001</v>
      </c>
      <c r="G1570" s="4">
        <v>2.2856388623159699E-17</v>
      </c>
    </row>
    <row r="1571" spans="1:7" x14ac:dyDescent="0.2">
      <c r="A1571" s="10" t="s">
        <v>3777</v>
      </c>
      <c r="B1571" s="10" t="s">
        <v>3778</v>
      </c>
      <c r="C1571" s="10" t="s">
        <v>18</v>
      </c>
      <c r="D1571" s="10">
        <v>-2.0764197866270901</v>
      </c>
      <c r="E1571" s="4">
        <v>9.6259948910760594E-21</v>
      </c>
      <c r="F1571" s="10">
        <v>-2.1868766097830101</v>
      </c>
      <c r="G1571" s="4">
        <v>5.2454436282130703E-16</v>
      </c>
    </row>
    <row r="1572" spans="1:7" x14ac:dyDescent="0.2">
      <c r="A1572" s="10" t="s">
        <v>1149</v>
      </c>
      <c r="B1572" s="10" t="s">
        <v>1150</v>
      </c>
      <c r="C1572" s="10" t="s">
        <v>18</v>
      </c>
      <c r="D1572" s="10">
        <v>3.90599395753084</v>
      </c>
      <c r="E1572" s="10">
        <v>3.6058037837641797E-4</v>
      </c>
      <c r="F1572" s="10">
        <v>2.58565583094272</v>
      </c>
      <c r="G1572" s="10">
        <v>1.6541224415644799E-3</v>
      </c>
    </row>
    <row r="1573" spans="1:7" x14ac:dyDescent="0.2">
      <c r="A1573" s="10" t="s">
        <v>3167</v>
      </c>
      <c r="B1573" s="10" t="s">
        <v>3168</v>
      </c>
      <c r="C1573" s="10" t="s">
        <v>18</v>
      </c>
      <c r="D1573" s="10">
        <v>-1.16110019992188</v>
      </c>
      <c r="E1573" s="4">
        <v>4.1916856699129996E-9</v>
      </c>
      <c r="F1573" s="10">
        <v>-1.50157457988081</v>
      </c>
      <c r="G1573" s="4">
        <v>1.6666464637693901E-9</v>
      </c>
    </row>
    <row r="1574" spans="1:7" x14ac:dyDescent="0.2">
      <c r="A1574" s="10" t="s">
        <v>2697</v>
      </c>
      <c r="B1574" s="10" t="s">
        <v>2698</v>
      </c>
      <c r="C1574" s="10" t="s">
        <v>18</v>
      </c>
      <c r="D1574" s="10">
        <v>-3.2282292086264701</v>
      </c>
      <c r="E1574" s="4">
        <v>1.44408361687242E-29</v>
      </c>
      <c r="F1574" s="10">
        <v>-2.4522283716391402</v>
      </c>
      <c r="G1574" s="4">
        <v>6.6803875627630604E-11</v>
      </c>
    </row>
    <row r="1575" spans="1:7" x14ac:dyDescent="0.2">
      <c r="A1575" s="10" t="s">
        <v>7042</v>
      </c>
      <c r="B1575" s="10" t="s">
        <v>7043</v>
      </c>
      <c r="C1575" s="10" t="s">
        <v>18</v>
      </c>
      <c r="D1575" s="10">
        <v>3.3573666178281201</v>
      </c>
      <c r="E1575" s="4">
        <v>1.06312259697384E-18</v>
      </c>
      <c r="F1575" s="10">
        <v>1.76950969892367</v>
      </c>
      <c r="G1575" s="4">
        <v>1.22025273204311E-6</v>
      </c>
    </row>
    <row r="1576" spans="1:7" x14ac:dyDescent="0.2">
      <c r="A1576" s="10" t="s">
        <v>7100</v>
      </c>
      <c r="B1576" s="10" t="s">
        <v>7101</v>
      </c>
      <c r="C1576" s="10" t="s">
        <v>18</v>
      </c>
      <c r="D1576" s="10">
        <v>-2.5367330912022599</v>
      </c>
      <c r="E1576" s="4">
        <v>3.5470340627758803E-30</v>
      </c>
      <c r="F1576" s="10">
        <v>-1.5722961780119999</v>
      </c>
      <c r="G1576" s="4">
        <v>2.0459472377933301E-7</v>
      </c>
    </row>
    <row r="1577" spans="1:7" x14ac:dyDescent="0.2">
      <c r="A1577" s="10" t="s">
        <v>5596</v>
      </c>
      <c r="B1577" s="10" t="s">
        <v>5597</v>
      </c>
      <c r="C1577" s="10" t="s">
        <v>18</v>
      </c>
      <c r="D1577" s="10">
        <v>-2.0950891190256198</v>
      </c>
      <c r="E1577" s="4">
        <v>1.8300478130147399E-27</v>
      </c>
      <c r="F1577" s="10">
        <v>-1.16883015309611</v>
      </c>
      <c r="G1577" s="4">
        <v>2.1258964460831001E-5</v>
      </c>
    </row>
    <row r="1578" spans="1:7" x14ac:dyDescent="0.2">
      <c r="A1578" s="10" t="s">
        <v>8886</v>
      </c>
      <c r="B1578" s="10" t="s">
        <v>8887</v>
      </c>
      <c r="C1578" s="10" t="s">
        <v>18</v>
      </c>
      <c r="D1578" s="10">
        <v>1.55198206948795</v>
      </c>
      <c r="E1578" s="4">
        <v>2.5436747019272902E-10</v>
      </c>
      <c r="F1578" s="10">
        <v>1.2967465358974899</v>
      </c>
      <c r="G1578" s="4">
        <v>8.9330066882481294E-6</v>
      </c>
    </row>
    <row r="1579" spans="1:7" x14ac:dyDescent="0.2">
      <c r="A1579" s="10" t="s">
        <v>2269</v>
      </c>
      <c r="B1579" s="10" t="s">
        <v>2270</v>
      </c>
      <c r="C1579" s="10" t="s">
        <v>18</v>
      </c>
      <c r="D1579" s="10">
        <v>6.2501669340106698</v>
      </c>
      <c r="E1579" s="4">
        <v>7.2150649847615996E-20</v>
      </c>
      <c r="F1579" s="10">
        <v>3.0143012237363398</v>
      </c>
      <c r="G1579" s="4">
        <v>1.75448126492213E-14</v>
      </c>
    </row>
    <row r="1580" spans="1:7" x14ac:dyDescent="0.2">
      <c r="A1580" s="10" t="s">
        <v>5308</v>
      </c>
      <c r="B1580" s="10" t="s">
        <v>5309</v>
      </c>
      <c r="C1580" s="10" t="s">
        <v>18</v>
      </c>
      <c r="D1580" s="10">
        <v>2.3627879604461399</v>
      </c>
      <c r="E1580" s="4">
        <v>2.236619137637E-32</v>
      </c>
      <c r="F1580" s="10">
        <v>2.3173383943846102</v>
      </c>
      <c r="G1580" s="4">
        <v>2.9397218356651901E-20</v>
      </c>
    </row>
    <row r="1581" spans="1:7" x14ac:dyDescent="0.2">
      <c r="A1581" s="10" t="s">
        <v>5250</v>
      </c>
      <c r="B1581" s="10" t="s">
        <v>5251</v>
      </c>
      <c r="C1581" s="10" t="s">
        <v>18</v>
      </c>
      <c r="D1581" s="10">
        <v>1.55152619832099</v>
      </c>
      <c r="E1581" s="4">
        <v>6.6848974154527903E-15</v>
      </c>
      <c r="F1581" s="10">
        <v>1.59237308871585</v>
      </c>
      <c r="G1581" s="4">
        <v>6.0017233380912105E-8</v>
      </c>
    </row>
    <row r="1582" spans="1:7" x14ac:dyDescent="0.2">
      <c r="A1582" s="10" t="s">
        <v>8286</v>
      </c>
      <c r="B1582" s="10" t="s">
        <v>8287</v>
      </c>
      <c r="C1582" s="10" t="s">
        <v>18</v>
      </c>
      <c r="D1582" s="10">
        <v>8.1701083780060308</v>
      </c>
      <c r="E1582" s="4">
        <v>7.2793985749711203E-58</v>
      </c>
      <c r="F1582" s="10">
        <v>11.7442010192878</v>
      </c>
      <c r="G1582" s="4">
        <v>3.9816265115234899E-16</v>
      </c>
    </row>
    <row r="1583" spans="1:7" x14ac:dyDescent="0.2">
      <c r="A1583" s="10" t="s">
        <v>8284</v>
      </c>
      <c r="B1583" s="10" t="s">
        <v>8285</v>
      </c>
      <c r="C1583" s="10" t="s">
        <v>18</v>
      </c>
      <c r="D1583" s="10">
        <v>6.2724782074636902</v>
      </c>
      <c r="E1583" s="10">
        <v>7.6407331549742104E-4</v>
      </c>
      <c r="F1583" s="10">
        <v>6.5199450130535004</v>
      </c>
      <c r="G1583" s="10">
        <v>3.5442641076068601E-4</v>
      </c>
    </row>
    <row r="1584" spans="1:7" x14ac:dyDescent="0.2">
      <c r="A1584" s="10" t="s">
        <v>907</v>
      </c>
      <c r="B1584" s="10" t="s">
        <v>908</v>
      </c>
      <c r="C1584" s="10" t="s">
        <v>18</v>
      </c>
      <c r="D1584" s="10">
        <v>4.02489438505512</v>
      </c>
      <c r="E1584" s="4">
        <v>6.7980868061206101E-14</v>
      </c>
      <c r="F1584" s="10">
        <v>1.4778950728142299</v>
      </c>
      <c r="G1584" s="10">
        <v>2.1375583760965599E-4</v>
      </c>
    </row>
    <row r="1585" spans="1:7" x14ac:dyDescent="0.2">
      <c r="A1585" s="10" t="s">
        <v>8362</v>
      </c>
      <c r="B1585" s="10" t="s">
        <v>8363</v>
      </c>
      <c r="C1585" s="10" t="s">
        <v>18</v>
      </c>
      <c r="D1585" s="10">
        <v>6.1413876631227904</v>
      </c>
      <c r="E1585" s="4">
        <v>1.58203385876536E-86</v>
      </c>
      <c r="F1585" s="10">
        <v>1.0958310757946499</v>
      </c>
      <c r="G1585" s="10">
        <v>2.4920632833613798E-4</v>
      </c>
    </row>
    <row r="1586" spans="1:7" x14ac:dyDescent="0.2">
      <c r="A1586" s="10" t="s">
        <v>8200</v>
      </c>
      <c r="B1586" s="10" t="s">
        <v>8201</v>
      </c>
      <c r="C1586" s="10" t="s">
        <v>18</v>
      </c>
      <c r="D1586" s="10">
        <v>-1.1068135346675601</v>
      </c>
      <c r="E1586" s="4">
        <v>4.9572962641992499E-5</v>
      </c>
      <c r="F1586" s="10">
        <v>-1.0854287169403001</v>
      </c>
      <c r="G1586" s="10">
        <v>6.3314082475131696E-4</v>
      </c>
    </row>
    <row r="1587" spans="1:7" x14ac:dyDescent="0.2">
      <c r="A1587" s="10" t="s">
        <v>2507</v>
      </c>
      <c r="B1587" s="10" t="s">
        <v>2508</v>
      </c>
      <c r="C1587" s="10" t="s">
        <v>18</v>
      </c>
      <c r="D1587" s="10">
        <v>-3.1049889892195202</v>
      </c>
      <c r="E1587" s="4">
        <v>4.7377808522611802E-54</v>
      </c>
      <c r="F1587" s="10">
        <v>-2.41298786546675</v>
      </c>
      <c r="G1587" s="4">
        <v>1.8378847539624101E-20</v>
      </c>
    </row>
    <row r="1588" spans="1:7" x14ac:dyDescent="0.2">
      <c r="A1588" s="10" t="s">
        <v>2137</v>
      </c>
      <c r="B1588" s="10" t="s">
        <v>2138</v>
      </c>
      <c r="C1588" s="10" t="s">
        <v>18</v>
      </c>
      <c r="D1588" s="10">
        <v>-1.2475327436622701</v>
      </c>
      <c r="E1588" s="4">
        <v>1.8890622421378101E-11</v>
      </c>
      <c r="F1588" s="10">
        <v>-1.45481564719895</v>
      </c>
      <c r="G1588" s="4">
        <v>3.2992662655112999E-9</v>
      </c>
    </row>
    <row r="1589" spans="1:7" x14ac:dyDescent="0.2">
      <c r="A1589" s="10" t="s">
        <v>6874</v>
      </c>
      <c r="B1589" s="10" t="s">
        <v>6875</v>
      </c>
      <c r="C1589" s="10" t="s">
        <v>18</v>
      </c>
      <c r="D1589" s="10">
        <v>1.2037478826811601</v>
      </c>
      <c r="E1589" s="4">
        <v>1.77757498160732E-9</v>
      </c>
      <c r="F1589" s="10">
        <v>1.82454210792266</v>
      </c>
      <c r="G1589" s="4">
        <v>6.8424249442285402E-10</v>
      </c>
    </row>
    <row r="1590" spans="1:7" x14ac:dyDescent="0.2">
      <c r="A1590" s="10" t="s">
        <v>8518</v>
      </c>
      <c r="B1590" s="10" t="s">
        <v>8519</v>
      </c>
      <c r="C1590" s="10" t="s">
        <v>18</v>
      </c>
      <c r="D1590" s="10">
        <v>-1.6336000701579001</v>
      </c>
      <c r="E1590" s="10">
        <v>1.0815415149561299E-3</v>
      </c>
      <c r="F1590" s="10">
        <v>-2.3181296826787898</v>
      </c>
      <c r="G1590" s="4">
        <v>2.5719384670657801E-7</v>
      </c>
    </row>
    <row r="1591" spans="1:7" x14ac:dyDescent="0.2">
      <c r="A1591" s="10" t="s">
        <v>7024</v>
      </c>
      <c r="B1591" s="10" t="s">
        <v>7025</v>
      </c>
      <c r="C1591" s="10" t="s">
        <v>18</v>
      </c>
      <c r="D1591" s="10">
        <v>-1.75557660745398</v>
      </c>
      <c r="E1591" s="4">
        <v>4.3456289891637601E-8</v>
      </c>
      <c r="F1591" s="10">
        <v>-1.32401210555981</v>
      </c>
      <c r="G1591" s="10">
        <v>4.9411354135600399E-4</v>
      </c>
    </row>
    <row r="1592" spans="1:7" x14ac:dyDescent="0.2">
      <c r="A1592" s="10" t="s">
        <v>4556</v>
      </c>
      <c r="B1592" s="10" t="s">
        <v>4557</v>
      </c>
      <c r="C1592" s="10" t="s">
        <v>18</v>
      </c>
      <c r="D1592" s="10">
        <v>4.22660633197862</v>
      </c>
      <c r="E1592" s="4">
        <v>3.8189504097716699E-8</v>
      </c>
      <c r="F1592" s="10">
        <v>1.40902676803599</v>
      </c>
      <c r="G1592" s="10">
        <v>7.2118453019541498E-3</v>
      </c>
    </row>
    <row r="1593" spans="1:7" x14ac:dyDescent="0.2">
      <c r="A1593" s="10" t="s">
        <v>2891</v>
      </c>
      <c r="B1593" s="10" t="s">
        <v>2892</v>
      </c>
      <c r="C1593" s="10" t="s">
        <v>18</v>
      </c>
      <c r="D1593" s="10">
        <v>-2.5798448251468602</v>
      </c>
      <c r="E1593" s="4">
        <v>2.3202328136824302E-11</v>
      </c>
      <c r="F1593" s="10">
        <v>-2.6801313875634198</v>
      </c>
      <c r="G1593" s="4">
        <v>5.9365000571201405E-10</v>
      </c>
    </row>
    <row r="1594" spans="1:7" x14ac:dyDescent="0.2">
      <c r="A1594" s="10" t="s">
        <v>3271</v>
      </c>
      <c r="B1594" s="10" t="s">
        <v>3272</v>
      </c>
      <c r="C1594" s="10" t="s">
        <v>18</v>
      </c>
      <c r="D1594" s="10">
        <v>-1.42936339121129</v>
      </c>
      <c r="E1594" s="4">
        <v>6.0320971436102996E-9</v>
      </c>
      <c r="F1594" s="10">
        <v>-2.0681524894583601</v>
      </c>
      <c r="G1594" s="4">
        <v>1.72512705611376E-12</v>
      </c>
    </row>
    <row r="1595" spans="1:7" x14ac:dyDescent="0.2">
      <c r="A1595" s="10" t="s">
        <v>721</v>
      </c>
      <c r="B1595" s="10" t="s">
        <v>722</v>
      </c>
      <c r="C1595" s="10" t="s">
        <v>18</v>
      </c>
      <c r="D1595" s="10">
        <v>-1.3497953833662399</v>
      </c>
      <c r="E1595" s="4">
        <v>1.00899422443144E-11</v>
      </c>
      <c r="F1595" s="10">
        <v>-1.2803782366935701</v>
      </c>
      <c r="G1595" s="4">
        <v>3.0015258997849502E-7</v>
      </c>
    </row>
    <row r="1596" spans="1:7" x14ac:dyDescent="0.2">
      <c r="A1596" s="10" t="s">
        <v>1537</v>
      </c>
      <c r="B1596" s="10" t="s">
        <v>1538</v>
      </c>
      <c r="C1596" s="10" t="s">
        <v>18</v>
      </c>
      <c r="D1596" s="10">
        <v>-2.6662966980332001</v>
      </c>
      <c r="E1596" s="4">
        <v>1.3378075582193199E-24</v>
      </c>
      <c r="F1596" s="10">
        <v>-4.6752846341070899</v>
      </c>
      <c r="G1596" s="4">
        <v>1.40104231728101E-64</v>
      </c>
    </row>
    <row r="1597" spans="1:7" x14ac:dyDescent="0.2">
      <c r="A1597" s="10" t="s">
        <v>8210</v>
      </c>
      <c r="B1597" s="10" t="s">
        <v>8211</v>
      </c>
      <c r="C1597" s="10" t="s">
        <v>18</v>
      </c>
      <c r="D1597" s="10">
        <v>-1.7141716439516199</v>
      </c>
      <c r="E1597" s="4">
        <v>5.61763168412434E-21</v>
      </c>
      <c r="F1597" s="10">
        <v>-1.01588566144454</v>
      </c>
      <c r="G1597" s="10">
        <v>1.6978752113111601E-4</v>
      </c>
    </row>
    <row r="1598" spans="1:7" x14ac:dyDescent="0.2">
      <c r="A1598" s="10" t="s">
        <v>3337</v>
      </c>
      <c r="B1598" s="10" t="s">
        <v>3338</v>
      </c>
      <c r="C1598" s="10" t="s">
        <v>18</v>
      </c>
      <c r="D1598" s="10">
        <v>-2.6032742748156701</v>
      </c>
      <c r="E1598" s="4">
        <v>3.64728520703139E-28</v>
      </c>
      <c r="F1598" s="10">
        <v>-2.2898651312947198</v>
      </c>
      <c r="G1598" s="4">
        <v>1.72054840484709E-15</v>
      </c>
    </row>
    <row r="1599" spans="1:7" x14ac:dyDescent="0.2">
      <c r="A1599" s="10" t="s">
        <v>6170</v>
      </c>
      <c r="B1599" s="10" t="s">
        <v>6171</v>
      </c>
      <c r="C1599" s="10" t="s">
        <v>18</v>
      </c>
      <c r="D1599" s="10">
        <v>7.89830176371958</v>
      </c>
      <c r="E1599" s="4">
        <v>7.52305153835455E-7</v>
      </c>
      <c r="F1599" s="10">
        <v>2.0675987995799399</v>
      </c>
      <c r="G1599" s="10">
        <v>1.4863158714749499E-3</v>
      </c>
    </row>
    <row r="1600" spans="1:7" x14ac:dyDescent="0.2">
      <c r="A1600" s="10" t="s">
        <v>485</v>
      </c>
      <c r="B1600" s="10" t="s">
        <v>486</v>
      </c>
      <c r="C1600" s="10" t="s">
        <v>18</v>
      </c>
      <c r="D1600" s="10">
        <v>-1.67792936508834</v>
      </c>
      <c r="E1600" s="4">
        <v>1.2052453588750501E-15</v>
      </c>
      <c r="F1600" s="10">
        <v>-1.0732168351796301</v>
      </c>
      <c r="G1600" s="4">
        <v>8.1942667076226894E-5</v>
      </c>
    </row>
    <row r="1601" spans="1:7" x14ac:dyDescent="0.2">
      <c r="A1601" s="10" t="s">
        <v>6194</v>
      </c>
      <c r="B1601" s="10" t="s">
        <v>6195</v>
      </c>
      <c r="C1601" s="10" t="s">
        <v>18</v>
      </c>
      <c r="D1601" s="10">
        <v>1.20402051092943</v>
      </c>
      <c r="E1601" s="4">
        <v>9.4909569533170202E-7</v>
      </c>
      <c r="F1601" s="10">
        <v>1.89831239139859</v>
      </c>
      <c r="G1601" s="4">
        <v>4.8747930721918503E-8</v>
      </c>
    </row>
    <row r="1602" spans="1:7" x14ac:dyDescent="0.2">
      <c r="A1602" s="10" t="s">
        <v>5046</v>
      </c>
      <c r="B1602" s="10" t="s">
        <v>5047</v>
      </c>
      <c r="C1602" s="10" t="s">
        <v>18</v>
      </c>
      <c r="D1602" s="10">
        <v>5.28658787733404</v>
      </c>
      <c r="E1602" s="4">
        <v>4.4495659320081802E-106</v>
      </c>
      <c r="F1602" s="10">
        <v>4.18579146029903</v>
      </c>
      <c r="G1602" s="4">
        <v>1.03002633437209E-44</v>
      </c>
    </row>
    <row r="1603" spans="1:7" x14ac:dyDescent="0.2">
      <c r="A1603" s="10" t="s">
        <v>6196</v>
      </c>
      <c r="B1603" s="10" t="s">
        <v>6197</v>
      </c>
      <c r="C1603" s="10" t="s">
        <v>18</v>
      </c>
      <c r="D1603" s="10">
        <v>4.7111689872881897</v>
      </c>
      <c r="E1603" s="4">
        <v>9.8417909935336307E-34</v>
      </c>
      <c r="F1603" s="10">
        <v>5.0662626785556997</v>
      </c>
      <c r="G1603" s="4">
        <v>2.32580457662501E-33</v>
      </c>
    </row>
    <row r="1604" spans="1:7" x14ac:dyDescent="0.2">
      <c r="A1604" s="10" t="s">
        <v>5608</v>
      </c>
      <c r="B1604" s="10" t="s">
        <v>5609</v>
      </c>
      <c r="C1604" s="10" t="s">
        <v>18</v>
      </c>
      <c r="D1604" s="10">
        <v>-1.27669875703131</v>
      </c>
      <c r="E1604" s="10">
        <v>6.2741395596464002E-3</v>
      </c>
      <c r="F1604" s="10">
        <v>-1.9700442549885999</v>
      </c>
      <c r="G1604" s="4">
        <v>8.4611528864417903E-6</v>
      </c>
    </row>
    <row r="1605" spans="1:7" x14ac:dyDescent="0.2">
      <c r="A1605" s="10" t="s">
        <v>3381</v>
      </c>
      <c r="B1605" s="10" t="s">
        <v>3382</v>
      </c>
      <c r="C1605" s="10" t="s">
        <v>18</v>
      </c>
      <c r="D1605" s="10">
        <v>-1.1576551664186401</v>
      </c>
      <c r="E1605" s="4">
        <v>2.7124421806804501E-6</v>
      </c>
      <c r="F1605" s="10">
        <v>-1.6060592190873899</v>
      </c>
      <c r="G1605" s="4">
        <v>6.3485637543862795E-7</v>
      </c>
    </row>
    <row r="1606" spans="1:7" x14ac:dyDescent="0.2">
      <c r="A1606" s="10" t="s">
        <v>8706</v>
      </c>
      <c r="B1606" s="10" t="s">
        <v>8707</v>
      </c>
      <c r="C1606" s="10" t="s">
        <v>18</v>
      </c>
      <c r="D1606" s="10">
        <v>1.5781466019936099</v>
      </c>
      <c r="E1606" s="4">
        <v>1.1633482199648199E-11</v>
      </c>
      <c r="F1606" s="10">
        <v>1.0698810518810999</v>
      </c>
      <c r="G1606" s="4">
        <v>8.8510500649902697E-5</v>
      </c>
    </row>
    <row r="1607" spans="1:7" x14ac:dyDescent="0.2">
      <c r="A1607" s="10" t="s">
        <v>5470</v>
      </c>
      <c r="B1607" s="10" t="s">
        <v>5471</v>
      </c>
      <c r="C1607" s="10" t="s">
        <v>18</v>
      </c>
      <c r="D1607" s="10">
        <v>-1.09583307525568</v>
      </c>
      <c r="E1607" s="4">
        <v>1.18436954670892E-5</v>
      </c>
      <c r="F1607" s="10">
        <v>-1.09590735909878</v>
      </c>
      <c r="G1607" s="10">
        <v>1.2998625587417199E-4</v>
      </c>
    </row>
    <row r="1608" spans="1:7" x14ac:dyDescent="0.2">
      <c r="A1608" s="10" t="s">
        <v>2041</v>
      </c>
      <c r="B1608" s="10" t="s">
        <v>2042</v>
      </c>
      <c r="C1608" s="10" t="s">
        <v>18</v>
      </c>
      <c r="D1608" s="10">
        <v>-1.0739526120209699</v>
      </c>
      <c r="E1608" s="4">
        <v>1.3873101028716399E-6</v>
      </c>
      <c r="F1608" s="10">
        <v>-1.3529266764279799</v>
      </c>
      <c r="G1608" s="4">
        <v>4.0612227826301399E-7</v>
      </c>
    </row>
    <row r="1609" spans="1:7" x14ac:dyDescent="0.2">
      <c r="A1609" s="10" t="s">
        <v>7034</v>
      </c>
      <c r="B1609" s="10" t="s">
        <v>7035</v>
      </c>
      <c r="C1609" s="10" t="s">
        <v>18</v>
      </c>
      <c r="D1609" s="10">
        <v>-2.2243118903696701</v>
      </c>
      <c r="E1609" s="4">
        <v>1.8877765752897699E-13</v>
      </c>
      <c r="F1609" s="10">
        <v>-1.35284341987631</v>
      </c>
      <c r="G1609" s="10">
        <v>5.7924018700749203E-4</v>
      </c>
    </row>
    <row r="1610" spans="1:7" x14ac:dyDescent="0.2">
      <c r="A1610" s="10" t="s">
        <v>93</v>
      </c>
      <c r="B1610" s="10" t="s">
        <v>94</v>
      </c>
      <c r="C1610" s="10" t="s">
        <v>18</v>
      </c>
      <c r="D1610" s="10">
        <v>8.4891281893385706</v>
      </c>
      <c r="E1610" s="4">
        <v>4.4002987780418001E-8</v>
      </c>
      <c r="F1610" s="10">
        <v>3.4879975022138598</v>
      </c>
      <c r="G1610" s="4">
        <v>9.4304860733433406E-8</v>
      </c>
    </row>
    <row r="1611" spans="1:7" x14ac:dyDescent="0.2">
      <c r="A1611" s="10" t="s">
        <v>843</v>
      </c>
      <c r="B1611" s="10" t="s">
        <v>844</v>
      </c>
      <c r="C1611" s="10" t="s">
        <v>18</v>
      </c>
      <c r="D1611" s="10">
        <v>1.5716351527732599</v>
      </c>
      <c r="E1611" s="4">
        <v>4.4974546828670799E-15</v>
      </c>
      <c r="F1611" s="10">
        <v>2.1103359717297101</v>
      </c>
      <c r="G1611" s="4">
        <v>9.5600812219865694E-13</v>
      </c>
    </row>
    <row r="1612" spans="1:7" x14ac:dyDescent="0.2">
      <c r="A1612" s="10" t="s">
        <v>863</v>
      </c>
      <c r="B1612" s="10" t="s">
        <v>864</v>
      </c>
      <c r="C1612" s="10" t="s">
        <v>18</v>
      </c>
      <c r="D1612" s="10">
        <v>-1.9410009888085</v>
      </c>
      <c r="E1612" s="4">
        <v>6.3906150957669405E-8</v>
      </c>
      <c r="F1612" s="10">
        <v>-1.82644517656286</v>
      </c>
      <c r="G1612" s="4">
        <v>2.5084080023337699E-6</v>
      </c>
    </row>
    <row r="1613" spans="1:7" x14ac:dyDescent="0.2">
      <c r="A1613" s="10" t="s">
        <v>4940</v>
      </c>
      <c r="B1613" s="10" t="s">
        <v>4941</v>
      </c>
      <c r="C1613" s="10" t="s">
        <v>18</v>
      </c>
      <c r="D1613" s="10">
        <v>-1.9861247311625201</v>
      </c>
      <c r="E1613" s="4">
        <v>1.74845373776017E-18</v>
      </c>
      <c r="F1613" s="10">
        <v>-1.310363618832</v>
      </c>
      <c r="G1613" s="4">
        <v>1.04203931072285E-5</v>
      </c>
    </row>
    <row r="1614" spans="1:7" x14ac:dyDescent="0.2">
      <c r="A1614" s="10" t="s">
        <v>8734</v>
      </c>
      <c r="B1614" s="10" t="s">
        <v>8735</v>
      </c>
      <c r="C1614" s="10" t="s">
        <v>18</v>
      </c>
      <c r="D1614" s="10">
        <v>3.6216993052040198</v>
      </c>
      <c r="E1614" s="4">
        <v>3.50013700314251E-12</v>
      </c>
      <c r="F1614" s="10">
        <v>3.0654481931515298</v>
      </c>
      <c r="G1614" s="4">
        <v>3.0550560829806002E-10</v>
      </c>
    </row>
    <row r="1615" spans="1:7" x14ac:dyDescent="0.2">
      <c r="A1615" s="10" t="s">
        <v>4654</v>
      </c>
      <c r="B1615" s="10" t="s">
        <v>4655</v>
      </c>
      <c r="C1615" s="10" t="s">
        <v>18</v>
      </c>
      <c r="D1615" s="10">
        <v>-1.2783283827649601</v>
      </c>
      <c r="E1615" s="4">
        <v>6.7453000678844497E-6</v>
      </c>
      <c r="F1615" s="10">
        <v>-1.53647814794119</v>
      </c>
      <c r="G1615" s="4">
        <v>1.47540736394817E-6</v>
      </c>
    </row>
    <row r="1616" spans="1:7" x14ac:dyDescent="0.2">
      <c r="A1616" s="10" t="s">
        <v>5316</v>
      </c>
      <c r="B1616" s="10" t="s">
        <v>5317</v>
      </c>
      <c r="C1616" s="10" t="s">
        <v>18</v>
      </c>
      <c r="D1616" s="10">
        <v>2.7068114838520199</v>
      </c>
      <c r="E1616" s="4">
        <v>3.8133952135462497E-30</v>
      </c>
      <c r="F1616" s="10">
        <v>1.40327352928864</v>
      </c>
      <c r="G1616" s="4">
        <v>2.7089709569154202E-7</v>
      </c>
    </row>
    <row r="1617" spans="1:7" x14ac:dyDescent="0.2">
      <c r="A1617" s="10" t="s">
        <v>1321</v>
      </c>
      <c r="B1617" s="10" t="s">
        <v>1322</v>
      </c>
      <c r="C1617" s="10" t="s">
        <v>18</v>
      </c>
      <c r="D1617" s="10">
        <v>-2.4099786167531199</v>
      </c>
      <c r="E1617" s="4">
        <v>4.1828947062782802E-25</v>
      </c>
      <c r="F1617" s="10">
        <v>-2.4053496824048901</v>
      </c>
      <c r="G1617" s="4">
        <v>3.2422121085534799E-15</v>
      </c>
    </row>
    <row r="1618" spans="1:7" x14ac:dyDescent="0.2">
      <c r="A1618" s="10" t="s">
        <v>1765</v>
      </c>
      <c r="B1618" s="10" t="s">
        <v>1766</v>
      </c>
      <c r="C1618" s="10" t="s">
        <v>18</v>
      </c>
      <c r="D1618" s="10">
        <v>-1.3955793990422101</v>
      </c>
      <c r="E1618" s="4">
        <v>2.3254563943810101E-9</v>
      </c>
      <c r="F1618" s="10">
        <v>-1.1369537666893399</v>
      </c>
      <c r="G1618" s="10">
        <v>2.8862411980462398E-4</v>
      </c>
    </row>
    <row r="1619" spans="1:7" x14ac:dyDescent="0.2">
      <c r="A1619" s="10" t="s">
        <v>1403</v>
      </c>
      <c r="B1619" s="10" t="s">
        <v>1404</v>
      </c>
      <c r="C1619" s="10" t="s">
        <v>18</v>
      </c>
      <c r="D1619" s="10">
        <v>1.50992510461468</v>
      </c>
      <c r="E1619" s="4">
        <v>1.5972096092156501E-13</v>
      </c>
      <c r="F1619" s="10">
        <v>1.54822278300849</v>
      </c>
      <c r="G1619" s="4">
        <v>1.5988959521222199E-8</v>
      </c>
    </row>
    <row r="1620" spans="1:7" x14ac:dyDescent="0.2">
      <c r="A1620" s="10" t="s">
        <v>3787</v>
      </c>
      <c r="B1620" s="10" t="s">
        <v>3788</v>
      </c>
      <c r="C1620" s="10" t="s">
        <v>18</v>
      </c>
      <c r="D1620" s="10">
        <v>-2.4584497830278198</v>
      </c>
      <c r="E1620" s="4">
        <v>4.5590096589250704E-37</v>
      </c>
      <c r="F1620" s="10">
        <v>-1.8894042081053299</v>
      </c>
      <c r="G1620" s="4">
        <v>4.5227387625862297E-14</v>
      </c>
    </row>
    <row r="1621" spans="1:7" x14ac:dyDescent="0.2">
      <c r="A1621" s="10" t="s">
        <v>5580</v>
      </c>
      <c r="B1621" s="10" t="s">
        <v>5581</v>
      </c>
      <c r="C1621" s="10" t="s">
        <v>18</v>
      </c>
      <c r="D1621" s="10">
        <v>-2.3856724607798498</v>
      </c>
      <c r="E1621" s="4">
        <v>1.85902222637834E-15</v>
      </c>
      <c r="F1621" s="10">
        <v>-1.32982205687597</v>
      </c>
      <c r="G1621" s="10">
        <v>3.9910913317830701E-4</v>
      </c>
    </row>
    <row r="1622" spans="1:7" x14ac:dyDescent="0.2">
      <c r="A1622" s="10" t="s">
        <v>1383</v>
      </c>
      <c r="B1622" s="10" t="s">
        <v>1384</v>
      </c>
      <c r="C1622" s="10" t="s">
        <v>18</v>
      </c>
      <c r="D1622" s="10">
        <v>3.1008573601169598</v>
      </c>
      <c r="E1622" s="4">
        <v>1.6706537692312499E-58</v>
      </c>
      <c r="F1622" s="10">
        <v>3.3007771155407002</v>
      </c>
      <c r="G1622" s="4">
        <v>4.0685771107507298E-39</v>
      </c>
    </row>
    <row r="1623" spans="1:7" x14ac:dyDescent="0.2">
      <c r="A1623" s="10" t="s">
        <v>4964</v>
      </c>
      <c r="B1623" s="10" t="s">
        <v>4965</v>
      </c>
      <c r="C1623" s="10" t="s">
        <v>18</v>
      </c>
      <c r="D1623" s="10">
        <v>-2.0375195416045102</v>
      </c>
      <c r="E1623" s="4">
        <v>4.6054050149621801E-20</v>
      </c>
      <c r="F1623" s="10">
        <v>-1.0793555482994199</v>
      </c>
      <c r="G1623" s="10">
        <v>5.5702117409345698E-4</v>
      </c>
    </row>
    <row r="1624" spans="1:7" x14ac:dyDescent="0.2">
      <c r="A1624" s="10" t="s">
        <v>7872</v>
      </c>
      <c r="B1624" s="10" t="s">
        <v>7873</v>
      </c>
      <c r="C1624" s="10" t="s">
        <v>18</v>
      </c>
      <c r="D1624" s="10">
        <v>-1.4537006980992599</v>
      </c>
      <c r="E1624" s="4">
        <v>1.0501815513559401E-5</v>
      </c>
      <c r="F1624" s="10">
        <v>-1.63951719839705</v>
      </c>
      <c r="G1624" s="4">
        <v>1.1329206280187199E-5</v>
      </c>
    </row>
    <row r="1625" spans="1:7" x14ac:dyDescent="0.2">
      <c r="A1625" s="10" t="s">
        <v>433</v>
      </c>
      <c r="B1625" s="10" t="s">
        <v>434</v>
      </c>
      <c r="C1625" s="10" t="s">
        <v>18</v>
      </c>
      <c r="D1625" s="10">
        <v>2.3469763363805298</v>
      </c>
      <c r="E1625" s="4">
        <v>6.1552778381682897E-27</v>
      </c>
      <c r="F1625" s="10">
        <v>2.9791737754175198</v>
      </c>
      <c r="G1625" s="4">
        <v>2.0062411186731001E-30</v>
      </c>
    </row>
    <row r="1626" spans="1:7" x14ac:dyDescent="0.2">
      <c r="A1626" s="10" t="s">
        <v>4019</v>
      </c>
      <c r="B1626" s="10" t="s">
        <v>4020</v>
      </c>
      <c r="C1626" s="10" t="s">
        <v>18</v>
      </c>
      <c r="D1626" s="10">
        <v>8.1353321483894891</v>
      </c>
      <c r="E1626" s="4">
        <v>2.4221769365769801E-7</v>
      </c>
      <c r="F1626" s="10">
        <v>2.7006074887768601</v>
      </c>
      <c r="G1626" s="4">
        <v>3.5563063400523802E-5</v>
      </c>
    </row>
    <row r="1627" spans="1:7" x14ac:dyDescent="0.2">
      <c r="A1627" s="10" t="s">
        <v>5490</v>
      </c>
      <c r="B1627" s="10" t="s">
        <v>5491</v>
      </c>
      <c r="C1627" s="10" t="s">
        <v>18</v>
      </c>
      <c r="D1627" s="10">
        <v>2.5190450803796098</v>
      </c>
      <c r="E1627" s="4">
        <v>1.8977485910454501E-35</v>
      </c>
      <c r="F1627" s="10">
        <v>3.0788900857854902</v>
      </c>
      <c r="G1627" s="4">
        <v>2.9359535151975699E-29</v>
      </c>
    </row>
    <row r="1628" spans="1:7" x14ac:dyDescent="0.2">
      <c r="A1628" s="10" t="s">
        <v>8378</v>
      </c>
      <c r="B1628" s="10" t="s">
        <v>8379</v>
      </c>
      <c r="C1628" s="10" t="s">
        <v>18</v>
      </c>
      <c r="D1628" s="10">
        <v>1.4275270481294</v>
      </c>
      <c r="E1628" s="4">
        <v>5.6665259724281799E-13</v>
      </c>
      <c r="F1628" s="10">
        <v>2.4275676044251302</v>
      </c>
      <c r="G1628" s="4">
        <v>2.9454134833579E-16</v>
      </c>
    </row>
    <row r="1629" spans="1:7" x14ac:dyDescent="0.2">
      <c r="A1629" s="10" t="s">
        <v>7010</v>
      </c>
      <c r="B1629" s="10" t="s">
        <v>7011</v>
      </c>
      <c r="C1629" s="10" t="s">
        <v>18</v>
      </c>
      <c r="D1629" s="10">
        <v>5.6490095423120197</v>
      </c>
      <c r="E1629" s="4">
        <v>9.9508733580797104E-38</v>
      </c>
      <c r="F1629" s="10">
        <v>7.6625268369523898</v>
      </c>
      <c r="G1629" s="4">
        <v>2.6023606882410401E-6</v>
      </c>
    </row>
    <row r="1630" spans="1:7" x14ac:dyDescent="0.2">
      <c r="A1630" s="10" t="s">
        <v>7104</v>
      </c>
      <c r="B1630" s="10" t="s">
        <v>7105</v>
      </c>
      <c r="C1630" s="10" t="s">
        <v>18</v>
      </c>
      <c r="D1630" s="10">
        <v>4.1095763287129001</v>
      </c>
      <c r="E1630" s="4">
        <v>1.89057641218138E-7</v>
      </c>
      <c r="F1630" s="10">
        <v>4.3756589193866402</v>
      </c>
      <c r="G1630" s="4">
        <v>3.3862588401668501E-8</v>
      </c>
    </row>
    <row r="1631" spans="1:7" x14ac:dyDescent="0.2">
      <c r="A1631" s="10" t="s">
        <v>6702</v>
      </c>
      <c r="B1631" s="10" t="s">
        <v>6703</v>
      </c>
      <c r="C1631" s="10" t="s">
        <v>18</v>
      </c>
      <c r="D1631" s="10">
        <v>-3.3536246990151999</v>
      </c>
      <c r="E1631" s="4">
        <v>1.04012987462908E-8</v>
      </c>
      <c r="F1631" s="10">
        <v>-2.1574437271041198</v>
      </c>
      <c r="G1631" s="10">
        <v>3.5470617949049702E-3</v>
      </c>
    </row>
    <row r="1632" spans="1:7" x14ac:dyDescent="0.2">
      <c r="A1632" s="10" t="s">
        <v>7976</v>
      </c>
      <c r="B1632" s="10" t="s">
        <v>7977</v>
      </c>
      <c r="C1632" s="10" t="s">
        <v>18</v>
      </c>
      <c r="D1632" s="10">
        <v>7.38359779442193</v>
      </c>
      <c r="E1632" s="4">
        <v>8.0305398285019099E-6</v>
      </c>
      <c r="F1632" s="10">
        <v>3.0379142143328601</v>
      </c>
      <c r="G1632" s="10">
        <v>4.4240403918828399E-4</v>
      </c>
    </row>
    <row r="1633" spans="1:7" x14ac:dyDescent="0.2">
      <c r="A1633" s="10" t="s">
        <v>1637</v>
      </c>
      <c r="B1633" s="10" t="s">
        <v>1638</v>
      </c>
      <c r="C1633" s="10" t="s">
        <v>18</v>
      </c>
      <c r="D1633" s="10">
        <v>5.1998419316881197</v>
      </c>
      <c r="E1633" s="4">
        <v>2.9883366392363601E-5</v>
      </c>
      <c r="F1633" s="10">
        <v>3.12504762756069</v>
      </c>
      <c r="G1633" s="4">
        <v>9.5519465507581299E-5</v>
      </c>
    </row>
    <row r="1634" spans="1:7" x14ac:dyDescent="0.2">
      <c r="A1634" s="10" t="s">
        <v>2473</v>
      </c>
      <c r="B1634" s="10" t="s">
        <v>2474</v>
      </c>
      <c r="C1634" s="10" t="s">
        <v>18</v>
      </c>
      <c r="D1634" s="10">
        <v>-3.8124562849845298</v>
      </c>
      <c r="E1634" s="10">
        <v>5.7534572806431099E-4</v>
      </c>
      <c r="F1634" s="10">
        <v>-4.1287503790436304</v>
      </c>
      <c r="G1634" s="4">
        <v>5.9703521751350302E-5</v>
      </c>
    </row>
    <row r="1635" spans="1:7" x14ac:dyDescent="0.2">
      <c r="A1635" s="10" t="s">
        <v>7146</v>
      </c>
      <c r="B1635" s="10" t="s">
        <v>7147</v>
      </c>
      <c r="C1635" s="10" t="s">
        <v>18</v>
      </c>
      <c r="D1635" s="10">
        <v>-1.2635760398765701</v>
      </c>
      <c r="E1635" s="10">
        <v>2.5272261119435799E-3</v>
      </c>
      <c r="F1635" s="10">
        <v>-3.3330589551488301</v>
      </c>
      <c r="G1635" s="4">
        <v>7.6277145923657494E-24</v>
      </c>
    </row>
    <row r="1636" spans="1:7" x14ac:dyDescent="0.2">
      <c r="A1636" s="10" t="s">
        <v>2377</v>
      </c>
      <c r="B1636" s="10" t="s">
        <v>2378</v>
      </c>
      <c r="C1636" s="10" t="s">
        <v>18</v>
      </c>
      <c r="D1636" s="10">
        <v>-3.8723648928803498</v>
      </c>
      <c r="E1636" s="4">
        <v>1.4330634317570199E-61</v>
      </c>
      <c r="F1636" s="10">
        <v>-2.4805004507449002</v>
      </c>
      <c r="G1636" s="4">
        <v>1.38032245102463E-20</v>
      </c>
    </row>
    <row r="1637" spans="1:7" x14ac:dyDescent="0.2">
      <c r="A1637" s="10" t="s">
        <v>6002</v>
      </c>
      <c r="B1637" s="10" t="s">
        <v>6003</v>
      </c>
      <c r="C1637" s="10" t="s">
        <v>18</v>
      </c>
      <c r="D1637" s="10">
        <v>6.02134330522538</v>
      </c>
      <c r="E1637" s="4">
        <v>2.5659276811228298E-7</v>
      </c>
      <c r="F1637" s="10">
        <v>1.63738391657265</v>
      </c>
      <c r="G1637" s="10">
        <v>2.1226913214792199E-3</v>
      </c>
    </row>
    <row r="1638" spans="1:7" x14ac:dyDescent="0.2">
      <c r="A1638" s="10" t="s">
        <v>2467</v>
      </c>
      <c r="B1638" s="10" t="s">
        <v>2468</v>
      </c>
      <c r="C1638" s="10" t="s">
        <v>18</v>
      </c>
      <c r="D1638" s="10">
        <v>3.7444240460815998</v>
      </c>
      <c r="E1638" s="10">
        <v>5.9551041408438001E-4</v>
      </c>
      <c r="F1638" s="10">
        <v>2.5203852358429799</v>
      </c>
      <c r="G1638" s="10">
        <v>3.3179130270031298E-3</v>
      </c>
    </row>
    <row r="1639" spans="1:7" x14ac:dyDescent="0.2">
      <c r="A1639" s="10" t="s">
        <v>6572</v>
      </c>
      <c r="B1639" s="10" t="s">
        <v>6573</v>
      </c>
      <c r="C1639" s="10" t="s">
        <v>18</v>
      </c>
      <c r="D1639" s="10">
        <v>-1.7740719592646499</v>
      </c>
      <c r="E1639" s="4">
        <v>9.6728195628523192E-15</v>
      </c>
      <c r="F1639" s="10">
        <v>1.83943871917066</v>
      </c>
      <c r="G1639" s="4">
        <v>8.7669143760122597E-7</v>
      </c>
    </row>
    <row r="1640" spans="1:7" x14ac:dyDescent="0.2">
      <c r="A1640" s="10" t="s">
        <v>2321</v>
      </c>
      <c r="B1640" s="10" t="s">
        <v>2322</v>
      </c>
      <c r="C1640" s="10" t="s">
        <v>18</v>
      </c>
      <c r="D1640" s="10">
        <v>-1.66836508122994</v>
      </c>
      <c r="E1640" s="4">
        <v>1.31089490065895E-16</v>
      </c>
      <c r="F1640" s="10">
        <v>-1.0972701759496499</v>
      </c>
      <c r="G1640" s="4">
        <v>5.5221296657148498E-5</v>
      </c>
    </row>
    <row r="1641" spans="1:7" x14ac:dyDescent="0.2">
      <c r="A1641" s="10" t="s">
        <v>5120</v>
      </c>
      <c r="B1641" s="10" t="s">
        <v>5121</v>
      </c>
      <c r="C1641" s="10" t="s">
        <v>18</v>
      </c>
      <c r="D1641" s="10">
        <v>-2.4199552449322899</v>
      </c>
      <c r="E1641" s="4">
        <v>2.0598150048018301E-21</v>
      </c>
      <c r="F1641" s="10">
        <v>-1.1261447033888701</v>
      </c>
      <c r="G1641" s="10">
        <v>1.2979550869410201E-3</v>
      </c>
    </row>
    <row r="1642" spans="1:7" x14ac:dyDescent="0.2">
      <c r="A1642" s="10" t="s">
        <v>2599</v>
      </c>
      <c r="B1642" s="10" t="s">
        <v>2600</v>
      </c>
      <c r="C1642" s="10" t="s">
        <v>18</v>
      </c>
      <c r="D1642" s="10">
        <v>-2.4461143152936402</v>
      </c>
      <c r="E1642" s="10">
        <v>3.8095430298177099E-4</v>
      </c>
      <c r="F1642" s="10">
        <v>-2.4769178563811098</v>
      </c>
      <c r="G1642" s="10">
        <v>2.8440522317609203E-4</v>
      </c>
    </row>
    <row r="1643" spans="1:7" x14ac:dyDescent="0.2">
      <c r="A1643" s="10" t="s">
        <v>6394</v>
      </c>
      <c r="B1643" s="10" t="s">
        <v>6395</v>
      </c>
      <c r="C1643" s="10" t="s">
        <v>18</v>
      </c>
      <c r="D1643" s="10">
        <v>1.18145275038811</v>
      </c>
      <c r="E1643" s="4">
        <v>1.28049929538357E-11</v>
      </c>
      <c r="F1643" s="10">
        <v>1.86564204538088</v>
      </c>
      <c r="G1643" s="4">
        <v>1.96710692336661E-14</v>
      </c>
    </row>
    <row r="1644" spans="1:7" x14ac:dyDescent="0.2">
      <c r="A1644" s="10" t="s">
        <v>3743</v>
      </c>
      <c r="B1644" s="10" t="s">
        <v>3744</v>
      </c>
      <c r="C1644" s="10" t="s">
        <v>18</v>
      </c>
      <c r="D1644" s="10">
        <v>2.1723687198983699</v>
      </c>
      <c r="E1644" s="4">
        <v>9.6879018503116405E-7</v>
      </c>
      <c r="F1644" s="10">
        <v>2.3027105309585298</v>
      </c>
      <c r="G1644" s="4">
        <v>1.31391271132608E-6</v>
      </c>
    </row>
    <row r="1645" spans="1:7" x14ac:dyDescent="0.2">
      <c r="A1645" s="10" t="s">
        <v>5094</v>
      </c>
      <c r="B1645" s="10" t="s">
        <v>5095</v>
      </c>
      <c r="C1645" s="10" t="s">
        <v>18</v>
      </c>
      <c r="D1645" s="10">
        <v>4.6785843548412798</v>
      </c>
      <c r="E1645" s="4">
        <v>2.5619428152142E-77</v>
      </c>
      <c r="F1645" s="10">
        <v>4.63379561062193</v>
      </c>
      <c r="G1645" s="4">
        <v>2.5413408760424499E-59</v>
      </c>
    </row>
    <row r="1646" spans="1:7" x14ac:dyDescent="0.2">
      <c r="A1646" s="10" t="s">
        <v>3673</v>
      </c>
      <c r="B1646" s="10" t="s">
        <v>3674</v>
      </c>
      <c r="C1646" s="10" t="s">
        <v>18</v>
      </c>
      <c r="D1646" s="10">
        <v>-2.17152151831674</v>
      </c>
      <c r="E1646" s="4">
        <v>9.0809454072963302E-22</v>
      </c>
      <c r="F1646" s="10">
        <v>-1.2850445040694101</v>
      </c>
      <c r="G1646" s="4">
        <v>3.6227868065034497E-5</v>
      </c>
    </row>
    <row r="1647" spans="1:7" x14ac:dyDescent="0.2">
      <c r="A1647" s="10" t="s">
        <v>6114</v>
      </c>
      <c r="B1647" s="10" t="s">
        <v>6115</v>
      </c>
      <c r="C1647" s="10" t="s">
        <v>18</v>
      </c>
      <c r="D1647" s="10">
        <v>-3.30031223297703</v>
      </c>
      <c r="E1647" s="4">
        <v>5.0681154687994997E-46</v>
      </c>
      <c r="F1647" s="10">
        <v>-1.5906815041840501</v>
      </c>
      <c r="G1647" s="4">
        <v>7.8036398972057696E-7</v>
      </c>
    </row>
    <row r="1648" spans="1:7" x14ac:dyDescent="0.2">
      <c r="A1648" s="10" t="s">
        <v>8736</v>
      </c>
      <c r="B1648" s="10" t="s">
        <v>8737</v>
      </c>
      <c r="C1648" s="10" t="s">
        <v>18</v>
      </c>
      <c r="D1648" s="10">
        <v>1.1304035274437301</v>
      </c>
      <c r="E1648" s="4">
        <v>6.9874847290247694E-8</v>
      </c>
      <c r="F1648" s="10">
        <v>1.4287881781519201</v>
      </c>
      <c r="G1648" s="4">
        <v>6.7804376734050095E-7</v>
      </c>
    </row>
    <row r="1649" spans="1:7" x14ac:dyDescent="0.2">
      <c r="A1649" s="10" t="s">
        <v>6956</v>
      </c>
      <c r="B1649" s="10" t="s">
        <v>6957</v>
      </c>
      <c r="C1649" s="10" t="s">
        <v>18</v>
      </c>
      <c r="D1649" s="10">
        <v>4.6724946556025602</v>
      </c>
      <c r="E1649" s="4">
        <v>2.20345386284669E-23</v>
      </c>
      <c r="F1649" s="10">
        <v>5.9432510531214904</v>
      </c>
      <c r="G1649" s="4">
        <v>1.3878628654042899E-23</v>
      </c>
    </row>
    <row r="1650" spans="1:7" x14ac:dyDescent="0.2">
      <c r="A1650" s="10" t="s">
        <v>1599</v>
      </c>
      <c r="B1650" s="10" t="s">
        <v>1600</v>
      </c>
      <c r="C1650" s="10" t="s">
        <v>18</v>
      </c>
      <c r="D1650" s="10">
        <v>2.7319216798820798</v>
      </c>
      <c r="E1650" s="4">
        <v>6.2176820601498895E-11</v>
      </c>
      <c r="F1650" s="10">
        <v>2.7365844025260699</v>
      </c>
      <c r="G1650" s="4">
        <v>1.1356303808001299E-9</v>
      </c>
    </row>
    <row r="1651" spans="1:7" x14ac:dyDescent="0.2">
      <c r="A1651" s="10" t="s">
        <v>6640</v>
      </c>
      <c r="B1651" s="10" t="s">
        <v>6641</v>
      </c>
      <c r="C1651" s="10" t="s">
        <v>18</v>
      </c>
      <c r="D1651" s="10">
        <v>1.5050151110541199</v>
      </c>
      <c r="E1651" s="4">
        <v>2.86847126193912E-12</v>
      </c>
      <c r="F1651" s="10">
        <v>1.85249190952456</v>
      </c>
      <c r="G1651" s="4">
        <v>1.7931005317761499E-9</v>
      </c>
    </row>
    <row r="1652" spans="1:7" x14ac:dyDescent="0.2">
      <c r="A1652" s="10" t="s">
        <v>6518</v>
      </c>
      <c r="B1652" s="10" t="s">
        <v>6519</v>
      </c>
      <c r="C1652" s="10" t="s">
        <v>18</v>
      </c>
      <c r="D1652" s="10">
        <v>-1.8334541411383001</v>
      </c>
      <c r="E1652" s="4">
        <v>8.04653503576037E-14</v>
      </c>
      <c r="F1652" s="10">
        <v>-1.54770713327571</v>
      </c>
      <c r="G1652" s="4">
        <v>6.8501719946287196E-8</v>
      </c>
    </row>
    <row r="1653" spans="1:7" x14ac:dyDescent="0.2">
      <c r="A1653" s="10" t="s">
        <v>251</v>
      </c>
      <c r="B1653" s="10" t="s">
        <v>252</v>
      </c>
      <c r="C1653" s="10" t="s">
        <v>18</v>
      </c>
      <c r="D1653" s="10">
        <v>-1.2044193652061601</v>
      </c>
      <c r="E1653" s="4">
        <v>6.6437834271085996E-10</v>
      </c>
      <c r="F1653" s="10">
        <v>-1.2585681051962501</v>
      </c>
      <c r="G1653" s="4">
        <v>4.7687395560812096E-7</v>
      </c>
    </row>
    <row r="1654" spans="1:7" x14ac:dyDescent="0.2">
      <c r="A1654" s="10" t="s">
        <v>8450</v>
      </c>
      <c r="B1654" s="10" t="s">
        <v>8451</v>
      </c>
      <c r="C1654" s="10" t="s">
        <v>18</v>
      </c>
      <c r="D1654" s="10">
        <v>-1.17725958736415</v>
      </c>
      <c r="E1654" s="4">
        <v>3.6201377855376499E-5</v>
      </c>
      <c r="F1654" s="10">
        <v>-1.41910633139838</v>
      </c>
      <c r="G1654" s="4">
        <v>2.7260083011484198E-5</v>
      </c>
    </row>
    <row r="1655" spans="1:7" x14ac:dyDescent="0.2">
      <c r="A1655" s="10" t="s">
        <v>2629</v>
      </c>
      <c r="B1655" s="10" t="s">
        <v>2630</v>
      </c>
      <c r="C1655" s="10" t="s">
        <v>18</v>
      </c>
      <c r="D1655" s="10">
        <v>1.20301031246533</v>
      </c>
      <c r="E1655" s="4">
        <v>2.4376154977105699E-9</v>
      </c>
      <c r="F1655" s="10">
        <v>1.1554568522753601</v>
      </c>
      <c r="G1655" s="4">
        <v>2.4794453076295899E-5</v>
      </c>
    </row>
    <row r="1656" spans="1:7" x14ac:dyDescent="0.2">
      <c r="A1656" s="10" t="s">
        <v>6646</v>
      </c>
      <c r="B1656" s="10" t="s">
        <v>6647</v>
      </c>
      <c r="C1656" s="10" t="s">
        <v>18</v>
      </c>
      <c r="D1656" s="10">
        <v>1.21900521800166</v>
      </c>
      <c r="E1656" s="4">
        <v>1.7393219887085901E-10</v>
      </c>
      <c r="F1656" s="10">
        <v>1.5651644942743199</v>
      </c>
      <c r="G1656" s="4">
        <v>5.4268591662853501E-9</v>
      </c>
    </row>
    <row r="1657" spans="1:7" x14ac:dyDescent="0.2">
      <c r="A1657" s="10" t="s">
        <v>5058</v>
      </c>
      <c r="B1657" s="10" t="s">
        <v>5059</v>
      </c>
      <c r="C1657" s="10" t="s">
        <v>18</v>
      </c>
      <c r="D1657" s="10">
        <v>5.1985864644893001</v>
      </c>
      <c r="E1657" s="4">
        <v>2.0697349365635199E-29</v>
      </c>
      <c r="F1657" s="10">
        <v>5.07922994156222</v>
      </c>
      <c r="G1657" s="4">
        <v>3.2364183706792802E-7</v>
      </c>
    </row>
    <row r="1658" spans="1:7" x14ac:dyDescent="0.2">
      <c r="A1658" s="10" t="s">
        <v>5540</v>
      </c>
      <c r="B1658" s="10" t="s">
        <v>5541</v>
      </c>
      <c r="C1658" s="10" t="s">
        <v>18</v>
      </c>
      <c r="D1658" s="10">
        <v>-3.1253623872813501</v>
      </c>
      <c r="E1658" s="4">
        <v>5.3869667248435804E-35</v>
      </c>
      <c r="F1658" s="10">
        <v>-3.3638790273869699</v>
      </c>
      <c r="G1658" s="4">
        <v>2.2847361559751701E-29</v>
      </c>
    </row>
    <row r="1659" spans="1:7" x14ac:dyDescent="0.2">
      <c r="A1659" s="10" t="s">
        <v>5690</v>
      </c>
      <c r="B1659" s="10" t="s">
        <v>5691</v>
      </c>
      <c r="C1659" s="10" t="s">
        <v>18</v>
      </c>
      <c r="D1659" s="10">
        <v>-1.2769393241907301</v>
      </c>
      <c r="E1659" s="10">
        <v>5.1212092942468904E-4</v>
      </c>
      <c r="F1659" s="10">
        <v>-3.2132923353874898</v>
      </c>
      <c r="G1659" s="4">
        <v>4.7155931553736403E-25</v>
      </c>
    </row>
    <row r="1660" spans="1:7" x14ac:dyDescent="0.2">
      <c r="A1660" s="10" t="s">
        <v>3791</v>
      </c>
      <c r="B1660" s="10" t="s">
        <v>3792</v>
      </c>
      <c r="C1660" s="10" t="s">
        <v>18</v>
      </c>
      <c r="D1660" s="10">
        <v>-1.7074353944015199</v>
      </c>
      <c r="E1660" s="4">
        <v>2.6323602124622798E-15</v>
      </c>
      <c r="F1660" s="10">
        <v>-1.12314968684246</v>
      </c>
      <c r="G1660" s="10">
        <v>1.5830322067871E-4</v>
      </c>
    </row>
    <row r="1661" spans="1:7" x14ac:dyDescent="0.2">
      <c r="A1661" s="10" t="s">
        <v>2169</v>
      </c>
      <c r="B1661" s="10" t="s">
        <v>2170</v>
      </c>
      <c r="C1661" s="10" t="s">
        <v>18</v>
      </c>
      <c r="D1661" s="10">
        <v>8.5955867915165491</v>
      </c>
      <c r="E1661" s="4">
        <v>4.9947371933666396E-72</v>
      </c>
      <c r="F1661" s="10">
        <v>8.5017085968911097</v>
      </c>
      <c r="G1661" s="4">
        <v>4.6737388000500996E-75</v>
      </c>
    </row>
    <row r="1662" spans="1:7" x14ac:dyDescent="0.2">
      <c r="A1662" s="10" t="s">
        <v>807</v>
      </c>
      <c r="B1662" s="10" t="s">
        <v>808</v>
      </c>
      <c r="C1662" s="10" t="s">
        <v>18</v>
      </c>
      <c r="D1662" s="10">
        <v>-2.06171292424234</v>
      </c>
      <c r="E1662" s="4">
        <v>1.1515392804859799E-20</v>
      </c>
      <c r="F1662" s="10">
        <v>-1.35422583328462</v>
      </c>
      <c r="G1662" s="4">
        <v>3.2882472497689E-5</v>
      </c>
    </row>
    <row r="1663" spans="1:7" x14ac:dyDescent="0.2">
      <c r="A1663" s="10" t="s">
        <v>3765</v>
      </c>
      <c r="B1663" s="10" t="s">
        <v>3766</v>
      </c>
      <c r="C1663" s="10" t="s">
        <v>18</v>
      </c>
      <c r="D1663" s="10">
        <v>4.8536419140168103</v>
      </c>
      <c r="E1663" s="4">
        <v>9.7462377472426206E-17</v>
      </c>
      <c r="F1663" s="10">
        <v>3.40924888223081</v>
      </c>
      <c r="G1663" s="4">
        <v>2.20842167459679E-12</v>
      </c>
    </row>
    <row r="1664" spans="1:7" x14ac:dyDescent="0.2">
      <c r="A1664" s="10" t="s">
        <v>7288</v>
      </c>
      <c r="B1664" s="10" t="s">
        <v>7289</v>
      </c>
      <c r="C1664" s="10" t="s">
        <v>18</v>
      </c>
      <c r="D1664" s="10">
        <v>4.4293886913351201</v>
      </c>
      <c r="E1664" s="4">
        <v>3.9323437204570902E-17</v>
      </c>
      <c r="F1664" s="10">
        <v>3.1071657950320799</v>
      </c>
      <c r="G1664" s="4">
        <v>3.3947589280971202E-13</v>
      </c>
    </row>
    <row r="1665" spans="1:7" x14ac:dyDescent="0.2">
      <c r="A1665" s="10" t="s">
        <v>4356</v>
      </c>
      <c r="B1665" s="10" t="s">
        <v>4357</v>
      </c>
      <c r="C1665" s="10" t="s">
        <v>18</v>
      </c>
      <c r="D1665" s="10">
        <v>2.5664192509211801</v>
      </c>
      <c r="E1665" s="4">
        <v>1.3166528682408701E-5</v>
      </c>
      <c r="F1665" s="10">
        <v>1.5374612768337499</v>
      </c>
      <c r="G1665" s="10">
        <v>3.1620447957320099E-3</v>
      </c>
    </row>
    <row r="1666" spans="1:7" x14ac:dyDescent="0.2">
      <c r="A1666" s="10" t="s">
        <v>2213</v>
      </c>
      <c r="B1666" s="10" t="s">
        <v>2214</v>
      </c>
      <c r="C1666" s="10" t="s">
        <v>18</v>
      </c>
      <c r="D1666" s="10">
        <v>2.2863448602741099</v>
      </c>
      <c r="E1666" s="4">
        <v>2.1465398349458001E-33</v>
      </c>
      <c r="F1666" s="10">
        <v>6.9889151671922498</v>
      </c>
      <c r="G1666" s="4">
        <v>1.28392666301077E-95</v>
      </c>
    </row>
    <row r="1667" spans="1:7" x14ac:dyDescent="0.2">
      <c r="A1667" s="10" t="s">
        <v>143</v>
      </c>
      <c r="B1667" s="10" t="s">
        <v>144</v>
      </c>
      <c r="C1667" s="10" t="s">
        <v>18</v>
      </c>
      <c r="D1667" s="10">
        <v>1.5940896622419001</v>
      </c>
      <c r="E1667" s="4">
        <v>8.0924515966059794E-5</v>
      </c>
      <c r="F1667" s="10">
        <v>-1.0902196844138801</v>
      </c>
      <c r="G1667" s="10">
        <v>3.03474278424829E-3</v>
      </c>
    </row>
    <row r="1668" spans="1:7" x14ac:dyDescent="0.2">
      <c r="A1668" s="10" t="s">
        <v>6968</v>
      </c>
      <c r="B1668" s="10" t="s">
        <v>6969</v>
      </c>
      <c r="C1668" s="10" t="s">
        <v>18</v>
      </c>
      <c r="D1668" s="10">
        <v>-1.0833100015999</v>
      </c>
      <c r="E1668" s="4">
        <v>8.9026419676473503E-5</v>
      </c>
      <c r="F1668" s="10">
        <v>-1.23027145478417</v>
      </c>
      <c r="G1668" s="10">
        <v>1.9090529370196501E-4</v>
      </c>
    </row>
    <row r="1669" spans="1:7" x14ac:dyDescent="0.2">
      <c r="A1669" s="10" t="s">
        <v>4073</v>
      </c>
      <c r="B1669" s="10" t="s">
        <v>4074</v>
      </c>
      <c r="C1669" s="10" t="s">
        <v>18</v>
      </c>
      <c r="D1669" s="10">
        <v>2.08225464414007</v>
      </c>
      <c r="E1669" s="4">
        <v>4.4530680268624899E-11</v>
      </c>
      <c r="F1669" s="10">
        <v>1.28763155377427</v>
      </c>
      <c r="G1669" s="4">
        <v>5.5979855031387402E-5</v>
      </c>
    </row>
    <row r="1670" spans="1:7" x14ac:dyDescent="0.2">
      <c r="A1670" s="10" t="s">
        <v>6152</v>
      </c>
      <c r="B1670" s="10" t="s">
        <v>6153</v>
      </c>
      <c r="C1670" s="10" t="s">
        <v>18</v>
      </c>
      <c r="D1670" s="10">
        <v>2.9214788485379799</v>
      </c>
      <c r="E1670" s="4">
        <v>2.4917411926205402E-34</v>
      </c>
      <c r="F1670" s="10">
        <v>2.4989428546944499</v>
      </c>
      <c r="G1670" s="4">
        <v>6.7651148544202699E-19</v>
      </c>
    </row>
    <row r="1671" spans="1:7" x14ac:dyDescent="0.2">
      <c r="A1671" s="10" t="s">
        <v>7882</v>
      </c>
      <c r="B1671" s="10" t="s">
        <v>7883</v>
      </c>
      <c r="C1671" s="10" t="s">
        <v>18</v>
      </c>
      <c r="D1671" s="10">
        <v>-1.2599054110936001</v>
      </c>
      <c r="E1671" s="4">
        <v>8.2532861759457398E-9</v>
      </c>
      <c r="F1671" s="10">
        <v>-1.5036229407274799</v>
      </c>
      <c r="G1671" s="4">
        <v>6.88969374393387E-8</v>
      </c>
    </row>
    <row r="1672" spans="1:7" x14ac:dyDescent="0.2">
      <c r="A1672" s="10" t="s">
        <v>7112</v>
      </c>
      <c r="B1672" s="10" t="s">
        <v>7113</v>
      </c>
      <c r="C1672" s="10" t="s">
        <v>18</v>
      </c>
      <c r="D1672" s="10">
        <v>1.3211936546313201</v>
      </c>
      <c r="E1672" s="4">
        <v>2.6307197232324901E-12</v>
      </c>
      <c r="F1672" s="10">
        <v>1.33017524026915</v>
      </c>
      <c r="G1672" s="4">
        <v>5.0938590612865301E-8</v>
      </c>
    </row>
    <row r="1673" spans="1:7" x14ac:dyDescent="0.2">
      <c r="A1673" s="10" t="s">
        <v>1505</v>
      </c>
      <c r="B1673" s="10" t="s">
        <v>1506</v>
      </c>
      <c r="C1673" s="10" t="s">
        <v>18</v>
      </c>
      <c r="D1673" s="10">
        <v>4.2644190028065303</v>
      </c>
      <c r="E1673" s="4">
        <v>2.2930273610334502E-15</v>
      </c>
      <c r="F1673" s="10">
        <v>3.5248188402818998</v>
      </c>
      <c r="G1673" s="4">
        <v>1.3239391120882899E-13</v>
      </c>
    </row>
    <row r="1674" spans="1:7" x14ac:dyDescent="0.2">
      <c r="A1674" s="10" t="s">
        <v>6266</v>
      </c>
      <c r="B1674" s="10" t="s">
        <v>6267</v>
      </c>
      <c r="C1674" s="10" t="s">
        <v>18</v>
      </c>
      <c r="D1674" s="10">
        <v>1.99944505748559</v>
      </c>
      <c r="E1674" s="4">
        <v>1.6873633063785001E-11</v>
      </c>
      <c r="F1674" s="10">
        <v>1.02025297212418</v>
      </c>
      <c r="G1674" s="10">
        <v>4.3461074036759998E-3</v>
      </c>
    </row>
    <row r="1675" spans="1:7" x14ac:dyDescent="0.2">
      <c r="A1675" s="10" t="s">
        <v>6996</v>
      </c>
      <c r="B1675" s="10" t="s">
        <v>6997</v>
      </c>
      <c r="C1675" s="10" t="s">
        <v>18</v>
      </c>
      <c r="D1675" s="10">
        <v>5.2144653185269796</v>
      </c>
      <c r="E1675" s="4">
        <v>4.5286247618235004E-9</v>
      </c>
      <c r="F1675" s="10">
        <v>4.2786387193286401</v>
      </c>
      <c r="G1675" s="4">
        <v>1.4173859857200901E-9</v>
      </c>
    </row>
    <row r="1676" spans="1:7" x14ac:dyDescent="0.2">
      <c r="A1676" s="10" t="s">
        <v>2135</v>
      </c>
      <c r="B1676" s="10" t="s">
        <v>2136</v>
      </c>
      <c r="C1676" s="10" t="s">
        <v>18</v>
      </c>
      <c r="D1676" s="10">
        <v>-1.9732382424935799</v>
      </c>
      <c r="E1676" s="4">
        <v>1.8647823527905898E-15</v>
      </c>
      <c r="F1676" s="10">
        <v>-1.5847300321050299</v>
      </c>
      <c r="G1676" s="4">
        <v>6.6554759778048601E-7</v>
      </c>
    </row>
    <row r="1677" spans="1:7" x14ac:dyDescent="0.2">
      <c r="A1677" s="10" t="s">
        <v>4790</v>
      </c>
      <c r="B1677" s="10" t="s">
        <v>4791</v>
      </c>
      <c r="C1677" s="10" t="s">
        <v>18</v>
      </c>
      <c r="D1677" s="10">
        <v>5.5459305496487703</v>
      </c>
      <c r="E1677" s="10">
        <v>1.05759518186756E-3</v>
      </c>
      <c r="F1677" s="10">
        <v>3.2476470911503799</v>
      </c>
      <c r="G1677" s="10">
        <v>1.5977539827110501E-3</v>
      </c>
    </row>
    <row r="1678" spans="1:7" x14ac:dyDescent="0.2">
      <c r="A1678" s="10" t="s">
        <v>8132</v>
      </c>
      <c r="B1678" s="10" t="s">
        <v>8133</v>
      </c>
      <c r="C1678" s="10" t="s">
        <v>18</v>
      </c>
      <c r="D1678" s="10">
        <v>5.2880963812989501</v>
      </c>
      <c r="E1678" s="4">
        <v>2.46383623234236E-9</v>
      </c>
      <c r="F1678" s="10">
        <v>2.1343088860512598</v>
      </c>
      <c r="G1678" s="4">
        <v>3.9218721821358303E-5</v>
      </c>
    </row>
    <row r="1679" spans="1:7" x14ac:dyDescent="0.2">
      <c r="A1679" s="10" t="s">
        <v>8402</v>
      </c>
      <c r="B1679" s="10" t="s">
        <v>8403</v>
      </c>
      <c r="C1679" s="10" t="s">
        <v>18</v>
      </c>
      <c r="D1679" s="10">
        <v>-3.8758044679316002</v>
      </c>
      <c r="E1679" s="4">
        <v>1.00464915369665E-67</v>
      </c>
      <c r="F1679" s="10">
        <v>-3.4577051104998802</v>
      </c>
      <c r="G1679" s="4">
        <v>9.8187851305470797E-37</v>
      </c>
    </row>
    <row r="1680" spans="1:7" x14ac:dyDescent="0.2">
      <c r="A1680" s="10" t="s">
        <v>6034</v>
      </c>
      <c r="B1680" s="10" t="s">
        <v>6035</v>
      </c>
      <c r="C1680" s="10" t="s">
        <v>18</v>
      </c>
      <c r="D1680" s="10">
        <v>1.71914476275085</v>
      </c>
      <c r="E1680" s="4">
        <v>3.05152406074441E-21</v>
      </c>
      <c r="F1680" s="10">
        <v>1.6488359299486699</v>
      </c>
      <c r="G1680" s="4">
        <v>5.9380258787694398E-12</v>
      </c>
    </row>
    <row r="1681" spans="1:7" x14ac:dyDescent="0.2">
      <c r="A1681" s="10" t="s">
        <v>3999</v>
      </c>
      <c r="B1681" s="10" t="s">
        <v>4000</v>
      </c>
      <c r="C1681" s="10" t="s">
        <v>18</v>
      </c>
      <c r="D1681" s="10">
        <v>-2.9240792855799902</v>
      </c>
      <c r="E1681" s="4">
        <v>1.17989944567286E-49</v>
      </c>
      <c r="F1681" s="10">
        <v>-1.76223051624728</v>
      </c>
      <c r="G1681" s="4">
        <v>3.16463720186989E-13</v>
      </c>
    </row>
    <row r="1682" spans="1:7" x14ac:dyDescent="0.2">
      <c r="A1682" s="10" t="s">
        <v>6312</v>
      </c>
      <c r="B1682" s="10" t="s">
        <v>6313</v>
      </c>
      <c r="C1682" s="10" t="s">
        <v>18</v>
      </c>
      <c r="D1682" s="10">
        <v>1.2465211359177799</v>
      </c>
      <c r="E1682" s="4">
        <v>7.5148863941339797E-6</v>
      </c>
      <c r="F1682" s="10">
        <v>1.5578822130480401</v>
      </c>
      <c r="G1682" s="4">
        <v>9.13318523902516E-7</v>
      </c>
    </row>
    <row r="1683" spans="1:7" x14ac:dyDescent="0.2">
      <c r="A1683" s="10" t="s">
        <v>2681</v>
      </c>
      <c r="B1683" s="10" t="s">
        <v>2682</v>
      </c>
      <c r="C1683" s="10" t="s">
        <v>18</v>
      </c>
      <c r="D1683" s="10">
        <v>1.01277085057431</v>
      </c>
      <c r="E1683" s="4">
        <v>4.2376952015845899E-6</v>
      </c>
      <c r="F1683" s="10">
        <v>1.23647144503225</v>
      </c>
      <c r="G1683" s="4">
        <v>7.5399285015436998E-6</v>
      </c>
    </row>
    <row r="1684" spans="1:7" x14ac:dyDescent="0.2">
      <c r="A1684" s="10" t="s">
        <v>2221</v>
      </c>
      <c r="B1684" s="10" t="s">
        <v>2222</v>
      </c>
      <c r="C1684" s="10" t="s">
        <v>18</v>
      </c>
      <c r="D1684" s="10">
        <v>-1.4018465467465799</v>
      </c>
      <c r="E1684" s="4">
        <v>2.4296991718319399E-6</v>
      </c>
      <c r="F1684" s="10">
        <v>-1.1672850520210101</v>
      </c>
      <c r="G1684" s="10">
        <v>7.3567425587849305E-4</v>
      </c>
    </row>
    <row r="1685" spans="1:7" x14ac:dyDescent="0.2">
      <c r="A1685" s="10" t="s">
        <v>1617</v>
      </c>
      <c r="B1685" s="10" t="s">
        <v>1618</v>
      </c>
      <c r="C1685" s="10" t="s">
        <v>18</v>
      </c>
      <c r="D1685" s="10">
        <v>5.2833328453466999</v>
      </c>
      <c r="E1685" s="4">
        <v>1.76563374564091E-63</v>
      </c>
      <c r="F1685" s="10">
        <v>4.1090112016074603</v>
      </c>
      <c r="G1685" s="4">
        <v>5.45288944531739E-42</v>
      </c>
    </row>
    <row r="1686" spans="1:7" x14ac:dyDescent="0.2">
      <c r="A1686" s="10" t="s">
        <v>99</v>
      </c>
      <c r="B1686" s="10" t="s">
        <v>100</v>
      </c>
      <c r="C1686" s="10" t="s">
        <v>18</v>
      </c>
      <c r="D1686" s="10">
        <v>-1.72093184227355</v>
      </c>
      <c r="E1686" s="4">
        <v>1.3225701120004701E-15</v>
      </c>
      <c r="F1686" s="10">
        <v>-1.33141619894467</v>
      </c>
      <c r="G1686" s="4">
        <v>6.9559671311320697E-6</v>
      </c>
    </row>
    <row r="1687" spans="1:7" x14ac:dyDescent="0.2">
      <c r="A1687" s="10" t="s">
        <v>1977</v>
      </c>
      <c r="B1687" s="10" t="s">
        <v>1978</v>
      </c>
      <c r="C1687" s="10" t="s">
        <v>18</v>
      </c>
      <c r="D1687" s="10">
        <v>-1.1912849313620999</v>
      </c>
      <c r="E1687" s="4">
        <v>6.7992369354123595E-10</v>
      </c>
      <c r="F1687" s="10">
        <v>-1.2370262002319199</v>
      </c>
      <c r="G1687" s="4">
        <v>3.0935506712102499E-6</v>
      </c>
    </row>
    <row r="1688" spans="1:7" x14ac:dyDescent="0.2">
      <c r="A1688" s="10" t="s">
        <v>3519</v>
      </c>
      <c r="B1688" s="10" t="s">
        <v>3520</v>
      </c>
      <c r="C1688" s="10" t="s">
        <v>18</v>
      </c>
      <c r="D1688" s="10">
        <v>2.1014167902433298</v>
      </c>
      <c r="E1688" s="4">
        <v>2.9142056339883202E-10</v>
      </c>
      <c r="F1688" s="10">
        <v>2.4276409746197598</v>
      </c>
      <c r="G1688" s="4">
        <v>5.0408447522367301E-10</v>
      </c>
    </row>
    <row r="1689" spans="1:7" x14ac:dyDescent="0.2">
      <c r="A1689" s="10" t="s">
        <v>3605</v>
      </c>
      <c r="B1689" s="10" t="s">
        <v>3606</v>
      </c>
      <c r="C1689" s="10" t="s">
        <v>18</v>
      </c>
      <c r="D1689" s="10">
        <v>-1.43025709210778</v>
      </c>
      <c r="E1689" s="4">
        <v>2.9656458260389401E-11</v>
      </c>
      <c r="F1689" s="10">
        <v>-1.10507308252764</v>
      </c>
      <c r="G1689" s="10">
        <v>1.49271980184031E-4</v>
      </c>
    </row>
    <row r="1690" spans="1:7" x14ac:dyDescent="0.2">
      <c r="A1690" s="10" t="s">
        <v>7470</v>
      </c>
      <c r="B1690" s="10" t="s">
        <v>7471</v>
      </c>
      <c r="C1690" s="10" t="s">
        <v>18</v>
      </c>
      <c r="D1690" s="10">
        <v>-2.1872092900601401</v>
      </c>
      <c r="E1690" s="4">
        <v>4.74812453700577E-37</v>
      </c>
      <c r="F1690" s="10">
        <v>-1.9187602281323199</v>
      </c>
      <c r="G1690" s="4">
        <v>1.0984437773358701E-15</v>
      </c>
    </row>
    <row r="1691" spans="1:7" x14ac:dyDescent="0.2">
      <c r="A1691" s="10" t="s">
        <v>5176</v>
      </c>
      <c r="B1691" s="10" t="s">
        <v>5177</v>
      </c>
      <c r="C1691" s="10" t="s">
        <v>18</v>
      </c>
      <c r="D1691" s="10">
        <v>1.3319910850187999</v>
      </c>
      <c r="E1691" s="4">
        <v>3.7538198724932802E-13</v>
      </c>
      <c r="F1691" s="10">
        <v>2.3638635223087898</v>
      </c>
      <c r="G1691" s="4">
        <v>1.8349147292531901E-22</v>
      </c>
    </row>
    <row r="1692" spans="1:7" x14ac:dyDescent="0.2">
      <c r="A1692" s="10" t="s">
        <v>1721</v>
      </c>
      <c r="B1692" s="10" t="s">
        <v>1722</v>
      </c>
      <c r="C1692" s="10" t="s">
        <v>18</v>
      </c>
      <c r="D1692" s="10">
        <v>-1.0639377613258001</v>
      </c>
      <c r="E1692" s="4">
        <v>5.0783462118753303E-5</v>
      </c>
      <c r="F1692" s="10">
        <v>-1.3314311938119801</v>
      </c>
      <c r="G1692" s="4">
        <v>2.73077342775977E-5</v>
      </c>
    </row>
    <row r="1693" spans="1:7" x14ac:dyDescent="0.2">
      <c r="A1693" s="10" t="s">
        <v>3729</v>
      </c>
      <c r="B1693" s="10" t="s">
        <v>3730</v>
      </c>
      <c r="C1693" s="10" t="s">
        <v>18</v>
      </c>
      <c r="D1693" s="10">
        <v>5.6571776165837404</v>
      </c>
      <c r="E1693" s="4">
        <v>8.8651799593625301E-103</v>
      </c>
      <c r="F1693" s="10">
        <v>6.6581276126315503</v>
      </c>
      <c r="G1693" s="4">
        <v>1.2756090162631101E-73</v>
      </c>
    </row>
    <row r="1694" spans="1:7" x14ac:dyDescent="0.2">
      <c r="A1694" s="10" t="s">
        <v>7408</v>
      </c>
      <c r="B1694" s="10" t="s">
        <v>7409</v>
      </c>
      <c r="C1694" s="10" t="s">
        <v>18</v>
      </c>
      <c r="D1694" s="10">
        <v>3.79208403944885</v>
      </c>
      <c r="E1694" s="10">
        <v>1.1464536873162399E-2</v>
      </c>
      <c r="F1694" s="10">
        <v>-1.64016411801943</v>
      </c>
      <c r="G1694" s="10">
        <v>8.9414225665320098E-3</v>
      </c>
    </row>
    <row r="1695" spans="1:7" x14ac:dyDescent="0.2">
      <c r="A1695" s="10" t="s">
        <v>6546</v>
      </c>
      <c r="B1695" s="10" t="s">
        <v>6547</v>
      </c>
      <c r="C1695" s="10" t="s">
        <v>18</v>
      </c>
      <c r="D1695" s="10">
        <v>2.17640782423504</v>
      </c>
      <c r="E1695" s="4">
        <v>9.2266496817094097E-5</v>
      </c>
      <c r="F1695" s="10">
        <v>7.38412845260605</v>
      </c>
      <c r="G1695" s="4">
        <v>1.1538283698863399E-6</v>
      </c>
    </row>
    <row r="1696" spans="1:7" x14ac:dyDescent="0.2">
      <c r="A1696" s="10" t="s">
        <v>445</v>
      </c>
      <c r="B1696" s="10" t="s">
        <v>446</v>
      </c>
      <c r="C1696" s="10" t="s">
        <v>18</v>
      </c>
      <c r="D1696" s="10">
        <v>-1.7935599329667</v>
      </c>
      <c r="E1696" s="4">
        <v>9.2269874435503494E-12</v>
      </c>
      <c r="F1696" s="10">
        <v>-2.6388024884510299</v>
      </c>
      <c r="G1696" s="4">
        <v>4.7150235258393E-18</v>
      </c>
    </row>
    <row r="1697" spans="1:7" x14ac:dyDescent="0.2">
      <c r="A1697" s="10" t="s">
        <v>4011</v>
      </c>
      <c r="B1697" s="10" t="s">
        <v>4012</v>
      </c>
      <c r="C1697" s="10" t="s">
        <v>18</v>
      </c>
      <c r="D1697" s="10">
        <v>-2.5755971478345798</v>
      </c>
      <c r="E1697" s="4">
        <v>1.68869148219499E-32</v>
      </c>
      <c r="F1697" s="10">
        <v>-1.9802645322924901</v>
      </c>
      <c r="G1697" s="4">
        <v>1.32507540700839E-11</v>
      </c>
    </row>
    <row r="1698" spans="1:7" x14ac:dyDescent="0.2">
      <c r="A1698" s="10" t="s">
        <v>7464</v>
      </c>
      <c r="B1698" s="10" t="s">
        <v>7465</v>
      </c>
      <c r="C1698" s="10" t="s">
        <v>18</v>
      </c>
      <c r="D1698" s="10">
        <v>4.4627231687344802</v>
      </c>
      <c r="E1698" s="4">
        <v>2.1694591019722498E-9</v>
      </c>
      <c r="F1698" s="10">
        <v>4.3817636736201697</v>
      </c>
      <c r="G1698" s="4">
        <v>1.7859414840724301E-9</v>
      </c>
    </row>
    <row r="1699" spans="1:7" x14ac:dyDescent="0.2">
      <c r="A1699" s="10" t="s">
        <v>3645</v>
      </c>
      <c r="B1699" s="10" t="s">
        <v>3646</v>
      </c>
      <c r="C1699" s="10" t="s">
        <v>18</v>
      </c>
      <c r="D1699" s="10">
        <v>-1.27326938153036</v>
      </c>
      <c r="E1699" s="4">
        <v>5.0031713894095101E-9</v>
      </c>
      <c r="F1699" s="10">
        <v>-1.08582626124668</v>
      </c>
      <c r="G1699" s="10">
        <v>1.39482584311949E-4</v>
      </c>
    </row>
    <row r="1700" spans="1:7" x14ac:dyDescent="0.2">
      <c r="A1700" s="10" t="s">
        <v>6470</v>
      </c>
      <c r="B1700" s="10" t="s">
        <v>6471</v>
      </c>
      <c r="C1700" s="10" t="s">
        <v>18</v>
      </c>
      <c r="D1700" s="10">
        <v>1.36433792736141</v>
      </c>
      <c r="E1700" s="4">
        <v>2.69187249475279E-5</v>
      </c>
      <c r="F1700" s="10">
        <v>2.6240131538529199</v>
      </c>
      <c r="G1700" s="4">
        <v>5.0443083601113098E-12</v>
      </c>
    </row>
    <row r="1701" spans="1:7" x14ac:dyDescent="0.2">
      <c r="A1701" s="10" t="s">
        <v>1395</v>
      </c>
      <c r="B1701" s="10" t="s">
        <v>1396</v>
      </c>
      <c r="C1701" s="10" t="s">
        <v>18</v>
      </c>
      <c r="D1701" s="10">
        <v>1.81115260259136</v>
      </c>
      <c r="E1701" s="4">
        <v>3.0047637124235598E-25</v>
      </c>
      <c r="F1701" s="10">
        <v>1.0448248187425</v>
      </c>
      <c r="G1701" s="4">
        <v>7.8672023513230003E-6</v>
      </c>
    </row>
    <row r="1702" spans="1:7" x14ac:dyDescent="0.2">
      <c r="A1702" s="10" t="s">
        <v>7244</v>
      </c>
      <c r="B1702" s="10" t="s">
        <v>7245</v>
      </c>
      <c r="C1702" s="10" t="s">
        <v>18</v>
      </c>
      <c r="D1702" s="10">
        <v>1.3091501381356501</v>
      </c>
      <c r="E1702" s="4">
        <v>2.1200693544869499E-12</v>
      </c>
      <c r="F1702" s="10">
        <v>1.8013827117728001</v>
      </c>
      <c r="G1702" s="4">
        <v>6.1452487715483496E-13</v>
      </c>
    </row>
    <row r="1703" spans="1:7" x14ac:dyDescent="0.2">
      <c r="A1703" s="10" t="s">
        <v>3547</v>
      </c>
      <c r="B1703" s="10" t="s">
        <v>3548</v>
      </c>
      <c r="C1703" s="10" t="s">
        <v>18</v>
      </c>
      <c r="D1703" s="10">
        <v>-2.4444619677234698</v>
      </c>
      <c r="E1703" s="4">
        <v>1.1813672272802901E-10</v>
      </c>
      <c r="F1703" s="10">
        <v>-2.9550114970280799</v>
      </c>
      <c r="G1703" s="4">
        <v>1.75719648565656E-13</v>
      </c>
    </row>
    <row r="1704" spans="1:7" x14ac:dyDescent="0.2">
      <c r="A1704" s="10" t="s">
        <v>347</v>
      </c>
      <c r="B1704" s="10" t="s">
        <v>348</v>
      </c>
      <c r="C1704" s="10" t="s">
        <v>18</v>
      </c>
      <c r="D1704" s="10">
        <v>-1.1478490170090101</v>
      </c>
      <c r="E1704" s="4">
        <v>2.6345811281577001E-8</v>
      </c>
      <c r="F1704" s="10">
        <v>-1.27235338453845</v>
      </c>
      <c r="G1704" s="4">
        <v>1.31570027809906E-5</v>
      </c>
    </row>
    <row r="1705" spans="1:7" x14ac:dyDescent="0.2">
      <c r="A1705" s="10" t="s">
        <v>4718</v>
      </c>
      <c r="B1705" s="10" t="s">
        <v>4719</v>
      </c>
      <c r="C1705" s="10" t="s">
        <v>18</v>
      </c>
      <c r="D1705" s="10">
        <v>1.67640365105199</v>
      </c>
      <c r="E1705" s="4">
        <v>2.4522060687567601E-16</v>
      </c>
      <c r="F1705" s="10">
        <v>1.41307472390481</v>
      </c>
      <c r="G1705" s="4">
        <v>8.6092670516239697E-8</v>
      </c>
    </row>
    <row r="1706" spans="1:7" x14ac:dyDescent="0.2">
      <c r="A1706" s="10" t="s">
        <v>4572</v>
      </c>
      <c r="B1706" s="10" t="s">
        <v>4573</v>
      </c>
      <c r="C1706" s="10" t="s">
        <v>18</v>
      </c>
      <c r="D1706" s="10">
        <v>-1.0220361464279499</v>
      </c>
      <c r="E1706" s="10">
        <v>9.9593190502027095E-3</v>
      </c>
      <c r="F1706" s="10">
        <v>-1.8181644819756799</v>
      </c>
      <c r="G1706" s="4">
        <v>1.1022282559172301E-6</v>
      </c>
    </row>
    <row r="1707" spans="1:7" x14ac:dyDescent="0.2">
      <c r="A1707" s="10" t="s">
        <v>6428</v>
      </c>
      <c r="B1707" s="10" t="s">
        <v>6429</v>
      </c>
      <c r="C1707" s="10" t="s">
        <v>18</v>
      </c>
      <c r="D1707" s="10">
        <v>3.8934228036570802</v>
      </c>
      <c r="E1707" s="4">
        <v>1.36015688141306E-33</v>
      </c>
      <c r="F1707" s="10">
        <v>2.7161059899562101</v>
      </c>
      <c r="G1707" s="4">
        <v>1.83514652980304E-16</v>
      </c>
    </row>
    <row r="1708" spans="1:7" x14ac:dyDescent="0.2">
      <c r="A1708" s="10" t="s">
        <v>7364</v>
      </c>
      <c r="B1708" s="10" t="s">
        <v>7365</v>
      </c>
      <c r="C1708" s="10" t="s">
        <v>18</v>
      </c>
      <c r="D1708" s="10">
        <v>1.3590045799400901</v>
      </c>
      <c r="E1708" s="4">
        <v>8.9569092886960706E-8</v>
      </c>
      <c r="F1708" s="10">
        <v>1.5646579190193199</v>
      </c>
      <c r="G1708" s="4">
        <v>4.7248875927136401E-8</v>
      </c>
    </row>
    <row r="1709" spans="1:7" x14ac:dyDescent="0.2">
      <c r="A1709" s="10" t="s">
        <v>6290</v>
      </c>
      <c r="B1709" s="10" t="s">
        <v>6291</v>
      </c>
      <c r="C1709" s="10" t="s">
        <v>18</v>
      </c>
      <c r="D1709" s="10">
        <v>5.16942993325973</v>
      </c>
      <c r="E1709" s="4">
        <v>4.6312022960853603E-5</v>
      </c>
      <c r="F1709" s="10">
        <v>4.80985989680104</v>
      </c>
      <c r="G1709" s="4">
        <v>1.5288248507272601E-5</v>
      </c>
    </row>
    <row r="1710" spans="1:7" x14ac:dyDescent="0.2">
      <c r="A1710" s="10" t="s">
        <v>879</v>
      </c>
      <c r="B1710" s="10" t="s">
        <v>880</v>
      </c>
      <c r="C1710" s="10" t="s">
        <v>18</v>
      </c>
      <c r="D1710" s="10">
        <v>7.8274345354112098</v>
      </c>
      <c r="E1710" s="4">
        <v>1.10533337857259E-6</v>
      </c>
      <c r="F1710" s="10">
        <v>1.79393086484288</v>
      </c>
      <c r="G1710" s="10">
        <v>6.2543488213426899E-3</v>
      </c>
    </row>
    <row r="1711" spans="1:7" x14ac:dyDescent="0.2">
      <c r="A1711" s="10" t="s">
        <v>237</v>
      </c>
      <c r="B1711" s="10" t="s">
        <v>238</v>
      </c>
      <c r="C1711" s="10" t="s">
        <v>18</v>
      </c>
      <c r="D1711" s="10">
        <v>1.92519714375889</v>
      </c>
      <c r="E1711" s="4">
        <v>1.6716432849000099E-19</v>
      </c>
      <c r="F1711" s="10">
        <v>1.3118113492096599</v>
      </c>
      <c r="G1711" s="4">
        <v>2.5924776378698502E-6</v>
      </c>
    </row>
    <row r="1712" spans="1:7" x14ac:dyDescent="0.2">
      <c r="A1712" s="10" t="s">
        <v>8560</v>
      </c>
      <c r="B1712" s="10" t="s">
        <v>8561</v>
      </c>
      <c r="C1712" s="10" t="s">
        <v>18</v>
      </c>
      <c r="D1712" s="10">
        <v>1.10715893344012</v>
      </c>
      <c r="E1712" s="4">
        <v>5.9689235669539097E-6</v>
      </c>
      <c r="F1712" s="10">
        <v>1.06606637628996</v>
      </c>
      <c r="G1712" s="10">
        <v>7.23261186885474E-4</v>
      </c>
    </row>
    <row r="1713" spans="1:7" x14ac:dyDescent="0.2">
      <c r="A1713" s="10" t="s">
        <v>6764</v>
      </c>
      <c r="B1713" s="10" t="s">
        <v>6765</v>
      </c>
      <c r="C1713" s="10" t="s">
        <v>18</v>
      </c>
      <c r="D1713" s="10">
        <v>2.79367509061175</v>
      </c>
      <c r="E1713" s="4">
        <v>7.3815463852897205E-30</v>
      </c>
      <c r="F1713" s="10">
        <v>2.87571555459082</v>
      </c>
      <c r="G1713" s="4">
        <v>1.37175073813338E-19</v>
      </c>
    </row>
    <row r="1714" spans="1:7" x14ac:dyDescent="0.2">
      <c r="A1714" s="10" t="s">
        <v>749</v>
      </c>
      <c r="B1714" s="10" t="s">
        <v>750</v>
      </c>
      <c r="C1714" s="10" t="s">
        <v>18</v>
      </c>
      <c r="D1714" s="10">
        <v>1.5210606633775099</v>
      </c>
      <c r="E1714" s="4">
        <v>1.99510145683133E-17</v>
      </c>
      <c r="F1714" s="10">
        <v>1.20692502932135</v>
      </c>
      <c r="G1714" s="4">
        <v>6.7366909873948997E-7</v>
      </c>
    </row>
    <row r="1715" spans="1:7" x14ac:dyDescent="0.2">
      <c r="A1715" s="10" t="s">
        <v>487</v>
      </c>
      <c r="B1715" s="10" t="s">
        <v>488</v>
      </c>
      <c r="C1715" s="10" t="s">
        <v>18</v>
      </c>
      <c r="D1715" s="10">
        <v>1.5213164208210801</v>
      </c>
      <c r="E1715" s="4">
        <v>3.9497307308208001E-13</v>
      </c>
      <c r="F1715" s="10">
        <v>1.0049573888052801</v>
      </c>
      <c r="G1715" s="10">
        <v>1.27466383150274E-4</v>
      </c>
    </row>
    <row r="1716" spans="1:7" x14ac:dyDescent="0.2">
      <c r="A1716" s="10" t="s">
        <v>6022</v>
      </c>
      <c r="B1716" s="10" t="s">
        <v>6023</v>
      </c>
      <c r="C1716" s="10" t="s">
        <v>18</v>
      </c>
      <c r="D1716" s="10">
        <v>-1.6292316736747099</v>
      </c>
      <c r="E1716" s="4">
        <v>6.1673846753614302E-18</v>
      </c>
      <c r="F1716" s="10">
        <v>-1.4285757708671201</v>
      </c>
      <c r="G1716" s="4">
        <v>1.0499033348390901E-8</v>
      </c>
    </row>
    <row r="1717" spans="1:7" x14ac:dyDescent="0.2">
      <c r="A1717" s="10" t="s">
        <v>3453</v>
      </c>
      <c r="B1717" s="10" t="s">
        <v>3454</v>
      </c>
      <c r="C1717" s="10" t="s">
        <v>18</v>
      </c>
      <c r="D1717" s="10">
        <v>1.3310115821180799</v>
      </c>
      <c r="E1717" s="4">
        <v>2.11108025432473E-10</v>
      </c>
      <c r="F1717" s="10">
        <v>2.0261467258111199</v>
      </c>
      <c r="G1717" s="4">
        <v>1.8303872211749299E-14</v>
      </c>
    </row>
    <row r="1718" spans="1:7" x14ac:dyDescent="0.2">
      <c r="A1718" s="10" t="s">
        <v>8526</v>
      </c>
      <c r="B1718" s="10" t="s">
        <v>8527</v>
      </c>
      <c r="C1718" s="10" t="s">
        <v>18</v>
      </c>
      <c r="D1718" s="10">
        <v>3.2133248681189901</v>
      </c>
      <c r="E1718" s="4">
        <v>2.4294370812039601E-64</v>
      </c>
      <c r="F1718" s="10">
        <v>7.7948296113031201</v>
      </c>
      <c r="G1718" s="4">
        <v>3.1634415852996999E-189</v>
      </c>
    </row>
    <row r="1719" spans="1:7" x14ac:dyDescent="0.2">
      <c r="A1719" s="10" t="s">
        <v>6746</v>
      </c>
      <c r="B1719" s="10" t="s">
        <v>6747</v>
      </c>
      <c r="C1719" s="10" t="s">
        <v>18</v>
      </c>
      <c r="D1719" s="10">
        <v>1.12113182633793</v>
      </c>
      <c r="E1719" s="10">
        <v>7.0286134547219896E-3</v>
      </c>
      <c r="F1719" s="10">
        <v>1.53573975147824</v>
      </c>
      <c r="G1719" s="10">
        <v>8.9883496046855803E-4</v>
      </c>
    </row>
    <row r="1720" spans="1:7" x14ac:dyDescent="0.2">
      <c r="A1720" s="10" t="s">
        <v>1213</v>
      </c>
      <c r="B1720" s="10" t="s">
        <v>1214</v>
      </c>
      <c r="C1720" s="10" t="s">
        <v>18</v>
      </c>
      <c r="D1720" s="10">
        <v>2.8180355246864401</v>
      </c>
      <c r="E1720" s="4">
        <v>1.3885876486260899E-24</v>
      </c>
      <c r="F1720" s="10">
        <v>1.62515850278322</v>
      </c>
      <c r="G1720" s="4">
        <v>8.8139543724608301E-8</v>
      </c>
    </row>
    <row r="1721" spans="1:7" x14ac:dyDescent="0.2">
      <c r="A1721" s="10" t="s">
        <v>4366</v>
      </c>
      <c r="B1721" s="10" t="s">
        <v>4367</v>
      </c>
      <c r="C1721" s="10" t="s">
        <v>18</v>
      </c>
      <c r="D1721" s="10">
        <v>1.3562426094034801</v>
      </c>
      <c r="E1721" s="4">
        <v>5.7387932026060197E-9</v>
      </c>
      <c r="F1721" s="10">
        <v>1.08548546762589</v>
      </c>
      <c r="G1721" s="10">
        <v>1.8354426628551301E-4</v>
      </c>
    </row>
    <row r="1722" spans="1:7" x14ac:dyDescent="0.2">
      <c r="A1722" s="10" t="s">
        <v>6110</v>
      </c>
      <c r="B1722" s="10" t="s">
        <v>6111</v>
      </c>
      <c r="C1722" s="10" t="s">
        <v>18</v>
      </c>
      <c r="D1722" s="10">
        <v>2.3986330077061302</v>
      </c>
      <c r="E1722" s="4">
        <v>8.4985997041724795E-33</v>
      </c>
      <c r="F1722" s="10">
        <v>3.6277347627791898</v>
      </c>
      <c r="G1722" s="4">
        <v>3.43826522190055E-45</v>
      </c>
    </row>
    <row r="1723" spans="1:7" x14ac:dyDescent="0.2">
      <c r="A1723" s="10" t="s">
        <v>8956</v>
      </c>
      <c r="B1723" s="10" t="s">
        <v>8957</v>
      </c>
      <c r="C1723" s="10" t="s">
        <v>18</v>
      </c>
      <c r="D1723" s="10">
        <v>-1.44237321594137</v>
      </c>
      <c r="E1723" s="4">
        <v>1.79185823599853E-7</v>
      </c>
      <c r="F1723" s="10">
        <v>-1.0041036668735901</v>
      </c>
      <c r="G1723" s="10">
        <v>2.9484844022095299E-3</v>
      </c>
    </row>
    <row r="1724" spans="1:7" x14ac:dyDescent="0.2">
      <c r="A1724" s="10" t="s">
        <v>4910</v>
      </c>
      <c r="B1724" s="10" t="s">
        <v>4911</v>
      </c>
      <c r="C1724" s="10" t="s">
        <v>18</v>
      </c>
      <c r="D1724" s="10">
        <v>-1.6471188501021901</v>
      </c>
      <c r="E1724" s="4">
        <v>1.09836373124443E-12</v>
      </c>
      <c r="F1724" s="10">
        <v>-2.2368441785422299</v>
      </c>
      <c r="G1724" s="4">
        <v>1.7813480261706E-16</v>
      </c>
    </row>
    <row r="1725" spans="1:7" x14ac:dyDescent="0.2">
      <c r="A1725" s="10" t="s">
        <v>7946</v>
      </c>
      <c r="B1725" s="10" t="s">
        <v>7947</v>
      </c>
      <c r="C1725" s="10" t="s">
        <v>18</v>
      </c>
      <c r="D1725" s="10">
        <v>-2.5220789795404599</v>
      </c>
      <c r="E1725" s="4">
        <v>5.2928073439844399E-25</v>
      </c>
      <c r="F1725" s="10">
        <v>-2.24679996954371</v>
      </c>
      <c r="G1725" s="4">
        <v>2.7069312455727301E-11</v>
      </c>
    </row>
    <row r="1726" spans="1:7" x14ac:dyDescent="0.2">
      <c r="A1726" s="10" t="s">
        <v>8942</v>
      </c>
      <c r="B1726" s="10" t="s">
        <v>8943</v>
      </c>
      <c r="C1726" s="10" t="s">
        <v>18</v>
      </c>
      <c r="D1726" s="10">
        <v>6.7197600927063901</v>
      </c>
      <c r="E1726" s="4">
        <v>1.85924008268784E-5</v>
      </c>
      <c r="F1726" s="10">
        <v>4.9509830124230696</v>
      </c>
      <c r="G1726" s="4">
        <v>1.6030635417094501E-7</v>
      </c>
    </row>
    <row r="1727" spans="1:7" x14ac:dyDescent="0.2">
      <c r="A1727" s="10" t="s">
        <v>3315</v>
      </c>
      <c r="B1727" s="10" t="s">
        <v>3316</v>
      </c>
      <c r="C1727" s="10" t="s">
        <v>18</v>
      </c>
      <c r="D1727" s="10">
        <v>1.02351733139377</v>
      </c>
      <c r="E1727" s="4">
        <v>2.2665500151845099E-7</v>
      </c>
      <c r="F1727" s="10">
        <v>1.9775656868942599</v>
      </c>
      <c r="G1727" s="4">
        <v>2.0294205924106998E-15</v>
      </c>
    </row>
    <row r="1728" spans="1:7" x14ac:dyDescent="0.2">
      <c r="A1728" s="10" t="s">
        <v>6186</v>
      </c>
      <c r="B1728" s="10" t="s">
        <v>6187</v>
      </c>
      <c r="C1728" s="10" t="s">
        <v>18</v>
      </c>
      <c r="D1728" s="10">
        <v>1.7037115366731701</v>
      </c>
      <c r="E1728" s="4">
        <v>4.9999732130886997E-20</v>
      </c>
      <c r="F1728" s="10">
        <v>3.6742065526463699</v>
      </c>
      <c r="G1728" s="4">
        <v>2.8159598113749298E-37</v>
      </c>
    </row>
    <row r="1729" spans="1:7" x14ac:dyDescent="0.2">
      <c r="A1729" s="10" t="s">
        <v>6568</v>
      </c>
      <c r="B1729" s="10" t="s">
        <v>6569</v>
      </c>
      <c r="C1729" s="10" t="s">
        <v>18</v>
      </c>
      <c r="D1729" s="10">
        <v>2.28774789800483</v>
      </c>
      <c r="E1729" s="4">
        <v>9.4002696847221802E-13</v>
      </c>
      <c r="F1729" s="10">
        <v>2.4605673263000201</v>
      </c>
      <c r="G1729" s="4">
        <v>1.2472237061771399E-11</v>
      </c>
    </row>
    <row r="1730" spans="1:7" x14ac:dyDescent="0.2">
      <c r="A1730" s="10" t="s">
        <v>5076</v>
      </c>
      <c r="B1730" s="10" t="s">
        <v>5077</v>
      </c>
      <c r="C1730" s="10" t="s">
        <v>18</v>
      </c>
      <c r="D1730" s="10">
        <v>5.13169427126439</v>
      </c>
      <c r="E1730" s="4">
        <v>2.2370677522812401E-10</v>
      </c>
      <c r="F1730" s="10">
        <v>1.2048571745279899</v>
      </c>
      <c r="G1730" s="10">
        <v>1.1029608412814799E-2</v>
      </c>
    </row>
    <row r="1731" spans="1:7" x14ac:dyDescent="0.2">
      <c r="A1731" s="10" t="s">
        <v>6666</v>
      </c>
      <c r="B1731" s="10" t="s">
        <v>6667</v>
      </c>
      <c r="C1731" s="10" t="s">
        <v>18</v>
      </c>
      <c r="D1731" s="10">
        <v>4.5900934646218596</v>
      </c>
      <c r="E1731" s="4">
        <v>3.8375069364333799E-11</v>
      </c>
      <c r="F1731" s="10">
        <v>1.16557258745137</v>
      </c>
      <c r="G1731" s="10">
        <v>7.1230951401387204E-3</v>
      </c>
    </row>
    <row r="1732" spans="1:7" x14ac:dyDescent="0.2">
      <c r="A1732" s="10" t="s">
        <v>4820</v>
      </c>
      <c r="B1732" s="10" t="s">
        <v>4821</v>
      </c>
      <c r="C1732" s="10" t="s">
        <v>18</v>
      </c>
      <c r="D1732" s="10">
        <v>5.0794354323753401</v>
      </c>
      <c r="E1732" s="4">
        <v>5.9238646553136897E-56</v>
      </c>
      <c r="F1732" s="10">
        <v>8.6519727205327701</v>
      </c>
      <c r="G1732" s="4">
        <v>7.6312921896394893E-40</v>
      </c>
    </row>
    <row r="1733" spans="1:7" x14ac:dyDescent="0.2">
      <c r="A1733" s="10" t="s">
        <v>225</v>
      </c>
      <c r="B1733" s="10" t="s">
        <v>226</v>
      </c>
      <c r="C1733" s="10" t="s">
        <v>18</v>
      </c>
      <c r="D1733" s="10">
        <v>3.7267192557981201</v>
      </c>
      <c r="E1733" s="4">
        <v>1.1850815537988E-71</v>
      </c>
      <c r="F1733" s="10">
        <v>6.6250286445661901</v>
      </c>
      <c r="G1733" s="4">
        <v>3.7984867270456798E-75</v>
      </c>
    </row>
    <row r="1734" spans="1:7" x14ac:dyDescent="0.2">
      <c r="A1734" s="10" t="s">
        <v>4464</v>
      </c>
      <c r="B1734" s="10" t="s">
        <v>4465</v>
      </c>
      <c r="C1734" s="10" t="s">
        <v>18</v>
      </c>
      <c r="D1734" s="10">
        <v>1.03199642263563</v>
      </c>
      <c r="E1734" s="4">
        <v>4.7642471924717501E-8</v>
      </c>
      <c r="F1734" s="10">
        <v>1.12158987062619</v>
      </c>
      <c r="G1734" s="4">
        <v>4.8458420507916998E-6</v>
      </c>
    </row>
    <row r="1735" spans="1:7" x14ac:dyDescent="0.2">
      <c r="A1735" s="10" t="s">
        <v>7590</v>
      </c>
      <c r="B1735" s="10" t="s">
        <v>7591</v>
      </c>
      <c r="C1735" s="10" t="s">
        <v>18</v>
      </c>
      <c r="D1735" s="10">
        <v>-1.50073006858534</v>
      </c>
      <c r="E1735" s="4">
        <v>1.86420280036566E-7</v>
      </c>
      <c r="F1735" s="10">
        <v>-1.30995178070148</v>
      </c>
      <c r="G1735" s="4">
        <v>5.7090977987603198E-5</v>
      </c>
    </row>
    <row r="1736" spans="1:7" x14ac:dyDescent="0.2">
      <c r="A1736" s="10" t="s">
        <v>5252</v>
      </c>
      <c r="B1736" s="10" t="s">
        <v>5253</v>
      </c>
      <c r="C1736" s="10" t="s">
        <v>18</v>
      </c>
      <c r="D1736" s="10">
        <v>-2.6561671225645198</v>
      </c>
      <c r="E1736" s="4">
        <v>9.1245632169682895E-30</v>
      </c>
      <c r="F1736" s="10">
        <v>-1.1521753508483401</v>
      </c>
      <c r="G1736" s="10">
        <v>2.1919024458113699E-4</v>
      </c>
    </row>
    <row r="1737" spans="1:7" x14ac:dyDescent="0.2">
      <c r="A1737" s="10" t="s">
        <v>8686</v>
      </c>
      <c r="B1737" s="10" t="s">
        <v>8687</v>
      </c>
      <c r="C1737" s="10" t="s">
        <v>18</v>
      </c>
      <c r="D1737" s="10">
        <v>2.3043600271815898</v>
      </c>
      <c r="E1737" s="4">
        <v>6.2024039460229701E-28</v>
      </c>
      <c r="F1737" s="10">
        <v>3.1619670104300099</v>
      </c>
      <c r="G1737" s="4">
        <v>4.8070308883927804E-25</v>
      </c>
    </row>
    <row r="1738" spans="1:7" x14ac:dyDescent="0.2">
      <c r="A1738" s="10" t="s">
        <v>3017</v>
      </c>
      <c r="B1738" s="10" t="s">
        <v>3018</v>
      </c>
      <c r="C1738" s="10" t="s">
        <v>18</v>
      </c>
      <c r="D1738" s="10">
        <v>2.2601458566065098</v>
      </c>
      <c r="E1738" s="4">
        <v>4.0829442643385198E-27</v>
      </c>
      <c r="F1738" s="10">
        <v>1.34096061719105</v>
      </c>
      <c r="G1738" s="4">
        <v>4.74500919392627E-7</v>
      </c>
    </row>
    <row r="1739" spans="1:7" x14ac:dyDescent="0.2">
      <c r="A1739" s="10" t="s">
        <v>6892</v>
      </c>
      <c r="B1739" s="10" t="s">
        <v>6893</v>
      </c>
      <c r="C1739" s="10" t="s">
        <v>18</v>
      </c>
      <c r="D1739" s="10">
        <v>-1.75747684518729</v>
      </c>
      <c r="E1739" s="4">
        <v>1.8432267152638601E-6</v>
      </c>
      <c r="F1739" s="10">
        <v>-1.70444645399104</v>
      </c>
      <c r="G1739" s="4">
        <v>8.5604500487993506E-6</v>
      </c>
    </row>
    <row r="1740" spans="1:7" x14ac:dyDescent="0.2">
      <c r="A1740" s="10" t="s">
        <v>6990</v>
      </c>
      <c r="B1740" s="10" t="s">
        <v>6991</v>
      </c>
      <c r="C1740" s="10" t="s">
        <v>18</v>
      </c>
      <c r="D1740" s="10">
        <v>1.93433227119023</v>
      </c>
      <c r="E1740" s="4">
        <v>8.2671764879345004E-13</v>
      </c>
      <c r="F1740" s="10">
        <v>1.48495454065169</v>
      </c>
      <c r="G1740" s="4">
        <v>1.5864525352846201E-6</v>
      </c>
    </row>
    <row r="1741" spans="1:7" x14ac:dyDescent="0.2">
      <c r="A1741" s="10" t="s">
        <v>4228</v>
      </c>
      <c r="B1741" s="10" t="s">
        <v>4229</v>
      </c>
      <c r="C1741" s="10" t="s">
        <v>18</v>
      </c>
      <c r="D1741" s="10">
        <v>1.1495852146165499</v>
      </c>
      <c r="E1741" s="4">
        <v>1.4677054281114101E-5</v>
      </c>
      <c r="F1741" s="10">
        <v>1.6478120339979401</v>
      </c>
      <c r="G1741" s="4">
        <v>8.5553442765123001E-7</v>
      </c>
    </row>
    <row r="1742" spans="1:7" x14ac:dyDescent="0.2">
      <c r="A1742" s="10" t="s">
        <v>6448</v>
      </c>
      <c r="B1742" s="10" t="s">
        <v>6449</v>
      </c>
      <c r="C1742" s="10" t="s">
        <v>18</v>
      </c>
      <c r="D1742" s="10">
        <v>1.3605251085221</v>
      </c>
      <c r="E1742" s="4">
        <v>2.0413220583986099E-12</v>
      </c>
      <c r="F1742" s="10">
        <v>1.47346947462374</v>
      </c>
      <c r="G1742" s="4">
        <v>4.12342824496109E-8</v>
      </c>
    </row>
    <row r="1743" spans="1:7" x14ac:dyDescent="0.2">
      <c r="A1743" s="10" t="s">
        <v>8068</v>
      </c>
      <c r="B1743" s="10" t="s">
        <v>8069</v>
      </c>
      <c r="C1743" s="10" t="s">
        <v>18</v>
      </c>
      <c r="D1743" s="10">
        <v>-1.69641631484439</v>
      </c>
      <c r="E1743" s="4">
        <v>4.0694899816759201E-13</v>
      </c>
      <c r="F1743" s="10">
        <v>-1.22029255299877</v>
      </c>
      <c r="G1743" s="4">
        <v>7.1153990295419901E-5</v>
      </c>
    </row>
    <row r="1744" spans="1:7" x14ac:dyDescent="0.2">
      <c r="A1744" s="10" t="s">
        <v>5292</v>
      </c>
      <c r="B1744" s="10" t="s">
        <v>5293</v>
      </c>
      <c r="C1744" s="10" t="s">
        <v>18</v>
      </c>
      <c r="D1744" s="10">
        <v>1.6917276757169799</v>
      </c>
      <c r="E1744" s="4">
        <v>1.08881515066311E-14</v>
      </c>
      <c r="F1744" s="10">
        <v>1.04136707138281</v>
      </c>
      <c r="G1744" s="10">
        <v>1.24630747231401E-4</v>
      </c>
    </row>
    <row r="1745" spans="1:7" x14ac:dyDescent="0.2">
      <c r="A1745" s="10" t="s">
        <v>7286</v>
      </c>
      <c r="B1745" s="10" t="s">
        <v>7287</v>
      </c>
      <c r="C1745" s="10" t="s">
        <v>18</v>
      </c>
      <c r="D1745" s="10">
        <v>-1.5387915279493301</v>
      </c>
      <c r="E1745" s="4">
        <v>6.0388976742805206E-11</v>
      </c>
      <c r="F1745" s="10">
        <v>-1.6831977653682799</v>
      </c>
      <c r="G1745" s="4">
        <v>1.2510049303745001E-8</v>
      </c>
    </row>
    <row r="1746" spans="1:7" x14ac:dyDescent="0.2">
      <c r="A1746" s="10" t="s">
        <v>8882</v>
      </c>
      <c r="B1746" s="10" t="s">
        <v>8883</v>
      </c>
      <c r="C1746" s="10" t="s">
        <v>18</v>
      </c>
      <c r="D1746" s="10">
        <v>-2.2289147256918298</v>
      </c>
      <c r="E1746" s="4">
        <v>5.8204387493308397E-31</v>
      </c>
      <c r="F1746" s="10">
        <v>-1.19073260275591</v>
      </c>
      <c r="G1746" s="4">
        <v>1.84041798691241E-5</v>
      </c>
    </row>
    <row r="1747" spans="1:7" x14ac:dyDescent="0.2">
      <c r="A1747" s="10" t="s">
        <v>8680</v>
      </c>
      <c r="B1747" s="10" t="s">
        <v>8681</v>
      </c>
      <c r="C1747" s="10" t="s">
        <v>18</v>
      </c>
      <c r="D1747" s="10">
        <v>5.1736017501450897</v>
      </c>
      <c r="E1747" s="4">
        <v>2.0586603414468501E-10</v>
      </c>
      <c r="F1747" s="10">
        <v>5.7544192165441297</v>
      </c>
      <c r="G1747" s="4">
        <v>5.5839903775254001E-11</v>
      </c>
    </row>
    <row r="1748" spans="1:7" x14ac:dyDescent="0.2">
      <c r="A1748" s="10" t="s">
        <v>543</v>
      </c>
      <c r="B1748" s="10" t="s">
        <v>544</v>
      </c>
      <c r="C1748" s="10" t="s">
        <v>18</v>
      </c>
      <c r="D1748" s="10">
        <v>2.6352386663942799</v>
      </c>
      <c r="E1748" s="4">
        <v>4.7719102647852303E-16</v>
      </c>
      <c r="F1748" s="10">
        <v>5.2626242563471104</v>
      </c>
      <c r="G1748" s="4">
        <v>3.8378716560384E-28</v>
      </c>
    </row>
    <row r="1749" spans="1:7" x14ac:dyDescent="0.2">
      <c r="A1749" s="10" t="s">
        <v>7354</v>
      </c>
      <c r="B1749" s="10" t="s">
        <v>7355</v>
      </c>
      <c r="C1749" s="10" t="s">
        <v>18</v>
      </c>
      <c r="D1749" s="10">
        <v>-2.5864583918750199</v>
      </c>
      <c r="E1749" s="4">
        <v>3.4895712923042801E-6</v>
      </c>
      <c r="F1749" s="10">
        <v>-1.89145944697599</v>
      </c>
      <c r="G1749" s="10">
        <v>2.6809286803646201E-3</v>
      </c>
    </row>
    <row r="1750" spans="1:7" x14ac:dyDescent="0.2">
      <c r="A1750" s="10" t="s">
        <v>9012</v>
      </c>
      <c r="B1750" s="10" t="s">
        <v>9013</v>
      </c>
      <c r="C1750" s="10" t="s">
        <v>18</v>
      </c>
      <c r="D1750" s="10">
        <v>6.4226340130760802</v>
      </c>
      <c r="E1750" s="4">
        <v>2.2007226837492801E-8</v>
      </c>
      <c r="F1750" s="10">
        <v>2.0627982567790402</v>
      </c>
      <c r="G1750" s="10">
        <v>6.58412582938577E-4</v>
      </c>
    </row>
    <row r="1751" spans="1:7" x14ac:dyDescent="0.2">
      <c r="A1751" s="10" t="s">
        <v>2995</v>
      </c>
      <c r="B1751" s="10" t="s">
        <v>2996</v>
      </c>
      <c r="C1751" s="10" t="s">
        <v>18</v>
      </c>
      <c r="D1751" s="10">
        <v>-1.3854551812521001</v>
      </c>
      <c r="E1751" s="4">
        <v>2.6040072089388598E-9</v>
      </c>
      <c r="F1751" s="10">
        <v>-1.1164022721109901</v>
      </c>
      <c r="G1751" s="10">
        <v>1.3423335480695499E-4</v>
      </c>
    </row>
    <row r="1752" spans="1:7" x14ac:dyDescent="0.2">
      <c r="A1752" s="10" t="s">
        <v>3353</v>
      </c>
      <c r="B1752" s="10" t="s">
        <v>3354</v>
      </c>
      <c r="C1752" s="10" t="s">
        <v>18</v>
      </c>
      <c r="D1752" s="10">
        <v>-2.37300733388739</v>
      </c>
      <c r="E1752" s="10">
        <v>7.3107545372819204E-3</v>
      </c>
      <c r="F1752" s="10">
        <v>-2.8815023081511</v>
      </c>
      <c r="G1752" s="10">
        <v>1.87834197028889E-4</v>
      </c>
    </row>
    <row r="1753" spans="1:7" x14ac:dyDescent="0.2">
      <c r="A1753" s="10" t="s">
        <v>4918</v>
      </c>
      <c r="B1753" s="10" t="s">
        <v>4919</v>
      </c>
      <c r="C1753" s="10" t="s">
        <v>18</v>
      </c>
      <c r="D1753" s="10">
        <v>1.32026502597019</v>
      </c>
      <c r="E1753" s="4">
        <v>2.5700465022046799E-11</v>
      </c>
      <c r="F1753" s="10">
        <v>1.2364453163453299</v>
      </c>
      <c r="G1753" s="4">
        <v>7.5687906372829701E-7</v>
      </c>
    </row>
    <row r="1754" spans="1:7" x14ac:dyDescent="0.2">
      <c r="A1754" s="10" t="s">
        <v>5736</v>
      </c>
      <c r="B1754" s="10" t="s">
        <v>5737</v>
      </c>
      <c r="C1754" s="10" t="s">
        <v>18</v>
      </c>
      <c r="D1754" s="10">
        <v>2.24514025245267</v>
      </c>
      <c r="E1754" s="4">
        <v>4.9924325457198098E-23</v>
      </c>
      <c r="F1754" s="10">
        <v>2.64220452650483</v>
      </c>
      <c r="G1754" s="4">
        <v>2.4141532689382399E-23</v>
      </c>
    </row>
    <row r="1755" spans="1:7" x14ac:dyDescent="0.2">
      <c r="A1755" s="10" t="s">
        <v>983</v>
      </c>
      <c r="B1755" s="10" t="s">
        <v>984</v>
      </c>
      <c r="C1755" s="10" t="s">
        <v>18</v>
      </c>
      <c r="D1755" s="10">
        <v>1.97437700924682</v>
      </c>
      <c r="E1755" s="4">
        <v>2.1687832119248E-6</v>
      </c>
      <c r="F1755" s="10">
        <v>-1.33718341344165</v>
      </c>
      <c r="G1755" s="4">
        <v>1.8496766235589301E-5</v>
      </c>
    </row>
    <row r="1756" spans="1:7" x14ac:dyDescent="0.2">
      <c r="A1756" s="10" t="s">
        <v>8252</v>
      </c>
      <c r="B1756" s="10" t="s">
        <v>8253</v>
      </c>
      <c r="C1756" s="10" t="s">
        <v>18</v>
      </c>
      <c r="D1756" s="10">
        <v>-1.80127445086389</v>
      </c>
      <c r="E1756" s="4">
        <v>3.8574697482090903E-11</v>
      </c>
      <c r="F1756" s="10">
        <v>-1.7967510730196301</v>
      </c>
      <c r="G1756" s="4">
        <v>1.9523353687169701E-7</v>
      </c>
    </row>
    <row r="1757" spans="1:7" x14ac:dyDescent="0.2">
      <c r="A1757" s="10" t="s">
        <v>7944</v>
      </c>
      <c r="B1757" s="10" t="s">
        <v>7945</v>
      </c>
      <c r="C1757" s="10" t="s">
        <v>18</v>
      </c>
      <c r="D1757" s="10">
        <v>-1.2139671452540599</v>
      </c>
      <c r="E1757" s="4">
        <v>2.4494012944027302E-7</v>
      </c>
      <c r="F1757" s="10">
        <v>-1.22689031190146</v>
      </c>
      <c r="G1757" s="4">
        <v>3.5721781910293402E-5</v>
      </c>
    </row>
    <row r="1758" spans="1:7" x14ac:dyDescent="0.2">
      <c r="A1758" s="10" t="s">
        <v>6232</v>
      </c>
      <c r="B1758" s="10" t="s">
        <v>6233</v>
      </c>
      <c r="C1758" s="10" t="s">
        <v>18</v>
      </c>
      <c r="D1758" s="10">
        <v>-1.7486699099732801</v>
      </c>
      <c r="E1758" s="4">
        <v>1.13794643126688E-10</v>
      </c>
      <c r="F1758" s="10">
        <v>1.57284503337939</v>
      </c>
      <c r="G1758" s="10">
        <v>1.36310524375997E-4</v>
      </c>
    </row>
    <row r="1759" spans="1:7" x14ac:dyDescent="0.2">
      <c r="A1759" s="10" t="s">
        <v>5968</v>
      </c>
      <c r="B1759" s="10" t="s">
        <v>5969</v>
      </c>
      <c r="C1759" s="10" t="s">
        <v>18</v>
      </c>
      <c r="D1759" s="10">
        <v>2.79439615594542</v>
      </c>
      <c r="E1759" s="4">
        <v>9.9686616982149309E-50</v>
      </c>
      <c r="F1759" s="10">
        <v>2.5055408359276798</v>
      </c>
      <c r="G1759" s="4">
        <v>1.3776152139641501E-21</v>
      </c>
    </row>
    <row r="1760" spans="1:7" x14ac:dyDescent="0.2">
      <c r="A1760" s="10" t="s">
        <v>2475</v>
      </c>
      <c r="B1760" s="10" t="s">
        <v>2476</v>
      </c>
      <c r="C1760" s="10" t="s">
        <v>18</v>
      </c>
      <c r="D1760" s="10">
        <v>-2.4135697467922701</v>
      </c>
      <c r="E1760" s="4">
        <v>3.9869351535987402E-20</v>
      </c>
      <c r="F1760" s="10">
        <v>-1.5564095933789399</v>
      </c>
      <c r="G1760" s="4">
        <v>1.03296639440923E-5</v>
      </c>
    </row>
    <row r="1761" spans="1:7" x14ac:dyDescent="0.2">
      <c r="A1761" s="10" t="s">
        <v>5782</v>
      </c>
      <c r="B1761" s="10" t="s">
        <v>5783</v>
      </c>
      <c r="C1761" s="10" t="s">
        <v>18</v>
      </c>
      <c r="D1761" s="10">
        <v>-1.69459034946702</v>
      </c>
      <c r="E1761" s="4">
        <v>4.0098200925042903E-15</v>
      </c>
      <c r="F1761" s="10">
        <v>-1.0039752785491201</v>
      </c>
      <c r="G1761" s="10">
        <v>5.7218209651201004E-4</v>
      </c>
    </row>
    <row r="1762" spans="1:7" x14ac:dyDescent="0.2">
      <c r="A1762" s="10" t="s">
        <v>2325</v>
      </c>
      <c r="B1762" s="10" t="s">
        <v>2326</v>
      </c>
      <c r="C1762" s="10" t="s">
        <v>18</v>
      </c>
      <c r="D1762" s="10">
        <v>1.47473029240868</v>
      </c>
      <c r="E1762" s="4">
        <v>1.47381311308394E-12</v>
      </c>
      <c r="F1762" s="10">
        <v>1.5640430869389801</v>
      </c>
      <c r="G1762" s="4">
        <v>5.8317788673640199E-8</v>
      </c>
    </row>
    <row r="1763" spans="1:7" x14ac:dyDescent="0.2">
      <c r="A1763" s="10" t="s">
        <v>1121</v>
      </c>
      <c r="B1763" s="10" t="s">
        <v>1122</v>
      </c>
      <c r="C1763" s="10" t="s">
        <v>18</v>
      </c>
      <c r="D1763" s="10">
        <v>-1.18762125375776</v>
      </c>
      <c r="E1763" s="4">
        <v>1.25044908247931E-10</v>
      </c>
      <c r="F1763" s="10">
        <v>-1.03381702445614</v>
      </c>
      <c r="G1763" s="10">
        <v>1.1677848249365E-4</v>
      </c>
    </row>
    <row r="1764" spans="1:7" x14ac:dyDescent="0.2">
      <c r="A1764" s="10" t="s">
        <v>3839</v>
      </c>
      <c r="B1764" s="10" t="s">
        <v>3840</v>
      </c>
      <c r="C1764" s="10" t="s">
        <v>18</v>
      </c>
      <c r="D1764" s="10">
        <v>1.13611468867246</v>
      </c>
      <c r="E1764" s="10">
        <v>1.7138940032411501E-3</v>
      </c>
      <c r="F1764" s="10">
        <v>-2.0560984106022899</v>
      </c>
      <c r="G1764" s="4">
        <v>1.3077893633277001E-12</v>
      </c>
    </row>
    <row r="1765" spans="1:7" x14ac:dyDescent="0.2">
      <c r="A1765" s="10" t="s">
        <v>1163</v>
      </c>
      <c r="B1765" s="10" t="s">
        <v>1164</v>
      </c>
      <c r="C1765" s="10" t="s">
        <v>18</v>
      </c>
      <c r="D1765" s="10">
        <v>7.0447642386778497</v>
      </c>
      <c r="E1765" s="4">
        <v>4.6148128343910298E-42</v>
      </c>
      <c r="F1765" s="10">
        <v>8.6168297178208597</v>
      </c>
      <c r="G1765" s="4">
        <v>1.6927222418641199E-28</v>
      </c>
    </row>
    <row r="1766" spans="1:7" x14ac:dyDescent="0.2">
      <c r="A1766" s="10" t="s">
        <v>6354</v>
      </c>
      <c r="B1766" s="10" t="s">
        <v>6355</v>
      </c>
      <c r="C1766" s="10" t="s">
        <v>18</v>
      </c>
      <c r="D1766" s="10">
        <v>2.4525740462613301</v>
      </c>
      <c r="E1766" s="4">
        <v>7.8528282267615902E-24</v>
      </c>
      <c r="F1766" s="10">
        <v>2.24540091861319</v>
      </c>
      <c r="G1766" s="4">
        <v>3.6948288137786898E-13</v>
      </c>
    </row>
    <row r="1767" spans="1:7" x14ac:dyDescent="0.2">
      <c r="A1767" s="10" t="s">
        <v>3323</v>
      </c>
      <c r="B1767" s="10" t="s">
        <v>3324</v>
      </c>
      <c r="C1767" s="10" t="s">
        <v>18</v>
      </c>
      <c r="D1767" s="10">
        <v>1.06062138035357</v>
      </c>
      <c r="E1767" s="4">
        <v>5.3943446222189597E-9</v>
      </c>
      <c r="F1767" s="10">
        <v>1.1934040411539799</v>
      </c>
      <c r="G1767" s="4">
        <v>9.0028191930717304E-7</v>
      </c>
    </row>
    <row r="1768" spans="1:7" x14ac:dyDescent="0.2">
      <c r="A1768" s="10" t="s">
        <v>4236</v>
      </c>
      <c r="B1768" s="10" t="s">
        <v>4237</v>
      </c>
      <c r="C1768" s="10" t="s">
        <v>18</v>
      </c>
      <c r="D1768" s="10">
        <v>1.5481877415799301</v>
      </c>
      <c r="E1768" s="4">
        <v>1.5465438218190999E-16</v>
      </c>
      <c r="F1768" s="10">
        <v>1.5450254875751701</v>
      </c>
      <c r="G1768" s="4">
        <v>8.8513920411801596E-10</v>
      </c>
    </row>
    <row r="1769" spans="1:7" x14ac:dyDescent="0.2">
      <c r="A1769" s="10" t="s">
        <v>1735</v>
      </c>
      <c r="B1769" s="10" t="s">
        <v>1736</v>
      </c>
      <c r="C1769" s="10" t="s">
        <v>18</v>
      </c>
      <c r="D1769" s="10">
        <v>6.1496331538653601</v>
      </c>
      <c r="E1769" s="4">
        <v>2.17258877388627E-32</v>
      </c>
      <c r="F1769" s="10">
        <v>6.41050464907884</v>
      </c>
      <c r="G1769" s="4">
        <v>3.3652085361025398E-32</v>
      </c>
    </row>
    <row r="1770" spans="1:7" x14ac:dyDescent="0.2">
      <c r="A1770" s="10" t="s">
        <v>6284</v>
      </c>
      <c r="B1770" s="10" t="s">
        <v>6285</v>
      </c>
      <c r="C1770" s="10" t="s">
        <v>18</v>
      </c>
      <c r="D1770" s="10">
        <v>4.2740773190325898</v>
      </c>
      <c r="E1770" s="4">
        <v>2.6666643686761801E-25</v>
      </c>
      <c r="F1770" s="10">
        <v>4.1218624662076602</v>
      </c>
      <c r="G1770" s="4">
        <v>7.3444910679122194E-24</v>
      </c>
    </row>
    <row r="1771" spans="1:7" x14ac:dyDescent="0.2">
      <c r="A1771" s="10" t="s">
        <v>3881</v>
      </c>
      <c r="B1771" s="10" t="s">
        <v>3882</v>
      </c>
      <c r="C1771" s="10" t="s">
        <v>18</v>
      </c>
      <c r="D1771" s="10">
        <v>1.0732528623326201</v>
      </c>
      <c r="E1771" s="4">
        <v>6.2554739971349701E-7</v>
      </c>
      <c r="F1771" s="10">
        <v>1.3613171231240799</v>
      </c>
      <c r="G1771" s="4">
        <v>2.1595530267189701E-6</v>
      </c>
    </row>
    <row r="1772" spans="1:7" x14ac:dyDescent="0.2">
      <c r="A1772" s="10" t="s">
        <v>6260</v>
      </c>
      <c r="B1772" s="10" t="s">
        <v>6261</v>
      </c>
      <c r="C1772" s="10" t="s">
        <v>18</v>
      </c>
      <c r="D1772" s="10">
        <v>-2.1672619641231199</v>
      </c>
      <c r="E1772" s="4">
        <v>9.7150574839738295E-20</v>
      </c>
      <c r="F1772" s="10">
        <v>-1.4136601379107101</v>
      </c>
      <c r="G1772" s="4">
        <v>1.4561338967075701E-6</v>
      </c>
    </row>
    <row r="1773" spans="1:7" x14ac:dyDescent="0.2">
      <c r="A1773" s="10" t="s">
        <v>4500</v>
      </c>
      <c r="B1773" s="10" t="s">
        <v>4501</v>
      </c>
      <c r="C1773" s="10" t="s">
        <v>18</v>
      </c>
      <c r="D1773" s="10">
        <v>1.42358420454473</v>
      </c>
      <c r="E1773" s="4">
        <v>2.1278033404759E-6</v>
      </c>
      <c r="F1773" s="10">
        <v>1.0639328996814901</v>
      </c>
      <c r="G1773" s="10">
        <v>1.77954548474373E-3</v>
      </c>
    </row>
    <row r="1774" spans="1:7" x14ac:dyDescent="0.2">
      <c r="A1774" s="10" t="s">
        <v>6480</v>
      </c>
      <c r="B1774" s="10" t="s">
        <v>6481</v>
      </c>
      <c r="C1774" s="10" t="s">
        <v>18</v>
      </c>
      <c r="D1774" s="10">
        <v>-1.1438403997545099</v>
      </c>
      <c r="E1774" s="4">
        <v>5.4126720270615602E-9</v>
      </c>
      <c r="F1774" s="10">
        <v>-1.1491293251671999</v>
      </c>
      <c r="G1774" s="4">
        <v>5.7393744544983496E-6</v>
      </c>
    </row>
    <row r="1775" spans="1:7" x14ac:dyDescent="0.2">
      <c r="A1775" s="10" t="s">
        <v>2349</v>
      </c>
      <c r="B1775" s="10" t="s">
        <v>2350</v>
      </c>
      <c r="C1775" s="10" t="s">
        <v>18</v>
      </c>
      <c r="D1775" s="10">
        <v>-2.2151989485497698</v>
      </c>
      <c r="E1775" s="4">
        <v>1.68971746775743E-9</v>
      </c>
      <c r="F1775" s="10">
        <v>-2.9798180243365899</v>
      </c>
      <c r="G1775" s="4">
        <v>2.7669782186977901E-17</v>
      </c>
    </row>
    <row r="1776" spans="1:7" x14ac:dyDescent="0.2">
      <c r="A1776" s="10" t="s">
        <v>5374</v>
      </c>
      <c r="B1776" s="10" t="s">
        <v>5375</v>
      </c>
      <c r="C1776" s="10" t="s">
        <v>18</v>
      </c>
      <c r="D1776" s="10">
        <v>2.7293273575283998</v>
      </c>
      <c r="E1776" s="4">
        <v>2.06686828722286E-36</v>
      </c>
      <c r="F1776" s="10">
        <v>3.5143284507075099</v>
      </c>
      <c r="G1776" s="4">
        <v>3.8964614141354E-37</v>
      </c>
    </row>
    <row r="1777" spans="1:7" x14ac:dyDescent="0.2">
      <c r="A1777" s="10" t="s">
        <v>5044</v>
      </c>
      <c r="B1777" s="10" t="s">
        <v>5045</v>
      </c>
      <c r="C1777" s="10" t="s">
        <v>18</v>
      </c>
      <c r="D1777" s="10">
        <v>2.2566364252592401</v>
      </c>
      <c r="E1777" s="4">
        <v>2.6036386815327899E-11</v>
      </c>
      <c r="F1777" s="10">
        <v>3.6268754872911901</v>
      </c>
      <c r="G1777" s="4">
        <v>8.5602415384880203E-21</v>
      </c>
    </row>
    <row r="1778" spans="1:7" x14ac:dyDescent="0.2">
      <c r="A1778" s="10" t="s">
        <v>7670</v>
      </c>
      <c r="B1778" s="10" t="s">
        <v>7671</v>
      </c>
      <c r="C1778" s="10" t="s">
        <v>18</v>
      </c>
      <c r="D1778" s="10">
        <v>1.33412256415761</v>
      </c>
      <c r="E1778" s="4">
        <v>8.1801932680460103E-13</v>
      </c>
      <c r="F1778" s="10">
        <v>1.25181395941</v>
      </c>
      <c r="G1778" s="4">
        <v>3.3363254503845098E-7</v>
      </c>
    </row>
    <row r="1779" spans="1:7" x14ac:dyDescent="0.2">
      <c r="A1779" s="10" t="s">
        <v>7796</v>
      </c>
      <c r="B1779" s="10" t="s">
        <v>7797</v>
      </c>
      <c r="C1779" s="10" t="s">
        <v>18</v>
      </c>
      <c r="D1779" s="10">
        <v>5.17342127885364</v>
      </c>
      <c r="E1779" s="4">
        <v>5.2760251015416098E-33</v>
      </c>
      <c r="F1779" s="10">
        <v>5.2382453386149699</v>
      </c>
      <c r="G1779" s="4">
        <v>2.3358958961384101E-31</v>
      </c>
    </row>
    <row r="1780" spans="1:7" x14ac:dyDescent="0.2">
      <c r="A1780" s="10" t="s">
        <v>4167</v>
      </c>
      <c r="B1780" s="10" t="s">
        <v>4168</v>
      </c>
      <c r="C1780" s="10" t="s">
        <v>18</v>
      </c>
      <c r="D1780" s="10">
        <v>-1.6999471550374301</v>
      </c>
      <c r="E1780" s="4">
        <v>3.5358421737686098E-17</v>
      </c>
      <c r="F1780" s="10">
        <v>-1.00817368805455</v>
      </c>
      <c r="G1780" s="10">
        <v>1.12014552874798E-4</v>
      </c>
    </row>
    <row r="1781" spans="1:7" x14ac:dyDescent="0.2">
      <c r="A1781" s="10" t="s">
        <v>7132</v>
      </c>
      <c r="B1781" s="10" t="s">
        <v>7133</v>
      </c>
      <c r="C1781" s="10" t="s">
        <v>18</v>
      </c>
      <c r="D1781" s="10">
        <v>1.9900994117936199</v>
      </c>
      <c r="E1781" s="4">
        <v>8.8961839376732397E-17</v>
      </c>
      <c r="F1781" s="10">
        <v>1.24606015763954</v>
      </c>
      <c r="G1781" s="4">
        <v>1.6435416793835499E-5</v>
      </c>
    </row>
    <row r="1782" spans="1:7" x14ac:dyDescent="0.2">
      <c r="A1782" s="10" t="s">
        <v>6406</v>
      </c>
      <c r="B1782" s="10" t="s">
        <v>6407</v>
      </c>
      <c r="C1782" s="10" t="s">
        <v>18</v>
      </c>
      <c r="D1782" s="10">
        <v>-2.1740030979899898</v>
      </c>
      <c r="E1782" s="4">
        <v>5.7447548342286998E-22</v>
      </c>
      <c r="F1782" s="10">
        <v>-3.36468638168901</v>
      </c>
      <c r="G1782" s="4">
        <v>1.09697212379406E-31</v>
      </c>
    </row>
    <row r="1783" spans="1:7" x14ac:dyDescent="0.2">
      <c r="A1783" s="10" t="s">
        <v>5040</v>
      </c>
      <c r="B1783" s="10" t="s">
        <v>5041</v>
      </c>
      <c r="C1783" s="10" t="s">
        <v>18</v>
      </c>
      <c r="D1783" s="10">
        <v>1.5728342566937501</v>
      </c>
      <c r="E1783" s="4">
        <v>1.5424331867393599E-12</v>
      </c>
      <c r="F1783" s="10">
        <v>1.2800175020659501</v>
      </c>
      <c r="G1783" s="4">
        <v>1.30117108881638E-5</v>
      </c>
    </row>
    <row r="1784" spans="1:7" x14ac:dyDescent="0.2">
      <c r="A1784" s="10" t="s">
        <v>5452</v>
      </c>
      <c r="B1784" s="10" t="s">
        <v>5453</v>
      </c>
      <c r="C1784" s="10" t="s">
        <v>18</v>
      </c>
      <c r="D1784" s="10">
        <v>1.9925073335610399</v>
      </c>
      <c r="E1784" s="4">
        <v>3.2129151791398699E-28</v>
      </c>
      <c r="F1784" s="10">
        <v>3.38477916267238</v>
      </c>
      <c r="G1784" s="4">
        <v>4.7144104151341098E-36</v>
      </c>
    </row>
    <row r="1785" spans="1:7" x14ac:dyDescent="0.2">
      <c r="A1785" s="10" t="s">
        <v>1471</v>
      </c>
      <c r="B1785" s="10" t="s">
        <v>1472</v>
      </c>
      <c r="C1785" s="10" t="s">
        <v>18</v>
      </c>
      <c r="D1785" s="10">
        <v>1.33975782677574</v>
      </c>
      <c r="E1785" s="4">
        <v>2.02338227743692E-12</v>
      </c>
      <c r="F1785" s="10">
        <v>1.9843039598159899</v>
      </c>
      <c r="G1785" s="4">
        <v>8.3014652442336E-15</v>
      </c>
    </row>
    <row r="1786" spans="1:7" x14ac:dyDescent="0.2">
      <c r="A1786" s="10" t="s">
        <v>6664</v>
      </c>
      <c r="B1786" s="10" t="s">
        <v>6665</v>
      </c>
      <c r="C1786" s="10" t="s">
        <v>18</v>
      </c>
      <c r="D1786" s="10">
        <v>2.90255294147335</v>
      </c>
      <c r="E1786" s="4">
        <v>7.6702884007425496E-38</v>
      </c>
      <c r="F1786" s="10">
        <v>2.4370031349582701</v>
      </c>
      <c r="G1786" s="4">
        <v>1.97344355213756E-25</v>
      </c>
    </row>
    <row r="1787" spans="1:7" x14ac:dyDescent="0.2">
      <c r="A1787" s="10" t="s">
        <v>7472</v>
      </c>
      <c r="B1787" s="10" t="s">
        <v>7473</v>
      </c>
      <c r="C1787" s="10" t="s">
        <v>18</v>
      </c>
      <c r="D1787" s="10">
        <v>-1.58016235267495</v>
      </c>
      <c r="E1787" s="4">
        <v>6.6924505583026398E-5</v>
      </c>
      <c r="F1787" s="10">
        <v>-2.0781102810004</v>
      </c>
      <c r="G1787" s="4">
        <v>2.8784981576407499E-8</v>
      </c>
    </row>
    <row r="1788" spans="1:7" x14ac:dyDescent="0.2">
      <c r="A1788" s="10" t="s">
        <v>7876</v>
      </c>
      <c r="B1788" s="10" t="s">
        <v>7877</v>
      </c>
      <c r="C1788" s="10" t="s">
        <v>18</v>
      </c>
      <c r="D1788" s="10">
        <v>-1.41454668071172</v>
      </c>
      <c r="E1788" s="4">
        <v>1.8374276747608599E-8</v>
      </c>
      <c r="F1788" s="10">
        <v>-1.04274761622054</v>
      </c>
      <c r="G1788" s="10">
        <v>8.9623658675841401E-4</v>
      </c>
    </row>
    <row r="1789" spans="1:7" x14ac:dyDescent="0.2">
      <c r="A1789" s="10" t="s">
        <v>4982</v>
      </c>
      <c r="B1789" s="10" t="s">
        <v>4983</v>
      </c>
      <c r="C1789" s="10" t="s">
        <v>18</v>
      </c>
      <c r="D1789" s="10">
        <v>-1.33790040916218</v>
      </c>
      <c r="E1789" s="4">
        <v>4.1671067958610097E-8</v>
      </c>
      <c r="F1789" s="10">
        <v>-1.66359224899771</v>
      </c>
      <c r="G1789" s="4">
        <v>1.0480319659637799E-8</v>
      </c>
    </row>
    <row r="1790" spans="1:7" x14ac:dyDescent="0.2">
      <c r="A1790" s="10" t="s">
        <v>5740</v>
      </c>
      <c r="B1790" s="10" t="s">
        <v>5741</v>
      </c>
      <c r="C1790" s="10" t="s">
        <v>18</v>
      </c>
      <c r="D1790" s="10">
        <v>7.0168555582280501</v>
      </c>
      <c r="E1790" s="4">
        <v>4.0075957735880903E-5</v>
      </c>
      <c r="F1790" s="10">
        <v>2.8695591854028701</v>
      </c>
      <c r="G1790" s="10">
        <v>3.73614998686489E-3</v>
      </c>
    </row>
    <row r="1791" spans="1:7" x14ac:dyDescent="0.2">
      <c r="A1791" s="10" t="s">
        <v>2405</v>
      </c>
      <c r="B1791" s="10" t="s">
        <v>2406</v>
      </c>
      <c r="C1791" s="10" t="s">
        <v>18</v>
      </c>
      <c r="D1791" s="10">
        <v>-1.1721714171093001</v>
      </c>
      <c r="E1791" s="4">
        <v>2.4681266394787597E-7</v>
      </c>
      <c r="F1791" s="10">
        <v>-1.54338379549861</v>
      </c>
      <c r="G1791" s="4">
        <v>8.7583606043295201E-9</v>
      </c>
    </row>
    <row r="1792" spans="1:7" x14ac:dyDescent="0.2">
      <c r="A1792" s="10" t="s">
        <v>8224</v>
      </c>
      <c r="B1792" s="10" t="s">
        <v>8225</v>
      </c>
      <c r="C1792" s="10" t="s">
        <v>18</v>
      </c>
      <c r="D1792" s="10">
        <v>-1.29317110010687</v>
      </c>
      <c r="E1792" s="4">
        <v>1.6223889919319598E-5</v>
      </c>
      <c r="F1792" s="10">
        <v>-1.1016382782093901</v>
      </c>
      <c r="G1792" s="10">
        <v>1.84110979049646E-3</v>
      </c>
    </row>
    <row r="1793" spans="1:7" x14ac:dyDescent="0.2">
      <c r="A1793" s="10" t="s">
        <v>8050</v>
      </c>
      <c r="B1793" s="10" t="s">
        <v>8051</v>
      </c>
      <c r="C1793" s="10" t="s">
        <v>18</v>
      </c>
      <c r="D1793" s="10">
        <v>-1.59319189788605</v>
      </c>
      <c r="E1793" s="4">
        <v>4.6775655218089299E-12</v>
      </c>
      <c r="F1793" s="10">
        <v>-1.12536268250255</v>
      </c>
      <c r="G1793" s="10">
        <v>1.13544447801953E-4</v>
      </c>
    </row>
    <row r="1794" spans="1:7" x14ac:dyDescent="0.2">
      <c r="A1794" s="10" t="s">
        <v>3131</v>
      </c>
      <c r="B1794" s="10" t="s">
        <v>3132</v>
      </c>
      <c r="C1794" s="10" t="s">
        <v>18</v>
      </c>
      <c r="D1794" s="10">
        <v>-1.19992539679097</v>
      </c>
      <c r="E1794" s="4">
        <v>2.2444880996683501E-6</v>
      </c>
      <c r="F1794" s="10">
        <v>-1.40838966534592</v>
      </c>
      <c r="G1794" s="4">
        <v>1.03870474658158E-6</v>
      </c>
    </row>
    <row r="1795" spans="1:7" x14ac:dyDescent="0.2">
      <c r="A1795" s="10" t="s">
        <v>2401</v>
      </c>
      <c r="B1795" s="10" t="s">
        <v>2402</v>
      </c>
      <c r="C1795" s="10" t="s">
        <v>18</v>
      </c>
      <c r="D1795" s="10">
        <v>5.3901567690433501</v>
      </c>
      <c r="E1795" s="4">
        <v>1.1082532432703801E-11</v>
      </c>
      <c r="F1795" s="10">
        <v>1.47163805391444</v>
      </c>
      <c r="G1795" s="10">
        <v>8.5469176053734901E-4</v>
      </c>
    </row>
    <row r="1796" spans="1:7" x14ac:dyDescent="0.2">
      <c r="A1796" s="10" t="s">
        <v>2677</v>
      </c>
      <c r="B1796" s="10" t="s">
        <v>2678</v>
      </c>
      <c r="C1796" s="10" t="s">
        <v>18</v>
      </c>
      <c r="D1796" s="10">
        <v>3.1457613851185999</v>
      </c>
      <c r="E1796" s="4">
        <v>2.56700852936344E-30</v>
      </c>
      <c r="F1796" s="10">
        <v>1.0624154931793801</v>
      </c>
      <c r="G1796" s="10">
        <v>3.58243278313353E-4</v>
      </c>
    </row>
    <row r="1797" spans="1:7" x14ac:dyDescent="0.2">
      <c r="A1797" s="10" t="s">
        <v>2127</v>
      </c>
      <c r="B1797" s="10" t="s">
        <v>2128</v>
      </c>
      <c r="C1797" s="10" t="s">
        <v>18</v>
      </c>
      <c r="D1797" s="10">
        <v>1.2488162841272299</v>
      </c>
      <c r="E1797" s="4">
        <v>4.2744098214853902E-5</v>
      </c>
      <c r="F1797" s="10">
        <v>1.8762194695732699</v>
      </c>
      <c r="G1797" s="4">
        <v>3.5770748653528398E-7</v>
      </c>
    </row>
    <row r="1798" spans="1:7" x14ac:dyDescent="0.2">
      <c r="A1798" s="10" t="s">
        <v>8316</v>
      </c>
      <c r="B1798" s="10" t="s">
        <v>8317</v>
      </c>
      <c r="C1798" s="10" t="s">
        <v>18</v>
      </c>
      <c r="D1798" s="10">
        <v>4.0773295484265502</v>
      </c>
      <c r="E1798" s="4">
        <v>4.1376729890610698E-11</v>
      </c>
      <c r="F1798" s="10">
        <v>2.5688050917776302</v>
      </c>
      <c r="G1798" s="4">
        <v>3.1704140463581898E-7</v>
      </c>
    </row>
    <row r="1799" spans="1:7" x14ac:dyDescent="0.2">
      <c r="A1799" s="10" t="s">
        <v>8694</v>
      </c>
      <c r="B1799" s="10" t="s">
        <v>8695</v>
      </c>
      <c r="C1799" s="10" t="s">
        <v>18</v>
      </c>
      <c r="D1799" s="10">
        <v>1.47539088303191</v>
      </c>
      <c r="E1799" s="10">
        <v>1.5806864660697899E-2</v>
      </c>
      <c r="F1799" s="10">
        <v>1.8318305695105099</v>
      </c>
      <c r="G1799" s="10">
        <v>3.3305714816341601E-3</v>
      </c>
    </row>
    <row r="1800" spans="1:7" x14ac:dyDescent="0.2">
      <c r="A1800" s="10" t="s">
        <v>1509</v>
      </c>
      <c r="B1800" s="10" t="s">
        <v>1510</v>
      </c>
      <c r="C1800" s="10" t="s">
        <v>18</v>
      </c>
      <c r="D1800" s="10">
        <v>-2.0244376154688801</v>
      </c>
      <c r="E1800" s="4">
        <v>1.1939154196921599E-13</v>
      </c>
      <c r="F1800" s="10">
        <v>-1.6765027740088401</v>
      </c>
      <c r="G1800" s="4">
        <v>2.0592697921880599E-7</v>
      </c>
    </row>
    <row r="1801" spans="1:7" x14ac:dyDescent="0.2">
      <c r="A1801" s="10" t="s">
        <v>6104</v>
      </c>
      <c r="B1801" s="10" t="s">
        <v>6105</v>
      </c>
      <c r="C1801" s="10" t="s">
        <v>18</v>
      </c>
      <c r="D1801" s="10">
        <v>6.0234952695283299</v>
      </c>
      <c r="E1801" s="4">
        <v>2.32982793390387E-52</v>
      </c>
      <c r="F1801" s="10">
        <v>4.0412724399017304</v>
      </c>
      <c r="G1801" s="4">
        <v>1.2911460044070099E-37</v>
      </c>
    </row>
    <row r="1802" spans="1:7" x14ac:dyDescent="0.2">
      <c r="A1802" s="10" t="s">
        <v>4386</v>
      </c>
      <c r="B1802" s="10" t="s">
        <v>4387</v>
      </c>
      <c r="C1802" s="10" t="s">
        <v>18</v>
      </c>
      <c r="D1802" s="10">
        <v>-1.01301034179222</v>
      </c>
      <c r="E1802" s="4">
        <v>1.7854865507401299E-5</v>
      </c>
      <c r="F1802" s="10">
        <v>1.8344517431465801</v>
      </c>
      <c r="G1802" s="4">
        <v>2.2436982347059201E-7</v>
      </c>
    </row>
    <row r="1803" spans="1:7" x14ac:dyDescent="0.2">
      <c r="A1803" s="10" t="s">
        <v>5980</v>
      </c>
      <c r="B1803" s="10" t="s">
        <v>5981</v>
      </c>
      <c r="C1803" s="10" t="s">
        <v>18</v>
      </c>
      <c r="D1803" s="10">
        <v>3.3603410448681101</v>
      </c>
      <c r="E1803" s="4">
        <v>1.3612220730264399E-10</v>
      </c>
      <c r="F1803" s="10">
        <v>1.84094918186463</v>
      </c>
      <c r="G1803" s="4">
        <v>5.3397408304894802E-5</v>
      </c>
    </row>
    <row r="1804" spans="1:7" x14ac:dyDescent="0.2">
      <c r="A1804" s="10" t="s">
        <v>5958</v>
      </c>
      <c r="B1804" s="10" t="s">
        <v>5959</v>
      </c>
      <c r="C1804" s="10" t="s">
        <v>18</v>
      </c>
      <c r="D1804" s="10">
        <v>3.00539336995215</v>
      </c>
      <c r="E1804" s="10">
        <v>7.7934757586245104E-4</v>
      </c>
      <c r="F1804" s="10">
        <v>2.0951209187819999</v>
      </c>
      <c r="G1804" s="10">
        <v>5.6205477579886398E-3</v>
      </c>
    </row>
    <row r="1805" spans="1:7" x14ac:dyDescent="0.2">
      <c r="A1805" s="10" t="s">
        <v>261</v>
      </c>
      <c r="B1805" s="10" t="s">
        <v>262</v>
      </c>
      <c r="C1805" s="10" t="s">
        <v>18</v>
      </c>
      <c r="D1805" s="10">
        <v>-1.9089016202184601</v>
      </c>
      <c r="E1805" s="4">
        <v>9.7371459986552795E-13</v>
      </c>
      <c r="F1805" s="10">
        <v>-1.5447337958257701</v>
      </c>
      <c r="G1805" s="4">
        <v>7.0804935576490403E-6</v>
      </c>
    </row>
    <row r="1806" spans="1:7" x14ac:dyDescent="0.2">
      <c r="A1806" s="10" t="s">
        <v>1647</v>
      </c>
      <c r="B1806" s="10" t="s">
        <v>1648</v>
      </c>
      <c r="C1806" s="10" t="s">
        <v>18</v>
      </c>
      <c r="D1806" s="10">
        <v>8.8720336317755706</v>
      </c>
      <c r="E1806" s="4">
        <v>7.9269805169781003E-32</v>
      </c>
      <c r="F1806" s="10">
        <v>7.6640102717566201</v>
      </c>
      <c r="G1806" s="4">
        <v>3.8544830904369498E-50</v>
      </c>
    </row>
    <row r="1807" spans="1:7" x14ac:dyDescent="0.2">
      <c r="A1807" s="10" t="s">
        <v>2085</v>
      </c>
      <c r="B1807" s="10" t="s">
        <v>2086</v>
      </c>
      <c r="C1807" s="10" t="s">
        <v>18</v>
      </c>
      <c r="D1807" s="10">
        <v>1.36660590233988</v>
      </c>
      <c r="E1807" s="4">
        <v>3.65422941839285E-12</v>
      </c>
      <c r="F1807" s="10">
        <v>1.1619720196379699</v>
      </c>
      <c r="G1807" s="4">
        <v>1.2365379935299201E-5</v>
      </c>
    </row>
    <row r="1808" spans="1:7" x14ac:dyDescent="0.2">
      <c r="A1808" s="10" t="s">
        <v>129</v>
      </c>
      <c r="B1808" s="10" t="s">
        <v>130</v>
      </c>
      <c r="C1808" s="10" t="s">
        <v>18</v>
      </c>
      <c r="D1808" s="10">
        <v>-1.8689901306696299</v>
      </c>
      <c r="E1808" s="4">
        <v>1.0505321538654699E-14</v>
      </c>
      <c r="F1808" s="10">
        <v>-1.29331561694331</v>
      </c>
      <c r="G1808" s="4">
        <v>2.5205240394079199E-5</v>
      </c>
    </row>
    <row r="1809" spans="1:7" x14ac:dyDescent="0.2">
      <c r="A1809" s="10" t="s">
        <v>323</v>
      </c>
      <c r="B1809" s="10" t="s">
        <v>324</v>
      </c>
      <c r="C1809" s="10" t="s">
        <v>18</v>
      </c>
      <c r="D1809" s="10">
        <v>-1.7655082791346901</v>
      </c>
      <c r="E1809" s="4">
        <v>2.2123196152421599E-8</v>
      </c>
      <c r="F1809" s="10">
        <v>-1.4224260391680801</v>
      </c>
      <c r="G1809" s="4">
        <v>9.6992875338089605E-5</v>
      </c>
    </row>
    <row r="1810" spans="1:7" x14ac:dyDescent="0.2">
      <c r="A1810" s="10" t="s">
        <v>6282</v>
      </c>
      <c r="B1810" s="10" t="s">
        <v>6283</v>
      </c>
      <c r="C1810" s="10" t="s">
        <v>18</v>
      </c>
      <c r="D1810" s="10">
        <v>-1.1769777916189099</v>
      </c>
      <c r="E1810" s="4">
        <v>1.5618944057476299E-5</v>
      </c>
      <c r="F1810" s="10">
        <v>-1.1470437681905501</v>
      </c>
      <c r="G1810" s="10">
        <v>2.02907897953848E-4</v>
      </c>
    </row>
    <row r="1811" spans="1:7" x14ac:dyDescent="0.2">
      <c r="A1811" s="10" t="s">
        <v>3105</v>
      </c>
      <c r="B1811" s="10" t="s">
        <v>3106</v>
      </c>
      <c r="C1811" s="10" t="s">
        <v>18</v>
      </c>
      <c r="D1811" s="10">
        <v>1.0521040621275899</v>
      </c>
      <c r="E1811" s="4">
        <v>1.0667850194360801E-7</v>
      </c>
      <c r="F1811" s="10">
        <v>1.56240023836025</v>
      </c>
      <c r="G1811" s="4">
        <v>2.7085608960002801E-7</v>
      </c>
    </row>
    <row r="1812" spans="1:7" x14ac:dyDescent="0.2">
      <c r="A1812" s="10" t="s">
        <v>3879</v>
      </c>
      <c r="B1812" s="10" t="s">
        <v>3880</v>
      </c>
      <c r="C1812" s="10" t="s">
        <v>18</v>
      </c>
      <c r="D1812" s="10">
        <v>1.8825950539521601</v>
      </c>
      <c r="E1812" s="4">
        <v>3.6716298164670101E-20</v>
      </c>
      <c r="F1812" s="10">
        <v>2.69806536606619</v>
      </c>
      <c r="G1812" s="4">
        <v>3.4054582668256103E-24</v>
      </c>
    </row>
    <row r="1813" spans="1:7" x14ac:dyDescent="0.2">
      <c r="A1813" s="10" t="s">
        <v>8356</v>
      </c>
      <c r="B1813" s="10" t="s">
        <v>8357</v>
      </c>
      <c r="C1813" s="10" t="s">
        <v>18</v>
      </c>
      <c r="D1813" s="10">
        <v>-1.0421915802000501</v>
      </c>
      <c r="E1813" s="10">
        <v>1.1408442429908399E-3</v>
      </c>
      <c r="F1813" s="10">
        <v>-1.9126760294796901</v>
      </c>
      <c r="G1813" s="4">
        <v>1.4458315360349601E-7</v>
      </c>
    </row>
    <row r="1814" spans="1:7" x14ac:dyDescent="0.2">
      <c r="A1814" s="10" t="s">
        <v>4808</v>
      </c>
      <c r="B1814" s="10" t="s">
        <v>4809</v>
      </c>
      <c r="C1814" s="10" t="s">
        <v>18</v>
      </c>
      <c r="D1814" s="10">
        <v>-2.00838881545226</v>
      </c>
      <c r="E1814" s="4">
        <v>1.69759596797423E-9</v>
      </c>
      <c r="F1814" s="10">
        <v>-1.7507899007307901</v>
      </c>
      <c r="G1814" s="4">
        <v>5.0442148667754598E-6</v>
      </c>
    </row>
    <row r="1815" spans="1:7" x14ac:dyDescent="0.2">
      <c r="A1815" s="10" t="s">
        <v>4139</v>
      </c>
      <c r="B1815" s="10" t="s">
        <v>4140</v>
      </c>
      <c r="C1815" s="10" t="s">
        <v>18</v>
      </c>
      <c r="D1815" s="10">
        <v>2.0212480071293801</v>
      </c>
      <c r="E1815" s="4">
        <v>9.9923011088840001E-16</v>
      </c>
      <c r="F1815" s="10">
        <v>1.83734877192569</v>
      </c>
      <c r="G1815" s="4">
        <v>9.3263807564022994E-10</v>
      </c>
    </row>
    <row r="1816" spans="1:7" x14ac:dyDescent="0.2">
      <c r="A1816" s="10" t="s">
        <v>8140</v>
      </c>
      <c r="B1816" s="10" t="s">
        <v>8141</v>
      </c>
      <c r="C1816" s="10" t="s">
        <v>18</v>
      </c>
      <c r="D1816" s="10">
        <v>1.24507731550678</v>
      </c>
      <c r="E1816" s="10">
        <v>3.0779538215206398E-4</v>
      </c>
      <c r="F1816" s="10">
        <v>1.4414826668037299</v>
      </c>
      <c r="G1816" s="10">
        <v>1.8063432988601899E-4</v>
      </c>
    </row>
    <row r="1817" spans="1:7" x14ac:dyDescent="0.2">
      <c r="A1817" s="10" t="s">
        <v>7158</v>
      </c>
      <c r="B1817" s="10" t="s">
        <v>7159</v>
      </c>
      <c r="C1817" s="10" t="s">
        <v>18</v>
      </c>
      <c r="D1817" s="10">
        <v>-1.17650023877146</v>
      </c>
      <c r="E1817" s="4">
        <v>1.37493466612156E-8</v>
      </c>
      <c r="F1817" s="10">
        <v>-1.2502935730368001</v>
      </c>
      <c r="G1817" s="4">
        <v>7.8657788402316703E-7</v>
      </c>
    </row>
    <row r="1818" spans="1:7" x14ac:dyDescent="0.2">
      <c r="A1818" s="10" t="s">
        <v>5704</v>
      </c>
      <c r="B1818" s="10" t="s">
        <v>5705</v>
      </c>
      <c r="C1818" s="10" t="s">
        <v>18</v>
      </c>
      <c r="D1818" s="10">
        <v>-1.18974133811053</v>
      </c>
      <c r="E1818" s="4">
        <v>2.2275649016516702E-11</v>
      </c>
      <c r="F1818" s="10">
        <v>-1.38695203238968</v>
      </c>
      <c r="G1818" s="4">
        <v>5.0413026126071201E-9</v>
      </c>
    </row>
    <row r="1819" spans="1:7" x14ac:dyDescent="0.2">
      <c r="A1819" s="10" t="s">
        <v>5266</v>
      </c>
      <c r="B1819" s="10" t="s">
        <v>5267</v>
      </c>
      <c r="C1819" s="10" t="s">
        <v>18</v>
      </c>
      <c r="D1819" s="10">
        <v>8.91507218850297</v>
      </c>
      <c r="E1819" s="4">
        <v>5.1823145049895698E-9</v>
      </c>
      <c r="F1819" s="10">
        <v>3.7456253137798798</v>
      </c>
      <c r="G1819" s="4">
        <v>1.01657891749389E-9</v>
      </c>
    </row>
    <row r="1820" spans="1:7" x14ac:dyDescent="0.2">
      <c r="A1820" s="10" t="s">
        <v>1877</v>
      </c>
      <c r="B1820" s="10" t="s">
        <v>1878</v>
      </c>
      <c r="C1820" s="10" t="s">
        <v>18</v>
      </c>
      <c r="D1820" s="10">
        <v>6.4403116646450904</v>
      </c>
      <c r="E1820" s="4">
        <v>4.9556569279601999E-5</v>
      </c>
      <c r="F1820" s="10">
        <v>2.8432324392662198</v>
      </c>
      <c r="G1820" s="10">
        <v>2.0419369147151999E-4</v>
      </c>
    </row>
    <row r="1821" spans="1:7" x14ac:dyDescent="0.2">
      <c r="A1821" s="10" t="s">
        <v>5672</v>
      </c>
      <c r="B1821" s="10" t="s">
        <v>5673</v>
      </c>
      <c r="C1821" s="10" t="s">
        <v>18</v>
      </c>
      <c r="D1821" s="10">
        <v>-1.9254302848379901</v>
      </c>
      <c r="E1821" s="10">
        <v>3.0271003646026198E-4</v>
      </c>
      <c r="F1821" s="10">
        <v>-3.0065184483403402</v>
      </c>
      <c r="G1821" s="4">
        <v>1.8458656574284099E-11</v>
      </c>
    </row>
    <row r="1822" spans="1:7" x14ac:dyDescent="0.2">
      <c r="A1822" s="10" t="s">
        <v>5678</v>
      </c>
      <c r="B1822" s="10" t="s">
        <v>5679</v>
      </c>
      <c r="C1822" s="10" t="s">
        <v>18</v>
      </c>
      <c r="D1822" s="10">
        <v>1.18345211047586</v>
      </c>
      <c r="E1822" s="4">
        <v>1.1072164316355799E-9</v>
      </c>
      <c r="F1822" s="10">
        <v>1.3576734603304801</v>
      </c>
      <c r="G1822" s="4">
        <v>2.7718451826905099E-7</v>
      </c>
    </row>
    <row r="1823" spans="1:7" x14ac:dyDescent="0.2">
      <c r="A1823" s="10" t="s">
        <v>2621</v>
      </c>
      <c r="B1823" s="10" t="s">
        <v>2622</v>
      </c>
      <c r="C1823" s="10" t="s">
        <v>18</v>
      </c>
      <c r="D1823" s="10">
        <v>1.82017572591357</v>
      </c>
      <c r="E1823" s="4">
        <v>4.0237315751060602E-19</v>
      </c>
      <c r="F1823" s="10">
        <v>2.5114870612803299</v>
      </c>
      <c r="G1823" s="4">
        <v>5.9738042857875599E-23</v>
      </c>
    </row>
    <row r="1824" spans="1:7" x14ac:dyDescent="0.2">
      <c r="A1824" s="10" t="s">
        <v>3799</v>
      </c>
      <c r="B1824" s="10" t="s">
        <v>3800</v>
      </c>
      <c r="C1824" s="10" t="s">
        <v>18</v>
      </c>
      <c r="D1824" s="10">
        <v>1.78985596109246</v>
      </c>
      <c r="E1824" s="4">
        <v>2.1121763030849401E-20</v>
      </c>
      <c r="F1824" s="10">
        <v>2.3988404795067502</v>
      </c>
      <c r="G1824" s="4">
        <v>7.8904156755489697E-21</v>
      </c>
    </row>
    <row r="1825" spans="1:7" x14ac:dyDescent="0.2">
      <c r="A1825" s="10" t="s">
        <v>3797</v>
      </c>
      <c r="B1825" s="10" t="s">
        <v>3798</v>
      </c>
      <c r="C1825" s="10" t="s">
        <v>18</v>
      </c>
      <c r="D1825" s="10">
        <v>1.2355742381930099</v>
      </c>
      <c r="E1825" s="4">
        <v>1.31053563576437E-11</v>
      </c>
      <c r="F1825" s="10">
        <v>1.9682571423769599</v>
      </c>
      <c r="G1825" s="4">
        <v>8.61222011601316E-16</v>
      </c>
    </row>
    <row r="1826" spans="1:7" x14ac:dyDescent="0.2">
      <c r="A1826" s="10" t="s">
        <v>55</v>
      </c>
      <c r="B1826" s="10" t="s">
        <v>56</v>
      </c>
      <c r="C1826" s="10" t="s">
        <v>18</v>
      </c>
      <c r="D1826" s="10">
        <v>2.2502852879314998</v>
      </c>
      <c r="E1826" s="4">
        <v>3.9383409772687297E-24</v>
      </c>
      <c r="F1826" s="10">
        <v>4.1286917574329296</v>
      </c>
      <c r="G1826" s="4">
        <v>1.0963867579053601E-37</v>
      </c>
    </row>
    <row r="1827" spans="1:7" x14ac:dyDescent="0.2">
      <c r="A1827" s="10" t="s">
        <v>83</v>
      </c>
      <c r="B1827" s="10" t="s">
        <v>84</v>
      </c>
      <c r="C1827" s="10" t="s">
        <v>18</v>
      </c>
      <c r="D1827" s="10">
        <v>1.8307455541426401</v>
      </c>
      <c r="E1827" s="10">
        <v>2.54227560044051E-4</v>
      </c>
      <c r="F1827" s="10">
        <v>1.1919994968195999</v>
      </c>
      <c r="G1827" s="10">
        <v>1.1528085744081099E-2</v>
      </c>
    </row>
    <row r="1828" spans="1:7" x14ac:dyDescent="0.2">
      <c r="A1828" s="10" t="s">
        <v>2047</v>
      </c>
      <c r="B1828" s="10" t="s">
        <v>2048</v>
      </c>
      <c r="C1828" s="10" t="s">
        <v>18</v>
      </c>
      <c r="D1828" s="10">
        <v>2.6716318658897</v>
      </c>
      <c r="E1828" s="4">
        <v>1.9127857272612498E-9</v>
      </c>
      <c r="F1828" s="10">
        <v>1.44514951765495</v>
      </c>
      <c r="G1828" s="10">
        <v>1.9105244020023099E-4</v>
      </c>
    </row>
    <row r="1829" spans="1:7" x14ac:dyDescent="0.2">
      <c r="A1829" s="10" t="s">
        <v>4270</v>
      </c>
      <c r="B1829" s="10" t="s">
        <v>4271</v>
      </c>
      <c r="C1829" s="10" t="s">
        <v>18</v>
      </c>
      <c r="D1829" s="10">
        <v>5.3378829761576796</v>
      </c>
      <c r="E1829" s="4">
        <v>2.3864221193687101E-7</v>
      </c>
      <c r="F1829" s="10">
        <v>2.2701505279521199</v>
      </c>
      <c r="G1829" s="10">
        <v>6.3760851196011201E-4</v>
      </c>
    </row>
    <row r="1830" spans="1:7" x14ac:dyDescent="0.2">
      <c r="A1830" s="10" t="s">
        <v>729</v>
      </c>
      <c r="B1830" s="10" t="s">
        <v>730</v>
      </c>
      <c r="C1830" s="10" t="s">
        <v>18</v>
      </c>
      <c r="D1830" s="10">
        <v>3.4079809349454702</v>
      </c>
      <c r="E1830" s="4">
        <v>2.7433875556617601E-48</v>
      </c>
      <c r="F1830" s="10">
        <v>2.3191818535610702</v>
      </c>
      <c r="G1830" s="4">
        <v>3.8226184189182201E-15</v>
      </c>
    </row>
    <row r="1831" spans="1:7" x14ac:dyDescent="0.2">
      <c r="A1831" s="10" t="s">
        <v>4958</v>
      </c>
      <c r="B1831" s="10" t="s">
        <v>4959</v>
      </c>
      <c r="C1831" s="10" t="s">
        <v>18</v>
      </c>
      <c r="D1831" s="10">
        <v>-2.1724200895831798</v>
      </c>
      <c r="E1831" s="4">
        <v>4.84539119196113E-25</v>
      </c>
      <c r="F1831" s="10">
        <v>-1.2581477292515399</v>
      </c>
      <c r="G1831" s="4">
        <v>4.76441779526765E-5</v>
      </c>
    </row>
    <row r="1832" spans="1:7" x14ac:dyDescent="0.2">
      <c r="A1832" s="10" t="s">
        <v>1789</v>
      </c>
      <c r="B1832" s="10" t="s">
        <v>1790</v>
      </c>
      <c r="C1832" s="10" t="s">
        <v>18</v>
      </c>
      <c r="D1832" s="10">
        <v>-2.0386721276706501</v>
      </c>
      <c r="E1832" s="4">
        <v>8.0184297983931693E-9</v>
      </c>
      <c r="F1832" s="10">
        <v>-3.1424495256784901</v>
      </c>
      <c r="G1832" s="4">
        <v>1.6563070014941601E-19</v>
      </c>
    </row>
    <row r="1833" spans="1:7" x14ac:dyDescent="0.2">
      <c r="A1833" s="10" t="s">
        <v>4822</v>
      </c>
      <c r="B1833" s="10" t="s">
        <v>4823</v>
      </c>
      <c r="C1833" s="10" t="s">
        <v>18</v>
      </c>
      <c r="D1833" s="10">
        <v>2.79247855029196</v>
      </c>
      <c r="E1833" s="4">
        <v>2.0604843404212699E-25</v>
      </c>
      <c r="F1833" s="10">
        <v>10.690870638307899</v>
      </c>
      <c r="G1833" s="4">
        <v>1.2458695822492899E-23</v>
      </c>
    </row>
    <row r="1834" spans="1:7" x14ac:dyDescent="0.2">
      <c r="A1834" s="10" t="s">
        <v>4826</v>
      </c>
      <c r="B1834" s="10" t="s">
        <v>4827</v>
      </c>
      <c r="C1834" s="10" t="s">
        <v>18</v>
      </c>
      <c r="D1834" s="10">
        <v>9.2822347728936698</v>
      </c>
      <c r="E1834" s="4">
        <v>7.8638803976411204E-10</v>
      </c>
      <c r="F1834" s="10">
        <v>6.4897955306665702</v>
      </c>
      <c r="G1834" s="4">
        <v>7.2592741658805296E-12</v>
      </c>
    </row>
    <row r="1835" spans="1:7" x14ac:dyDescent="0.2">
      <c r="A1835" s="10" t="s">
        <v>3383</v>
      </c>
      <c r="B1835" s="10" t="s">
        <v>3384</v>
      </c>
      <c r="C1835" s="10" t="s">
        <v>18</v>
      </c>
      <c r="D1835" s="10">
        <v>-1.34011587061733</v>
      </c>
      <c r="E1835" s="4">
        <v>1.5314705452826399E-12</v>
      </c>
      <c r="F1835" s="10">
        <v>-1.2201029002959201</v>
      </c>
      <c r="G1835" s="4">
        <v>1.84536987832359E-5</v>
      </c>
    </row>
    <row r="1836" spans="1:7" x14ac:dyDescent="0.2">
      <c r="A1836" s="10" t="s">
        <v>3013</v>
      </c>
      <c r="B1836" s="10" t="s">
        <v>3014</v>
      </c>
      <c r="C1836" s="10" t="s">
        <v>18</v>
      </c>
      <c r="D1836" s="10">
        <v>2.2086531179302802</v>
      </c>
      <c r="E1836" s="4">
        <v>7.8752249643643903E-11</v>
      </c>
      <c r="F1836" s="10">
        <v>1.8494764896323701</v>
      </c>
      <c r="G1836" s="4">
        <v>2.1418222076400999E-7</v>
      </c>
    </row>
    <row r="1837" spans="1:7" x14ac:dyDescent="0.2">
      <c r="A1837" s="10" t="s">
        <v>331</v>
      </c>
      <c r="B1837" s="10" t="s">
        <v>332</v>
      </c>
      <c r="C1837" s="10" t="s">
        <v>18</v>
      </c>
      <c r="D1837" s="10">
        <v>-1.151993334818</v>
      </c>
      <c r="E1837" s="4">
        <v>4.45348753799794E-7</v>
      </c>
      <c r="F1837" s="10">
        <v>-1.4227602809597</v>
      </c>
      <c r="G1837" s="4">
        <v>1.5717583755620601E-7</v>
      </c>
    </row>
    <row r="1838" spans="1:7" x14ac:dyDescent="0.2">
      <c r="A1838" s="10" t="s">
        <v>7092</v>
      </c>
      <c r="B1838" s="10" t="s">
        <v>7093</v>
      </c>
      <c r="C1838" s="10" t="s">
        <v>18</v>
      </c>
      <c r="D1838" s="10">
        <v>1.09474417719772</v>
      </c>
      <c r="E1838" s="4">
        <v>2.81288914928649E-6</v>
      </c>
      <c r="F1838" s="10">
        <v>1.33075241597156</v>
      </c>
      <c r="G1838" s="4">
        <v>1.5289350170605601E-5</v>
      </c>
    </row>
    <row r="1839" spans="1:7" x14ac:dyDescent="0.2">
      <c r="A1839" s="10" t="s">
        <v>4434</v>
      </c>
      <c r="B1839" s="10" t="s">
        <v>4435</v>
      </c>
      <c r="C1839" s="10" t="s">
        <v>18</v>
      </c>
      <c r="D1839" s="10">
        <v>-1.0547299576010201</v>
      </c>
      <c r="E1839" s="4">
        <v>9.13131742025234E-7</v>
      </c>
      <c r="F1839" s="10">
        <v>1.48081781259284</v>
      </c>
      <c r="G1839" s="4">
        <v>4.2128422452791299E-6</v>
      </c>
    </row>
    <row r="1840" spans="1:7" x14ac:dyDescent="0.2">
      <c r="A1840" s="10" t="s">
        <v>6794</v>
      </c>
      <c r="B1840" s="10" t="s">
        <v>6795</v>
      </c>
      <c r="C1840" s="10" t="s">
        <v>18</v>
      </c>
      <c r="D1840" s="10">
        <v>-2.8354199444907402</v>
      </c>
      <c r="E1840" s="4">
        <v>1.7374788038689301E-47</v>
      </c>
      <c r="F1840" s="10">
        <v>-2.6945979099033002</v>
      </c>
      <c r="G1840" s="4">
        <v>9.9417869796277498E-27</v>
      </c>
    </row>
    <row r="1841" spans="1:7" x14ac:dyDescent="0.2">
      <c r="A1841" s="10" t="s">
        <v>4938</v>
      </c>
      <c r="B1841" s="10" t="s">
        <v>4939</v>
      </c>
      <c r="C1841" s="10" t="s">
        <v>18</v>
      </c>
      <c r="D1841" s="10">
        <v>8.5231194543229005</v>
      </c>
      <c r="E1841" s="4">
        <v>1.4755285076919699E-22</v>
      </c>
      <c r="F1841" s="10">
        <v>8.7822184590358905</v>
      </c>
      <c r="G1841" s="4">
        <v>5.2687577276153098E-23</v>
      </c>
    </row>
    <row r="1842" spans="1:7" x14ac:dyDescent="0.2">
      <c r="A1842" s="10" t="s">
        <v>987</v>
      </c>
      <c r="B1842" s="10" t="s">
        <v>988</v>
      </c>
      <c r="C1842" s="10" t="s">
        <v>18</v>
      </c>
      <c r="D1842" s="10">
        <v>5.2634856642543104</v>
      </c>
      <c r="E1842" s="4">
        <v>2.8642302306309702E-157</v>
      </c>
      <c r="F1842" s="10">
        <v>5.2853006624399397</v>
      </c>
      <c r="G1842" s="4">
        <v>1.21049951275178E-92</v>
      </c>
    </row>
    <row r="1843" spans="1:7" x14ac:dyDescent="0.2">
      <c r="A1843" s="10" t="s">
        <v>3945</v>
      </c>
      <c r="B1843" s="10" t="s">
        <v>3946</v>
      </c>
      <c r="C1843" s="10" t="s">
        <v>18</v>
      </c>
      <c r="D1843" s="10">
        <v>3.8577223896015602</v>
      </c>
      <c r="E1843" s="4">
        <v>1.65859576732464E-103</v>
      </c>
      <c r="F1843" s="10">
        <v>2.92061497743462</v>
      </c>
      <c r="G1843" s="4">
        <v>1.13425033561409E-31</v>
      </c>
    </row>
    <row r="1844" spans="1:7" x14ac:dyDescent="0.2">
      <c r="A1844" s="10" t="s">
        <v>8460</v>
      </c>
      <c r="B1844" s="10" t="s">
        <v>8461</v>
      </c>
      <c r="C1844" s="10" t="s">
        <v>18</v>
      </c>
      <c r="D1844" s="10">
        <v>3.1584012857105401</v>
      </c>
      <c r="E1844" s="4">
        <v>3.6696916065775799E-68</v>
      </c>
      <c r="F1844" s="10">
        <v>2.0717360510018499</v>
      </c>
      <c r="G1844" s="4">
        <v>6.88206781035375E-18</v>
      </c>
    </row>
    <row r="1845" spans="1:7" x14ac:dyDescent="0.2">
      <c r="A1845" s="10" t="s">
        <v>63</v>
      </c>
      <c r="B1845" s="10" t="s">
        <v>64</v>
      </c>
      <c r="C1845" s="10" t="s">
        <v>18</v>
      </c>
      <c r="D1845" s="10">
        <v>1.0864823087840201</v>
      </c>
      <c r="E1845" s="10">
        <v>8.1308754045728796E-3</v>
      </c>
      <c r="F1845" s="10">
        <v>1.2582095160064199</v>
      </c>
      <c r="G1845" s="10">
        <v>2.5020848882297501E-3</v>
      </c>
    </row>
    <row r="1846" spans="1:7" x14ac:dyDescent="0.2">
      <c r="A1846" s="10" t="s">
        <v>5776</v>
      </c>
      <c r="B1846" s="10" t="s">
        <v>5777</v>
      </c>
      <c r="C1846" s="10" t="s">
        <v>18</v>
      </c>
      <c r="D1846" s="10">
        <v>1.5820340674968201</v>
      </c>
      <c r="E1846" s="4">
        <v>1.64645901599129E-15</v>
      </c>
      <c r="F1846" s="10">
        <v>1.79324379183633</v>
      </c>
      <c r="G1846" s="4">
        <v>8.4058456425935594E-9</v>
      </c>
    </row>
    <row r="1847" spans="1:7" x14ac:dyDescent="0.2">
      <c r="A1847" s="10" t="s">
        <v>5092</v>
      </c>
      <c r="B1847" s="10" t="s">
        <v>5093</v>
      </c>
      <c r="C1847" s="10" t="s">
        <v>18</v>
      </c>
      <c r="D1847" s="10">
        <v>1.3397615584417</v>
      </c>
      <c r="E1847" s="4">
        <v>1.08131804879065E-12</v>
      </c>
      <c r="F1847" s="10">
        <v>2.6721211832370502</v>
      </c>
      <c r="G1847" s="4">
        <v>1.5185823538890799E-22</v>
      </c>
    </row>
    <row r="1848" spans="1:7" x14ac:dyDescent="0.2">
      <c r="A1848" s="10" t="s">
        <v>7960</v>
      </c>
      <c r="B1848" s="10" t="s">
        <v>7961</v>
      </c>
      <c r="C1848" s="10" t="s">
        <v>18</v>
      </c>
      <c r="D1848" s="10">
        <v>-1.21128990254905</v>
      </c>
      <c r="E1848" s="4">
        <v>7.2561334397670303E-12</v>
      </c>
      <c r="F1848" s="10">
        <v>-1.49194179508091</v>
      </c>
      <c r="G1848" s="4">
        <v>6.6500361200929201E-9</v>
      </c>
    </row>
    <row r="1849" spans="1:7" x14ac:dyDescent="0.2">
      <c r="A1849" s="10" t="s">
        <v>2873</v>
      </c>
      <c r="B1849" s="10" t="s">
        <v>2874</v>
      </c>
      <c r="C1849" s="10" t="s">
        <v>18</v>
      </c>
      <c r="D1849" s="10">
        <v>-1.0585169874732101</v>
      </c>
      <c r="E1849" s="4">
        <v>1.39803524151315E-6</v>
      </c>
      <c r="F1849" s="10">
        <v>-1.8422464881726801</v>
      </c>
      <c r="G1849" s="4">
        <v>5.1281586363769196E-12</v>
      </c>
    </row>
    <row r="1850" spans="1:7" x14ac:dyDescent="0.2">
      <c r="A1850" s="10" t="s">
        <v>5974</v>
      </c>
      <c r="B1850" s="10" t="s">
        <v>5975</v>
      </c>
      <c r="C1850" s="10" t="s">
        <v>18</v>
      </c>
      <c r="D1850" s="10">
        <v>-2.45450398780623</v>
      </c>
      <c r="E1850" s="4">
        <v>1.0009058214871601E-6</v>
      </c>
      <c r="F1850" s="10">
        <v>-2.5766525633060802</v>
      </c>
      <c r="G1850" s="4">
        <v>2.1273812441891299E-7</v>
      </c>
    </row>
    <row r="1851" spans="1:7" x14ac:dyDescent="0.2">
      <c r="A1851" s="10" t="s">
        <v>4426</v>
      </c>
      <c r="B1851" s="10" t="s">
        <v>4427</v>
      </c>
      <c r="C1851" s="10" t="s">
        <v>18</v>
      </c>
      <c r="D1851" s="10">
        <v>-1.10281865891441</v>
      </c>
      <c r="E1851" s="4">
        <v>3.5972868665768301E-6</v>
      </c>
      <c r="F1851" s="10">
        <v>1.3350086470562299</v>
      </c>
      <c r="G1851" s="4">
        <v>3.7282114952720499E-5</v>
      </c>
    </row>
    <row r="1852" spans="1:7" x14ac:dyDescent="0.2">
      <c r="A1852" s="10" t="s">
        <v>1715</v>
      </c>
      <c r="B1852" s="10" t="s">
        <v>1716</v>
      </c>
      <c r="C1852" s="10" t="s">
        <v>18</v>
      </c>
      <c r="D1852" s="10">
        <v>1.5461703831320901</v>
      </c>
      <c r="E1852" s="4">
        <v>2.8318560645931798E-19</v>
      </c>
      <c r="F1852" s="10">
        <v>1.8991735464130599</v>
      </c>
      <c r="G1852" s="4">
        <v>8.1553141749002E-15</v>
      </c>
    </row>
    <row r="1853" spans="1:7" x14ac:dyDescent="0.2">
      <c r="A1853" s="10" t="s">
        <v>8174</v>
      </c>
      <c r="B1853" s="10" t="s">
        <v>8175</v>
      </c>
      <c r="C1853" s="10" t="s">
        <v>18</v>
      </c>
      <c r="D1853" s="10">
        <v>1.79049245412308</v>
      </c>
      <c r="E1853" s="4">
        <v>9.1820096295043005E-9</v>
      </c>
      <c r="F1853" s="10">
        <v>1.2064564915642499</v>
      </c>
      <c r="G1853" s="10">
        <v>2.0799494340464E-4</v>
      </c>
    </row>
    <row r="1854" spans="1:7" x14ac:dyDescent="0.2">
      <c r="A1854" s="10" t="s">
        <v>5276</v>
      </c>
      <c r="B1854" s="10" t="s">
        <v>5277</v>
      </c>
      <c r="C1854" s="10" t="s">
        <v>18</v>
      </c>
      <c r="D1854" s="10">
        <v>3.6842591980345398</v>
      </c>
      <c r="E1854" s="4">
        <v>8.6815252069361895E-18</v>
      </c>
      <c r="F1854" s="10">
        <v>3.06466745683933</v>
      </c>
      <c r="G1854" s="4">
        <v>7.3672854484092604E-14</v>
      </c>
    </row>
    <row r="1855" spans="1:7" x14ac:dyDescent="0.2">
      <c r="A1855" s="10" t="s">
        <v>3073</v>
      </c>
      <c r="B1855" s="10" t="s">
        <v>3074</v>
      </c>
      <c r="C1855" s="10" t="s">
        <v>18</v>
      </c>
      <c r="D1855" s="10">
        <v>9.5619585055852596</v>
      </c>
      <c r="E1855" s="4">
        <v>4.7855915623535397E-111</v>
      </c>
      <c r="F1855" s="10">
        <v>11.140147328304099</v>
      </c>
      <c r="G1855" s="4">
        <v>5.4825376629250796E-66</v>
      </c>
    </row>
    <row r="1856" spans="1:7" x14ac:dyDescent="0.2">
      <c r="A1856" s="10" t="s">
        <v>3071</v>
      </c>
      <c r="B1856" s="10" t="s">
        <v>3072</v>
      </c>
      <c r="C1856" s="10" t="s">
        <v>18</v>
      </c>
      <c r="D1856" s="10">
        <v>7.6089855850295098</v>
      </c>
      <c r="E1856" s="4">
        <v>3.1350847493187799E-6</v>
      </c>
      <c r="F1856" s="10">
        <v>7.8535831840798904</v>
      </c>
      <c r="G1856" s="4">
        <v>1.25771221066575E-6</v>
      </c>
    </row>
    <row r="1857" spans="1:7" x14ac:dyDescent="0.2">
      <c r="A1857" s="10" t="s">
        <v>3079</v>
      </c>
      <c r="B1857" s="10" t="s">
        <v>3080</v>
      </c>
      <c r="C1857" s="10" t="s">
        <v>18</v>
      </c>
      <c r="D1857" s="10">
        <v>4.9058462127123397</v>
      </c>
      <c r="E1857" s="4">
        <v>5.4826600480380303E-18</v>
      </c>
      <c r="F1857" s="10">
        <v>2.0641115324284098</v>
      </c>
      <c r="G1857" s="4">
        <v>4.8316795888844704E-7</v>
      </c>
    </row>
    <row r="1858" spans="1:7" x14ac:dyDescent="0.2">
      <c r="A1858" s="10" t="s">
        <v>4844</v>
      </c>
      <c r="B1858" s="10" t="s">
        <v>4845</v>
      </c>
      <c r="C1858" s="10" t="s">
        <v>18</v>
      </c>
      <c r="D1858" s="10">
        <v>5.0679450872245297</v>
      </c>
      <c r="E1858" s="4">
        <v>1.37711049743325E-78</v>
      </c>
      <c r="F1858" s="10">
        <v>7.9066769307250704</v>
      </c>
      <c r="G1858" s="4">
        <v>1.09784222664178E-65</v>
      </c>
    </row>
    <row r="1859" spans="1:7" x14ac:dyDescent="0.2">
      <c r="A1859" s="10" t="s">
        <v>5286</v>
      </c>
      <c r="B1859" s="10" t="s">
        <v>5287</v>
      </c>
      <c r="C1859" s="10" t="s">
        <v>18</v>
      </c>
      <c r="D1859" s="10">
        <v>1.8618237314708901</v>
      </c>
      <c r="E1859" s="4">
        <v>5.1332448440185499E-6</v>
      </c>
      <c r="F1859" s="10">
        <v>1.69707382942901</v>
      </c>
      <c r="G1859" s="4">
        <v>6.1428524685646895E-5</v>
      </c>
    </row>
    <row r="1860" spans="1:7" x14ac:dyDescent="0.2">
      <c r="A1860" s="10" t="s">
        <v>4854</v>
      </c>
      <c r="B1860" s="10" t="s">
        <v>4855</v>
      </c>
      <c r="C1860" s="10" t="s">
        <v>18</v>
      </c>
      <c r="D1860" s="10">
        <v>2.7043093386179402</v>
      </c>
      <c r="E1860" s="4">
        <v>5.87848696810266E-30</v>
      </c>
      <c r="F1860" s="10">
        <v>2.8562434976947402</v>
      </c>
      <c r="G1860" s="4">
        <v>1.5596034740616301E-16</v>
      </c>
    </row>
    <row r="1861" spans="1:7" x14ac:dyDescent="0.2">
      <c r="A1861" s="10" t="s">
        <v>2893</v>
      </c>
      <c r="B1861" s="10" t="s">
        <v>2894</v>
      </c>
      <c r="C1861" s="10" t="s">
        <v>18</v>
      </c>
      <c r="D1861" s="10">
        <v>2.5652859800307199</v>
      </c>
      <c r="E1861" s="4">
        <v>1.58443414381725E-43</v>
      </c>
      <c r="F1861" s="10">
        <v>2.2739320509376801</v>
      </c>
      <c r="G1861" s="4">
        <v>6.0691472115716898E-20</v>
      </c>
    </row>
    <row r="1862" spans="1:7" x14ac:dyDescent="0.2">
      <c r="A1862" s="10" t="s">
        <v>4842</v>
      </c>
      <c r="B1862" s="10" t="s">
        <v>4843</v>
      </c>
      <c r="C1862" s="10" t="s">
        <v>18</v>
      </c>
      <c r="D1862" s="10">
        <v>1.54033801902255</v>
      </c>
      <c r="E1862" s="4">
        <v>4.3638221066165902E-15</v>
      </c>
      <c r="F1862" s="10">
        <v>1.26554510825691</v>
      </c>
      <c r="G1862" s="4">
        <v>5.7813192165637503E-7</v>
      </c>
    </row>
    <row r="1863" spans="1:7" x14ac:dyDescent="0.2">
      <c r="A1863" s="10" t="s">
        <v>3895</v>
      </c>
      <c r="B1863" s="10" t="s">
        <v>3896</v>
      </c>
      <c r="C1863" s="10" t="s">
        <v>18</v>
      </c>
      <c r="D1863" s="10">
        <v>4.7162432571264503</v>
      </c>
      <c r="E1863" s="4">
        <v>1.93070272682373E-5</v>
      </c>
      <c r="F1863" s="10">
        <v>3.2688275864823901</v>
      </c>
      <c r="G1863" s="10">
        <v>1.1065930780133801E-4</v>
      </c>
    </row>
    <row r="1864" spans="1:7" x14ac:dyDescent="0.2">
      <c r="A1864" s="10" t="s">
        <v>211</v>
      </c>
      <c r="B1864" s="10" t="s">
        <v>212</v>
      </c>
      <c r="C1864" s="10" t="s">
        <v>18</v>
      </c>
      <c r="D1864" s="10">
        <v>7.8131521451357404</v>
      </c>
      <c r="E1864" s="4">
        <v>1.1101794389181301E-6</v>
      </c>
      <c r="F1864" s="10">
        <v>5.6398796119623702</v>
      </c>
      <c r="G1864" s="4">
        <v>4.3303680848650196E-6</v>
      </c>
    </row>
    <row r="1865" spans="1:7" x14ac:dyDescent="0.2">
      <c r="A1865" s="10" t="s">
        <v>4862</v>
      </c>
      <c r="B1865" s="10" t="s">
        <v>4863</v>
      </c>
      <c r="C1865" s="10" t="s">
        <v>18</v>
      </c>
      <c r="D1865" s="10">
        <v>1.2589542231838999</v>
      </c>
      <c r="E1865" s="4">
        <v>1.68999431246293E-10</v>
      </c>
      <c r="F1865" s="10">
        <v>1.27627020642722</v>
      </c>
      <c r="G1865" s="4">
        <v>7.3031073803148899E-7</v>
      </c>
    </row>
    <row r="1866" spans="1:7" x14ac:dyDescent="0.2">
      <c r="A1866" s="10" t="s">
        <v>8780</v>
      </c>
      <c r="B1866" s="10" t="s">
        <v>8781</v>
      </c>
      <c r="C1866" s="10" t="s">
        <v>18</v>
      </c>
      <c r="D1866" s="10">
        <v>2.1683190295325301</v>
      </c>
      <c r="E1866" s="4">
        <v>1.00554841367563E-25</v>
      </c>
      <c r="F1866" s="10">
        <v>1.52788482364809</v>
      </c>
      <c r="G1866" s="4">
        <v>3.06848557675931E-7</v>
      </c>
    </row>
    <row r="1867" spans="1:7" x14ac:dyDescent="0.2">
      <c r="A1867" s="10" t="s">
        <v>2469</v>
      </c>
      <c r="B1867" s="10" t="s">
        <v>2470</v>
      </c>
      <c r="C1867" s="10" t="s">
        <v>18</v>
      </c>
      <c r="D1867" s="10">
        <v>-1.18304381735585</v>
      </c>
      <c r="E1867" s="4">
        <v>2.84107506891792E-9</v>
      </c>
      <c r="F1867" s="10">
        <v>-1.5346595254459401</v>
      </c>
      <c r="G1867" s="4">
        <v>8.4050620409770402E-10</v>
      </c>
    </row>
    <row r="1868" spans="1:7" x14ac:dyDescent="0.2">
      <c r="A1868" s="10" t="s">
        <v>8650</v>
      </c>
      <c r="B1868" s="10" t="s">
        <v>8651</v>
      </c>
      <c r="C1868" s="10" t="s">
        <v>18</v>
      </c>
      <c r="D1868" s="10">
        <v>6.03525292107211</v>
      </c>
      <c r="E1868" s="4">
        <v>1.4360743959933E-23</v>
      </c>
      <c r="F1868" s="10">
        <v>6.4791216994998599</v>
      </c>
      <c r="G1868" s="4">
        <v>1.25231304391316E-23</v>
      </c>
    </row>
    <row r="1869" spans="1:7" x14ac:dyDescent="0.2">
      <c r="A1869" s="10" t="s">
        <v>4832</v>
      </c>
      <c r="B1869" s="10" t="s">
        <v>4833</v>
      </c>
      <c r="C1869" s="10" t="s">
        <v>18</v>
      </c>
      <c r="D1869" s="10">
        <v>3.0352472481715802</v>
      </c>
      <c r="E1869" s="10">
        <v>1.8061589568109E-3</v>
      </c>
      <c r="F1869" s="10">
        <v>3.7502838571032502</v>
      </c>
      <c r="G1869" s="10">
        <v>1.8796122252561301E-4</v>
      </c>
    </row>
    <row r="1870" spans="1:7" x14ac:dyDescent="0.2">
      <c r="A1870" s="10" t="s">
        <v>4179</v>
      </c>
      <c r="B1870" s="10" t="s">
        <v>4180</v>
      </c>
      <c r="C1870" s="10" t="s">
        <v>18</v>
      </c>
      <c r="D1870" s="10">
        <v>4.7577850124226302</v>
      </c>
      <c r="E1870" s="4">
        <v>1.38507797001664E-14</v>
      </c>
      <c r="F1870" s="10">
        <v>3.0736121164071601</v>
      </c>
      <c r="G1870" s="4">
        <v>5.9141517971671506E-11</v>
      </c>
    </row>
    <row r="1871" spans="1:7" x14ac:dyDescent="0.2">
      <c r="A1871" s="10" t="s">
        <v>769</v>
      </c>
      <c r="B1871" s="10" t="s">
        <v>770</v>
      </c>
      <c r="C1871" s="10" t="s">
        <v>18</v>
      </c>
      <c r="D1871" s="10">
        <v>-1.83975169198958</v>
      </c>
      <c r="E1871" s="4">
        <v>3.4060324527238501E-13</v>
      </c>
      <c r="F1871" s="10">
        <v>-1.30723635765489</v>
      </c>
      <c r="G1871" s="4">
        <v>1.91660240221617E-5</v>
      </c>
    </row>
    <row r="1872" spans="1:7" x14ac:dyDescent="0.2">
      <c r="A1872" s="10" t="s">
        <v>7678</v>
      </c>
      <c r="B1872" s="10" t="s">
        <v>7679</v>
      </c>
      <c r="C1872" s="10" t="s">
        <v>18</v>
      </c>
      <c r="D1872" s="10">
        <v>-2.3135338936738301</v>
      </c>
      <c r="E1872" s="4">
        <v>1.2462122750066901E-19</v>
      </c>
      <c r="F1872" s="10">
        <v>-1.6342202601778599</v>
      </c>
      <c r="G1872" s="4">
        <v>2.348812613477E-6</v>
      </c>
    </row>
    <row r="1873" spans="1:7" x14ac:dyDescent="0.2">
      <c r="A1873" s="10" t="s">
        <v>339</v>
      </c>
      <c r="B1873" s="10" t="s">
        <v>340</v>
      </c>
      <c r="C1873" s="10" t="s">
        <v>18</v>
      </c>
      <c r="D1873" s="10">
        <v>4.1880996307337197</v>
      </c>
      <c r="E1873" s="4">
        <v>8.0067370545163901E-26</v>
      </c>
      <c r="F1873" s="10">
        <v>4.7332917688813803</v>
      </c>
      <c r="G1873" s="4">
        <v>7.4756502951480694E-27</v>
      </c>
    </row>
    <row r="1874" spans="1:7" x14ac:dyDescent="0.2">
      <c r="A1874" s="10" t="s">
        <v>5462</v>
      </c>
      <c r="B1874" s="10" t="s">
        <v>5463</v>
      </c>
      <c r="C1874" s="10" t="s">
        <v>18</v>
      </c>
      <c r="D1874" s="10">
        <v>4.6904630983661102</v>
      </c>
      <c r="E1874" s="4">
        <v>1.1049704571002601E-39</v>
      </c>
      <c r="F1874" s="10">
        <v>8.2670535769197393</v>
      </c>
      <c r="G1874" s="4">
        <v>7.5108734679680402E-26</v>
      </c>
    </row>
    <row r="1875" spans="1:7" x14ac:dyDescent="0.2">
      <c r="A1875" s="10" t="s">
        <v>4936</v>
      </c>
      <c r="B1875" s="10" t="s">
        <v>4937</v>
      </c>
      <c r="C1875" s="10" t="s">
        <v>18</v>
      </c>
      <c r="D1875" s="10">
        <v>10.2916423855402</v>
      </c>
      <c r="E1875" s="4">
        <v>3.8268970709937398E-12</v>
      </c>
      <c r="F1875" s="10">
        <v>4.7143457701398503</v>
      </c>
      <c r="G1875" s="4">
        <v>3.9918790227460798E-23</v>
      </c>
    </row>
    <row r="1876" spans="1:7" x14ac:dyDescent="0.2">
      <c r="A1876" s="10" t="s">
        <v>3671</v>
      </c>
      <c r="B1876" s="10" t="s">
        <v>3672</v>
      </c>
      <c r="C1876" s="10" t="s">
        <v>18</v>
      </c>
      <c r="D1876" s="10">
        <v>1.05696499934098</v>
      </c>
      <c r="E1876" s="4">
        <v>2.5487579846024002E-6</v>
      </c>
      <c r="F1876" s="10">
        <v>1.4908487931082199</v>
      </c>
      <c r="G1876" s="4">
        <v>7.1840121723996504E-8</v>
      </c>
    </row>
    <row r="1877" spans="1:7" x14ac:dyDescent="0.2">
      <c r="A1877" s="10" t="s">
        <v>2613</v>
      </c>
      <c r="B1877" s="10" t="s">
        <v>2614</v>
      </c>
      <c r="C1877" s="10" t="s">
        <v>18</v>
      </c>
      <c r="D1877" s="10">
        <v>4.1272038990658704</v>
      </c>
      <c r="E1877" s="4">
        <v>9.2825153018760404E-7</v>
      </c>
      <c r="F1877" s="10">
        <v>8.3994151504869592</v>
      </c>
      <c r="G1877" s="4">
        <v>8.5234911106300004E-8</v>
      </c>
    </row>
    <row r="1878" spans="1:7" x14ac:dyDescent="0.2">
      <c r="A1878" s="10" t="s">
        <v>5234</v>
      </c>
      <c r="B1878" s="10" t="s">
        <v>5235</v>
      </c>
      <c r="C1878" s="10" t="s">
        <v>18</v>
      </c>
      <c r="D1878" s="10">
        <v>1.54342350205029</v>
      </c>
      <c r="E1878" s="4">
        <v>2.41830110976818E-12</v>
      </c>
      <c r="F1878" s="10">
        <v>2.1119645201995398</v>
      </c>
      <c r="G1878" s="4">
        <v>2.8337011665474698E-15</v>
      </c>
    </row>
    <row r="1879" spans="1:7" x14ac:dyDescent="0.2">
      <c r="A1879" s="10" t="s">
        <v>355</v>
      </c>
      <c r="B1879" s="10" t="s">
        <v>356</v>
      </c>
      <c r="C1879" s="10" t="s">
        <v>18</v>
      </c>
      <c r="D1879" s="10">
        <v>1.6275420233800999</v>
      </c>
      <c r="E1879" s="10">
        <v>9.3983186206626703E-4</v>
      </c>
      <c r="F1879" s="10">
        <v>-1.3156204320898</v>
      </c>
      <c r="G1879" s="10">
        <v>6.6112409805740402E-4</v>
      </c>
    </row>
    <row r="1880" spans="1:7" x14ac:dyDescent="0.2">
      <c r="A1880" s="10" t="s">
        <v>4091</v>
      </c>
      <c r="B1880" s="10" t="s">
        <v>4092</v>
      </c>
      <c r="C1880" s="10" t="s">
        <v>18</v>
      </c>
      <c r="D1880" s="10">
        <v>-2.0430215051881202</v>
      </c>
      <c r="E1880" s="4">
        <v>4.0296558383086903E-18</v>
      </c>
      <c r="F1880" s="10">
        <v>-3.2149014196400301</v>
      </c>
      <c r="G1880" s="4">
        <v>1.0780461617978801E-34</v>
      </c>
    </row>
    <row r="1881" spans="1:7" x14ac:dyDescent="0.2">
      <c r="A1881" s="10" t="s">
        <v>8302</v>
      </c>
      <c r="B1881" s="10" t="s">
        <v>8303</v>
      </c>
      <c r="C1881" s="10" t="s">
        <v>18</v>
      </c>
      <c r="D1881" s="10">
        <v>-4.0879719033326598</v>
      </c>
      <c r="E1881" s="4">
        <v>1.42861819861092E-47</v>
      </c>
      <c r="F1881" s="10">
        <v>-3.02579066716324</v>
      </c>
      <c r="G1881" s="4">
        <v>7.8040695035982998E-16</v>
      </c>
    </row>
    <row r="1882" spans="1:7" x14ac:dyDescent="0.2">
      <c r="A1882" s="10" t="s">
        <v>5498</v>
      </c>
      <c r="B1882" s="10" t="s">
        <v>5499</v>
      </c>
      <c r="C1882" s="10" t="s">
        <v>18</v>
      </c>
      <c r="D1882" s="10">
        <v>-1.56308327445455</v>
      </c>
      <c r="E1882" s="4">
        <v>9.0977335607530102E-11</v>
      </c>
      <c r="F1882" s="10">
        <v>-1.96639318849376</v>
      </c>
      <c r="G1882" s="4">
        <v>1.31103305665079E-11</v>
      </c>
    </row>
    <row r="1883" spans="1:7" x14ac:dyDescent="0.2">
      <c r="A1883" s="10" t="s">
        <v>5500</v>
      </c>
      <c r="B1883" s="10" t="s">
        <v>5501</v>
      </c>
      <c r="C1883" s="10" t="s">
        <v>18</v>
      </c>
      <c r="D1883" s="10">
        <v>-1.2003702928931901</v>
      </c>
      <c r="E1883" s="4">
        <v>4.40641991046397E-7</v>
      </c>
      <c r="F1883" s="10">
        <v>-1.05451507151053</v>
      </c>
      <c r="G1883" s="10">
        <v>2.9664002615907402E-4</v>
      </c>
    </row>
    <row r="1884" spans="1:7" x14ac:dyDescent="0.2">
      <c r="A1884" s="10" t="s">
        <v>1497</v>
      </c>
      <c r="B1884" s="10" t="s">
        <v>1498</v>
      </c>
      <c r="C1884" s="10" t="s">
        <v>18</v>
      </c>
      <c r="D1884" s="10">
        <v>-1.0375375358912999</v>
      </c>
      <c r="E1884" s="4">
        <v>9.1875870822400094E-5</v>
      </c>
      <c r="F1884" s="10">
        <v>-2.1888265560596198</v>
      </c>
      <c r="G1884" s="4">
        <v>1.34945132387207E-12</v>
      </c>
    </row>
    <row r="1885" spans="1:7" x14ac:dyDescent="0.2">
      <c r="A1885" s="10" t="s">
        <v>1499</v>
      </c>
      <c r="B1885" s="10" t="s">
        <v>1500</v>
      </c>
      <c r="C1885" s="10" t="s">
        <v>18</v>
      </c>
      <c r="D1885" s="10">
        <v>7.3786325812890503</v>
      </c>
      <c r="E1885" s="4">
        <v>2.0462596354951999E-16</v>
      </c>
      <c r="F1885" s="10">
        <v>6.3062583810915704</v>
      </c>
      <c r="G1885" s="10">
        <v>4.00956716919021E-4</v>
      </c>
    </row>
    <row r="1886" spans="1:7" x14ac:dyDescent="0.2">
      <c r="A1886" s="10" t="s">
        <v>2989</v>
      </c>
      <c r="B1886" s="10" t="s">
        <v>2990</v>
      </c>
      <c r="C1886" s="10" t="s">
        <v>18</v>
      </c>
      <c r="D1886" s="10">
        <v>-1.8643417983686801</v>
      </c>
      <c r="E1886" s="4">
        <v>1.8430467750427901E-17</v>
      </c>
      <c r="F1886" s="10">
        <v>-1.6110605196074499</v>
      </c>
      <c r="G1886" s="4">
        <v>4.97211320453823E-9</v>
      </c>
    </row>
    <row r="1887" spans="1:7" x14ac:dyDescent="0.2">
      <c r="A1887" s="10" t="s">
        <v>2837</v>
      </c>
      <c r="B1887" s="10" t="s">
        <v>2838</v>
      </c>
      <c r="C1887" s="10" t="s">
        <v>18</v>
      </c>
      <c r="D1887" s="10">
        <v>-1.1202085614905199</v>
      </c>
      <c r="E1887" s="4">
        <v>3.27495747987063E-5</v>
      </c>
      <c r="F1887" s="10">
        <v>-2.73022313817934</v>
      </c>
      <c r="G1887" s="4">
        <v>7.4908030391386797E-21</v>
      </c>
    </row>
    <row r="1888" spans="1:7" x14ac:dyDescent="0.2">
      <c r="A1888" s="10" t="s">
        <v>7562</v>
      </c>
      <c r="B1888" s="10" t="s">
        <v>7563</v>
      </c>
      <c r="C1888" s="10" t="s">
        <v>18</v>
      </c>
      <c r="D1888" s="10">
        <v>1.9234282749207201</v>
      </c>
      <c r="E1888" s="4">
        <v>3.9686066518271902E-23</v>
      </c>
      <c r="F1888" s="10">
        <v>1.27080873246735</v>
      </c>
      <c r="G1888" s="4">
        <v>1.3822143499642599E-6</v>
      </c>
    </row>
    <row r="1889" spans="1:7" x14ac:dyDescent="0.2">
      <c r="A1889" s="10" t="s">
        <v>1781</v>
      </c>
      <c r="B1889" s="10" t="s">
        <v>1782</v>
      </c>
      <c r="C1889" s="10" t="s">
        <v>18</v>
      </c>
      <c r="D1889" s="10">
        <v>1.4937433580023001</v>
      </c>
      <c r="E1889" s="4">
        <v>2.5271250576338202E-10</v>
      </c>
      <c r="F1889" s="10">
        <v>1.66122513948268</v>
      </c>
      <c r="G1889" s="4">
        <v>5.4289323523290198E-9</v>
      </c>
    </row>
    <row r="1890" spans="1:7" x14ac:dyDescent="0.2">
      <c r="A1890" s="10" t="s">
        <v>6270</v>
      </c>
      <c r="B1890" s="10" t="s">
        <v>6271</v>
      </c>
      <c r="C1890" s="10" t="s">
        <v>18</v>
      </c>
      <c r="D1890" s="10">
        <v>-2.3246371086691902</v>
      </c>
      <c r="E1890" s="4">
        <v>1.5877811875409399E-30</v>
      </c>
      <c r="F1890" s="10">
        <v>-2.0166653743790399</v>
      </c>
      <c r="G1890" s="4">
        <v>8.4195459433668804E-13</v>
      </c>
    </row>
    <row r="1891" spans="1:7" x14ac:dyDescent="0.2">
      <c r="A1891" s="10" t="s">
        <v>4085</v>
      </c>
      <c r="B1891" s="10" t="s">
        <v>4086</v>
      </c>
      <c r="C1891" s="10" t="s">
        <v>18</v>
      </c>
      <c r="D1891" s="10">
        <v>7.0595937916597604</v>
      </c>
      <c r="E1891" s="4">
        <v>1.8929635184604899E-10</v>
      </c>
      <c r="F1891" s="10">
        <v>4.48513580256897</v>
      </c>
      <c r="G1891" s="4">
        <v>2.12444264026472E-14</v>
      </c>
    </row>
    <row r="1892" spans="1:7" x14ac:dyDescent="0.2">
      <c r="A1892" s="10" t="s">
        <v>4584</v>
      </c>
      <c r="B1892" s="10" t="s">
        <v>4585</v>
      </c>
      <c r="C1892" s="10" t="s">
        <v>18</v>
      </c>
      <c r="D1892" s="10">
        <v>1.35695912594468</v>
      </c>
      <c r="E1892" s="4">
        <v>1.6429056071959001E-9</v>
      </c>
      <c r="F1892" s="10">
        <v>1.0701056285055099</v>
      </c>
      <c r="G1892" s="10">
        <v>2.53725913370885E-4</v>
      </c>
    </row>
    <row r="1893" spans="1:7" x14ac:dyDescent="0.2">
      <c r="A1893" s="10" t="s">
        <v>1759</v>
      </c>
      <c r="B1893" s="10" t="s">
        <v>1760</v>
      </c>
      <c r="C1893" s="10" t="s">
        <v>18</v>
      </c>
      <c r="D1893" s="10">
        <v>-1.22694320554646</v>
      </c>
      <c r="E1893" s="10">
        <v>1.38049852922051E-3</v>
      </c>
      <c r="F1893" s="10">
        <v>-1.71392077695839</v>
      </c>
      <c r="G1893" s="4">
        <v>2.0802166195747199E-5</v>
      </c>
    </row>
    <row r="1894" spans="1:7" x14ac:dyDescent="0.2">
      <c r="A1894" s="10" t="s">
        <v>7452</v>
      </c>
      <c r="B1894" s="10" t="s">
        <v>7453</v>
      </c>
      <c r="C1894" s="10" t="s">
        <v>18</v>
      </c>
      <c r="D1894" s="10">
        <v>1.15272952282816</v>
      </c>
      <c r="E1894" s="4">
        <v>4.0621297070122404E-6</v>
      </c>
      <c r="F1894" s="10">
        <v>1.2470321640845801</v>
      </c>
      <c r="G1894" s="4">
        <v>8.3037259789919704E-5</v>
      </c>
    </row>
    <row r="1895" spans="1:7" x14ac:dyDescent="0.2">
      <c r="A1895" s="10" t="s">
        <v>5296</v>
      </c>
      <c r="B1895" s="10" t="s">
        <v>5297</v>
      </c>
      <c r="C1895" s="10" t="s">
        <v>18</v>
      </c>
      <c r="D1895" s="10">
        <v>1.32923161493949</v>
      </c>
      <c r="E1895" s="4">
        <v>6.2563239254840497E-14</v>
      </c>
      <c r="F1895" s="10">
        <v>2.4361802150484402</v>
      </c>
      <c r="G1895" s="4">
        <v>6.0355672871049599E-25</v>
      </c>
    </row>
    <row r="1896" spans="1:7" x14ac:dyDescent="0.2">
      <c r="A1896" s="10" t="s">
        <v>3677</v>
      </c>
      <c r="B1896" s="10" t="s">
        <v>3678</v>
      </c>
      <c r="C1896" s="10" t="s">
        <v>18</v>
      </c>
      <c r="D1896" s="10">
        <v>1.5065760907578101</v>
      </c>
      <c r="E1896" s="4">
        <v>6.4230491333537099E-17</v>
      </c>
      <c r="F1896" s="10">
        <v>1.1424131515462399</v>
      </c>
      <c r="G1896" s="4">
        <v>1.7988422104215E-6</v>
      </c>
    </row>
    <row r="1897" spans="1:7" x14ac:dyDescent="0.2">
      <c r="A1897" s="10" t="s">
        <v>2477</v>
      </c>
      <c r="B1897" s="10" t="s">
        <v>2478</v>
      </c>
      <c r="C1897" s="10" t="s">
        <v>18</v>
      </c>
      <c r="D1897" s="10">
        <v>8.6873805197777703</v>
      </c>
      <c r="E1897" s="4">
        <v>2.19643237701299E-30</v>
      </c>
      <c r="F1897" s="10">
        <v>7.9407492800843702</v>
      </c>
      <c r="G1897" s="4">
        <v>3.4467211210065703E-42</v>
      </c>
    </row>
    <row r="1898" spans="1:7" x14ac:dyDescent="0.2">
      <c r="A1898" s="10" t="s">
        <v>707</v>
      </c>
      <c r="B1898" s="10" t="s">
        <v>708</v>
      </c>
      <c r="C1898" s="10" t="s">
        <v>18</v>
      </c>
      <c r="D1898" s="10">
        <v>-1.7445201490064799</v>
      </c>
      <c r="E1898" s="4">
        <v>3.4705023047087199E-20</v>
      </c>
      <c r="F1898" s="10">
        <v>-1.0345668870592599</v>
      </c>
      <c r="G1898" s="4">
        <v>6.2142390912863903E-5</v>
      </c>
    </row>
    <row r="1899" spans="1:7" x14ac:dyDescent="0.2">
      <c r="A1899" s="10" t="s">
        <v>1013</v>
      </c>
      <c r="B1899" s="10" t="s">
        <v>1014</v>
      </c>
      <c r="C1899" s="10" t="s">
        <v>18</v>
      </c>
      <c r="D1899" s="10">
        <v>1.4594815182894401</v>
      </c>
      <c r="E1899" s="10">
        <v>1.55346308639666E-2</v>
      </c>
      <c r="F1899" s="10">
        <v>1.6667470728078699</v>
      </c>
      <c r="G1899" s="10">
        <v>7.2679231916988702E-3</v>
      </c>
    </row>
    <row r="1900" spans="1:7" x14ac:dyDescent="0.2">
      <c r="A1900" s="10" t="s">
        <v>1747</v>
      </c>
      <c r="B1900" s="10" t="s">
        <v>1748</v>
      </c>
      <c r="C1900" s="10" t="s">
        <v>18</v>
      </c>
      <c r="D1900" s="10">
        <v>5.4977203354896202</v>
      </c>
      <c r="E1900" s="4">
        <v>1.8717573614333001E-26</v>
      </c>
      <c r="F1900" s="10">
        <v>3.2209072933545801</v>
      </c>
      <c r="G1900" s="4">
        <v>2.4722375732105998E-16</v>
      </c>
    </row>
    <row r="1901" spans="1:7" x14ac:dyDescent="0.2">
      <c r="A1901" s="10" t="s">
        <v>5116</v>
      </c>
      <c r="B1901" s="10" t="s">
        <v>5117</v>
      </c>
      <c r="C1901" s="10" t="s">
        <v>18</v>
      </c>
      <c r="D1901" s="10">
        <v>1.78115298941279</v>
      </c>
      <c r="E1901" s="4">
        <v>1.11003620224891E-14</v>
      </c>
      <c r="F1901" s="10">
        <v>1.0815796199832699</v>
      </c>
      <c r="G1901" s="10">
        <v>5.4301274952707696E-4</v>
      </c>
    </row>
    <row r="1902" spans="1:7" x14ac:dyDescent="0.2">
      <c r="A1902" s="10" t="s">
        <v>5866</v>
      </c>
      <c r="B1902" s="10" t="s">
        <v>5867</v>
      </c>
      <c r="C1902" s="10" t="s">
        <v>18</v>
      </c>
      <c r="D1902" s="10">
        <v>1.4534683910013499</v>
      </c>
      <c r="E1902" s="4">
        <v>1.1349031346605001E-15</v>
      </c>
      <c r="F1902" s="10">
        <v>1.87468138353608</v>
      </c>
      <c r="G1902" s="4">
        <v>2.3229136357469899E-14</v>
      </c>
    </row>
    <row r="1903" spans="1:7" x14ac:dyDescent="0.2">
      <c r="A1903" s="10" t="s">
        <v>7794</v>
      </c>
      <c r="B1903" s="10" t="s">
        <v>7795</v>
      </c>
      <c r="C1903" s="10" t="s">
        <v>18</v>
      </c>
      <c r="D1903" s="10">
        <v>-4.1884462052971001</v>
      </c>
      <c r="E1903" s="4">
        <v>5.2206059920043004E-81</v>
      </c>
      <c r="F1903" s="10">
        <v>-4.8331196806057104</v>
      </c>
      <c r="G1903" s="4">
        <v>4.0163513396058201E-64</v>
      </c>
    </row>
    <row r="1904" spans="1:7" x14ac:dyDescent="0.2">
      <c r="A1904" s="10" t="s">
        <v>7972</v>
      </c>
      <c r="B1904" s="10" t="s">
        <v>7973</v>
      </c>
      <c r="C1904" s="10" t="s">
        <v>18</v>
      </c>
      <c r="D1904" s="10">
        <v>4.3256950963721703</v>
      </c>
      <c r="E1904" s="4">
        <v>6.6227613085876498E-52</v>
      </c>
      <c r="F1904" s="10">
        <v>3.8428472720753599</v>
      </c>
      <c r="G1904" s="4">
        <v>3.1364819736532501E-36</v>
      </c>
    </row>
    <row r="1905" spans="1:7" x14ac:dyDescent="0.2">
      <c r="A1905" s="10" t="s">
        <v>7164</v>
      </c>
      <c r="B1905" s="10" t="s">
        <v>7165</v>
      </c>
      <c r="C1905" s="10" t="s">
        <v>18</v>
      </c>
      <c r="D1905" s="10">
        <v>9.5510935389017906</v>
      </c>
      <c r="E1905" s="4">
        <v>2.5101591640867199E-45</v>
      </c>
      <c r="F1905" s="10">
        <v>8.3154777621378209</v>
      </c>
      <c r="G1905" s="4">
        <v>9.51122054535145E-72</v>
      </c>
    </row>
    <row r="1906" spans="1:7" x14ac:dyDescent="0.2">
      <c r="A1906" s="10" t="s">
        <v>4592</v>
      </c>
      <c r="B1906" s="10" t="s">
        <v>4593</v>
      </c>
      <c r="C1906" s="10" t="s">
        <v>18</v>
      </c>
      <c r="D1906" s="10">
        <v>3.75296526333122</v>
      </c>
      <c r="E1906" s="4">
        <v>6.5279578450749703E-31</v>
      </c>
      <c r="F1906" s="10">
        <v>2.5569568623627501</v>
      </c>
      <c r="G1906" s="4">
        <v>4.3697171070689198E-14</v>
      </c>
    </row>
    <row r="1907" spans="1:7" x14ac:dyDescent="0.2">
      <c r="A1907" s="10" t="s">
        <v>3355</v>
      </c>
      <c r="B1907" s="10" t="s">
        <v>3356</v>
      </c>
      <c r="C1907" s="10" t="s">
        <v>18</v>
      </c>
      <c r="D1907" s="10">
        <v>-3.1691753267899498</v>
      </c>
      <c r="E1907" s="4">
        <v>2.0606693095388299E-29</v>
      </c>
      <c r="F1907" s="10">
        <v>-2.1457737064017102</v>
      </c>
      <c r="G1907" s="4">
        <v>1.5613369323226201E-9</v>
      </c>
    </row>
    <row r="1908" spans="1:7" x14ac:dyDescent="0.2">
      <c r="A1908" s="10" t="s">
        <v>5086</v>
      </c>
      <c r="B1908" s="10" t="s">
        <v>5087</v>
      </c>
      <c r="C1908" s="10" t="s">
        <v>18</v>
      </c>
      <c r="D1908" s="10">
        <v>1.0349027049891899</v>
      </c>
      <c r="E1908" s="4">
        <v>2.2967960121006E-7</v>
      </c>
      <c r="F1908" s="10">
        <v>1.6597584487835</v>
      </c>
      <c r="G1908" s="4">
        <v>2.69163730243735E-8</v>
      </c>
    </row>
    <row r="1909" spans="1:7" x14ac:dyDescent="0.2">
      <c r="A1909" s="10" t="s">
        <v>5746</v>
      </c>
      <c r="B1909" s="10" t="s">
        <v>5747</v>
      </c>
      <c r="C1909" s="10" t="s">
        <v>18</v>
      </c>
      <c r="D1909" s="10">
        <v>-2.26842858851048</v>
      </c>
      <c r="E1909" s="4">
        <v>9.3209095985521196E-31</v>
      </c>
      <c r="F1909" s="10">
        <v>-2.0603304167305998</v>
      </c>
      <c r="G1909" s="4">
        <v>2.4688420811205402E-16</v>
      </c>
    </row>
    <row r="1910" spans="1:7" x14ac:dyDescent="0.2">
      <c r="A1910" s="10" t="s">
        <v>8716</v>
      </c>
      <c r="B1910" s="10" t="s">
        <v>8717</v>
      </c>
      <c r="C1910" s="10" t="s">
        <v>18</v>
      </c>
      <c r="D1910" s="10">
        <v>-1.4235354731854899</v>
      </c>
      <c r="E1910" s="10">
        <v>7.9373986966310203E-3</v>
      </c>
      <c r="F1910" s="10">
        <v>-1.4340801723965899</v>
      </c>
      <c r="G1910" s="10">
        <v>6.2769474002132503E-3</v>
      </c>
    </row>
    <row r="1911" spans="1:7" x14ac:dyDescent="0.2">
      <c r="A1911" s="10" t="s">
        <v>7424</v>
      </c>
      <c r="B1911" s="10" t="s">
        <v>7425</v>
      </c>
      <c r="C1911" s="10" t="s">
        <v>18</v>
      </c>
      <c r="D1911" s="10">
        <v>5.9610494363001898</v>
      </c>
      <c r="E1911" s="4">
        <v>1.1911447232649399E-24</v>
      </c>
      <c r="F1911" s="10">
        <v>7.39145631428753</v>
      </c>
      <c r="G1911" s="4">
        <v>4.34673823516633E-20</v>
      </c>
    </row>
    <row r="1912" spans="1:7" x14ac:dyDescent="0.2">
      <c r="A1912" s="10" t="s">
        <v>403</v>
      </c>
      <c r="B1912" s="10" t="s">
        <v>404</v>
      </c>
      <c r="C1912" s="10" t="s">
        <v>18</v>
      </c>
      <c r="D1912" s="10">
        <v>-1.08009345109834</v>
      </c>
      <c r="E1912" s="4">
        <v>8.5785399368189299E-9</v>
      </c>
      <c r="F1912" s="10">
        <v>-1.8422556247991699</v>
      </c>
      <c r="G1912" s="4">
        <v>1.17677533014932E-12</v>
      </c>
    </row>
    <row r="1913" spans="1:7" x14ac:dyDescent="0.2">
      <c r="A1913" s="10" t="s">
        <v>8668</v>
      </c>
      <c r="B1913" s="10" t="s">
        <v>8669</v>
      </c>
      <c r="C1913" s="10" t="s">
        <v>18</v>
      </c>
      <c r="D1913" s="10">
        <v>-1.46173112088902</v>
      </c>
      <c r="E1913" s="4">
        <v>5.7876855993370001E-6</v>
      </c>
      <c r="F1913" s="10">
        <v>-1.1346110255423101</v>
      </c>
      <c r="G1913" s="10">
        <v>1.6255194463229599E-3</v>
      </c>
    </row>
    <row r="1914" spans="1:7" x14ac:dyDescent="0.2">
      <c r="A1914" s="10" t="s">
        <v>5284</v>
      </c>
      <c r="B1914" s="10" t="s">
        <v>5285</v>
      </c>
      <c r="C1914" s="10" t="s">
        <v>18</v>
      </c>
      <c r="D1914" s="10">
        <v>1.6879961445262199</v>
      </c>
      <c r="E1914" s="4">
        <v>5.7874616730631094E-17</v>
      </c>
      <c r="F1914" s="10">
        <v>3.11745829948695</v>
      </c>
      <c r="G1914" s="4">
        <v>1.46695926012504E-31</v>
      </c>
    </row>
    <row r="1915" spans="1:7" x14ac:dyDescent="0.2">
      <c r="A1915" s="10" t="s">
        <v>1153</v>
      </c>
      <c r="B1915" s="10" t="s">
        <v>1154</v>
      </c>
      <c r="C1915" s="10" t="s">
        <v>18</v>
      </c>
      <c r="D1915" s="10">
        <v>1.88492823317937</v>
      </c>
      <c r="E1915" s="4">
        <v>7.9497865651092199E-11</v>
      </c>
      <c r="F1915" s="10">
        <v>1.9445180640928099</v>
      </c>
      <c r="G1915" s="4">
        <v>1.2120391816660899E-8</v>
      </c>
    </row>
    <row r="1916" spans="1:7" x14ac:dyDescent="0.2">
      <c r="A1916" s="10" t="s">
        <v>1151</v>
      </c>
      <c r="B1916" s="10" t="s">
        <v>1152</v>
      </c>
      <c r="C1916" s="10" t="s">
        <v>18</v>
      </c>
      <c r="D1916" s="10">
        <v>1.7783224236605999</v>
      </c>
      <c r="E1916" s="4">
        <v>2.0366305291095801E-17</v>
      </c>
      <c r="F1916" s="10">
        <v>2.2654146907742101</v>
      </c>
      <c r="G1916" s="4">
        <v>9.5130621271034695E-19</v>
      </c>
    </row>
    <row r="1917" spans="1:7" x14ac:dyDescent="0.2">
      <c r="A1917" s="10" t="s">
        <v>533</v>
      </c>
      <c r="B1917" s="10" t="s">
        <v>534</v>
      </c>
      <c r="C1917" s="10" t="s">
        <v>18</v>
      </c>
      <c r="D1917" s="10">
        <v>-1.45150192243767</v>
      </c>
      <c r="E1917" s="4">
        <v>6.0787456050726296E-13</v>
      </c>
      <c r="F1917" s="10">
        <v>-1.15037654134858</v>
      </c>
      <c r="G1917" s="4">
        <v>1.03812803914445E-5</v>
      </c>
    </row>
    <row r="1918" spans="1:7" x14ac:dyDescent="0.2">
      <c r="A1918" s="10" t="s">
        <v>2993</v>
      </c>
      <c r="B1918" s="10" t="s">
        <v>2994</v>
      </c>
      <c r="C1918" s="10" t="s">
        <v>18</v>
      </c>
      <c r="D1918" s="10">
        <v>-1.6096818257937799</v>
      </c>
      <c r="E1918" s="4">
        <v>3.7230797681573801E-14</v>
      </c>
      <c r="F1918" s="10">
        <v>-1.0474578674766499</v>
      </c>
      <c r="G1918" s="10">
        <v>2.6300776550324602E-4</v>
      </c>
    </row>
    <row r="1919" spans="1:7" x14ac:dyDescent="0.2">
      <c r="A1919" s="10" t="s">
        <v>6140</v>
      </c>
      <c r="B1919" s="10" t="s">
        <v>6141</v>
      </c>
      <c r="C1919" s="10" t="s">
        <v>18</v>
      </c>
      <c r="D1919" s="10">
        <v>-1.8786991229644401</v>
      </c>
      <c r="E1919" s="10">
        <v>5.9825800566680404E-3</v>
      </c>
      <c r="F1919" s="10">
        <v>-3.6595203067038198</v>
      </c>
      <c r="G1919" s="4">
        <v>2.08839382576398E-12</v>
      </c>
    </row>
    <row r="1920" spans="1:7" x14ac:dyDescent="0.2">
      <c r="A1920" s="10" t="s">
        <v>851</v>
      </c>
      <c r="B1920" s="10" t="s">
        <v>852</v>
      </c>
      <c r="C1920" s="10" t="s">
        <v>18</v>
      </c>
      <c r="D1920" s="10">
        <v>-1.2572029520036601</v>
      </c>
      <c r="E1920" s="10">
        <v>1.2558230263761199E-3</v>
      </c>
      <c r="F1920" s="10">
        <v>-1.22623607815797</v>
      </c>
      <c r="G1920" s="10">
        <v>2.51140426484369E-3</v>
      </c>
    </row>
    <row r="1921" spans="1:7" x14ac:dyDescent="0.2">
      <c r="A1921" s="10" t="s">
        <v>8188</v>
      </c>
      <c r="B1921" s="10" t="s">
        <v>8189</v>
      </c>
      <c r="C1921" s="10" t="s">
        <v>18</v>
      </c>
      <c r="D1921" s="10">
        <v>-1.19808656951031</v>
      </c>
      <c r="E1921" s="4">
        <v>2.4370564215610098E-9</v>
      </c>
      <c r="F1921" s="10">
        <v>-1.43464578109076</v>
      </c>
      <c r="G1921" s="4">
        <v>3.35788607578124E-8</v>
      </c>
    </row>
    <row r="1922" spans="1:7" x14ac:dyDescent="0.2">
      <c r="A1922" s="10" t="s">
        <v>483</v>
      </c>
      <c r="B1922" s="10" t="s">
        <v>484</v>
      </c>
      <c r="C1922" s="10" t="s">
        <v>18</v>
      </c>
      <c r="D1922" s="10">
        <v>-1.9225947077502501</v>
      </c>
      <c r="E1922" s="4">
        <v>4.5027241733644101E-16</v>
      </c>
      <c r="F1922" s="10">
        <v>-1.2035357784479499</v>
      </c>
      <c r="G1922" s="10">
        <v>1.3441870287632301E-4</v>
      </c>
    </row>
    <row r="1923" spans="1:7" x14ac:dyDescent="0.2">
      <c r="A1923" s="10" t="s">
        <v>4618</v>
      </c>
      <c r="B1923" s="10" t="s">
        <v>4619</v>
      </c>
      <c r="C1923" s="10" t="s">
        <v>18</v>
      </c>
      <c r="D1923" s="10">
        <v>-1.72398838177324</v>
      </c>
      <c r="E1923" s="4">
        <v>2.2820596413470599E-17</v>
      </c>
      <c r="F1923" s="10">
        <v>-1.2670211612186899</v>
      </c>
      <c r="G1923" s="4">
        <v>1.3169176584958399E-6</v>
      </c>
    </row>
    <row r="1924" spans="1:7" x14ac:dyDescent="0.2">
      <c r="A1924" s="10" t="s">
        <v>5492</v>
      </c>
      <c r="B1924" s="10" t="s">
        <v>5493</v>
      </c>
      <c r="C1924" s="10" t="s">
        <v>18</v>
      </c>
      <c r="D1924" s="10">
        <v>3.7075764361264998</v>
      </c>
      <c r="E1924" s="4">
        <v>1.408247281828E-8</v>
      </c>
      <c r="F1924" s="10">
        <v>2.3447631563910298</v>
      </c>
      <c r="G1924" s="4">
        <v>2.93032653545791E-5</v>
      </c>
    </row>
    <row r="1925" spans="1:7" x14ac:dyDescent="0.2">
      <c r="A1925" s="10" t="s">
        <v>1837</v>
      </c>
      <c r="B1925" s="10" t="s">
        <v>1838</v>
      </c>
      <c r="C1925" s="10" t="s">
        <v>18</v>
      </c>
      <c r="D1925" s="10">
        <v>5.3759776538815096</v>
      </c>
      <c r="E1925" s="4">
        <v>1.6465337229939E-11</v>
      </c>
      <c r="F1925" s="10">
        <v>2.4651736796248902</v>
      </c>
      <c r="G1925" s="4">
        <v>8.6304122792929402E-7</v>
      </c>
    </row>
    <row r="1926" spans="1:7" x14ac:dyDescent="0.2">
      <c r="A1926" s="10" t="s">
        <v>1479</v>
      </c>
      <c r="B1926" s="10" t="s">
        <v>1480</v>
      </c>
      <c r="C1926" s="10" t="s">
        <v>18</v>
      </c>
      <c r="D1926" s="10">
        <v>-2.1121935958368501</v>
      </c>
      <c r="E1926" s="4">
        <v>8.2796509663601006E-27</v>
      </c>
      <c r="F1926" s="10">
        <v>-1.0523587966408301</v>
      </c>
      <c r="G1926" s="4">
        <v>4.6140434471953601E-5</v>
      </c>
    </row>
    <row r="1927" spans="1:7" x14ac:dyDescent="0.2">
      <c r="A1927" s="10" t="s">
        <v>1697</v>
      </c>
      <c r="B1927" s="10" t="s">
        <v>1698</v>
      </c>
      <c r="C1927" s="10" t="s">
        <v>18</v>
      </c>
      <c r="D1927" s="10">
        <v>-3.40897231974941</v>
      </c>
      <c r="E1927" s="4">
        <v>7.8010386961281498E-8</v>
      </c>
      <c r="F1927" s="10">
        <v>-3.6333108563561498</v>
      </c>
      <c r="G1927" s="4">
        <v>6.1527915309599197E-9</v>
      </c>
    </row>
    <row r="1928" spans="1:7" x14ac:dyDescent="0.2">
      <c r="A1928" s="10" t="s">
        <v>1719</v>
      </c>
      <c r="B1928" s="10" t="s">
        <v>1720</v>
      </c>
      <c r="C1928" s="10" t="s">
        <v>18</v>
      </c>
      <c r="D1928" s="10">
        <v>4.99685614770614</v>
      </c>
      <c r="E1928" s="4">
        <v>1.80118971116974E-6</v>
      </c>
      <c r="F1928" s="10">
        <v>2.8683632355202899</v>
      </c>
      <c r="G1928" s="4">
        <v>8.2081818906338698E-5</v>
      </c>
    </row>
    <row r="1929" spans="1:7" x14ac:dyDescent="0.2">
      <c r="A1929" s="10" t="s">
        <v>3493</v>
      </c>
      <c r="B1929" s="10" t="s">
        <v>3494</v>
      </c>
      <c r="C1929" s="10" t="s">
        <v>18</v>
      </c>
      <c r="D1929" s="10">
        <v>-1.67006997411943</v>
      </c>
      <c r="E1929" s="4">
        <v>1.60290838771952E-20</v>
      </c>
      <c r="F1929" s="10">
        <v>-1.31490324289425</v>
      </c>
      <c r="G1929" s="4">
        <v>4.35569003469636E-8</v>
      </c>
    </row>
    <row r="1930" spans="1:7" x14ac:dyDescent="0.2">
      <c r="A1930" s="10" t="s">
        <v>7808</v>
      </c>
      <c r="B1930" s="10" t="s">
        <v>7809</v>
      </c>
      <c r="C1930" s="10" t="s">
        <v>18</v>
      </c>
      <c r="D1930" s="10">
        <v>2.0753731615137201</v>
      </c>
      <c r="E1930" s="4">
        <v>6.3513779748076603E-12</v>
      </c>
      <c r="F1930" s="10">
        <v>2.71981144989013</v>
      </c>
      <c r="G1930" s="4">
        <v>2.9163836896816598E-13</v>
      </c>
    </row>
    <row r="1931" spans="1:7" x14ac:dyDescent="0.2">
      <c r="A1931" s="10" t="s">
        <v>3501</v>
      </c>
      <c r="B1931" s="10" t="s">
        <v>3502</v>
      </c>
      <c r="C1931" s="10" t="s">
        <v>18</v>
      </c>
      <c r="D1931" s="10">
        <v>1.3774008275584999</v>
      </c>
      <c r="E1931" s="10">
        <v>3.5674974279780201E-4</v>
      </c>
      <c r="F1931" s="10">
        <v>1.92866245207468</v>
      </c>
      <c r="G1931" s="4">
        <v>3.2954501915306999E-6</v>
      </c>
    </row>
    <row r="1932" spans="1:7" x14ac:dyDescent="0.2">
      <c r="A1932" s="10" t="s">
        <v>39</v>
      </c>
      <c r="B1932" s="10" t="s">
        <v>40</v>
      </c>
      <c r="C1932" s="10" t="s">
        <v>18</v>
      </c>
      <c r="D1932" s="10">
        <v>-1.8852764421321</v>
      </c>
      <c r="E1932" s="4">
        <v>9.6939401268504901E-15</v>
      </c>
      <c r="F1932" s="10">
        <v>2.1397341541160002</v>
      </c>
      <c r="G1932" s="4">
        <v>3.1159324599740499E-8</v>
      </c>
    </row>
    <row r="1933" spans="1:7" x14ac:dyDescent="0.2">
      <c r="A1933" s="10" t="s">
        <v>5378</v>
      </c>
      <c r="B1933" s="10" t="s">
        <v>5379</v>
      </c>
      <c r="C1933" s="10" t="s">
        <v>18</v>
      </c>
      <c r="D1933" s="10">
        <v>7.8332130673117204</v>
      </c>
      <c r="E1933" s="4">
        <v>1.2551363846923899E-29</v>
      </c>
      <c r="F1933" s="10">
        <v>4.3892391691315797</v>
      </c>
      <c r="G1933" s="4">
        <v>3.4703253919444098E-38</v>
      </c>
    </row>
    <row r="1934" spans="1:7" x14ac:dyDescent="0.2">
      <c r="A1934" s="10" t="s">
        <v>5846</v>
      </c>
      <c r="B1934" s="10" t="s">
        <v>5847</v>
      </c>
      <c r="C1934" s="10" t="s">
        <v>18</v>
      </c>
      <c r="D1934" s="10">
        <v>-1.5654599706805701</v>
      </c>
      <c r="E1934" s="4">
        <v>1.17307370356066E-15</v>
      </c>
      <c r="F1934" s="10">
        <v>-1.27523038963067</v>
      </c>
      <c r="G1934" s="4">
        <v>3.44078932317506E-7</v>
      </c>
    </row>
    <row r="1935" spans="1:7" x14ac:dyDescent="0.2">
      <c r="A1935" s="10" t="s">
        <v>7710</v>
      </c>
      <c r="B1935" s="10" t="s">
        <v>7711</v>
      </c>
      <c r="C1935" s="10" t="s">
        <v>18</v>
      </c>
      <c r="D1935" s="10">
        <v>-1.60799729993651</v>
      </c>
      <c r="E1935" s="4">
        <v>1.3641557682426399E-11</v>
      </c>
      <c r="F1935" s="10">
        <v>-1.09800055482535</v>
      </c>
      <c r="G1935" s="10">
        <v>2.3510102844100401E-4</v>
      </c>
    </row>
    <row r="1936" spans="1:7" x14ac:dyDescent="0.2">
      <c r="A1936" s="10" t="s">
        <v>6200</v>
      </c>
      <c r="B1936" s="10" t="s">
        <v>6201</v>
      </c>
      <c r="C1936" s="10" t="s">
        <v>18</v>
      </c>
      <c r="D1936" s="10">
        <v>1.29754124390055</v>
      </c>
      <c r="E1936" s="4">
        <v>5.4519737591151905E-13</v>
      </c>
      <c r="F1936" s="10">
        <v>2.0612995515304502</v>
      </c>
      <c r="G1936" s="4">
        <v>1.18638642851726E-16</v>
      </c>
    </row>
    <row r="1937" spans="1:7" x14ac:dyDescent="0.2">
      <c r="A1937" s="10" t="s">
        <v>8064</v>
      </c>
      <c r="B1937" s="10" t="s">
        <v>8065</v>
      </c>
      <c r="C1937" s="10" t="s">
        <v>18</v>
      </c>
      <c r="D1937" s="10">
        <v>-1.2111467563677201</v>
      </c>
      <c r="E1937" s="4">
        <v>1.4124721997685001E-7</v>
      </c>
      <c r="F1937" s="10">
        <v>-1.1965221914356601</v>
      </c>
      <c r="G1937" s="10">
        <v>1.2273628714257201E-4</v>
      </c>
    </row>
    <row r="1938" spans="1:7" x14ac:dyDescent="0.2">
      <c r="A1938" s="10" t="s">
        <v>449</v>
      </c>
      <c r="B1938" s="10" t="s">
        <v>450</v>
      </c>
      <c r="C1938" s="10" t="s">
        <v>18</v>
      </c>
      <c r="D1938" s="10">
        <v>10.403908761853501</v>
      </c>
      <c r="E1938" s="4">
        <v>2.5463840083243698E-12</v>
      </c>
      <c r="F1938" s="10">
        <v>4.3343224961951003</v>
      </c>
      <c r="G1938" s="4">
        <v>1.3719368194207801E-20</v>
      </c>
    </row>
    <row r="1939" spans="1:7" x14ac:dyDescent="0.2">
      <c r="A1939" s="10" t="s">
        <v>5800</v>
      </c>
      <c r="B1939" s="10" t="s">
        <v>5801</v>
      </c>
      <c r="C1939" s="10" t="s">
        <v>18</v>
      </c>
      <c r="D1939" s="10">
        <v>3.0832637327274899</v>
      </c>
      <c r="E1939" s="4">
        <v>6.9835528964865E-19</v>
      </c>
      <c r="F1939" s="10">
        <v>2.1968647908988301</v>
      </c>
      <c r="G1939" s="4">
        <v>1.79082517453668E-10</v>
      </c>
    </row>
    <row r="1940" spans="1:7" x14ac:dyDescent="0.2">
      <c r="A1940" s="10" t="s">
        <v>6348</v>
      </c>
      <c r="B1940" s="10" t="s">
        <v>6349</v>
      </c>
      <c r="C1940" s="10" t="s">
        <v>18</v>
      </c>
      <c r="D1940" s="10">
        <v>-1.0813016139850999</v>
      </c>
      <c r="E1940" s="4">
        <v>4.0227092474474502E-5</v>
      </c>
      <c r="F1940" s="10">
        <v>-1.67794088344924</v>
      </c>
      <c r="G1940" s="4">
        <v>1.8404277110369799E-8</v>
      </c>
    </row>
    <row r="1941" spans="1:7" x14ac:dyDescent="0.2">
      <c r="A1941" s="10" t="s">
        <v>6294</v>
      </c>
      <c r="B1941" s="10" t="s">
        <v>6295</v>
      </c>
      <c r="C1941" s="10" t="s">
        <v>18</v>
      </c>
      <c r="D1941" s="10">
        <v>-2.2439233539336798</v>
      </c>
      <c r="E1941" s="4">
        <v>3.4784113503741199E-15</v>
      </c>
      <c r="F1941" s="10">
        <v>-2.7981735482864698</v>
      </c>
      <c r="G1941" s="4">
        <v>5.3787381887555103E-19</v>
      </c>
    </row>
    <row r="1942" spans="1:7" x14ac:dyDescent="0.2">
      <c r="A1942" s="10" t="s">
        <v>7318</v>
      </c>
      <c r="B1942" s="10" t="s">
        <v>7319</v>
      </c>
      <c r="C1942" s="10" t="s">
        <v>18</v>
      </c>
      <c r="D1942" s="10">
        <v>9.4547826506750692</v>
      </c>
      <c r="E1942" s="4">
        <v>1.3635027468462201E-38</v>
      </c>
      <c r="F1942" s="10">
        <v>10.5318852306801</v>
      </c>
      <c r="G1942" s="4">
        <v>6.5777136963615798E-101</v>
      </c>
    </row>
    <row r="1943" spans="1:7" x14ac:dyDescent="0.2">
      <c r="A1943" s="10" t="s">
        <v>4266</v>
      </c>
      <c r="B1943" s="10" t="s">
        <v>4267</v>
      </c>
      <c r="C1943" s="10" t="s">
        <v>18</v>
      </c>
      <c r="D1943" s="10">
        <v>2.9001610697226399</v>
      </c>
      <c r="E1943" s="4">
        <v>1.6432113334799599E-40</v>
      </c>
      <c r="F1943" s="10">
        <v>3.5520704552753499</v>
      </c>
      <c r="G1943" s="4">
        <v>9.9949943971860301E-28</v>
      </c>
    </row>
    <row r="1944" spans="1:7" x14ac:dyDescent="0.2">
      <c r="A1944" s="10" t="s">
        <v>3433</v>
      </c>
      <c r="B1944" s="10" t="s">
        <v>3434</v>
      </c>
      <c r="C1944" s="10" t="s">
        <v>18</v>
      </c>
      <c r="D1944" s="10">
        <v>7.4526614579269896</v>
      </c>
      <c r="E1944" s="4">
        <v>1.81361287132855E-87</v>
      </c>
      <c r="F1944" s="10">
        <v>2.1322934411620098</v>
      </c>
      <c r="G1944" s="4">
        <v>4.8043372635778997E-16</v>
      </c>
    </row>
    <row r="1945" spans="1:7" x14ac:dyDescent="0.2">
      <c r="A1945" s="10" t="s">
        <v>7254</v>
      </c>
      <c r="B1945" s="10" t="s">
        <v>7255</v>
      </c>
      <c r="C1945" s="10" t="s">
        <v>18</v>
      </c>
      <c r="D1945" s="10">
        <v>-1.35526195434604</v>
      </c>
      <c r="E1945" s="4">
        <v>2.32820475806638E-10</v>
      </c>
      <c r="F1945" s="10">
        <v>-2.2355229103040002</v>
      </c>
      <c r="G1945" s="4">
        <v>7.9196752105880006E-15</v>
      </c>
    </row>
    <row r="1946" spans="1:7" x14ac:dyDescent="0.2">
      <c r="A1946" s="10" t="s">
        <v>883</v>
      </c>
      <c r="B1946" s="10" t="s">
        <v>884</v>
      </c>
      <c r="C1946" s="10" t="s">
        <v>18</v>
      </c>
      <c r="D1946" s="10">
        <v>5.9740943991529196</v>
      </c>
      <c r="E1946" s="4">
        <v>1.03954762461526E-19</v>
      </c>
      <c r="F1946" s="10">
        <v>4.5818501614207197</v>
      </c>
      <c r="G1946" s="4">
        <v>2.1339903907195399E-20</v>
      </c>
    </row>
    <row r="1947" spans="1:7" x14ac:dyDescent="0.2">
      <c r="A1947" s="10" t="s">
        <v>7120</v>
      </c>
      <c r="B1947" s="10" t="s">
        <v>7121</v>
      </c>
      <c r="C1947" s="10" t="s">
        <v>18</v>
      </c>
      <c r="D1947" s="10">
        <v>1.6187794150110699</v>
      </c>
      <c r="E1947" s="4">
        <v>2.5981077918099098E-19</v>
      </c>
      <c r="F1947" s="10">
        <v>1.16113349705139</v>
      </c>
      <c r="G1947" s="4">
        <v>1.03565237604309E-6</v>
      </c>
    </row>
    <row r="1948" spans="1:7" x14ac:dyDescent="0.2">
      <c r="A1948" s="10" t="s">
        <v>4914</v>
      </c>
      <c r="B1948" s="10" t="s">
        <v>4915</v>
      </c>
      <c r="C1948" s="10" t="s">
        <v>18</v>
      </c>
      <c r="D1948" s="10">
        <v>-1.9728848971255</v>
      </c>
      <c r="E1948" s="4">
        <v>6.1723287439930396E-8</v>
      </c>
      <c r="F1948" s="10">
        <v>-1.17153003118536</v>
      </c>
      <c r="G1948" s="10">
        <v>7.3350191058764403E-3</v>
      </c>
    </row>
    <row r="1949" spans="1:7" x14ac:dyDescent="0.2">
      <c r="A1949" s="10" t="s">
        <v>8888</v>
      </c>
      <c r="B1949" s="10" t="s">
        <v>8889</v>
      </c>
      <c r="C1949" s="10" t="s">
        <v>18</v>
      </c>
      <c r="D1949" s="10">
        <v>1.8703976323968301</v>
      </c>
      <c r="E1949" s="4">
        <v>1.1943874708681701E-19</v>
      </c>
      <c r="F1949" s="10">
        <v>1.3297076070120799</v>
      </c>
      <c r="G1949" s="4">
        <v>1.4473586899641399E-7</v>
      </c>
    </row>
    <row r="1950" spans="1:7" x14ac:dyDescent="0.2">
      <c r="A1950" s="10" t="s">
        <v>7022</v>
      </c>
      <c r="B1950" s="10" t="s">
        <v>7023</v>
      </c>
      <c r="C1950" s="10" t="s">
        <v>18</v>
      </c>
      <c r="D1950" s="10">
        <v>2.2633588408467</v>
      </c>
      <c r="E1950" s="4">
        <v>1.76914822672154E-9</v>
      </c>
      <c r="F1950" s="10">
        <v>1.5927945678549</v>
      </c>
      <c r="G1950" s="4">
        <v>1.7518816055884299E-5</v>
      </c>
    </row>
    <row r="1951" spans="1:7" x14ac:dyDescent="0.2">
      <c r="A1951" s="10" t="s">
        <v>8726</v>
      </c>
      <c r="B1951" s="10" t="s">
        <v>8727</v>
      </c>
      <c r="C1951" s="10" t="s">
        <v>18</v>
      </c>
      <c r="D1951" s="10">
        <v>-1.4594080794717601</v>
      </c>
      <c r="E1951" s="4">
        <v>1.36812365517158E-16</v>
      </c>
      <c r="F1951" s="10">
        <v>-1.5153424642902</v>
      </c>
      <c r="G1951" s="4">
        <v>1.1901531337035899E-8</v>
      </c>
    </row>
    <row r="1952" spans="1:7" x14ac:dyDescent="0.2">
      <c r="A1952" s="10" t="s">
        <v>1653</v>
      </c>
      <c r="B1952" s="10" t="s">
        <v>1654</v>
      </c>
      <c r="C1952" s="10" t="s">
        <v>18</v>
      </c>
      <c r="D1952" s="10">
        <v>1.6445644870692799</v>
      </c>
      <c r="E1952" s="4">
        <v>2.1652529439982001E-19</v>
      </c>
      <c r="F1952" s="10">
        <v>2.28247862858538</v>
      </c>
      <c r="G1952" s="4">
        <v>3.7420927790458597E-18</v>
      </c>
    </row>
    <row r="1953" spans="1:7" x14ac:dyDescent="0.2">
      <c r="A1953" s="10" t="s">
        <v>5414</v>
      </c>
      <c r="B1953" s="10" t="s">
        <v>5415</v>
      </c>
      <c r="C1953" s="10" t="s">
        <v>18</v>
      </c>
      <c r="D1953" s="10">
        <v>1.1176432691054199</v>
      </c>
      <c r="E1953" s="4">
        <v>6.63188463798793E-11</v>
      </c>
      <c r="F1953" s="10">
        <v>1.3426765902887099</v>
      </c>
      <c r="G1953" s="4">
        <v>2.81436894277954E-8</v>
      </c>
    </row>
    <row r="1954" spans="1:7" x14ac:dyDescent="0.2">
      <c r="A1954" s="10" t="s">
        <v>6742</v>
      </c>
      <c r="B1954" s="10" t="s">
        <v>6743</v>
      </c>
      <c r="C1954" s="10" t="s">
        <v>18</v>
      </c>
      <c r="D1954" s="10">
        <v>2.3310528988656301</v>
      </c>
      <c r="E1954" s="4">
        <v>8.7163392834091705E-27</v>
      </c>
      <c r="F1954" s="10">
        <v>2.0810607204860201</v>
      </c>
      <c r="G1954" s="4">
        <v>9.4895045260697902E-12</v>
      </c>
    </row>
    <row r="1955" spans="1:7" x14ac:dyDescent="0.2">
      <c r="A1955" s="10" t="s">
        <v>7444</v>
      </c>
      <c r="B1955" s="10" t="s">
        <v>7445</v>
      </c>
      <c r="C1955" s="10" t="s">
        <v>18</v>
      </c>
      <c r="D1955" s="10">
        <v>2.34773363361704</v>
      </c>
      <c r="E1955" s="10">
        <v>2.82286285705861E-3</v>
      </c>
      <c r="F1955" s="10">
        <v>2.2506378830678</v>
      </c>
      <c r="G1955" s="10">
        <v>2.6890360761068302E-3</v>
      </c>
    </row>
    <row r="1956" spans="1:7" x14ac:dyDescent="0.2">
      <c r="A1956" s="10" t="s">
        <v>1183</v>
      </c>
      <c r="B1956" s="10" t="s">
        <v>1184</v>
      </c>
      <c r="C1956" s="10" t="s">
        <v>18</v>
      </c>
      <c r="D1956" s="10">
        <v>4.5364991858783803</v>
      </c>
      <c r="E1956" s="4">
        <v>6.6110945242120304E-56</v>
      </c>
      <c r="F1956" s="10">
        <v>1.90311708911771</v>
      </c>
      <c r="G1956" s="4">
        <v>6.5823669211817401E-12</v>
      </c>
    </row>
    <row r="1957" spans="1:7" x14ac:dyDescent="0.2">
      <c r="A1957" s="10" t="s">
        <v>2033</v>
      </c>
      <c r="B1957" s="10" t="s">
        <v>2034</v>
      </c>
      <c r="C1957" s="10" t="s">
        <v>18</v>
      </c>
      <c r="D1957" s="10">
        <v>5.4770126064727602</v>
      </c>
      <c r="E1957" s="4">
        <v>9.6772473259608292E-6</v>
      </c>
      <c r="F1957" s="10">
        <v>3.0378014891077898</v>
      </c>
      <c r="G1957" s="4">
        <v>5.8666147329748299E-5</v>
      </c>
    </row>
    <row r="1958" spans="1:7" x14ac:dyDescent="0.2">
      <c r="A1958" s="10" t="s">
        <v>2569</v>
      </c>
      <c r="B1958" s="10" t="s">
        <v>2570</v>
      </c>
      <c r="C1958" s="10" t="s">
        <v>18</v>
      </c>
      <c r="D1958" s="10">
        <v>-1.9095552986222699</v>
      </c>
      <c r="E1958" s="4">
        <v>5.5284866083893395E-20</v>
      </c>
      <c r="F1958" s="10">
        <v>-1.5691059709341</v>
      </c>
      <c r="G1958" s="4">
        <v>7.06742641020779E-9</v>
      </c>
    </row>
    <row r="1959" spans="1:7" x14ac:dyDescent="0.2">
      <c r="A1959" s="10" t="s">
        <v>3009</v>
      </c>
      <c r="B1959" s="10" t="s">
        <v>3010</v>
      </c>
      <c r="C1959" s="10" t="s">
        <v>18</v>
      </c>
      <c r="D1959" s="10">
        <v>-2.7665089364072002</v>
      </c>
      <c r="E1959" s="4">
        <v>3.8223464862390997E-21</v>
      </c>
      <c r="F1959" s="10">
        <v>-1.4657124017251</v>
      </c>
      <c r="G1959" s="4">
        <v>7.3933860507372699E-5</v>
      </c>
    </row>
    <row r="1960" spans="1:7" x14ac:dyDescent="0.2">
      <c r="A1960" s="10" t="s">
        <v>4149</v>
      </c>
      <c r="B1960" s="10" t="s">
        <v>4150</v>
      </c>
      <c r="C1960" s="10" t="s">
        <v>18</v>
      </c>
      <c r="D1960" s="10">
        <v>1.7406786462667301</v>
      </c>
      <c r="E1960" s="4">
        <v>7.8274879375602597E-22</v>
      </c>
      <c r="F1960" s="10">
        <v>2.3056399675407402</v>
      </c>
      <c r="G1960" s="4">
        <v>7.0544735225149603E-22</v>
      </c>
    </row>
    <row r="1961" spans="1:7" x14ac:dyDescent="0.2">
      <c r="A1961" s="10" t="s">
        <v>1227</v>
      </c>
      <c r="B1961" s="10" t="s">
        <v>1228</v>
      </c>
      <c r="C1961" s="10" t="s">
        <v>18</v>
      </c>
      <c r="D1961" s="10">
        <v>2.18843361361195</v>
      </c>
      <c r="E1961" s="4">
        <v>5.39577054816725E-14</v>
      </c>
      <c r="F1961" s="10">
        <v>1.3171235647098201</v>
      </c>
      <c r="G1961" s="4">
        <v>1.1050822661810401E-5</v>
      </c>
    </row>
    <row r="1962" spans="1:7" x14ac:dyDescent="0.2">
      <c r="A1962" s="10" t="s">
        <v>4624</v>
      </c>
      <c r="B1962" s="10" t="s">
        <v>4625</v>
      </c>
      <c r="C1962" s="10" t="s">
        <v>18</v>
      </c>
      <c r="D1962" s="10">
        <v>-2.7159812152610301</v>
      </c>
      <c r="E1962" s="4">
        <v>1.3192723110709299E-32</v>
      </c>
      <c r="F1962" s="10">
        <v>-1.53154595170059</v>
      </c>
      <c r="G1962" s="4">
        <v>2.2127777019441598E-6</v>
      </c>
    </row>
    <row r="1963" spans="1:7" x14ac:dyDescent="0.2">
      <c r="A1963" s="10" t="s">
        <v>1439</v>
      </c>
      <c r="B1963" s="10" t="s">
        <v>1440</v>
      </c>
      <c r="C1963" s="10" t="s">
        <v>18</v>
      </c>
      <c r="D1963" s="10">
        <v>1.82954479571634</v>
      </c>
      <c r="E1963" s="4">
        <v>1.0518897128672701E-8</v>
      </c>
      <c r="F1963" s="10">
        <v>-1.2474625722468</v>
      </c>
      <c r="G1963" s="4">
        <v>1.8842808371528499E-5</v>
      </c>
    </row>
    <row r="1964" spans="1:7" x14ac:dyDescent="0.2">
      <c r="A1964" s="10" t="s">
        <v>3325</v>
      </c>
      <c r="B1964" s="10" t="s">
        <v>3326</v>
      </c>
      <c r="C1964" s="10" t="s">
        <v>18</v>
      </c>
      <c r="D1964" s="10">
        <v>-1.1156078035876</v>
      </c>
      <c r="E1964" s="4">
        <v>4.9280245148183799E-5</v>
      </c>
      <c r="F1964" s="10">
        <v>-1.48435803688607</v>
      </c>
      <c r="G1964" s="4">
        <v>3.9897241271599699E-6</v>
      </c>
    </row>
    <row r="1965" spans="1:7" x14ac:dyDescent="0.2">
      <c r="A1965" s="10" t="s">
        <v>6142</v>
      </c>
      <c r="B1965" s="10" t="s">
        <v>6143</v>
      </c>
      <c r="C1965" s="10" t="s">
        <v>18</v>
      </c>
      <c r="D1965" s="10">
        <v>6.1572676378607003</v>
      </c>
      <c r="E1965" s="10">
        <v>1.40231034511139E-4</v>
      </c>
      <c r="F1965" s="10">
        <v>2.3919635419777499</v>
      </c>
      <c r="G1965" s="10">
        <v>1.3591586299989101E-3</v>
      </c>
    </row>
    <row r="1966" spans="1:7" x14ac:dyDescent="0.2">
      <c r="A1966" s="10" t="s">
        <v>6006</v>
      </c>
      <c r="B1966" s="10" t="s">
        <v>6007</v>
      </c>
      <c r="C1966" s="10" t="s">
        <v>18</v>
      </c>
      <c r="D1966" s="10">
        <v>2.0273613837675901</v>
      </c>
      <c r="E1966" s="4">
        <v>3.96590491166804E-10</v>
      </c>
      <c r="F1966" s="10">
        <v>1.9002005465788601</v>
      </c>
      <c r="G1966" s="4">
        <v>5.3489306271433099E-8</v>
      </c>
    </row>
    <row r="1967" spans="1:7" x14ac:dyDescent="0.2">
      <c r="A1967" s="10" t="s">
        <v>295</v>
      </c>
      <c r="B1967" s="10" t="s">
        <v>296</v>
      </c>
      <c r="C1967" s="10" t="s">
        <v>18</v>
      </c>
      <c r="D1967" s="10">
        <v>-2.4977536255525599</v>
      </c>
      <c r="E1967" s="4">
        <v>9.9293157060389398E-16</v>
      </c>
      <c r="F1967" s="10">
        <v>-1.5700959523384299</v>
      </c>
      <c r="G1967" s="4">
        <v>9.6836716897080605E-5</v>
      </c>
    </row>
    <row r="1968" spans="1:7" x14ac:dyDescent="0.2">
      <c r="A1968" s="10" t="s">
        <v>6878</v>
      </c>
      <c r="B1968" s="10" t="s">
        <v>6879</v>
      </c>
      <c r="C1968" s="10" t="s">
        <v>18</v>
      </c>
      <c r="D1968" s="10">
        <v>2.9866588654327102</v>
      </c>
      <c r="E1968" s="4">
        <v>1.0085611520035E-41</v>
      </c>
      <c r="F1968" s="10">
        <v>1.91779644575841</v>
      </c>
      <c r="G1968" s="4">
        <v>2.8833658298641399E-11</v>
      </c>
    </row>
    <row r="1969" spans="1:7" x14ac:dyDescent="0.2">
      <c r="A1969" s="10" t="s">
        <v>6120</v>
      </c>
      <c r="B1969" s="10" t="s">
        <v>6121</v>
      </c>
      <c r="C1969" s="10" t="s">
        <v>18</v>
      </c>
      <c r="D1969" s="10">
        <v>2.1060396747808099</v>
      </c>
      <c r="E1969" s="4">
        <v>2.91139869729575E-20</v>
      </c>
      <c r="F1969" s="10">
        <v>2.1154294843992001</v>
      </c>
      <c r="G1969" s="4">
        <v>3.3168680379695399E-13</v>
      </c>
    </row>
    <row r="1970" spans="1:7" x14ac:dyDescent="0.2">
      <c r="A1970" s="10" t="s">
        <v>2053</v>
      </c>
      <c r="B1970" s="10" t="s">
        <v>2054</v>
      </c>
      <c r="C1970" s="10" t="s">
        <v>18</v>
      </c>
      <c r="D1970" s="10">
        <v>1.9484949268215499</v>
      </c>
      <c r="E1970" s="4">
        <v>1.0505637199561E-27</v>
      </c>
      <c r="F1970" s="10">
        <v>3.8534954193830901</v>
      </c>
      <c r="G1970" s="4">
        <v>1.0660279161552399E-56</v>
      </c>
    </row>
    <row r="1971" spans="1:7" x14ac:dyDescent="0.2">
      <c r="A1971" s="10" t="s">
        <v>4440</v>
      </c>
      <c r="B1971" s="10" t="s">
        <v>4441</v>
      </c>
      <c r="C1971" s="10" t="s">
        <v>18</v>
      </c>
      <c r="D1971" s="10">
        <v>-1.52513838857923</v>
      </c>
      <c r="E1971" s="4">
        <v>1.2394868388464001E-10</v>
      </c>
      <c r="F1971" s="10">
        <v>-1.01100687683947</v>
      </c>
      <c r="G1971" s="10">
        <v>1.6847174555991999E-3</v>
      </c>
    </row>
    <row r="1972" spans="1:7" x14ac:dyDescent="0.2">
      <c r="A1972" s="10" t="s">
        <v>2981</v>
      </c>
      <c r="B1972" s="10" t="s">
        <v>2982</v>
      </c>
      <c r="C1972" s="10" t="s">
        <v>18</v>
      </c>
      <c r="D1972" s="10">
        <v>1.9301338264812899</v>
      </c>
      <c r="E1972" s="4">
        <v>3.8985941322703501E-9</v>
      </c>
      <c r="F1972" s="10">
        <v>1.0214562339992399</v>
      </c>
      <c r="G1972" s="10">
        <v>4.63695313777048E-3</v>
      </c>
    </row>
    <row r="1973" spans="1:7" x14ac:dyDescent="0.2">
      <c r="A1973" s="10" t="s">
        <v>2951</v>
      </c>
      <c r="B1973" s="10" t="s">
        <v>2952</v>
      </c>
      <c r="C1973" s="10" t="s">
        <v>18</v>
      </c>
      <c r="D1973" s="10">
        <v>-1.26825988181625</v>
      </c>
      <c r="E1973" s="10">
        <v>1.5280208128175501E-4</v>
      </c>
      <c r="F1973" s="10">
        <v>-1.7095988547296599</v>
      </c>
      <c r="G1973" s="4">
        <v>2.6533609280294899E-6</v>
      </c>
    </row>
    <row r="1974" spans="1:7" x14ac:dyDescent="0.2">
      <c r="A1974" s="10" t="s">
        <v>4838</v>
      </c>
      <c r="B1974" s="10" t="s">
        <v>4839</v>
      </c>
      <c r="C1974" s="10" t="s">
        <v>18</v>
      </c>
      <c r="D1974" s="10">
        <v>1.6465220697698399</v>
      </c>
      <c r="E1974" s="4">
        <v>1.67346897525613E-14</v>
      </c>
      <c r="F1974" s="10">
        <v>1.4689938975605401</v>
      </c>
      <c r="G1974" s="4">
        <v>3.9626659973817502E-8</v>
      </c>
    </row>
    <row r="1975" spans="1:7" x14ac:dyDescent="0.2">
      <c r="A1975" s="10" t="s">
        <v>8294</v>
      </c>
      <c r="B1975" s="10" t="s">
        <v>8295</v>
      </c>
      <c r="C1975" s="10" t="s">
        <v>18</v>
      </c>
      <c r="D1975" s="10">
        <v>1.89485051572222</v>
      </c>
      <c r="E1975" s="4">
        <v>2.23295506831215E-18</v>
      </c>
      <c r="F1975" s="10">
        <v>1.29684385018911</v>
      </c>
      <c r="G1975" s="4">
        <v>4.2758368797669801E-6</v>
      </c>
    </row>
    <row r="1976" spans="1:7" x14ac:dyDescent="0.2">
      <c r="A1976" s="10" t="s">
        <v>8700</v>
      </c>
      <c r="B1976" s="10" t="s">
        <v>8701</v>
      </c>
      <c r="C1976" s="10" t="s">
        <v>18</v>
      </c>
      <c r="D1976" s="10">
        <v>1.1354585445649501</v>
      </c>
      <c r="E1976" s="10">
        <v>1.42834714028338E-2</v>
      </c>
      <c r="F1976" s="10">
        <v>-1.0420954417900701</v>
      </c>
      <c r="G1976" s="10">
        <v>6.4006475731762501E-3</v>
      </c>
    </row>
    <row r="1977" spans="1:7" x14ac:dyDescent="0.2">
      <c r="A1977" s="10" t="s">
        <v>8040</v>
      </c>
      <c r="B1977" s="10" t="s">
        <v>8041</v>
      </c>
      <c r="C1977" s="10" t="s">
        <v>18</v>
      </c>
      <c r="D1977" s="10">
        <v>2.0151154325837202</v>
      </c>
      <c r="E1977" s="4">
        <v>1.0863454233394901E-11</v>
      </c>
      <c r="F1977" s="10">
        <v>2.57444921699916</v>
      </c>
      <c r="G1977" s="4">
        <v>8.3290249441849203E-13</v>
      </c>
    </row>
    <row r="1978" spans="1:7" x14ac:dyDescent="0.2">
      <c r="A1978" s="10" t="s">
        <v>8432</v>
      </c>
      <c r="B1978" s="10" t="s">
        <v>8433</v>
      </c>
      <c r="C1978" s="10" t="s">
        <v>18</v>
      </c>
      <c r="D1978" s="10">
        <v>2.04153378881314</v>
      </c>
      <c r="E1978" s="4">
        <v>1.50917769776173E-28</v>
      </c>
      <c r="F1978" s="10">
        <v>2.6351573778103901</v>
      </c>
      <c r="G1978" s="4">
        <v>2.0317291938262702E-27</v>
      </c>
    </row>
    <row r="1979" spans="1:7" x14ac:dyDescent="0.2">
      <c r="A1979" s="10" t="s">
        <v>4520</v>
      </c>
      <c r="B1979" s="10" t="s">
        <v>4521</v>
      </c>
      <c r="C1979" s="10" t="s">
        <v>18</v>
      </c>
      <c r="D1979" s="10">
        <v>1.2818690666311401</v>
      </c>
      <c r="E1979" s="4">
        <v>2.5178904095183298E-8</v>
      </c>
      <c r="F1979" s="10">
        <v>1.2842284020785499</v>
      </c>
      <c r="G1979" s="4">
        <v>9.0772293893984908E-6</v>
      </c>
    </row>
    <row r="1980" spans="1:7" x14ac:dyDescent="0.2">
      <c r="A1980" s="10" t="s">
        <v>4219</v>
      </c>
      <c r="B1980" s="10" t="s">
        <v>4220</v>
      </c>
      <c r="C1980" s="10" t="s">
        <v>18</v>
      </c>
      <c r="D1980" s="10">
        <v>-1.7662618900493801</v>
      </c>
      <c r="E1980" s="4">
        <v>2.3239664597295498E-13</v>
      </c>
      <c r="F1980" s="10">
        <v>-2.1166975093626701</v>
      </c>
      <c r="G1980" s="4">
        <v>7.1635605754831393E-15</v>
      </c>
    </row>
    <row r="1981" spans="1:7" x14ac:dyDescent="0.2">
      <c r="A1981" s="10" t="s">
        <v>4516</v>
      </c>
      <c r="B1981" s="10" t="s">
        <v>4517</v>
      </c>
      <c r="C1981" s="10" t="s">
        <v>18</v>
      </c>
      <c r="D1981" s="10">
        <v>1.7402574790501</v>
      </c>
      <c r="E1981" s="4">
        <v>1.83436074531928E-15</v>
      </c>
      <c r="F1981" s="10">
        <v>2.0964041566125702</v>
      </c>
      <c r="G1981" s="4">
        <v>5.9688502625842499E-13</v>
      </c>
    </row>
    <row r="1982" spans="1:7" x14ac:dyDescent="0.2">
      <c r="A1982" s="10" t="s">
        <v>8074</v>
      </c>
      <c r="B1982" s="10" t="s">
        <v>8075</v>
      </c>
      <c r="C1982" s="10" t="s">
        <v>18</v>
      </c>
      <c r="D1982" s="10">
        <v>1.69707053471015</v>
      </c>
      <c r="E1982" s="4">
        <v>4.1119430443262498E-10</v>
      </c>
      <c r="F1982" s="10">
        <v>1.44379222577191</v>
      </c>
      <c r="G1982" s="4">
        <v>5.27738121361958E-6</v>
      </c>
    </row>
    <row r="1983" spans="1:7" x14ac:dyDescent="0.2">
      <c r="A1983" s="10" t="s">
        <v>5562</v>
      </c>
      <c r="B1983" s="10" t="s">
        <v>5563</v>
      </c>
      <c r="C1983" s="10" t="s">
        <v>18</v>
      </c>
      <c r="D1983" s="10">
        <v>4.77435589723658</v>
      </c>
      <c r="E1983" s="4">
        <v>7.6964123334300697E-102</v>
      </c>
      <c r="F1983" s="10">
        <v>4.2282555312032004</v>
      </c>
      <c r="G1983" s="4">
        <v>5.5472287735226297E-40</v>
      </c>
    </row>
    <row r="1984" spans="1:7" x14ac:dyDescent="0.2">
      <c r="A1984" s="10" t="s">
        <v>1671</v>
      </c>
      <c r="B1984" s="10" t="s">
        <v>1672</v>
      </c>
      <c r="C1984" s="10" t="s">
        <v>18</v>
      </c>
      <c r="D1984" s="10">
        <v>5.2332205053776999</v>
      </c>
      <c r="E1984" s="4">
        <v>2.49848241377747E-5</v>
      </c>
      <c r="F1984" s="10">
        <v>3.3050022363995599</v>
      </c>
      <c r="G1984" s="4">
        <v>5.01356507004699E-5</v>
      </c>
    </row>
    <row r="1985" spans="1:7" x14ac:dyDescent="0.2">
      <c r="A1985" s="10" t="s">
        <v>3827</v>
      </c>
      <c r="B1985" s="10" t="s">
        <v>3828</v>
      </c>
      <c r="C1985" s="10" t="s">
        <v>18</v>
      </c>
      <c r="D1985" s="10">
        <v>-2.3356379885662899</v>
      </c>
      <c r="E1985" s="4">
        <v>2.1492699460654601E-24</v>
      </c>
      <c r="F1985" s="10">
        <v>-1.5158164588287</v>
      </c>
      <c r="G1985" s="4">
        <v>4.3633153426456698E-7</v>
      </c>
    </row>
    <row r="1986" spans="1:7" x14ac:dyDescent="0.2">
      <c r="A1986" s="10" t="s">
        <v>6788</v>
      </c>
      <c r="B1986" s="10" t="s">
        <v>6789</v>
      </c>
      <c r="C1986" s="10" t="s">
        <v>18</v>
      </c>
      <c r="D1986" s="10">
        <v>4.7655681016873199</v>
      </c>
      <c r="E1986" s="4">
        <v>1.9320342546415399E-43</v>
      </c>
      <c r="F1986" s="10">
        <v>5.0868352703030704</v>
      </c>
      <c r="G1986" s="4">
        <v>2.3646075815474199E-42</v>
      </c>
    </row>
    <row r="1987" spans="1:7" x14ac:dyDescent="0.2">
      <c r="A1987" s="10" t="s">
        <v>3723</v>
      </c>
      <c r="B1987" s="10" t="s">
        <v>3724</v>
      </c>
      <c r="C1987" s="10" t="s">
        <v>18</v>
      </c>
      <c r="D1987" s="10">
        <v>3.14968858931609</v>
      </c>
      <c r="E1987" s="4">
        <v>9.5930338773533098E-15</v>
      </c>
      <c r="F1987" s="10">
        <v>1.9551801858037099</v>
      </c>
      <c r="G1987" s="4">
        <v>1.6135633662792001E-7</v>
      </c>
    </row>
    <row r="1988" spans="1:7" x14ac:dyDescent="0.2">
      <c r="A1988" s="10" t="s">
        <v>7900</v>
      </c>
      <c r="B1988" s="10" t="s">
        <v>7901</v>
      </c>
      <c r="C1988" s="10" t="s">
        <v>18</v>
      </c>
      <c r="D1988" s="10">
        <v>2.79317046381128</v>
      </c>
      <c r="E1988" s="4">
        <v>9.2435070365887597E-38</v>
      </c>
      <c r="F1988" s="10">
        <v>2.60922444851359</v>
      </c>
      <c r="G1988" s="4">
        <v>1.7232475262921701E-19</v>
      </c>
    </row>
    <row r="1989" spans="1:7" x14ac:dyDescent="0.2">
      <c r="A1989" s="10" t="s">
        <v>7896</v>
      </c>
      <c r="B1989" s="10" t="s">
        <v>7897</v>
      </c>
      <c r="C1989" s="10" t="s">
        <v>18</v>
      </c>
      <c r="D1989" s="10">
        <v>1.8790330818877801</v>
      </c>
      <c r="E1989" s="4">
        <v>1.95683099227726E-13</v>
      </c>
      <c r="F1989" s="10">
        <v>1.5981185418974699</v>
      </c>
      <c r="G1989" s="4">
        <v>1.8335071010707799E-6</v>
      </c>
    </row>
    <row r="1990" spans="1:7" x14ac:dyDescent="0.2">
      <c r="A1990" s="10" t="s">
        <v>3727</v>
      </c>
      <c r="B1990" s="10" t="s">
        <v>3728</v>
      </c>
      <c r="C1990" s="10" t="s">
        <v>18</v>
      </c>
      <c r="D1990" s="10">
        <v>3.4172243623489602</v>
      </c>
      <c r="E1990" s="10">
        <v>2.8426965802640799E-3</v>
      </c>
      <c r="F1990" s="10">
        <v>3.6633846771903902</v>
      </c>
      <c r="G1990" s="10">
        <v>1.0846213708313401E-3</v>
      </c>
    </row>
    <row r="1991" spans="1:7" x14ac:dyDescent="0.2">
      <c r="A1991" s="10" t="s">
        <v>8296</v>
      </c>
      <c r="B1991" s="10" t="s">
        <v>8297</v>
      </c>
      <c r="C1991" s="10" t="s">
        <v>18</v>
      </c>
      <c r="D1991" s="10">
        <v>1.3779868231049699</v>
      </c>
      <c r="E1991" s="4">
        <v>1.97913676111956E-11</v>
      </c>
      <c r="F1991" s="10">
        <v>1.0455307977057999</v>
      </c>
      <c r="G1991" s="10">
        <v>1.73509632193614E-4</v>
      </c>
    </row>
    <row r="1992" spans="1:7" x14ac:dyDescent="0.2">
      <c r="A1992" s="10" t="s">
        <v>6952</v>
      </c>
      <c r="B1992" s="10" t="s">
        <v>6953</v>
      </c>
      <c r="C1992" s="10" t="s">
        <v>18</v>
      </c>
      <c r="D1992" s="10">
        <v>4.6252618513182604</v>
      </c>
      <c r="E1992" s="10">
        <v>6.2003404034158098E-4</v>
      </c>
      <c r="F1992" s="10">
        <v>4.3186555571409597</v>
      </c>
      <c r="G1992" s="10">
        <v>3.2323877475535801E-4</v>
      </c>
    </row>
    <row r="1993" spans="1:7" x14ac:dyDescent="0.2">
      <c r="A1993" s="10" t="s">
        <v>7898</v>
      </c>
      <c r="B1993" s="10" t="s">
        <v>7899</v>
      </c>
      <c r="C1993" s="10" t="s">
        <v>18</v>
      </c>
      <c r="D1993" s="10">
        <v>3.6781987102855598</v>
      </c>
      <c r="E1993" s="4">
        <v>4.3729850649312702E-23</v>
      </c>
      <c r="F1993" s="10">
        <v>2.9838225234636599</v>
      </c>
      <c r="G1993" s="4">
        <v>1.4319649817617999E-15</v>
      </c>
    </row>
    <row r="1994" spans="1:7" x14ac:dyDescent="0.2">
      <c r="A1994" s="10" t="s">
        <v>4786</v>
      </c>
      <c r="B1994" s="10" t="s">
        <v>4787</v>
      </c>
      <c r="C1994" s="10" t="s">
        <v>18</v>
      </c>
      <c r="D1994" s="10">
        <v>-1.48062382429012</v>
      </c>
      <c r="E1994" s="4">
        <v>9.6711731034094097E-10</v>
      </c>
      <c r="F1994" s="10">
        <v>-1.00886352529583</v>
      </c>
      <c r="G1994" s="10">
        <v>1.4280811786945399E-3</v>
      </c>
    </row>
    <row r="1995" spans="1:7" x14ac:dyDescent="0.2">
      <c r="A1995" s="10" t="s">
        <v>8076</v>
      </c>
      <c r="B1995" s="10" t="s">
        <v>8077</v>
      </c>
      <c r="C1995" s="10" t="s">
        <v>18</v>
      </c>
      <c r="D1995" s="10">
        <v>5.4479584992646704</v>
      </c>
      <c r="E1995" s="4">
        <v>3.42443237941713E-17</v>
      </c>
      <c r="F1995" s="10">
        <v>4.14791493200799</v>
      </c>
      <c r="G1995" s="4">
        <v>3.0516979843785001E-15</v>
      </c>
    </row>
    <row r="1996" spans="1:7" x14ac:dyDescent="0.2">
      <c r="A1996" s="10" t="s">
        <v>8334</v>
      </c>
      <c r="B1996" s="10" t="s">
        <v>8335</v>
      </c>
      <c r="C1996" s="10" t="s">
        <v>18</v>
      </c>
      <c r="D1996" s="10">
        <v>2.0417669246417698</v>
      </c>
      <c r="E1996" s="4">
        <v>2.02900420315864E-23</v>
      </c>
      <c r="F1996" s="10">
        <v>1.3084340242594501</v>
      </c>
      <c r="G1996" s="4">
        <v>3.70960501852362E-7</v>
      </c>
    </row>
    <row r="1997" spans="1:7" x14ac:dyDescent="0.2">
      <c r="A1997" s="10" t="s">
        <v>7752</v>
      </c>
      <c r="B1997" s="10" t="s">
        <v>7753</v>
      </c>
      <c r="C1997" s="10" t="s">
        <v>18</v>
      </c>
      <c r="D1997" s="10">
        <v>2.1318626909717402</v>
      </c>
      <c r="E1997" s="4">
        <v>8.6492781648153299E-13</v>
      </c>
      <c r="F1997" s="10">
        <v>1.21702723191607</v>
      </c>
      <c r="G1997" s="4">
        <v>7.7791146829039705E-5</v>
      </c>
    </row>
    <row r="1998" spans="1:7" x14ac:dyDescent="0.2">
      <c r="A1998" s="10" t="s">
        <v>7846</v>
      </c>
      <c r="B1998" s="10" t="s">
        <v>7847</v>
      </c>
      <c r="C1998" s="10" t="s">
        <v>18</v>
      </c>
      <c r="D1998" s="10">
        <v>2.8010584916361698</v>
      </c>
      <c r="E1998" s="4">
        <v>5.19750705986465E-37</v>
      </c>
      <c r="F1998" s="10">
        <v>2.6116873452304299</v>
      </c>
      <c r="G1998" s="4">
        <v>1.6728593229355399E-17</v>
      </c>
    </row>
    <row r="1999" spans="1:7" x14ac:dyDescent="0.2">
      <c r="A1999" s="10" t="s">
        <v>7906</v>
      </c>
      <c r="B1999" s="10" t="s">
        <v>7907</v>
      </c>
      <c r="C1999" s="10" t="s">
        <v>18</v>
      </c>
      <c r="D1999" s="10">
        <v>1.8568703127728601</v>
      </c>
      <c r="E1999" s="4">
        <v>9.5744087075776507E-16</v>
      </c>
      <c r="F1999" s="10">
        <v>1.7468025121995101</v>
      </c>
      <c r="G1999" s="4">
        <v>3.8142928783029598E-10</v>
      </c>
    </row>
    <row r="2000" spans="1:7" x14ac:dyDescent="0.2">
      <c r="A2000" s="10" t="s">
        <v>7910</v>
      </c>
      <c r="B2000" s="10" t="s">
        <v>7911</v>
      </c>
      <c r="C2000" s="10" t="s">
        <v>18</v>
      </c>
      <c r="D2000" s="10">
        <v>1.2054427772998</v>
      </c>
      <c r="E2000" s="10">
        <v>1.9861943995905899E-3</v>
      </c>
      <c r="F2000" s="10">
        <v>1.06914706765787</v>
      </c>
      <c r="G2000" s="10">
        <v>7.48377339012551E-3</v>
      </c>
    </row>
    <row r="2001" spans="1:7" x14ac:dyDescent="0.2">
      <c r="A2001" s="10" t="s">
        <v>8288</v>
      </c>
      <c r="B2001" s="10" t="s">
        <v>8289</v>
      </c>
      <c r="C2001" s="10" t="s">
        <v>18</v>
      </c>
      <c r="D2001" s="10">
        <v>-1.0808960005469499</v>
      </c>
      <c r="E2001" s="4">
        <v>1.0983906792683899E-6</v>
      </c>
      <c r="F2001" s="10">
        <v>-1.20648185477974</v>
      </c>
      <c r="G2001" s="10">
        <v>1.6510698656725699E-4</v>
      </c>
    </row>
    <row r="2002" spans="1:7" x14ac:dyDescent="0.2">
      <c r="A2002" s="10" t="s">
        <v>1839</v>
      </c>
      <c r="B2002" s="10" t="s">
        <v>1840</v>
      </c>
      <c r="C2002" s="10" t="s">
        <v>18</v>
      </c>
      <c r="D2002" s="10">
        <v>1.69015525309012</v>
      </c>
      <c r="E2002" s="4">
        <v>3.4304889971695801E-16</v>
      </c>
      <c r="F2002" s="10">
        <v>2.8440682970303999</v>
      </c>
      <c r="G2002" s="4">
        <v>3.9160796591917298E-27</v>
      </c>
    </row>
    <row r="2003" spans="1:7" x14ac:dyDescent="0.2">
      <c r="A2003" s="10" t="s">
        <v>4161</v>
      </c>
      <c r="B2003" s="10" t="s">
        <v>4162</v>
      </c>
      <c r="C2003" s="10" t="s">
        <v>18</v>
      </c>
      <c r="D2003" s="10">
        <v>3.0174403316516201</v>
      </c>
      <c r="E2003" s="4">
        <v>1.78954191263589E-22</v>
      </c>
      <c r="F2003" s="10">
        <v>2.8439902421649199</v>
      </c>
      <c r="G2003" s="4">
        <v>2.5688675945446001E-17</v>
      </c>
    </row>
    <row r="2004" spans="1:7" x14ac:dyDescent="0.2">
      <c r="A2004" s="10" t="s">
        <v>8008</v>
      </c>
      <c r="B2004" s="10" t="s">
        <v>8009</v>
      </c>
      <c r="C2004" s="10" t="s">
        <v>18</v>
      </c>
      <c r="D2004" s="10">
        <v>3.1557225159624802</v>
      </c>
      <c r="E2004" s="4">
        <v>1.3401569640899801E-35</v>
      </c>
      <c r="F2004" s="10">
        <v>2.6468465673969201</v>
      </c>
      <c r="G2004" s="4">
        <v>8.1522595635483001E-20</v>
      </c>
    </row>
    <row r="2005" spans="1:7" x14ac:dyDescent="0.2">
      <c r="A2005" s="10" t="s">
        <v>213</v>
      </c>
      <c r="B2005" s="10" t="s">
        <v>214</v>
      </c>
      <c r="C2005" s="10" t="s">
        <v>18</v>
      </c>
      <c r="D2005" s="10">
        <v>7.3395540326914999</v>
      </c>
      <c r="E2005" s="4">
        <v>9.7853541632360107E-6</v>
      </c>
      <c r="F2005" s="10">
        <v>6.1524868283102796</v>
      </c>
      <c r="G2005" s="10">
        <v>1.37512187076201E-4</v>
      </c>
    </row>
    <row r="2006" spans="1:7" x14ac:dyDescent="0.2">
      <c r="A2006" s="10" t="s">
        <v>7844</v>
      </c>
      <c r="B2006" s="10" t="s">
        <v>7845</v>
      </c>
      <c r="C2006" s="10" t="s">
        <v>18</v>
      </c>
      <c r="D2006" s="10">
        <v>1.56681966704127</v>
      </c>
      <c r="E2006" s="4">
        <v>1.1574211457477299E-5</v>
      </c>
      <c r="F2006" s="10">
        <v>1.12105866323346</v>
      </c>
      <c r="G2006" s="10">
        <v>4.4643934075010404E-3</v>
      </c>
    </row>
    <row r="2007" spans="1:7" x14ac:dyDescent="0.2">
      <c r="A2007" s="10" t="s">
        <v>3923</v>
      </c>
      <c r="B2007" s="10" t="s">
        <v>3924</v>
      </c>
      <c r="C2007" s="10" t="s">
        <v>18</v>
      </c>
      <c r="D2007" s="10">
        <v>-3.4091843936042698</v>
      </c>
      <c r="E2007" s="4">
        <v>1.0578241370165401E-61</v>
      </c>
      <c r="F2007" s="10">
        <v>-2.75349852541266</v>
      </c>
      <c r="G2007" s="4">
        <v>5.4482983796562296E-25</v>
      </c>
    </row>
    <row r="2008" spans="1:7" x14ac:dyDescent="0.2">
      <c r="A2008" s="10" t="s">
        <v>8332</v>
      </c>
      <c r="B2008" s="10" t="s">
        <v>8333</v>
      </c>
      <c r="C2008" s="10" t="s">
        <v>18</v>
      </c>
      <c r="D2008" s="10">
        <v>-1.3009702624996</v>
      </c>
      <c r="E2008" s="4">
        <v>2.1170462587572298E-8</v>
      </c>
      <c r="F2008" s="10">
        <v>-1.14272123035428</v>
      </c>
      <c r="G2008" s="4">
        <v>3.4656886063025802E-5</v>
      </c>
    </row>
    <row r="2009" spans="1:7" x14ac:dyDescent="0.2">
      <c r="A2009" s="10" t="s">
        <v>4312</v>
      </c>
      <c r="B2009" s="10" t="s">
        <v>4313</v>
      </c>
      <c r="C2009" s="10" t="s">
        <v>18</v>
      </c>
      <c r="D2009" s="10">
        <v>1.94728261952495</v>
      </c>
      <c r="E2009" s="4">
        <v>2.1203787138047401E-20</v>
      </c>
      <c r="F2009" s="10">
        <v>2.2030708281487699</v>
      </c>
      <c r="G2009" s="4">
        <v>3.8293098385234002E-16</v>
      </c>
    </row>
    <row r="2010" spans="1:7" x14ac:dyDescent="0.2">
      <c r="A2010" s="10" t="s">
        <v>3389</v>
      </c>
      <c r="B2010" s="10" t="s">
        <v>3390</v>
      </c>
      <c r="C2010" s="10" t="s">
        <v>18</v>
      </c>
      <c r="D2010" s="10">
        <v>-1.40380108717665</v>
      </c>
      <c r="E2010" s="4">
        <v>5.4894294141949801E-8</v>
      </c>
      <c r="F2010" s="10">
        <v>-1.13367117615418</v>
      </c>
      <c r="G2010" s="10">
        <v>9.7511026407833099E-4</v>
      </c>
    </row>
    <row r="2011" spans="1:7" x14ac:dyDescent="0.2">
      <c r="A2011" s="10" t="s">
        <v>8530</v>
      </c>
      <c r="B2011" s="10" t="s">
        <v>8531</v>
      </c>
      <c r="C2011" s="10" t="s">
        <v>18</v>
      </c>
      <c r="D2011" s="10">
        <v>1.08724079131433</v>
      </c>
      <c r="E2011" s="4">
        <v>1.8100594376684701E-9</v>
      </c>
      <c r="F2011" s="10">
        <v>1.08168299995908</v>
      </c>
      <c r="G2011" s="4">
        <v>1.00233883658639E-5</v>
      </c>
    </row>
    <row r="2012" spans="1:7" x14ac:dyDescent="0.2">
      <c r="A2012" s="10" t="s">
        <v>4980</v>
      </c>
      <c r="B2012" s="10" t="s">
        <v>4981</v>
      </c>
      <c r="C2012" s="10" t="s">
        <v>18</v>
      </c>
      <c r="D2012" s="10">
        <v>5.5379659354855297</v>
      </c>
      <c r="E2012" s="10">
        <v>1.11464303948394E-3</v>
      </c>
      <c r="F2012" s="10">
        <v>3.49413224267209</v>
      </c>
      <c r="G2012" s="10">
        <v>1.0390229994340901E-3</v>
      </c>
    </row>
    <row r="2013" spans="1:7" x14ac:dyDescent="0.2">
      <c r="A2013" s="10" t="s">
        <v>8338</v>
      </c>
      <c r="B2013" s="10" t="s">
        <v>8339</v>
      </c>
      <c r="C2013" s="10" t="s">
        <v>18</v>
      </c>
      <c r="D2013" s="10">
        <v>5.6303282905956804</v>
      </c>
      <c r="E2013" s="4">
        <v>6.8172620436368897E-43</v>
      </c>
      <c r="F2013" s="10">
        <v>7.6440630329414399</v>
      </c>
      <c r="G2013" s="4">
        <v>4.8466860053985998E-33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README</vt:lpstr>
      <vt:lpstr>WT+ vs WT-(ALL)</vt:lpstr>
      <vt:lpstr>WT+ vs KO+ (ALL)</vt:lpstr>
      <vt:lpstr>WT+ vs WT- (protein)</vt:lpstr>
      <vt:lpstr>WT+ vs KO+ (protein)</vt:lpstr>
      <vt:lpstr>2012 overlapped proteins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LiuChang</dc:creator>
  <cp:lastModifiedBy>DELL</cp:lastModifiedBy>
  <dcterms:created xsi:type="dcterms:W3CDTF">2022-02-16T03:46:24Z</dcterms:created>
  <dcterms:modified xsi:type="dcterms:W3CDTF">2022-03-31T05:00:07Z</dcterms:modified>
</cp:coreProperties>
</file>